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drawings/drawing4.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drawings/drawing5.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charts/chart5.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8.xml" ContentType="application/vnd.openxmlformats-officedocument.drawing+xml"/>
  <Override PartName="/xl/charts/chart6.xml" ContentType="application/vnd.openxmlformats-officedocument.drawingml.chart+xml"/>
  <Override PartName="/xl/pivotTables/pivotTable7.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8.xml" ContentType="application/vnd.openxmlformats-officedocument.drawingml.chart+xml"/>
  <Override PartName="/xl/pivotTables/pivotTable8.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pivotTables/pivotTable9.xml" ContentType="application/vnd.openxmlformats-officedocument.spreadsheetml.pivotTable+xml"/>
  <Override PartName="/xl/drawings/drawing12.xml" ContentType="application/vnd.openxmlformats-officedocument.drawing+xml"/>
  <Override PartName="/xl/charts/chart10.xml" ContentType="application/vnd.openxmlformats-officedocument.drawingml.chart+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13.xml" ContentType="application/vnd.openxmlformats-officedocument.drawing+xml"/>
  <Override PartName="/xl/charts/chart11.xml" ContentType="application/vnd.openxmlformats-officedocument.drawingml.chart+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14.xml" ContentType="application/vnd.openxmlformats-officedocument.drawing+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5.xml" ContentType="application/vnd.openxmlformats-officedocument.drawing+xml"/>
  <Override PartName="/xl/charts/chart13.xml" ContentType="application/vnd.openxmlformats-officedocument.drawingml.chart+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6.xml" ContentType="application/vnd.openxmlformats-officedocument.drawing+xml"/>
  <Override PartName="/xl/charts/chart14.xml" ContentType="application/vnd.openxmlformats-officedocument.drawingml.chart+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7.xml" ContentType="application/vnd.openxmlformats-officedocument.drawing+xml"/>
  <Override PartName="/xl/charts/chart15.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8.xml" ContentType="application/vnd.openxmlformats-officedocument.drawing+xml"/>
  <Override PartName="/xl/charts/chart16.xml" ContentType="application/vnd.openxmlformats-officedocument.drawingml.chart+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0.xml" ContentType="application/vnd.openxmlformats-officedocument.drawing+xml"/>
  <Override PartName="/xl/charts/chart18.xml" ContentType="application/vnd.openxmlformats-officedocument.drawingml.chart+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21.xml" ContentType="application/vnd.openxmlformats-officedocument.drawing+xml"/>
  <Override PartName="/xl/charts/chart19.xml" ContentType="application/vnd.openxmlformats-officedocument.drawingml.chart+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22.xml" ContentType="application/vnd.openxmlformats-officedocument.drawing+xml"/>
  <Override PartName="/xl/charts/chart20.xml" ContentType="application/vnd.openxmlformats-officedocument.drawingml.chart+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drawings/drawing23.xml" ContentType="application/vnd.openxmlformats-officedocument.drawing+xml"/>
  <Override PartName="/xl/charts/chart21.xml" ContentType="application/vnd.openxmlformats-officedocument.drawingml.chart+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drawings/drawing24.xml" ContentType="application/vnd.openxmlformats-officedocument.drawing+xml"/>
  <Override PartName="/xl/charts/chart22.xml" ContentType="application/vnd.openxmlformats-officedocument.drawingml.chart+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drawings/drawing25.xml" ContentType="application/vnd.openxmlformats-officedocument.drawing+xml"/>
  <Override PartName="/xl/charts/chart23.xml" ContentType="application/vnd.openxmlformats-officedocument.drawingml.chart+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drawings/drawing26.xml" ContentType="application/vnd.openxmlformats-officedocument.drawing+xml"/>
  <Override PartName="/xl/charts/chart24.xml" ContentType="application/vnd.openxmlformats-officedocument.drawingml.chart+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drawings/drawing27.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drawings/drawing28.xml" ContentType="application/vnd.openxmlformats-officedocument.drawing+xml"/>
  <Override PartName="/xl/charts/chart26.xml" ContentType="application/vnd.openxmlformats-officedocument.drawingml.chart+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drawings/drawing29.xml" ContentType="application/vnd.openxmlformats-officedocument.drawing+xml"/>
  <Override PartName="/xl/charts/chart27.xml" ContentType="application/vnd.openxmlformats-officedocument.drawingml.chart+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drawings/drawing30.xml" ContentType="application/vnd.openxmlformats-officedocument.drawing+xml"/>
  <Override PartName="/xl/charts/chart28.xml" ContentType="application/vnd.openxmlformats-officedocument.drawingml.chart+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drawings/drawing31.xml" ContentType="application/vnd.openxmlformats-officedocument.drawing+xml"/>
  <Override PartName="/xl/charts/chart29.xml" ContentType="application/vnd.openxmlformats-officedocument.drawingml.chart+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drawings/drawing32.xml" ContentType="application/vnd.openxmlformats-officedocument.drawing+xml"/>
  <Override PartName="/xl/charts/chart30.xml" ContentType="application/vnd.openxmlformats-officedocument.drawingml.chart+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drawings/drawing3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drawings/drawing3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drawings/drawing3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drawings/drawing3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drawings/drawing37.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pivotTables/pivotTable87.xml" ContentType="application/vnd.openxmlformats-officedocument.spreadsheetml.pivotTable+xml"/>
  <Override PartName="/xl/pivotTables/pivotTable88.xml" ContentType="application/vnd.openxmlformats-officedocument.spreadsheetml.pivotTable+xml"/>
  <Override PartName="/xl/drawings/drawing38.xml" ContentType="application/vnd.openxmlformats-officedocument.drawing+xml"/>
  <Override PartName="/xl/charts/chart41.xml" ContentType="application/vnd.openxmlformats-officedocument.drawingml.chart+xml"/>
  <Override PartName="/xl/charts/style4.xml" ContentType="application/vnd.ms-office.chartstyle+xml"/>
  <Override PartName="/xl/charts/colors4.xml" ContentType="application/vnd.ms-office.chartcolorstyle+xml"/>
  <Override PartName="/xl/charts/chart42.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drawings/drawing39.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drawings/drawing40.xml" ContentType="application/vnd.openxmlformats-officedocument.drawing+xml"/>
  <Override PartName="/xl/tables/table6.xml" ContentType="application/vnd.openxmlformats-officedocument.spreadsheetml.table+xml"/>
  <Override PartName="/xl/charts/chart45.xml" ContentType="application/vnd.openxmlformats-officedocument.drawingml.chart+xml"/>
  <Override PartName="/xl/charts/chart46.xml" ContentType="application/vnd.openxmlformats-officedocument.drawingml.chart+xml"/>
  <Override PartName="/xl/pivotTables/pivotTable96.xml" ContentType="application/vnd.openxmlformats-officedocument.spreadsheetml.pivotTable+xml"/>
  <Override PartName="/xl/drawings/drawing41.xml" ContentType="application/vnd.openxmlformats-officedocument.drawing+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drawings/drawing43.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49.xml" ContentType="application/vnd.openxmlformats-officedocument.drawingml.chart+xml"/>
  <Override PartName="/xl/pivotTables/pivotTable101.xml" ContentType="application/vnd.openxmlformats-officedocument.spreadsheetml.pivotTable+xml"/>
  <Override PartName="/xl/drawings/drawing44.xml" ContentType="application/vnd.openxmlformats-officedocument.drawing+xml"/>
  <Override PartName="/xl/charts/chart50.xml" ContentType="application/vnd.openxmlformats-officedocument.drawingml.chart+xml"/>
  <Override PartName="/xl/pivotTables/pivotTable102.xml" ContentType="application/vnd.openxmlformats-officedocument.spreadsheetml.pivotTable+xml"/>
  <Override PartName="/xl/drawings/drawing45.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pivotTables/pivotTable122.xml" ContentType="application/vnd.openxmlformats-officedocument.spreadsheetml.pivotTab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pivotTables/pivotTable126.xml" ContentType="application/vnd.openxmlformats-officedocument.spreadsheetml.pivotTable+xml"/>
  <Override PartName="/xl/pivotTables/pivotTable127.xml" ContentType="application/vnd.openxmlformats-officedocument.spreadsheetml.pivotTable+xml"/>
  <Override PartName="/xl/pivotTables/pivotTable128.xml" ContentType="application/vnd.openxmlformats-officedocument.spreadsheetml.pivotTab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pivotTables/pivotTable133.xml" ContentType="application/vnd.openxmlformats-officedocument.spreadsheetml.pivotTable+xml"/>
  <Override PartName="/xl/pivotTables/pivotTable134.xml" ContentType="application/vnd.openxmlformats-officedocument.spreadsheetml.pivotTable+xml"/>
  <Override PartName="/xl/pivotTables/pivotTable135.xml" ContentType="application/vnd.openxmlformats-officedocument.spreadsheetml.pivotTable+xml"/>
  <Override PartName="/xl/pivotTables/pivotTable136.xml" ContentType="application/vnd.openxmlformats-officedocument.spreadsheetml.pivotTable+xml"/>
  <Override PartName="/xl/pivotTables/pivotTable137.xml" ContentType="application/vnd.openxmlformats-officedocument.spreadsheetml.pivotTable+xml"/>
  <Override PartName="/xl/drawings/drawing4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style8.xml" ContentType="application/vnd.ms-office.chartstyle+xml"/>
  <Override PartName="/xl/charts/colors8.xml" ContentType="application/vnd.ms-office.chartcolorstyle+xml"/>
  <Override PartName="/xl/charts/chart71.xml" ContentType="application/vnd.openxmlformats-officedocument.drawingml.chart+xml"/>
  <Override PartName="/xl/charts/style9.xml" ContentType="application/vnd.ms-office.chartstyle+xml"/>
  <Override PartName="/xl/charts/colors9.xml" ContentType="application/vnd.ms-office.chartcolorstyle+xml"/>
  <Override PartName="/xl/charts/chart72.xml" ContentType="application/vnd.openxmlformats-officedocument.drawingml.chart+xml"/>
  <Override PartName="/xl/charts/style10.xml" ContentType="application/vnd.ms-office.chartstyle+xml"/>
  <Override PartName="/xl/charts/colors10.xml" ContentType="application/vnd.ms-office.chartcolorstyle+xml"/>
  <Override PartName="/xl/charts/chart73.xml" ContentType="application/vnd.openxmlformats-officedocument.drawingml.chart+xml"/>
  <Override PartName="/xl/charts/style11.xml" ContentType="application/vnd.ms-office.chartstyle+xml"/>
  <Override PartName="/xl/charts/colors11.xml" ContentType="application/vnd.ms-office.chartcolorstyle+xml"/>
  <Override PartName="/xl/charts/chart74.xml" ContentType="application/vnd.openxmlformats-officedocument.drawingml.chart+xml"/>
  <Override PartName="/xl/theme/themeOverride1.xml" ContentType="application/vnd.openxmlformats-officedocument.themeOverride+xml"/>
  <Override PartName="/xl/pivotTables/pivotTable138.xml" ContentType="application/vnd.openxmlformats-officedocument.spreadsheetml.pivotTable+xml"/>
  <Override PartName="/xl/drawings/drawing47.xml" ContentType="application/vnd.openxmlformats-officedocument.drawing+xml"/>
  <Override PartName="/xl/charts/chart75.xml" ContentType="application/vnd.openxmlformats-officedocument.drawingml.chart+xml"/>
  <Override PartName="/xl/pivotTables/pivotTable139.xml" ContentType="application/vnd.openxmlformats-officedocument.spreadsheetml.pivotTable+xml"/>
  <Override PartName="/xl/drawings/drawing48.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40.xml" ContentType="application/vnd.openxmlformats-officedocument.spreadsheetml.pivotTable+xml"/>
  <Override PartName="/xl/pivotTables/pivotTable141.xml" ContentType="application/vnd.openxmlformats-officedocument.spreadsheetml.pivotTable+xml"/>
  <Override PartName="/xl/pivotTables/pivotTable142.xml" ContentType="application/vnd.openxmlformats-officedocument.spreadsheetml.pivotTable+xml"/>
  <Override PartName="/xl/drawings/drawing49.xml" ContentType="application/vnd.openxmlformats-officedocument.drawing+xml"/>
  <Override PartName="/xl/tables/table9.xml" ContentType="application/vnd.openxmlformats-officedocument.spreadsheetml.table+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style13.xml" ContentType="application/vnd.ms-office.chartstyle+xml"/>
  <Override PartName="/xl/charts/colors13.xml" ContentType="application/vnd.ms-office.chartcolorstyle+xml"/>
  <Override PartName="/xl/charts/chart82.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43.xml" ContentType="application/vnd.openxmlformats-officedocument.spreadsheetml.pivotTable+xml"/>
  <Override PartName="/xl/drawings/drawing50.xml" ContentType="application/vnd.openxmlformats-officedocument.drawing+xml"/>
  <Override PartName="/xl/charts/chart83.xml" ContentType="application/vnd.openxmlformats-officedocument.drawingml.chart+xml"/>
  <Override PartName="/xl/pivotTables/pivotTable144.xml" ContentType="application/vnd.openxmlformats-officedocument.spreadsheetml.pivotTable+xml"/>
  <Override PartName="/xl/drawings/drawing51.xml" ContentType="application/vnd.openxmlformats-officedocument.drawing+xml"/>
  <Override PartName="/xl/charts/chart84.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ndu1-my.sharepoint.com/personal/saundersp_ndu_edu/Documents/Research/2025 PLA Military Diplomacy/"/>
    </mc:Choice>
  </mc:AlternateContent>
  <xr:revisionPtr revIDLastSave="263" documentId="8_{1C6017AE-0FC5-443A-BBB0-E7477041B727}" xr6:coauthVersionLast="47" xr6:coauthVersionMax="47" xr10:uidLastSave="{AF157B6C-72F8-4B14-AD87-0E5BD6181116}"/>
  <bookViews>
    <workbookView xWindow="-28920" yWindow="-7110" windowWidth="29040" windowHeight="15630" firstSheet="55" activeTab="59" xr2:uid="{0BF6E4AE-DC5D-4468-A8A9-065CDCDF0EF6}"/>
  </bookViews>
  <sheets>
    <sheet name="Codebook" sheetId="1" r:id="rId1"/>
    <sheet name="PLA Military Diplomacy DB v500" sheetId="2" r:id="rId2"/>
    <sheet name="Pivot Table" sheetId="3" r:id="rId3"/>
    <sheet name="Appendix of Figures" sheetId="4" r:id="rId4"/>
    <sheet name="PRC partnerships" sheetId="59" r:id="rId5"/>
    <sheet name="CCMD Figure 1" sheetId="5" r:id="rId6"/>
    <sheet name="CCMD Figure 3" sheetId="6" r:id="rId7"/>
    <sheet name="CCMD Figure 7" sheetId="7" r:id="rId8"/>
    <sheet name="CCMD Table 3 Pivot Table" sheetId="60" r:id="rId9"/>
    <sheet name="CCMD Table 3" sheetId="8" r:id="rId10"/>
    <sheet name="INDOPACOM Figure 2" sheetId="9" r:id="rId11"/>
    <sheet name="INDOPACOM Figure 4" sheetId="10" r:id="rId12"/>
    <sheet name="INDOPACOM Figure 5" sheetId="11" r:id="rId13"/>
    <sheet name="INDOPACOM Figure 6" sheetId="12" r:id="rId14"/>
    <sheet name="INDOPACOM Figure 7" sheetId="13" r:id="rId15"/>
    <sheet name="AFRICOM Figure 2" sheetId="14" r:id="rId16"/>
    <sheet name="AFRICOM Figure 4" sheetId="15" r:id="rId17"/>
    <sheet name="AFRICOM Figure 5" sheetId="16" r:id="rId18"/>
    <sheet name="AFRICOM Figure 6" sheetId="17" r:id="rId19"/>
    <sheet name="SOUTHCOM Figure 2" sheetId="18" r:id="rId20"/>
    <sheet name="SOUTHCOM Figure 4" sheetId="19" r:id="rId21"/>
    <sheet name="SOUTHCOM Figure 5" sheetId="20" r:id="rId22"/>
    <sheet name="SOUTHCOM Figure 6" sheetId="21" r:id="rId23"/>
    <sheet name="CENTCOM Figure 2" sheetId="22" r:id="rId24"/>
    <sheet name="CENTCOM Figure 4" sheetId="23" r:id="rId25"/>
    <sheet name="CENTCOM Figure 5" sheetId="24" r:id="rId26"/>
    <sheet name="CENTCOM Figure 6" sheetId="25" r:id="rId27"/>
    <sheet name="EUCOM Figure 2" sheetId="26" r:id="rId28"/>
    <sheet name="EUCOM Figure 4" sheetId="27" r:id="rId29"/>
    <sheet name="EUCOM Figure 5" sheetId="28" r:id="rId30"/>
    <sheet name="EUCOM Figure 6" sheetId="29" r:id="rId31"/>
    <sheet name="Europe Figure 2" sheetId="30" r:id="rId32"/>
    <sheet name="Europe Figure 4" sheetId="31" r:id="rId33"/>
    <sheet name="NORTHCOM Figure 2" sheetId="32" r:id="rId34"/>
    <sheet name="NORTHCOM Figure 4" sheetId="33" r:id="rId35"/>
    <sheet name="NORTHCOM Figure 5" sheetId="34" r:id="rId36"/>
    <sheet name="NORTHCOM Figure 6" sheetId="35" r:id="rId37"/>
    <sheet name="Figure 1-2" sheetId="36" r:id="rId38"/>
    <sheet name="Figure 3-4" sheetId="37" r:id="rId39"/>
    <sheet name="Figure 5-6" sheetId="38" r:id="rId40"/>
    <sheet name="Figure 7-8" sheetId="39" r:id="rId41"/>
    <sheet name="Figure 9-10" sheetId="40" r:id="rId42"/>
    <sheet name="Figure 11-12" sheetId="41" r:id="rId43"/>
    <sheet name="Figure 13-14" sheetId="42" r:id="rId44"/>
    <sheet name="Figure 15" sheetId="43" r:id="rId45"/>
    <sheet name="Figure 16" sheetId="61" r:id="rId46"/>
    <sheet name="Figure 17" sheetId="44" r:id="rId47"/>
    <sheet name="Figure 17-18" sheetId="45" r:id="rId48"/>
    <sheet name="Figure 19" sheetId="46" r:id="rId49"/>
    <sheet name="Figure 20" sheetId="64" r:id="rId50"/>
    <sheet name="Table 1-2" sheetId="65" r:id="rId51"/>
    <sheet name="Table 3-4" sheetId="48" r:id="rId52"/>
    <sheet name="Table 1A-2A NATO" sheetId="66" r:id="rId53"/>
    <sheet name="Table 3A-4A NATO" sheetId="49" r:id="rId54"/>
    <sheet name="Table 5-6" sheetId="67" r:id="rId55"/>
    <sheet name="Table 7-8" sheetId="68" r:id="rId56"/>
    <sheet name="Table 9" sheetId="69" r:id="rId57"/>
    <sheet name="Figures 21-38 Bilat Countries" sheetId="53" r:id="rId58"/>
    <sheet name="Fig 39 ASEAN" sheetId="54" r:id="rId59"/>
    <sheet name="Fig 39a SCO" sheetId="55" r:id="rId60"/>
    <sheet name="Fig 40-42 Exercises" sheetId="56" r:id="rId61"/>
    <sheet name="Fig 43 Marginals" sheetId="57" r:id="rId62"/>
    <sheet name="Fig 44 PLA ML Mtgs" sheetId="58" r:id="rId63"/>
  </sheets>
  <definedNames>
    <definedName name="_xlnm._FilterDatabase" localSheetId="1" hidden="1">'PLA Military Diplomacy DB v500'!$A$1:$AA$3379</definedName>
    <definedName name="_Hlk516855534" localSheetId="1">'PLA Military Diplomacy DB v500'!#REF!</definedName>
    <definedName name="FromArray_1">_xlfn.ANCHORARRAY('CCMD Table 3'!$A$9)</definedName>
    <definedName name="solver_eng" localSheetId="2">1</definedName>
    <definedName name="solver_neg" localSheetId="2">1</definedName>
    <definedName name="solver_num" localSheetId="2">0</definedName>
    <definedName name="solver_opt" localSheetId="2">'Pivot Table'!$B$4</definedName>
    <definedName name="solver_typ" localSheetId="2">1</definedName>
    <definedName name="solver_val" localSheetId="2">0</definedName>
    <definedName name="solver_ver" localSheetId="2">3</definedName>
  </definedNames>
  <calcPr calcId="191029"/>
  <pivotCaches>
    <pivotCache cacheId="14" r:id="rId64"/>
    <pivotCache cacheId="19" r:id="rId65"/>
    <pivotCache cacheId="43" r:id="rId66"/>
    <pivotCache cacheId="56" r:id="rId6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0" roundtripDataChecksum="7gD9B95Wj5+xFHfO44oKh3E83gmLiXgZn0OP+Qje2Xo="/>
    </ext>
  </extLst>
</workbook>
</file>

<file path=xl/calcChain.xml><?xml version="1.0" encoding="utf-8"?>
<calcChain xmlns="http://schemas.openxmlformats.org/spreadsheetml/2006/main">
  <c r="K29" i="55" l="1"/>
  <c r="J29" i="55"/>
  <c r="I29" i="55"/>
  <c r="K28" i="55"/>
  <c r="J28" i="55"/>
  <c r="I28" i="55"/>
  <c r="K27" i="55"/>
  <c r="J27" i="55"/>
  <c r="I27" i="55"/>
  <c r="K26" i="55"/>
  <c r="J26" i="55"/>
  <c r="I26" i="55"/>
  <c r="K25" i="55"/>
  <c r="J25" i="55"/>
  <c r="I25" i="55"/>
  <c r="K24" i="55"/>
  <c r="J24" i="55"/>
  <c r="I24" i="55"/>
  <c r="K23" i="55"/>
  <c r="J23" i="55"/>
  <c r="I23" i="55"/>
  <c r="K22" i="55"/>
  <c r="J22" i="55"/>
  <c r="I22" i="55"/>
  <c r="K21" i="55"/>
  <c r="J21" i="55"/>
  <c r="I21" i="55"/>
  <c r="K20" i="55"/>
  <c r="J20" i="55"/>
  <c r="I20" i="55"/>
  <c r="K19" i="55"/>
  <c r="J19" i="55"/>
  <c r="I19" i="55"/>
  <c r="K18" i="55"/>
  <c r="J18" i="55"/>
  <c r="I18" i="55"/>
  <c r="K17" i="55"/>
  <c r="J17" i="55"/>
  <c r="I17" i="55"/>
  <c r="K16" i="55"/>
  <c r="J16" i="55"/>
  <c r="I16" i="55"/>
  <c r="K15" i="55"/>
  <c r="J15" i="55"/>
  <c r="I15" i="55"/>
  <c r="K14" i="55"/>
  <c r="J14" i="55"/>
  <c r="I14" i="55"/>
  <c r="K13" i="55"/>
  <c r="J13" i="55"/>
  <c r="I13" i="55"/>
  <c r="K12" i="55"/>
  <c r="J12" i="55"/>
  <c r="I12" i="55"/>
  <c r="K11" i="55"/>
  <c r="J11" i="55"/>
  <c r="I11" i="55"/>
  <c r="K9" i="55"/>
  <c r="J9" i="55"/>
  <c r="I9" i="55"/>
  <c r="K8" i="55"/>
  <c r="J8" i="55"/>
  <c r="I8" i="55"/>
  <c r="K7" i="55"/>
  <c r="J7" i="55"/>
  <c r="I7" i="55"/>
  <c r="C16" i="3"/>
  <c r="C15" i="3"/>
  <c r="D61" i="5"/>
  <c r="D60" i="5"/>
  <c r="D16" i="3"/>
  <c r="C4" i="7" l="1"/>
  <c r="C39" i="7"/>
  <c r="C38" i="7"/>
  <c r="C37" i="7"/>
  <c r="C36" i="7"/>
  <c r="C35" i="7"/>
  <c r="C34" i="7"/>
  <c r="B38" i="7"/>
  <c r="C8" i="7"/>
  <c r="C9" i="7"/>
  <c r="C7" i="7"/>
  <c r="C6" i="7"/>
  <c r="B9" i="7"/>
  <c r="B8" i="7"/>
  <c r="B7" i="7"/>
  <c r="B6" i="7"/>
  <c r="C5" i="7"/>
  <c r="B5" i="7"/>
  <c r="B4" i="7"/>
  <c r="D5" i="7" l="1"/>
  <c r="D8" i="7"/>
  <c r="D9" i="7"/>
  <c r="D7" i="7"/>
  <c r="D6" i="7"/>
  <c r="D4" i="7"/>
  <c r="D10" i="7" l="1"/>
  <c r="B39" i="7" l="1"/>
  <c r="B37" i="7"/>
  <c r="B34" i="7"/>
  <c r="B35" i="7"/>
  <c r="B36" i="7"/>
  <c r="B63" i="6"/>
  <c r="X40" i="36"/>
  <c r="W40" i="36"/>
  <c r="V40" i="36"/>
  <c r="U40" i="36"/>
  <c r="T40" i="36"/>
  <c r="S40" i="36"/>
  <c r="R40" i="36"/>
  <c r="Q40" i="36"/>
  <c r="P40" i="36"/>
  <c r="O40" i="36"/>
  <c r="N40" i="36"/>
  <c r="M40" i="36"/>
  <c r="L40" i="36"/>
  <c r="K40" i="36"/>
  <c r="J40" i="36"/>
  <c r="I40" i="36"/>
  <c r="H40" i="36"/>
  <c r="G40" i="36"/>
  <c r="F40" i="36"/>
  <c r="E40" i="36"/>
  <c r="D40" i="36"/>
  <c r="C40" i="36"/>
  <c r="B40" i="36"/>
  <c r="X39" i="36"/>
  <c r="W39" i="36"/>
  <c r="V39" i="36"/>
  <c r="U39" i="36"/>
  <c r="T39" i="36"/>
  <c r="S39" i="36"/>
  <c r="R39" i="36"/>
  <c r="Q39" i="36"/>
  <c r="P39" i="36"/>
  <c r="O39" i="36"/>
  <c r="N39" i="36"/>
  <c r="M39" i="36"/>
  <c r="L39" i="36"/>
  <c r="K39" i="36"/>
  <c r="J39" i="36"/>
  <c r="I39" i="36"/>
  <c r="H39" i="36"/>
  <c r="G39" i="36"/>
  <c r="F39" i="36"/>
  <c r="E39" i="36"/>
  <c r="D39" i="36"/>
  <c r="C39" i="36"/>
  <c r="B39" i="36"/>
  <c r="X38" i="36"/>
  <c r="W38" i="36"/>
  <c r="V38" i="36"/>
  <c r="U38" i="36"/>
  <c r="T38" i="36"/>
  <c r="S38" i="36"/>
  <c r="R38" i="36"/>
  <c r="Q38" i="36"/>
  <c r="P38" i="36"/>
  <c r="O38" i="36"/>
  <c r="N38" i="36"/>
  <c r="M38" i="36"/>
  <c r="L38" i="36"/>
  <c r="K38" i="36"/>
  <c r="J38" i="36"/>
  <c r="I38" i="36"/>
  <c r="H38" i="36"/>
  <c r="G38" i="36"/>
  <c r="F38" i="36"/>
  <c r="E38" i="36"/>
  <c r="D38" i="36"/>
  <c r="C38" i="36"/>
  <c r="B38" i="36"/>
  <c r="X37" i="36"/>
  <c r="W37" i="36"/>
  <c r="V37" i="36"/>
  <c r="U37" i="36"/>
  <c r="T37" i="36"/>
  <c r="S37" i="36"/>
  <c r="R37" i="36"/>
  <c r="Q37" i="36"/>
  <c r="P37" i="36"/>
  <c r="O37" i="36"/>
  <c r="N37" i="36"/>
  <c r="M37" i="36"/>
  <c r="L37" i="36"/>
  <c r="K37" i="36"/>
  <c r="J37" i="36"/>
  <c r="I37" i="36"/>
  <c r="H37" i="36"/>
  <c r="G37" i="36"/>
  <c r="F37" i="36"/>
  <c r="E37" i="36"/>
  <c r="D37" i="36"/>
  <c r="C37" i="36"/>
  <c r="B37" i="36"/>
  <c r="C36" i="36"/>
  <c r="D36" i="36"/>
  <c r="E36" i="36"/>
  <c r="F36" i="36"/>
  <c r="G36" i="36"/>
  <c r="H36" i="36"/>
  <c r="I36" i="36"/>
  <c r="J36" i="36"/>
  <c r="K36" i="36"/>
  <c r="L36" i="36"/>
  <c r="M36" i="36"/>
  <c r="N36" i="36"/>
  <c r="O36" i="36"/>
  <c r="P36" i="36"/>
  <c r="Q36" i="36"/>
  <c r="R36" i="36"/>
  <c r="S36" i="36"/>
  <c r="T36" i="36"/>
  <c r="U36" i="36"/>
  <c r="V36" i="36"/>
  <c r="W36" i="36"/>
  <c r="X36" i="36"/>
  <c r="B36" i="36"/>
  <c r="Y39" i="36" l="1"/>
  <c r="Y37" i="36"/>
  <c r="Y38" i="36"/>
  <c r="Y40" i="36"/>
  <c r="L719" i="53"/>
  <c r="L720" i="53"/>
  <c r="L721" i="53"/>
  <c r="L722" i="53"/>
  <c r="L723" i="53"/>
  <c r="L724" i="53"/>
  <c r="L725" i="53"/>
  <c r="L726" i="53"/>
  <c r="L727" i="53"/>
  <c r="L728" i="53"/>
  <c r="L729" i="53"/>
  <c r="L730" i="53"/>
  <c r="L731" i="53"/>
  <c r="L732" i="53"/>
  <c r="L733" i="53"/>
  <c r="L734" i="53"/>
  <c r="L735" i="53"/>
  <c r="L736" i="53"/>
  <c r="L737" i="53"/>
  <c r="L738" i="53"/>
  <c r="L739" i="53"/>
  <c r="K719" i="53"/>
  <c r="K720" i="53"/>
  <c r="K721" i="53"/>
  <c r="K722" i="53"/>
  <c r="K723" i="53"/>
  <c r="K724" i="53"/>
  <c r="K725" i="53"/>
  <c r="K726" i="53"/>
  <c r="K727" i="53"/>
  <c r="K728" i="53"/>
  <c r="K729" i="53"/>
  <c r="K730" i="53"/>
  <c r="K731" i="53"/>
  <c r="K732" i="53"/>
  <c r="K733" i="53"/>
  <c r="K734" i="53"/>
  <c r="K735" i="53"/>
  <c r="K736" i="53"/>
  <c r="K737" i="53"/>
  <c r="K738" i="53"/>
  <c r="K739" i="53"/>
  <c r="J719" i="53"/>
  <c r="J720" i="53"/>
  <c r="J721" i="53"/>
  <c r="J722" i="53"/>
  <c r="J723" i="53"/>
  <c r="J724" i="53"/>
  <c r="J725" i="53"/>
  <c r="J726" i="53"/>
  <c r="J727" i="53"/>
  <c r="J728" i="53"/>
  <c r="J729" i="53"/>
  <c r="J730" i="53"/>
  <c r="J731" i="53"/>
  <c r="J732" i="53"/>
  <c r="J733" i="53"/>
  <c r="J734" i="53"/>
  <c r="J735" i="53"/>
  <c r="J736" i="53"/>
  <c r="J737" i="53"/>
  <c r="J738" i="53"/>
  <c r="J739" i="53"/>
  <c r="L718" i="53"/>
  <c r="L717" i="53"/>
  <c r="K718" i="53"/>
  <c r="K717" i="53"/>
  <c r="J718" i="53"/>
  <c r="J717" i="53"/>
  <c r="L685" i="53"/>
  <c r="L686" i="53"/>
  <c r="L687" i="53"/>
  <c r="L688" i="53"/>
  <c r="L689" i="53"/>
  <c r="L690" i="53"/>
  <c r="L691" i="53"/>
  <c r="L692" i="53"/>
  <c r="L693" i="53"/>
  <c r="L694" i="53"/>
  <c r="L695" i="53"/>
  <c r="L696" i="53"/>
  <c r="L697" i="53"/>
  <c r="L698" i="53"/>
  <c r="L699" i="53"/>
  <c r="L700" i="53"/>
  <c r="L701" i="53"/>
  <c r="L702" i="53"/>
  <c r="L703" i="53"/>
  <c r="L704" i="53"/>
  <c r="L705" i="53"/>
  <c r="K685" i="53"/>
  <c r="K686" i="53"/>
  <c r="K687" i="53"/>
  <c r="K688" i="53"/>
  <c r="K689" i="53"/>
  <c r="K690" i="53"/>
  <c r="K691" i="53"/>
  <c r="K692" i="53"/>
  <c r="K693" i="53"/>
  <c r="K694" i="53"/>
  <c r="K695" i="53"/>
  <c r="K696" i="53"/>
  <c r="K697" i="53"/>
  <c r="K698" i="53"/>
  <c r="K699" i="53"/>
  <c r="K700" i="53"/>
  <c r="K701" i="53"/>
  <c r="K702" i="53"/>
  <c r="K703" i="53"/>
  <c r="K704" i="53"/>
  <c r="K705" i="53"/>
  <c r="K684" i="53"/>
  <c r="J685" i="53"/>
  <c r="J686" i="53"/>
  <c r="J687" i="53"/>
  <c r="J688" i="53"/>
  <c r="J689" i="53"/>
  <c r="J690" i="53"/>
  <c r="J691" i="53"/>
  <c r="J692" i="53"/>
  <c r="J693" i="53"/>
  <c r="J694" i="53"/>
  <c r="J695" i="53"/>
  <c r="J696" i="53"/>
  <c r="J697" i="53"/>
  <c r="J698" i="53"/>
  <c r="J699" i="53"/>
  <c r="J700" i="53"/>
  <c r="J701" i="53"/>
  <c r="J702" i="53"/>
  <c r="J703" i="53"/>
  <c r="J704" i="53"/>
  <c r="J705" i="53"/>
  <c r="J683" i="53"/>
  <c r="L684" i="53"/>
  <c r="L683" i="53"/>
  <c r="K683" i="53"/>
  <c r="J684" i="53"/>
  <c r="L655" i="53"/>
  <c r="L656" i="53"/>
  <c r="L657" i="53"/>
  <c r="L658" i="53"/>
  <c r="L659" i="53"/>
  <c r="L660" i="53"/>
  <c r="L661" i="53"/>
  <c r="L662" i="53"/>
  <c r="L663" i="53"/>
  <c r="L664" i="53"/>
  <c r="L665" i="53"/>
  <c r="L666" i="53"/>
  <c r="L667" i="53"/>
  <c r="L668" i="53"/>
  <c r="L669" i="53"/>
  <c r="L670" i="53"/>
  <c r="L671" i="53"/>
  <c r="L672" i="53"/>
  <c r="L673" i="53"/>
  <c r="L674" i="53"/>
  <c r="L675" i="53"/>
  <c r="L654" i="53"/>
  <c r="L653" i="53"/>
  <c r="K655" i="53"/>
  <c r="K656" i="53"/>
  <c r="K657" i="53"/>
  <c r="K658" i="53"/>
  <c r="K659" i="53"/>
  <c r="K660" i="53"/>
  <c r="K661" i="53"/>
  <c r="K662" i="53"/>
  <c r="K663" i="53"/>
  <c r="K664" i="53"/>
  <c r="K665" i="53"/>
  <c r="K666" i="53"/>
  <c r="K667" i="53"/>
  <c r="K668" i="53"/>
  <c r="K669" i="53"/>
  <c r="K670" i="53"/>
  <c r="K671" i="53"/>
  <c r="K672" i="53"/>
  <c r="K673" i="53"/>
  <c r="K674" i="53"/>
  <c r="K675" i="53"/>
  <c r="K654" i="53"/>
  <c r="K653" i="53"/>
  <c r="J655" i="53"/>
  <c r="J656" i="53"/>
  <c r="J657" i="53"/>
  <c r="J658" i="53"/>
  <c r="J659" i="53"/>
  <c r="J660" i="53"/>
  <c r="J661" i="53"/>
  <c r="J662" i="53"/>
  <c r="J663" i="53"/>
  <c r="J664" i="53"/>
  <c r="J665" i="53"/>
  <c r="J666" i="53"/>
  <c r="J667" i="53"/>
  <c r="J668" i="53"/>
  <c r="J669" i="53"/>
  <c r="J670" i="53"/>
  <c r="J671" i="53"/>
  <c r="J672" i="53"/>
  <c r="J673" i="53"/>
  <c r="J674" i="53"/>
  <c r="J675" i="53"/>
  <c r="J654" i="53"/>
  <c r="J653" i="53"/>
  <c r="L625" i="53"/>
  <c r="L626" i="53"/>
  <c r="L627" i="53"/>
  <c r="L628" i="53"/>
  <c r="L629" i="53"/>
  <c r="L630" i="53"/>
  <c r="L631" i="53"/>
  <c r="L632" i="53"/>
  <c r="L633" i="53"/>
  <c r="L634" i="53"/>
  <c r="L635" i="53"/>
  <c r="L636" i="53"/>
  <c r="L637" i="53"/>
  <c r="L638" i="53"/>
  <c r="L639" i="53"/>
  <c r="L640" i="53"/>
  <c r="L641" i="53"/>
  <c r="L642" i="53"/>
  <c r="L643" i="53"/>
  <c r="L644" i="53"/>
  <c r="L645" i="53"/>
  <c r="L624" i="53"/>
  <c r="L623" i="53"/>
  <c r="K625" i="53"/>
  <c r="K626" i="53"/>
  <c r="K627" i="53"/>
  <c r="K628" i="53"/>
  <c r="K629" i="53"/>
  <c r="K630" i="53"/>
  <c r="K631" i="53"/>
  <c r="K632" i="53"/>
  <c r="K633" i="53"/>
  <c r="K634" i="53"/>
  <c r="K635" i="53"/>
  <c r="K636" i="53"/>
  <c r="K637" i="53"/>
  <c r="K638" i="53"/>
  <c r="K639" i="53"/>
  <c r="K640" i="53"/>
  <c r="K641" i="53"/>
  <c r="K642" i="53"/>
  <c r="K643" i="53"/>
  <c r="K644" i="53"/>
  <c r="K645" i="53"/>
  <c r="K624" i="53"/>
  <c r="K623" i="53"/>
  <c r="J625" i="53"/>
  <c r="J626" i="53"/>
  <c r="J627" i="53"/>
  <c r="J628" i="53"/>
  <c r="J629" i="53"/>
  <c r="J630" i="53"/>
  <c r="J631" i="53"/>
  <c r="J632" i="53"/>
  <c r="J633" i="53"/>
  <c r="J634" i="53"/>
  <c r="J635" i="53"/>
  <c r="J636" i="53"/>
  <c r="J637" i="53"/>
  <c r="J638" i="53"/>
  <c r="J639" i="53"/>
  <c r="J640" i="53"/>
  <c r="J641" i="53"/>
  <c r="J642" i="53"/>
  <c r="J643" i="53"/>
  <c r="J644" i="53"/>
  <c r="J645" i="53"/>
  <c r="J624" i="53"/>
  <c r="J623" i="53"/>
  <c r="D14" i="64"/>
  <c r="E14" i="64"/>
  <c r="F14" i="64"/>
  <c r="G14" i="64"/>
  <c r="H14" i="64"/>
  <c r="I14" i="64"/>
  <c r="J14" i="64"/>
  <c r="K14" i="64"/>
  <c r="L14" i="64"/>
  <c r="M14" i="64"/>
  <c r="N14" i="64"/>
  <c r="O14" i="64"/>
  <c r="P14" i="64"/>
  <c r="Q14" i="64"/>
  <c r="R14" i="64"/>
  <c r="S14" i="64"/>
  <c r="C14" i="64"/>
  <c r="B14" i="64"/>
  <c r="D13" i="64"/>
  <c r="E13" i="64"/>
  <c r="F13" i="64"/>
  <c r="G13" i="64"/>
  <c r="H13" i="64"/>
  <c r="I13" i="64"/>
  <c r="J13" i="64"/>
  <c r="K13" i="64"/>
  <c r="L13" i="64"/>
  <c r="M13" i="64"/>
  <c r="N13" i="64"/>
  <c r="O13" i="64"/>
  <c r="P13" i="64"/>
  <c r="Q13" i="64"/>
  <c r="R13" i="64"/>
  <c r="S13" i="64"/>
  <c r="C13" i="64"/>
  <c r="B13" i="64"/>
  <c r="B145" i="61"/>
  <c r="B146" i="61"/>
  <c r="B147" i="61"/>
  <c r="B148" i="61"/>
  <c r="B149" i="61"/>
  <c r="B150" i="61"/>
  <c r="B151" i="61"/>
  <c r="B152" i="61"/>
  <c r="B153" i="61"/>
  <c r="B154" i="61"/>
  <c r="B155" i="61"/>
  <c r="B156" i="61"/>
  <c r="B157" i="61"/>
  <c r="B158" i="61"/>
  <c r="B159" i="61"/>
  <c r="B160" i="61"/>
  <c r="B161" i="61"/>
  <c r="B162" i="61"/>
  <c r="B163" i="61"/>
  <c r="B164" i="61"/>
  <c r="B165" i="61"/>
  <c r="B166" i="61"/>
  <c r="B167" i="61"/>
  <c r="B168" i="61"/>
  <c r="B169" i="61"/>
  <c r="B170" i="61"/>
  <c r="B171" i="61"/>
  <c r="B172" i="61"/>
  <c r="B173" i="61"/>
  <c r="B174" i="61"/>
  <c r="B175" i="61"/>
  <c r="B176" i="61"/>
  <c r="B177" i="61"/>
  <c r="B178" i="61"/>
  <c r="B179" i="61"/>
  <c r="B180" i="61"/>
  <c r="B181" i="61"/>
  <c r="B182" i="61"/>
  <c r="B183" i="61"/>
  <c r="B184" i="61"/>
  <c r="B185" i="61"/>
  <c r="B186" i="61"/>
  <c r="B187" i="61"/>
  <c r="B188" i="61"/>
  <c r="B189" i="61"/>
  <c r="B190" i="61"/>
  <c r="B191" i="61"/>
  <c r="B192" i="61"/>
  <c r="B193" i="61"/>
  <c r="B194" i="61"/>
  <c r="B195" i="61"/>
  <c r="B196" i="61"/>
  <c r="B197" i="61"/>
  <c r="B198" i="61"/>
  <c r="B199" i="61"/>
  <c r="B200" i="61"/>
  <c r="B201" i="61"/>
  <c r="B202" i="61"/>
  <c r="B203" i="61"/>
  <c r="B204" i="61"/>
  <c r="B205" i="61"/>
  <c r="B206" i="61"/>
  <c r="B207" i="61"/>
  <c r="B208" i="61"/>
  <c r="B209" i="61"/>
  <c r="B210" i="61"/>
  <c r="B211" i="61"/>
  <c r="B212" i="61"/>
  <c r="B213" i="61"/>
  <c r="B214" i="61"/>
  <c r="B215" i="61"/>
  <c r="B216" i="61"/>
  <c r="B217" i="61"/>
  <c r="B218" i="61"/>
  <c r="B219" i="61"/>
  <c r="B220" i="61"/>
  <c r="B221" i="61"/>
  <c r="B222" i="61"/>
  <c r="B223" i="61"/>
  <c r="B224" i="61"/>
  <c r="B225" i="61"/>
  <c r="B226" i="61"/>
  <c r="B227" i="61"/>
  <c r="B228" i="61"/>
  <c r="B229" i="61"/>
  <c r="B230" i="61"/>
  <c r="B231" i="61"/>
  <c r="B232" i="61"/>
  <c r="B233" i="61"/>
  <c r="B234" i="61"/>
  <c r="B235" i="61"/>
  <c r="B236" i="61"/>
  <c r="B237" i="61"/>
  <c r="B238" i="61"/>
  <c r="B239" i="61"/>
  <c r="B240" i="61"/>
  <c r="B241" i="61"/>
  <c r="B242" i="61"/>
  <c r="B243" i="61"/>
  <c r="B244" i="61"/>
  <c r="B245" i="61"/>
  <c r="B246" i="61"/>
  <c r="B247" i="61"/>
  <c r="B248" i="61"/>
  <c r="B249" i="61"/>
  <c r="B250" i="61"/>
  <c r="B251" i="61"/>
  <c r="B252" i="61"/>
  <c r="B253" i="61"/>
  <c r="B254" i="61"/>
  <c r="B255" i="61"/>
  <c r="B256" i="61"/>
  <c r="B257" i="61"/>
  <c r="B258" i="61"/>
  <c r="B259" i="61"/>
  <c r="B260" i="61"/>
  <c r="B261" i="61"/>
  <c r="B262" i="61"/>
  <c r="B263" i="61"/>
  <c r="B264" i="61"/>
  <c r="B265" i="61"/>
  <c r="B266" i="61"/>
  <c r="B267" i="61"/>
  <c r="B268" i="61"/>
  <c r="B269" i="61"/>
  <c r="B270" i="61"/>
  <c r="B271" i="61"/>
  <c r="B272" i="61"/>
  <c r="B144" i="61"/>
  <c r="B143" i="61"/>
  <c r="D69" i="30"/>
  <c r="E69" i="30"/>
  <c r="F69" i="30"/>
  <c r="G69" i="30"/>
  <c r="H69" i="30"/>
  <c r="I69" i="30"/>
  <c r="J69" i="30"/>
  <c r="K69" i="30"/>
  <c r="L69" i="30"/>
  <c r="M69" i="30"/>
  <c r="N69" i="30"/>
  <c r="O69" i="30"/>
  <c r="P69" i="30"/>
  <c r="Q69" i="30"/>
  <c r="R69" i="30"/>
  <c r="S69" i="30"/>
  <c r="T69" i="30"/>
  <c r="U69" i="30"/>
  <c r="V69" i="30"/>
  <c r="W69" i="30"/>
  <c r="X69" i="30"/>
  <c r="C69" i="30"/>
  <c r="B69" i="30"/>
  <c r="D68" i="30"/>
  <c r="E68" i="30"/>
  <c r="F68" i="30"/>
  <c r="G68" i="30"/>
  <c r="H68" i="30"/>
  <c r="I68" i="30"/>
  <c r="J68" i="30"/>
  <c r="K68" i="30"/>
  <c r="L68" i="30"/>
  <c r="M68" i="30"/>
  <c r="N68" i="30"/>
  <c r="O68" i="30"/>
  <c r="P68" i="30"/>
  <c r="Q68" i="30"/>
  <c r="R68" i="30"/>
  <c r="S68" i="30"/>
  <c r="T68" i="30"/>
  <c r="U68" i="30"/>
  <c r="V68" i="30"/>
  <c r="W68" i="30"/>
  <c r="X68" i="30"/>
  <c r="C68" i="30"/>
  <c r="B68" i="30"/>
  <c r="D67" i="30"/>
  <c r="E67" i="30"/>
  <c r="F67" i="30"/>
  <c r="G67" i="30"/>
  <c r="H67" i="30"/>
  <c r="I67" i="30"/>
  <c r="J67" i="30"/>
  <c r="K67" i="30"/>
  <c r="L67" i="30"/>
  <c r="M67" i="30"/>
  <c r="N67" i="30"/>
  <c r="O67" i="30"/>
  <c r="P67" i="30"/>
  <c r="Q67" i="30"/>
  <c r="R67" i="30"/>
  <c r="S67" i="30"/>
  <c r="T67" i="30"/>
  <c r="U67" i="30"/>
  <c r="V67" i="30"/>
  <c r="W67" i="30"/>
  <c r="X67" i="30"/>
  <c r="C67" i="30"/>
  <c r="B67" i="30"/>
  <c r="C53" i="41"/>
  <c r="C54" i="41"/>
  <c r="C55" i="41"/>
  <c r="C52" i="41"/>
  <c r="C51" i="41"/>
  <c r="B53" i="41"/>
  <c r="B54" i="41"/>
  <c r="B55" i="41"/>
  <c r="B52" i="41"/>
  <c r="B51" i="41"/>
  <c r="B17" i="41" a="1"/>
  <c r="B17" i="41" s="1"/>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45" i="13"/>
  <c r="B60" i="5"/>
  <c r="C67" i="6" l="1"/>
  <c r="B67" i="6"/>
  <c r="D64" i="5"/>
  <c r="C64" i="5"/>
  <c r="B64" i="5"/>
  <c r="B32" i="56"/>
  <c r="B33" i="56"/>
  <c r="B34" i="56"/>
  <c r="B35" i="56"/>
  <c r="B31" i="56"/>
  <c r="B30" i="56"/>
  <c r="A68" i="49" a="1"/>
  <c r="A68" i="49" s="1"/>
  <c r="A51" i="49" a="1"/>
  <c r="A51" i="49" s="1"/>
  <c r="A29" i="49" a="1"/>
  <c r="A29" i="49" s="1"/>
  <c r="A49" i="48" a="1"/>
  <c r="A49" i="48" s="1"/>
  <c r="A27" i="48" a="1"/>
  <c r="A27" i="48" s="1"/>
  <c r="D11" i="46"/>
  <c r="D12" i="46"/>
  <c r="D13" i="46"/>
  <c r="D14" i="46"/>
  <c r="D15" i="46"/>
  <c r="D16" i="46"/>
  <c r="D17" i="46"/>
  <c r="D18" i="46"/>
  <c r="D19" i="46"/>
  <c r="D20" i="46"/>
  <c r="D21" i="46"/>
  <c r="D22" i="46"/>
  <c r="D23" i="46"/>
  <c r="D24" i="46"/>
  <c r="D25" i="46"/>
  <c r="D26" i="46"/>
  <c r="D27" i="46"/>
  <c r="D28" i="46"/>
  <c r="D29" i="46"/>
  <c r="D30" i="46"/>
  <c r="D31" i="46"/>
  <c r="D32" i="46"/>
  <c r="D33" i="46"/>
  <c r="D34" i="46"/>
  <c r="D35" i="46"/>
  <c r="D36" i="46"/>
  <c r="D37" i="46"/>
  <c r="D38" i="46"/>
  <c r="D39" i="46"/>
  <c r="D40" i="46"/>
  <c r="D41" i="46"/>
  <c r="D42" i="46"/>
  <c r="D43" i="46"/>
  <c r="D44" i="46"/>
  <c r="D45" i="46"/>
  <c r="D46" i="46"/>
  <c r="D47" i="46"/>
  <c r="D48" i="46"/>
  <c r="D49" i="46"/>
  <c r="D50" i="46"/>
  <c r="D51" i="46"/>
  <c r="D52" i="46"/>
  <c r="D53" i="46"/>
  <c r="D54" i="46"/>
  <c r="D55" i="46"/>
  <c r="D56" i="46"/>
  <c r="D57" i="46"/>
  <c r="D58" i="46"/>
  <c r="D59" i="46"/>
  <c r="D60" i="46"/>
  <c r="D61" i="46"/>
  <c r="D62" i="46"/>
  <c r="D63" i="46"/>
  <c r="D64" i="46"/>
  <c r="D65" i="46"/>
  <c r="D66" i="46"/>
  <c r="D67" i="46"/>
  <c r="D68" i="46"/>
  <c r="D69" i="46"/>
  <c r="D70" i="46"/>
  <c r="D71" i="46"/>
  <c r="D72" i="46"/>
  <c r="D73" i="46"/>
  <c r="D74" i="46"/>
  <c r="D75" i="46"/>
  <c r="D76" i="46"/>
  <c r="D77" i="46"/>
  <c r="D78" i="46"/>
  <c r="D79" i="46"/>
  <c r="D80" i="46"/>
  <c r="D81" i="46"/>
  <c r="D82" i="46"/>
  <c r="D83" i="46"/>
  <c r="D84" i="46"/>
  <c r="D85" i="46"/>
  <c r="D86" i="46"/>
  <c r="D87" i="46"/>
  <c r="D88" i="46"/>
  <c r="D89" i="46"/>
  <c r="D90" i="46"/>
  <c r="D91" i="46"/>
  <c r="D92" i="46"/>
  <c r="D93" i="46"/>
  <c r="D94" i="46"/>
  <c r="D95" i="46"/>
  <c r="D96" i="46"/>
  <c r="D97" i="46"/>
  <c r="D98" i="46"/>
  <c r="D99" i="46"/>
  <c r="D100" i="46"/>
  <c r="D101" i="46"/>
  <c r="D102" i="46"/>
  <c r="D103" i="46"/>
  <c r="D104" i="46"/>
  <c r="D105" i="46"/>
  <c r="D106" i="46"/>
  <c r="D107" i="46"/>
  <c r="D108" i="46"/>
  <c r="D109" i="46"/>
  <c r="D110" i="46"/>
  <c r="D111" i="46"/>
  <c r="D112" i="46"/>
  <c r="D113" i="46"/>
  <c r="D114" i="46"/>
  <c r="D115" i="46"/>
  <c r="D116" i="46"/>
  <c r="D117" i="46"/>
  <c r="D118" i="46"/>
  <c r="D119" i="46"/>
  <c r="D120" i="46"/>
  <c r="D121" i="46"/>
  <c r="D122" i="46"/>
  <c r="D123" i="46"/>
  <c r="D124" i="46"/>
  <c r="D125" i="46"/>
  <c r="D126" i="46"/>
  <c r="D127" i="46"/>
  <c r="D128" i="46"/>
  <c r="D129" i="46"/>
  <c r="D130" i="46"/>
  <c r="D131" i="46"/>
  <c r="D132" i="46"/>
  <c r="D133" i="46"/>
  <c r="D134" i="46"/>
  <c r="D135" i="46"/>
  <c r="D136" i="46"/>
  <c r="D137" i="46"/>
  <c r="D138" i="46"/>
  <c r="D139" i="46"/>
  <c r="D140" i="46"/>
  <c r="D141" i="46"/>
  <c r="D142" i="46"/>
  <c r="D143" i="46"/>
  <c r="D144" i="46"/>
  <c r="D145" i="46"/>
  <c r="D146" i="46"/>
  <c r="D147" i="46"/>
  <c r="D148" i="46"/>
  <c r="D149" i="46"/>
  <c r="D150" i="46"/>
  <c r="D151" i="46"/>
  <c r="D152" i="46"/>
  <c r="D153" i="46"/>
  <c r="D154" i="46"/>
  <c r="D155" i="46"/>
  <c r="D156" i="46"/>
  <c r="D157" i="46"/>
  <c r="D158" i="46"/>
  <c r="D159" i="46"/>
  <c r="D160" i="46"/>
  <c r="D161" i="46"/>
  <c r="D162" i="46"/>
  <c r="D163" i="46"/>
  <c r="D164" i="46"/>
  <c r="D165" i="46"/>
  <c r="D166" i="46"/>
  <c r="D167" i="46"/>
  <c r="D168" i="46"/>
  <c r="D10" i="46"/>
  <c r="D184" i="45"/>
  <c r="D185" i="45"/>
  <c r="D186" i="45"/>
  <c r="D187" i="45"/>
  <c r="D188" i="45"/>
  <c r="D189" i="45"/>
  <c r="D190" i="45"/>
  <c r="D191" i="45"/>
  <c r="D192" i="45"/>
  <c r="D193" i="45"/>
  <c r="D194" i="45"/>
  <c r="D195" i="45"/>
  <c r="D196" i="45"/>
  <c r="D197" i="45"/>
  <c r="D198" i="45"/>
  <c r="D199" i="45"/>
  <c r="D200" i="45"/>
  <c r="D201" i="45"/>
  <c r="D202" i="45"/>
  <c r="D203" i="45"/>
  <c r="D204" i="45"/>
  <c r="D205" i="45"/>
  <c r="D206" i="45"/>
  <c r="D207" i="45"/>
  <c r="D208" i="45"/>
  <c r="D209" i="45"/>
  <c r="D210" i="45"/>
  <c r="D211" i="45"/>
  <c r="D212" i="45"/>
  <c r="D213" i="45"/>
  <c r="D214" i="45"/>
  <c r="D215" i="45"/>
  <c r="D216" i="45"/>
  <c r="D217" i="45"/>
  <c r="D218" i="45"/>
  <c r="D219" i="45"/>
  <c r="D220" i="45"/>
  <c r="D221" i="45"/>
  <c r="D222" i="45"/>
  <c r="D223" i="45"/>
  <c r="D224" i="45"/>
  <c r="D225" i="45"/>
  <c r="D226" i="45"/>
  <c r="D227" i="45"/>
  <c r="D228" i="45"/>
  <c r="D229" i="45"/>
  <c r="D230" i="45"/>
  <c r="D231" i="45"/>
  <c r="D232" i="45"/>
  <c r="D233" i="45"/>
  <c r="D234" i="45"/>
  <c r="D235" i="45"/>
  <c r="D236" i="45"/>
  <c r="D237" i="45"/>
  <c r="D238" i="45"/>
  <c r="D239" i="45"/>
  <c r="D240" i="45"/>
  <c r="D241" i="45"/>
  <c r="D242" i="45"/>
  <c r="D243" i="45"/>
  <c r="D244" i="45"/>
  <c r="D245" i="45"/>
  <c r="D246" i="45"/>
  <c r="D247" i="45"/>
  <c r="D248" i="45"/>
  <c r="D249" i="45"/>
  <c r="D250" i="45"/>
  <c r="D251" i="45"/>
  <c r="D252" i="45"/>
  <c r="D253" i="45"/>
  <c r="D254" i="45"/>
  <c r="D255" i="45"/>
  <c r="D256" i="45"/>
  <c r="D257" i="45"/>
  <c r="D258" i="45"/>
  <c r="D259" i="45"/>
  <c r="D260" i="45"/>
  <c r="D261" i="45"/>
  <c r="D262" i="45"/>
  <c r="D263" i="45"/>
  <c r="D264" i="45"/>
  <c r="D265" i="45"/>
  <c r="D266" i="45"/>
  <c r="D267" i="45"/>
  <c r="D268" i="45"/>
  <c r="D269" i="45"/>
  <c r="D270" i="45"/>
  <c r="D271" i="45"/>
  <c r="D272" i="45"/>
  <c r="D273" i="45"/>
  <c r="D274" i="45"/>
  <c r="D275" i="45"/>
  <c r="D276" i="45"/>
  <c r="D277" i="45"/>
  <c r="D278" i="45"/>
  <c r="D279" i="45"/>
  <c r="D280" i="45"/>
  <c r="D281" i="45"/>
  <c r="D282" i="45"/>
  <c r="D283" i="45"/>
  <c r="D284" i="45"/>
  <c r="D285" i="45"/>
  <c r="D286" i="45"/>
  <c r="D287" i="45"/>
  <c r="D288" i="45"/>
  <c r="D289" i="45"/>
  <c r="D290" i="45"/>
  <c r="D291" i="45"/>
  <c r="D292" i="45"/>
  <c r="D293" i="45"/>
  <c r="D294" i="45"/>
  <c r="D295" i="45"/>
  <c r="D296" i="45"/>
  <c r="D297" i="45"/>
  <c r="D298" i="45"/>
  <c r="D299" i="45"/>
  <c r="D300" i="45"/>
  <c r="D301" i="45"/>
  <c r="D302" i="45"/>
  <c r="D303" i="45"/>
  <c r="D304" i="45"/>
  <c r="D305" i="45"/>
  <c r="D306" i="45"/>
  <c r="D307" i="45"/>
  <c r="D308" i="45"/>
  <c r="D309" i="45"/>
  <c r="D310" i="45"/>
  <c r="D311" i="45"/>
  <c r="D312" i="45"/>
  <c r="D313" i="45"/>
  <c r="D314" i="45"/>
  <c r="D315" i="45"/>
  <c r="D316" i="45"/>
  <c r="D317" i="45"/>
  <c r="D318" i="45"/>
  <c r="D319" i="45"/>
  <c r="D320" i="45"/>
  <c r="D321" i="45"/>
  <c r="D322" i="45"/>
  <c r="D323" i="45"/>
  <c r="D324" i="45"/>
  <c r="D325" i="45"/>
  <c r="D326" i="45"/>
  <c r="D327" i="45"/>
  <c r="D328" i="45"/>
  <c r="D329" i="45"/>
  <c r="D330" i="45"/>
  <c r="D331" i="45"/>
  <c r="D332" i="45"/>
  <c r="D333" i="45"/>
  <c r="D334" i="45"/>
  <c r="D335" i="45"/>
  <c r="D336" i="45"/>
  <c r="D337" i="45"/>
  <c r="D338" i="45"/>
  <c r="D339" i="45"/>
  <c r="D340" i="45"/>
  <c r="D183" i="45"/>
  <c r="A9" i="8" a="1"/>
  <c r="A9" i="8" s="1"/>
  <c r="A40" i="44" a="1"/>
  <c r="A40" i="44" s="1"/>
  <c r="D66" i="5"/>
  <c r="D65" i="5"/>
  <c r="D63" i="5"/>
  <c r="D62" i="5"/>
  <c r="C60" i="5"/>
  <c r="C66" i="5"/>
  <c r="C65" i="5"/>
  <c r="C63" i="5"/>
  <c r="C62" i="5"/>
  <c r="C61" i="5"/>
  <c r="B66" i="5"/>
  <c r="B65" i="5"/>
  <c r="B63" i="5"/>
  <c r="B62" i="5"/>
  <c r="B61" i="5"/>
  <c r="C63" i="6"/>
  <c r="C68" i="6"/>
  <c r="B68" i="6"/>
  <c r="C66" i="6"/>
  <c r="B66" i="6"/>
  <c r="C65" i="6"/>
  <c r="B65" i="6"/>
  <c r="C64" i="6"/>
  <c r="B64" i="6"/>
  <c r="C38" i="6"/>
  <c r="B38" i="6"/>
  <c r="C37" i="6"/>
  <c r="B37" i="6"/>
  <c r="C36" i="6"/>
  <c r="B36" i="6"/>
  <c r="C35" i="6"/>
  <c r="B35" i="6"/>
  <c r="C34" i="6"/>
  <c r="B34" i="6"/>
  <c r="C33" i="6"/>
  <c r="B33" i="6"/>
  <c r="C164" i="56"/>
  <c r="C163" i="56"/>
  <c r="C162" i="56"/>
  <c r="C161" i="56"/>
  <c r="C160" i="56"/>
  <c r="C159" i="56"/>
  <c r="C158" i="56"/>
  <c r="C157" i="56"/>
  <c r="C156" i="56"/>
  <c r="C155" i="56"/>
  <c r="C154" i="56"/>
  <c r="C153" i="56"/>
  <c r="C152" i="56"/>
  <c r="C151" i="56"/>
  <c r="C150" i="56"/>
  <c r="C149" i="56"/>
  <c r="C148" i="56"/>
  <c r="C147" i="56"/>
  <c r="C146" i="56"/>
  <c r="C145" i="56"/>
  <c r="C144" i="56"/>
  <c r="B29" i="56"/>
  <c r="B28" i="56"/>
  <c r="B27" i="56"/>
  <c r="B26" i="56"/>
  <c r="B25" i="56"/>
  <c r="B24" i="56"/>
  <c r="B23" i="56"/>
  <c r="B22" i="56"/>
  <c r="B21" i="56"/>
  <c r="B20" i="56"/>
  <c r="B19" i="56"/>
  <c r="B18" i="56"/>
  <c r="B17" i="56"/>
  <c r="B16" i="56"/>
  <c r="B15" i="56"/>
  <c r="B14" i="56"/>
  <c r="B13" i="56"/>
  <c r="G168" i="46"/>
  <c r="F168" i="46"/>
  <c r="G555" i="45"/>
  <c r="F555" i="45"/>
  <c r="G554" i="45"/>
  <c r="F554" i="45"/>
  <c r="G553" i="45"/>
  <c r="F553" i="45"/>
  <c r="G552" i="45"/>
  <c r="F552" i="45"/>
  <c r="G551" i="45"/>
  <c r="F551" i="45"/>
  <c r="G550" i="45"/>
  <c r="F550" i="45"/>
  <c r="G549" i="45"/>
  <c r="F549" i="45"/>
  <c r="G548" i="45"/>
  <c r="F548" i="45"/>
  <c r="G547" i="45"/>
  <c r="F547" i="45"/>
  <c r="G546" i="45"/>
  <c r="F546" i="45"/>
  <c r="G545" i="45"/>
  <c r="F545" i="45"/>
  <c r="G544" i="45"/>
  <c r="F544" i="45"/>
  <c r="G543" i="45"/>
  <c r="F543" i="45"/>
  <c r="G542" i="45"/>
  <c r="F542" i="45"/>
  <c r="G541" i="45"/>
  <c r="F541" i="45"/>
  <c r="G540" i="45"/>
  <c r="F540" i="45"/>
  <c r="G539" i="45"/>
  <c r="F539" i="45"/>
  <c r="G538" i="45"/>
  <c r="F538" i="45"/>
  <c r="G537" i="45"/>
  <c r="F537" i="45"/>
  <c r="G536" i="45"/>
  <c r="F536" i="45"/>
  <c r="G535" i="45"/>
  <c r="F535" i="45"/>
  <c r="G534" i="45"/>
  <c r="F534" i="45"/>
  <c r="G533" i="45"/>
  <c r="F533" i="45"/>
  <c r="G532" i="45"/>
  <c r="F532" i="45"/>
  <c r="G531" i="45"/>
  <c r="F531" i="45"/>
  <c r="G530" i="45"/>
  <c r="F530" i="45"/>
  <c r="G529" i="45"/>
  <c r="F529" i="45"/>
  <c r="G528" i="45"/>
  <c r="F528" i="45"/>
  <c r="G527" i="45"/>
  <c r="F527" i="45"/>
  <c r="G526" i="45"/>
  <c r="F526" i="45"/>
  <c r="G525" i="45"/>
  <c r="F525" i="45"/>
  <c r="G524" i="45"/>
  <c r="F524" i="45"/>
  <c r="G523" i="45"/>
  <c r="F523" i="45"/>
  <c r="G522" i="45"/>
  <c r="F522" i="45"/>
  <c r="G521" i="45"/>
  <c r="F521" i="45"/>
  <c r="G520" i="45"/>
  <c r="F520" i="45"/>
  <c r="G519" i="45"/>
  <c r="F519" i="45"/>
  <c r="G518" i="45"/>
  <c r="F518" i="45"/>
  <c r="G517" i="45"/>
  <c r="F517" i="45"/>
  <c r="G516" i="45"/>
  <c r="F516" i="45"/>
  <c r="G515" i="45"/>
  <c r="F515" i="45"/>
  <c r="G514" i="45"/>
  <c r="F514" i="45"/>
  <c r="G513" i="45"/>
  <c r="F513" i="45"/>
  <c r="G512" i="45"/>
  <c r="F512" i="45"/>
  <c r="G511" i="45"/>
  <c r="F511" i="45"/>
  <c r="G510" i="45"/>
  <c r="F510" i="45"/>
  <c r="G509" i="45"/>
  <c r="F509" i="45"/>
  <c r="G508" i="45"/>
  <c r="F508" i="45"/>
  <c r="G507" i="45"/>
  <c r="F507" i="45"/>
  <c r="G506" i="45"/>
  <c r="F506" i="45"/>
  <c r="G505" i="45"/>
  <c r="F505" i="45"/>
  <c r="G504" i="45"/>
  <c r="F504" i="45"/>
  <c r="G503" i="45"/>
  <c r="F503" i="45"/>
  <c r="G502" i="45"/>
  <c r="F502" i="45"/>
  <c r="G501" i="45"/>
  <c r="F501" i="45"/>
  <c r="G500" i="45"/>
  <c r="F500" i="45"/>
  <c r="G499" i="45"/>
  <c r="F499" i="45"/>
  <c r="G498" i="45"/>
  <c r="F498" i="45"/>
  <c r="G497" i="45"/>
  <c r="F497" i="45"/>
  <c r="G496" i="45"/>
  <c r="F496" i="45"/>
  <c r="G495" i="45"/>
  <c r="F495" i="45"/>
  <c r="G494" i="45"/>
  <c r="F494" i="45"/>
  <c r="G493" i="45"/>
  <c r="F493" i="45"/>
  <c r="G492" i="45"/>
  <c r="F492" i="45"/>
  <c r="G491" i="45"/>
  <c r="F491" i="45"/>
  <c r="G490" i="45"/>
  <c r="F490" i="45"/>
  <c r="G489" i="45"/>
  <c r="F489" i="45"/>
  <c r="G488" i="45"/>
  <c r="F488" i="45"/>
  <c r="G487" i="45"/>
  <c r="F487" i="45"/>
  <c r="G486" i="45"/>
  <c r="F486" i="45"/>
  <c r="G485" i="45"/>
  <c r="F485" i="45"/>
  <c r="G484" i="45"/>
  <c r="F484" i="45"/>
  <c r="G483" i="45"/>
  <c r="F483" i="45"/>
  <c r="G482" i="45"/>
  <c r="F482" i="45"/>
  <c r="G481" i="45"/>
  <c r="F481" i="45"/>
  <c r="G480" i="45"/>
  <c r="F480" i="45"/>
  <c r="G479" i="45"/>
  <c r="F479" i="45"/>
  <c r="G478" i="45"/>
  <c r="F478" i="45"/>
  <c r="G477" i="45"/>
  <c r="F477" i="45"/>
  <c r="G476" i="45"/>
  <c r="F476" i="45"/>
  <c r="G475" i="45"/>
  <c r="F475" i="45"/>
  <c r="G474" i="45"/>
  <c r="F474" i="45"/>
  <c r="G473" i="45"/>
  <c r="F473" i="45"/>
  <c r="G472" i="45"/>
  <c r="F472" i="45"/>
  <c r="G471" i="45"/>
  <c r="F471" i="45"/>
  <c r="G470" i="45"/>
  <c r="F470" i="45"/>
  <c r="G469" i="45"/>
  <c r="F469" i="45"/>
  <c r="G468" i="45"/>
  <c r="F468" i="45"/>
  <c r="G467" i="45"/>
  <c r="F467" i="45"/>
  <c r="G466" i="45"/>
  <c r="F466" i="45"/>
  <c r="G465" i="45"/>
  <c r="F465" i="45"/>
  <c r="G464" i="45"/>
  <c r="F464" i="45"/>
  <c r="G463" i="45"/>
  <c r="F463" i="45"/>
  <c r="G462" i="45"/>
  <c r="F462" i="45"/>
  <c r="G461" i="45"/>
  <c r="F461" i="45"/>
  <c r="G460" i="45"/>
  <c r="F460" i="45"/>
  <c r="G459" i="45"/>
  <c r="F459" i="45"/>
  <c r="G458" i="45"/>
  <c r="F458" i="45"/>
  <c r="G457" i="45"/>
  <c r="F457" i="45"/>
  <c r="G456" i="45"/>
  <c r="F456" i="45"/>
  <c r="G455" i="45"/>
  <c r="F455" i="45"/>
  <c r="G454" i="45"/>
  <c r="F454" i="45"/>
  <c r="G453" i="45"/>
  <c r="F453" i="45"/>
  <c r="G452" i="45"/>
  <c r="F452" i="45"/>
  <c r="G451" i="45"/>
  <c r="F451" i="45"/>
  <c r="G450" i="45"/>
  <c r="F450" i="45"/>
  <c r="G449" i="45"/>
  <c r="F449" i="45"/>
  <c r="G448" i="45"/>
  <c r="F448" i="45"/>
  <c r="G447" i="45"/>
  <c r="F447" i="45"/>
  <c r="G446" i="45"/>
  <c r="F446" i="45"/>
  <c r="G445" i="45"/>
  <c r="F445" i="45"/>
  <c r="G444" i="45"/>
  <c r="F444" i="45"/>
  <c r="G443" i="45"/>
  <c r="F443" i="45"/>
  <c r="G442" i="45"/>
  <c r="F442" i="45"/>
  <c r="G441" i="45"/>
  <c r="F441" i="45"/>
  <c r="G440" i="45"/>
  <c r="F440" i="45"/>
  <c r="G439" i="45"/>
  <c r="F439" i="45"/>
  <c r="G438" i="45"/>
  <c r="F438" i="45"/>
  <c r="G437" i="45"/>
  <c r="F437" i="45"/>
  <c r="G436" i="45"/>
  <c r="F436" i="45"/>
  <c r="G435" i="45"/>
  <c r="F435" i="45"/>
  <c r="G434" i="45"/>
  <c r="F434" i="45"/>
  <c r="G433" i="45"/>
  <c r="F433" i="45"/>
  <c r="G432" i="45"/>
  <c r="F432" i="45"/>
  <c r="G431" i="45"/>
  <c r="F431" i="45"/>
  <c r="G430" i="45"/>
  <c r="F430" i="45"/>
  <c r="G429" i="45"/>
  <c r="F429" i="45"/>
  <c r="G428" i="45"/>
  <c r="F428" i="45"/>
  <c r="G427" i="45"/>
  <c r="F427" i="45"/>
  <c r="G426" i="45"/>
  <c r="F426" i="45"/>
  <c r="G425" i="45"/>
  <c r="F425" i="45"/>
  <c r="G424" i="45"/>
  <c r="F424" i="45"/>
  <c r="G423" i="45"/>
  <c r="F423" i="45"/>
  <c r="G422" i="45"/>
  <c r="F422" i="45"/>
  <c r="G421" i="45"/>
  <c r="F421" i="45"/>
  <c r="G420" i="45"/>
  <c r="F420" i="45"/>
  <c r="G419" i="45"/>
  <c r="F419" i="45"/>
  <c r="G418" i="45"/>
  <c r="F418" i="45"/>
  <c r="G417" i="45"/>
  <c r="F417" i="45"/>
  <c r="G416" i="45"/>
  <c r="F416" i="45"/>
  <c r="G415" i="45"/>
  <c r="F415" i="45"/>
  <c r="G414" i="45"/>
  <c r="F414" i="45"/>
  <c r="G413" i="45"/>
  <c r="F413" i="45"/>
  <c r="G412" i="45"/>
  <c r="F412" i="45"/>
  <c r="G411" i="45"/>
  <c r="F411" i="45"/>
  <c r="G410" i="45"/>
  <c r="F410" i="45"/>
  <c r="G409" i="45"/>
  <c r="F409" i="45"/>
  <c r="G408" i="45"/>
  <c r="F408" i="45"/>
  <c r="G407" i="45"/>
  <c r="F407" i="45"/>
  <c r="G406" i="45"/>
  <c r="F406" i="45"/>
  <c r="G405" i="45"/>
  <c r="F405" i="45"/>
  <c r="G404" i="45"/>
  <c r="F404" i="45"/>
  <c r="G403" i="45"/>
  <c r="F403" i="45"/>
  <c r="G402" i="45"/>
  <c r="F402" i="45"/>
  <c r="G401" i="45"/>
  <c r="F401" i="45"/>
  <c r="G400" i="45"/>
  <c r="F400" i="45"/>
  <c r="G399" i="45"/>
  <c r="F399" i="45"/>
  <c r="G398" i="45"/>
  <c r="F398" i="45"/>
  <c r="G397" i="45"/>
  <c r="F397" i="45"/>
  <c r="G396" i="45"/>
  <c r="F396" i="45"/>
  <c r="G395" i="45"/>
  <c r="F395" i="45"/>
  <c r="G394" i="45"/>
  <c r="F394" i="45"/>
  <c r="G393" i="45"/>
  <c r="F393" i="45"/>
  <c r="G392" i="45"/>
  <c r="F392" i="45"/>
  <c r="G391" i="45"/>
  <c r="F391" i="45"/>
  <c r="G390" i="45"/>
  <c r="F390" i="45"/>
  <c r="G151" i="45"/>
  <c r="F151" i="45"/>
  <c r="G150" i="45"/>
  <c r="F150" i="45"/>
  <c r="G149" i="45"/>
  <c r="F149" i="45"/>
  <c r="G148" i="45"/>
  <c r="F148" i="45"/>
  <c r="G147" i="45"/>
  <c r="F147" i="45"/>
  <c r="G146" i="45"/>
  <c r="F146" i="45"/>
  <c r="G145" i="45"/>
  <c r="F145" i="45"/>
  <c r="G144" i="45"/>
  <c r="F144" i="45"/>
  <c r="G143" i="45"/>
  <c r="F143" i="45"/>
  <c r="G142" i="45"/>
  <c r="F142" i="45"/>
  <c r="G141" i="45"/>
  <c r="F141" i="45"/>
  <c r="G140" i="45"/>
  <c r="F140" i="45"/>
  <c r="G139" i="45"/>
  <c r="F139" i="45"/>
  <c r="G138" i="45"/>
  <c r="F138" i="45"/>
  <c r="G137" i="45"/>
  <c r="F137" i="45"/>
  <c r="G136" i="45"/>
  <c r="F136" i="45"/>
  <c r="G135" i="45"/>
  <c r="F135" i="45"/>
  <c r="G134" i="45"/>
  <c r="F134" i="45"/>
  <c r="G133" i="45"/>
  <c r="F133" i="45"/>
  <c r="G132" i="45"/>
  <c r="F132" i="45"/>
  <c r="G131" i="45"/>
  <c r="F131" i="45"/>
  <c r="G130" i="45"/>
  <c r="F130" i="45"/>
  <c r="G129" i="45"/>
  <c r="F129" i="45"/>
  <c r="G128" i="45"/>
  <c r="F128" i="45"/>
  <c r="G127" i="45"/>
  <c r="F127" i="45"/>
  <c r="G126" i="45"/>
  <c r="F126" i="45"/>
  <c r="G125" i="45"/>
  <c r="F125" i="45"/>
  <c r="G124" i="45"/>
  <c r="F124" i="45"/>
  <c r="G123" i="45"/>
  <c r="F123" i="45"/>
  <c r="G122" i="45"/>
  <c r="F122" i="45"/>
  <c r="G121" i="45"/>
  <c r="F121" i="45"/>
  <c r="G120" i="45"/>
  <c r="F120" i="45"/>
  <c r="G119" i="45"/>
  <c r="F119" i="45"/>
  <c r="G118" i="45"/>
  <c r="F118" i="45"/>
  <c r="G117" i="45"/>
  <c r="F117" i="45"/>
  <c r="G116" i="45"/>
  <c r="F116" i="45"/>
  <c r="G115" i="45"/>
  <c r="F115" i="45"/>
  <c r="G114" i="45"/>
  <c r="F114" i="45"/>
  <c r="G113" i="45"/>
  <c r="F113" i="45"/>
  <c r="G112" i="45"/>
  <c r="F112" i="45"/>
  <c r="G111" i="45"/>
  <c r="F111" i="45"/>
  <c r="G110" i="45"/>
  <c r="F110" i="45"/>
  <c r="G109" i="45"/>
  <c r="F109" i="45"/>
  <c r="G108" i="45"/>
  <c r="F108" i="45"/>
  <c r="G107" i="45"/>
  <c r="F107" i="45"/>
  <c r="G106" i="45"/>
  <c r="F106" i="45"/>
  <c r="G105" i="45"/>
  <c r="F105" i="45"/>
  <c r="G104" i="45"/>
  <c r="F104" i="45"/>
  <c r="G103" i="45"/>
  <c r="F103" i="45"/>
  <c r="G102" i="45"/>
  <c r="F102" i="45"/>
  <c r="G101" i="45"/>
  <c r="F101" i="45"/>
  <c r="G100" i="45"/>
  <c r="F100" i="45"/>
  <c r="G99" i="45"/>
  <c r="F99" i="45"/>
  <c r="G98" i="45"/>
  <c r="F98" i="45"/>
  <c r="G97" i="45"/>
  <c r="F97" i="45"/>
  <c r="G96" i="45"/>
  <c r="F96" i="45"/>
  <c r="G95" i="45"/>
  <c r="F95" i="45"/>
  <c r="G62" i="45"/>
  <c r="G61" i="45"/>
  <c r="G60" i="45"/>
  <c r="G59"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15" i="13"/>
  <c r="A14" i="13"/>
  <c r="A13" i="13"/>
  <c r="A12" i="13"/>
  <c r="A11" i="13"/>
  <c r="A10" i="13"/>
  <c r="A9" i="13"/>
  <c r="A8" i="13"/>
  <c r="A7" i="13"/>
  <c r="A6" i="13"/>
  <c r="C9" i="6"/>
  <c r="B9" i="6"/>
  <c r="C8" i="6"/>
  <c r="B8" i="6"/>
  <c r="C7" i="6"/>
  <c r="B7" i="6"/>
  <c r="C6" i="6"/>
  <c r="B6" i="6"/>
  <c r="C5" i="6"/>
  <c r="B5" i="6"/>
  <c r="C4" i="6"/>
  <c r="B4" i="6"/>
  <c r="D37" i="5"/>
  <c r="C37" i="5"/>
  <c r="B37" i="5"/>
  <c r="D36" i="5"/>
  <c r="C36" i="5"/>
  <c r="B36" i="5"/>
  <c r="D35" i="5"/>
  <c r="C35" i="5"/>
  <c r="B35" i="5"/>
  <c r="D34" i="5"/>
  <c r="C34" i="5"/>
  <c r="B34" i="5"/>
  <c r="D33" i="5"/>
  <c r="C33" i="5"/>
  <c r="B33" i="5"/>
  <c r="D32" i="5"/>
  <c r="C32" i="5"/>
  <c r="B32" i="5"/>
  <c r="D9" i="5"/>
  <c r="C9" i="5"/>
  <c r="B9" i="5"/>
  <c r="D8" i="5"/>
  <c r="C8" i="5"/>
  <c r="B8" i="5"/>
  <c r="D7" i="5"/>
  <c r="C7" i="5"/>
  <c r="B7" i="5"/>
  <c r="D6" i="5"/>
  <c r="C6" i="5"/>
  <c r="B6" i="5"/>
  <c r="D5" i="5"/>
  <c r="C5" i="5"/>
  <c r="B5" i="5"/>
  <c r="D4" i="5"/>
  <c r="C4" i="5"/>
  <c r="B4" i="5"/>
  <c r="AK425" i="3"/>
  <c r="AK417" i="3"/>
  <c r="AK411" i="3"/>
  <c r="AK406" i="3"/>
  <c r="AK397" i="3"/>
  <c r="AK376" i="3"/>
  <c r="AK373" i="3"/>
  <c r="AK367" i="3"/>
  <c r="AK364" i="3"/>
  <c r="AK347" i="3"/>
  <c r="AK336" i="3"/>
  <c r="AK317" i="3"/>
  <c r="AK302" i="3"/>
  <c r="AK293" i="3"/>
  <c r="AK287" i="3"/>
  <c r="AK284" i="3"/>
  <c r="AK277" i="3"/>
  <c r="AK271" i="3"/>
  <c r="AK262" i="3"/>
  <c r="AK259" i="3"/>
  <c r="AK251" i="3"/>
  <c r="AK246" i="3"/>
  <c r="AK233" i="3"/>
  <c r="AK206" i="3"/>
  <c r="AK200" i="3"/>
  <c r="AK197" i="3"/>
  <c r="AK191" i="3"/>
  <c r="AK184" i="3"/>
  <c r="AK181" i="3"/>
  <c r="AK172" i="3"/>
  <c r="AK169" i="3"/>
  <c r="AK155" i="3"/>
  <c r="AK152" i="3"/>
  <c r="AK143" i="3"/>
  <c r="AK126" i="3"/>
  <c r="AK123" i="3"/>
  <c r="AK118" i="3"/>
  <c r="AK109" i="3"/>
  <c r="AK103" i="3"/>
  <c r="AK95" i="3"/>
  <c r="AK85" i="3"/>
  <c r="AK70" i="3"/>
  <c r="AK62" i="3"/>
  <c r="AK59" i="3"/>
  <c r="AK51" i="3"/>
  <c r="AK42" i="3"/>
  <c r="AK37" i="3"/>
  <c r="AK29" i="3"/>
  <c r="AK26" i="3"/>
  <c r="AK23" i="3"/>
  <c r="AK20" i="3"/>
  <c r="AK15" i="3"/>
  <c r="AK12" i="3"/>
  <c r="AK7" i="3"/>
  <c r="B12" i="13"/>
  <c r="B8" i="13"/>
  <c r="B15" i="13"/>
  <c r="B11" i="13"/>
  <c r="B7" i="13"/>
  <c r="B14" i="13"/>
  <c r="B10" i="13"/>
  <c r="B6" i="13"/>
  <c r="B13" i="13"/>
  <c r="B9" i="13"/>
  <c r="G173" i="46" l="1" a="1"/>
  <c r="G173" i="46" s="1"/>
  <c r="F173" i="46" a="1"/>
  <c r="F173" i="46" s="1"/>
  <c r="G344" i="45" a="1"/>
  <c r="G344" i="45" s="1"/>
  <c r="F344" i="45" a="1"/>
  <c r="F344" i="45" s="1"/>
  <c r="F183" i="45" a="1"/>
  <c r="F183" i="45" s="1"/>
  <c r="G10" i="46" a="1"/>
  <c r="G10" i="46" s="1"/>
  <c r="F10" i="46" a="1"/>
  <c r="F10" i="46" s="1"/>
  <c r="G183" i="45" a="1"/>
  <c r="G183" i="45" s="1"/>
  <c r="D64" i="6"/>
  <c r="D65" i="6"/>
  <c r="D68" i="6"/>
  <c r="D66" i="6"/>
  <c r="D67" i="6"/>
  <c r="D63" i="6"/>
  <c r="B40" i="7"/>
  <c r="C69" i="6"/>
  <c r="B69" i="6"/>
  <c r="C40" i="7"/>
  <c r="D36" i="7"/>
  <c r="D37" i="7"/>
  <c r="D38" i="7"/>
  <c r="D35" i="7"/>
  <c r="D39" i="7"/>
  <c r="E64" i="5"/>
  <c r="D67" i="5"/>
  <c r="E66" i="5"/>
  <c r="E60" i="5"/>
  <c r="E63" i="5"/>
  <c r="E61" i="5"/>
  <c r="D34" i="7"/>
  <c r="B67" i="5"/>
  <c r="E62" i="5"/>
  <c r="E65" i="5"/>
  <c r="C67" i="5"/>
  <c r="E60" i="56"/>
  <c r="I32" i="67"/>
  <c r="I60" i="56"/>
  <c r="E66" i="56"/>
  <c r="R63" i="56"/>
  <c r="B64" i="56"/>
  <c r="M68" i="9"/>
  <c r="C31" i="67"/>
  <c r="T64" i="56"/>
  <c r="R60" i="56"/>
  <c r="X61" i="56"/>
  <c r="R67" i="9"/>
  <c r="P61" i="56"/>
  <c r="S62" i="56"/>
  <c r="C59" i="56"/>
  <c r="Q62" i="56"/>
  <c r="J33" i="67"/>
  <c r="B110" i="43"/>
  <c r="F67" i="9"/>
  <c r="X64" i="56"/>
  <c r="W62" i="56"/>
  <c r="L68" i="9"/>
  <c r="F65" i="56"/>
  <c r="K65" i="56"/>
  <c r="M64" i="56"/>
  <c r="S63" i="56"/>
  <c r="Q60" i="56"/>
  <c r="B63" i="56"/>
  <c r="I63" i="56"/>
  <c r="E66" i="9"/>
  <c r="C65" i="56"/>
  <c r="V67" i="9"/>
  <c r="L65" i="56"/>
  <c r="K26" i="67"/>
  <c r="D66" i="9"/>
  <c r="K33" i="67"/>
  <c r="J65" i="56"/>
  <c r="J31" i="67"/>
  <c r="U68" i="9"/>
  <c r="L59" i="56"/>
  <c r="S60" i="56"/>
  <c r="L66" i="9"/>
  <c r="H25" i="67"/>
  <c r="B104" i="43"/>
  <c r="V66" i="9"/>
  <c r="Q13" i="58"/>
  <c r="W66" i="9"/>
  <c r="V60" i="56"/>
  <c r="Q65" i="56"/>
  <c r="E30" i="67"/>
  <c r="I26" i="67"/>
  <c r="V63" i="56"/>
  <c r="M65" i="56"/>
  <c r="J13" i="58"/>
  <c r="N61" i="56"/>
  <c r="H28" i="67"/>
  <c r="M67" i="9"/>
  <c r="T62" i="56"/>
  <c r="U62" i="56"/>
  <c r="E64" i="56"/>
  <c r="K60" i="56"/>
  <c r="B61" i="56"/>
  <c r="D25" i="67"/>
  <c r="E63" i="56"/>
  <c r="T67" i="9"/>
  <c r="C28" i="67"/>
  <c r="P13" i="58"/>
  <c r="W13" i="58"/>
  <c r="G66" i="56"/>
  <c r="B102" i="43"/>
  <c r="U65" i="56"/>
  <c r="M60" i="56"/>
  <c r="X62" i="56"/>
  <c r="I30" i="67"/>
  <c r="K29" i="67"/>
  <c r="D66" i="56"/>
  <c r="I31" i="67"/>
  <c r="C25" i="67"/>
  <c r="G68" i="9"/>
  <c r="P65" i="56"/>
  <c r="O64" i="56"/>
  <c r="K68" i="9"/>
  <c r="K13" i="58"/>
  <c r="B103" i="43"/>
  <c r="D62" i="56"/>
  <c r="S66" i="56"/>
  <c r="F66" i="9"/>
  <c r="E26" i="67"/>
  <c r="M13" i="58"/>
  <c r="P60" i="56"/>
  <c r="P64" i="56"/>
  <c r="B28" i="67"/>
  <c r="H29" i="67"/>
  <c r="E25" i="67"/>
  <c r="T63" i="56"/>
  <c r="R65" i="56"/>
  <c r="P68" i="9"/>
  <c r="E62" i="56"/>
  <c r="H32" i="67"/>
  <c r="J27" i="67"/>
  <c r="F64" i="56"/>
  <c r="H31" i="67"/>
  <c r="W66" i="56"/>
  <c r="N64" i="56"/>
  <c r="L62" i="56"/>
  <c r="O13" i="58"/>
  <c r="D13" i="58"/>
  <c r="J59" i="56"/>
  <c r="J26" i="67"/>
  <c r="B32" i="67"/>
  <c r="J66" i="56"/>
  <c r="C26" i="67"/>
  <c r="H30" i="67"/>
  <c r="D63" i="56"/>
  <c r="L64" i="56"/>
  <c r="D59" i="56"/>
  <c r="O60" i="56"/>
  <c r="R66" i="9"/>
  <c r="R59" i="56"/>
  <c r="B109" i="43"/>
  <c r="O68" i="9"/>
  <c r="V68" i="9"/>
  <c r="F61" i="56"/>
  <c r="Q67" i="9"/>
  <c r="E61" i="56"/>
  <c r="W68" i="9"/>
  <c r="Q63" i="56"/>
  <c r="E65" i="56"/>
  <c r="I66" i="9"/>
  <c r="D31" i="67"/>
  <c r="V65" i="56"/>
  <c r="U66" i="9"/>
  <c r="N63" i="56"/>
  <c r="S68" i="9"/>
  <c r="U59" i="56"/>
  <c r="K61" i="56"/>
  <c r="L63" i="56"/>
  <c r="Q68" i="9"/>
  <c r="K30" i="67"/>
  <c r="J63" i="56"/>
  <c r="T65" i="56"/>
  <c r="I25" i="67"/>
  <c r="V66" i="56"/>
  <c r="G65" i="56"/>
  <c r="X65" i="56"/>
  <c r="T60" i="56"/>
  <c r="O65" i="56"/>
  <c r="M66" i="9"/>
  <c r="J62" i="56"/>
  <c r="H60" i="56"/>
  <c r="V59" i="56"/>
  <c r="X66" i="56"/>
  <c r="V61" i="56"/>
  <c r="F59" i="56"/>
  <c r="E67" i="9"/>
  <c r="B29" i="67"/>
  <c r="K67" i="9"/>
  <c r="B27" i="67"/>
  <c r="K59" i="56"/>
  <c r="S66" i="9"/>
  <c r="K66" i="56"/>
  <c r="L66" i="56"/>
  <c r="K27" i="67"/>
  <c r="F63" i="56"/>
  <c r="P67" i="9"/>
  <c r="R62" i="56"/>
  <c r="D67" i="9"/>
  <c r="W63" i="56"/>
  <c r="T61" i="56"/>
  <c r="W67" i="9"/>
  <c r="V13" i="58"/>
  <c r="T59" i="56"/>
  <c r="J67" i="9"/>
  <c r="K62" i="56"/>
  <c r="L61" i="56"/>
  <c r="H59" i="56"/>
  <c r="B33" i="67"/>
  <c r="M61" i="56"/>
  <c r="K25" i="67"/>
  <c r="F13" i="58"/>
  <c r="H68" i="9"/>
  <c r="K28" i="67"/>
  <c r="S59" i="56"/>
  <c r="I67" i="9"/>
  <c r="N59" i="56"/>
  <c r="Z13" i="58"/>
  <c r="L13" i="58"/>
  <c r="G62" i="56"/>
  <c r="R61" i="56"/>
  <c r="E32" i="67"/>
  <c r="X66" i="9"/>
  <c r="L67" i="9"/>
  <c r="O61" i="56"/>
  <c r="B30" i="67"/>
  <c r="P62" i="56"/>
  <c r="B65" i="56"/>
  <c r="U67" i="9"/>
  <c r="E27" i="67"/>
  <c r="H13" i="58"/>
  <c r="C61" i="56"/>
  <c r="X67" i="9"/>
  <c r="G61" i="56"/>
  <c r="K31" i="67"/>
  <c r="B26" i="67"/>
  <c r="Q61" i="56"/>
  <c r="L60" i="56"/>
  <c r="N66" i="56"/>
  <c r="I13" i="58"/>
  <c r="V64" i="56"/>
  <c r="U13" i="58"/>
  <c r="E68" i="9"/>
  <c r="O66" i="56"/>
  <c r="H63" i="56"/>
  <c r="I61" i="56"/>
  <c r="F68" i="9"/>
  <c r="C63" i="56"/>
  <c r="T66" i="56"/>
  <c r="K64" i="56"/>
  <c r="X59" i="56"/>
  <c r="B59" i="56"/>
  <c r="J66" i="9"/>
  <c r="D64" i="56"/>
  <c r="C64" i="56"/>
  <c r="W60" i="56"/>
  <c r="U64" i="56"/>
  <c r="C32" i="67"/>
  <c r="W65" i="56"/>
  <c r="K32" i="67"/>
  <c r="C60" i="56"/>
  <c r="E31" i="67"/>
  <c r="B107" i="43"/>
  <c r="N66" i="9"/>
  <c r="O63" i="56"/>
  <c r="J61" i="56"/>
  <c r="B108" i="43"/>
  <c r="K66" i="9"/>
  <c r="D33" i="67"/>
  <c r="E33" i="67"/>
  <c r="H64" i="56"/>
  <c r="C27" i="67"/>
  <c r="I28" i="67"/>
  <c r="G63" i="56"/>
  <c r="D30" i="67"/>
  <c r="D60" i="56"/>
  <c r="N67" i="9"/>
  <c r="C30" i="67"/>
  <c r="N65" i="56"/>
  <c r="F66" i="56"/>
  <c r="J30" i="67"/>
  <c r="U61" i="56"/>
  <c r="C66" i="9"/>
  <c r="B68" i="9"/>
  <c r="G64" i="56"/>
  <c r="E28" i="67"/>
  <c r="I62" i="56"/>
  <c r="J32" i="67"/>
  <c r="I64" i="56"/>
  <c r="O66" i="9"/>
  <c r="J60" i="56"/>
  <c r="O67" i="9"/>
  <c r="I66" i="56"/>
  <c r="W59" i="56"/>
  <c r="C67" i="9"/>
  <c r="F60" i="56"/>
  <c r="M59" i="56"/>
  <c r="E13" i="58"/>
  <c r="C29" i="67"/>
  <c r="P66" i="56"/>
  <c r="B66" i="56"/>
  <c r="D26" i="67"/>
  <c r="Q64" i="56"/>
  <c r="X68" i="9"/>
  <c r="C33" i="67"/>
  <c r="F62" i="56"/>
  <c r="H61" i="56"/>
  <c r="P59" i="56"/>
  <c r="I29" i="67"/>
  <c r="R68" i="9"/>
  <c r="N60" i="56"/>
  <c r="H66" i="56"/>
  <c r="M66" i="56"/>
  <c r="R13" i="58"/>
  <c r="E29" i="67"/>
  <c r="B67" i="9"/>
  <c r="J28" i="67"/>
  <c r="B106" i="43"/>
  <c r="B60" i="56"/>
  <c r="Q66" i="9"/>
  <c r="G67" i="9"/>
  <c r="M63" i="56"/>
  <c r="H62" i="56"/>
  <c r="I27" i="67"/>
  <c r="H27" i="67"/>
  <c r="P66" i="9"/>
  <c r="R64" i="56"/>
  <c r="H33" i="67"/>
  <c r="H67" i="9"/>
  <c r="D27" i="67"/>
  <c r="X13" i="58"/>
  <c r="H26" i="67"/>
  <c r="D65" i="56"/>
  <c r="G66" i="9"/>
  <c r="O59" i="56"/>
  <c r="N68" i="9"/>
  <c r="I33" i="67"/>
  <c r="H66" i="9"/>
  <c r="C62" i="56"/>
  <c r="W61" i="56"/>
  <c r="G59" i="56"/>
  <c r="D29" i="67"/>
  <c r="S67" i="9"/>
  <c r="O62" i="56"/>
  <c r="X60" i="56"/>
  <c r="N62" i="56"/>
  <c r="X63" i="56"/>
  <c r="G13" i="58"/>
  <c r="B62" i="56"/>
  <c r="W64" i="56"/>
  <c r="T13" i="58"/>
  <c r="D28" i="67"/>
  <c r="B25" i="67"/>
  <c r="I68" i="9"/>
  <c r="C66" i="56"/>
  <c r="C13" i="58"/>
  <c r="D68" i="9"/>
  <c r="Q59" i="56"/>
  <c r="E59" i="56"/>
  <c r="R66" i="56"/>
  <c r="U60" i="56"/>
  <c r="T66" i="9"/>
  <c r="J25" i="67"/>
  <c r="J29" i="67"/>
  <c r="G60" i="56"/>
  <c r="H65" i="56"/>
  <c r="J64" i="56"/>
  <c r="K63" i="56"/>
  <c r="I65" i="56"/>
  <c r="S61" i="56"/>
  <c r="D61" i="56"/>
  <c r="T68" i="9"/>
  <c r="S64" i="56"/>
  <c r="S65" i="56"/>
  <c r="J68" i="9"/>
  <c r="Y13" i="58"/>
  <c r="C68" i="9"/>
  <c r="N13" i="58"/>
  <c r="B13" i="58"/>
  <c r="U66" i="56"/>
  <c r="M62" i="56"/>
  <c r="V62" i="56"/>
  <c r="B66" i="9"/>
  <c r="D32" i="67"/>
  <c r="U63" i="56"/>
  <c r="S13" i="58"/>
  <c r="P63" i="56"/>
  <c r="B31" i="67"/>
  <c r="Q66" i="56"/>
  <c r="B105" i="43"/>
  <c r="I59" i="56"/>
  <c r="Y65" i="56" l="1"/>
  <c r="B78" i="56" s="1"/>
  <c r="Y63" i="56"/>
  <c r="B76" i="56" s="1"/>
  <c r="Y59" i="56"/>
  <c r="Y62" i="56"/>
  <c r="B75" i="56" s="1"/>
  <c r="Y60" i="56"/>
  <c r="B73" i="56" s="1"/>
  <c r="Y61" i="56"/>
  <c r="B74" i="56" s="1"/>
  <c r="Y64" i="56"/>
  <c r="B77" i="56" s="1"/>
  <c r="Y66" i="56"/>
  <c r="B79" i="56" s="1"/>
  <c r="K34" i="67"/>
  <c r="B34" i="67"/>
  <c r="P69" i="9"/>
  <c r="V69" i="9"/>
  <c r="O69" i="9"/>
  <c r="R69" i="9"/>
  <c r="C34" i="67"/>
  <c r="Q69" i="9"/>
  <c r="Y68" i="9"/>
  <c r="W69" i="9"/>
  <c r="Y67" i="9"/>
  <c r="M69" i="9"/>
  <c r="J34" i="67"/>
  <c r="U69" i="9"/>
  <c r="I69" i="9"/>
  <c r="B111" i="43"/>
  <c r="N69" i="9"/>
  <c r="C69" i="9"/>
  <c r="H69" i="9"/>
  <c r="I34" i="67"/>
  <c r="X69" i="9"/>
  <c r="E69" i="9"/>
  <c r="G69" i="9"/>
  <c r="E34" i="67"/>
  <c r="D34" i="67"/>
  <c r="H34" i="67"/>
  <c r="K69" i="9"/>
  <c r="T69" i="9"/>
  <c r="J69" i="9"/>
  <c r="B69" i="9"/>
  <c r="Y66" i="9"/>
  <c r="S69" i="9"/>
  <c r="D69" i="9"/>
  <c r="L69" i="9"/>
  <c r="F69" i="9"/>
  <c r="D69" i="6"/>
  <c r="D40" i="7"/>
  <c r="E67" i="5"/>
  <c r="F65" i="5" s="1"/>
  <c r="B72" i="56" l="1"/>
  <c r="Y67" i="56"/>
  <c r="F60" i="5"/>
  <c r="F63" i="5"/>
  <c r="F62" i="5"/>
  <c r="F66" i="5"/>
  <c r="F64" i="5"/>
  <c r="F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tc={96802FB9-E33B-47F4-B8F4-1B641F0601A0}</author>
  </authors>
  <commentList>
    <comment ref="J667" authorId="0" shapeId="0" xr:uid="{00000000-0006-0000-0100-000002000000}">
      <text>
        <r>
          <rPr>
            <sz val="11"/>
            <color rgb="FF000000"/>
            <rFont val="Calibri"/>
            <family val="2"/>
          </rPr>
          <t xml:space="preserve">======
</t>
        </r>
        <r>
          <rPr>
            <sz val="11"/>
            <color rgb="FF000000"/>
            <rFont val="Calibri"/>
            <family val="2"/>
          </rPr>
          <t xml:space="preserve">ID#AAABMe0nHxw
</t>
        </r>
        <r>
          <rPr>
            <sz val="11"/>
            <color rgb="FF000000"/>
            <rFont val="Calibri"/>
            <family val="2"/>
          </rPr>
          <t xml:space="preserve">Chen, John  (VOL US NDU/INSS)    (2024-04-25 18:58:24)
</t>
        </r>
        <r>
          <rPr>
            <sz val="11"/>
            <color rgb="FF000000"/>
            <rFont val="Calibri"/>
            <family val="2"/>
          </rPr>
          <t>unknown port call type E597-E654</t>
        </r>
      </text>
    </comment>
    <comment ref="J867" authorId="0" shapeId="0" xr:uid="{00000000-0006-0000-0100-000007000000}">
      <text>
        <r>
          <rPr>
            <sz val="11"/>
            <color theme="1"/>
            <rFont val="Calibri"/>
            <family val="2"/>
            <scheme val="minor"/>
          </rPr>
          <t>======
ID#AAABMe0nHxY
Chen, John  (VOL US NDU/INSS)    (2024-04-25 18:58:24)
unknown port call type E597-E654</t>
        </r>
      </text>
    </comment>
    <comment ref="H1041" authorId="0" shapeId="0" xr:uid="{00000000-0006-0000-0100-000005000000}">
      <text>
        <r>
          <rPr>
            <sz val="11"/>
            <color theme="1"/>
            <rFont val="Calibri"/>
            <family val="2"/>
            <scheme val="minor"/>
          </rPr>
          <t>======
ID#AAABMe0nHxg
Saunders, Phillip (CIV US NDU/INSS)    (2024-04-25 18:58:24)
OSE CPP20090318702005
has this as a meeting in Beijing; I would keep this and delete the other entry which has it as a visit abroad.
CPP20090316968159</t>
        </r>
      </text>
    </comment>
    <comment ref="H1048" authorId="0" shapeId="0" xr:uid="{00000000-0006-0000-0100-000001000000}">
      <text>
        <r>
          <rPr>
            <sz val="11"/>
            <color theme="1"/>
            <rFont val="Calibri"/>
            <family val="2"/>
            <scheme val="minor"/>
          </rPr>
          <t>======
ID#AAABMe0nHxk
Saunders, Phillip (CIV US NDU/INSS)    (2024-04-25 18:58:24)
Keep this one.  CPP20090305968226</t>
        </r>
      </text>
    </comment>
    <comment ref="J1147" authorId="0" shapeId="0" xr:uid="{00000000-0006-0000-0100-000009000000}">
      <text>
        <r>
          <rPr>
            <sz val="11"/>
            <color theme="1"/>
            <rFont val="Calibri"/>
            <family val="2"/>
            <scheme val="minor"/>
          </rPr>
          <t>======
ID#AAABMe0nHxQ
Chen, John  (VOL US NDU/INSS)    (2024-04-25 18:58:24)
unknown port call type E597-E654</t>
        </r>
      </text>
    </comment>
    <comment ref="H1431" authorId="0" shapeId="0" xr:uid="{00000000-0006-0000-0100-000003000000}">
      <text>
        <r>
          <rPr>
            <sz val="11"/>
            <color theme="1"/>
            <rFont val="Calibri"/>
            <family val="2"/>
            <scheme val="minor"/>
          </rPr>
          <t>======
ID#AAABMe0nHxs
Saunders, Phillip (CIV US NDU/INSS)    (2024-04-25 18:58:24)
Keep this because Liang is counterpart.</t>
        </r>
      </text>
    </comment>
    <comment ref="H1596" authorId="0" shapeId="0" xr:uid="{00000000-0006-0000-0100-000006000000}">
      <text>
        <r>
          <rPr>
            <sz val="11"/>
            <color theme="1"/>
            <rFont val="Calibri"/>
            <family val="2"/>
            <scheme val="minor"/>
          </rPr>
          <t>======
ID#AAABMe0nHxc
Saunders, Phillip (CIV US NDU/INSS)    (2024-04-25 18:58:24)
I'd keep this one because it is the coutnerpart.</t>
        </r>
      </text>
    </comment>
    <comment ref="H1598" authorId="0" shapeId="0" xr:uid="{00000000-0006-0000-0100-000004000000}">
      <text>
        <r>
          <rPr>
            <sz val="11"/>
            <color theme="1"/>
            <rFont val="Calibri"/>
            <family val="2"/>
            <scheme val="minor"/>
          </rPr>
          <t>======
ID#AAABMe0nHxo
Saunders, Phillip (CIV US NDU/INSS)    (2024-04-25 18:58:24)
Keep CMC VC host</t>
        </r>
      </text>
    </comment>
    <comment ref="P2865" authorId="0" shapeId="0" xr:uid="{00000000-0006-0000-0100-000008000000}">
      <text>
        <r>
          <rPr>
            <sz val="11"/>
            <color theme="1"/>
            <rFont val="Calibri"/>
            <family val="2"/>
            <scheme val="minor"/>
          </rPr>
          <t>======
ID#AAABMe0nHxU
Saunders, Phillip (CIV US NDU/INSS)    (2024-04-25 18:58:24)
China hosted Fourth Forum for Senior Defense Officials from Caribbean and South Pacific Countries; he was senior rep from foreign attendees.  How to code?
What about previous 3 forums?</t>
        </r>
      </text>
    </comment>
    <comment ref="Z3340" authorId="1" shapeId="0" xr:uid="{96802FB9-E33B-47F4-B8F4-1B641F0601A0}">
      <text>
        <t>[Threaded comment]
Your version of Excel allows you to read this threaded comment; however, any edits to it will get removed if the file is opened in a newer version of Excel. Learn more: https://go.microsoft.com/fwlink/?linkid=870924
Comment:
    Mentions side meetings with other states - include as separate bilaterals with those states?</t>
      </text>
    </comment>
  </commentList>
  <extLst>
    <ext xmlns:r="http://schemas.openxmlformats.org/officeDocument/2006/relationships" uri="GoogleSheetsCustomDataVersion2">
      <go:sheetsCustomData xmlns:go="http://customooxmlschemas.google.com/" r:id="rId1" roundtripDataSignature="AMtx7mg3EgpRZKneqQmjxxT4lBQ/8Kw+qw=="/>
    </ext>
  </extL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<sst xmlns="http://schemas.openxmlformats.org/spreadsheetml/2006/main" count="46992" uniqueCount="3784">
  <si>
    <t>*Please double click to view the whole document for the codebook.</t>
  </si>
  <si>
    <t>Activity Category</t>
  </si>
  <si>
    <t>Geographic Region</t>
  </si>
  <si>
    <t>Region (MND FAO)</t>
  </si>
  <si>
    <t>PRC Relationship Category</t>
  </si>
  <si>
    <t>U.S. Collective Defense Status</t>
  </si>
  <si>
    <t>US CCMD AOR</t>
  </si>
  <si>
    <t>Partner Country</t>
  </si>
  <si>
    <t>Year</t>
  </si>
  <si>
    <t>Month</t>
  </si>
  <si>
    <t>Activity Type</t>
  </si>
  <si>
    <t>Person</t>
  </si>
  <si>
    <t>Trip Count - Abroad</t>
  </si>
  <si>
    <t>Position</t>
  </si>
  <si>
    <t>Position Weight</t>
  </si>
  <si>
    <t xml:space="preserve">Visit Type </t>
  </si>
  <si>
    <t>Visit Counterpart</t>
  </si>
  <si>
    <t>MilEx Type</t>
  </si>
  <si>
    <t>MilEx Name</t>
  </si>
  <si>
    <t>MilEx Service</t>
  </si>
  <si>
    <t>MilEx Details</t>
  </si>
  <si>
    <t>Port Call Voyage Identifier</t>
  </si>
  <si>
    <t>Associated Fleet</t>
  </si>
  <si>
    <t>Port Call Details</t>
  </si>
  <si>
    <t>Source</t>
  </si>
  <si>
    <t>Comments</t>
  </si>
  <si>
    <t>Naval Port Call</t>
  </si>
  <si>
    <t>South Asia</t>
  </si>
  <si>
    <t>Asia</t>
  </si>
  <si>
    <t>No Specific Relationship</t>
  </si>
  <si>
    <t>None</t>
  </si>
  <si>
    <t>PACOM</t>
  </si>
  <si>
    <t>Bangladesh</t>
  </si>
  <si>
    <t>Port Call - Friendly Visit</t>
  </si>
  <si>
    <t>East Sea Fleet</t>
  </si>
  <si>
    <t>Hefei-132 and Fengcang-615</t>
  </si>
  <si>
    <t>Southeast Asia</t>
  </si>
  <si>
    <t>Myanmar</t>
  </si>
  <si>
    <t>Unknown</t>
  </si>
  <si>
    <t>???</t>
  </si>
  <si>
    <t>Major Non-NATO Ally</t>
  </si>
  <si>
    <t>CENTCOM</t>
  </si>
  <si>
    <t>Pakistan</t>
  </si>
  <si>
    <t>Sri Lanka</t>
  </si>
  <si>
    <t>North America</t>
  </si>
  <si>
    <t>America and Oceania</t>
  </si>
  <si>
    <t>N/A</t>
  </si>
  <si>
    <t>NORTHCOM</t>
  </si>
  <si>
    <t>United States</t>
  </si>
  <si>
    <t>North Sea Fleet</t>
  </si>
  <si>
    <t>Zhenghe training ship</t>
  </si>
  <si>
    <t>Bilateral Defense Treaty</t>
  </si>
  <si>
    <t>Thailand</t>
  </si>
  <si>
    <t>India</t>
  </si>
  <si>
    <t>Russia</t>
  </si>
  <si>
    <t>Europe and Central Asia</t>
  </si>
  <si>
    <t>EUCOM</t>
  </si>
  <si>
    <t>All</t>
  </si>
  <si>
    <t>Dajiang Sub Tender Changxingdao 121, Luda-II destroyer Zhuhai 166, and Jiangwei frigate Huainan 540</t>
  </si>
  <si>
    <t>Indonesia</t>
  </si>
  <si>
    <t>Luda-II destroyer Zhuhai 166, Jiangwei frigate Huainan 540, and one replenishment ship</t>
  </si>
  <si>
    <t>Jiangwei frigate Huaibei 541</t>
  </si>
  <si>
    <t>Northeast Asia</t>
  </si>
  <si>
    <t>North Korea</t>
  </si>
  <si>
    <t>Luhu destroyer Harbin 112 and Luda destroyer Xining 108</t>
  </si>
  <si>
    <t>Strategic Partnership of Coordination [战略协作伙伴关系]</t>
  </si>
  <si>
    <t>Luhu destroyer Harbin 112</t>
  </si>
  <si>
    <t>Malaysia</t>
  </si>
  <si>
    <t>Luhu destroyer Qingdao 113, Jiangwei frigate Tongqing 542</t>
  </si>
  <si>
    <t>Philippines</t>
  </si>
  <si>
    <t>Luhu destroyer Harbin 112, Luda-II destroyer Zhuhai 166, Replenishment ship Nancang 953</t>
  </si>
  <si>
    <t>Oceania</t>
  </si>
  <si>
    <t>ANZUS Treaty</t>
  </si>
  <si>
    <t>Australia</t>
  </si>
  <si>
    <t>Luhu destroyer Qingdao 113, Training Ship Shichang 82, Replenishment ship Nancang 953 (PI - Qingdao only)</t>
  </si>
  <si>
    <t>New Zealand</t>
  </si>
  <si>
    <t>Senior Level Visit</t>
  </si>
  <si>
    <t>Central Asia</t>
  </si>
  <si>
    <t>Member</t>
  </si>
  <si>
    <t>SCO</t>
  </si>
  <si>
    <t>ML - Abroad</t>
  </si>
  <si>
    <t>Chi Haotian</t>
  </si>
  <si>
    <t>Defense Minister; CMC Member</t>
  </si>
  <si>
    <t>Abroad</t>
  </si>
  <si>
    <t>Shanghai Five Ministers' of Defense Summit in Astana; Other countries: Kazakhstan, Kyrgyzstan, Tajikistan, Russia</t>
  </si>
  <si>
    <t>http://globalsummitryproject.com.s197331.gridserver.com/archive/shanghai_cooperation_organization1/ipripak.org/factfiles/ff85.pdf</t>
  </si>
  <si>
    <t>Strategic Cooperative Partnership [战略合作伙伴关系]</t>
  </si>
  <si>
    <t>South Sea Fleet</t>
  </si>
  <si>
    <t>Luhai destroyer Shenzhen 167, Replenishment ship Nancang 953</t>
  </si>
  <si>
    <t>Africa</t>
  </si>
  <si>
    <t>West Asia and Africa</t>
  </si>
  <si>
    <t>AFRICOM</t>
  </si>
  <si>
    <t>South Africa</t>
  </si>
  <si>
    <t>Tanzania</t>
  </si>
  <si>
    <t>Comprehensive Partnership [全面伙伴关系]</t>
  </si>
  <si>
    <t>NATO</t>
  </si>
  <si>
    <t>Canada</t>
  </si>
  <si>
    <t>Luhu destroyer Qingdao 113, replenishment ship Taicang 575</t>
  </si>
  <si>
    <t>Luhu destroyer Harbin 112, replenishment ship Taicang 575</t>
  </si>
  <si>
    <t>Strategic Partnership [战略伙伴关系]</t>
  </si>
  <si>
    <t>ML - Hosted</t>
  </si>
  <si>
    <t>Hosted</t>
  </si>
  <si>
    <t>First official meeting of the SCO Ministers' of Defense in Shanghai; Other countries: Kazakhstan, Kyrgyztan, Russia, Tajikistan, Uzbekistan</t>
  </si>
  <si>
    <t>Europe</t>
  </si>
  <si>
    <t>Germany</t>
  </si>
  <si>
    <t>Luhai destroyer Shenzhen 167, replenishment ship Fengcang 615</t>
  </si>
  <si>
    <t>Hong Kong</t>
  </si>
  <si>
    <t>Italy</t>
  </si>
  <si>
    <t>United Kingdom</t>
  </si>
  <si>
    <t>Jiangwei frigate Yichang 564, replenishment ship Taicang 575</t>
  </si>
  <si>
    <t xml:space="preserve">Europe </t>
  </si>
  <si>
    <t>France</t>
  </si>
  <si>
    <t>NETF</t>
  </si>
  <si>
    <t>https://csis-website-prod.s3.amazonaws.com/s3fs-public/legacy_files/files/media/csis/pubs/080507-gill-chinaeuroperelations-web.pdf</t>
  </si>
  <si>
    <t>Vietnam</t>
  </si>
  <si>
    <t>Jiangwei frigate Yulin 565</t>
  </si>
  <si>
    <t>Middle East</t>
  </si>
  <si>
    <t>Egypt</t>
  </si>
  <si>
    <t>BL - Hosted</t>
  </si>
  <si>
    <t>Xiong Guangkai</t>
  </si>
  <si>
    <t>GSD DCGS</t>
  </si>
  <si>
    <t>Major General</t>
  </si>
  <si>
    <t>CPP20020131000073</t>
  </si>
  <si>
    <t>Navy Chief of Staff</t>
  </si>
  <si>
    <t>CPP20020128000121</t>
  </si>
  <si>
    <t>Zhang Wannian</t>
  </si>
  <si>
    <t>CMC Vice Chairman</t>
  </si>
  <si>
    <t>CJCS General Muhammad Aziz Khan</t>
  </si>
  <si>
    <t>CPP20020115000109; Xinhua 1-15-2002</t>
  </si>
  <si>
    <t>Full-Scale Cooperative Partnership [全面合作伙伴关系]</t>
  </si>
  <si>
    <t>South Korea</t>
  </si>
  <si>
    <t>Fu Quanyou</t>
  </si>
  <si>
    <t>GSD Commander; CMC Member</t>
  </si>
  <si>
    <t>Air Chief of Staff</t>
  </si>
  <si>
    <t>CPP20020123000106</t>
  </si>
  <si>
    <t>Chairman on Military Affairs</t>
  </si>
  <si>
    <t>CPP20020123000127</t>
  </si>
  <si>
    <t>Ukraine</t>
  </si>
  <si>
    <t>Foreign Minister</t>
  </si>
  <si>
    <t>CPP20020128000117</t>
  </si>
  <si>
    <t>Delegation</t>
  </si>
  <si>
    <t>CPP20020107000110</t>
  </si>
  <si>
    <t>Morocco</t>
  </si>
  <si>
    <t xml:space="preserve">King of Morocco </t>
  </si>
  <si>
    <t>CPP20020206000109</t>
  </si>
  <si>
    <t>Congo</t>
  </si>
  <si>
    <t>Defense Minister</t>
  </si>
  <si>
    <t>CPP20020325000058</t>
  </si>
  <si>
    <t>Chief of Staff of Air Force</t>
  </si>
  <si>
    <t>CPP20020313000100</t>
  </si>
  <si>
    <t>BL - Abroad</t>
  </si>
  <si>
    <t>Parliamentary Speaker</t>
  </si>
  <si>
    <t>CPP20020321000168</t>
  </si>
  <si>
    <t>Greece</t>
  </si>
  <si>
    <t>President</t>
  </si>
  <si>
    <t>CPP20020327000250</t>
  </si>
  <si>
    <t>Chief of Naval Staff</t>
  </si>
  <si>
    <t>CPP20020408000070</t>
  </si>
  <si>
    <t>Comprehensive Cooperative Partnership [全面合作伙伴关系]</t>
  </si>
  <si>
    <t>Kazakhstan</t>
  </si>
  <si>
    <t>CPP20020318000099</t>
  </si>
  <si>
    <t>Kyrgyzstan</t>
  </si>
  <si>
    <t>CPP20020318000104</t>
  </si>
  <si>
    <t>Nepal</t>
  </si>
  <si>
    <t>Chief of General Staff</t>
  </si>
  <si>
    <t>CPP20020326000158</t>
  </si>
  <si>
    <t>Recoded as South Asia</t>
  </si>
  <si>
    <t>CPP20020307000205</t>
  </si>
  <si>
    <t>Romania</t>
  </si>
  <si>
    <t>CPP20020325000136</t>
  </si>
  <si>
    <t>CPP20020325000143</t>
  </si>
  <si>
    <t>Belarus</t>
  </si>
  <si>
    <t>Cao Gangchuan</t>
  </si>
  <si>
    <t>GAD Director; CMC Member</t>
  </si>
  <si>
    <t>CPP20020422000148; Xinhua 4-22-2002</t>
  </si>
  <si>
    <t>RECODED to reflect Cao's position</t>
  </si>
  <si>
    <t>Croatia</t>
  </si>
  <si>
    <t>CPP20020403000205</t>
  </si>
  <si>
    <t>Nigeria</t>
  </si>
  <si>
    <t>CPP20020423000110</t>
  </si>
  <si>
    <t>Norway</t>
  </si>
  <si>
    <t>King of Norway; Chainman of Parliament Defense Committee; and Minister of Defense</t>
  </si>
  <si>
    <t>CPP20020408000192; Xinhua 4-08-2002</t>
  </si>
  <si>
    <t>Secretary of Defense</t>
  </si>
  <si>
    <t>CPP20020417000132</t>
  </si>
  <si>
    <t>CPP20020423000083</t>
  </si>
  <si>
    <t>Turkey</t>
  </si>
  <si>
    <t>Commander of War College</t>
  </si>
  <si>
    <t>CPP20020422000084</t>
  </si>
  <si>
    <t>CPP20020528000249</t>
  </si>
  <si>
    <t>CPP20021010000233</t>
  </si>
  <si>
    <t>Chief of Army</t>
  </si>
  <si>
    <t>CPP20020514000096</t>
  </si>
  <si>
    <t>Second official meeting of the SCO Ministers' of Defense in Shanghai; Other countries: Kazakhstan, Kyrgyztan, Russia, Tajikistan, Uzbekistan</t>
  </si>
  <si>
    <t>Singapore</t>
  </si>
  <si>
    <t>Slovakia</t>
  </si>
  <si>
    <t>CPP20020521000214</t>
  </si>
  <si>
    <t>Jiangwei frigate Jiaxing 521, Jiangwei frigate Lianyungang 522</t>
  </si>
  <si>
    <t>South America</t>
  </si>
  <si>
    <t>SOUTHCOM</t>
  </si>
  <si>
    <t>Antigua and Barbuda</t>
  </si>
  <si>
    <t>Commander of Defense Force</t>
  </si>
  <si>
    <t>CPP20020620000095</t>
  </si>
  <si>
    <t>Chief of Army Staff</t>
  </si>
  <si>
    <t>CPP20020602000061</t>
  </si>
  <si>
    <t>Bolivia</t>
  </si>
  <si>
    <t>Army Commander</t>
  </si>
  <si>
    <t>CPP20020621000098</t>
  </si>
  <si>
    <t>Brazil</t>
  </si>
  <si>
    <t xml:space="preserve">Chief of Army </t>
  </si>
  <si>
    <t>CPP20020610000039</t>
  </si>
  <si>
    <t>Brunei</t>
  </si>
  <si>
    <t>Commander of Armed Forces</t>
  </si>
  <si>
    <t>CPP20020621000104; Xinhua 6-21-2002</t>
  </si>
  <si>
    <t>Colombia</t>
  </si>
  <si>
    <t>Commander in Chief</t>
  </si>
  <si>
    <t>CPP20020623000024</t>
  </si>
  <si>
    <t>Equatorial Guinea</t>
  </si>
  <si>
    <t>CPP20020614000103</t>
  </si>
  <si>
    <t>CPP20020608000021; Xinhua 6-8-2002</t>
  </si>
  <si>
    <t>Navy Inspector</t>
  </si>
  <si>
    <t>CPP20020611000111</t>
  </si>
  <si>
    <t>Kenya</t>
  </si>
  <si>
    <t xml:space="preserve">Chief of Staff  </t>
  </si>
  <si>
    <t>CPP20020627000109</t>
  </si>
  <si>
    <t>Portugal</t>
  </si>
  <si>
    <t>CPP20020601000085</t>
  </si>
  <si>
    <t>CPP20020602000062</t>
  </si>
  <si>
    <t>CPP20020611000116</t>
  </si>
  <si>
    <t>CPP20020625000204</t>
  </si>
  <si>
    <t>CPP20020603000168</t>
  </si>
  <si>
    <t>CPP20020624000222</t>
  </si>
  <si>
    <t>Cuba</t>
  </si>
  <si>
    <t>General of Armed Forces</t>
  </si>
  <si>
    <t>CPP20020715000072</t>
  </si>
  <si>
    <t>Lei Mingqiu</t>
  </si>
  <si>
    <t>Nanjing MR Political Commissar</t>
  </si>
  <si>
    <t>Director of Armed Forces</t>
  </si>
  <si>
    <t>CPP20020723000047</t>
  </si>
  <si>
    <t>East Timor</t>
  </si>
  <si>
    <t>CPP20020702000138</t>
  </si>
  <si>
    <t>Ecuador</t>
  </si>
  <si>
    <t>Laos</t>
  </si>
  <si>
    <t>CPP20020718000193</t>
  </si>
  <si>
    <t>Mongolia</t>
  </si>
  <si>
    <t>Zhang Wentai</t>
  </si>
  <si>
    <t>GLD Political Commissar</t>
  </si>
  <si>
    <t>CPP20020725000110</t>
  </si>
  <si>
    <t>Peru</t>
  </si>
  <si>
    <t>Security Council Secretary</t>
  </si>
  <si>
    <t>JPP20020717000049</t>
  </si>
  <si>
    <t>KPP20020723000056</t>
  </si>
  <si>
    <t>Turkmenistan</t>
  </si>
  <si>
    <t>Lieutenant General</t>
  </si>
  <si>
    <t>CPP20020705000083</t>
  </si>
  <si>
    <t xml:space="preserve">Ex-Official </t>
  </si>
  <si>
    <t>CPP20020701000135</t>
  </si>
  <si>
    <t>Strategic Development Partnership [战略发展伙伴关系]</t>
  </si>
  <si>
    <t>Venezuela</t>
  </si>
  <si>
    <t>CPP20020709000157</t>
  </si>
  <si>
    <t>Azerbaijan</t>
  </si>
  <si>
    <t>Vice Defense Minister</t>
  </si>
  <si>
    <t>CPP20020807000130</t>
  </si>
  <si>
    <t>Chief of Air Staff</t>
  </si>
  <si>
    <t>CPP20020821000148</t>
  </si>
  <si>
    <t>Czech Republic</t>
  </si>
  <si>
    <t>CPP20020816000076</t>
  </si>
  <si>
    <t>Zheng Shouzeng</t>
  </si>
  <si>
    <t>Lanzhou MR Politcal Commander</t>
  </si>
  <si>
    <t>CPP20020822000155</t>
  </si>
  <si>
    <t>Poland</t>
  </si>
  <si>
    <t>CPP20020826000111</t>
  </si>
  <si>
    <t>CPP20020811000001</t>
  </si>
  <si>
    <t>Vice Minister of Defense</t>
  </si>
  <si>
    <t>CPP20020827000087</t>
  </si>
  <si>
    <t>Tajikistan</t>
  </si>
  <si>
    <t>CPP20020815000138</t>
  </si>
  <si>
    <t>CPP20020821000118</t>
  </si>
  <si>
    <t>NDU CAPSTONE Delegation led by General (ret.) Robert Sennewald</t>
  </si>
  <si>
    <t>CPP20020802000124</t>
  </si>
  <si>
    <t>Zambia</t>
  </si>
  <si>
    <t>CPP20020807000105</t>
  </si>
  <si>
    <t>Argentina</t>
  </si>
  <si>
    <t>Chief of Staff</t>
  </si>
  <si>
    <t>CPP20020903000148</t>
  </si>
  <si>
    <t>Armenia</t>
  </si>
  <si>
    <t>Chief of General Staff and Vice-Minister of Defense</t>
  </si>
  <si>
    <t>CPP20020912000130; Xinhua 9-12-2002</t>
  </si>
  <si>
    <t>Benin</t>
  </si>
  <si>
    <t>Jiang Futang</t>
  </si>
  <si>
    <t>Shenyang MR Political Commissar</t>
  </si>
  <si>
    <t>CPP20020909000069</t>
  </si>
  <si>
    <t>Friendly Cooperative Relationship [友好合作关系]</t>
  </si>
  <si>
    <t>Cameroon</t>
  </si>
  <si>
    <t>Prime Minister</t>
  </si>
  <si>
    <t>CPP20020911000059</t>
  </si>
  <si>
    <t>Chile</t>
  </si>
  <si>
    <t>CPP20020905000082</t>
  </si>
  <si>
    <t>Gabon</t>
  </si>
  <si>
    <t>CPP20020919000110</t>
  </si>
  <si>
    <t>CPP20020928000069</t>
  </si>
  <si>
    <t>Defense College Delegation led by Commander Jim Molan, President</t>
  </si>
  <si>
    <t>CPP20021016000213</t>
  </si>
  <si>
    <t>Belgium</t>
  </si>
  <si>
    <t>CPP20021028000122</t>
  </si>
  <si>
    <t>CPP20021025000087</t>
  </si>
  <si>
    <t>CPP20021031000122</t>
  </si>
  <si>
    <t>Military Exercise</t>
  </si>
  <si>
    <t>Military Exercise - Bilateral</t>
  </si>
  <si>
    <t>Anti-terrorism</t>
  </si>
  <si>
    <t>Exercise-01</t>
  </si>
  <si>
    <t>Army</t>
  </si>
  <si>
    <t>CPP20021010000274; de Haas Journal of Slavic Military Studies 29:3 (2016)</t>
  </si>
  <si>
    <t>Under SCO auspices, but coded as Kyrgyzstan because it is a BL exercise.</t>
  </si>
  <si>
    <t>CPP20021029000133</t>
  </si>
  <si>
    <t>General Inspector of Armed Forces</t>
  </si>
  <si>
    <t>CPP20021015000073</t>
  </si>
  <si>
    <t>CPP20021002000148</t>
  </si>
  <si>
    <t>Delegation from Royal College of Defense Studies led by LTG Sir Christopher Wallace</t>
  </si>
  <si>
    <t>CPP20021017000141</t>
  </si>
  <si>
    <t>NDU President</t>
  </si>
  <si>
    <t>CPP20021009000121</t>
  </si>
  <si>
    <t>Director of Vietnam Military GPD Le Van Dung</t>
  </si>
  <si>
    <t>CPP20021016000203; Xinhua 10-16-2002</t>
  </si>
  <si>
    <t>CPP20021106000098</t>
  </si>
  <si>
    <t>Commander of Air Force</t>
  </si>
  <si>
    <t>CPP20021121000151</t>
  </si>
  <si>
    <t>Liang Guanglie</t>
  </si>
  <si>
    <t>CPP20021125000151</t>
  </si>
  <si>
    <t>Namibia</t>
  </si>
  <si>
    <t>CPP20021129000065</t>
  </si>
  <si>
    <t>KPA military foreign affairs delegation led by Sin Tong-Kun</t>
  </si>
  <si>
    <t>KPP20021122000044</t>
  </si>
  <si>
    <t>CPP20021223000048</t>
  </si>
  <si>
    <t>Chief of Air Force</t>
  </si>
  <si>
    <t>CPP20021106000121</t>
  </si>
  <si>
    <t>Vice Admiral</t>
  </si>
  <si>
    <t>CPP20021119000057</t>
  </si>
  <si>
    <t>Spain</t>
  </si>
  <si>
    <t>Admiral Chief</t>
  </si>
  <si>
    <t>Former Official</t>
  </si>
  <si>
    <t>CPP20021122000080</t>
  </si>
  <si>
    <t>Comprehensive Strategic Cooperative Partnership [全面战略合作伙伴关系]</t>
  </si>
  <si>
    <t>Eritrea</t>
  </si>
  <si>
    <t>CPP20021225000074</t>
  </si>
  <si>
    <t>Kuwait</t>
  </si>
  <si>
    <t>CMC Vice Chairman; Defense Minister</t>
  </si>
  <si>
    <t>COGS Alimohammad Al-Mumen</t>
  </si>
  <si>
    <t>CPP20021220000085; Xinhua 12-20-2002</t>
  </si>
  <si>
    <t>CPP20021217000063</t>
  </si>
  <si>
    <t>CPP20021219000120</t>
  </si>
  <si>
    <t>COGS Thura Shwe Mann</t>
  </si>
  <si>
    <t>CPP20021205000123; Xinhua 12-5-2002</t>
  </si>
  <si>
    <t>CPP20021226000094</t>
  </si>
  <si>
    <t>COGS Mihail Popescu</t>
  </si>
  <si>
    <t>CPP20021210000061; Xinhua 12-10-2002</t>
  </si>
  <si>
    <t>CPP20021217000127</t>
  </si>
  <si>
    <t>Vice Premier</t>
  </si>
  <si>
    <t>CPP20021220000186</t>
  </si>
  <si>
    <t>Deputy Secretary of State</t>
  </si>
  <si>
    <t>CPP20021211000135</t>
  </si>
  <si>
    <t>Admiral</t>
  </si>
  <si>
    <t>CPP20021205000029</t>
  </si>
  <si>
    <t>Uzbekistan</t>
  </si>
  <si>
    <t>CPP20021224000019</t>
  </si>
  <si>
    <t>Army Chief of Staff</t>
  </si>
  <si>
    <t>Defense White Paper Appendix</t>
  </si>
  <si>
    <t>Liu Shunyao</t>
  </si>
  <si>
    <t>PLAAF Commander</t>
  </si>
  <si>
    <t>Sudan</t>
  </si>
  <si>
    <t>Trinidad and Tobago</t>
  </si>
  <si>
    <t>Algeria</t>
  </si>
  <si>
    <t>Liu Yongzhi</t>
  </si>
  <si>
    <t>PLAN Political Commissar</t>
  </si>
  <si>
    <t>Li Jinai</t>
  </si>
  <si>
    <t xml:space="preserve">COGS </t>
  </si>
  <si>
    <t>Cao was defense minister at time of this visit</t>
  </si>
  <si>
    <t>Mexico</t>
  </si>
  <si>
    <t>Chief of General Department of Border</t>
  </si>
  <si>
    <t>Guo Boxiong</t>
  </si>
  <si>
    <t xml:space="preserve">First Vice-Chairman of DPRK National Defense Commission </t>
  </si>
  <si>
    <t>Switzerland</t>
  </si>
  <si>
    <t>Bulgaria</t>
  </si>
  <si>
    <t>CinC Navy</t>
  </si>
  <si>
    <t>Minister Delegate in the Presidency in Charge of National Defense</t>
  </si>
  <si>
    <t>Russian Ambassador to China</t>
  </si>
  <si>
    <t>Third official meeting of the SCO Ministers' of Defense in Moscow; Other countries: Kazakhstan, Kyrgyztan, Russia, Tajikistan, Uzbekistan</t>
  </si>
  <si>
    <t>http://cc.pacforum.org/2003/10/russian-chinese-oil-politik/</t>
  </si>
  <si>
    <t>Xu Caihou</t>
  </si>
  <si>
    <t>GPD Director; CMC Member</t>
  </si>
  <si>
    <t>Permanent Secretary of Ministry of Defense</t>
  </si>
  <si>
    <t>Guinea</t>
  </si>
  <si>
    <t>COGS Guinean Armed Forces</t>
  </si>
  <si>
    <t>Chi Wanchun</t>
  </si>
  <si>
    <t>GAD Political Commissar</t>
  </si>
  <si>
    <t>AMS Political Commissar</t>
  </si>
  <si>
    <t>Vice Chairman of State Peace and Development Council, Deputy CinC Defense Services, CinC Army</t>
  </si>
  <si>
    <t>Vice Chairman of DPRK Defense Commission</t>
  </si>
  <si>
    <t>Chairman JCS</t>
  </si>
  <si>
    <t>Military Exercise - Multilateral</t>
  </si>
  <si>
    <t>Coalition 2003</t>
  </si>
  <si>
    <t>Exercise took place on August 6-10 in the Semipalatinsk Region in Kazakhstan and on August 11-12 in China's Xinjiang region.  NOTE: PLA sends observers to Kazakhstan and only deploys forces during the Xinjiang phase. More than 1300 troops, aircraft, artillery and armored vehicles</t>
  </si>
  <si>
    <t>de Haas Journal of Slavic Military Studies 29:3 (2016)</t>
  </si>
  <si>
    <t>https://dlib.eastview.com/browse/doc/14643704</t>
  </si>
  <si>
    <t>Vice-Premier and concurrent Defense Minister</t>
  </si>
  <si>
    <t>Finland</t>
  </si>
  <si>
    <t>Chief of Staff Armed Forces</t>
  </si>
  <si>
    <t>Hungary</t>
  </si>
  <si>
    <t>Partnership of Friendship and Cooperation for Peace and Development [致力于和平发展的友好合作关系]</t>
  </si>
  <si>
    <t>Japan</t>
  </si>
  <si>
    <t>Director-General of JDA</t>
  </si>
  <si>
    <t>Mozambique</t>
  </si>
  <si>
    <t>Minster of Veterans Affairs</t>
  </si>
  <si>
    <t>Tunisia</t>
  </si>
  <si>
    <t>Zimbabwe</t>
  </si>
  <si>
    <t>Luhai destroyer Shenzhen 167, replenishment ship Qinghaihu 885</t>
  </si>
  <si>
    <t>Commander Air Defense Force</t>
  </si>
  <si>
    <t>Ghana</t>
  </si>
  <si>
    <t>Chief of National Defense General Staff</t>
  </si>
  <si>
    <t>Guyana</t>
  </si>
  <si>
    <t>Chief of Staff National Defense Forces</t>
  </si>
  <si>
    <t>Iran</t>
  </si>
  <si>
    <t>Qian Shugen</t>
  </si>
  <si>
    <t>Commander Mobilization Force IRGC</t>
  </si>
  <si>
    <t>https://dlib.eastview.com/browse/doc/14631790</t>
  </si>
  <si>
    <t>Air Force Chief of Staff</t>
  </si>
  <si>
    <t>MOOTW</t>
  </si>
  <si>
    <t>Navy</t>
  </si>
  <si>
    <t>SAREX</t>
  </si>
  <si>
    <t>Sierra Leone</t>
  </si>
  <si>
    <t>Suriname</t>
  </si>
  <si>
    <t>Commander National Defense Forces</t>
  </si>
  <si>
    <t>Sweden</t>
  </si>
  <si>
    <t xml:space="preserve">Deputy CinC Armed Forces </t>
  </si>
  <si>
    <t>SecDef</t>
  </si>
  <si>
    <t>COGS</t>
  </si>
  <si>
    <t>State Affairs Secretary of NSC</t>
  </si>
  <si>
    <t>Botswana</t>
  </si>
  <si>
    <t>Cambodia</t>
  </si>
  <si>
    <t>Deputy CinC Armed Forces</t>
  </si>
  <si>
    <t>Zhu Wenquan</t>
  </si>
  <si>
    <t>Nanjing MR Commander</t>
  </si>
  <si>
    <t>Lanzhou MR Political Commissar</t>
  </si>
  <si>
    <t>Ethiopia</t>
  </si>
  <si>
    <t>Deng Changyou</t>
  </si>
  <si>
    <t>PLAAF Political Commissar</t>
  </si>
  <si>
    <t>Deputy Defense Chief of Staff</t>
  </si>
  <si>
    <t>Vice Minister People's Armed Forces DPRK</t>
  </si>
  <si>
    <t>First Deputy Director FSB</t>
  </si>
  <si>
    <t>CinC Army</t>
  </si>
  <si>
    <t>Togo</t>
  </si>
  <si>
    <t>Uganda</t>
  </si>
  <si>
    <t>Cyprus</t>
  </si>
  <si>
    <t>CinC Air Force</t>
  </si>
  <si>
    <t>PLA NDU Political Commissar</t>
  </si>
  <si>
    <t>Chen Bingde</t>
  </si>
  <si>
    <t>Jinan MR Commander</t>
  </si>
  <si>
    <t>DCOGS trip</t>
  </si>
  <si>
    <t>Macedonia</t>
  </si>
  <si>
    <t>Ge Zhenfeng</t>
  </si>
  <si>
    <t>Commander of the Australian Theater</t>
  </si>
  <si>
    <t>Delegation of middle ranking officers from Sasakawa China-Japan Foundation</t>
  </si>
  <si>
    <t>First Deputy Chief of Staff Russian Armed Forces</t>
  </si>
  <si>
    <t xml:space="preserve">Commander Defense Forces </t>
  </si>
  <si>
    <t>GPD Deputy Director</t>
  </si>
  <si>
    <t>Updated positions with DWP</t>
  </si>
  <si>
    <t>Liu Dongdong</t>
  </si>
  <si>
    <t>Jinan MR Political Commissar</t>
  </si>
  <si>
    <t>CinC National Defense Forces</t>
  </si>
  <si>
    <t>Israel</t>
  </si>
  <si>
    <t>Pei Huailiang</t>
  </si>
  <si>
    <t>PLA NDU President</t>
  </si>
  <si>
    <t>JADSF Chief of Staff</t>
  </si>
  <si>
    <t>Jordan</t>
  </si>
  <si>
    <t>Commander, Air Force</t>
  </si>
  <si>
    <t>ROK NDU President</t>
  </si>
  <si>
    <t>Syria</t>
  </si>
  <si>
    <t>Barbados</t>
  </si>
  <si>
    <t>Comprehensive Strategic Partnership [全面战略伙伴关系]</t>
  </si>
  <si>
    <t xml:space="preserve">Air Force Commander </t>
  </si>
  <si>
    <t>Director General of General Logistics and Finance</t>
  </si>
  <si>
    <t>Wen Zongren</t>
  </si>
  <si>
    <t>Chief of Staff, Air Force</t>
  </si>
  <si>
    <t>8 vessels</t>
  </si>
  <si>
    <t>State Affairs Secretary</t>
  </si>
  <si>
    <t>former Chairman JCS</t>
  </si>
  <si>
    <t xml:space="preserve">Chief, GPD </t>
  </si>
  <si>
    <t>Niger</t>
  </si>
  <si>
    <t>Chief of Naval Staff, Pakistan</t>
  </si>
  <si>
    <t>Commandant Pakistan National Defense College</t>
  </si>
  <si>
    <t>Comprehensive Friendly Cooperative Partnership [全面友好合作伙伴关系]</t>
  </si>
  <si>
    <t>Li Yu</t>
  </si>
  <si>
    <t>GSD Assistant Commander</t>
  </si>
  <si>
    <t>State Affairs Secretary and concurrent Chief of General Ordnance Department</t>
  </si>
  <si>
    <t>Deputy General Inspector Armed Forces</t>
  </si>
  <si>
    <t>Zhao Keming</t>
  </si>
  <si>
    <t>first defense security seminar of the Shanghai Cooperation Organization</t>
  </si>
  <si>
    <t>https://dlib.eastview.com/browse/doc/14666368</t>
  </si>
  <si>
    <t>PACOM Commander</t>
  </si>
  <si>
    <t>Angola</t>
  </si>
  <si>
    <t>Li Qianyuan</t>
  </si>
  <si>
    <t>Lanzhou MR Commander</t>
  </si>
  <si>
    <t>Fan Changlong</t>
  </si>
  <si>
    <t>United Arab Emirates</t>
  </si>
  <si>
    <t>https://dlib-eastview-com.ezproxy.princeton.edu/search/simple/doc?pager.offset=0&amp;id=14666421&amp;hl=%E9%98%BF%E8%81%94https://dlib.eastview.com/browse/doc/14666421</t>
  </si>
  <si>
    <t>Uruguay</t>
  </si>
  <si>
    <t>Austria</t>
  </si>
  <si>
    <t>COGS Austrian Army</t>
  </si>
  <si>
    <t>Commander, Armed Forces</t>
  </si>
  <si>
    <t>Commander, western army</t>
  </si>
  <si>
    <t>Guinea-Bissau</t>
  </si>
  <si>
    <t>Vice Chairman, Committee of Chief of Staff and Chief of Dept of Operation Planning of Defense Ministry</t>
  </si>
  <si>
    <t>Deputy Defense Minister</t>
  </si>
  <si>
    <t>Lebanon</t>
  </si>
  <si>
    <t>Liu Zhenwu</t>
  </si>
  <si>
    <t>Guangzhou MR Commander</t>
  </si>
  <si>
    <t>Friendly Cooperative Partnership [友好合作伙伴关系]</t>
  </si>
  <si>
    <t>Lithuania</t>
  </si>
  <si>
    <t>https://dlib.eastview.com/browse/doc/14386032</t>
  </si>
  <si>
    <t>Serbia</t>
  </si>
  <si>
    <t>Wu Shengli</t>
  </si>
  <si>
    <t xml:space="preserve">PLAN Commander </t>
  </si>
  <si>
    <t>https://dlib.eastview.com/browse/doc/14660911</t>
  </si>
  <si>
    <t>https://dlib.eastview.com/browse/doc/14386034</t>
  </si>
  <si>
    <t>Defense Secretary</t>
  </si>
  <si>
    <t>Qiao Qingchen</t>
  </si>
  <si>
    <t>Royal Army Chief</t>
  </si>
  <si>
    <t>https://dlib.eastview.com/browse/doc/14663334</t>
  </si>
  <si>
    <t>No corroborating reporting on this visit; assess Cao Gangchuan as likely counterpart</t>
  </si>
  <si>
    <t>Defense Minister and VP of Swiss Confederation</t>
  </si>
  <si>
    <t>Albania</t>
  </si>
  <si>
    <t>Chief Commander of the ADF</t>
  </si>
  <si>
    <t>Qian Nanzhong</t>
  </si>
  <si>
    <t>Shenyang MR Commander</t>
  </si>
  <si>
    <t>Chief of the Defense Staff</t>
  </si>
  <si>
    <t>CinC Armed Forces</t>
  </si>
  <si>
    <t>First Sea Lord and Chief of Naval Staff</t>
  </si>
  <si>
    <t>Air Force Commander</t>
  </si>
  <si>
    <t>https://dlib.eastview.com/browse/doc/14653038</t>
  </si>
  <si>
    <t>Chief of Joint Command</t>
  </si>
  <si>
    <t>Army Chief</t>
  </si>
  <si>
    <t>Zhang Li</t>
  </si>
  <si>
    <t>https://dlib.eastview.com/browse/doc/14656319</t>
  </si>
  <si>
    <t xml:space="preserve"> </t>
  </si>
  <si>
    <t>Co-heads of US House Armed Services Committee</t>
  </si>
  <si>
    <t>Chief of Defense Staff</t>
  </si>
  <si>
    <t>Yang Deqing</t>
  </si>
  <si>
    <t>Guangzhou MR Political Commissar</t>
  </si>
  <si>
    <t>CinC Military Police</t>
  </si>
  <si>
    <t>Deputy Minister of State for Defense</t>
  </si>
  <si>
    <t>Lesotho</t>
  </si>
  <si>
    <t>Chief of Defense Forces</t>
  </si>
  <si>
    <t>Liberia</t>
  </si>
  <si>
    <t>https://dlib.eastview.com/browse/doc/14712209</t>
  </si>
  <si>
    <t>PLAAF Commander; CMC Member</t>
  </si>
  <si>
    <t>Sun Dafa</t>
  </si>
  <si>
    <t>DCOGS</t>
  </si>
  <si>
    <t>No corroborating reporting on this visit; assess Xiong Guangkai as likely counterpart</t>
  </si>
  <si>
    <t>Denmark</t>
  </si>
  <si>
    <t>Netherlands</t>
  </si>
  <si>
    <t>Director of Army</t>
  </si>
  <si>
    <t>Deputy Chief of Army Staff</t>
  </si>
  <si>
    <t>Navy Commander</t>
  </si>
  <si>
    <t>Comoros</t>
  </si>
  <si>
    <t>Djibouti</t>
  </si>
  <si>
    <t>Secretary-General of Defense Ministry</t>
  </si>
  <si>
    <t>Strategic Partnership for Peace and Prosperity [战略伙伴关系]</t>
  </si>
  <si>
    <t>Chief of Italian Army</t>
  </si>
  <si>
    <t>Chief of Land Forces</t>
  </si>
  <si>
    <t>COGS ROKAF</t>
  </si>
  <si>
    <t>Gendarmerie Commander</t>
  </si>
  <si>
    <t>Fu Tinggui</t>
  </si>
  <si>
    <t>Beijing MR Political Commissar</t>
  </si>
  <si>
    <t>Zheng Shenxia</t>
  </si>
  <si>
    <t>AMS President</t>
  </si>
  <si>
    <t>GLD Deputy Director</t>
  </si>
  <si>
    <t>He Yong</t>
  </si>
  <si>
    <t xml:space="preserve">Member of Secretariat </t>
  </si>
  <si>
    <t>Commander, National Guard</t>
  </si>
  <si>
    <t>Xu Qiliang</t>
  </si>
  <si>
    <t>Director, Royal College of Defense Studies</t>
  </si>
  <si>
    <t>https://dlib.eastview.com/browse/doc/14694891</t>
  </si>
  <si>
    <t>Superintendent USMA West Point</t>
  </si>
  <si>
    <t>https://dlib.eastview.com/browse/doc/14696449</t>
  </si>
  <si>
    <t>Zhang Dingfa</t>
  </si>
  <si>
    <t>No corroborating reporting on this visit; assess PLAN commander as likely counterpart</t>
  </si>
  <si>
    <t>Assistant Defense Minister</t>
  </si>
  <si>
    <t>https://dlib.eastview.com/browse/doc/14675628</t>
  </si>
  <si>
    <t>Vanuatu</t>
  </si>
  <si>
    <t>Minister of Home Affairs</t>
  </si>
  <si>
    <t>https://dlib.eastview.com/browse/doc/14698980</t>
  </si>
  <si>
    <t>https://dlib.eastview.com/browse/doc/14680808</t>
  </si>
  <si>
    <t>Mali</t>
  </si>
  <si>
    <t>Minister of Defense and Retired Servicemen</t>
  </si>
  <si>
    <t>Combat</t>
  </si>
  <si>
    <t>Peace Mission 2005</t>
  </si>
  <si>
    <t>Joint</t>
  </si>
  <si>
    <t>Army, Navy, Air Force, SOF; nominal anti-terrorism focus.  August 18–25</t>
  </si>
  <si>
    <t>Under SCO auspices, but coded as Russia because it is a BL exercise.</t>
  </si>
  <si>
    <t>Deputy Prime Minister and Defense Minister</t>
  </si>
  <si>
    <t>Papua New Guinea</t>
  </si>
  <si>
    <t>Secretary of State of Ministry of Defense</t>
  </si>
  <si>
    <t>President and Defense Minister</t>
  </si>
  <si>
    <t>Chief of People's Defense Force</t>
  </si>
  <si>
    <t>Afghanistan</t>
  </si>
  <si>
    <t>Deputy Chief ADF</t>
  </si>
  <si>
    <t>https://dlib.eastview.com/browse/doc/14690844</t>
  </si>
  <si>
    <t>Chief of Defense</t>
  </si>
  <si>
    <t>https://dlib.eastview.com/browse/doc/14702697</t>
  </si>
  <si>
    <t>First Deputy Defense Minister</t>
  </si>
  <si>
    <t>Jing Zhiyuan</t>
  </si>
  <si>
    <t>PLASAF Commander; CMC Member</t>
  </si>
  <si>
    <t>Bosnia-Herzegovina</t>
  </si>
  <si>
    <t>Central African Republic</t>
  </si>
  <si>
    <t>Luhai destroyer Shenzhen 167, replenishment ship Weishanhu 887</t>
  </si>
  <si>
    <t>Commander National Guard</t>
  </si>
  <si>
    <t>Moldova</t>
  </si>
  <si>
    <t>Deputy Commander Armed Forces and Defense Minister</t>
  </si>
  <si>
    <t>Minister Delegate in the Presidency in Charge of Defense and Veterans</t>
  </si>
  <si>
    <t>Deputy Chief of Defense Force</t>
  </si>
  <si>
    <t>DR Congo</t>
  </si>
  <si>
    <t>Fiji</t>
  </si>
  <si>
    <t>Commander Armed Forces</t>
  </si>
  <si>
    <t>Coded as Oceania instead of Southeast Asia</t>
  </si>
  <si>
    <t>http://www.chinavitae.com/vip/index.php?mode=show&amp;id=4545</t>
  </si>
  <si>
    <t>Changed from Zeng Qinghong</t>
  </si>
  <si>
    <t>Defense Minster</t>
  </si>
  <si>
    <t>https://dlib.eastview.com/browse/doc/14704768</t>
  </si>
  <si>
    <t>https://dlib.eastview.com/browse/doc/14711056</t>
  </si>
  <si>
    <t>Ma Xiaotian</t>
  </si>
  <si>
    <t>Peng Xiaofeng</t>
  </si>
  <si>
    <t>PLASAF Political Commissar</t>
  </si>
  <si>
    <t>Commander Border Forces</t>
  </si>
  <si>
    <t>https://dlib.eastview.com/browse/doc/14712481</t>
  </si>
  <si>
    <t>Rwanda</t>
  </si>
  <si>
    <t>East-Antiterror-2006</t>
  </si>
  <si>
    <t xml:space="preserve">Special forces anti-terrorism exercise in Uzbekistan; Other countries: Russia, China, Kazakhstan; Krygyzstan; Tajikistan; Uzbekistan; </t>
  </si>
  <si>
    <t>https://jamestown.org/program/uzbekistan-hosts-sco-anti-terrorist-drill/; de Haas Journal of Slavic Military Studies 29:3 (2016)</t>
  </si>
  <si>
    <t>Zhu Qi</t>
  </si>
  <si>
    <t>Beijing MR Commander</t>
  </si>
  <si>
    <t>ML - Margins</t>
  </si>
  <si>
    <t>SCO Defense Ministers' Sidelines</t>
  </si>
  <si>
    <t>Fourth official meeting of the SCO Ministers' of Defense in Shanghai; Other countries: Kazakhstan, Kyrgyztan, Russia, Tajikistan, Uzbekistan</t>
  </si>
  <si>
    <t>http://www.chinaconsulatesf.org/eng/xw/t249533.htm#:~:text=On%20April%2026%2C%202006%2C%20Premier,SCO)%20Defense%20Ministers'%20Meeting.</t>
  </si>
  <si>
    <t>US NDU President</t>
  </si>
  <si>
    <t>https://dlib.eastview.com/browse/doc/14686566</t>
  </si>
  <si>
    <t>Burundi</t>
  </si>
  <si>
    <t>Minister of State for Defense</t>
  </si>
  <si>
    <t>Yu Linxiang</t>
  </si>
  <si>
    <t>Supreme Commander Armed Forces</t>
  </si>
  <si>
    <t>Chief of Navy</t>
  </si>
  <si>
    <t>Chief of General Office, Ministry of Defense</t>
  </si>
  <si>
    <t>KPA army commander</t>
  </si>
  <si>
    <t>Qatar</t>
  </si>
  <si>
    <t>Chief of Special Operations</t>
  </si>
  <si>
    <t>https://dlib.eastview.com/browse/doc/14707183</t>
  </si>
  <si>
    <t>Chief of Armed Forces</t>
  </si>
  <si>
    <t>Qi Zhengxiang</t>
  </si>
  <si>
    <t>Luhu destroyer Qingdao 113, replenishment ship Hongzehu 881</t>
  </si>
  <si>
    <t>Tianshan-1</t>
  </si>
  <si>
    <t>PAP</t>
  </si>
  <si>
    <t>First PAP cooperation with foreign security forces</t>
  </si>
  <si>
    <t>https://www.jstor.org/stable/pdf/resrep11945.11.pdf?refreqid=excelsior%3A4fac441d45c51d61db50c8bc19c2628f</t>
  </si>
  <si>
    <t>UNK</t>
  </si>
  <si>
    <t>North Sea Fleet Commander</t>
  </si>
  <si>
    <t>PACOM Commander visit to Harbin</t>
  </si>
  <si>
    <t xml:space="preserve">https://www.npr.org/templates/story/story.php?storyId=6135356 </t>
  </si>
  <si>
    <t>No counterpart identified; assess North Sea Fleet Commander given Harbin location</t>
  </si>
  <si>
    <t>Cape Verde</t>
  </si>
  <si>
    <t>https://dlib.eastview.com/browse/doc/14711783</t>
  </si>
  <si>
    <t>Huang Xianzhong</t>
  </si>
  <si>
    <t>Coordination-2006</t>
  </si>
  <si>
    <t>First joint anti-terrorism military exercise; in Tajikistan; 450 troops; TJ artillery, infantry, airborne; PLA reinforced company of 150+ troops</t>
  </si>
  <si>
    <t>Defense White Paper Appendix; de Haas Journal of Slavic Military Studies 29:3 (2016)</t>
  </si>
  <si>
    <t>Miscoded as 2005 exercise in previous DB</t>
  </si>
  <si>
    <t>Commander of Army and Navy</t>
  </si>
  <si>
    <t>Chad</t>
  </si>
  <si>
    <t>Estonia</t>
  </si>
  <si>
    <t>https://dlib.eastview.com/browse/doc/14697011</t>
  </si>
  <si>
    <t>Inspector General of Armed Forces</t>
  </si>
  <si>
    <t>https://dlib.eastview.com/browse/doc/14715624</t>
  </si>
  <si>
    <t>https://dlib.eastview.com/browse/doc/14688205</t>
  </si>
  <si>
    <t>Chief of General Political Department</t>
  </si>
  <si>
    <t>Yemen</t>
  </si>
  <si>
    <t>https://dlib.eastview.com/browse/doc/14714804</t>
  </si>
  <si>
    <t>Zhang Haiyang</t>
  </si>
  <si>
    <t>Chengdu MR Political Commissar</t>
  </si>
  <si>
    <t>https://web.archive.org/web/20120322070501/http://news.163.com/09/1231/17/5RSLONPS000120GU.html</t>
  </si>
  <si>
    <t>https://dlib.eastview.com/browse/doc/14713441</t>
  </si>
  <si>
    <t>Chief of Staff Navy</t>
  </si>
  <si>
    <t>Former director-general of JDA</t>
  </si>
  <si>
    <t>COGS Army</t>
  </si>
  <si>
    <t>Zhao Keshi</t>
  </si>
  <si>
    <t>Aman</t>
  </si>
  <si>
    <t>Maritime in Arabian Sea; Pakistan and 10 other countries</t>
  </si>
  <si>
    <t>Liao Xilong</t>
  </si>
  <si>
    <t>GLD Director; CMC Member</t>
  </si>
  <si>
    <t>Deputy Chief of Staff</t>
  </si>
  <si>
    <t>Chief of Staff of Defense Force</t>
  </si>
  <si>
    <t>https://dlib.eastview.com/browse/doc/24491764</t>
  </si>
  <si>
    <t>Chief of the Armed Forces</t>
  </si>
  <si>
    <t>PLAN Commander; CMC Member</t>
  </si>
  <si>
    <t>General Secretary of Defense Ministry</t>
  </si>
  <si>
    <t>Chief of the Joint Staff</t>
  </si>
  <si>
    <t>https://dlib.eastview.com/browse/doc/24536821</t>
  </si>
  <si>
    <t>Chief of Staff Air Force</t>
  </si>
  <si>
    <t>Zhang Yang</t>
  </si>
  <si>
    <t>MISCODED as hosted visit in V3.0</t>
  </si>
  <si>
    <t>Chang Wanquan</t>
  </si>
  <si>
    <t>Chief of Defense Force</t>
  </si>
  <si>
    <t>Zhang Youxia</t>
  </si>
  <si>
    <t>Issyuk-Kul Antiterror-2007</t>
  </si>
  <si>
    <t>anti-terrorism exercise in Kyrgyzstan; Countries: Russia, China, Tajikistan, Kazakhstan, Uzbekistan and Kyrgyzstan; intelligence services, special forces, and law enforcement; exercises in mountains and hostage scenarios</t>
  </si>
  <si>
    <t>https://jamestown.org/program/the-chinese-navys-emerging-support-network-in-the-indian-ocean/</t>
  </si>
  <si>
    <t>Navy Chief</t>
  </si>
  <si>
    <t>Liu Chengjun</t>
  </si>
  <si>
    <t>WPNS</t>
  </si>
  <si>
    <t>WPNS 2007 Maritime Exercise (MMEx)</t>
  </si>
  <si>
    <t>Maritime; HADR; anti-piracy; WPNS 2007 attendees +7</t>
  </si>
  <si>
    <t>https://www.nas.gov.sg/archivesonline/data/pdfdoc/20070516999.htm</t>
  </si>
  <si>
    <t>Chinese TV coverage suggests PLAN participated.</t>
  </si>
  <si>
    <t>Zhang Qinsheng</t>
  </si>
  <si>
    <t>IISS</t>
  </si>
  <si>
    <t>6th Shangri-La Dialogue</t>
  </si>
  <si>
    <t xml:space="preserve">http://eng.chinamil.com.cn/view/2019-05/31/content_9519879.htm </t>
  </si>
  <si>
    <t>Tong Shiping</t>
  </si>
  <si>
    <t>Fifth official meeting of the SCO Ministers' of Defense in Bishkek; Other countries: Kazakhstan, Kyrgyztan, Russia, Tajikistan, Uzbekistan</t>
  </si>
  <si>
    <t>https://www.fmprc.gov.cn/mfa_eng/wjdt_665385/2649_665393/t355665.shtml</t>
  </si>
  <si>
    <t>China's "New" Diplomacy: Tactical or Fundamental Change?, page 204</t>
  </si>
  <si>
    <t>https://dlib.eastview.com/browse/doc/24489731</t>
  </si>
  <si>
    <t xml:space="preserve">Chen Xiaogong </t>
  </si>
  <si>
    <t>https://dlib.eastview.com/browse/doc/24529512</t>
  </si>
  <si>
    <t>Hu Yanlin</t>
  </si>
  <si>
    <t>Grenada</t>
  </si>
  <si>
    <t>Strike 2007</t>
  </si>
  <si>
    <t>Commander Defense Force</t>
  </si>
  <si>
    <t>https://dlib.eastview.com/browse/doc/24489383</t>
  </si>
  <si>
    <t>Peace Mission 2007</t>
  </si>
  <si>
    <t>Army, Navy, Air Force, SOF. Countries: Russia, Tajikistan, Kazakhstan, Uzbekistan and Kyrgyzstan.  Aug. 9 to Aug. 17.</t>
  </si>
  <si>
    <t xml:space="preserve">http://en.people.cn/90002/91620/index.html </t>
  </si>
  <si>
    <t>Cooperation 2007</t>
  </si>
  <si>
    <t>Snow Leopard commando unit</t>
  </si>
  <si>
    <t>https://www.jstor.org/stable/resrep11945.11?seq=1#metadata_info_tab_contents</t>
  </si>
  <si>
    <t>Seychelles</t>
  </si>
  <si>
    <t>Joint Maritime SAREX</t>
  </si>
  <si>
    <t xml:space="preserve">SAREX. Other countries: New Zeland </t>
  </si>
  <si>
    <t>Joint Secretary of Ministry of Defense</t>
  </si>
  <si>
    <t>Ivory Coast</t>
  </si>
  <si>
    <t>Shenzhen</t>
  </si>
  <si>
    <t>http://au.china-embassy.org/eng/xw/t385273.htm</t>
  </si>
  <si>
    <t>https://dlib.eastview.com/browse/doc/24526495</t>
  </si>
  <si>
    <t>Hand-in-Hand 2007</t>
  </si>
  <si>
    <t>Madagascar</t>
  </si>
  <si>
    <t>Inspector of Navy</t>
  </si>
  <si>
    <t>https://dlib.eastview.com/browse/doc/14723065</t>
  </si>
  <si>
    <t>Chairman Armed Services Committee US House of Representatives</t>
  </si>
  <si>
    <t>Saudi Arabia</t>
  </si>
  <si>
    <t>Army COGS</t>
  </si>
  <si>
    <t>https://dlib.eastview.com/browse/doc/18636239</t>
  </si>
  <si>
    <t>Mutually Beneficial Strategic Relationship [战略互惠关系]</t>
  </si>
  <si>
    <t>JCS</t>
  </si>
  <si>
    <t>Secretary General of Federal Department of Defense</t>
  </si>
  <si>
    <t>Malawi</t>
  </si>
  <si>
    <t>Wang Guosheng</t>
  </si>
  <si>
    <t>Chairman State Duma Defense Committee</t>
  </si>
  <si>
    <t>Commandant, USMC</t>
  </si>
  <si>
    <t>7th Shangri-La Dialogue</t>
  </si>
  <si>
    <t>Sixth official meeting of the SCO Ministers' of Defense in Tajikistan; Other countries: Kazakhstan, Kyrgyztan, Russia, Tajikistan, Uzbekistan</t>
  </si>
  <si>
    <t>Qi Jianguo</t>
  </si>
  <si>
    <t>Tonga</t>
  </si>
  <si>
    <t>https://dlib.eastview.com/browse/doc/17685252</t>
  </si>
  <si>
    <t>former Secretary of Defense</t>
  </si>
  <si>
    <t>Commander ADF</t>
  </si>
  <si>
    <t>Chief of Staff Defense Force</t>
  </si>
  <si>
    <t>Strike 2008</t>
  </si>
  <si>
    <t>Chief of Defense Industries</t>
  </si>
  <si>
    <t>Wang Xibin</t>
  </si>
  <si>
    <t>https://dlib.eastview.com/browse/doc/18952140</t>
  </si>
  <si>
    <t>https://dlib.eastview.com/browse/doc/18939547</t>
  </si>
  <si>
    <t>Liu Yuan</t>
  </si>
  <si>
    <t>Friendly Partnership [友好伙伴关系)]</t>
  </si>
  <si>
    <t>Jamaica</t>
  </si>
  <si>
    <t>https://dlib.eastview.com/browse/doc/19041905</t>
  </si>
  <si>
    <t>Bahrain</t>
  </si>
  <si>
    <t>Oman</t>
  </si>
  <si>
    <t xml:space="preserve">Port Call - Friendly Visit </t>
  </si>
  <si>
    <t>USCC Report 2009</t>
  </si>
  <si>
    <t>Head JCS</t>
  </si>
  <si>
    <t>Hand-in-Hand 2008</t>
  </si>
  <si>
    <t>Malta</t>
  </si>
  <si>
    <t>https://dlib.eastview.com/browse/doc/19268531</t>
  </si>
  <si>
    <t>Maldives</t>
  </si>
  <si>
    <t>Port Call - Replenish/Overhaul</t>
  </si>
  <si>
    <t>DDG169 Wuhan, DDG171 Haikou, AOR887 Weishan Hu; unknown, could also be ETF-2</t>
  </si>
  <si>
    <t>Seventh official meeting of the SCO Ministers' of Defense in Moscow; Other countries: Kazakhstan, Kyrgyztan, Russia, Tajikistan, Uzbekistan</t>
  </si>
  <si>
    <t>http://infoshos.ru/en/?idn=4137</t>
  </si>
  <si>
    <t>CNO</t>
  </si>
  <si>
    <t>Chen Guoling</t>
  </si>
  <si>
    <t>CinC Armed Forces, Defense Minister and Military Production</t>
  </si>
  <si>
    <t>8th Shangri-La Dialogue</t>
  </si>
  <si>
    <t>Peace Angel 2009</t>
  </si>
  <si>
    <t>HADR</t>
  </si>
  <si>
    <t>Peacekeeping Mission</t>
  </si>
  <si>
    <t>Peacekeeping</t>
  </si>
  <si>
    <t>DDG167 Shenzhen, FFG570 Huangshan, AOR887 Weishan Hu; uncertain, could also be ETF-3</t>
  </si>
  <si>
    <t xml:space="preserve">Chief of Defense Force </t>
  </si>
  <si>
    <t>Cooperation 2009</t>
  </si>
  <si>
    <t>Security training</t>
  </si>
  <si>
    <t>USDP</t>
  </si>
  <si>
    <t>State Secretary of Defense Ministry</t>
  </si>
  <si>
    <t>Peace Mission 2009</t>
  </si>
  <si>
    <t>Army, Navy, Air Force, SOF; anti-terrorism; Participant: Russia; Observer countries: Kazakhstan, Kyrgyzstan, Tajikistan and Uzbekistan. July 22 to 26</t>
  </si>
  <si>
    <t>Under SCO auspices, but coded as Russia because it is a BL exercise and other SCO states are only observers.</t>
  </si>
  <si>
    <t>President of Serbian Parliament</t>
  </si>
  <si>
    <t>https://dlib.eastview.com/browse/doc/20378334</t>
  </si>
  <si>
    <t>DDG167 Shenzhen, FFG570 Huangshan, AOR887 Weishan Hu</t>
  </si>
  <si>
    <t>FFG529 Zhoushan, FFG530 Xuzhou, AOR886 Qiandao Hu</t>
  </si>
  <si>
    <t>Port Call - Friendly Visit and Drills</t>
  </si>
  <si>
    <t>Anti-piracy</t>
  </si>
  <si>
    <t>Unknown Karachi 2009</t>
  </si>
  <si>
    <t>Southeast Asian Affairs (2010), 397</t>
  </si>
  <si>
    <t>French Polynesia</t>
  </si>
  <si>
    <t>Friendship Operation 2009</t>
  </si>
  <si>
    <t>Mountain troops</t>
  </si>
  <si>
    <t>Peace Shield 2009</t>
  </si>
  <si>
    <t>Maritime manuever in Gulf of Aden, 18 Sept. 2009</t>
  </si>
  <si>
    <t>https://sputniknews.com/military/20090918156169511/</t>
  </si>
  <si>
    <t>River/port Emergencies Exercises</t>
  </si>
  <si>
    <t>“the first joint border blockading and controlling military exercise” conducted between China and Russia</t>
  </si>
  <si>
    <t>General Director, GPD</t>
  </si>
  <si>
    <t>https://dlib.eastview.com/browse/doc/20662675</t>
  </si>
  <si>
    <t>BY position counterpart would be GPD director; Comparative Connections chronology for that quarter is missing</t>
  </si>
  <si>
    <t>http://english.chinamil.com.cn/special-reports/2007zgjdgjtm/node_15411.htm</t>
  </si>
  <si>
    <t>Chief of Staff Army</t>
  </si>
  <si>
    <t>Zheng He</t>
  </si>
  <si>
    <t>https://www.japantimes.co.jp/news/2009/11/06/national/china-naval-vessel-makes-port-call/#.Xuz1WHt7nec</t>
  </si>
  <si>
    <t>Senegal</t>
  </si>
  <si>
    <t>Liu Xiaojiang</t>
  </si>
  <si>
    <t>http://www.globaltimes.cn/content/489653.shtml</t>
  </si>
  <si>
    <t>Head of Department of International Military Cooperation, Ministry of Defense</t>
  </si>
  <si>
    <t>Minister of Defense and Chief of Defense Staff of the Armed Forces</t>
  </si>
  <si>
    <t>FFG525 Ma'anshan, FFG526 Wenzhou, AOR886 Qiandao Hu</t>
  </si>
  <si>
    <t>Secretary General of Defense and National Armaments Director</t>
  </si>
  <si>
    <t>Chief of Staff of Ground Self Defense Force (GSDF)</t>
  </si>
  <si>
    <t>DDG168 Guangzhou, FFG568 Hengyang, AOR887 Weishan Hu; uncertain, could also be ETF-4</t>
  </si>
  <si>
    <t>Unknown Karachi 2010</t>
  </si>
  <si>
    <t xml:space="preserve"> 7-13 March 2010, anti-piracy ETF joint drills and friendly visit, Six Years p. 129</t>
  </si>
  <si>
    <t>CO of National Defense Studies Institute</t>
  </si>
  <si>
    <t>FFG525 Ma'anshan, FFG526 Wenzhou, AOR886 Qiandao Hu; uncertain, could also be ETF-5</t>
  </si>
  <si>
    <t>Minister of National Defense</t>
  </si>
  <si>
    <t>Minister of Defense</t>
  </si>
  <si>
    <t>Fang Fenghui</t>
  </si>
  <si>
    <t>Chief of ADF Air Force</t>
  </si>
  <si>
    <t>Du Hengyan</t>
  </si>
  <si>
    <t>DDG168 Guangzhou, FFG568 Hengyang, AOR887 Weishan Hu</t>
  </si>
  <si>
    <t>Former Deputy Chairman JCS and former USAF Chief of Staff</t>
  </si>
  <si>
    <t>9th Shangri-La Dialogue</t>
  </si>
  <si>
    <t>Sasakawa Japan-China Friendship Fund</t>
  </si>
  <si>
    <t>Chief of Navy Staff</t>
  </si>
  <si>
    <t>Minister Responsible for Defense Affairs</t>
  </si>
  <si>
    <t>Commander of the Defense Forces</t>
  </si>
  <si>
    <t>Friendship 2010</t>
  </si>
  <si>
    <t>Chief of the General Staff of the Armed Forces</t>
  </si>
  <si>
    <t>Commander of the Defense Services</t>
  </si>
  <si>
    <t>LPD998 Kunlun Shan, DDG170 Lanzhou, AOR887 Weishan Hu;uncertain, could be ETF-5</t>
  </si>
  <si>
    <t>Air Force COGS</t>
  </si>
  <si>
    <t>Combat Support</t>
  </si>
  <si>
    <t>Unknown Taranto 2010</t>
  </si>
  <si>
    <t>DDG168 Guangzhou, FFG568 Hengyang, AOR887 Weishan Hu; uncertain, could also be ETF-6</t>
  </si>
  <si>
    <t>SAREX in Yellow Sea; Included Live Fire exercise</t>
  </si>
  <si>
    <t>https://www.voanews.com/a/australia-china-conduct-live-fire-naval-exercise-in-yellow-sea-103780194/126679.html; Defense White Paper Appendix</t>
  </si>
  <si>
    <t xml:space="preserve"> training ship Zhenghe and frigate Mianyang in Sydney and Darwin</t>
  </si>
  <si>
    <t>https://www.defenceiq.com/naval-maritime-defence/press-releases/people-s-republic-of-china-navy-visit-to-australia</t>
  </si>
  <si>
    <t>LPD998 Kunlun Shan, DDG170 Lanzhou, AOR887 Weishan Hu</t>
  </si>
  <si>
    <t>Sun Jianguo</t>
  </si>
  <si>
    <t>Assistant to COGS</t>
  </si>
  <si>
    <t xml:space="preserve"> training ship Zhenghe and frigate Mianyang in Auckland</t>
  </si>
  <si>
    <t>http://www.china.org.cn/world/2010-09/11/content_20910137.htm</t>
  </si>
  <si>
    <t>Peace Mission 2010</t>
  </si>
  <si>
    <t xml:space="preserve">Army, Navy, Air Force, SOF; anti-terrorism. Other countries: Kazakhstan, Kyrgyzstan, Russia, Tajikistan. Drills in  Kazakhstan from Sept. 9 to 25 </t>
  </si>
  <si>
    <t>https://jamestown.org/program/chinas-growing-clout-in-the-sco-peace-mission-2010/</t>
  </si>
  <si>
    <t>Port Call - Replenish/Overhaul and Drills</t>
  </si>
  <si>
    <t>Cooperation 2010</t>
  </si>
  <si>
    <t>Changji 5-7 Sept. 2010, anti-piracy ETF joint drills, friendly visit, and replenish/overhaul; Six Years p. 131</t>
  </si>
  <si>
    <t>Anatolian Eagle</t>
  </si>
  <si>
    <t>Air Force</t>
  </si>
  <si>
    <t>Operational aerial maneuvers</t>
  </si>
  <si>
    <t>Strategic Partnership [战略伙伴关系] for Peace and Prosperity</t>
  </si>
  <si>
    <t>ASEAN</t>
  </si>
  <si>
    <t>1st ADMM+</t>
  </si>
  <si>
    <t>http://www.asean-china-center.org/english/2010-10/13/c_13555726.htm</t>
  </si>
  <si>
    <t>corrected partnership to strategic partnership for peace and prosperity</t>
  </si>
  <si>
    <t>Director Security Policy Directorate</t>
  </si>
  <si>
    <t>Director Planning and Policy Bureau, National Defense Staff</t>
  </si>
  <si>
    <t>On Margins of ADMM+ meeting in Hanoi</t>
  </si>
  <si>
    <t>Port Call - HADR/Friendly</t>
  </si>
  <si>
    <t>recoded to delete drills</t>
  </si>
  <si>
    <t>KPA Vice Marshal, Vice Chairman CMC and COGS KPA</t>
  </si>
  <si>
    <t>Strike 2010</t>
  </si>
  <si>
    <t>Vietnamese Prime Minister</t>
  </si>
  <si>
    <t>http://www.china.org.cn/world/2010-10/11/content_21100579.htm</t>
  </si>
  <si>
    <t>Chief of the Army Staff</t>
  </si>
  <si>
    <t>http://eng.chinamil.com.cn/special-reports/2010-11/15/content_4674260.htm</t>
  </si>
  <si>
    <t>Li Changcai</t>
  </si>
  <si>
    <t>Chief of the Air Staff</t>
  </si>
  <si>
    <t>http://www.china.org.cn/world/2010-11/18/content_21372399.htm; https://tribune.com.pk/story/78515/air-chief-sees-bright-prospects-for-jf-17-in-aviation-market/; http://www.chinavitae.com/vip/index.php?mode=show&amp;id=9444</t>
  </si>
  <si>
    <t xml:space="preserve">Can't find PLA counterpart; visit is listed in 2010 defense white paper; he attended Zhuhai air show.  PLAAF commander Xu Qiliang was also at Zhuhai and met with foreign delegations (NFI); CMC VC Guo Boxiong was also there </t>
  </si>
  <si>
    <t>Peace Angel 2010</t>
  </si>
  <si>
    <t>Defense White Paper Appendix; PLA Daily 2010-11-18</t>
  </si>
  <si>
    <t>Friendship Operation 2010</t>
  </si>
  <si>
    <t>Secretary of the Ministry of Defense and Commander of the National Defense Force</t>
  </si>
  <si>
    <t>Blue Strike 2010</t>
  </si>
  <si>
    <t>Amphibious assault; Marines</t>
  </si>
  <si>
    <t>Special forces in hills of turkey</t>
  </si>
  <si>
    <t>Defense White Paper Appendix; https://jamestown.org/program/sino-turkish-strategic-partnership-implications-of-anatolian-eagle-2010/</t>
  </si>
  <si>
    <t>Retired USN Admiral</t>
  </si>
  <si>
    <t>Navy Political Commissar</t>
  </si>
  <si>
    <t>Chief of Defense Staff of the Armed Forces</t>
  </si>
  <si>
    <t>Assistant to Defense Minister</t>
  </si>
  <si>
    <t>LPD998 Kunlun Shan, DDG170 Lanzhou, AOR887 Weishan Hu; uncertain, could also be ETF-7</t>
  </si>
  <si>
    <t>Commander of the Navy</t>
  </si>
  <si>
    <t>Chief of Staff, Strategic Planning</t>
  </si>
  <si>
    <t>Chief of the Navy Staff</t>
  </si>
  <si>
    <t>FFG529 Zhoushan, FFG530 Xuzhou, AOR886 Qingdao Hu</t>
  </si>
  <si>
    <t>Director International Policy Bureau of Defense Ministry</t>
  </si>
  <si>
    <t>Director for Military Foreign Affairs</t>
  </si>
  <si>
    <t>FFG529 Zhoushan, FFG530 Xuzhou, AOR886 Qingdao Hu; Unknown, could also be ETF-8</t>
  </si>
  <si>
    <t>Jia Tingan</t>
  </si>
  <si>
    <t>Special Forces; Pakistan and 13 other countries</t>
  </si>
  <si>
    <t>Unknown Karachi 2011</t>
  </si>
  <si>
    <t>13 March 2011, joint drills and friendy visit from anti-piracy ETF, Six Years p. 129 - after Aman 2011</t>
  </si>
  <si>
    <t>Shaheen-1</t>
  </si>
  <si>
    <t>Eighth official meeting of the SCO Ministers' of Defense in Astana; Other countries: Kazakhstan, Kyrgyztan, Russia, Tajikistan, Uzbekistan</t>
  </si>
  <si>
    <t>http://eng.sectsco.org/load/199343/</t>
  </si>
  <si>
    <t>Retired British Generals</t>
  </si>
  <si>
    <t>Deputy Chief of Staff Army</t>
  </si>
  <si>
    <t>Deputy Defense Minister and COGS</t>
  </si>
  <si>
    <t>First meeting of SCO military chiefs of staff in Shanghai</t>
  </si>
  <si>
    <t>http://www.china.org.cn/world/2011-04/26/content_22438509.htm</t>
  </si>
  <si>
    <t>Chen Yong</t>
  </si>
  <si>
    <t>First Deputy Prime Minister</t>
  </si>
  <si>
    <t>Deputy Chief of Defense Staff</t>
  </si>
  <si>
    <t>Army Commander LTG</t>
  </si>
  <si>
    <t>First China-ASEAN Defense Ministers' Informal Meeting in Indonesia</t>
  </si>
  <si>
    <t>https://aidsdatahub.org/sites/default/files/documents/ASEAN_annual_report_2011_7.10.pdf</t>
  </si>
  <si>
    <t>Tianshan-2</t>
  </si>
  <si>
    <t>Countries: Kyrgyzstan, Tajikstan; held in Kashi</t>
  </si>
  <si>
    <t>http://eng.chinamil.com.cn/news-channels/china-military-news/2011-05/07/content_4431956.htm</t>
  </si>
  <si>
    <t xml:space="preserve">Page </t>
  </si>
  <si>
    <t>10th Shangri-La Dialogue</t>
  </si>
  <si>
    <t>Sharp Knife 2011</t>
  </si>
  <si>
    <t>Airborne forces</t>
  </si>
  <si>
    <t>Former NE Army Region Commander, JGSDF</t>
  </si>
  <si>
    <t>Naval Chief</t>
  </si>
  <si>
    <t>Deputy Prime Minister</t>
  </si>
  <si>
    <t>Slovenia</t>
  </si>
  <si>
    <t>Director General of International Security policy of Defense Ministry</t>
  </si>
  <si>
    <t>Divine Eagle 2011</t>
  </si>
  <si>
    <t xml:space="preserve"> http://usa.chinadaily.com.cn/china/2012-12/06/content_15991982.htm</t>
  </si>
  <si>
    <t>Du Jincai</t>
  </si>
  <si>
    <t>FFG525 Ma'anshan, FFG526 Wenzhou, AOR886 Qiandao Hu; Unknown, could also be ETF-9</t>
  </si>
  <si>
    <t>First Deputy Defense Minister and COGS</t>
  </si>
  <si>
    <t>Unknown Sattahip 2011</t>
  </si>
  <si>
    <t xml:space="preserve">16-21 August 2011, joint drills and friendy visit from anti-piracy ETF, Six Years p. 132 </t>
  </si>
  <si>
    <t>Head of Defense Force</t>
  </si>
  <si>
    <t>Deputy Commander Navy</t>
  </si>
  <si>
    <t>DDG169 Wuhan, FFG569 Yulin, AOR885 Qinghai Hu</t>
  </si>
  <si>
    <t>GPD director VPA</t>
  </si>
  <si>
    <t>http://en.people.cn/90786/7623576.html</t>
  </si>
  <si>
    <t>Montenegro</t>
  </si>
  <si>
    <t>Commander Joint Ops Command</t>
  </si>
  <si>
    <t>Cooperation Spirit 2011</t>
  </si>
  <si>
    <t>HADR in Dujiangyan Sichuan</t>
  </si>
  <si>
    <t>2013 Defense White Paper Appendix</t>
  </si>
  <si>
    <t>Acting Commander Army</t>
  </si>
  <si>
    <t>Costa Rica</t>
  </si>
  <si>
    <t>Parliament State Secretary to Defense Minister</t>
  </si>
  <si>
    <t>Commander, Interior Force and First Deputy Minister of People's Security</t>
  </si>
  <si>
    <t>DDG169 Wuhan, FFG569 Yulin, AOR885 Qinghai Hu; unknown, could be ETF-10</t>
  </si>
  <si>
    <t>Friendship 2011</t>
  </si>
  <si>
    <t>Navy Inspector General</t>
  </si>
  <si>
    <t>Cooperation 2011</t>
  </si>
  <si>
    <t>SOF urban Warfare Exercise in Venezuela</t>
  </si>
  <si>
    <t>Port Call - Replenish/Overhaul and Friendly Visit</t>
  </si>
  <si>
    <t xml:space="preserve">ETF-10 </t>
  </si>
  <si>
    <t>DDG171 Haikou, FFG571 Yuncheng, AOR885 Qinghai Hu; unknown, could also be ETF-9</t>
  </si>
  <si>
    <t>RAF Chief of Staff</t>
  </si>
  <si>
    <t>Ambassador to China</t>
  </si>
  <si>
    <t>Deputy Chief Military Policy and Arms Control, Defense Ministry</t>
  </si>
  <si>
    <t>Deputy Secretary General of Ministry of Defense</t>
  </si>
  <si>
    <t>young military officers</t>
  </si>
  <si>
    <t>speaker of house of representatives; former Chief of Staff Armed Forces</t>
  </si>
  <si>
    <t>Director, IMS, NATO</t>
  </si>
  <si>
    <t>ETF-10</t>
  </si>
  <si>
    <t>DDG171 Haikou, FFG571 Yuncheng, AOR885 Qinghai Hu</t>
  </si>
  <si>
    <t>Commander, Eastern Military Command of Navy</t>
  </si>
  <si>
    <t>DDG171 Haikou, FFG571 Yuncheng, AOR885 Qinghai Hu; unknown, could also be ETF-11</t>
  </si>
  <si>
    <t>Army Deputy Chief of Staff</t>
  </si>
  <si>
    <t>Army Inspector</t>
  </si>
  <si>
    <t>Deputy Chief 3rd Dept, Plans and Military Policy of Defense General Staff</t>
  </si>
  <si>
    <t>Director, Defense Policy Bureau of Defense Ministry</t>
  </si>
  <si>
    <t>Secretary of State for Defense</t>
  </si>
  <si>
    <t>SCO Defense Ministers' Meeting</t>
  </si>
  <si>
    <t>Deputy PM</t>
  </si>
  <si>
    <t>Maritime Cooperation 2012 (aka Joint Sea 2012)</t>
  </si>
  <si>
    <t>Maritime; HADR; live-fire drills. April 22 to 27</t>
  </si>
  <si>
    <t>Ninth official meeting of the SCO Ministers' of Defense in Tajikistan; Other countries: Kazakhstan, Kyrgyztan, Russia, Tajikistan, Uzbekistan</t>
  </si>
  <si>
    <t>http://nl.china-embassy.org/eng/zgyw/t926911.htm</t>
  </si>
  <si>
    <t>http://news.tj/en/news/sco-s-peace-mission-2012-war-games-start-north-tajikistan</t>
  </si>
  <si>
    <t>Chief of Joint Staff</t>
  </si>
  <si>
    <t>ETF-11</t>
  </si>
  <si>
    <t>DDG113 Qingdao, FFG538 Yantai, AOR887 Weishan Hu</t>
  </si>
  <si>
    <t>IDF Chief of Staff</t>
  </si>
  <si>
    <t>Latvia</t>
  </si>
  <si>
    <t>Head of 2nd Special Forces Department</t>
  </si>
  <si>
    <t>Second meeting of SCO military chiefs of staff in Tajikistan</t>
  </si>
  <si>
    <t>http://en.people.cn/90786/7834434.html</t>
  </si>
  <si>
    <t>Blue Strike 2012</t>
  </si>
  <si>
    <t>2013 CH Mil Power Report</t>
  </si>
  <si>
    <t>Ren Haiquan</t>
  </si>
  <si>
    <t>AMS Vice President</t>
  </si>
  <si>
    <t>11th Shangri-La Dialogue</t>
  </si>
  <si>
    <t>Peace Mission 2012</t>
  </si>
  <si>
    <t>Army, Navy, Air Force, SOF; anti-terrorism. Other countries: Tajikistan, Russia, Kyrgyzstan, Kazakhstan. Held in  Tajikistan on June 9-14</t>
  </si>
  <si>
    <t>https://web.archive.org/web/20120609071043/http://news.tj/en/news/sco-s-peace-mission-2012-war-games-start-north-tajikistan</t>
  </si>
  <si>
    <t>PACOM Commander Locklear</t>
  </si>
  <si>
    <t>ADF vice Chief</t>
  </si>
  <si>
    <t>European Union</t>
  </si>
  <si>
    <t>EU Representative for Foreign Affairs and Security Policy</t>
  </si>
  <si>
    <t>Sharp Knife 2012</t>
  </si>
  <si>
    <t xml:space="preserve">ETF-11 </t>
  </si>
  <si>
    <t>DDG113 Qingdao, FFG538 Yantai, AOR887 Weishan Hu; unknown, could also be ETF-12</t>
  </si>
  <si>
    <t>Head of NDU</t>
  </si>
  <si>
    <t>DDG113 Qingdao, FFG538 Yantai, AOR887 Weishan Hu; Unknown, could also be ETF-12</t>
  </si>
  <si>
    <t>Cai Yingting</t>
  </si>
  <si>
    <t>For Strategic Planning Discussions in DC; also visited New York, Fort Hood, TX, and PACOM; position weight corrected to reflect MR grade</t>
  </si>
  <si>
    <t>Secretary General Defense Ministry</t>
  </si>
  <si>
    <t>Vice President</t>
  </si>
  <si>
    <t>Cormorant Strike</t>
  </si>
  <si>
    <t>Special Forces</t>
  </si>
  <si>
    <t>Cormorant Strike 2012</t>
  </si>
  <si>
    <t>SOF exercise on eastern coast of Sri Lanka; Eleven officers and twenty-nine Other Ranks from the Armed Forces in China, Pakistan, Bangladesh, Maldives and India</t>
  </si>
  <si>
    <t>Defense White Paper Appendix; https://www.army.lk/news/cormorant-strike-iii-2012; https://www.army.lk/news/third-%C3%A2%E2%82%AC%CB%9Cexercise-cormorant-strike-iii%C3%A2%E2%82%AC%E2%84%A2-begins</t>
  </si>
  <si>
    <t>Description describes a range of combat acitvities, including ambushes and attacks on high-value targets</t>
  </si>
  <si>
    <t>Secretary of Defense Panetta</t>
  </si>
  <si>
    <t>1st US-CH BL counter-piracy exercise in Gulf of Aden</t>
  </si>
  <si>
    <t>2014 CH Milpower Report</t>
  </si>
  <si>
    <t>Cooperation Spirit 2012</t>
  </si>
  <si>
    <t xml:space="preserve">HADR. Other countries: New Zealand </t>
  </si>
  <si>
    <t>http://english.cntv.cn/program/newsupdate/20121101/100013.shtml</t>
  </si>
  <si>
    <t>President National Defense College</t>
  </si>
  <si>
    <t>Second China-ASEAN Defense Ministers' Informal Meeting in Cambodia</t>
  </si>
  <si>
    <t>https://asean.org/?static_post=overview-asean-china-dialogue-relations</t>
  </si>
  <si>
    <t>anti-terrorism</t>
  </si>
  <si>
    <t>Divine Eagle 2012</t>
  </si>
  <si>
    <t>Chinese and Belarusian airborne troops practiced parachuting, ground penetration, drones, sniping and other combat skills in Hubei</t>
  </si>
  <si>
    <t>Defense White Paper Appendix; http://usa.chinadaily.com.cn/china/2012-12/06/content_15991982.htm</t>
  </si>
  <si>
    <t>CELAC</t>
  </si>
  <si>
    <t>First China-Latin America Defense Forum</t>
  </si>
  <si>
    <t>https://apa.az/en/asia-news/news_chinese_defense_minister_meets_with_lati_-182886</t>
  </si>
  <si>
    <t>Cooperation</t>
  </si>
  <si>
    <t>SOF Anti-terrorism exercise in Amman Jordan</t>
  </si>
  <si>
    <t xml:space="preserve">Vice Chief of Armed Forces </t>
  </si>
  <si>
    <t>Vice Chief of the Defense Forces</t>
  </si>
  <si>
    <t>Secretary of Defense and Urban Development</t>
  </si>
  <si>
    <t>Secretary of the Navy Mabus</t>
  </si>
  <si>
    <t>ADF chief</t>
  </si>
  <si>
    <t>ETF-12</t>
  </si>
  <si>
    <t>FFG548 Yiyang, FFG549 Changzhou, AOR886 Qiandao Hu</t>
  </si>
  <si>
    <t>Fidel Castro</t>
  </si>
  <si>
    <t xml:space="preserve">ETF-12 </t>
  </si>
  <si>
    <t>FFG548 Yiyang, FFG549 Changzhou, AOR886 Qiandao Hu; unknown, could be ETF-13</t>
  </si>
  <si>
    <t>Head of Foreign Affairs, Ministry of Defense</t>
  </si>
  <si>
    <t>Deputy Secretary of Defense</t>
  </si>
  <si>
    <t>http://us.china-embassy.gov.cn/eng/zmgx/zxxx/201212/t20121203_4908159.htm</t>
  </si>
  <si>
    <t>For Defense Consultative Talks; position weight corrected to reflect MR leader grade</t>
  </si>
  <si>
    <t>Director, General Staff Regional Bureau</t>
  </si>
  <si>
    <t>Secretary General of the Department of Defense</t>
  </si>
  <si>
    <t>ETF-13</t>
  </si>
  <si>
    <t>FFG568 Hengyang, FFG570 Huangshan, AOR885 Qinghai Hu</t>
  </si>
  <si>
    <t xml:space="preserve">ETF-13 </t>
  </si>
  <si>
    <t>FFG568 Hengyang, FFG570 Huangshan, AOR885 Qinghai Hu; unknown, could also be ETF-14</t>
  </si>
  <si>
    <t>Comprehensive Collaborative Strategic Partnership [全面战略协作伙伴关系]</t>
  </si>
  <si>
    <t>Director of Strategic Affairs Department under JCS</t>
  </si>
  <si>
    <t>Deputy Prime Minister and Minister of Defense</t>
  </si>
  <si>
    <t>PLA FR XJP draft p. 24</t>
  </si>
  <si>
    <t>Defense Undersecretary</t>
  </si>
  <si>
    <t>Unnamed</t>
  </si>
  <si>
    <t>Response to Manzhouli city security threats; joint border drills</t>
  </si>
  <si>
    <t xml:space="preserve">ETF-14 </t>
  </si>
  <si>
    <t>DDG112 Harbin, FFG528 Mianyang, AOR887 Weishan Hu; Unknown, could also be ETF-13</t>
  </si>
  <si>
    <t>Department of Defense HR Division Chief</t>
  </si>
  <si>
    <t>CJCS Dempsey</t>
  </si>
  <si>
    <t>2014 CH Mil Power Report</t>
  </si>
  <si>
    <t>Third China-ASEAN Defense Ministers' Informal Meeting in Brunei</t>
  </si>
  <si>
    <t>https://thediplomat.com/2015/06/china-to-hold-first-meeting-with-asean-defense-ministers-in-beijing/</t>
  </si>
  <si>
    <t>Wang Guanzhong</t>
  </si>
  <si>
    <t>Chief of Staff of the Defense Forces</t>
  </si>
  <si>
    <t>Special Envoy</t>
  </si>
  <si>
    <t>Air Force First Deputy Chief of Air Staff</t>
  </si>
  <si>
    <t>Chief Chairman JCS</t>
  </si>
  <si>
    <t>Commander of National Defense Forces</t>
  </si>
  <si>
    <t>Pacific Fleet Commander Haney</t>
  </si>
  <si>
    <t>ADMM+ HADR exercise</t>
  </si>
  <si>
    <t xml:space="preserve">ADMM+ HADR exercise; PLAN forces included Peace Ark; US also participated </t>
  </si>
  <si>
    <t>https://admm.asean.org/index.php/admm-news/40-news/asean-secretariat-news/282-asean-defence-ministers-strengthen-cooperation-ties.html</t>
  </si>
  <si>
    <t>PLA FR XJP draft p. 26</t>
  </si>
  <si>
    <t>ETF-14</t>
  </si>
  <si>
    <t>DDG112 Harbin, FFG528 Mianyang, AOR887 Weishan Hu</t>
  </si>
  <si>
    <t>12th Shangri-La Dialogue</t>
  </si>
  <si>
    <t>Chief of Staff of Armed Forces</t>
  </si>
  <si>
    <t>Cooperation 2013</t>
  </si>
  <si>
    <t xml:space="preserve">Snow Leopard commando unit; 10 day joint training exercise in Russia </t>
  </si>
  <si>
    <t>http://chn.chinamil.com.cn/jwjj/2013-06/11/content_5372267</t>
  </si>
  <si>
    <t>10th official meeting of the SCO Ministers' of Defense in Kyrgyzstan; Other countries: Kazakhstan, Kyrgyztan, Russia, Tajikistan, Uzbekistan</t>
  </si>
  <si>
    <t>http://www.mfa.kg/index_en.html</t>
  </si>
  <si>
    <t>Acting Defense Minister</t>
  </si>
  <si>
    <t>Maritime Cooperation 2013 (aka Joint Sea 2013)</t>
  </si>
  <si>
    <t>Maritime; HADR; live-fire drills. July 5-12</t>
  </si>
  <si>
    <t>Peace Mission 2013</t>
  </si>
  <si>
    <t>Army, Navy, Air Force, SOF; anti-terrorism.  July 27–August 15, 2013</t>
  </si>
  <si>
    <t>Chief of Naval Operations</t>
  </si>
  <si>
    <t>Strike 2013</t>
  </si>
  <si>
    <t>Inspector of Military Procurarate</t>
  </si>
  <si>
    <t>2nd ADMM+</t>
  </si>
  <si>
    <t>PLA FR XJP draft p. 23</t>
  </si>
  <si>
    <t>Sultan Hassanal Bolkiah</t>
  </si>
  <si>
    <t>http://worlddefencenews.blogspot.com/2013/05/brunei-and-china-to-discuss-bilateral.html</t>
  </si>
  <si>
    <t>China and Brunei established a strategic partnership in 2018</t>
  </si>
  <si>
    <t>DDG112 Harbin, FFG528 Mianyang, AOR887 Weishan Hu; Unknown, could also be ETF-15</t>
  </si>
  <si>
    <t xml:space="preserve">Frontier Defense Joint Determination 2013 </t>
  </si>
  <si>
    <t xml:space="preserve">Armed police from both sides, </t>
  </si>
  <si>
    <t>http://english.people.com.cn/90786/8362119.html</t>
  </si>
  <si>
    <t xml:space="preserve">Wu Changde </t>
  </si>
  <si>
    <t>Phoenix Spirit</t>
  </si>
  <si>
    <t>Medical; HADR.Other countries: Australia, United States</t>
  </si>
  <si>
    <t>Shaheen-2</t>
  </si>
  <si>
    <t>2nd ADMM+; Minister for Defence Dr Ng Eng Hen</t>
  </si>
  <si>
    <t>https://www.mindef.gov.sg/web/portal/mindef/news-and-events/latest-releases/article-detail/2013/may/2013May07-News-Releases-02184</t>
  </si>
  <si>
    <t>2nd ADMM+; Defense Minister Kim Kwan-jin</t>
  </si>
  <si>
    <t>http://en.people.cn/102774/8382947.html</t>
  </si>
  <si>
    <t>Secretary of Defense Hagel</t>
  </si>
  <si>
    <t>2nd US-CH BL counter-piracy exercise in Gulf of Aden</t>
  </si>
  <si>
    <t xml:space="preserve">Former Inspector General, Federal Defense Forces </t>
  </si>
  <si>
    <t>Delegation for CIISS</t>
  </si>
  <si>
    <t>Prairie Pioneer</t>
  </si>
  <si>
    <t>Medical; engineers</t>
  </si>
  <si>
    <t>http://en.people.cn/90786/8402165.html</t>
  </si>
  <si>
    <t>Joint drill at Chinese land port; aimed at countering illegal border crossing; likely PAP</t>
  </si>
  <si>
    <t>http://news.xinhuanet.com/english/china/2013-09/19/c_132734529.htm</t>
  </si>
  <si>
    <t>ETF-15</t>
  </si>
  <si>
    <t>LPD999 Jingangshan, FFG572 Hengshui, AOR889 Taihu</t>
  </si>
  <si>
    <t>Wei Fenghe</t>
  </si>
  <si>
    <t>Defense Minister and Urban Development Executive Secretary</t>
  </si>
  <si>
    <t>CNO Greenert</t>
  </si>
  <si>
    <t>Visited San Diego and Washington DC</t>
  </si>
  <si>
    <t>Pearl Harbor-- Qingdao DD113, Linyi FF547, Hongzehu AOR881 PLA FR XJP draft p. 23</t>
  </si>
  <si>
    <t>Air Force Chief of Staff Welsh</t>
  </si>
  <si>
    <t>Hou Shusen</t>
  </si>
  <si>
    <t>Delegation for CIISS; Security Intelligence Committee</t>
  </si>
  <si>
    <t>CinC Defense Services</t>
  </si>
  <si>
    <t>Deputy Prime Minister and Concurrent Defense Minister</t>
  </si>
  <si>
    <t>Logistics Department Director</t>
  </si>
  <si>
    <t>Hand-in-Hand 2013</t>
  </si>
  <si>
    <t>Sharp Knife 2013</t>
  </si>
  <si>
    <t>http://usa.chinadaily.com.cn/china/2013-11/12/content_17097501.htm</t>
  </si>
  <si>
    <t>First Deputy Prime Minister and concurrent COGS</t>
  </si>
  <si>
    <t>Mauritania</t>
  </si>
  <si>
    <t>post-Haiyan; PLA FR XJP draft p. 26</t>
  </si>
  <si>
    <t>Air Force CinC</t>
  </si>
  <si>
    <t>Zhang Shibo</t>
  </si>
  <si>
    <t>Visited New York, Washington, and Colorado Springs</t>
  </si>
  <si>
    <t>9th Disaster Management Exchange</t>
  </si>
  <si>
    <t>Hawaii; first DME with field exercise component</t>
  </si>
  <si>
    <t>https://www.nationalguard.mil/News/Article/575366/us-china-conduct-disaster-management-exchange/</t>
  </si>
  <si>
    <t xml:space="preserve">First DME to include a field training component; previous iterations were meetings/TTXs and are therefore not included </t>
  </si>
  <si>
    <t>Ministry of Defense Secretary of State</t>
  </si>
  <si>
    <t>naval drill in the Mediterranean</t>
  </si>
  <si>
    <t>ETF-16</t>
  </si>
  <si>
    <t>FFG546 Yancheng, FF527 Luoyang, AOR889 Tai Hu</t>
  </si>
  <si>
    <t>DEP SECSTATE; PACOM J-5</t>
  </si>
  <si>
    <t>2015 CH Mil Power Report</t>
  </si>
  <si>
    <t>1st Interim Strategic Security Dialogue</t>
  </si>
  <si>
    <t>Cobra Gold 2014</t>
  </si>
  <si>
    <t>Amphibious assault; Navy and Marines; Other countries: United States</t>
  </si>
  <si>
    <t>https://www.marines.mil/News/News-Display/Article/644293/exercise-cobra-gold-2016-to-begin-february-9/</t>
  </si>
  <si>
    <t>Army Chief of Staff Odierno</t>
  </si>
  <si>
    <t>Komodo 2014</t>
  </si>
  <si>
    <t>Navy and Marines. Other countries: refer to source for a complete list of countries</t>
  </si>
  <si>
    <t>https://sputniknews.com/military/20140402188995765-Komodo-2014-Naval-Exercises-Prove-Beneficial-for-Russia--Russian/</t>
  </si>
  <si>
    <t>Head of Technologies and Logistics Directorate</t>
  </si>
  <si>
    <t>11th official meeting of the SCO Ministers' of Defense in Beijing; Other countries: Kazakhstan, Kyrgyztan, Russia, Tajikistan, Uzbekistan</t>
  </si>
  <si>
    <t>China's Approach to Central Asia: The Shanghai Co-operation Organisation</t>
  </si>
  <si>
    <t>AM -Hex</t>
  </si>
  <si>
    <t>HADR; Thailand and 12 other countries</t>
  </si>
  <si>
    <t>First Deputy Minister of Defense and COGS</t>
  </si>
  <si>
    <t>Peace Angel 2014</t>
  </si>
  <si>
    <t>GLD; Medical and HADR</t>
  </si>
  <si>
    <t>Military delegation</t>
  </si>
  <si>
    <t>Delegation for CIISS; Geneva Center for Security Policy</t>
  </si>
  <si>
    <t>On margins of WPNS; also met with PACFLEET Commander</t>
  </si>
  <si>
    <t>Western Pacific Naval Symposium; meeting approved CUES</t>
  </si>
  <si>
    <t>http://eng.mod.gov.cn/DefenseNews/2014-04/24/content_4505240.htm</t>
  </si>
  <si>
    <t>Recoded as ML</t>
  </si>
  <si>
    <t>WPNS 2014 Maritime Exercise (MMEx)</t>
  </si>
  <si>
    <t>Maritime; HADR; WPNS 2014 attendees +7; Bangladesh, Brunei, China, India, Indonesia, Malaysia, Pakistan and Singapore; CUES; Joint Anti-Hijacking, Search and Rescue (SAR) and small arms firing.</t>
  </si>
  <si>
    <t>http://www.mindef.gov.bn/Lists/News/DispForm.aspx?ID=3002</t>
  </si>
  <si>
    <t>Fourth China-ASEAN Defense Ministers' Informal Meeting in Myanmar</t>
  </si>
  <si>
    <t>Former Prime Minister</t>
  </si>
  <si>
    <t>Defense Minister and Minister of Armed Forces Logistics</t>
  </si>
  <si>
    <t>anti-piracy drill</t>
  </si>
  <si>
    <t xml:space="preserve">ETF-16 </t>
  </si>
  <si>
    <t>FFG546 Yancheng, FF527 Luoyang, AOR889 Tai Hu; unknown, could also be ETF-17</t>
  </si>
  <si>
    <t>Shaheen-3</t>
  </si>
  <si>
    <t>Maritime Cooperation 2014 (AKA Joint Sea 2014)</t>
  </si>
  <si>
    <t>Maritime; HADR; live-fire drills.  May 20 to 26</t>
  </si>
  <si>
    <t>Air Force Chief</t>
  </si>
  <si>
    <t>13th Shangri-La Dialogue</t>
  </si>
  <si>
    <t>CUES drill with Indonesian patrol boat; communications exercise only</t>
  </si>
  <si>
    <t xml:space="preserve">Japan-China Political and Economic Forum </t>
  </si>
  <si>
    <t>communication and fleet formation</t>
  </si>
  <si>
    <t>https://www.mindef.gov.sg/oms/imindef/resourcelibrary/cyberpioneer/topics/articles/news/2015/may/25may15_news.html#.W37d9iAnYdU</t>
  </si>
  <si>
    <t>Delegation for CIISS; Retired Generals and Admirals Association</t>
  </si>
  <si>
    <t>Second China-Latin America Defense Forum</t>
  </si>
  <si>
    <t>http://eng.chinamil.com.cn/news-channels/china-military-news/2014-07/22/content_6058546.htm</t>
  </si>
  <si>
    <t>Venus No. 2</t>
  </si>
  <si>
    <t>anti-piracy drill with EU CTF 465</t>
  </si>
  <si>
    <t>post-RIMPAC 2014; PLA FR XJP draft p. 26</t>
  </si>
  <si>
    <t>Secretary General of Defense and Director of Armaments</t>
  </si>
  <si>
    <t>Competition</t>
  </si>
  <si>
    <t>Aviadarts 2014</t>
  </si>
  <si>
    <t xml:space="preserve">Competition. Other countries: Belarus </t>
  </si>
  <si>
    <t>https://usa.mfa.gov.ua/en/news/22977-zajava-mzs-ukrajini-shhodo-provedennya-rosijsykoju-federacijeju-vijsykovih-navchany-aviadarts-2014</t>
  </si>
  <si>
    <t>Chief of Naval Operations Greenert</t>
  </si>
  <si>
    <t>RIMPAC 2014</t>
  </si>
  <si>
    <t>Maritime; HADR; US and other countries' live-fire gunnery</t>
  </si>
  <si>
    <t>Kakadu 2014</t>
  </si>
  <si>
    <t>PLAN sent observers only. Other countries: Japan, New Zealand, Pakistan, Philippines</t>
  </si>
  <si>
    <t>Tank Biathlon 2014</t>
  </si>
  <si>
    <t>Competition; Russia and 11 other countries</t>
  </si>
  <si>
    <t>Third meeting of SCO military chiefs of staff in Beijing</t>
  </si>
  <si>
    <t xml:space="preserve">http://en.sco-russia.ru/news/20140828/1013179153.html  </t>
  </si>
  <si>
    <t>Peace Mission 2014</t>
  </si>
  <si>
    <t>Army, Navy, Air Force, SOF; anti-terrorism. Other countries: Russia, Kyrgyzstan, Kazakhstan, Tajikistan. August 24-29</t>
  </si>
  <si>
    <t>http://eng.mod.gov.cn/DefenseNews/2014-08/28/content_4533185.htm</t>
  </si>
  <si>
    <t>ETF-17</t>
  </si>
  <si>
    <t>DDG150 Changchun, FFG549 Changzhou, AOR890 Chao Hu</t>
  </si>
  <si>
    <t xml:space="preserve">Xu Qiliang </t>
  </si>
  <si>
    <t>Inspector General of Central Medical Service</t>
  </si>
  <si>
    <t>Huang Guoxian</t>
  </si>
  <si>
    <t>MR Deputy Commander</t>
  </si>
  <si>
    <t>PACAF Commander Carlisle</t>
  </si>
  <si>
    <t>DUPLICATE?</t>
  </si>
  <si>
    <t>Kowari 2014</t>
  </si>
  <si>
    <t xml:space="preserve">Survival skills. Other countries: United States </t>
  </si>
  <si>
    <t>https://www.army-technology.com/news/newsexercise-kowari-14-concludes-in-australia-4419629/</t>
  </si>
  <si>
    <t>Navy Commander and Chief of Staff</t>
  </si>
  <si>
    <t>Chairman EU Military Committee</t>
  </si>
  <si>
    <t>Sharp Knife 2014</t>
  </si>
  <si>
    <t>Delegation for CIISS; Retired director of Mongolian Institute of Strategic Studies; former Mongolian Defense Minister</t>
  </si>
  <si>
    <t>Lijian (Sharp Sword) 2014</t>
  </si>
  <si>
    <t>Manzhouli drill; anti-terror and riot control</t>
  </si>
  <si>
    <t>http://cc.pacforum.org/2015/01/russias-pride-chinas-power/</t>
  </si>
  <si>
    <t>Deputy Prime Minister and Coordinating Minister for National Security</t>
  </si>
  <si>
    <t>Beyond 2014</t>
  </si>
  <si>
    <t>marines; counter-terrorism scenario; "marine tactics" plus anti-piracy</t>
  </si>
  <si>
    <t>http://www.fahamu.org/ep_articles/china-and-tanzania-conclude-historic-naval-exercise/</t>
  </si>
  <si>
    <t>USD(P) Wormouth</t>
  </si>
  <si>
    <t>15th DCTs; also met with DEP SECDEF and VCJS</t>
  </si>
  <si>
    <t>ETF-18</t>
  </si>
  <si>
    <t>LPD989 Changbai Shan, FFG571 Yuncheng, AOR890 Chao Hu</t>
  </si>
  <si>
    <t>National Defense Force Commander</t>
  </si>
  <si>
    <t>Hand-in-Hand 2014</t>
  </si>
  <si>
    <t>Deputy Director of General Political Department</t>
  </si>
  <si>
    <t>Armed Forces Chief of Staff</t>
  </si>
  <si>
    <t>Xiangshan Forum 2014; Defense Minister</t>
  </si>
  <si>
    <t>http://eng.mod.gov.cn/SpecialReports/node_46641.htm</t>
  </si>
  <si>
    <t>First Xiangshan Forum to feature foreign government officials</t>
  </si>
  <si>
    <t>Ministry of Defense Undersecretary of State</t>
  </si>
  <si>
    <t>Cooperation 2014</t>
  </si>
  <si>
    <t>Logistics Department  Director</t>
  </si>
  <si>
    <t xml:space="preserve">http://eng.mod.gov.cn/SpecialReports/2014-11/21/content_4553604.htm </t>
  </si>
  <si>
    <t>DEP SECDEF Work</t>
  </si>
  <si>
    <t xml:space="preserve"> Also traveled to PACOM and Alaska</t>
  </si>
  <si>
    <t>ADF Chief</t>
  </si>
  <si>
    <t>Minister of Armed Forces</t>
  </si>
  <si>
    <t>Delegation for CIISS; former minister of the interior</t>
  </si>
  <si>
    <t>Delegation for CIISS; former chief of defense staff</t>
  </si>
  <si>
    <t>Delegation for CIISS; Kazakhstan Military Strategic Research Center</t>
  </si>
  <si>
    <t>Peace and Friendship 2014</t>
  </si>
  <si>
    <t xml:space="preserve">Chang Wanquan </t>
  </si>
  <si>
    <t>anti-piracy drill, CUES</t>
  </si>
  <si>
    <t>Political Work delegation</t>
  </si>
  <si>
    <t>ETF-19</t>
  </si>
  <si>
    <t>FFG547 Linyi, FFG550 Weifang, AOR887 Weishan Hu</t>
  </si>
  <si>
    <t>10th Disaster Management Exchange</t>
  </si>
  <si>
    <t>Guangzhou and Haikou; HADR with academic discussion, TTX, and field exchange; planned for 2014</t>
  </si>
  <si>
    <t>https://www.pacom.mil/Media/News/Article/565021/china-us-disaster-management-exchange/</t>
  </si>
  <si>
    <t>communication and fleet maneuvers; ETF-18</t>
  </si>
  <si>
    <t>Commander, Multi-Service Joint GHQ of Armed Forces</t>
  </si>
  <si>
    <t>Cobra Gold 2015</t>
  </si>
  <si>
    <t>https://th.usembassy.gov/exercise-cobra-gold-2015-to-begin-february-9-2015/</t>
  </si>
  <si>
    <t>All-Weather Strategic Cooperative Partnership [全天候战略合作伙伴关系]</t>
  </si>
  <si>
    <t>DCOGS and concurrent Chief of Main Communications Directorate</t>
  </si>
  <si>
    <t>All-Round Cooperative Partnership [全方合作伙伴关系]</t>
  </si>
  <si>
    <t>Commander, Counter-terrorism Center of Supreme Command HQ</t>
  </si>
  <si>
    <t>Mauritius</t>
  </si>
  <si>
    <t>survey ship</t>
  </si>
  <si>
    <t>Commander of General Purpose Troops</t>
  </si>
  <si>
    <t>Chief of Second Bureau of Special Operations, Myanmar Army</t>
  </si>
  <si>
    <t>SCO anti-terrorism; Kazakhstan, Kyrgyzstan, Tajikistan,Russia</t>
  </si>
  <si>
    <t>Port Call - NEO</t>
  </si>
  <si>
    <t>ARF Disaster Relief - DiRex 2015</t>
  </si>
  <si>
    <t>HADR. Other countries: Malaysia, Brunei, Cambodia, India, Indonesia, Singapore, Thailand, Vietnam</t>
  </si>
  <si>
    <t>Wang Jianping</t>
  </si>
  <si>
    <t>Chief of Joint Operations</t>
  </si>
  <si>
    <t>FFG529 Zhoushan UNREP sailing, boarding</t>
  </si>
  <si>
    <t>https://www.scmp.com/news/hong-kong/community/article/2135579/pla-garrison-holds-joint-exercise-french-navy-frigate</t>
  </si>
  <si>
    <t>CMC/JSD DCJS</t>
  </si>
  <si>
    <t>Defense Minister; 14th Shangri-la</t>
  </si>
  <si>
    <t>Director General of Defense Policy Bureau, Ministry of Defense; 14th Shangri-la</t>
  </si>
  <si>
    <t>ETF-20</t>
  </si>
  <si>
    <t xml:space="preserve">DDG152 Jinan, FFG548 Yiyang, AOR886 Qiandao Hu </t>
  </si>
  <si>
    <t>Director General of Armored Corps, Army GHQ</t>
  </si>
  <si>
    <t xml:space="preserve">ETF-19 </t>
  </si>
  <si>
    <t>FFG547 Linyi, FFG550 Weifang, AOR887 Weishan Hu; unknown, could also be ETF-20</t>
  </si>
  <si>
    <t>Joint Sea 2015 (I)</t>
  </si>
  <si>
    <t>Maritime naval exercises in Mediterrean Sea.  May 11-21</t>
  </si>
  <si>
    <t>Maritime Cooperation 2015</t>
  </si>
  <si>
    <t>maritime naval exercises; gunnery firing and manoeuvring drills; air-defence and other war-fighting drills.</t>
  </si>
  <si>
    <t>https://www.mindef.gov.sg/web/portal/mindef/news-and-events/latest-releases/article-detail/2015/may/2015may25-news-releases-02118</t>
  </si>
  <si>
    <t>Deputy Secretary General of Ministry of Defense; 14th Shangri-la</t>
  </si>
  <si>
    <t>communication and fleet maneuvers</t>
  </si>
  <si>
    <t>Li Zuocheng</t>
  </si>
  <si>
    <t>MR Commander</t>
  </si>
  <si>
    <t>PACOM Deputy Commander</t>
  </si>
  <si>
    <t>2016 CH Milpower Report</t>
  </si>
  <si>
    <t>PACAF Commander</t>
  </si>
  <si>
    <t>WPNS 2015</t>
  </si>
  <si>
    <t>maritime surveillance and SAR. Other countries: Singapore, Indonesia, Thailand, United States</t>
  </si>
  <si>
    <t>Divine Eagle 2015</t>
  </si>
  <si>
    <t>President of the Military Court</t>
  </si>
  <si>
    <t>Khaan Quest 2015</t>
  </si>
  <si>
    <t xml:space="preserve">Peacekeeping </t>
  </si>
  <si>
    <t xml:space="preserve">http://www.pacom.mil/Media/News/Article/600918/exercise-khaan-quest-2015/ </t>
  </si>
  <si>
    <t xml:space="preserve">PKO and Stability ops. Other countries: refer to source for a complete list of countries </t>
  </si>
  <si>
    <t>NZDF Chief</t>
  </si>
  <si>
    <t>Air Force Chief Marshal</t>
  </si>
  <si>
    <t>Silk Road Cooperation 2015</t>
  </si>
  <si>
    <t>joint drill with Guangdong PAP contingent</t>
  </si>
  <si>
    <t>http://eng.mod.gov.cn/DefenseNews/2015-03/31/content_4577899.htm</t>
  </si>
  <si>
    <t>Secretary of Defense Carter</t>
  </si>
  <si>
    <t>Warrior-III</t>
  </si>
  <si>
    <t>SSG and PLAA SOF</t>
  </si>
  <si>
    <t>12th official meeting of the SCO Ministers' of Defense in St Petersburg; Other countries: Kazakhstan, Kyrgyztan, Russia, Tajikistan, Uzbekistan</t>
  </si>
  <si>
    <t>https://www.chinadaily.com.cn/world/2015xiatbricssco/2015-07/01/content_21149740.htm</t>
  </si>
  <si>
    <t>Kowari 2015</t>
  </si>
  <si>
    <t>Survival skills</t>
  </si>
  <si>
    <t xml:space="preserve"> https://www.marines.mil/News/News-Display/Article/617336/exercise-kowari-2015-concludes-in-darwin-australia/</t>
  </si>
  <si>
    <t>International Army Games 2015</t>
  </si>
  <si>
    <t>Competition; Army, AF, Navy</t>
  </si>
  <si>
    <t>http://mil.ru/files/files/armygames/index_en.html</t>
  </si>
  <si>
    <t>MAIN ENTRY FOR IAG2015--coded as Army despite particiation of other services</t>
  </si>
  <si>
    <t>Joint Sea 2015 (II)</t>
  </si>
  <si>
    <t>The drills took place from Aug. 20-28 in the Peter the Great Gulf, waters off the Clerk Cape, and the Sea of Japan.</t>
  </si>
  <si>
    <t>Panda-Kangaroo 2015</t>
  </si>
  <si>
    <t>Special Envoy of the President and Defense Minister</t>
  </si>
  <si>
    <t>fleet maneuvers, communications drill, underway replenishment; ETF-20</t>
  </si>
  <si>
    <t>Deputy State Secretary at the Defense Ministry</t>
  </si>
  <si>
    <t>Peace and Friendship 2015</t>
  </si>
  <si>
    <t>HADR, SAREX, anti-terrorism; "weapons use"</t>
  </si>
  <si>
    <t>https://wss.apan.org/3574/Shared%20Documents/Day%201/Multilateral%20Health%20Engagement/3%20ASEAN%20REGIONAL%20FORUM%20DISASTER%20%20RELIEF%20EXERCISE%20(ARF%20DIREx)%202015.pdf; http://eng.mod.gov.cn/DefenseNews/2015-09/22/content_4621771.htm; http://usa.chinadaily.com.cn/world/2015-09/23/content_21956625.htm; http://usa.chinadaily.com.cn/world/2015-09/23/content_21956625.htm</t>
  </si>
  <si>
    <t>Eagle 2015</t>
  </si>
  <si>
    <t>Joint anti-terrorism drill in Mongolia</t>
  </si>
  <si>
    <t>http://www.gywb.cn/content/2015-09/11/content_3800970_all.htm</t>
  </si>
  <si>
    <t>Tropic Twilight</t>
  </si>
  <si>
    <t>Engineering, HADR. Other countries: United Kingdom, United States</t>
  </si>
  <si>
    <t>https://web.archive.org/web/20170414073944/http://www.nzdf.mil.nz/news/media-releases/2015/20151008-nzdfltghoatci.htm</t>
  </si>
  <si>
    <t>Shaheen-4</t>
  </si>
  <si>
    <t>SCO anti-terrorism joint-command staff exercise in Kyrgyzstan; Russia, China, Kyrgyzstan, Kazakhstan, Tajikistan, possibly Uzbekistan</t>
  </si>
  <si>
    <t>Cormorant Strike VI 2015</t>
  </si>
  <si>
    <t>SOF; likely observer. Other countries: Bangladesh, India, Indonesia, Malaysia, Nepal, Pakistan, United  States</t>
  </si>
  <si>
    <t>Fifth China-ASEAN Defense Ministers' Informal Meeting in Beijing</t>
  </si>
  <si>
    <t>http://asean.chinamission.org.cn/eng/zdjl/t1307777.htm</t>
  </si>
  <si>
    <t>communication, formation movement in English Channel</t>
  </si>
  <si>
    <t>Peace Ark, HADR</t>
  </si>
  <si>
    <t>Harmonious Mission 2015</t>
  </si>
  <si>
    <t>Communication drills</t>
  </si>
  <si>
    <t>Navigation drills</t>
  </si>
  <si>
    <t>Hand-in-Hand 2015</t>
  </si>
  <si>
    <t>http://eng.mod.gov.cn/SpecialReports/2015-10/15/content_4624530.htm</t>
  </si>
  <si>
    <t>Fox Hunting 2015</t>
  </si>
  <si>
    <t>Anti-terror drills</t>
  </si>
  <si>
    <t>Delegation of senior army officers</t>
  </si>
  <si>
    <t>Falcon 2015</t>
  </si>
  <si>
    <t>PLAA SOF, anti-terrorism</t>
  </si>
  <si>
    <t>Xiangshan Forum 2015; Defense Minister</t>
  </si>
  <si>
    <t xml:space="preserve">http://eng.mod.gov.cn/SpecialReports/node_46641.htm </t>
  </si>
  <si>
    <t>Secretary to the Defense Minister</t>
  </si>
  <si>
    <t>http://eng.mod.gov.cn/SpecialReports/2015-10/15/content_4624532.htm</t>
  </si>
  <si>
    <t>Damage control, SAR planning</t>
  </si>
  <si>
    <t>3rd ADMM+ Malaysia</t>
  </si>
  <si>
    <t>http://www.chinadaily.com.cn/world/2015liattendsASEAN/2015-11/04/content_22504960.htm</t>
  </si>
  <si>
    <t>http://english.chinamil.com.cn/news-channels/china-military-news/2015-11/04/content_6754945.htm</t>
  </si>
  <si>
    <t>Deputy Minister of Defense for Logistics</t>
  </si>
  <si>
    <t>helicopter landing on each other’s warship, maritime replenishment, visit, board, search and seizure training; UNREP, fleet maneuvers, boarding; ETF-21; anti-piracy</t>
  </si>
  <si>
    <t>http://eng.chinamil.com.cn/news-channels/2015-11/30/content_6792347.htm</t>
  </si>
  <si>
    <t>ETF-21</t>
  </si>
  <si>
    <t>FFG573 Liuzhou, FFG574 Sanya, AOR885 Qinghai Hu</t>
  </si>
  <si>
    <t>Deputy Chairman JCS</t>
  </si>
  <si>
    <t>http://english.chinamil.com.cn/news-channels/china-military-news/2015-11/05/content_6756726.htm</t>
  </si>
  <si>
    <t>Head of Joint Logistics Department</t>
  </si>
  <si>
    <t>https://www.upi.com/Top_News/World-News/2015/11/04/South-Korea-agrees-to-military-hotline-with-China/4351446662720/</t>
  </si>
  <si>
    <t>anti-piracy in Gulf of Aden</t>
  </si>
  <si>
    <t>Falcon Strike 2015</t>
  </si>
  <si>
    <t>Aerial maneuvers</t>
  </si>
  <si>
    <t>https://web.archive.org/web/20150926012801/https://www.news.lk/news/sri-lanka/item/9929-exercise-cormorant-exercise-vi-draws-to-a-close</t>
  </si>
  <si>
    <t>https://www.defense.gov/Newsroom/Releases/Release/Article/627162/readout-of-secretary-of-defense-ash-carters-meeting-with-peoples-republic-of-ch/</t>
  </si>
  <si>
    <t>on margins of ADMM+</t>
  </si>
  <si>
    <t>PACOM Commander Harris</t>
  </si>
  <si>
    <t>Peace Ark to San Diego</t>
  </si>
  <si>
    <t>DDG152 Jinan, FFG548 Yiyang, AOR886 Qiandao Hu; Florida and Hawaii</t>
  </si>
  <si>
    <t>11th Disaster Management Exchange</t>
  </si>
  <si>
    <t>Joint Base Lewis-McChord; HADR with academic discussion, TTX, and field exchange</t>
  </si>
  <si>
    <t>Communications and SAR exercise; USS Stethem</t>
  </si>
  <si>
    <t>https://www.cpf.navy.mil/Newsroom/News/Article/2745342/uss-stethem-joins-with-plan-to-conduct-exercise/</t>
  </si>
  <si>
    <t>http://english.chinamil.com.cn/view/2017-11/10/content_7819995.htm</t>
  </si>
  <si>
    <t>http://english.chinamil.com.cn/view/2017-11/02/content_7810455.htm</t>
  </si>
  <si>
    <t>Delegation of senior military officers</t>
  </si>
  <si>
    <t>http://english.chinamil.com.cn/view/2017-11/20/content_7833802.htm</t>
  </si>
  <si>
    <t>CinC Indian Army Northern Command</t>
  </si>
  <si>
    <t>http://english.chinamil.com.cn/view/2017-11/30/content_7851222.htm</t>
  </si>
  <si>
    <t>Friends</t>
  </si>
  <si>
    <t>live-fire drills, joint escort, anti-piracy with FFGs Xuzhou, Yangzhou, and Shamsheer; ASW</t>
  </si>
  <si>
    <t>Friendship 2015</t>
  </si>
  <si>
    <t>http://eng.chinamil.com.cn/news-channels/2016-01/04/content_6843101_2.htm</t>
  </si>
  <si>
    <t>FFG Yiyang and FFG Darwin maritime exercises</t>
  </si>
  <si>
    <t>fleet maneuvers, communications drill, SAR, UNREP; ETF-21</t>
  </si>
  <si>
    <t>ETF-21, formation maneuver, replenishment, formation air defense, cross-deck helo landing</t>
  </si>
  <si>
    <t>FFG573 Liuzhou, FFG574 Sanya, AOR885 Qinghai Hu; communications drills</t>
  </si>
  <si>
    <t>fleet maneuvers, communications drill, SAR,ETF-21</t>
  </si>
  <si>
    <t>CMC/JSD Commander; CMC Member</t>
  </si>
  <si>
    <t>ETF-22 anti-piracy drills with EU Combined Task Force 465</t>
  </si>
  <si>
    <t>Indian Fleet Review 2016</t>
  </si>
  <si>
    <t>navigation and formation maneuvers; ETF-21. Other countries: refer to source for a complete list of countries</t>
  </si>
  <si>
    <t xml:space="preserve">http://english.chinamil.com.cn/news-channels/china-military-news/2016-02/15/content_6908979.htm;  https://www.indiannavy.nic.in/content/international-fleet-review-2016-1l https://www.indiannavy.nic.in/content/international-fleet-review-2016-1; </t>
  </si>
  <si>
    <t>Cobra Gold 2016</t>
  </si>
  <si>
    <t>Force 18</t>
  </si>
  <si>
    <t>ADMM-Plus Humanitarian Mine Action and Peacekeeping Operations: Hosted by India with ASEAN and 8 dialogue partners</t>
  </si>
  <si>
    <t>https://thediplomat.com/2016/03/india-concludes-watershed-military-exercise-with-asean-plus-nations/</t>
  </si>
  <si>
    <t>All-Round Partnership for Innovation [创新全面伙伴关系]</t>
  </si>
  <si>
    <t>CMC/LSD Director; CMC Member</t>
  </si>
  <si>
    <t>All-Round Strategic Partnership [全方位战略伙伴关系]</t>
  </si>
  <si>
    <t>Joint Evacuation 2016</t>
  </si>
  <si>
    <t>TTX; NEO</t>
  </si>
  <si>
    <t>National Security Advisor</t>
  </si>
  <si>
    <t>port-and-shore activities, maritime drills, engineering and rescue ashore; Russia; France; US</t>
  </si>
  <si>
    <t>Komodo 2016</t>
  </si>
  <si>
    <t xml:space="preserve">HADR TTX; formation maneuvers, communication drills. Other countries: refer to source for a complete list of countries </t>
  </si>
  <si>
    <t>http://www.navy.mil/submit/display.asp?story_id=94132</t>
  </si>
  <si>
    <t>Shaheen 5</t>
  </si>
  <si>
    <t>combat exercises</t>
  </si>
  <si>
    <t>Air Chief Marshal</t>
  </si>
  <si>
    <t>Sixth China-ASEAN Defense Ministers' Informal Meeting in Laos</t>
  </si>
  <si>
    <t>http://en.people.cn/n3/2016/0526/c90883-9063888.html</t>
  </si>
  <si>
    <t>Anti-Terrorism</t>
  </si>
  <si>
    <t>ADMM-Plus Maritime Security and Counter Terrorism Exercise</t>
  </si>
  <si>
    <t>ADMM-Plus Maritime Security and Counter Terrorism Exercise; Brunei and Singapore hosted</t>
  </si>
  <si>
    <t>Vice Chief ADF</t>
  </si>
  <si>
    <t>Australian Army Skill At Arms Meeting (AASAM)</t>
  </si>
  <si>
    <t>27th Combined Corps Chinese Central TC; sharpshooting competition. Other countries: Canada, France, Indonesia, Malaysia, Philippines, South Korea, United Kingdom, United States</t>
  </si>
  <si>
    <t>ETF-22</t>
  </si>
  <si>
    <t xml:space="preserve">DDG113 Qingdao, FFG576 Daqing, AOR889 Tai Hu </t>
  </si>
  <si>
    <t>CMC/EDD Director; CMC Member</t>
  </si>
  <si>
    <t>Cooperation 2016</t>
  </si>
  <si>
    <t>"fighting, tactical shooting, helicopter fast-roping, fast evacuation, building climbing and units tactical comprehensive exercises and other subjects"; Falcon Commando Unit, Snow Leopard Commando Unit</t>
  </si>
  <si>
    <t>https://web.archive.org/web/20180821103143/http://news.ifeng.com/a/20160519/48800334_0.shtml</t>
  </si>
  <si>
    <t>Strategic CPX</t>
  </si>
  <si>
    <t>Aerospace Security 2016</t>
  </si>
  <si>
    <t>Computer-enabled missile defense exercise (TTX)</t>
  </si>
  <si>
    <t>Included even though it is a CPX due to the strategic significance of the exercise subject</t>
  </si>
  <si>
    <t>unspecified communications and maneuvers drills with South African Navy; ETF-22</t>
  </si>
  <si>
    <t>Xu Fenlin</t>
  </si>
  <si>
    <t>Ma Yiming</t>
  </si>
  <si>
    <t>CMC/JSD Assistant Commander</t>
  </si>
  <si>
    <t>ASD Christine Wormuth</t>
  </si>
  <si>
    <t xml:space="preserve">2017 CH Mil Power Report </t>
  </si>
  <si>
    <t>Chief ADF</t>
  </si>
  <si>
    <t>15th Shangri-La Dialogue</t>
  </si>
  <si>
    <t>ETF-23</t>
  </si>
  <si>
    <t>FFG531 Xiangtan, FFG529 Zhoushan, AOR890 Chao Hu</t>
  </si>
  <si>
    <t>Defense Minister; 15th Shangri-la</t>
  </si>
  <si>
    <t>Former Chief of Staff Army</t>
  </si>
  <si>
    <t>Chairman NATO Military Committee</t>
  </si>
  <si>
    <t>National Defense Secretary</t>
  </si>
  <si>
    <t>13th official meeting of the SCO Ministers' of Defense in Astana; Other countries: Kazakhstan, Kyrgyztan, Russia, Tajikistan, Uzbekistan</t>
  </si>
  <si>
    <t>Chief Armed Forces</t>
  </si>
  <si>
    <t>Blue Strike 2016</t>
  </si>
  <si>
    <t>Marines</t>
  </si>
  <si>
    <t>United Nations</t>
  </si>
  <si>
    <t>Yi Xiaoguang</t>
  </si>
  <si>
    <t>Deputy General Secretary</t>
  </si>
  <si>
    <t>Director General MoD Policy and Foreign Affairs</t>
  </si>
  <si>
    <t>Third China-Latin America Defense Forum</t>
  </si>
  <si>
    <t>http://www.cdsndu.org/html_en/to_articleContent_article.id=40288a8556065bc90156d938284d0134.html</t>
  </si>
  <si>
    <t>High Representative for Foreign Affairs and Security Policy</t>
  </si>
  <si>
    <t>Logistics Commander</t>
  </si>
  <si>
    <t>CNO Richardson</t>
  </si>
  <si>
    <t>Kowari 2016</t>
  </si>
  <si>
    <t>Army field survival training</t>
  </si>
  <si>
    <t>https://www.pacom.mil/Media/News/News-Article-View/Article/929481/exercise-kowari-us-australia-china-set-to-survive-inside-the-outback/</t>
  </si>
  <si>
    <t>Jungle Patrol Competition</t>
  </si>
  <si>
    <t xml:space="preserve">PLAA team from "14th Combined Corps". Other countries: Colombia, France, Germany </t>
  </si>
  <si>
    <t>http://english.chinamil.com.cn/news-channels/china-military-news/2016-08/11/content_7202787.htm</t>
  </si>
  <si>
    <t>Army Logistics Chief</t>
  </si>
  <si>
    <t>International Army Games 2016</t>
  </si>
  <si>
    <t xml:space="preserve">Competition. Other countries: refer to source for a complete list of countries </t>
  </si>
  <si>
    <t>https://sputniknews.com/military/201606291042146258-airborne-platoon-2016/</t>
  </si>
  <si>
    <t>2nd Prime Minister; Defense Minister</t>
  </si>
  <si>
    <t>PLAA Commander</t>
  </si>
  <si>
    <t>Army Chief of Staff Milley</t>
  </si>
  <si>
    <t>RIMPAC 2016</t>
  </si>
  <si>
    <t xml:space="preserve">Maritime docking; Combined Task Force 175; PLAN flotilla is FFG572 Hengshui (ESF), DDG153 Xi'an (ESF), AOR966 Gaoyou Hu, AS867 Changdao (NSF), 866 Peace Ark. Other countries: refer to source for a complete list of countries </t>
  </si>
  <si>
    <t>https://navaltoday.com/2016/06/01/record-number-of-countries-to-take-part-in-rimpac-2016/</t>
  </si>
  <si>
    <t>AMHex 2016</t>
  </si>
  <si>
    <t>HADR, rescue operations. Other countries: Refer to source of a complete list of countries; hosted by Thailand</t>
  </si>
  <si>
    <t>Pandaroo-2016</t>
  </si>
  <si>
    <t>Canoeing and abseiling</t>
  </si>
  <si>
    <t>ETF-24</t>
  </si>
  <si>
    <t>DDG112 Harbin, FFG579 Handan, AOR960 Dongping Hu</t>
  </si>
  <si>
    <t>Joint Sea 2016</t>
  </si>
  <si>
    <t>Amphibious operations, island seizure; occurred in South China Sea. September 12-19</t>
  </si>
  <si>
    <t>Fourth meeting of SCO military chiefs of staff in Kyrgyzstan</t>
  </si>
  <si>
    <t>http://eng.chinamil.com.cn/view/2016-09/22/content_7271778.htm</t>
  </si>
  <si>
    <t>Peace Mission 2016</t>
  </si>
  <si>
    <t>Held at the Edelweiss range located in Kyrgyzstan’s Issyk-Kul region.  September 15-21</t>
  </si>
  <si>
    <t>http://english.chinamil.com.cn/view/2016-09/18/content_7263185.htm</t>
  </si>
  <si>
    <t>2016 PACOM CHOD conference in Manila; Sun attended and met with Harris on the margins</t>
  </si>
  <si>
    <t>Combined Aid 2016</t>
  </si>
  <si>
    <t>Director Foreign Affairs, General Staff Office Iran Armed Forces</t>
  </si>
  <si>
    <t>Navy Minister</t>
  </si>
  <si>
    <t>Xiangshan Forum 2016; Defense Minister</t>
  </si>
  <si>
    <t>http://en.people.cn/n3/2016/1012/c90883-9125693.html</t>
  </si>
  <si>
    <t>International Physical Agility and Combat Efficiency System (PACES)</t>
  </si>
  <si>
    <t xml:space="preserve">PLAA team from 14th GA. Other countries: Nepal, Saudi Arabia </t>
  </si>
  <si>
    <t>Friendship 2016</t>
  </si>
  <si>
    <t>21st GA SOF brigade and SSG commandos; CQB, recon, maneuver and penetration, search and capture, ambush/anti-ambush</t>
  </si>
  <si>
    <t>anti-terrorism drills</t>
  </si>
  <si>
    <t>Senior Minister of State for MoD</t>
  </si>
  <si>
    <t xml:space="preserve">Cooperation-2016 Joint Anti-Terrorism Exercise </t>
  </si>
  <si>
    <t>2019 PRC Defense White Paper</t>
  </si>
  <si>
    <t>NDU President MajGen Padilla</t>
  </si>
  <si>
    <t>On margins of Xiangshan Forum</t>
  </si>
  <si>
    <t>ADMM-Plus Maritime Security Exercise 2016</t>
  </si>
  <si>
    <t>likely formation maneuvers, SAR, other combat support. Other countries: Indonesia, New Zealand ;boarding operations, manoeuvring serials and maritime security patrols</t>
  </si>
  <si>
    <t>Secretary of Strategy and International Affairs MoD</t>
  </si>
  <si>
    <t>Hand-in-Hand 2016</t>
  </si>
  <si>
    <t>Peace and Friendship 2016</t>
  </si>
  <si>
    <t>http://eng.mod.gov.cn/news/2016-11/18/content_4778131.htm</t>
  </si>
  <si>
    <t>unknown if other PLAN ships present</t>
  </si>
  <si>
    <t>ETF-24; Marines; anti-piracy drills, special operations</t>
  </si>
  <si>
    <t>mountain infantry troops; actual combat abilities but few details;SCO; Counries: Kazakhstan, Kyrgyzstan, Tajikistan, Uzbekistan, Russia</t>
  </si>
  <si>
    <t>Zhao Zongqi</t>
  </si>
  <si>
    <t>Western TC Commander</t>
  </si>
  <si>
    <t>Also visited JB Lewis-McChord</t>
  </si>
  <si>
    <t>12th Disaster Management Exchange TTX</t>
  </si>
  <si>
    <t>Kunming; HADR academic discussion; TTX; and field exchange</t>
  </si>
  <si>
    <t>DDG112 Harbin, FFG579 Handan</t>
  </si>
  <si>
    <t>http://eng.mod.gov.cn/DefenseNews/2017-01/23/content_4770731.htm</t>
  </si>
  <si>
    <t xml:space="preserve">Unnamed </t>
  </si>
  <si>
    <t xml:space="preserve">Maritime </t>
  </si>
  <si>
    <t>http://eng.mod.gov.cn/DefenseNews/2017-02/24/content_4773595.htm</t>
  </si>
  <si>
    <t>http://eng.mod.gov.cn/DefenseNews/2017-02/21/content_4773208.htm</t>
  </si>
  <si>
    <t>Maritime</t>
  </si>
  <si>
    <t>http://eng.mod.gov.cn/DefenseNews/2017-02/03/content_4771399.htm</t>
  </si>
  <si>
    <t>Zhao Jinsong</t>
  </si>
  <si>
    <t>Western TC Deputy Commander</t>
  </si>
  <si>
    <t>http://eng.mod.gov.cn/DefenseNews/2017-02/20/content_4773000.htm</t>
  </si>
  <si>
    <t>Aman-17</t>
  </si>
  <si>
    <t>Cobra Gold 2017</t>
  </si>
  <si>
    <t>Humanitarian assistance and disaster relief</t>
  </si>
  <si>
    <t>http://eng.mod.gov.cn/DefenseNews/2017-02/03/content_4771404.htm</t>
  </si>
  <si>
    <t xml:space="preserve">Defense Minister </t>
  </si>
  <si>
    <t>http://english.chinamil.com.cn/view/2017-03/17/content_7529919.htm</t>
  </si>
  <si>
    <t>http://eng.mod.gov.cn/DefenseNews/2017-03/28/content_4776738.htm; http://eng.mod.gov.cn/DefenseNews/2017-03/29/content_4776836.htm</t>
  </si>
  <si>
    <t xml:space="preserve">President </t>
  </si>
  <si>
    <t>Chief General</t>
  </si>
  <si>
    <t>http://www.xinhuanet.com/english/2017-03/16/c_136134589.htm</t>
  </si>
  <si>
    <t>http://eng.mod.gov.cn/DefenseNews/2017-03/28/content_4776738.htm</t>
  </si>
  <si>
    <t>Joint Evacuation 2017</t>
  </si>
  <si>
    <t>Guan Youfei</t>
  </si>
  <si>
    <t>CMC/OIMC Director</t>
  </si>
  <si>
    <t>http://english.chinamil.com.cn/view/2017-04/12/content_7559734.htm</t>
  </si>
  <si>
    <t>Head of CMC/OIMC is not senior enough, but is meeting with Armenian MINDEF.  KEEP?</t>
  </si>
  <si>
    <t xml:space="preserve">Army Lieutenant General </t>
  </si>
  <si>
    <t>http://eng.mod.gov.cn/DefenseNews/2017-04/06/content_4777529.htm</t>
  </si>
  <si>
    <t xml:space="preserve">Chairman of State Border Committee </t>
  </si>
  <si>
    <t xml:space="preserve">Vice Admiral </t>
  </si>
  <si>
    <t>Secretary for Defense</t>
  </si>
  <si>
    <t>http://english.chinamil.com.cn/view/2017-04/21/content_7571498.htm</t>
  </si>
  <si>
    <t>Sagarmatha Friendship 2017</t>
  </si>
  <si>
    <t xml:space="preserve">Competition </t>
  </si>
  <si>
    <t>http://eng.mod.gov.cn/DefenseNews/2017-04/17/content_4778533.htm</t>
  </si>
  <si>
    <t>Pakistan Army Team  Spirit</t>
  </si>
  <si>
    <t>http://eng.mod.gov.cn/DefenseNews/2017-04/05/content_4777417.htm</t>
  </si>
  <si>
    <t>http://english.chinamil.com.cn/view/2017-05/09/content_7594109.htm; https://navaltoday.com/2017/05/15/singapore-navy-hosts-its-first-international-maritime-review/</t>
  </si>
  <si>
    <t xml:space="preserve">Head of Department of Defense </t>
  </si>
  <si>
    <t xml:space="preserve">Commander of Air Force </t>
  </si>
  <si>
    <t>http://english.chinamil.com.cn/view/2017-04/25/content_7577039.htm</t>
  </si>
  <si>
    <t>Deputy Chief of General Staff</t>
  </si>
  <si>
    <t>https://web.archive.org/web/20170522140635/http://english.chinamil.com.cn/view/2017-05/22/content_7612829.htm</t>
  </si>
  <si>
    <t>DDG150 Changchun, FFG532 Jingzhou</t>
  </si>
  <si>
    <t>http://english.chinamil.com.cn/view/2017-05/24/content_7616128.htm</t>
  </si>
  <si>
    <t>http://english.chinamil.com.cn/view/2017-05/27/content_7620906.htm</t>
  </si>
  <si>
    <t>http://english.chinamil.com.cn/view/2017-05/18/content_7607981.htm</t>
  </si>
  <si>
    <t>http://english.chinamil.com.cn/view/2017-05/17/content_7606327.htm</t>
  </si>
  <si>
    <t xml:space="preserve">VBSS </t>
  </si>
  <si>
    <t>http://english.chinamil.com.cn/view/2017-05/08/content_7592399.htm</t>
  </si>
  <si>
    <t>ETF-25</t>
  </si>
  <si>
    <t>http://english.chinamil.com.cn/view/2017-05/14/content_7600876.htm</t>
  </si>
  <si>
    <t>http://english.chinamil.com.cn/view/2017-05/16/content_7604554.htm</t>
  </si>
  <si>
    <t>http://english.chinamil.com.cn/view/2017-05/22/content_7612831.htm</t>
  </si>
  <si>
    <t>Shen Jinlong</t>
  </si>
  <si>
    <t>Chief of the Naval Staff</t>
  </si>
  <si>
    <t>http://www.xinhuanet.com/english/2017-05/02/c_136251579.htm</t>
  </si>
  <si>
    <t xml:space="preserve">Prime Minister </t>
  </si>
  <si>
    <t>Visiting Minister of State</t>
  </si>
  <si>
    <t>http://english.chinamil.com.cn/view/2017-05/12/content_7599711.htm</t>
  </si>
  <si>
    <t>http://english.chinamil.com.cn/view/2017-05/10/content_7596291.htm; http://english.chinamil.com.cn/view/2017-05/18/content_7607843.htm</t>
  </si>
  <si>
    <t>WPNS 2017</t>
  </si>
  <si>
    <t>Second Multilateral held off of Guam; Countries: Australia, Canada, Chile, Indonesia, Japan, Republic of Korea, Singapore, United Kingdom, and the United States.</t>
  </si>
  <si>
    <t>https://www.navy.mil/submit/display.asp?story_id=100979#:~:text=Western%20Pacific%20Naval%20Symposium%20Diving%20Exercise%202017%20is%20a%20biennial,held%20in%20Singapore%20in%202015.</t>
  </si>
  <si>
    <t xml:space="preserve">ETF-25 </t>
  </si>
  <si>
    <t>http://english.chinamil.com.cn/view/2017-06/09/content_7633894.htm</t>
  </si>
  <si>
    <t>http://english.chinamil.com.cn/view/2017-06/30/content_7658357.htm</t>
  </si>
  <si>
    <t>New Type of Cooperative Partnership [新型合作伙伴关系]</t>
  </si>
  <si>
    <t xml:space="preserve">He Lei </t>
  </si>
  <si>
    <t>16th Shangri-La</t>
  </si>
  <si>
    <t>http://english.chinamil.com.cn/view/2017-06/16/content_7642344.htm</t>
  </si>
  <si>
    <t>http://english.chinamil.com.cn/view/2017-06/30/content_7658542.htm</t>
  </si>
  <si>
    <t xml:space="preserve">Chief of the Navy </t>
  </si>
  <si>
    <t>http://english.chinamil.com.cn/view/2017-06/16/content_7642495.htm</t>
  </si>
  <si>
    <t>http://english.chinamil.com.cn/view/2017-06/20/content_7646396.htm</t>
  </si>
  <si>
    <t>Chairman of Joint Chiefs of Staff Committee</t>
  </si>
  <si>
    <t>http://english.chinamil.com.cn/view/2017-06/19/content_7644422.htm</t>
  </si>
  <si>
    <t>http://english.chinamil.com.cn/view/2017-06/13/content_7637523.htm</t>
  </si>
  <si>
    <t>http://english.chinamil.com.cn/view/2017-06/14/content_7639359.htm</t>
  </si>
  <si>
    <t xml:space="preserve">Secretary of Foreign Affairs </t>
  </si>
  <si>
    <t>http://english.chinamil.com.cn/view/2017-06/30/content_7658903.htm</t>
  </si>
  <si>
    <t>Deputy Minister</t>
  </si>
  <si>
    <t>http://english.chinamil.com.cn/view/2017-06/03/content_7627210.htm</t>
  </si>
  <si>
    <t>14th official meeting of the SCO Ministers' of Defense in Kyrgyzstan; Other countries: Kazakhstan, Kyrgyztan, Russia, Tajikistan, Uzbekistan</t>
  </si>
  <si>
    <t>http://eng.sectsco.org/news/20170607/287235.html</t>
  </si>
  <si>
    <t>http://english.chinamil.com.cn/view/2017-06/05/content_7628604.htm</t>
  </si>
  <si>
    <t>Secretary of State</t>
  </si>
  <si>
    <t>http://www.xinhuanet.com/english/2017-06/21/c_136384259.htm</t>
  </si>
  <si>
    <t>http://english.chinamil.com.cn/view/2017-06/26/content_7652811.htm</t>
  </si>
  <si>
    <t>http://english.chinamil.com.cn/view/2017-07/14/content_7675380.htm</t>
  </si>
  <si>
    <t>United-Shield 2017</t>
  </si>
  <si>
    <t>Anti-terrorism drills</t>
  </si>
  <si>
    <t>http://english.chinamil.com.cn/view/2017-07/12/content_7673496.htm</t>
  </si>
  <si>
    <t xml:space="preserve">Commander in Chief </t>
  </si>
  <si>
    <t>http://english.chinamil.com.cn/view/2017-07/19/content_7682288.htm</t>
  </si>
  <si>
    <t>http://english.chinamil.com.cn/view/2017-07/24/content_7686625.htm</t>
  </si>
  <si>
    <t xml:space="preserve">Secretary General of Defense </t>
  </si>
  <si>
    <t xml:space="preserve">East Sea Fleet </t>
  </si>
  <si>
    <t>http://english.chinamil.com.cn/view/2017-07/12/content_7673162.htm</t>
  </si>
  <si>
    <t>http://english.chinamil.com.cn/view/2017-07/09/content_7669819.htm</t>
  </si>
  <si>
    <t>http://english.chinamil.com.cn/view/2017-07/12/content_7673794.htm</t>
  </si>
  <si>
    <t>International Army Games</t>
  </si>
  <si>
    <t>Fighting capabilities. Other countries: Belarus, Azerbaijan, Kazakhstan, Armenia, Iran, Zimbabwe, Pakistan, Venezuela, Sudan, Uzbekistan, Egypt, Vietnam, Syria</t>
  </si>
  <si>
    <t>https://armedforcessports.defense.gov/CISM/Military-World-Games/6th-Military-World-Games/</t>
  </si>
  <si>
    <t>Joint Sea 2017 (I)</t>
  </si>
  <si>
    <t xml:space="preserve"> Location: Baltic Sea.  July 21-28</t>
  </si>
  <si>
    <t>http://english.chinamil.com.cn/view/2017-06/19/content_7643658.htm</t>
  </si>
  <si>
    <t>RECODED as COMBAT based on closer analysis of exercise activities</t>
  </si>
  <si>
    <t xml:space="preserve">National Security Advisor </t>
  </si>
  <si>
    <t>http://english.chinamil.com.cn/view/2017-07/21/content_7684472.htm</t>
  </si>
  <si>
    <t>Kowari 2017</t>
  </si>
  <si>
    <t>Survival Exercise</t>
  </si>
  <si>
    <t>Shao Yuanming</t>
  </si>
  <si>
    <t>Vice Chief of Defence Force</t>
  </si>
  <si>
    <t>http://english.chinamil.com.cn/view/2017-08/29/content_7735681.htm</t>
  </si>
  <si>
    <t>JSD/DCJS position downgraded to TC deputy grade; position weights adjusted</t>
  </si>
  <si>
    <t>http://english.chinamil.com.cn/view/2017-08/24/content_7729644.htm</t>
  </si>
  <si>
    <t>Chief of Staff of National Defense Forces</t>
  </si>
  <si>
    <t>http://english.chinamil.com.cn/view/2017-08/19/content_7723327.htm</t>
  </si>
  <si>
    <t>ETF-26</t>
  </si>
  <si>
    <t>http://english.chinamil.com.cn/view/2017-08/22/content_7725742.htm</t>
  </si>
  <si>
    <t xml:space="preserve">Unknown </t>
  </si>
  <si>
    <t>Khaan Quest 2017</t>
  </si>
  <si>
    <t xml:space="preserve">Deputy Chief of Defense Force </t>
  </si>
  <si>
    <t>https://web.archive.org/web/20170920220529/http://english.chinamil.com.cn/view/2017-08/15/content_7719318.htm; http://english.chinamil.com.cn/view/2017-08/28/content_7733889.htm</t>
  </si>
  <si>
    <t xml:space="preserve">Chief of Army Staff </t>
  </si>
  <si>
    <t>http://english.chinamil.com.cn/view/2017-08/28/content_7733909.htm</t>
  </si>
  <si>
    <t>http://english.chinamil.com.cn/view/2017-08/01/content_7699372.htm</t>
  </si>
  <si>
    <t>http://eng.chinamil.com.cn/view/2017-08/11/content_7715167.htm</t>
  </si>
  <si>
    <t>Harmonious Mission-2017</t>
  </si>
  <si>
    <t>Rescue drill</t>
  </si>
  <si>
    <t>http://english.chinamil.com.cn/view/2017-08/11/content_7715167.htm</t>
  </si>
  <si>
    <t>http://english.chinamil.com.cn/view/2017-08/17/content_7720968.htm</t>
  </si>
  <si>
    <t>http://english.chinamil.com.cn/view/2017-08/17/content_7721898.htm</t>
  </si>
  <si>
    <t>Falcon Strike 2017</t>
  </si>
  <si>
    <t xml:space="preserve">Joint training exercise </t>
  </si>
  <si>
    <t xml:space="preserve">Marine Crops General </t>
  </si>
  <si>
    <t>Panda-Kangaroo 2017</t>
  </si>
  <si>
    <t xml:space="preserve">Joint training </t>
  </si>
  <si>
    <t>http://english.chinamil.com.cn/view/2017-09/11/content_7751741.htm</t>
  </si>
  <si>
    <t>http://english.chinamil.com.cn/view/2017-09/08/content_7749343.htm</t>
  </si>
  <si>
    <t>http://english.chinamil.com.cn/view/2017-09/29/content_7774095.htm</t>
  </si>
  <si>
    <t>http://english.chinamil.com.cn/view/2017-09/01/content_7740479.htm</t>
  </si>
  <si>
    <t>http://english.chinamil.com.cn/view/2017-09/26/content_7769056.htm; http://english.chinamil.com.cn/view/2017-09/26/content_7769059.htm</t>
  </si>
  <si>
    <t xml:space="preserve">Minister of National Defense </t>
  </si>
  <si>
    <t>http://english.chinamil.com.cn/view/2017-09/11/content_7751586.htm</t>
  </si>
  <si>
    <t xml:space="preserve">Former General Inspector of Defense Force </t>
  </si>
  <si>
    <t>http://english.chinamil.com.cn/view/2017-09/25/content_7768600.htm</t>
  </si>
  <si>
    <t>http://english.chinamil.com.cn/view/2017-09/07/content_7747221.htm</t>
  </si>
  <si>
    <t>Shaheen-VI</t>
  </si>
  <si>
    <t xml:space="preserve">Joint air training </t>
  </si>
  <si>
    <t>http://english.chinamil.com.cn/view/2017-09/26/content_7770309.htm</t>
  </si>
  <si>
    <t>Joint Sea 2017 (II)</t>
  </si>
  <si>
    <t xml:space="preserve">Maritime in Sea of Japan and Sea of Okhotsk.  "This exercise is the first to organize a joint submarine rescue drill and a joint anti-submarine exercise with multiple arms, aircraft, and ships."  </t>
  </si>
  <si>
    <t xml:space="preserve">https://www.chinanews.com.cn/mil/2017/09-17/8333127.shtml </t>
  </si>
  <si>
    <t>http://english.chinamil.com.cn/view/2017-09/13/content_7754313.htm</t>
  </si>
  <si>
    <t>http://english.chinamil.com.cn/view/2017-09/22/content_7765269.htm</t>
  </si>
  <si>
    <t>http://english.chinamil.com.cn/view/2017-09/11/content_7751723.htm</t>
  </si>
  <si>
    <t>Cormorant Strike VIII - 2017</t>
  </si>
  <si>
    <t>Special Operations</t>
  </si>
  <si>
    <t xml:space="preserve">US Congress </t>
  </si>
  <si>
    <t xml:space="preserve">Anti-terrorism drills </t>
  </si>
  <si>
    <t>http://english.chinamil.com.cn/view/2017-10/20/content_7794034.htm</t>
  </si>
  <si>
    <t>Seventh China-ASEAN Defense Ministers' Informal Meeting in Laos</t>
  </si>
  <si>
    <t>4th ADMM+ Philippines</t>
  </si>
  <si>
    <t>http://www.china.org.cn/world/2017-10/25/content_41788870.htm</t>
  </si>
  <si>
    <t>http://english.chinamil.com.cn/view/2017-10/31/content_7806844.htm</t>
  </si>
  <si>
    <t>http://english.chinamil.com.cn/view/2017-10/11/content_7783463.htm</t>
  </si>
  <si>
    <t>http://english.chinamil.com.cn/view/2017-10/17/content_7790399.htm</t>
  </si>
  <si>
    <t>http://eng.chinamil.com.cn/view/2017-10/09/content_7779858.htm</t>
  </si>
  <si>
    <t>http://english.chinamil.com.cn/view/2017-10/30/content_7805014.htm</t>
  </si>
  <si>
    <t>http://www.xinhuanet.com//english/2017-10/26/c_136706834.htm; https://www.philstar.com/headlines/2017/10/25/1752613/philippines-china-agree-strengthen-defense-ties</t>
  </si>
  <si>
    <t>http://english.chinamil.com.cn/view/2017-10/17/content_7790455.htm</t>
  </si>
  <si>
    <t>http://eng.mil.ru/en/news_page/country/more.htm?id=12148169@egNews</t>
  </si>
  <si>
    <t>http://english.chinamil.com.cn/view/2017-10/24/content_7798270.htm</t>
  </si>
  <si>
    <t>http://english.chinamil.com.cn/view/2017-10/06/content_7778058.htm</t>
  </si>
  <si>
    <t> http://english.chinamil.com.cn/view/2017-11/27/content_7845199.htm; http://english.chinamil.com.cn/view/2017-11/28/content_7847148.htm</t>
  </si>
  <si>
    <t xml:space="preserve">Ding Laihang </t>
  </si>
  <si>
    <t xml:space="preserve">PLAAF Commander </t>
  </si>
  <si>
    <t>http://english.chinamil.com.cn/view/2017-11/28/content_7847062.htm</t>
  </si>
  <si>
    <t xml:space="preserve">Minister for Foreign Affairs </t>
  </si>
  <si>
    <t>IONS</t>
  </si>
  <si>
    <t>International Maritime Search and Rescue Exercise</t>
  </si>
  <si>
    <t>Search and rescue; held in Bangladesh</t>
  </si>
  <si>
    <t>http://english.chinamil.com.cn/view/2017-11/08/content_7816817.htm</t>
  </si>
  <si>
    <t>Visiting Commander in Chief</t>
  </si>
  <si>
    <t>Song Puxuan</t>
  </si>
  <si>
    <t>CMC/LSD Director</t>
  </si>
  <si>
    <t xml:space="preserve">Commander of the Logistics Command </t>
  </si>
  <si>
    <t>http://english.chinamil.com.cn/view/2017-11/15/content_7827412.htm</t>
  </si>
  <si>
    <t>http://english.chinamil.com.cn/view/2017-11/20/content_7832446.htm</t>
  </si>
  <si>
    <t>http://eng.chinamil.com.cn/view/2017-11/27/content_7845180.htm</t>
  </si>
  <si>
    <t>13th China-US Disaster Management TTX</t>
  </si>
  <si>
    <t>Oregon; HADR academic discussion; TTX; and field exchange</t>
  </si>
  <si>
    <t>http://english.chinamil.com.cn/view/2017-11/20/content_7833799.htm; https://www.defense.gov/News/News-Stories/Article/Article/1380334/us-chinese-troops-attend-disaster-management-exchange/</t>
  </si>
  <si>
    <t>Director for Strategic Plans and Policy of the Joint Chiefs of Staff</t>
  </si>
  <si>
    <t>http://english.chinamil.com.cn/view/2017-11/17/content_7831111.htm</t>
  </si>
  <si>
    <t>Commander of Defense Forces</t>
  </si>
  <si>
    <t>http://english.chinamil.com.cn/view/2017-11/09/content_7818645.htm</t>
  </si>
  <si>
    <t>http://english.chinamil.com.cn/view/2017-12/27/content_7886245.htm</t>
  </si>
  <si>
    <t>Cooperation Spirit 2017</t>
  </si>
  <si>
    <t xml:space="preserve">Humanitarian aid </t>
  </si>
  <si>
    <t>http://english.chinamil.com.cn/view/2017-12/07/content_7858238.htm</t>
  </si>
  <si>
    <t>Deputy Commander in Chief</t>
  </si>
  <si>
    <t>http://eng.chinamil.com.cn/view/2017-12/15/content_7870166.htm</t>
  </si>
  <si>
    <t>http://english.chinamil.com.cn/view/2017-12/19/content_7873974.htm</t>
  </si>
  <si>
    <t>http://english.chinamil.com.cn/view/2017-12/11/content_7863222.htm</t>
  </si>
  <si>
    <t>Friend-2017</t>
  </si>
  <si>
    <t>http://english.chinamil.com.cn/view/2017-12/05/content_7855318.htm</t>
  </si>
  <si>
    <t>http://english.chinamil.com.cn/view/2017-12/21/content_7878182.htm; http://english.chinamil.com.cn/view/2017-12/06/content_7857475.htm</t>
  </si>
  <si>
    <t>Cooperation 2017</t>
  </si>
  <si>
    <t>Held in Yinchuan; "training of assault into buildings, searching and combating in blocks and anti-hijacking of bus"</t>
  </si>
  <si>
    <t>http://english.chinamil.com.cn/view/2017-12/09/content_7861253.htm</t>
  </si>
  <si>
    <t>Aerospace Security 2017</t>
  </si>
  <si>
    <t>Computer-enabled missile defense exercise (TTX).  Held at  Air Defense and Anti-Missile Defense Research Institute of the Air Force Academy of the Chinese People's Liberation Army in Beijing.</t>
  </si>
  <si>
    <t xml:space="preserve">2019 Defense White Paper </t>
  </si>
  <si>
    <t>Jiang Guoping</t>
  </si>
  <si>
    <t>http://english.chinamil.com.cn/view/2017-12/13/content_7866854.htm</t>
  </si>
  <si>
    <t>Added source</t>
  </si>
  <si>
    <t>http://english.chinamil.com.cn/view/2017-12/14/content_7868625.htm; http://english.chinamil.com.cn/view/2017-12/20/content_7877799.htm</t>
  </si>
  <si>
    <t>ETF-27</t>
  </si>
  <si>
    <t>http://english.chinamil.com.cn/view/2018-01/09/content_7901186.htm</t>
  </si>
  <si>
    <t>http://english.chinamil.com.cn/view/2018-01/30/content_7926171.htm</t>
  </si>
  <si>
    <t>http://www.81.cn/jwzb/2018-01/12/content_7906916.htm; http://english.chinamil.com.cn/view/2018-01/17/content_7912398.htm</t>
  </si>
  <si>
    <t>Added; MINDEF and MY Navy Chief as participants</t>
  </si>
  <si>
    <t xml:space="preserve">Minister of International Cooperation </t>
  </si>
  <si>
    <t>http://english.chinamil.com.cn/view/2018-01/17/content_7912398.htm; http://www.xinhuanet.com/english/2018-01/17/c_136903260.htm</t>
  </si>
  <si>
    <t>diplomacy and defense talks; original entry miscoded as hosted visit; JSD/DCJS position downgraded so position weight adjusted</t>
  </si>
  <si>
    <t>http://english.chinamil.com.cn/view/2018-01/23/content_7918716.htm</t>
  </si>
  <si>
    <t>Eighth China-ASEAN Defense Ministers' Informal Meeting in Singapore</t>
  </si>
  <si>
    <t>http://eng.chinamil.com.cn/view/2018-02/08/content_7938520.htm</t>
  </si>
  <si>
    <t>http://www.xinhuanet.com/english/2018-02/26/c_137001512.htm</t>
  </si>
  <si>
    <t>http://english.chinamil.com.cn/view/2018-02/26/content_7952675.htm</t>
  </si>
  <si>
    <t>http://english.chinamil.com.cn/view/2018-02/06/content_7934820.htm; http://www.xinhuanet.com/overseas/2018-02/07/c_1122383474.htm.</t>
  </si>
  <si>
    <t>BL with SG and informal meeting with ASEAN Defense Ministers</t>
  </si>
  <si>
    <t>http://english.chinamil.com.cn/view/2018-02/24/content_7950974.htm; http://www.mod.gov.cn/action/2018-02/22/content_4805180.htm</t>
  </si>
  <si>
    <t>Recoded as replenishment port call based on Chinese source</t>
  </si>
  <si>
    <t>Cobra Gold 2018</t>
  </si>
  <si>
    <t>Humanitarian assistance and disaster relief. Other countries: United States, Japan, Malaysia, Singapore.</t>
  </si>
  <si>
    <t>https://www.marines.mil/News/News-Display/Article/1448893/cobra-gold-18-hadr-x/</t>
  </si>
  <si>
    <t>Golden Dragon 2018</t>
  </si>
  <si>
    <t>http://english.chinamil.com.cn/view/2018-03/13/content_7970888.htm</t>
  </si>
  <si>
    <t>search and rescue and communications drills with Qinzhou [钦州舰] and the French Navy’s frigate Vendémiaire; 1st foreign exercise by PLA HK Garrison</t>
  </si>
  <si>
    <t>http://tv.cctv.com/2018/03/03/VIDEVzo6ryVONOpaWJEKh2h8180303.shtml</t>
  </si>
  <si>
    <t>added source and exercise details; still coded as MOOTW</t>
  </si>
  <si>
    <t>http://english.chinamil.com.cn/view/2018-03/26/content_7984027.htm</t>
  </si>
  <si>
    <t>http://english.chinamil.com.cn/view/2018-04/28/content_8019280.htm; http://www.81.cn/jwzb/2018-04/27/content_8018327.htm</t>
  </si>
  <si>
    <t>Hosted by DEFMIN Wei</t>
  </si>
  <si>
    <t>http://english.chinamil.com.cn/view/2018-03/30/content_7988151.htm</t>
  </si>
  <si>
    <t>http://english.chinamil.com.cn/view/2018-04/25/content_8014470.htm</t>
  </si>
  <si>
    <t>http://english.chinamil.com.cn/view/2018-04/26/content_8017075.htm</t>
  </si>
  <si>
    <t>Defense Minister; BL at SCO</t>
  </si>
  <si>
    <t>http://www.81.cn/jmywyl/2018-04/24/content_8013935.htm</t>
  </si>
  <si>
    <t>BL on margins of SCO DEFMIN meeting in Beijing</t>
  </si>
  <si>
    <t>http://lenta.inform.kz/en/kazakh-chinese-defense-ministers-praise-high-level-of-coop_a3229921</t>
  </si>
  <si>
    <t>Reflect BL at SCO</t>
  </si>
  <si>
    <t xml:space="preserve">http://lenta.inform.kz/en/kazakh-chinese-defense-ministers-praise-high-level-of-coop_a3229921 </t>
  </si>
  <si>
    <t xml:space="preserve">Defense Minister; BL at SCO </t>
  </si>
  <si>
    <t xml:space="preserve">http://www.81.cn/jmywyl/2018-04/24/content_8013935.htm </t>
  </si>
  <si>
    <t>http://english.chinamil.com.cn/view/2018-04/19/content_8009037.htm</t>
  </si>
  <si>
    <t>Wei made remarks at 7th Moscow Conference on International Security; first trip abroad as DEFMIN</t>
  </si>
  <si>
    <t>http://english.chinamil.com.cn/view/2018-04/24/content_8013937.htm</t>
  </si>
  <si>
    <t>15th official meeting of the SCO Defense Ministers</t>
  </si>
  <si>
    <t>http://eng.sectsco.org/news/20190430/533861.html</t>
  </si>
  <si>
    <t>http://english.chinamil.com.cn/view/2018-04/23/content_8012465.htm; http://www.81.cn/jwzb/2018-04/24/content_8014051_1.htm</t>
  </si>
  <si>
    <t>Friendly Strategic Partnership [战略伙伴关系]</t>
  </si>
  <si>
    <t>http://english.chinamil.com.cn/view/2018-05/30/content_8046045.htm</t>
  </si>
  <si>
    <t>ETF-29</t>
  </si>
  <si>
    <t>http://english.pladaily.com.cn/view/2018-05/16/content_8033911.htm</t>
  </si>
  <si>
    <t>ETF-28</t>
  </si>
  <si>
    <t>FFG546Yancheng</t>
  </si>
  <si>
    <t xml:space="preserve">http://english.chinamil.com.cn/view/2018-10/04/content_9303573.htm </t>
  </si>
  <si>
    <t>Komodo 2018</t>
  </si>
  <si>
    <t>Maritime. Other countries: United States, France, United Kingdom</t>
  </si>
  <si>
    <t>http://www.mod.gov.cn/action/2018-05/08/content_4812778.htm; http://english.chinamil.com.cn/view/2018-04/26/content_8017093.htm</t>
  </si>
  <si>
    <t>Recoded as MOOTW based on description of activities, which are mostly HA/DR</t>
  </si>
  <si>
    <t>10th Annual Warrior Competition</t>
  </si>
  <si>
    <t>2 PAP Special Operations units; one was "Snow Leopards". Other countries: United States, Saudi Arabia, Lebanon, Kuwait, Qatar</t>
  </si>
  <si>
    <t>CPP20020603000088; http://english.chinamil.com.cn/view/2018-05/09/content_8027376.htm; http://english.chinamil.com.cn/view/2018-05/09/content_8027376.htm</t>
  </si>
  <si>
    <t>http://english.chinamil.com.cn/view/2018-05/28/content_8043876.htm</t>
  </si>
  <si>
    <t>Anti-Piracy</t>
  </si>
  <si>
    <t>Eku Kugbe; 2nd Nigeria international maritime conference and regional naval exercise</t>
  </si>
  <si>
    <t>Ships will carry out drills of ship formation movement, naval gun firing, and maritime warning and patrol; one ship each from Cameroon, Ghana, Togo, France, Portugal and China</t>
  </si>
  <si>
    <t>http://english.chinamil.com.cn/view/2018-05/31/content_8045922.htm; https://www.thedefensepost.com/2018/05/31/china-eku-kugbe-exercise-west-africa/</t>
  </si>
  <si>
    <t>http://english.chinamil.com.cn/view/2018-05/21/content_8038257.htm</t>
  </si>
  <si>
    <t>Chief of General Staff Main Operational Directorate (J-5 equivalent)</t>
  </si>
  <si>
    <t>http://english.chinamil.com.cn/view/2018-05/30/content_8045918.htm; http://www.81.cn/jmywyl/2018-05/30/content_8045689.htm</t>
  </si>
  <si>
    <t>Colonel General Sergei RUDSKOY, Chief of the Main Operational Directorate of the Russian General Staff; JSD/DCJS position downgraded so position weight adjusted</t>
  </si>
  <si>
    <t>http://english.chinamil.com.cn/view/2018-05/17/content_8035093.htm; http://www.xinhuanet.com/world/2018-05/16/c_1122842782.htm</t>
  </si>
  <si>
    <t>Recoded because it is called a "technical stop" in sources.</t>
  </si>
  <si>
    <t>http://english.chinamil.com.cn/view/2018-05/24/content_8041205.htm</t>
  </si>
  <si>
    <t>African Union</t>
  </si>
  <si>
    <t>Hu Changming</t>
  </si>
  <si>
    <t>First China-Africa Defense and Security Forum</t>
  </si>
  <si>
    <t>http://www.mod.gov.cn/shouye/2018-06/26/content_4817721.htm; http://eng.chinamil.com.cn/CHINA_209163/TopStories_209189/9560795.html</t>
  </si>
  <si>
    <t>first China-Africa Defense and Security Forum; Senior military officials (15 DEFMINs) from 50 African countries and the African Union (AU); no noted bilaterals</t>
  </si>
  <si>
    <t>Prime Minister; Defense Minister</t>
  </si>
  <si>
    <t>http://eng.chinamil.com.cn/view/2018-06/19/content_8065411.htm</t>
  </si>
  <si>
    <t xml:space="preserve">http://navy.81.cn/content/2018-06/14/content_8061838.htm </t>
  </si>
  <si>
    <t>Added source; recategorized as port call</t>
  </si>
  <si>
    <t>28th Chinese naval escort taskforce's African tour</t>
  </si>
  <si>
    <t xml:space="preserve">ETF28-Yancheng GMF; Weifeng GMF; Taihu supply ship; Gabon President and MINDEF visited ships </t>
  </si>
  <si>
    <t>http://english.chinamil.com.cn/view/2018-06/20/content_8066846.htm</t>
  </si>
  <si>
    <t>Recategorized as port call</t>
  </si>
  <si>
    <t>http://www.xinhuanet.com/english/2018-06/17/c_137260582.htm</t>
  </si>
  <si>
    <t>http://eng.chinamil.com.cn/view/2018-06/05/content_8053122.htm</t>
  </si>
  <si>
    <t>Joint military exercise</t>
  </si>
  <si>
    <t>http://english.chinamil.com.cn/view/2018-06/05/content_8053122.htm</t>
  </si>
  <si>
    <t xml:space="preserve">AMS Deputy Commandant </t>
  </si>
  <si>
    <t>17th Shangri-La</t>
  </si>
  <si>
    <t>Khaan Quest 2018</t>
  </si>
  <si>
    <t xml:space="preserve">Peacekeeping. Other countries: United States, Indonesia, Malaysia. </t>
  </si>
  <si>
    <t>http://english.chinamil.com.cn/view/2018-06/11/content_8058428.htm</t>
  </si>
  <si>
    <t>Commander-in-Chief of Myanmar’s Defence Services; State Counselor Aung San Suu Kyi</t>
  </si>
  <si>
    <t>http://www.81.cn/jmywyl/2018-06/16/content_8063956.htm</t>
  </si>
  <si>
    <t>Skytrain</t>
  </si>
  <si>
    <t>Humanitarian assistance and disaster relief; the first joint exercise ever conducted between the two countries’ air forces; PLAAF Il-76</t>
  </si>
  <si>
    <t>http://english.chinamil.com.cn/view/2018-06/12/content_8058599.htm</t>
  </si>
  <si>
    <t>http://english.chinamil.com.cn/view/2018-06/19/content_8065381.htm</t>
  </si>
  <si>
    <t>Liu Xiaowu</t>
  </si>
  <si>
    <t>Military Commanders</t>
  </si>
  <si>
    <t>https://economictimes.indiatimes.com/news/defence/chinese-army-delegation-arrives-in-india-to-improve-coordination-along-border/articleshow/64845285.cms</t>
  </si>
  <si>
    <t>http://eng.chinamil.com.cn/view/2018-06/04/content_8051700.htm; http://english.chinamil.com.cn/view/2018-06/05/content_8052619.htm</t>
  </si>
  <si>
    <t>http://eng.chinamil.com.cn/view/2018-06/29/content_8075174.htm</t>
  </si>
  <si>
    <t>Han Weiguo</t>
  </si>
  <si>
    <t>http://eng.chinamil.com.cn/view/2018-06/12/content_8059671.htm</t>
  </si>
  <si>
    <t>1-7-19 version listed as visit to Thailand; actually Thai visit to China</t>
  </si>
  <si>
    <t xml:space="preserve">http://eng.chinamil.com.cn/view/2018-06/28/content_8074433.htm </t>
  </si>
  <si>
    <t>http://navy.81.cn/content/2018-07/03/content_8078834.htm</t>
  </si>
  <si>
    <t>Updated to reflect technical stop</t>
  </si>
  <si>
    <t>Combined Aid 2019</t>
  </si>
  <si>
    <t>paramedical forces in complete units and field equipment have been deployed in Europe</t>
  </si>
  <si>
    <t>http://www.xinhuanet.com/english/2019-07/05/c_138202550.htm</t>
  </si>
  <si>
    <t>Army Vice Chief</t>
  </si>
  <si>
    <t>https://economictimes.indiatimes.com/news/defence/chinese-army-delegation-arrives-in-india-to-improve-coordination-along-border/articleshow/64845285.cms; https://www.thehindu.com/news/national/chinese-army-team-visits-delhi-agra/article24323330.ece</t>
  </si>
  <si>
    <t>Updated to reflect LGEN Liu Xiaowu's specific role</t>
  </si>
  <si>
    <t>http://navy.81.cn/content/2018-07/30/content_8103223.htm</t>
  </si>
  <si>
    <t>http://www.81.cn/jwgz/2018-07/12/content_8088025.htm</t>
  </si>
  <si>
    <t>Updated to "technical visit"</t>
  </si>
  <si>
    <t>Peace Train 2018</t>
  </si>
  <si>
    <t>http://eng.mod.gov.cn/news/2018-07/26/content_4820578.htm</t>
  </si>
  <si>
    <t>http://www.xinhuanet.com/world/2018-07/11/c_1123112181.htm</t>
  </si>
  <si>
    <t>Commanders</t>
  </si>
  <si>
    <t>http://www.81.cn/xwfyr/2018-07/26/content_8100593_4.htm</t>
  </si>
  <si>
    <t>Unclear counterparts</t>
  </si>
  <si>
    <t>CMc Vice Chairman</t>
  </si>
  <si>
    <t>http://english.chinamil.com.cn/view/2018-07/20/content_8095190.htm</t>
  </si>
  <si>
    <t>Not actually "abroad" - in Urumqi. Could be recategorized to indicate travel was necessary.</t>
  </si>
  <si>
    <t>Prime Minister visited the ship</t>
  </si>
  <si>
    <t>https://seawaves.com/2018/07/10/plan-peace-ark-in-papua-new-guinea-july-12-18/</t>
  </si>
  <si>
    <t>Updated to reflect PNG PM's visit to ship</t>
  </si>
  <si>
    <t>Joint medical aid exercise</t>
  </si>
  <si>
    <t>http://chinaplus.cri.cn/news/china/9/20180719/159486.html</t>
  </si>
  <si>
    <t>Commander of Northern Fleet</t>
  </si>
  <si>
    <t>http://eng.chinamil.com.cn/view/2018-07/31/content_9237410.htm</t>
  </si>
  <si>
    <t>Commander in Chief of Ground Forces</t>
  </si>
  <si>
    <t>http://eng.chinamil.com.cn/view/2018-07/03/content_8078931.htm</t>
  </si>
  <si>
    <t>Updated to reflect Salyukov's correct role</t>
  </si>
  <si>
    <t>http://www.81.cn/jmywyl/2018-07/19/content_8093131.htm; http://eng.chinamil.com.cn/view/2018-07/18/content_8092542.htm; http://english.chinamil.com.cn/view/2018-07/12/content_8088139.htm; http://eng.chinamil.com.cn/view/2018-07/26/content_8099395.htm; http://www.ecns.cn/news/military/2018-08-04/detail-ifywsspt3618318.shtml</t>
  </si>
  <si>
    <t>Updated branch to joint - included seaborne, army, and airborn competitions; added country participants</t>
  </si>
  <si>
    <t>http://eng.chinamil.com.cn/view/2018-07/27/content_8101532.htm</t>
  </si>
  <si>
    <t>, http://www.mod.gov.cn/topnews/2018-07/19/content_4819745.htm</t>
  </si>
  <si>
    <t>http://eng.mod.gov.cn/news/2018-07/24/content_4820284.htm</t>
  </si>
  <si>
    <t xml:space="preserve">Vietnam CMC Standing Committee Member/Chief of the General Political Department of the Vietnamese People’s Army </t>
  </si>
  <si>
    <t>http://www.mod.gov.cn/shouye/2018-07/25/content_4820516.htm</t>
  </si>
  <si>
    <t>https://www.belarus.by/en/government/events/belarus-china-to-discuss-cooperation-in-joint-military-training_i_0000084076.html</t>
  </si>
  <si>
    <t>Eagle Assault 2018/Hunting Falcon 2018</t>
  </si>
  <si>
    <t>Joint training in anti-terrorism</t>
  </si>
  <si>
    <t>http://english.chinamil.com.cn/view/2018-08/07/content_9244657.htm</t>
  </si>
  <si>
    <t>http://english.chinamil.com.cn/view/2018-08/07/content_9244658.htm</t>
  </si>
  <si>
    <t>http://www.xinhuanet.com/english/2018-07/23/c_137342667.htm</t>
  </si>
  <si>
    <t>Chnaged month to August - Peace Ark was in Vanuatu until July 30, Fiji Aug 2-9; coded as Oceania</t>
  </si>
  <si>
    <t>http://english.chinamil.com.cn/view/2018-08/22/content_9260060.htm; http://english.chinamil.com.cn/view/2018-08/21/content_9258810.htm</t>
  </si>
  <si>
    <t>Updated to reflect meeting with PM, higher rank than Defense Minister</t>
  </si>
  <si>
    <t>http://english.chinamil.com.cn/view/2018-08/28/content_9265435.htm</t>
  </si>
  <si>
    <t>Fifth meeting of SCO military chiefs of staff in Moscow</t>
  </si>
  <si>
    <t>http://eng.chinamil.com.cn/view/2018-08/28/content_9265435.htm</t>
  </si>
  <si>
    <t>Peace Mission 2018</t>
  </si>
  <si>
    <t>Other countries: Russia, Kazakhstan, Tajikistan, India, Pakistan. August 24-29, 2018</t>
  </si>
  <si>
    <t>http://www.81.cn/xwfyr/2018-08/25/content_9262875.htm</t>
  </si>
  <si>
    <t>Updated with source; RECODED as combat based on closer analysis</t>
  </si>
  <si>
    <t>http://english.chinamil.com.cn/view/2018-08/24/content_9262529.htm</t>
  </si>
  <si>
    <t>Updated to reflect highest rank participant (Li higher rank than CMC JSD Shao Yuanming)</t>
  </si>
  <si>
    <t>http://english.chinamil.com.cn/view/2018-08/16/content_9255121.htm</t>
  </si>
  <si>
    <t>Joint free medical examination</t>
  </si>
  <si>
    <t>http://english.chinamil.com.cn/view/2018-08/23/content_9261764.htm</t>
  </si>
  <si>
    <t>Kakadu 2018</t>
  </si>
  <si>
    <t xml:space="preserve"> http://english.chinamil.com.cn/view/2018-08/22/content_9260566.htm; http://eng.chinamil.com.cn/view/2018-08/31/content_9268853.htm</t>
  </si>
  <si>
    <t>Recategorized as combat exercise (live fire drills, confrontation drills, air defense drills, firing missiles). Added frigate name.</t>
  </si>
  <si>
    <t>Pandaroo 2018</t>
  </si>
  <si>
    <t>Joint training exercise - "adventure training" like seakayaking and rapelling</t>
  </si>
  <si>
    <t>http://english.chinamil.com.cn/view/2018-09/17/content_9284969.htm</t>
  </si>
  <si>
    <t>Added detail to the activities</t>
  </si>
  <si>
    <t>Kowari 2018</t>
  </si>
  <si>
    <t>Survival Training Exercise. Other countries: United States.</t>
  </si>
  <si>
    <t>http://eng.chinamil.com.cn/view/2018-09/05/content_9272890.htm</t>
  </si>
  <si>
    <t>ETF-30</t>
  </si>
  <si>
    <t>http://www.mod.gov.cn/shouye/2018-09/27/content_4825790.htm</t>
  </si>
  <si>
    <t>http://english.chinamil.com.cn/view/2018-09/10/content_9277330.htm</t>
  </si>
  <si>
    <t>http://english.chinamil.com.cn/view/2018-09/05/content_9272625.htm</t>
  </si>
  <si>
    <t>https://thediplomat.com/2018/09/why-is-chinas-top-military-official-visiting-central-asia/</t>
  </si>
  <si>
    <t>Mt. Everest Friendship 2018</t>
  </si>
  <si>
    <t>Joint training exercise; removing explosives and shooting</t>
  </si>
  <si>
    <t>http://english.chinamil.com.cn/view/2018-09/19/content_9293261.htm</t>
  </si>
  <si>
    <t>Held in Mali, response to recent security situation. Simulated attack on a UN camp. Chinese 6th peacekeeping engineers detachment participated with Nigeria's peacekeeping infantry battalion.</t>
  </si>
  <si>
    <t>http://english.chinamil.com.cn/view/2018-09/03/content_9271041.htm</t>
  </si>
  <si>
    <t>http://english.chinamil.com.cn/view/2018-09/19/content_9292412.htm</t>
  </si>
  <si>
    <t>http://www.mod.gov.cn/action/2018-09/14/content_4824917_2.htm</t>
  </si>
  <si>
    <t>Meeting with Putin on sidelines of Vostok 2018</t>
  </si>
  <si>
    <t>Vostok 2018</t>
  </si>
  <si>
    <t>Mobile defense, firepower striking, and counter-offensive; Mongolia also participated</t>
  </si>
  <si>
    <t>https://www.nato.int/docu/review/articles/2018/12/20/vostok-2018-ten-years-of-russian-strategic-exercises-and-warfare-preparation/index.html</t>
  </si>
  <si>
    <t>RECODED as JOINT based on PLAAF participation</t>
  </si>
  <si>
    <t>http://english.chinamil.com.cn/view/2018-09/06/content_9273156.htm</t>
  </si>
  <si>
    <t>Cormorant Strike IX 2018</t>
  </si>
  <si>
    <t>Special operations</t>
  </si>
  <si>
    <t>http://english.chinamil.com.cn/view/2018-09/06/content_9274052.htm</t>
  </si>
  <si>
    <t>Updated with higher level counterpart (President)</t>
  </si>
  <si>
    <t>Falcon Strike 2018</t>
  </si>
  <si>
    <t>Combat tactics and methods</t>
  </si>
  <si>
    <t>http://english.chinamil.com.cn/view/2018-09/07/content_9275202.htm</t>
  </si>
  <si>
    <t>Dir of LSD</t>
  </si>
  <si>
    <t>http://eng.chinamil.com.cn/view/2018-09/18/content_9289907.htm</t>
  </si>
  <si>
    <t>Asia-Pacific Military Health Exchange co-hosted by US and China in China. US counterpart unspecified.</t>
  </si>
  <si>
    <t>http://english.chinamil.com.cn/view/2018-09/25/content_9297699.htm</t>
  </si>
  <si>
    <t>http://english.chinamil.com.cn/view/2018-10/31/content_9327912.htm</t>
  </si>
  <si>
    <t>5th ADMM+ Defense Minister</t>
  </si>
  <si>
    <t>https://thediplomat.com/tag/admm-plus/</t>
  </si>
  <si>
    <t>ASEAN-China Maritime Exercise</t>
  </si>
  <si>
    <t>Exchange activities; SG=lead planner for ASEAN; Other countries: Singapore, Vietnam, Thailand, Brunei, Philippines (first PLA exercise with Philippines)</t>
  </si>
  <si>
    <t>http://eng.chinamil.com.cn/view/2018-10/22/content_9319771.htm</t>
  </si>
  <si>
    <t>BL with Defense Minister at ADMM+</t>
  </si>
  <si>
    <t>http://www.xinhuanet.com/english/2018-10/21/c_137547767.htm</t>
  </si>
  <si>
    <t>http://english.chinamil.com.cn/view/2018-10/30/content_9326986.htm</t>
  </si>
  <si>
    <t>Defense Minister and CHOD for 21st Strategic Consultation</t>
  </si>
  <si>
    <t>http://eng.chinamil.com.cn/view/2018-10/30/content_9326986.htm</t>
  </si>
  <si>
    <t>Defense Minister; BL at 4th China-Latin America Defense Forum</t>
  </si>
  <si>
    <t>http://www.xinhuanet.com/politics/2018-11/02/c_1123656109.htm</t>
  </si>
  <si>
    <t>Defense Minister; BL at Xiangshan</t>
  </si>
  <si>
    <t>http://eng.mod.gov.cn/news/2018-10/29/content_4828199.htm</t>
  </si>
  <si>
    <t>Fourth China-Latin America High-level Defense Forum</t>
  </si>
  <si>
    <t xml:space="preserve">http://eng.chinamil.com.cn/view/2018-10/30/content_9326872.htm </t>
  </si>
  <si>
    <t>source says "Major General Shao Yuanming, Vice-Chief of Staff at the Joint Staff Department" gave remarks</t>
  </si>
  <si>
    <t>Public Security Minister; BL at 4th China-Latin America Defense Forum</t>
  </si>
  <si>
    <t>Dominica</t>
  </si>
  <si>
    <t>http://english.chinamil.com.cn/view/2018-10/15/content_9313496.htm</t>
  </si>
  <si>
    <t>BL with Defense Minister at Xiangshan Forum</t>
  </si>
  <si>
    <t>http://english.chinamil.com.cn/view/2018-10/26/content_9324154.htm</t>
  </si>
  <si>
    <t>Cooperation EU Joint Medical Exercise</t>
  </si>
  <si>
    <t>Led by Italy; Joint medical rescue with European Union Naval Force Combined Task Force (EU NAVFOR CTF) and PLA Djibouti Support Base; joint air-sea medical rescue in the West Gulf of Aden</t>
  </si>
  <si>
    <t>http://english.chinamil.com.cn/view/2018-10/15/content_9313491.htm</t>
  </si>
  <si>
    <t>Updated to reflect collaboration with EU, with Italy as key counterpart.</t>
  </si>
  <si>
    <t>http://www.xinhuanet.com/politics/2018-10/26/c_1123618438.htm</t>
  </si>
  <si>
    <t>http://english.chinamil.com.cn/view/2018-10/23/content_9320430.htm</t>
  </si>
  <si>
    <t>http://english.chinamil.com.cn/view/2018-10/10/content_9307556.htm</t>
  </si>
  <si>
    <t>Peace and Friendship 2018</t>
  </si>
  <si>
    <t xml:space="preserve">Joint training on security threats; staff HQ exercise and combat training; survival training. Other countries: Thailand </t>
  </si>
  <si>
    <t>http://english.chinamil.com.cn/view/2018-10/14/content_9312024.htm</t>
  </si>
  <si>
    <t>Updated service type (included Navy), updated exercise type, and added specifics on drill types.</t>
  </si>
  <si>
    <t>Sharp Blade 2018</t>
  </si>
  <si>
    <t xml:space="preserve">Anti-terrorism. Other countries: Hungary, Israel, Pakistan, CAR; Hosted by PAP, but PLAN, PLAA, and PLAAF sent teams. </t>
  </si>
  <si>
    <t>http://worlddefencenews.blogspot.com/2018/10/china-sharp-blade-2018-international.html#:~:text=The%20%22Sharp%20Blade%202018%E2%80%9D%20International,as%20reported%20by%20Chinamil.com.</t>
  </si>
  <si>
    <t>Updated branch to PAP; changed partner country to N/A and CCMD to PACOM</t>
  </si>
  <si>
    <t>Xiangshan Forum 2018; Defense Minister</t>
  </si>
  <si>
    <t>Deputy Defense Minister; BL at Xiangshan</t>
  </si>
  <si>
    <t>Updated counterpart's role; recoded as South Asia</t>
  </si>
  <si>
    <t>BL with Nigerian Defense Minister at Xiangshan Forum</t>
  </si>
  <si>
    <t>http://www.xinhuanet.com/english/2018-10/23/c_137553157.htm</t>
  </si>
  <si>
    <t>BL with Vice Defense Minister Kim Hyong Ryong at Xiangshan Forum</t>
  </si>
  <si>
    <t>http://eng.chinamil.com.cn/view/2018-10/25/content_9322261.htm</t>
  </si>
  <si>
    <t>2nd International PACES Competition</t>
  </si>
  <si>
    <t>Comprehensive Combat Skills. Other countries: South Africa, Maldives, Kuwait</t>
  </si>
  <si>
    <t>http://english.chinamil.com.cn/view/2018-10/10/content_9307555.htm</t>
  </si>
  <si>
    <t>http://english.chinamil.com.cn/view/2018-10/22/content_9319696.htm</t>
  </si>
  <si>
    <t>Chief of Navy; Wei also met with ASEAN cty reps participating in the China-ASEAN Navy exercise</t>
  </si>
  <si>
    <t>http://eng.chinamil.com.cn/view/2018-10/22/content_9319744.htm</t>
  </si>
  <si>
    <t>SG Defense Minister at ADMM+</t>
  </si>
  <si>
    <t>BL with Chief of Defense Staff at Xiangshan Forum</t>
  </si>
  <si>
    <t>BL with SECDEF Mattis at ADMM+</t>
  </si>
  <si>
    <t>https://dod.defense.gov/News/News-Releases/News-Release-View/Article/1669428/readout-of-secretary-of-defense-james-n-mattis-bilateral-engagement-with-chines/</t>
  </si>
  <si>
    <t>BL with Minister of Internal Affairs at Xiangshan Forum</t>
  </si>
  <si>
    <t>http://www.xinhuanet.com/english/2018-11/24/c_137627401.htm</t>
  </si>
  <si>
    <t>Updated with highest rank interlocutor (also met with Wei Fenghe)</t>
  </si>
  <si>
    <t>Dominican Republic</t>
  </si>
  <si>
    <t>http://english.chinamil.com.cn/view/2018-11/02/content_9330152.htm</t>
  </si>
  <si>
    <t>http://english.pladaily.com.cn/view/2018-11/23/content_9354406.htm</t>
  </si>
  <si>
    <t>BL with Egyptian Chief of Staff</t>
  </si>
  <si>
    <t xml:space="preserve">http://www.xinhuanet.com/english/2018-11/23/c_137625085.htm </t>
  </si>
  <si>
    <t>BL with Indian Defense Minister</t>
  </si>
  <si>
    <t xml:space="preserve">http://www.xinhuanet.com/english/2018-11/15/c_137609320.htm </t>
  </si>
  <si>
    <t>BL with Mongolian Defense Minister</t>
  </si>
  <si>
    <t>http://www.xinhuanet.com/english/2018-11/15/c_137609320.htm</t>
  </si>
  <si>
    <t>Deputy Commander in Chief of Tatmadaw</t>
  </si>
  <si>
    <t>http://www.xinhuanet.com/politics/2018-11/16/c_1123726590.htm</t>
  </si>
  <si>
    <t>Commander of Navy</t>
  </si>
  <si>
    <t xml:space="preserve">http://www.xinhuanet.com/politics/2018-11/16/c_1123726590.htm </t>
  </si>
  <si>
    <t>ML with Permanent Representatives to the UN of France, Ethiopia, and delegation of permanent security council members' representatives</t>
  </si>
  <si>
    <t>http://www.xinhuanet.com/english/2018-11/17/c_137614133.htm</t>
  </si>
  <si>
    <t>Coded as France, but France and Ethiopia spoke for the delegation, and represented UN peacekeeping interests</t>
  </si>
  <si>
    <t>http://english.chinamil.com.cn/view/2018-11/10/content_9340354.htm</t>
  </si>
  <si>
    <t>Former Secretary of State Kissinger</t>
  </si>
  <si>
    <t>http://www.mod.gov.cn/topnews/2018-11/10/content_4829139.htm</t>
  </si>
  <si>
    <t>14th China-US Disaster Management TTX</t>
  </si>
  <si>
    <t>Nanjing; HADR academic discussion; TTX; and field exchange</t>
  </si>
  <si>
    <t>http://eng.mod.gov.cn/news/2018-11/13/content_4829300.htm; https://thediplomat.com/2018/11/us-army-pla-conclude-disaster-management-exchange-despite-frictions/</t>
  </si>
  <si>
    <t>https://en.vietnamplus.vn/cao-bang-to-host-5th-vnchina-border-defence-friendship-exchange/141870.vnp</t>
  </si>
  <si>
    <t>Visit was in Vietnam; originally entered as hosted visit;</t>
  </si>
  <si>
    <t>Emergency response, support operations</t>
  </si>
  <si>
    <t>http://english.chinamil.com.cn/view/2018-12/07/content_9372156.htm</t>
  </si>
  <si>
    <t>http://eng.chinamil.com.cn/view/2018-12/03/content_9365771.htm</t>
  </si>
  <si>
    <t>international fleet review and maritime exercises; other countries: US, UK</t>
  </si>
  <si>
    <t>Hand-in-Hand 2018</t>
  </si>
  <si>
    <t>adaptive training, basic training, combat-realistic shooting, and comprehensive drills</t>
  </si>
  <si>
    <t>http://eng.mod.gov.cn/news/2018-12/24/content_4832710.htm</t>
  </si>
  <si>
    <t xml:space="preserve"> added drill details</t>
  </si>
  <si>
    <t>Shao Yuanming; Kong Xuanyou</t>
  </si>
  <si>
    <t>Minister of the Ministry of International Cooperation; Chief of SpecOps</t>
  </si>
  <si>
    <t>http://www.xinhuanet.com/world/2018-12/18/c_1123872310.htm</t>
  </si>
  <si>
    <t>Fourth round of 2+2 talks; Held in Kunming, focused on border regions; JSD/DCJS position downgraded so position weight adjusted</t>
  </si>
  <si>
    <t xml:space="preserve">Shaheen-VII </t>
  </si>
  <si>
    <t>Joint exercise</t>
  </si>
  <si>
    <t>https://www.pakistantoday.com.pk/2018/11/30/china-to-advance-its-military-ties-with-pakistan-spokesperson/</t>
  </si>
  <si>
    <t>Deputy Defense Minister Andrey Kartapolov</t>
  </si>
  <si>
    <t>http://english.chinamil.com.cn/view/2018-12/20/content_9384360.htm</t>
  </si>
  <si>
    <t>military Medical Drill in Djibouti</t>
  </si>
  <si>
    <t>PLA base Djibouti with Spanish navy amphibious ship</t>
  </si>
  <si>
    <t>http://english.chinamil.com.cn/view/2018-12/04/content_9366133.htm</t>
  </si>
  <si>
    <t>http://www.mod.gov.cn/topnews/2019-01/24/content_4835146.htm</t>
  </si>
  <si>
    <t>added source and higher rank interlocutor</t>
  </si>
  <si>
    <t>http://navy.81.cn/content/2019-01/10/content_9401604.htm</t>
  </si>
  <si>
    <t>added source, fleet type, and ship names (ETF-30 has been in the Sea of Aden);changed from NETF-30 to ETF-30</t>
  </si>
  <si>
    <t>Miao Hua</t>
  </si>
  <si>
    <t>CMC/PWD Director; CMC Member</t>
  </si>
  <si>
    <t xml:space="preserve">Laotian President </t>
  </si>
  <si>
    <t>http://www.81.cn/jmywyl/2019-01/20/content_9408890.htm</t>
  </si>
  <si>
    <t>Warrior VI</t>
  </si>
  <si>
    <t>multi-dimensional search and reconnaissance, three-dimensional maneuvers and deployment, comprehensive fire assaults, searching and clearing buildings, coordinated air-ground attacks, joint defense and control</t>
  </si>
  <si>
    <t>http://www.xinhuanet.com/mil/2019-01/06/c_1210031329.htm</t>
  </si>
  <si>
    <t>Added source, drill details</t>
  </si>
  <si>
    <t xml:space="preserve">Philippine Defense Undersecretary </t>
  </si>
  <si>
    <t>http://www.xinhuanet.com/world/2019-01/25/c_1124044584.htm</t>
  </si>
  <si>
    <t>Updated counterpart title; added source</t>
  </si>
  <si>
    <t>http://www.xinhuanet.com/english/2019-01/27/c_137779068.htm</t>
  </si>
  <si>
    <t>Permanent Secretary Ministry of Defence</t>
  </si>
  <si>
    <t>http://www.mod.gov.cn/topnews/2019-01/18/content_4834837.htm</t>
  </si>
  <si>
    <t>Added specific source</t>
  </si>
  <si>
    <t>Royal Thai Army Commander</t>
  </si>
  <si>
    <t>http://www.mod.gov.cn/topnews/2019-01/07/content_4833811.htm</t>
  </si>
  <si>
    <t xml:space="preserve">Joint Assault 2019 </t>
  </si>
  <si>
    <t>, http://www.81.cn/jwgz/2019-01/07/content_9397541.htm</t>
  </si>
  <si>
    <t>Added source, added branch</t>
  </si>
  <si>
    <t>US Chief of Naval Operations Admiral</t>
  </si>
  <si>
    <t>http://www.mod.gov.cn/topnews/2019-01/15/content_4834535.htm</t>
  </si>
  <si>
    <t>Deputy Commander in Chief, Royal Cambodian Army</t>
  </si>
  <si>
    <t>http://www.mod.gov.cn/topnews/2019-02/26/content_4836791.htm</t>
  </si>
  <si>
    <t>Added source, updated rank of both sets of interlocutors</t>
  </si>
  <si>
    <t xml:space="preserve">Chief of the General Staff </t>
  </si>
  <si>
    <t>Aman 2019</t>
  </si>
  <si>
    <t>Two phases: harbor (conference) and sea (anti-terrorism, replenishment-at-sea, counterterrorism, anti-piracy, combined anti-submarine exercises, live-fire exercises, flight formations, ship formation maneuvers, communications, and visit, board, search, and seizure ), recorded as anti-terrorism for ease</t>
  </si>
  <si>
    <t>www.81.cn/jfjbmap/content/2019-02/13/content_227195.htm; https://www.scmp.com/news/china/military/article/2186181/pakistan-and-china-build-friendship-ties-aman-19-multinational</t>
  </si>
  <si>
    <t>Added source, added drill details</t>
  </si>
  <si>
    <t>Cobra Gold 2019</t>
  </si>
  <si>
    <t>The role of the Chinese troops is limited to humanitarian relief drills, including providing engineering support and medical aid.</t>
  </si>
  <si>
    <t>https://www.scmp.com/news/china/article/1425918/chinese-troops-join-asia-us-drills-positive-step-amid-regional-tensions</t>
  </si>
  <si>
    <t>LPD998 Kunlun Shan; Participating in IDEX 2019</t>
  </si>
  <si>
    <t>http://eng.chinamil.com.cn/view/2019-02/20/content_9431163.htm</t>
  </si>
  <si>
    <t>updated with source and ship details</t>
  </si>
  <si>
    <t xml:space="preserve">Deputy Defense Minister </t>
  </si>
  <si>
    <t>http://www.xinhuanet.com/english/2019-02/19/c_137834753.htm</t>
  </si>
  <si>
    <t xml:space="preserve">Golden Dragon 2019 </t>
  </si>
  <si>
    <t>http://english.chinamil.com.cn/view/2019-03/14/content_9450012.htm</t>
  </si>
  <si>
    <t>Egyptian President</t>
  </si>
  <si>
    <t>http://m.xinhuanet.com/2019-03/25/c_1124281295.htm</t>
  </si>
  <si>
    <t xml:space="preserve">Langkawi International Maritime and Aerospace Exhibition (LIMA) </t>
  </si>
  <si>
    <t>FFG575Yueyang participating in maritime displays, warship inspections, and maritime exercises; Other countries included: Australia, US, India</t>
  </si>
  <si>
    <t>http://eng.chinamil.com.cn/view/2019-03/22/content_9456821.htm</t>
  </si>
  <si>
    <t>Updated with exercise details, branch</t>
  </si>
  <si>
    <t>Saudi King Salman, Crown Prince</t>
  </si>
  <si>
    <t>http://www.mod.gov.cn/topnews/2019-03/27/content_4838275.htm</t>
  </si>
  <si>
    <t>Updated counterpart titles, added source</t>
  </si>
  <si>
    <t xml:space="preserve">Army Chief of Staff General </t>
  </si>
  <si>
    <t>http://news.cctv.com/2019/04/22/VIDEPSOwkA2HlgfBbtVTamk2190422.shtml</t>
  </si>
  <si>
    <t>Added source, updated highest rank participant</t>
  </si>
  <si>
    <t>Crown Prince, Commander of the Armed Forces</t>
  </si>
  <si>
    <t>ASEAN - China Naval Exercise</t>
  </si>
  <si>
    <t>Subjects: formation departures, formation communications, formation maneuvers, joint search and rescue, formation separations, vessel inspections, and medical treatments; Other countries: Philippines, Singapore, Vietnam, Indonesia, Laos</t>
  </si>
  <si>
    <t>https://www.scmp.com/news/china/military/article/3007804/china-begins-joint-naval-drills-six-southeast-asian-nations</t>
  </si>
  <si>
    <t>Updated drill details; corrected partnership label</t>
  </si>
  <si>
    <t>Huang Xueping</t>
  </si>
  <si>
    <t>CMC/OMIC Deputy Director</t>
  </si>
  <si>
    <t>http://www.xinhuanet.com/world/2019-04/30/c_1124435056.htm</t>
  </si>
  <si>
    <t>http://www.81.cn/jwzb/2019-04/25/content_9489144.htm</t>
  </si>
  <si>
    <t>Defense Minsiter</t>
  </si>
  <si>
    <t>http://english.chinamil.com.cn/view/2019-04/30/content_9493922.htm</t>
  </si>
  <si>
    <t>Added source and Kyrgyzstan details</t>
  </si>
  <si>
    <t>General staff of armed forces</t>
  </si>
  <si>
    <t>https://www.fmprc.gov.cn/ce/cemn/chn/tpxw/t1654922.htm</t>
  </si>
  <si>
    <t>Commander in Chief of Tatmadaw</t>
  </si>
  <si>
    <t>https://thediplomat.com/2019/04/china-myanmar-extol-eternal-friendship-as-commander-in-chief-visits-beijing/</t>
  </si>
  <si>
    <t xml:space="preserve">70th Anniversary of PLA Navy Fleet Review </t>
  </si>
  <si>
    <t xml:space="preserve">Naval Parade including Russia, Thailand, Vietnam,  India, Japan, the Philippines, Bangladesh, Brunei, Australia, Malaysia, and Myanmar </t>
  </si>
  <si>
    <t>http://www.81.cn/jfjbmap/content/2019-04/26/content_232574.htm</t>
  </si>
  <si>
    <t>Added source, added country participants; ; changed partner country to N/A and CCMD to PACOM</t>
  </si>
  <si>
    <t xml:space="preserve">Chief of the Naval Staff </t>
  </si>
  <si>
    <t>http://www.mod.gov.cn/diplomacy/2019-04/21/content_4839952.htm</t>
  </si>
  <si>
    <t>Comprehensive Strategic Partnership of Coordination in the New Era [新时代中俄全面战略协作伙伴关系]</t>
  </si>
  <si>
    <t xml:space="preserve">Joint Sea 2019 </t>
  </si>
  <si>
    <t>Joint air defense, joint anti-submarine operations, joint submarine rescue, and joint search and rescue in Yellow Sea off Qiangdao.  April 29-May 4.</t>
  </si>
  <si>
    <t>http://www.xinhuanet.com/english/2019-04/30/c_138025460.htm</t>
  </si>
  <si>
    <t>Added source, added details</t>
  </si>
  <si>
    <t>Russian Defense Minister</t>
  </si>
  <si>
    <t>16th official meeting of the SCO Ministers' of Defense in Kyrgyzstan; Other countries: Kazakhstan, Kyrgyztan, Russia, Tajikistan, Uzbekistan</t>
  </si>
  <si>
    <t>http://eng.sectsco.org/news/20190430/533861.html#:~:text=On%2029%20April%202019%2C%20the,to%20as%20SCO%20or%20Organisation.</t>
  </si>
  <si>
    <t>Somalia</t>
  </si>
  <si>
    <t>ETF-32</t>
  </si>
  <si>
    <t>http://www.81.cn/jwzb/2019-04/27/content_9490734.htm</t>
  </si>
  <si>
    <t>ASEAN ADMM Plus Live Fire Exercise</t>
  </si>
  <si>
    <t xml:space="preserve">Co-sponsored by Singapore and South Korea </t>
  </si>
  <si>
    <t>http://eng.chinamil.com.cn/view/2019-04/28/content_9491510.htm</t>
  </si>
  <si>
    <t xml:space="preserve">Added source, revised exercise type to MOOTW (not planning for military adversaries, just piracy/terrorism/more); </t>
  </si>
  <si>
    <t>Deputy Commander in Chief of RCAF</t>
  </si>
  <si>
    <t>http://www.81.cn/jmywyl/2019-05/24/content_9513202.htm</t>
  </si>
  <si>
    <t xml:space="preserve">First Secretary </t>
  </si>
  <si>
    <t>http://www.mod.gov.cn/topnews/2019-05/17/content_4841806.htm</t>
  </si>
  <si>
    <t>18th Shangri-La</t>
  </si>
  <si>
    <t>http://www.xinhuanet.com/english/2019-06/01/c_138106931.htm</t>
  </si>
  <si>
    <t>Shangri-La Dialogue</t>
  </si>
  <si>
    <t>https://www.straitstimes.com/singapore/reassuring-to-have-gen-wei-present-at-forum-says-ng-eng-hen</t>
  </si>
  <si>
    <t>Blue Commando 2019</t>
  </si>
  <si>
    <t>shooting, grappling, helicopter rappelling, combat tactics, communications, replenishment-at-sea, joint rescue, live-fire shooting, and amphibious activities</t>
  </si>
  <si>
    <t>http://www.xinhuanet.com/politics/2019-05/01/c_1124442748.htm</t>
  </si>
  <si>
    <t xml:space="preserve">Secretary of Defense; BL at Shangri-La </t>
  </si>
  <si>
    <t>Cooperation 2019</t>
  </si>
  <si>
    <t>Snow leopard combat unit</t>
  </si>
  <si>
    <t>http://www.xinhuanet.com/world/2019-05/16/c_1124502442.htm</t>
  </si>
  <si>
    <t>National Assembly Chairwoman &amp; defense minister</t>
  </si>
  <si>
    <t>http://www.xinhuanet.com/english/2019-05/29/c_138099645.htm</t>
  </si>
  <si>
    <t>http://english.chinamil.com.cn/view/2019-05/09/content_9499547.htm</t>
  </si>
  <si>
    <t xml:space="preserve">CMC Vice Chairman </t>
  </si>
  <si>
    <t>http://www.xinhuanet.com/2019-06/26/c_1124670811.htm</t>
  </si>
  <si>
    <t>ETF-31</t>
  </si>
  <si>
    <t>http://eng.chinamil.com.cn/view/2019-06/10/content_9526660.htm</t>
  </si>
  <si>
    <t>Second China-Laos National Defense Friendship Activities Along the Border</t>
  </si>
  <si>
    <t>drill is part of the China-Laos border defense friendly exchange activities</t>
  </si>
  <si>
    <t>http://en.people.cn/n3/2019/0531/c90000-9583271.html</t>
  </si>
  <si>
    <t>Khaan Quest 2019</t>
  </si>
  <si>
    <t>Multilateral peacekeeping exercise; Cosponsored by US; 38 countries participated</t>
  </si>
  <si>
    <t>http://www.xinhuanet.com/english/2019-06/15/c_138145899.htm</t>
  </si>
  <si>
    <t>http://www.xinhuanet.com/world/2019-06/27/c_1124680590.htm</t>
  </si>
  <si>
    <t>Nepalese Chief of Army Staff General</t>
  </si>
  <si>
    <t>Also met JSD commander Li during week long visit</t>
  </si>
  <si>
    <t>https://economictimes.indiatimes.com/news/defence/nepal-army-chief-meets-chinas-defence-ministry-discusses-plans-to-upgrade-military-ties/articleshow/69885746.cms?from=mdr</t>
  </si>
  <si>
    <t>http://www.mod.gov.cn/topnews/2019-06/21/content_4844064.htm</t>
  </si>
  <si>
    <t>https://defence.pk/pdf/threads/general-han-weiguo-commander-people-liberation-army-visits-pakistan.623614/</t>
  </si>
  <si>
    <t>Defense Minister; BL at Shangri-La</t>
  </si>
  <si>
    <t>https://www.chinadaily.com.cn/a/201905/30/WS5cef9188a3104842260beb7a.html</t>
  </si>
  <si>
    <t>Turkish Air Forces Commander</t>
  </si>
  <si>
    <t>http://www.xinhuanet.com/english/2019-06/18/c_138153879.htm</t>
  </si>
  <si>
    <t>http://www.mod.gov.cn/topnews/2019-07/17/content_4846021.htm</t>
  </si>
  <si>
    <t>DDG153 Xi'an</t>
  </si>
  <si>
    <t>http://www.xinhuanet.com/english/2019-07/02/c_138191762.htm</t>
  </si>
  <si>
    <t>https://www.stripes.com/news/in-a-first-chinese-military-deploys-for-medical-drill-with-german-forces-in-europe-1.589687</t>
  </si>
  <si>
    <t>Chief of Staff of the Guyana Defense Force Brigadier Patrick West</t>
  </si>
  <si>
    <t>Guyana represented nations at the Fourth Forum for Senior Defense Officials from Caribbean and South Pacific Countries</t>
  </si>
  <si>
    <t>http://www.xinhuanet.com/english/2019-07/08/c_138209338.htm</t>
  </si>
  <si>
    <t>Revised "country" to Guyana (from Caribbean), added comments on details of the event</t>
  </si>
  <si>
    <t xml:space="preserve"> CMC Vice Chairman </t>
  </si>
  <si>
    <t>Met with CMC chair Xu; and Counterpart Wei Fenghe</t>
  </si>
  <si>
    <t>https://www.army-technology.com/news/new-zealand-china-defence-ties/</t>
  </si>
  <si>
    <t>Chairman of the Joint Chiefs</t>
  </si>
  <si>
    <t>, http://www.81.cn/jwzb/2019-07/28/content_9571066.htm</t>
  </si>
  <si>
    <t>Patrol</t>
  </si>
  <si>
    <t>Joint Aerial Strategic Patrol 2019</t>
  </si>
  <si>
    <t>First-ever China-Russia joint strategic air patrol</t>
  </si>
  <si>
    <t>http://www.mod.gov.cn/jzhzt/2019-08/29/content_4849311.htm</t>
  </si>
  <si>
    <t>http://www.xinhuanet.com/world/2019-08/17/c_1124886473.htm</t>
  </si>
  <si>
    <t>Added source and ship name</t>
  </si>
  <si>
    <t>http://navy.81.cn/content/2019-08/21/content_9596339.htm</t>
  </si>
  <si>
    <t>joint command, basic technical training, cooperative tactical training, and integrated countermeasure training; PAP's "Mountain Eagle" commando unit</t>
  </si>
  <si>
    <t>http://eng.mod.gov.cn/news/2019-08/13/content_4848137.htm</t>
  </si>
  <si>
    <t>Added details</t>
  </si>
  <si>
    <t>Peace Train 2019</t>
  </si>
  <si>
    <t>http://www.xinhuanet.com/english/2019-08/16/c_138314743.htm</t>
  </si>
  <si>
    <t>Mt. Everest Friendship 2019</t>
  </si>
  <si>
    <t>included hostage rescue, fast-roping, and sniper rifle training</t>
  </si>
  <si>
    <t>http://eng.mod.gov.cn/news/2019-08/30/content_4849442.htm</t>
  </si>
  <si>
    <t>changed to anti-terrorism from MOOTW</t>
  </si>
  <si>
    <t>Director of the General Political Bureau of the Korean People’s Army</t>
  </si>
  <si>
    <t>http://www.xinhuanet.com/2019-08/17/c_1124888081.htm</t>
  </si>
  <si>
    <t xml:space="preserve">Pakistan </t>
  </si>
  <si>
    <t>http://www.81.cn/jwzb/2019-08/28/content_9604591.htm</t>
  </si>
  <si>
    <t>http://eng.chinamil.com.cn/view/2019-08/07/content_9582726.htm</t>
  </si>
  <si>
    <t>International Army Games 2019</t>
  </si>
  <si>
    <t>Hosted in China; Other countries:Armenia, Iran, Kazakhstan, Uzbekistan, Belarus, Egypt, Pakistan, and Venezuela; "Clear Sky" and "Gunsmith Master"</t>
  </si>
  <si>
    <t>http://eng.chinamil.com.cn/view/2019-08/15/content_9591061.htm</t>
  </si>
  <si>
    <t>Cooperation 2019 Joint Army Training</t>
  </si>
  <si>
    <t>urban counterterrorist operations, conducted in two phases, namely mixed group subject training and comprehensive troop drill</t>
  </si>
  <si>
    <t>http://www.xinhuanet.com/world/2019-07/27/c_1124806729.htm</t>
  </si>
  <si>
    <t>Added details, recategorized exercise type to counterterrorism, added source</t>
  </si>
  <si>
    <t>Gorno-Badakhshan Autonomous Region; originally planned for July 2019; changed to August 2019</t>
  </si>
  <si>
    <t>https://www.rferl.org/a/tajikistan-china-counterterror-drills-gorno-badakhshan/30107427.html; http://eng.chinamil.com.cn/view/2019-08/12/content_9587478.htm</t>
  </si>
  <si>
    <t>Revised to Joint (PLAAF participated)</t>
  </si>
  <si>
    <t>Falcon Strike 2019</t>
  </si>
  <si>
    <t>For the 2019 training, the PLAAF sent J-10C, J-10S, and KJ-500 Airborne Early Warning aircraft – this signifies that the 2019 iteration is a higher-level air exercise</t>
  </si>
  <si>
    <t>http://mil.huanqiu.com/world/2019-08/15340220.html?agt=15422</t>
  </si>
  <si>
    <t>Added source, recategorized as combat rather than combat support, added details</t>
  </si>
  <si>
    <t>http://www.xinhuanet.com/world/2019-09/05/c_1124964052.htm</t>
  </si>
  <si>
    <t>Kowari 2019</t>
  </si>
  <si>
    <t>Other Countries: USA</t>
  </si>
  <si>
    <t>http://www.xinhuanet.com/world/2019-09/04/c_1124959809.htm</t>
  </si>
  <si>
    <t>Added source and drill details</t>
  </si>
  <si>
    <t>Pandaroo 2019</t>
  </si>
  <si>
    <t>Survival training in jungle environments</t>
  </si>
  <si>
    <t>http://www.81.cn/jmywyl/2019-10/20/content_9656464.htm</t>
  </si>
  <si>
    <t xml:space="preserve">Air Chief Marshal </t>
  </si>
  <si>
    <t>http://www.xinhuanet.com/mil/2019-09/18/c_1210283868.htm</t>
  </si>
  <si>
    <t>President, Defense Minister</t>
  </si>
  <si>
    <t>http://www.xinhuanet.com/world/2019-09/08/c_1124973784.htm</t>
  </si>
  <si>
    <t>http://eng.chinamil.com.cn/view/2019-09/29/content_9639678.htm</t>
  </si>
  <si>
    <t>General</t>
  </si>
  <si>
    <t>http://www.mod.gov.cn/topnews/2019-09/24/content_4851085.htm</t>
  </si>
  <si>
    <t>Sen. Lt. General</t>
  </si>
  <si>
    <t>http://mod.gov.cn/leaders/2019-09/27/content_4851571.htm</t>
  </si>
  <si>
    <t xml:space="preserve">Chief of Staff, Iranian Armed Forces </t>
  </si>
  <si>
    <t>http://www.xinhuanet.com/2019-09/11/c_1124988205.htm</t>
  </si>
  <si>
    <t>http://eng.chinamil.com.cn/view/2019-11/01/content_9666626.htm</t>
  </si>
  <si>
    <t>Shaheen VIII</t>
  </si>
  <si>
    <t xml:space="preserve"> operational command, system control, air superiority, suppression of ground targets, air attack, and joint air defense</t>
  </si>
  <si>
    <t>http://www.xinhuanet.com/mil/2019-09/07/c_1210271265.htm</t>
  </si>
  <si>
    <t>Tsentr-2019 (Center-2019)</t>
  </si>
  <si>
    <t xml:space="preserve">ML exercise against insurgency supported by major power; Other countries:India, Kazakhstan, Kyrgyzstan, Tajikistan, Pakistan, and Uzbekistan </t>
  </si>
  <si>
    <t>http://www.xinhuanet.com/english/2019-08/20/c_138323880.htm</t>
  </si>
  <si>
    <t>Added source, recategorized as multilateral, listed other country partners</t>
  </si>
  <si>
    <t>Met with Putin on the sidelines of the Tsenter exercise</t>
  </si>
  <si>
    <t>http://www.81.cn/jmywyl/2019-09/20/content_9630153.htm</t>
  </si>
  <si>
    <t xml:space="preserve">Russian Defense Minister General of the Army </t>
  </si>
  <si>
    <t>http://www.xinhuanet.com/world/2019-09/05/c_1124965436.htm</t>
  </si>
  <si>
    <t xml:space="preserve">http://www.xinhuanet.com/world/2019-09/07/c_1124972363.htm </t>
  </si>
  <si>
    <t>Tabletop exercise hosted by Thailand under the ADMM-Plus Experts’ Working Group on Counterterrorism; 18 participating countries</t>
  </si>
  <si>
    <t xml:space="preserve">http://www.mod.gov.cn/action/2019-09/08/content_4849983.htm </t>
  </si>
  <si>
    <t>CODED as Army because no indication of partiicpation by other services</t>
  </si>
  <si>
    <t>Timor-Leste</t>
  </si>
  <si>
    <t>http://eng.chinamil.com.cn/view/2019-10/11/content_9648913.htm</t>
  </si>
  <si>
    <t>Uruguayan Defense Minister Jose Bayardi</t>
  </si>
  <si>
    <t>https://www.chinadaily.com.cn/a/201909/04/WS5d6f1580a310cf3e35569985.html</t>
  </si>
  <si>
    <t>http://www.gov.cn/guowuyuan/2019-10/22/content_5443690.htm</t>
  </si>
  <si>
    <t>Second Minister of Defense</t>
  </si>
  <si>
    <t>http://www.xinhuanet.com/politics/2019-10/17/c_1125118575.htm</t>
  </si>
  <si>
    <t>Qi Jiguang training ship</t>
  </si>
  <si>
    <t>ETF-33</t>
  </si>
  <si>
    <t>http://navy.81.cn/content/2019-10/09/content_9646250.ht</t>
  </si>
  <si>
    <t>Added source and details</t>
  </si>
  <si>
    <t>http://eng.chinamil.com.cn/view/2019-10/08/content_9645234.htm</t>
  </si>
  <si>
    <t>https://sis.gov.eg/Story/142249/Defense-Minister-back-home-after-China-visit?lang=en-us</t>
  </si>
  <si>
    <t>Fox Hunting-2019</t>
  </si>
  <si>
    <t>76th group army in Ust-Kamenogorsk</t>
  </si>
  <si>
    <t>http://english.chinamil.com.cn/view/2019-10/16/content_9653518.htm</t>
  </si>
  <si>
    <t>Chief of Staff of Armed Forces; BL at Xiangshan</t>
  </si>
  <si>
    <t>Defense Minister; Deputy PM; BL at Xiangshan</t>
  </si>
  <si>
    <t>Xiangshan Forum 2019; Defense Minister</t>
  </si>
  <si>
    <t>http://eng.chinamil.com.cn/view/2019-10/28/content_9662812.htm</t>
  </si>
  <si>
    <t xml:space="preserve">Director of the General Political Bureau </t>
  </si>
  <si>
    <t>http://www.mod.gov.cn/jzhzt/2019-10/31/content_4854245.htm</t>
  </si>
  <si>
    <t>http://www.xinhuanet.com/2019-10/08/c_1125079099.htm</t>
  </si>
  <si>
    <t>http://www.xinhuanet.com/2019-10/10/c_1125088603.htm</t>
  </si>
  <si>
    <t>http://www.xinhuanet.com/2019-10/22/c_1125138601.htm</t>
  </si>
  <si>
    <t>Originally a reference to a different meeting - changed location and source</t>
  </si>
  <si>
    <t>Falcon Commando Unit</t>
  </si>
  <si>
    <t>http://www.81.cn/jmywyl/2019-10/11/content_9648915.htm</t>
  </si>
  <si>
    <t>Added source, recategorized as anti-terrorism</t>
  </si>
  <si>
    <t xml:space="preserve">http://www.xinhuanet.com/2019-10/22/c_1125138601.htm </t>
  </si>
  <si>
    <t>http://eng.mod.gov.cn/news/2019-11/01/content_4854326.htm</t>
  </si>
  <si>
    <t>signing of the revised Agreement on Defense Exchanges and Security Cooperation Between the Ministry of National Defense of The People’s Republic of China and the Ministry of Defense of the Republic of Singapore</t>
  </si>
  <si>
    <t>Defense Minister Dr. Ng Eng Hen; BL at Xiangshan</t>
  </si>
  <si>
    <t>http://www.xinhuanet.com/mil/2019-10/21/c_1125132102.htm</t>
  </si>
  <si>
    <t xml:space="preserve">5th Strategic Defense Dialogue held between China and South Korea </t>
  </si>
  <si>
    <t>Minister of State for Defence Affairs</t>
  </si>
  <si>
    <t>International Affairs Minister; BL at Xiangshan</t>
  </si>
  <si>
    <t>6th ADMM+;Defense Secretary</t>
  </si>
  <si>
    <t>http://www.xinhuanet.com/2019-11/18/c_1125246416.htm</t>
  </si>
  <si>
    <t>ADMM+; corrected partnership name</t>
  </si>
  <si>
    <t>Ninth China-ASEAN Defense Ministers' Informal Meeting in Bangkok</t>
  </si>
  <si>
    <t>http://www.xinhuanet.com/english/2019-11/17/c_138561957.htm</t>
  </si>
  <si>
    <t>ADMM Plus Joint Counter-terrorism drill</t>
  </si>
  <si>
    <t>Southern Theater Command; Other countries: 10 ASEAN countries + China, US, Russia, India</t>
  </si>
  <si>
    <t>http://www.globaltimes.cn/content/1169981.shtml</t>
  </si>
  <si>
    <t>Added source, updated drill details, recategorized as multilateral; corrected partnership name</t>
  </si>
  <si>
    <t>Defense Secretary; BL at ADMM+</t>
  </si>
  <si>
    <t xml:space="preserve">22nd defense strategic dialogue </t>
  </si>
  <si>
    <t>http://www.xinhuanet.com/world/2019-11/15/c_1125236542.htm</t>
  </si>
  <si>
    <t>Chief of Bangladesh Army Staff</t>
  </si>
  <si>
    <t>http://www.xinhuanet.com/mil/2019-11/06/c_1210343454.htm</t>
  </si>
  <si>
    <t>http://www.xinhuanet.com/world/2019-11/12/c_1125221813.htm</t>
  </si>
  <si>
    <t>Added source and changed month; coded as Oceania</t>
  </si>
  <si>
    <t>http://www.xinhuanet.com/2019-11/26/c_1125277668.htm</t>
  </si>
  <si>
    <t>Defense Chief; BL at ADMM+</t>
  </si>
  <si>
    <t>http://www.xinhuanet.com/english/2019-11/15/c_138557129.htm</t>
  </si>
  <si>
    <t>Changed position of counterpart</t>
  </si>
  <si>
    <t xml:space="preserve">Defense Chief; BL at ADMM+ </t>
  </si>
  <si>
    <t>Gave all information about meeting but participants</t>
  </si>
  <si>
    <t>Defense Minister; BL at ADMM+</t>
  </si>
  <si>
    <t>Chief of NZ Defense Force</t>
  </si>
  <si>
    <t xml:space="preserve">10th strategic dialogue </t>
  </si>
  <si>
    <t>http://www.xinhuanet.com/world/2019-11/09/c_1125212142.htm</t>
  </si>
  <si>
    <t xml:space="preserve">Deputy Director Federal Security Service </t>
  </si>
  <si>
    <t>http://www.xinhuanet.com/mil/2019-11/21/c_1210363767.htm</t>
  </si>
  <si>
    <t>Blue Sword 2019</t>
  </si>
  <si>
    <t>http://eng.chinamil.com.cn/view/2019-11/20/content_9679466.htm</t>
  </si>
  <si>
    <t xml:space="preserve">Mosi </t>
  </si>
  <si>
    <t xml:space="preserve">first Russia-China-South Africa TL exercise; guided-missile frigate Weifang;  surface gunnery exercise, helicopter cross-deck landings </t>
  </si>
  <si>
    <t>https://www.navyrecognition.com/index.php/news/defence-news/2019/november/7732-joint-naval-military-exercise-code-named-mosi-in-south-africa.html</t>
  </si>
  <si>
    <t>TL exercise CODED as South Africa because of the location of the exercise</t>
  </si>
  <si>
    <t>Prime Minister; BL at ADMM+</t>
  </si>
  <si>
    <t>http://www.xinhuanet.com/world/2019-11/17/c_1125242224.htm; http://www.xinhuanet.com/english/2019-11/17/c_138562358.htm</t>
  </si>
  <si>
    <t>Added source, updated counterpart to PM; PCS changed to "BL abroad" because Wei came a day early for meeting with Thai MOD</t>
  </si>
  <si>
    <t>Secretary of Defense; BL at ADMM+</t>
  </si>
  <si>
    <t>http://www.xinhuanet.com/world/2019-11/18/c_1125246591.htm</t>
  </si>
  <si>
    <t>15th China-US Disaster Management Exchange</t>
  </si>
  <si>
    <t>Hawaii; HADR academic discussion, TTX, and field exchange</t>
  </si>
  <si>
    <t>http://www.xinhuanet.com/2019-11/19/c_1125248816.htm; https://www.army.mil/article/230491/us_china_hold_15th_annual_disaster_management_exchange</t>
  </si>
  <si>
    <t>Bright Eyes Operation</t>
  </si>
  <si>
    <t>Medical Service Operation</t>
  </si>
  <si>
    <t>http://www.mod.gov.cn/jzhzt/2019-11/28/content_4855867.htm</t>
  </si>
  <si>
    <t xml:space="preserve">Hand-in-Hand Exercise </t>
  </si>
  <si>
    <t xml:space="preserve">joint counterterrorism drills, semi-urban environment, </t>
  </si>
  <si>
    <t>https://thediplomat.com/2019/12/hand-in-hand-2019-indian-and-chinese-armies-come-together-for-joint-military-exercise/</t>
  </si>
  <si>
    <t>Indonesian Minister of Defense Prabowo Subianto</t>
  </si>
  <si>
    <t>http://eng.mod.gov.cn/news/2019-12/17/content_4856899.htm</t>
  </si>
  <si>
    <t>Updated highest ranking counterpart</t>
  </si>
  <si>
    <t>Marine Security Belt</t>
  </si>
  <si>
    <t xml:space="preserve">Xining, guided missile destroyer </t>
  </si>
  <si>
    <t>https://www.cnn.com/2019/12/27/asia/china-russia-iran-military-drills-intl-hnk/index.html</t>
  </si>
  <si>
    <t>Operation Marine Security Belt</t>
  </si>
  <si>
    <t>Gulf of Oman security, anti-piracy, anti-terrorism, combat, tactical drills. 4 days. Other country: Iran</t>
  </si>
  <si>
    <t>TL exercise RECODED with Iran as the lead partner because of location of the exercise.</t>
  </si>
  <si>
    <t>Japanese Defense Minister Taro Kono</t>
  </si>
  <si>
    <t>http://eng.mod.gov.cn/news/2019-12/18/content_4857053.htm</t>
  </si>
  <si>
    <t>Sharp Sword-2019</t>
  </si>
  <si>
    <t xml:space="preserve">Joint training with Pakistani Air Defense troops. Comprehensive, consecutive drills were conduncted in the last pase of the training. </t>
  </si>
  <si>
    <t>http://www.js7tv.cn/video/201912_201883.html; http://tv.81.cn/jshjj/2019-12/20/content_9700730.htm</t>
  </si>
  <si>
    <t>ADD. Accidentally Omitted from 3.01</t>
  </si>
  <si>
    <t>Air Chief Marshal Mujahid Anwar Khan, Chief of the Air Staff of Pakistan Air Force</t>
  </si>
  <si>
    <t>http://eng.mod.gov.cn/news/2019-12/17/content_4856979.htm</t>
  </si>
  <si>
    <t>Warrior-VII</t>
  </si>
  <si>
    <t>Monthlong, counter-terrorism and target defense</t>
  </si>
  <si>
    <t>http://eng.chinamil.com.cn/view/2019-12/06/content_9691028.htm</t>
  </si>
  <si>
    <t>Added source, branch, drill details</t>
  </si>
  <si>
    <t>Sincere Partners</t>
  </si>
  <si>
    <t>the exchange of combat experience and skills, joint actual-troop drill and command post exercise; elements of 73 GA</t>
  </si>
  <si>
    <t>http://english.pladaily.com.cn/view/2019-12/30/content_9706488.htm</t>
  </si>
  <si>
    <t>http://www.xinhuanet.com/politics/2019-11/22/c_1125264635.htm</t>
  </si>
  <si>
    <t xml:space="preserve">India Northern Army Commander </t>
  </si>
  <si>
    <t>https://economictimes.indiatimes.com/news/defence/northern-army-commander-on-china-visit-meets-plas-ground-forces-commander/articleshow/73157296.cms</t>
  </si>
  <si>
    <t>Sea Guardians Naval Exercise</t>
  </si>
  <si>
    <t>Northern Arabian Sea exercise that ended in Karachi. Largest joint exercise with Pakistan to date. Says counterterror but lots of maritime ops, to include anti-sub, anti-aircraft, and anti-missile; PLAN participants from ETF-34 did this exercise en route to Gulf of Aden</t>
  </si>
  <si>
    <t>http://www.81.cn/jfjbmap/content/2020-01/07/content_251619.htm; https://navalpost.com/chinese-naval-escort-task-group-returns-home/</t>
  </si>
  <si>
    <t xml:space="preserve">Coast Guard </t>
  </si>
  <si>
    <t>Coast Guard SAREX; combating fire at sea; improving interoperability</t>
  </si>
  <si>
    <t xml:space="preserve">Series of friendship activities for China-Philippine Joint Coast Guard Committee on Maritime Cooperation Third Session </t>
  </si>
  <si>
    <t>http://eng.chinamil.com.cn/view/2020-01/15/content_9718029.htm; http://eng.chinamil.com.cn/view/2020-01/16/content_9718789.htm</t>
  </si>
  <si>
    <t>http://eng.chinamil.com.cn/view/2020-03/26/content_9778165.htm; http://navy.81.cn/content/2020-02/01/content_9729507.htm</t>
  </si>
  <si>
    <t>Port call on way home after Aden CP deployment</t>
  </si>
  <si>
    <t xml:space="preserve">Asia </t>
  </si>
  <si>
    <t>http://eng.chinamil.com.cn/view/2020-03/26/content_9778165.htm</t>
  </si>
  <si>
    <t>Cobra Gold 2020</t>
  </si>
  <si>
    <t>25 personnel from PLAA 75h GA trained in Engineering &amp; construction, support and demolition tasks, and maritime rescue</t>
  </si>
  <si>
    <t>http://www.81.cn/jfjbmap/content/2020-02/23/content_254718.htm</t>
  </si>
  <si>
    <t>Golden Dragon 2020</t>
  </si>
  <si>
    <t>*1st joint exercise post COVID-19 outbreak…265 member Chinese contingent participated in mixed training and couter-terror, reconnaissance, and firepower attack</t>
  </si>
  <si>
    <t>http://www.xinhuanet.com/world/2020-03/15/c_1125716729.htm</t>
  </si>
  <si>
    <t>BL - Virtual</t>
  </si>
  <si>
    <t>Virtual</t>
  </si>
  <si>
    <t>Dr. Ng Eng</t>
  </si>
  <si>
    <t>http://www.81.cn/jwywpd/2020-03/30/content_9780936.htm</t>
  </si>
  <si>
    <t>Port call on way home after Aden CP deployment; LAST PLAN "friendly visit" port call through 2022</t>
  </si>
  <si>
    <t>Secretary of Defense Esper</t>
  </si>
  <si>
    <t>https://www.defense.gov/Newsroom/Releases/Release/Article/2101487/readout-of-secretary-of-defense-dr-mark-t-espers-telephone-call-with-the-people/</t>
  </si>
  <si>
    <t xml:space="preserve">Minister of Defense </t>
  </si>
  <si>
    <t>PLA Activities Report</t>
  </si>
  <si>
    <t>CJCS Milley</t>
  </si>
  <si>
    <t>CJCS memo for the record 9-27-2021; http://cdn.cnn.com/cnn/2021/images/09/28/cjcs.mfr.ref.general.milley.engagements.with.the.people.liberation.army.leaders.pdf</t>
  </si>
  <si>
    <t xml:space="preserve">Minister of Defence </t>
  </si>
  <si>
    <t>Deputy Prime Minister/Defense Minister</t>
  </si>
  <si>
    <t>International Army Games 2020</t>
  </si>
  <si>
    <t>23 August to 5 September PLAA and PLAAF compete in the Russian-hosted International Army Games</t>
  </si>
  <si>
    <t>http://www.xinhuanet.com/mil/2020-08/11/c_1210746238.htm; https://www.tellerreport.com/news/2020-08-07-chinese-paratroopers-arrive-in-russia-to-participate-in-the-%22international-military-competition-2020%22.B1QmRhX5Wv.html</t>
  </si>
  <si>
    <t>ML EXERCISE; CODED as ARMY because no real joint activity</t>
  </si>
  <si>
    <t>https://www.defense.gov/Newsroom/Releases/Release/Article/2303574/readout-of-secretary-of-defense-dr-mark-t-espers-telephone-call-with-the-people</t>
  </si>
  <si>
    <t>Vietnam Ambassador</t>
  </si>
  <si>
    <t>https://www.voanews.com/a/east-asia-pacific_china-vietnam-try-make-amends-after-stormy-start-202/6195334.html</t>
  </si>
  <si>
    <t>INCLUDE--Senior PLA rep; VM rep is ambassador due to COVID</t>
  </si>
  <si>
    <t xml:space="preserve">Second Minister of Defense </t>
  </si>
  <si>
    <t>http://mod.gov.cn/topnews/2020-09/09/content_4870994.htm; https://www.scmp.com/week-asia/politics/article/3100602/south-china-sea-chinese-defence-minister-wei-fenghe-turns; https://www.voanews.com/a/east-asia-pacific_experts-china-renewing-effort-squelch-us-influence-southeast-asia/6195946.html</t>
  </si>
  <si>
    <t>Minister of Defence</t>
  </si>
  <si>
    <t>http://mod.gov.cn/diplomacy/2020-09/05/content_4870721.htm; https://news.cgtn.com/news/2020-09-05/Chinese-Indian-defense-ministers-discuss-border-tension-in-Moscow-TwNB8vv3Lq/index.html</t>
  </si>
  <si>
    <t xml:space="preserve"> On the margins of the SCO 2020 Defense Ministers Meeting</t>
  </si>
  <si>
    <t>http://mod.gov.cn/topnews/2020-09/08/content_4870932.htm; https://www.voanews.com/a/east-asia-pacific_experts-china-renewing-effort-squelch-us-influence-southeast-asia/6195946.html</t>
  </si>
  <si>
    <t>http://mod.gov.cn/topnews/2020-09/07/content_4870852.htm; https://www.voanews.com/a/east-asia-pacific_experts-china-renewing-effort-squelch-us-influence-southeast-asia/6195946.html</t>
  </si>
  <si>
    <t>Chairman Joint Chiefs of Staff Committee</t>
  </si>
  <si>
    <t>http://mod.gov.cn/diplomacy/2020-09/06/content_4870758.htm</t>
  </si>
  <si>
    <t>SCO 2020 Defense Ministers Meeting</t>
  </si>
  <si>
    <t>Secretary of National Defense</t>
  </si>
  <si>
    <t>https://www.pna.gov.ph/articles/1115179; https://www.voanews.com/a/east-asia-pacific_experts-china-renewing-effort-squelch-us-influence-southeast-asia/6195946.html</t>
  </si>
  <si>
    <t>Kavkaz-2020</t>
  </si>
  <si>
    <t>WTC in mobile defense and attack drills, joint firepower strikes, sieges, battlefield stability control, and others. Participants: Russia, Armenia, Belarus, Iran, Burma (Myanmar), Pakistan, and others. Also included the first PLAFF Y-20 transport to unknown airport. First multi plane, transnational airlift mission for Y-20.</t>
  </si>
  <si>
    <t>http://www.81.cn/yw/2020-09/14/content_9902689.htm; http://www.mod.gov.cn/topnews/2020-09/10/content_4871011.htm</t>
  </si>
  <si>
    <t>http://mod.gov.cn/diplomacy/2020-09/06/content_4870758.htm; https://news.cgtn.com/news/2020-09-06/China-calls-for-unity-cooperation-at-SCO-defense-ministers-meeting-TyxHQnSgXS/index.html</t>
  </si>
  <si>
    <t>In conjunction with SCO 2020 Defense Ministers Meeting</t>
  </si>
  <si>
    <t>17th meeting of the SCO Ministers of Defense</t>
  </si>
  <si>
    <t>Chief of the Joint Staffs of the Royal Thai Armed Forces</t>
  </si>
  <si>
    <t>http://www.81.cn/jfjbmap/content/2020-09/18/content_271089.htm</t>
  </si>
  <si>
    <t xml:space="preserve">Minister for National Defense </t>
  </si>
  <si>
    <t>http://www.mod.gov.cn/topnews/2020-10/21/content_4872999.htm</t>
  </si>
  <si>
    <t>https://apnews.com/article/donald-trump-business-china-arts-and-entertainment-army-74ad214fdfbf0f8422a762e8f6657862</t>
  </si>
  <si>
    <t>At SECDEF direction to clear up Chinese concern</t>
  </si>
  <si>
    <t>President, PM, and DEFMIN</t>
  </si>
  <si>
    <t>https://www.newindianexpress.com/world/2020/nov/29/chinese-defence-ministerwei-fenghearrives-in-nepal-to-bolster-military-cooperation-2229614.html</t>
  </si>
  <si>
    <t>16th China-US Disaster Management Exchange</t>
  </si>
  <si>
    <t>Virtual due to COVID; HADR academic discussion</t>
  </si>
  <si>
    <t>https://news.clearancejobs.com/2020/11/12/u-s-and-china-hold-joint-disaster-management-exercise/; http://eng.chinamil.com.cn/view/2020-11/14/content_9936530.htm</t>
  </si>
  <si>
    <t>ML - Virtual</t>
  </si>
  <si>
    <t>ADMM+</t>
  </si>
  <si>
    <t xml:space="preserve"> http://admm.vn/wps/portal/en/news/detail/!ut/p/b1/hZLLkqowFAC_xQ-giIiAyyAojyFIACFsKKKAyEsUceDrh7l1t47Znao-i-4TNmJDNmqSociTvmibpPqdIyHeQYQleQkBwPIKOJYp2pK8B44rzAB5D-gQfNoP2BAT8K08rFxRwwNoNfx6eE5tWuV-2nH1S_VNv9hkvVk1VASbg8uEMegyPF1FnGo3SmsJjVrSZORoZWkoZErXRecNZBh-2NNEKwOcU7PeKvXdgtRw8ylw197ropAVSDUR-cPdVm8YklNZbn212xPL_44u0OjPUiXxUny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t>
  </si>
  <si>
    <t>Video conference</t>
  </si>
  <si>
    <t>Minister of Defense Nobuo Kishi</t>
  </si>
  <si>
    <t>http://www.mod.gov.cn/shouye/2020-12/14/content_4875453.htm; “Japan-China Defense Ministers’ Video Teleconference,” Japan Ministry of Defense [English-language source], 14 December 2020,; PLA Activities Report 1-15 January 2021, China sounded out Japan on sending defense minister for talks in October | The Japan Times</t>
  </si>
  <si>
    <t>Pakistan COAS Bajwa, CJCS Raza, PM, President</t>
  </si>
  <si>
    <t>https://www.thehindu.com/news/international/china-and-pakistan-sign-military-deal-amid-tensions-with-india/article60672038.ece; https://thediplomat.com/2020/12/chinas-defense-minister-visits-pakistan/</t>
  </si>
  <si>
    <t>SHOULD ADD TO DB</t>
  </si>
  <si>
    <t>Yang Xuejun</t>
  </si>
  <si>
    <t>President, AMS</t>
  </si>
  <si>
    <t>http://eng.chinamil.com.cn/view/2020-12/02/content_9946240.htm</t>
  </si>
  <si>
    <t>Virtual Meeting of Xiangshan Forum</t>
  </si>
  <si>
    <t>Shaheen IX (Eagle)</t>
  </si>
  <si>
    <t>Monthlong, improving actual combat training</t>
  </si>
  <si>
    <t>https://timesofindia.indiatimes.com/world/china/china-pakistan-air-forces-to-hold-joint-exercises/articleshow/79611283.cms; China sends warplanes, troops for drill in Pakistan | World News - Hindustan Times, PLA Activities Report 1-15 January 2021</t>
  </si>
  <si>
    <t>Joint Aerial Strategic Patrol 2020</t>
  </si>
  <si>
    <t xml:space="preserve">"Joint strategic air patrol"--four H-6K aircraft to form a joint formation with two Russian Tu-95MC aircraft over the Sea of Japan and the East China Sea. </t>
  </si>
  <si>
    <t>http://www.81.cn/jwywpd/2020-12/23/content_9957361.htm</t>
  </si>
  <si>
    <t>RECODED as joint patrol; INCLUDED because of external audience.</t>
  </si>
  <si>
    <t>LI Zuocheng</t>
  </si>
  <si>
    <t>At SECDEF direction to clear up Chinese concern; include during COVID era</t>
  </si>
  <si>
    <t>AMAN-21</t>
  </si>
  <si>
    <t>counter-piracy, counter-terror, naval gunnery drills, search and rescue ops; 45 countries participated; ; ETF 36 (as PLAN 119 Biandui)</t>
  </si>
  <si>
    <t xml:space="preserve">PLA Activities Report, 1-15 February 2021 </t>
  </si>
  <si>
    <t>passage exercise, search and rescue, communications; ETF 36</t>
  </si>
  <si>
    <t>PLA Activities Report 16-28 February 2021</t>
  </si>
  <si>
    <t>President of Greece &amp; MINDEF</t>
  </si>
  <si>
    <t>PLAAR 1-15 April 2021,  http://mod.gov.cn/topnews/2021-03/30/content_4882225.htm</t>
  </si>
  <si>
    <t>President of Hungary &amp; MINDEF</t>
  </si>
  <si>
    <t>PLAAR 16-31 March 2021, http://www.xinhuanet.com/english/2021-03/25/c_139835982.htm</t>
  </si>
  <si>
    <t>President of North Macedonia &amp; MINDEF</t>
  </si>
  <si>
    <t>PLAAR 1-15 April 2012, http://81.cn/yw/2021-03/30/content_10013933.htm</t>
  </si>
  <si>
    <t xml:space="preserve">PLAAR 16-31 March 2021, http://81.cn/yw/2021-03/16/content_10004317.htm; </t>
  </si>
  <si>
    <t>telephone conference</t>
  </si>
  <si>
    <t>President of the Republic of Serbia &amp; MINDEF</t>
  </si>
  <si>
    <t>PLAAR 16-31 March 2021, https://www.srbija.gov.rs/vest/en/170119/visit-of-chinese-minister-of-defence-to-serbia-ends.php</t>
  </si>
  <si>
    <t>Bangladesh President Abdul Hamid &amp; DEFMIN</t>
  </si>
  <si>
    <t>PLAAR 16-30 April 2021,  http://mod.gov.cn/topnews/2021-04/27/content_4884086.htm</t>
  </si>
  <si>
    <t>Minister of Defense Gotabaya Rajapaksa</t>
  </si>
  <si>
    <t>PLAAR 1-15 May 2021, https://www.presidentsoffice.gov.lk/index.php/2021/04/28/president-and-chinese-defence-minister-hold-bilateral-discussions/</t>
  </si>
  <si>
    <t>General Secretary Phu Troung, Vietnam President Nguyen Xuan Phuc &amp; DEFMIN</t>
  </si>
  <si>
    <t>PLAAR 16-30 April 2021, https://baochinhphu.vn/Doi-ngoai/Tong-Bi-thu-Nguyen-Phu-Trong-tiep-Uy-vien-Quoc-vu-Bo-truong-Bo-Quoc-phong-Trung-Quoc/429280.vgp, https://baochinhphu.vn/Doi-ngoai/Thuc-day-quan-he-Doi-tac-hop-tac-chien-luoc-toan-dien-voi-Trung-Quoc/429254.vgp, http://81.cn/yw/2021-04/26/content_10029102.htm</t>
  </si>
  <si>
    <t>comm drills, search and rescue, formation maneuvers</t>
  </si>
  <si>
    <t>PLAAR 1-15 May 2021, https://news.cgtn.com/news/2021-05-10/China-Indonesia-hold-joint-naval-exercise-near-Jakarta--109dCfydxYs/index.html.</t>
  </si>
  <si>
    <t xml:space="preserve">Couldn't find name for exercise </t>
  </si>
  <si>
    <t>Brunei Second MINDEF co-chaired with Wei</t>
  </si>
  <si>
    <t>PLAAR 1-15 June 2021, http://www.mod.gov.cn/topnews/2021-06/15/content_4887430.htm</t>
  </si>
  <si>
    <t>virtual 12th China-ASEAN Defense Ministers’ Informal Meeting</t>
  </si>
  <si>
    <t>RECODE as ML-Virtual; Check if previous 11 meetings are in the DB?</t>
  </si>
  <si>
    <t>Brunei chaired</t>
  </si>
  <si>
    <t>PLAAR 16-30 June 2021; http://mod.gov.cn/topnews/2021-06/16/content_4887474.htm</t>
  </si>
  <si>
    <t>ASEAN ADMM+ Meeting</t>
  </si>
  <si>
    <t>PLAAR 16-30 June 2021, http://mod.gov.cn/diplomacy/2021-06/23/content_4887992.htm</t>
  </si>
  <si>
    <t>Russian Defense Ministry's Moscow Conference on International Security</t>
  </si>
  <si>
    <t>Ng Eng Hen, Sinagpore Defence Minister</t>
  </si>
  <si>
    <t>PLAAR 1-15 June 2021, https://www.mindef.gov.sg/web/portal/mindef/news-and-events/latest-releases/article-detail/2021/June/08jun21_nr/, http://mod.gov.cn/topnews/2021-06/08/content_4887029.htm</t>
  </si>
  <si>
    <t>Virtual BL meeting on 8 June</t>
  </si>
  <si>
    <t>PLAAR 1-15 July 2021, http://mod.gov.cn/topnews/2021-07/06/content_4888812.htm</t>
  </si>
  <si>
    <t>PLAAR 16-31 July 2021, http://mod.gov.mn/2021/07/26/%D1%85%D0%BE%D1%91%D1%80-%D0%BE%D1%80%D0%BD%D1%8B-%D0%B1%D0%B0%D1%82%D0%BB%D0%B0%D0%BD-%D1%85%D0%B0%D0%BC%D0%B3%D0%B0%D0%B0%D0%BB%D0%B0%D1%85-%D1%81%D0%B0%D0%BB%D0%B1%D0%B0%D1%80%D1%8B%D0%B</t>
  </si>
  <si>
    <t>International Army Games 2021</t>
  </si>
  <si>
    <t xml:space="preserve">army games with Russia, Belarus, Egypt, Iran, Venezuela, Vietnam </t>
  </si>
  <si>
    <t>http://english.chinamil.com.cn/view/2021-07/29/content_10068365.htm</t>
  </si>
  <si>
    <t>PLAAR 16-31 July 2021, https://function.mil.ru/news_page/country/more.htm?id=12374244@egNews</t>
  </si>
  <si>
    <t>18th meeting of the SCO Ministers of Defense</t>
  </si>
  <si>
    <t>PLAAR 1-15 August 2021, http://mod.gov.cn/diplomacy/2021-07/28/content_4890455.htm</t>
  </si>
  <si>
    <t xml:space="preserve">Council of Ministers of Defense of Shanghai Cooperation Organization (SCO) Member States </t>
  </si>
  <si>
    <t>President &amp; Defense Minister</t>
  </si>
  <si>
    <t>PLAAR 16-31 July 2021,  http://mod.gov.cn/topnews/2021-07/27/content_4890357.htm</t>
  </si>
  <si>
    <t>Cobra Gold 2021</t>
  </si>
  <si>
    <t>Disaster relief</t>
  </si>
  <si>
    <t>PLAAR 16-31 August 2021, https://www.nationthailand.com/in-focus/40002406, http://eng.mod.gov.cn/news/2021-08/03/content_4891020.htm, http://eng.chinamil.com.cn/view/2021-08/02/content_10070028.htm</t>
  </si>
  <si>
    <t>This year PLA participation is virtual ONLY</t>
  </si>
  <si>
    <t xml:space="preserve">Zapad/Interaction </t>
  </si>
  <si>
    <t xml:space="preserve">"The Chinese Ministry of National Defense issued an article on Wednesday describing the exercise as the first time China invited foreign troops to participate in the PLA's strategic battle training operations on a large scale, the first time foreign troops shared a command and control messaging system with the PLA, and the first time foreign troops used the PLA's main combat equipment” </t>
  </si>
  <si>
    <t>PLAAR 1-15 August 2021, https://www.81.cn/jfjbmap/content/2021-08/10/content_296122.htm, https://thediplomat.com/2021/08/zapad-interaction-military-exercise-2021-growing-china-russia-bonhomie/; 中俄戈壁荒原联合军演 专用讯息系统解语言障碍, 12 August 2021, 东方日报 (简体)</t>
  </si>
  <si>
    <t>http://english.chinamil.com.cn/view/2021-09/27/content_10093971.htm</t>
  </si>
  <si>
    <t>Pakistan’s Defence Minister Pervez Khattak</t>
  </si>
  <si>
    <t>https://www.app.com.pk/global/chinese-defense-minister-holds-talks-with-pervez-khattak-in-dushanbe-tajikistan/</t>
  </si>
  <si>
    <t>TL meeting with Chairman Joint Chiefs of Staff Committee, General Nadeem Raza and Russian COGS General Valery Gerasimov</t>
  </si>
  <si>
    <t>https://www.radio.gov.pk/25-09-2021/pakistan-attaches-great-importance-to-further-bilateral-cooperation-with-russia-china-cjcsc</t>
  </si>
  <si>
    <t>TL Meeting on the Margins coded as separate BL meetings with PK and Russian counterparts</t>
  </si>
  <si>
    <t>Ding Laihang</t>
  </si>
  <si>
    <t xml:space="preserve">Other Air Force Commanders, including Pakistani ACM Zaheer Ahmad Babar </t>
  </si>
  <si>
    <t>PLAAF International Military Flight Training Conference</t>
  </si>
  <si>
    <t>http://www.81.cn/jwywpd/2021-09/28/content_10094486.htm; https://www.youtube.com/watch?v=yqBiNj1sgYE</t>
  </si>
  <si>
    <t>SHOULD ADD TO DB--ML Virtual conference hosted by PLAAF Commander and attended virtually by at least some heads of air forces (e.g. Pakistan)</t>
  </si>
  <si>
    <t>JATE/Pabbi</t>
  </si>
  <si>
    <t>Phase 1 of exercise Pabbi was an SCO Virtual Exercise; Phase 2 was an FTX between Chinese and Pakistani Army Special Forces in Rabbi Pakistan. Not clear if the Chinese forces were PLAA or PAP</t>
  </si>
  <si>
    <t>https://www.outlookindia.com/website/story/world-news-pakistan-china-conduct-first-ever-joint-anti-terrorism-exercise-under-sco/396654; http://eng.sectsco.org/politics/20211004/786524.html; http://www.news.cn/english/2021-10/04/c_1310226471.htm</t>
  </si>
  <si>
    <t>1st phase was multilateral SCO virtual anti-terrorism exercise; 2nd phase was physical BL exercise in Pakistani. Coded as BL exercise; not clear if PRC troops were PLA or PAP</t>
  </si>
  <si>
    <t>Shared-Destiny 2021</t>
  </si>
  <si>
    <t>PKO activities with Pakistan, Mongolia, and Thailand</t>
  </si>
  <si>
    <t>PLAAR 1-15 September 2021</t>
  </si>
  <si>
    <t>Real exercise with on the ground troops in China</t>
  </si>
  <si>
    <t>Peace Mission 2021</t>
  </si>
  <si>
    <t xml:space="preserve">Held in Orenburg, Russia.  Focus on surveillance, forward defense, ground assault, division, and  encirclement. </t>
  </si>
  <si>
    <t>PLAAR 1-15 September 2021, http://www.xinhuanet.com/politics/2019-03/18/c_1124247196.htm</t>
  </si>
  <si>
    <t>a three-level command structure consisting of a joint exercise direction department [联合导演部], a joint counterterrorism command department [联合反恐集群指挥部], and real-soldier units</t>
  </si>
  <si>
    <t>Sixth meeting of the SCO military chiefs of staff in Russia</t>
  </si>
  <si>
    <t>PLAAR 16-30 September 2021, http://mod.gov.cn/diplomacy/2021-09/24/content_4895489.htm; http://eng.mod.gov.cn/news/2021-09/24/content_4895516.htm</t>
  </si>
  <si>
    <t>pass-exercise; CUES; navigation training, helicopter landing, replenishment-at-sea training</t>
  </si>
  <si>
    <t>PLAAR 16-30 September 2021, https://www.js7tv.cn/video/202109_258376.html, https://www.mindef.gov.sg/web/portal/navy/pressroom/articles/2021/22sep21_article?fbclid=IwAR3rVyBOM2CFa10EIiD2LEfBaE02_N7HXuKrIKsw_MABmcjotKViEfdoLGs</t>
  </si>
  <si>
    <t>Permanent Secretary of Defence</t>
  </si>
  <si>
    <t>PLAAR 1-15 September 2021, https://www.mindef.gov.sg/web/portal/mindef/news-and-events/latest-releases/article-detail/2021/September/14sep21_nr2, http://mod.gov.cn/topnews/2021-09/15/content_4894878.htm</t>
  </si>
  <si>
    <t>8th Defense Policy Dialogue; JSD/DCJS position downgraded so position weight adjusted; recoded as virtual; is this high enough level to include?  Have previous meetings been included?</t>
  </si>
  <si>
    <t>Chief of the Defence Staff</t>
  </si>
  <si>
    <t>PLAAR 1-15 September 2021,  http://www.mod.gov.cn/topnews/2021-09/10/content_4894507.htm.</t>
  </si>
  <si>
    <t>video conference</t>
  </si>
  <si>
    <t>PLAAR 16-30 October 2021, https://www.argentina.gob.ar/noticias/taiana-mantuvo-una-reunion-bilateral-con-su-par-de-defensa-chino-para-dialogar-acerca-de-la, http://mod.gov.cn/topnews/2021-10/22/content_4897280.htm</t>
  </si>
  <si>
    <t>http://eng.chinamil.com.cn/view/2021-10/25/content_10103983.htm, http://eng.mod.gov.cn/news/2021-12/23/content_4901630.htm</t>
  </si>
  <si>
    <t>Xiangshan Forum 2021</t>
  </si>
  <si>
    <t>Joint Sea 2021</t>
  </si>
  <si>
    <t>Comms drills, mine destruction, maritime gunnery, joint-maneuvering; "joint rocket and artillery firing at air targets, artillery firing at sea targets, joint anti-submarine operations with the practical use of weapons, joint blockade and joint rescue….These multidimensional training courses cover the core elements in modern naval combat.”</t>
  </si>
  <si>
    <t>PLAAR 16-31 October 2021, https://news.usni.org/2021/10/25/russia-china-wrap-up-drills-off-japan-pledge-more-joint-exercises</t>
  </si>
  <si>
    <t>Joint Exercise Direction Department; RECODED as COMBAT based on closer analysis of exercise activities</t>
  </si>
  <si>
    <t>Joint Maritime Cruise</t>
  </si>
  <si>
    <t>Use of weapons, joint sailing and maneuvering</t>
  </si>
  <si>
    <t>PLAAR 16-31 October 2021, http://mod.gov.cn/topnews/2021-10/23/content_4897177.htm</t>
  </si>
  <si>
    <t>first joint maritime patrol; included because not a CBM.</t>
  </si>
  <si>
    <t>http://english.chinamil.com.cn/view/2021-11/30/content_10111790.htm</t>
  </si>
  <si>
    <t>China Coast Guard</t>
  </si>
  <si>
    <t>Coast Guard</t>
  </si>
  <si>
    <t>PLAAR 1-15 November 2021, http://www.news.cn/politics/2021-11/09/c_1128048026.htm</t>
  </si>
  <si>
    <t>INCLUDE--called high-level meeting by source, but senior PRC participant not specified</t>
  </si>
  <si>
    <t>Regular Press Conference of the Ministry of National Defense on November 25 - Ministry of National Defense (mod.gov.cn)</t>
  </si>
  <si>
    <t>Joint Aerial Strategic Patrol 2021</t>
  </si>
  <si>
    <t xml:space="preserve">"joint strategic air patrol"--two H-6K aircraft to form a joint formation with two Russian Tu-95MC aircraft over the Sea of Japan and the East China Sea. </t>
  </si>
  <si>
    <t>http://eng.mod.gov.cn/focus/2021-11/26/content_4900240.htm, https://www.globaltimes.cn/page/202111/1239423.shtml; http://english.chinamil.com.cn/view/2021-11/19/content_10109351.htm</t>
  </si>
  <si>
    <t>INCLUDE as joint patrol; externally motivated.</t>
  </si>
  <si>
    <t>Wang Zhongcai</t>
  </si>
  <si>
    <t>CDR China Coast Guard</t>
  </si>
  <si>
    <t>CDR Vietnam Coast Guard</t>
  </si>
  <si>
    <t>http://english.chinamil.com.cn/view/2021-12/01/content_10111995.htm</t>
  </si>
  <si>
    <t xml:space="preserve">Bilateral Defense Treaty </t>
  </si>
  <si>
    <t>Japanese Defense Minister Nobuo Kishi</t>
  </si>
  <si>
    <t>https://www.globaltimes.cn/page/202112/1243528.shtml</t>
  </si>
  <si>
    <t>Peace Rescue-2021</t>
  </si>
  <si>
    <t xml:space="preserve">rescue, wounded treatment, joint military health service command, medical and pandemic training </t>
  </si>
  <si>
    <t>PLA Activities Report 1-15 December 2021</t>
  </si>
  <si>
    <t>MOD Deputy Director General for International Relations and Strategy</t>
  </si>
  <si>
    <t>http://eng.chinamil.com.cn/CHINA_209163/TopStories_209189/10123265.html; http://mod.gov.cn/topnews/2022-01/12/content_4902848.htm</t>
  </si>
  <si>
    <t>16th Strategic consultation</t>
  </si>
  <si>
    <t>Marine Security Belt 2022</t>
  </si>
  <si>
    <t>Urumqi guided-missile destroyer , supply ship Taihu, ship-borne helicopters, and 40 members of the Marine Corps; engaging targets, formation manevuers, light signal communications, nighttime navigation; 10 Iran ships; 3 Russian ships</t>
  </si>
  <si>
    <t>http://eng.mod.gov.cn/news/2022-01/20/content_4903350.htm; http://mod.gov.cn/topnews/2022-01/20/content_4903339.htm; https://www.81.cn/jfjbmap/content/2022-01/22/content_307984.htm; https://www.fdd.org/analysis/2022/02/08/china-russia-iran-hold-trilateral-naval-drill/</t>
  </si>
  <si>
    <t>Not enough combat related acty to classify as combat; unclear if there was any live fire. Very basic exercise.</t>
  </si>
  <si>
    <t xml:space="preserve"> http://english.chinamil.com.cn/view/2022-01/19/content_10124662.htm; http://mod.gov.cn/diplomacy/2022-01/19/content_4903267.htm; </t>
  </si>
  <si>
    <t>Prince Khalid bin Salman Al Saud, Saudi Arabia's Deputy Defense Minister</t>
  </si>
  <si>
    <t>http://eng.mod.gov.cn/news/2022-01/26/content_4903623.htm; http://english.chinamil.com.cn/view/2022-01/26/content_10126627.htm; http://www.mod.gov.cn/topnews/2022-01/26/content_4903604.htm</t>
  </si>
  <si>
    <t xml:space="preserve">UK MOD director general of security policy </t>
  </si>
  <si>
    <t>http://eng.mod.gov.cn/news/2022-01/12/content_4902851.htm; http://mod.gov.cn/topnews/2022-01/13/content_4902920.htm</t>
  </si>
  <si>
    <t>8th defense policy dialogue</t>
  </si>
  <si>
    <t>Liu Zhenli</t>
  </si>
  <si>
    <t>Lieutenant General Hun Manet, Deputy Commander-in-Chief, Royal Cambodian Armed Forces (RCAF) and Commander, Royal Cambodian Army</t>
  </si>
  <si>
    <t>https://eacnews.asia/home/details/11053; http://www.mod.gov.cn/jzhzt/2022-03/31/content_4908118.htm; http://eng.mod.gov.cn/xb/Home/Focus/4908385.html</t>
  </si>
  <si>
    <t>Thandi Modise, South Africa’s Minister of Defence and Military Veterans</t>
  </si>
  <si>
    <t xml:space="preserve"> http://mod.gov.cn/topnews/2022-03/01/content_4905926.htm; http://eng.chinamil.com.cn/CHINA_209163/TopStories_209189/10136280.html</t>
  </si>
  <si>
    <t>Dong Jun</t>
  </si>
  <si>
    <t>PLAN Commander</t>
  </si>
  <si>
    <t>Admiral Somprasong Nilsamai, Commander-in-Chief, Royal Thai Navy, had a virtual meeting</t>
  </si>
  <si>
    <t xml:space="preserve"> http://eng.mod.gov.cn/xb/Home/Focus/4908385.html; http://www.mod.gov.cn/jzhzt/2022-03/31/content_4908118.htm; </t>
  </si>
  <si>
    <t>Lieutenant General Begench Gundogdyev, Turkmenistan’s Minister of Defense</t>
  </si>
  <si>
    <t>https://english.www.gov.cn/statecouncil/weifenghe/202203/25/content_WS623dc342c6d02e533532848d.html; http://mod.gov.cn/topnews/2022-03/25/content_4907591.htm</t>
  </si>
  <si>
    <t xml:space="preserve">President, Ayatollah Dr. Seyyed Ebrahim Raisi and Major General Mohammad Hossein Bagheri, Chief of the General Staff </t>
  </si>
  <si>
    <t xml:space="preserve"> http://english.chinamil.com.cn/view/2022-04/27/content_10150896.htm ; https://irangov.ir/detail/385325; http://mod.gov.cn/topnews/2022-04/28/content_4909946.htm</t>
  </si>
  <si>
    <t>President Kassym-Jomart Tokayev and Defense Minister Lieutenant General Ruslan Jaqsylyqov</t>
  </si>
  <si>
    <t xml:space="preserve"> http://eng.mod.gov.cn/xb/News_213114/TopStories/4909810.html; http://www.china.org.cn/world/Off_the_Wire/2022-04/25/content_78186800.htm; https://www.gov.kz/memleket/entities/mod/press/news/details/362248?lang=ru; http://mod.gov.cn/topnews/2022-04/26/content_4909801.htm</t>
  </si>
  <si>
    <t>Major General Cristóvão Artur Chume, Mozambique’s Minister of National Defence</t>
  </si>
  <si>
    <t xml:space="preserve"> http://eng.mod.gov.cn/xb/News_213114/TopStories/4909402.html; http://mod.gov.cn/topnews/2022-04/19/content_4909342.htm</t>
  </si>
  <si>
    <t>Deputy Prime Minister for Defense Affairs Sayyid Shihab bin Tarik Al Said</t>
  </si>
  <si>
    <t xml:space="preserve"> http://english.chinamil.com.cn/view/2022-04/29/content_10151238.htm; http://mod.gov.cn/topnews/2022-04/29/content_4910041.htm</t>
  </si>
  <si>
    <t>Turkmen President Serdar Berdimuhamedov and Lieutenant General Begench Gundogdyev, Turkmenistan’s Minister of Defense</t>
  </si>
  <si>
    <t>http://english.chinamil.com.cn/view/2022-04/26/content_10150581.htm; https://www.mfa.gov.tm/en/news/3126; http://mod.gov.cn/topnews/2022-04/26/content_4909874.htm</t>
  </si>
  <si>
    <t>Secretary of Defense Austin</t>
  </si>
  <si>
    <t xml:space="preserve">http://english.chinamil.com.cn/view/2022-04/20/content_10149377.htm; </t>
  </si>
  <si>
    <t>Minister of Defence General Phan Van Giang</t>
  </si>
  <si>
    <t xml:space="preserve">http://english.chinamil.com.cn/view/2022-04/23/content_10149962.htm </t>
  </si>
  <si>
    <t>Meeting took place on both sides of China, Vietnam border; coded as abroad because PRC MINDEF traveled to get there.</t>
  </si>
  <si>
    <t xml:space="preserve">"GoG Maritime Security from the Perspective of a Maritime Community with a Shared Future" attended (virtually) by unspecified leaders from the navies and coast guards of Gulf of Guinea countries </t>
  </si>
  <si>
    <t xml:space="preserve">http://eng.mod.gov.cn/xb/News_213114/NewsRelease/4912128.html; http://www.mod.gov.cn/shouye/2022-05/26/content_4911605.htm; </t>
  </si>
  <si>
    <t>Virtual meeting on Gulf of Guinea maritime security organized and funded by China but approved by African Union; included because PLAN commander spoke to audience including regional navy and coast guard leaders.</t>
  </si>
  <si>
    <t>Joint Aerial Strategic Patrol 2022 (I)</t>
  </si>
  <si>
    <t>fourth "joint strategic air patrol" over the Sea of Japan, the East China Sea, and the Western Pacific Ocean. 4 Chinese H-6K and PLAAF fighters escort;  2 Russian Tu-95 bombers; 1 IL-20 recon plane, and  Su-30SM aircraft providing escort</t>
  </si>
  <si>
    <t>http://eng.mod.gov.cn/news/2022-05/24/content_4911446.htm; https://www.mod.go.jp/j/press/kisha/2022/0524b_r.html; https://www.reuters.com/world/asia-pacific/russian-chinese-jets-conducted-joint-patrol-moscow-says-2022-05-24/; http://mod.gov.cn/topnews/2022-05/24/content_4911444.htm; http://webcache.googleusercontent.com/search?q=cache:https://www.globaltimes.cn/page/202205/1266462.shtml</t>
  </si>
  <si>
    <t>Minister of Defense  Dr. Stergomena Lawrence Tax</t>
  </si>
  <si>
    <t>http://english.chinamil.com.cn/view/2022-06/01/content_10159555.htm ; http://mod.gov.cn/topnews/2022-05/31/content_4911988.htm</t>
  </si>
  <si>
    <t>Thirteenth China-ASEAN Defense Ministers' Informal Meeting (virtual); Cambodian Deputy Prime Minister and Defense Minister General Tea Banh</t>
  </si>
  <si>
    <t>http://english.chinamil.com.cn/view/2022-06/22/content_10165610.htm; http://www.news.cn/2021-11/22/c_1128087629.htm</t>
  </si>
  <si>
    <t>CH-ASEAN partnership upgraded in November 2021 to comprehensive strategic partnership</t>
  </si>
  <si>
    <t>19th Shangri-La</t>
  </si>
  <si>
    <t>https://www.iiss.org/events/shangri-la-dialogue/shangri-la-dialogue-2022; http://english.chinamil.com.cn/view/2022-06/10/content_10162189.htm ; https://www.defense.gov/News/News-Stories/Article/Article/3058994/austin-meets-with-chinese-counterpart-in-singapore/.</t>
  </si>
  <si>
    <t xml:space="preserve">Zhang Youxia </t>
  </si>
  <si>
    <t>Chief of Army Staff General Qamar Javed Bajwa  in Qingdao</t>
  </si>
  <si>
    <t>http://english.chinamil.com.cn/view/2022-06/12/content_10162474.htm ; https://ispr.gov.pk/press-release-detail.php?id=6407 ; http://www.mod.gov.cn/topnews/2022-06/12/content_4912763.htm</t>
  </si>
  <si>
    <t>Prime Minister Lee Hsien Loong and Defense Minister Ng Eng Hen</t>
  </si>
  <si>
    <t>http://english.chinamil.com.cn/view/2022-06/10/content_10162190.htm ; https://www.mindef.gov.sg/web/portal/mindef/news-and-events/latest-releases/article-detail/2022/June/09jun22_nr2; https://www.mindef.gov.sg/web/portal/mindef/news-and-events/latest-releases/article-detail/2022/June/10jun22_nr4</t>
  </si>
  <si>
    <t>BL visit in conjunction with Shangri-la Dialogue</t>
  </si>
  <si>
    <t>https://www.iiss.org/events/shangri-la-dialogue/shangri-la-dialogue-2022; http://english.chinamil.com.cn/view/2022-06/10/content_10162189.htm ; https://www.defense.gov/News/News-Stories/Article/Article/3058994/austin-meets-with-chinese-counterpart-in-singapore/; http://www.mod.gov.cn/topnews/2022-06/10/content_4912676.htm</t>
  </si>
  <si>
    <t>on margins of shangri-la Dialogue</t>
  </si>
  <si>
    <t>Second China-Africa Defense and Security Forum (virtual)</t>
  </si>
  <si>
    <t xml:space="preserve">second China-Africa Defense and Security Forum; More than 50 ministerial-level leaders and senior-level representatives from the African Union and African countries </t>
  </si>
  <si>
    <t>http://eng.mod.gov.cn/xb/News_213114/TopStories/4916451.html ; http://www.mod.gov.cn/topnews/2022-07/25/content_4916530.htm</t>
  </si>
  <si>
    <t>Peace Train 2022</t>
  </si>
  <si>
    <t>http://english.chinamil.com.cn/view/2022-07/16/content_10171410.htm ; http://english.chinamil.com.cn/view/2022-07/29/content_10174579.htm</t>
  </si>
  <si>
    <t xml:space="preserve">Exercise off Shanghai. Maritime exercise phase include attacking at maritime targets, tactical maneuver, anti-submarine operation, replenishment at sea, reinforcing damaged ships, anti-aircraft and anti-missile operations, etc. guided-missile frigates Xiangtan and Shuozhou , supply ship Qiandaohu, and one submarine, one early warning aircraft, two fighter jets and one helicopter. Pakistan Navy sent the Frigate Taimur </t>
  </si>
  <si>
    <t>http://eng.mod.gov.cn/news/2022-07/10/content_4915287.htm ; https://www.81.cn/jfjbmap/content/2022-07/11/content_319532.htm</t>
  </si>
  <si>
    <t>http://english.chinamil.com.cn/view/2022-07/08/content_10169690.htm ; https://www.jcs.mil/Media/News/News-Display/Article/3087255/readout-of-chairman-of-the-joint-chiefs-of-staff-gen-mark-a-milleys-video-telec//</t>
  </si>
  <si>
    <t xml:space="preserve">Deputy PM and MINDEF General Tea Banh </t>
  </si>
  <si>
    <t>http://english.chinamil.com.cn/view/2022-08/15/content_10178351.htm ; http://www.mod.gov.cn/topnews/2022-08/15/content_4918333.htm</t>
  </si>
  <si>
    <t>International Army Games 2022</t>
  </si>
  <si>
    <t>co-hosted by 12 countries including China, Russia and Iran, attracting more than 270 military teams from 37 countries</t>
  </si>
  <si>
    <t xml:space="preserve">http://eng.mod.gov.cn/news/2022-08/13/content_4918107.htm ; http://eng.mod.gov.cn/news/2022-08/15/content_4918300.htm ; http://eng.mod.gov.cn/news/2022-08/15/content_4918346.htm; http://eng.mod.gov.cn/news/2022-08/16/content_4918373.htm ; </t>
  </si>
  <si>
    <t>CODED as Russia (main host) and Army since most activities are army and none are joint</t>
  </si>
  <si>
    <t>http://english.chinamil.com.cn/view/2022-08/16/content_10178641.htm</t>
  </si>
  <si>
    <t>19th meeting of the SCO Ministers of Defense in Uzbekistan; PRC MINDEF attended virtually</t>
  </si>
  <si>
    <t>http://eng.mod.gov.cn/xb/News_213114/TopStories/4919270.html; http://www.mod.gov.cn/topnews/2022-08/16/content_4918380.htm?yikikata=df5f3a83-8182ecd0378a8f8e31cc4b495d56d562</t>
  </si>
  <si>
    <t>Chang Dingqiu</t>
  </si>
  <si>
    <t>Royal Thai Air Force Commander Air Chief Marshal Napadej Dhupatemiya</t>
  </si>
  <si>
    <t>http://english.chinamil.com.cn/view/2022-08/09/content_10177081.htm ; http://mod.gov.cn/topnews/2022-08/09/content_4917746.htm</t>
  </si>
  <si>
    <t>Falcon Strike 2022</t>
  </si>
  <si>
    <t>At Udorn AFB Thailand, PLAAF sent fighter jets, fighter-bombers and airborne early warning (AEW) aircraft, and the Royal Thai Air Force will send its fighter jets and AEW aircraft</t>
  </si>
  <si>
    <t xml:space="preserve">http://english.chinamil.com.cn/view/2022-08/12/content_10177822.htm ; https://www.bangkokpost.com/thailand/general/2368535/rtaf-launches-falcon-strike-2022 ; </t>
  </si>
  <si>
    <t>Chief of Army Staff General Qamar Javed Bajwa  in Xi'an</t>
  </si>
  <si>
    <t>Vostok 2022</t>
  </si>
  <si>
    <t>Army, navy and air force units from the PLA Northern Theater Command, with more than 2,000 members, as well as more than 300 vehicles and equipment of various types, 21 fixed-wing aircraft and helicopters, and three ships; Also taking part: Azerbaijan, Algeria, Armenia, Belarus, China, India, Kazakhstan, Laos, Mongolia, Nicaragua, Syria and Tajikistan, the Defence Ministry said.  Exercise was smaller than in years past</t>
  </si>
  <si>
    <t>http://english.chinamil.com.cn/view/2022-09/01/content_10182185.htm; http://www.mod.gov.cn/topnews/2022-08/15/content_4918333.htm; https://www.81.cn/jfjbmap/content/2022-08/12/content_321785.htm; https://www.81.cn/jfjbmap/content/2022-08/14/content_321905.htm; https://www.81.cn/jfjbmap/content/2022-09/04/content_323410.htm https://www.81.cn/jfjbmap/content/2022-08/13/content_321864.htm</t>
  </si>
  <si>
    <t>Destroyer Nanchang (PN 101) [南昌舰], Frigate Yancheng (PN 546) [盐城舰], and the Comprehensive Resupply Ship Dongpinghu (PN 902) [东平湖舰]. The Russian Navy sent five ships in total, namely the frigate Marshal Shaposhnikov (PN 543), the replenishment ship Pechenga (PN unknown), the Russian Navy corvettes Sovershennyy (PN 333), Gromkiy (PN 335) and Hero of the Russian Federation Aldar Tsydenzhapov (PN 339) sighted near Alaska by USCG cutter</t>
  </si>
  <si>
    <t>https://tass.com/defense/1512075; https://apnews.com/article/russia-ukraine-china-alaska-honolulu-coast-guard-54638cccc30d5a0f8879022f493a6302</t>
  </si>
  <si>
    <t xml:space="preserve"> joint maritime cruise; included because not a CBM.</t>
  </si>
  <si>
    <t>Yuan Huazhi</t>
  </si>
  <si>
    <t>PLAN PC</t>
  </si>
  <si>
    <t xml:space="preserve">Vietnamese Navy Political Commissar Nguyen Van Bong </t>
  </si>
  <si>
    <t xml:space="preserve">http://english.chinamil.com.cn/view/2022-09/29/content_10188309.htm </t>
  </si>
  <si>
    <t xml:space="preserve">Wang Chunning </t>
  </si>
  <si>
    <t>PAP Commander</t>
  </si>
  <si>
    <t>Great Wall 2022 Counterterrorism Forum; 170 representatives from 30 countries, including China, Russia, Pakistan, Brazil, and Italy</t>
  </si>
  <si>
    <t>http://eng.mod.gov.cn/news/2022-08/31/content_4919940.htm; http://www.news.cn/2022-08/31/c_1128965483.htm</t>
  </si>
  <si>
    <t>PAP CDR gave speech; attendees includes "leaders of armed police" from other countries.</t>
  </si>
  <si>
    <t xml:space="preserve">Jia Zhigang </t>
  </si>
  <si>
    <t>PLAAF Deputy Commander</t>
  </si>
  <si>
    <t>International Military Flight Training Conference 2022 and Zhuhai Forum; 28 Chinese and foreign representatives (21 of whom were from foreign countries) spoke on the conference’s main topic of “Talented Personnel, Innovation, Cooperation, and Development” , both in-person and virtually</t>
  </si>
  <si>
    <t xml:space="preserve">http://eng.mod.gov.cn/news/2022-11/07/content_4925376.htm;  https://news.cgtn.com/news/2022-11-10/Intl-Military-Flight-Training-Conference-held-in-Guangdong-Province-1eQ9ViotgUo/index.html; http://www.news.cn/politics/2022-11/06/c_1129106293.htm; https://www.81.cn/jfjbmap/content/2022-11/07/content_327244.htm; </t>
  </si>
  <si>
    <t>PLAAF Deputy CDR gave speech; not clear if attendees are on that level but they have been in the past. Hybrid event</t>
  </si>
  <si>
    <t>MINDEF Sergey Shoigu</t>
  </si>
  <si>
    <t xml:space="preserve">http://eng.mod.gov.cn/news/2022-10/27/content_4924562.htm </t>
  </si>
  <si>
    <t>Liu Wenqi</t>
  </si>
  <si>
    <t>Commander, Northern TC Air Force</t>
  </si>
  <si>
    <t>Senegal AF Commander; Africa Airforce Forum</t>
  </si>
  <si>
    <t xml:space="preserve">https://airforceafrica.com/#overview; http://eng.mod.gov.cn/news/2022-10/27/content_4924560.htm </t>
  </si>
  <si>
    <t>Participate in Africa Airforce Forum; Coded as Senegal because they are the host</t>
  </si>
  <si>
    <t>http://eng.mod.gov.cn/news/2022-11/19/content_4926527.htm 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http://eng.mod.gov.cn/news/2022-11/23/content_4926805.htm</t>
  </si>
  <si>
    <t xml:space="preserve">PM Hun Sen and Defense Minister General Tea Banh </t>
  </si>
  <si>
    <t>http://eng.mod.gov.cn/news/2022-11/21/content_4926578.htm</t>
  </si>
  <si>
    <t>BL visit in conjunction with ADMM+ meeting in Cambodia</t>
  </si>
  <si>
    <t>Peace Ark visit to provide medical services</t>
  </si>
  <si>
    <t xml:space="preserve">http://eng.mod.gov.cn/news/2022-11/03/content_4925044.htm ; http://mod.gov.cn/topnews/2022-11/01/content_4924827.htm; http://www.news.cn/2022-11/10/c_1129118962.htm; http://english.chinamil.com.cn/view/2022-11/13/content_10198915.htm </t>
  </si>
  <si>
    <t>Defense Minister Prabowo Subianto  in Xi'an</t>
  </si>
  <si>
    <t>http://eng.mod.gov.cn/news/2022-11/18/content_4926418.htm</t>
  </si>
  <si>
    <t>Wang Xiubin</t>
  </si>
  <si>
    <t>Southern TC Commander</t>
  </si>
  <si>
    <t>Deputy Minister of National Defense and Chief of the General Staff Lieutenant General Khamlieng Outhakaysone,</t>
  </si>
  <si>
    <t xml:space="preserve">http://english.chinamil.com.cn/view/2022-11/29/content_10202150.htm </t>
  </si>
  <si>
    <t>Included because of the positions of those involved.</t>
  </si>
  <si>
    <t xml:space="preserve">Minister of Defense Saikhanbayar Gursed </t>
  </si>
  <si>
    <t xml:space="preserve">http://eng.mod.gov.cn/news/2022-11/19/content_4926508.htm </t>
  </si>
  <si>
    <t>"Joint strategic air patrol" over Sea of Japan, the East China Sea and the west Pacific Ocean --PLAAF H-6K strategic bombers, YU-20 tanker aircraft and J-16 fighter jets (which refuel from YU-20); Russian Tu-95MS strategic missile-carrying bomber. Planes land on airfields in each other's territory. First time they conduct two air patrols in one year.</t>
  </si>
  <si>
    <t xml:space="preserve">http://eng.mod.gov.cn/news/2022-11/30/content_4927318.htm </t>
  </si>
  <si>
    <t>CODED as joint patrol; INCLUDED because of external audience.</t>
  </si>
  <si>
    <t>Defense Minister Ng Eng Hen in Xi'an</t>
  </si>
  <si>
    <t xml:space="preserve"> http://eng.mod.gov.cn/news/2022-11/18/content_4926382.htm</t>
  </si>
  <si>
    <t xml:space="preserve">http://eng.mod.gov.cn/news/2022-11/22/content_4926695.htm </t>
  </si>
  <si>
    <t>Changsha DDG to Bangladesh to Participate in International Fleet Review</t>
  </si>
  <si>
    <t xml:space="preserve">http://eng.mod.gov.cn/news/2022-11/26/content_4927059.htm </t>
  </si>
  <si>
    <t>Coded as port call (friendly visit) because a fleet review isn't substantive enough to be called an exercise.</t>
  </si>
  <si>
    <t xml:space="preserve">Fifth China-Latin American and the Caribbean States Defense Forum </t>
  </si>
  <si>
    <t xml:space="preserve">http://english.chinamil.com.cn/view/2022-12/13/content_10205508.htm </t>
  </si>
  <si>
    <t>Virtual Meeting of China-LAC Defense Forum.  Coded as CELAC sponsored to match previous iterations.</t>
  </si>
  <si>
    <t>Xiangshan Forum (Virtual)</t>
  </si>
  <si>
    <t xml:space="preserve">http://english.chinamil.com.cn/view/2022-12/03/content_10203069.htm </t>
  </si>
  <si>
    <t>Joint Sea 2022</t>
  </si>
  <si>
    <t>In the East China Sea on December 21-27.  Operations on blockade and control, visit, board, search and seizure (VBSS), air defense, rescue, ASW, destroyers Baotou and Jinan, frigates Binzhou and Yancheng, supply ship Gaoyouhu, as well as submarine, fixed-wing early warning aircraft and anti-submarine patrol aircraft</t>
  </si>
  <si>
    <t xml:space="preserve">http://english.chinamil.com.cn/view/2022-12/21/content_10207012.htm ; http://eng.mod.gov.cn/news/2022-12/27/content_4929309.htm </t>
  </si>
  <si>
    <t>Coded as combat because of the combat disciplines involved.  Take another look at earlier exercises in light of Taffer research?</t>
  </si>
  <si>
    <t>Joint SCO-CIS Defense Ministers meeting; PRC MINDEF attended virtually</t>
  </si>
  <si>
    <t xml:space="preserve">http://english.chinamil.com.cn/view/2022-12/10/content_10204633.htm </t>
  </si>
  <si>
    <t>Komodo 2023</t>
  </si>
  <si>
    <t>Maritime. Southern TCN’s destroyer Zhanjiang and frigate Xuchang (Hull 536); more than 40 ships from Indonesia, the US, Russia, Singapore, Pakistan, and other countries; exercise included a fleet review, onshore activities (city parade, maritime exhibition, civil medical
service, civil engineering program, culinary demonstrations, fun diving and sports exchanges, and
lectures), and joint maritime drills (search and rescue, maritime interception, damage control, and
aerial photography), etc</t>
  </si>
  <si>
    <t>Li Jiayao, ed., “Chinese naval ships arrive for Komodo 2023 multilateral naval exercise,” China Military Online, June 5, 2023, http://eng.mod.gov.cn/xb/News_213114/TopStories/16228883.html. Li Weichao, ed., “Chinese sailors
participate in exchange activities of 2023 multilateral naval exercise Komodo,” China Military Online, June 8, 2023, http://eng.chinamil.com.cn/CHINA_209163/Exchanges/News_209188/16229816.html. Li Jiayao, ed., “Chinese
naval ships returns from 2023 multilateral naval exercise Komodo,” China Military Online, June 15, 2023,
http://eng.mod.gov.cn/xb/News_213114/TopStories/16231506.html.</t>
  </si>
  <si>
    <t>Fourth in series; MOOTW based on description of activities, which are mostly HA/DR</t>
  </si>
  <si>
    <t>Count of Activity Category</t>
  </si>
  <si>
    <t>Grand Total</t>
  </si>
  <si>
    <t>PKO drill by Chinese and Bangldeshi peacekeepers in South Sudan.</t>
  </si>
  <si>
    <t>http://eng.mod.gov.cn/news/2018-01/17/content_4804720.htm; http://www.81.cn/jwgz/2018-01/15/content_7909624.htm</t>
  </si>
  <si>
    <t>Update to capture PKO nature of exercise and recode as army only</t>
  </si>
  <si>
    <t>`</t>
  </si>
  <si>
    <t>Deputy Director, JSD</t>
  </si>
  <si>
    <t>diplomacy and defense talks; original entry miscoded as hosted visit</t>
  </si>
  <si>
    <t>Port Call - Replenishment/Overhaul</t>
  </si>
  <si>
    <t>China’s 21st peacekeeping detachment to the Democratic Republic of Congo with PK PKO infantry battallion</t>
  </si>
  <si>
    <t>http://tv.cntv.cn/video/C10334/faee48e59fce48279d8c7bf8d415cb2c</t>
  </si>
  <si>
    <t>http://www.mod.gov.cn/action/2018-05/08/content_4812778.htm</t>
  </si>
  <si>
    <t>CPP20020603000088; http://english.chinamil.com.cn/view/2018-05/09/content_8027376.htm</t>
  </si>
  <si>
    <t xml:space="preserve">Military Exercise </t>
  </si>
  <si>
    <t>ships will carry out drills of ship formation movement, naval gun firing, and maritime warning and patrol; one ship each from Cameroon, Ghana, Togo, France, Portugal and China</t>
  </si>
  <si>
    <t>Colonel General Sergei RUDSKOY, Chief of the Main Operational Directorate of the Russian General Staff</t>
  </si>
  <si>
    <t>LGEN HE Lei</t>
  </si>
  <si>
    <t>Deputy Commandant AMS</t>
  </si>
  <si>
    <t>Shangri-la dialogue and 15th ASEAN Regional Forum Security Policy Conference</t>
  </si>
  <si>
    <t>Major General; Director CMC Office of International Mil Cooperation</t>
  </si>
  <si>
    <t>http://www.mod.gov.cn/shouye/2018-06/26/content_4817721.htm</t>
  </si>
  <si>
    <t>first China-Africa Defense and Security Forum; Senior military officials from 50 African countries and the African Union (AU); coded as Sierra Leone because that was counterpart from AU</t>
  </si>
  <si>
    <t>CCMD</t>
  </si>
  <si>
    <t>OTHER</t>
  </si>
  <si>
    <t>PLA Military Diplomatic Interactions by US COCOM AOR, 2003-2018</t>
  </si>
  <si>
    <t>Senior-Level Meetings</t>
  </si>
  <si>
    <t xml:space="preserve">Military Exercises </t>
  </si>
  <si>
    <t>Naval Port Calls</t>
  </si>
  <si>
    <t>PLA Military Diplomatic Interactions by US COCOM AOR, 2003-2019</t>
  </si>
  <si>
    <t>Countries</t>
  </si>
  <si>
    <t>TOTAL</t>
  </si>
  <si>
    <t>%</t>
  </si>
  <si>
    <t>Total PLA Senior-Level Visits by US COCOM AOR, 2003-2017</t>
  </si>
  <si>
    <t>Visits Abroad</t>
  </si>
  <si>
    <t>Visits Hosted</t>
  </si>
  <si>
    <t>Total PLA Senior-Level Visits by US COCOM AOR, 2003-2019</t>
  </si>
  <si>
    <t>Total PLA Naval Port Calls by US COCOM AOR, 1985-2018</t>
  </si>
  <si>
    <t>ETF Port Calls</t>
  </si>
  <si>
    <t>Non-ETF</t>
  </si>
  <si>
    <t>(Multiple Items)</t>
  </si>
  <si>
    <t>US COCOM AOR</t>
  </si>
  <si>
    <t>Partner Countries</t>
  </si>
  <si>
    <t>Column Labels</t>
  </si>
  <si>
    <t>Row Labels</t>
  </si>
  <si>
    <t>Total PLA Military Diplomatic Interactions, 2003-2018 (PACOM)</t>
  </si>
  <si>
    <t>Total PLA Military Diplomatic Interactions, 2003-2019 (PACOM)</t>
  </si>
  <si>
    <t>PLA International Military Exercises 2003-2018 (PACOM &amp; Global)</t>
  </si>
  <si>
    <t>Group1</t>
  </si>
  <si>
    <t>PLA International Military Exercises by Function, 2003-2018 (AFRICOM &amp; Global)</t>
  </si>
  <si>
    <t>(All)</t>
  </si>
  <si>
    <t xml:space="preserve">Combat Support </t>
  </si>
  <si>
    <t>Global</t>
  </si>
  <si>
    <t>PLA International Military Exercises by Function, 2003-2019 (AFRICOM &amp; Global)</t>
  </si>
  <si>
    <t>Largest Differentials Between Meetings Hosted in China and Abroad 2017 (PACOM)</t>
  </si>
  <si>
    <t>Differences</t>
  </si>
  <si>
    <t xml:space="preserve">Count of Visit Type </t>
  </si>
  <si>
    <t>Total PLA Military Diplomatic Interactions, 2003-2019 (AFRICOM)</t>
  </si>
  <si>
    <t>Total PLA Senior-level Visits, 2003-2018 (AFRICOM)</t>
  </si>
  <si>
    <t>Total PLA Senior-level Visits, 2003-2019 (AFRICOM)</t>
  </si>
  <si>
    <t>PLA International Military Exercises 2003-2018 (AFRICOM &amp; Global)</t>
  </si>
  <si>
    <t>Total PLA Military Diplomatic Interactions, 2003-2018 (SOUTHCOM)</t>
  </si>
  <si>
    <t>Total PLA Military Diplomatic Interactions, 2003-2019 (SOUTHCOM)</t>
  </si>
  <si>
    <t>Total PLA Senior-level Visits, 2003-2018 (SOUTHCOM)</t>
  </si>
  <si>
    <t>Total PLA Senior-level Visits, 2003-2019 (SOUTHCOM)</t>
  </si>
  <si>
    <t>PLA International Military Exercises 2003-2018 (SOUTHCOM &amp; Global)</t>
  </si>
  <si>
    <t>PLA International Military Exercises by Function, 2003-2018 (SOUTHCOM &amp; Global)</t>
  </si>
  <si>
    <t>PLA International Military Exercises by Function, 2003-2019 (SOUTHCOM &amp; Global)</t>
  </si>
  <si>
    <t>Total PLA Military Diplomatic Interactions, 2003-2018 (CENTCOM)</t>
  </si>
  <si>
    <t>Total PLA Military Diplomatic Interactions, 2003-2019 (CENTCOM)</t>
  </si>
  <si>
    <t>Total PLA Senior-level Visits, 2003-2018 (CENTCOM)</t>
  </si>
  <si>
    <t>Total PLA Senior-level Visits, 2003-2019 (CENTCOM)</t>
  </si>
  <si>
    <t>PLA International Military Exercises 2003-2018 (CENTCOM &amp; Global)</t>
  </si>
  <si>
    <t>PLA International Military Exercises by Function, 2003-2018 (CENTCOM &amp; Global)</t>
  </si>
  <si>
    <t>PLA International Military Exercises by Function, 2003-2019 (CENTCOM &amp; Global)</t>
  </si>
  <si>
    <t>Total PLA Military Diplomatic Interactions, 2003-2018 (EUCOM)</t>
  </si>
  <si>
    <t>Total PLA Military Diplomatic Interactions, 2003-2019 (EUCOM)</t>
  </si>
  <si>
    <t>Total PLA Senior-level Visits, 2003-2018 (EUCOM)</t>
  </si>
  <si>
    <t>Total PLA Senior-level Visits, 2003-2019 (EUCOM)</t>
  </si>
  <si>
    <t>PLA International Military Exercises 2003-2018 (EUCOM &amp; Global)</t>
  </si>
  <si>
    <t>PLA International Military Exercises by Function, 2003-2018 (EUCOM &amp; Global)</t>
  </si>
  <si>
    <t>PLA International Military Exercises by Function, 2003-2019 (EUCOM &amp; Global)</t>
  </si>
  <si>
    <t>Total PLA Military Diplomatic Interactions, 2003-2018 (NORTHCOM)</t>
  </si>
  <si>
    <t>Total PLA Military Diplomatic Interactions, 2003-2019 (NORTHCOM)</t>
  </si>
  <si>
    <t>Total PLA Senior-level Visits, 2003-2018 (NORTHCOM)</t>
  </si>
  <si>
    <t>Total PLA Senior-level Visits, 2003-2019 (NORTHCOM)</t>
  </si>
  <si>
    <t>PLA International Military Exercises 2003-2018 (NORTHCOM &amp; Global)</t>
  </si>
  <si>
    <t>PLA International Military Exercises by Function, 2003-2018 (NORTHCOM &amp; Global)</t>
  </si>
  <si>
    <t>PLA International Military Exercises by Function, 2003-2019 (NORTHCOM &amp; Global)</t>
  </si>
  <si>
    <t>2002-2019 - No Marginals</t>
  </si>
  <si>
    <t>2003-2018</t>
  </si>
  <si>
    <t>2003-2019</t>
  </si>
  <si>
    <t>Column1</t>
  </si>
  <si>
    <t>Column2</t>
  </si>
  <si>
    <t>Largest Differentials Between Meetings Hosted in China and Abroad 2018</t>
  </si>
  <si>
    <t>UNSC</t>
  </si>
  <si>
    <t>Largest Differentials Between Meetings Hosted in China and Abroad 2019</t>
  </si>
  <si>
    <t>Largest Differentials Between Meetings Hosted in China and Abroad 2002-2019</t>
  </si>
  <si>
    <t>Sum of Position Weight</t>
  </si>
  <si>
    <t>Table 3. The PLA’s Top 10 Most Frequent Military Diplomatic Partners, 2003–2018</t>
  </si>
  <si>
    <t>Country</t>
  </si>
  <si>
    <t xml:space="preserve">Brunei </t>
  </si>
  <si>
    <t>Count of China's First Time Military Exercise Counterparts</t>
  </si>
  <si>
    <t>Min of Year</t>
  </si>
  <si>
    <t>Count</t>
  </si>
  <si>
    <t>Count of Activity Type</t>
  </si>
  <si>
    <t>(blank)</t>
  </si>
  <si>
    <t xml:space="preserve">Defense Minister Begench Gundogdyev </t>
  </si>
  <si>
    <t>http://eng.mod.gov.cn/news/2023-01/06/content_4930109.htm</t>
  </si>
  <si>
    <t>Deputy Commander-in-Chief, RCAF</t>
  </si>
  <si>
    <t>http://eng.chinamil.com.cn/CHINA_209163/Exchanges/News_209188/16200864.html</t>
  </si>
  <si>
    <t>AMAN-23</t>
  </si>
  <si>
    <t>http://eng.chinamil.com.cn/CHINA_209163/Exchanges/News_209188/16201722.html</t>
  </si>
  <si>
    <t>http://eng.mod.gov.cn/xb/News_213114/TopStories/16203349.html</t>
  </si>
  <si>
    <t>Divided into harbor and sea phases, involving warships, aircraft, special operations forces; 50+ observer countries; Nanning guided-missile destroyer</t>
  </si>
  <si>
    <t>Second Russia-China-South Africa exercise; 42nd Chinese naval escort; Guided missile destroyer Huainan, frigate Rizhao and comprehensive supply ship Kekexilihu; joint escort, boarding and inspection, and CT ops</t>
  </si>
  <si>
    <t>Cobra Gold 2023</t>
  </si>
  <si>
    <t xml:space="preserve">Southern Theater Command dispatched for tabletop HADR exercises, high-level forum and live drills  </t>
  </si>
  <si>
    <t>http://eng.mod.gov.cn/xb/News_213114/TopStories/16203770.html</t>
  </si>
  <si>
    <t>Li Shangfu</t>
  </si>
  <si>
    <t>Chief Army Staff General Asim Munir in Beijing</t>
  </si>
  <si>
    <t>http://eng.mod.gov.cn/xb/CMCDEPARTMENTS/News_213079/16220268.html</t>
  </si>
  <si>
    <t>Chief of Naval Staff in Beijing</t>
  </si>
  <si>
    <t xml:space="preserve">9th military medical expert team sent for medical aid </t>
  </si>
  <si>
    <t>http://eng.mod.gov.cn/xb/News_213114/TopStories/16224309.html</t>
  </si>
  <si>
    <t xml:space="preserve"> Friendship Shield 2023</t>
  </si>
  <si>
    <t>scenario of joint attacks on transnational armed criminal groups based in jungle mountains; includes live arms firing, comprehensive individual training, detachment tactics and combat service support</t>
  </si>
  <si>
    <t>http://eng.mod.gov.cn/xb/News_213114/TopStories/16223920.html</t>
  </si>
  <si>
    <t>Defense Minister Yasukazu Hamada</t>
  </si>
  <si>
    <t>Defense Minister Jean-Pierre Bemba</t>
  </si>
  <si>
    <t>http://eng.chinamil.com.cn/CHINA_209163/Exchanges/News_209188/16228975.html</t>
  </si>
  <si>
    <t>http://eng.chinamil.com.cn/CHINA_209163/Exchanges/News_209188/16227442.html</t>
  </si>
  <si>
    <t>http://eng.mod.gov.cn/xb/News_213114/TopStories/16226739.html</t>
  </si>
  <si>
    <t>Joint Aerial Strategic Patrol 2022 (II)</t>
  </si>
  <si>
    <t xml:space="preserve">Joint Aerial Strategic Patrol 2023 </t>
  </si>
  <si>
    <t>"joint strategic air patrols" over the Sea of Japan and the East China Sea</t>
  </si>
  <si>
    <t>http://eng.mod.gov.cn/xb/News_213114/TopStories/16229301.html</t>
  </si>
  <si>
    <t>First Dep. Defense Minister Valery Gerasimov</t>
  </si>
  <si>
    <t>http://eng.mod.gov.cn/xb/News_213114/TopStories/16230169.html</t>
  </si>
  <si>
    <t>Commander of Royal Thai Army Gen. Narongpan Jitaewtae</t>
  </si>
  <si>
    <t>http://eng.chinamil.com.cn/CHINA_209163/Exchanges/News_209188/16231164.html</t>
  </si>
  <si>
    <t>Chair of JCS Sahir Shamshad Mirza</t>
  </si>
  <si>
    <t>http://eng.chinamil.com.cn/CHINA_209163/Exchanges/News_209188/16232555.html</t>
  </si>
  <si>
    <t>Chief of National Defence Force Gen. Rudzani Maphwanya</t>
  </si>
  <si>
    <t>http://eng.mod.gov.cn/xb/News_213114/TopStories/16233085.html</t>
  </si>
  <si>
    <t>Defense Minister Phan Van Giang</t>
  </si>
  <si>
    <t>Commander-in-Chief of Russian Navy Adm. Nikolay Yevmenov</t>
  </si>
  <si>
    <t>Falcon Strike 2023</t>
  </si>
  <si>
    <t>PLAF fighter jets, bombers, AEW aircraft, surface-to-air missile fire unit; exercises include air support, joint air defense, large-scale deployment</t>
  </si>
  <si>
    <t>http://eng.mod.gov.cn/xb/News_213114/TopStories/16236106.html</t>
  </si>
  <si>
    <t>also visited Kiribati, Vanuatu, Solomon Islands and Timor Leste</t>
  </si>
  <si>
    <t>http://eng.chinamil.com.cn/CHINA_209163/Exchanges/News_209188/16236364.html</t>
  </si>
  <si>
    <t>http://eng.chinamil.com.cn/CHINA_209163/Exchanges/News_209188/16236373.html</t>
  </si>
  <si>
    <t>http://eng.chinamil.com.cn/CHINA_209163/Exchanges/News_209188/16238559.html</t>
  </si>
  <si>
    <t>Northern/Interaction 2023</t>
  </si>
  <si>
    <t>http://eng.mod.gov.cn/xb/News_213114/TopStories/16238784.html</t>
  </si>
  <si>
    <t>Kiribati</t>
  </si>
  <si>
    <t>1st visit</t>
  </si>
  <si>
    <t>http://eng.chinamil.com.cn/CHINA_209163/Exchanges/News_209188/16240091.html</t>
  </si>
  <si>
    <t>Chief of Air Staff Zaheer Ahmed Baber Sidhu</t>
  </si>
  <si>
    <t>http://eng.mod.gov.cn/xb/News_213114/TopStories/16241200.html</t>
  </si>
  <si>
    <t>Defense Minister Sergei Shoigu</t>
  </si>
  <si>
    <t>President Lukashenko</t>
  </si>
  <si>
    <t>http://eng.mod.gov.cn/xb/News_213114/TopStories/16247692.html</t>
  </si>
  <si>
    <t>Air Force Commander Ibrahim Nasser Mohamed Al-Alawi</t>
  </si>
  <si>
    <t>Shaheen (Eagle)-X</t>
  </si>
  <si>
    <t>realistic force-on-force combat, joint air defense, countermeasures, seizure and control ops</t>
  </si>
  <si>
    <t>http://eng.mod.gov.cn/xb/News_213114/TopStories/16248628.html</t>
  </si>
  <si>
    <t>Blue Strike 2023</t>
  </si>
  <si>
    <t>Marine corps: urban warfare, light weapons shooting, sniping tactics, armored tactics, chemical defense, battlefield first aid, wilderness survival, HADR; Navy: manueuvering drills, HADR, anti-sub ops; dock landing ship Simingshan, guided-missile frigate Anyang, supply ship Chaohu</t>
  </si>
  <si>
    <t>http://eng.chinamil.com.cn/CHINA_209163/Exchanges/News_209188/16249453.html</t>
  </si>
  <si>
    <t>http://eng.mod.gov.cn/xb/News_213114/TopStories/16250002.html</t>
  </si>
  <si>
    <t>Cooperation 2023</t>
  </si>
  <si>
    <t>74th group army; sniping tactics, hand-to-hand combat, rappelling and fast-roping, and hostage rescue</t>
  </si>
  <si>
    <t>http://eng.chinamil.com.cn/CHINA_209163/Exchanges/News_209188/16250353.html</t>
  </si>
  <si>
    <t>Pure Homeland 2023</t>
  </si>
  <si>
    <t>75th group army; joint mine-clearing operation</t>
  </si>
  <si>
    <t>http://eng.mod.gov.cn/xb/News_213114/TopStories/16250777.html</t>
  </si>
  <si>
    <t>http://eng.chinamil.com.cn/CHINA_209163/Exchanges/News_209188/16253531.html</t>
  </si>
  <si>
    <t>http://eng.chinamil.com.cn/CHINA_209163/Exchanges/News_209188/16257319.html</t>
  </si>
  <si>
    <t>Blue Sword 2023</t>
  </si>
  <si>
    <t>as multiple arms shooting, fast roping from helicopter, boat driving, and underwater explosive ordnance search and disposal; the joint rescue of hijacked merchant ships by the special operations troops of the two navies.</t>
  </si>
  <si>
    <t>http://eng.chinamil.com.cn/CHINA_209163/Exchanges/News_209188/16257598.html</t>
  </si>
  <si>
    <t>Golden Dragon 2023</t>
  </si>
  <si>
    <t>HADR after 6.4-magnitude earthquake; PLAF sent 2 Y-20 transport aircraft</t>
  </si>
  <si>
    <t>http://eng.mod.gov.cn/xb/News_213114/TopStories/16259037.html</t>
  </si>
  <si>
    <t>Also some joint training on formation maneuver, maritime comms; guided-missile destroyer Zibo and guided-missile frigate Jingzhou</t>
  </si>
  <si>
    <t>http://eng.chinamil.com.cn/CHINA_209163/Exchanges/News_209188/16259030.html</t>
  </si>
  <si>
    <t>Defense Minister Milos Vucevic</t>
  </si>
  <si>
    <t>http://eng.mod.gov.cn/xb/News_213114/TopStories/16259896.html</t>
  </si>
  <si>
    <t>http://eng.mod.gov.cn/xb/News_213114/TopStories/16261491.html</t>
  </si>
  <si>
    <t>Defense Minister Chansamone Chanyalath; BL at Xiangshan</t>
  </si>
  <si>
    <t>http://eng.chinamil.com.cn/CHINA_209163/Exchanges/News_209188/16262919.html</t>
  </si>
  <si>
    <t>Defense Minister Gursed Saikhanbayar; BL at Xiangshan</t>
  </si>
  <si>
    <t>He Weidong</t>
  </si>
  <si>
    <t>Defense Minister Phan Van Giang; BL at Xiangshan</t>
  </si>
  <si>
    <t>http://eng.chinamil.com.cn/CHINA_209163/Exchanges/News_209188/16262920.html</t>
  </si>
  <si>
    <t>Defense Minister Sergei Shoigu; BL at Xiangshan</t>
  </si>
  <si>
    <t>http://eng.mod.gov.cn/xb/News_213114/TopStories/16263192.html</t>
  </si>
  <si>
    <t>http://eng.chinamil.com.cn/CHINA_209163/Exchanges/News_209188/16263183.html</t>
  </si>
  <si>
    <t>Defense Minister Abubakar; BL at Xiangshan</t>
  </si>
  <si>
    <t>http://eng.mod.gov.cn/xb/News_213114/TopStories/16263744.html</t>
  </si>
  <si>
    <t>Defense Minister Hasanov; BL at Xiangshan</t>
  </si>
  <si>
    <t>Defense Minister Ng Eng Hen; BL at Xiangshan</t>
  </si>
  <si>
    <t>Defense Minister Tea Seiha; BL at Xiangshan</t>
  </si>
  <si>
    <t>Defense Minister Daki; BL at Xiangshan</t>
  </si>
  <si>
    <t>Defense Minister Muchinguri; BL at Xiangshan</t>
  </si>
  <si>
    <t>http://eng.mod.gov.cn/xb/News_213114/TopStories/16263732.html</t>
  </si>
  <si>
    <t>Defense Minister Mathoera; BL at Xiangshan</t>
  </si>
  <si>
    <t>http://eng.mod.gov.cn/xb/News_213114/TopStories/16264027.html</t>
  </si>
  <si>
    <t>ships conducted a joint maritime exercise</t>
  </si>
  <si>
    <t>included a joint maritime exercise w/ search and rescue and formation maneuver</t>
  </si>
  <si>
    <t>http://eng.chinamil.com.cn/CHINA_209163/Exchanges/News_209188/16265210.html</t>
  </si>
  <si>
    <t>Border Defense Cooperation 2023</t>
  </si>
  <si>
    <t xml:space="preserve">drill in XJ border region; combat cross-border smuggling and terrorist activities </t>
  </si>
  <si>
    <t>http://eng.mod.gov.cn/xb/News_213114/TopStories/16265690.html</t>
  </si>
  <si>
    <t>President Putin in Moscow</t>
  </si>
  <si>
    <t>http://eng.mod.gov.cn/xb/News_213114/TopStories/16265718.html</t>
  </si>
  <si>
    <t>helicopter cross-deck handing, search and rescue, anti-submarine ops</t>
  </si>
  <si>
    <t>http://eng.mod.gov.cn/xb/News_213114/TopStories/16266437.html</t>
  </si>
  <si>
    <t xml:space="preserve">third iteration of the Sea Guardians series </t>
  </si>
  <si>
    <t>more than 200 troops from Army, Navy, and JLSF of Southern Theater Command</t>
  </si>
  <si>
    <t>http://eng.chinamil.com.cn/CHINA_209163/Exchanges/News_209188/16214214.html</t>
  </si>
  <si>
    <t>http://eng.chinamil.com.cn/CHINA_209163/Exchanges/News_209188/16301449.html</t>
  </si>
  <si>
    <t>Chief of Political Directorate of Armed Forces</t>
  </si>
  <si>
    <t>http://eng.chinamil.com.cn/CHINA_209163/Exchanges/News_209188/16301494.html</t>
  </si>
  <si>
    <t>http://eng.chinamil.com.cn/CHINA_209163/Exchanges/News_209188/16302752.html</t>
  </si>
  <si>
    <t>President Tokayev</t>
  </si>
  <si>
    <t>ETF-44</t>
  </si>
  <si>
    <t>ETF-45</t>
  </si>
  <si>
    <t>ETF-43</t>
  </si>
  <si>
    <t xml:space="preserve">ETF-43 </t>
  </si>
  <si>
    <t xml:space="preserve">DDG Nanning, FFG574 Sanya, AOR887 Weishanhu </t>
  </si>
  <si>
    <t>Defense Minister, BL at SCO</t>
  </si>
  <si>
    <t>Aman Youyi-2023 Peace and Friendship</t>
  </si>
  <si>
    <t>5th iteration &amp; first one held in China, largest number of participating SE Asian countries with exception of Philippines; started as table-top exercise between Malaysia and China in 2014</t>
  </si>
  <si>
    <t xml:space="preserve">Anti-terrorist efforts, safeguarding maritime security with multi-dimensional live drills; Participants: Cambodia, Laos, Malaysia, Thailand, Vietnam </t>
  </si>
  <si>
    <t>http://eng.mod.gov.cn/xb/News_213114/TopStories/16266698.html; https://fulcrum.sg/peace-and-friendship-2023-will-it-reduce-chinas-trust-deficit/</t>
  </si>
  <si>
    <t>joint army and navy training with maritime and air escort, deterrence and expelling, anchorage ground defense; guided missile destroyer Qiqihar in Sea of Japan</t>
  </si>
  <si>
    <t>Golden Dragon 2024</t>
  </si>
  <si>
    <t>http://eng.chinamil.com.cn/CHINA_209163/Exercises/News_209184/16311857.html</t>
  </si>
  <si>
    <t>upgraded diplomatic ties to CSP in 2023</t>
  </si>
  <si>
    <t>Counter-terrorism and humanitarian relief exercises</t>
  </si>
  <si>
    <t>http://eng.mod.gov.cn/xb/News_213114/TopStories/16310576.html</t>
  </si>
  <si>
    <t xml:space="preserve">Deputy PM and Defense Minister </t>
  </si>
  <si>
    <t>Steppe Partner-2024</t>
  </si>
  <si>
    <t>first joint training between armies; combatting illegal armed groups</t>
  </si>
  <si>
    <t>http://eng.mod.gov.cn/xb/News_213114/OverseasOperations/EscortMissions/16301239.html</t>
  </si>
  <si>
    <t>http://eng.mod.gov.cn/xb/News_213114/OverseasOperations/EscortMissions/16301250.html</t>
  </si>
  <si>
    <t>http://eng.mod.gov.cn/xb/News_213114/OverseasOperations/EscortMissions/16302772.html</t>
  </si>
  <si>
    <t>ETF-46</t>
  </si>
  <si>
    <t>http://eng.mod.gov.cn/xb/News_213114/OverseasOperations/EscortMissions/16310300.html</t>
  </si>
  <si>
    <t>http://eng.chinamil.com.cn/CHINA_209163/Exchanges/News_209188/16310270.html</t>
  </si>
  <si>
    <t>https://www.scmp.com/news/china/military/article/3250511/new-chinese-defence-minister-dong-jun-speaks-russian-counterpart</t>
  </si>
  <si>
    <t>http://eng.mod.gov.cn/xb/News_213114/TopStories/16312945.html</t>
  </si>
  <si>
    <t>Prime Minister Lawrence Wong</t>
  </si>
  <si>
    <t>http://eng.mod.gov.cn/xb/News_213114/TopStories/16313030.html</t>
  </si>
  <si>
    <t>Qi Jiguang training ship, Jinggangshan amphibious dock landing ship</t>
  </si>
  <si>
    <t>http://eng.mod.gov.cn/xb/News_213114/TopStories/16310111.html</t>
  </si>
  <si>
    <t>http://eng.chinamil.com.cn/CHINA_209163/TopStories_209189/16313162.html</t>
  </si>
  <si>
    <t>http://eng.chinamil.com.cn/CHINA_209163/Exchanges/News_209188/16304549.html</t>
  </si>
  <si>
    <t>Defense Minister; ML at SCO w/ Tajikistan minister</t>
  </si>
  <si>
    <t>Defense Minister; ML at SCO w/ Uzbekistan minister</t>
  </si>
  <si>
    <t>DDG156 Zibo, FFG532 Jingzhou, AOR886 Qiandaohu</t>
  </si>
  <si>
    <t>DDG118 Urumqi, FFG547 Linyi, AOR902 Dongpinghu</t>
  </si>
  <si>
    <t xml:space="preserve">Nepal </t>
  </si>
  <si>
    <t>http://eng.chinamil.com.cn/CHINA_209163/MOOTW/DisasterRelief/News_209175/16265693.html#:~:text=9%20%2D%2D%20After%20a%20strong,the%20morning%20of%20November%208.</t>
  </si>
  <si>
    <t>HADR after earthquake in western Nepal; Y-20 transport planes</t>
  </si>
  <si>
    <t>Laos Deputy Defense Minister</t>
  </si>
  <si>
    <t>http://eng.chinamil.com.cn/ARMEDFORCES/SouthernTheaterCommand/News_209144/16288559.html</t>
  </si>
  <si>
    <t>4th border defense and freidnship exchange</t>
  </si>
  <si>
    <t>http://eng.chinamil.com.cn/ARMEDFORCES/Navy/News_209162/16269761.html</t>
  </si>
  <si>
    <t>http://eng.mod.gov.cn/xb/News_213114/TopStories/16271267.html</t>
  </si>
  <si>
    <t>https://www.globaltimes.cn/content/809066.shtml</t>
  </si>
  <si>
    <t>https://www.globaltimes.cn/page/202312/1303700.shtml</t>
  </si>
  <si>
    <t xml:space="preserve">DDG162 Nanning, FFG574 Sanya, AOR887 Weishanhu </t>
  </si>
  <si>
    <t>Security Belt 2023</t>
  </si>
  <si>
    <t>hxxp://eng.chinamil.com.cn/CHINA_209163/TopStories_209189/16209537.html</t>
  </si>
  <si>
    <t>with Russia in Gulf of Oman; dispatched guided-missile destroyer CNS Nanning to participate in the
exercise on aerial search, maritime rescue, ship parade, etc.</t>
  </si>
  <si>
    <t>Security Belt 2024</t>
  </si>
  <si>
    <t xml:space="preserve">Chief of Naval Staff  </t>
  </si>
  <si>
    <t>https://www.mindef.gov.sg/web/portal/mindef/news-and-events/latest-releases/article-detail/2023/April/28apr23_nr</t>
  </si>
  <si>
    <t>helicopter cross deck landing, gunnery firing, replenishment-at-sea approaches, search and rescue, simulated minefield transits, ommunication and maneuvring exercises</t>
  </si>
  <si>
    <t>China-Singapore Cooperation 2023</t>
  </si>
  <si>
    <t>Defense Minister Hamada; BL at Shangri-La</t>
  </si>
  <si>
    <t>hxxps://jen.jiji.com/jc/eng?g=eco&amp;k=2023060300538</t>
  </si>
  <si>
    <t>Defense Minister Subianto; BL at Shangri-La</t>
  </si>
  <si>
    <t>hxxps://en.antaranews.com/news/283932/ministers-discuss-improving-indonesia-chinadefense-
cooperation</t>
  </si>
  <si>
    <t>hxxps://www.straitstimes.com/singapore/if-xi-gets-putin-to-sendrussia-
s-troops-home-he-can-broker-peace-ukraine-defence-minister</t>
  </si>
  <si>
    <t>Khaan Quest 2023</t>
  </si>
  <si>
    <t>multinational peacekeeping exercise</t>
  </si>
  <si>
    <t>hxxp://eng.chinamil.com.cn/CHINA_209163/TopStories_209189/16231791.html</t>
  </si>
  <si>
    <t>https://www.globaltimes.cn/page/202403/1308701.shtml</t>
  </si>
  <si>
    <t>https://web.archive.org/web/20230402152636/hxxp://eng.mod.gov.cn/xb/News_213114/TopStories/16213837.html</t>
  </si>
  <si>
    <t>https://web.archive.org/web/20230423044646/http://eng.mod.gov.cn/xb/CMCDEPARTMENTS/News_213079/16218110.html</t>
  </si>
  <si>
    <t>https://web.archive.org/web/20230516080516/hxxp://eng.chinamil.com.cn/CHINA_209163/TopStories_209189/16217124.html</t>
  </si>
  <si>
    <t>https://web.archive.org/web/20230502045105/http://eng.mod.gov.cn/xb/News_213114/TopStories/16220779.html</t>
  </si>
  <si>
    <t>https://web.archive.org/web/20230502045105/http:/eng.mod.gov.cn/xb/News_213114/TopStories/16220779.html</t>
  </si>
  <si>
    <t>https://web.archive.org/web/20230515121150/http://eng.mod.gov.cn/xb/News_213114/TopStories/16222755.html</t>
  </si>
  <si>
    <t>https://web.archive.org/web/20230517121938/http://eng.chinamil.com.cn/CHINA_209163/Exchanges/News_209188/16224658.html</t>
  </si>
  <si>
    <t>https://web.archive.org/web/20230527163813/http://eng.chinamil.com.cn/CHINA_209163/Exchanges/News_209188/16226936.html</t>
  </si>
  <si>
    <t>https://web.archive.org/web/20230610215357/http://eng.mod.gov.cn/xb/News_213114/TopStories/16230303.html</t>
  </si>
  <si>
    <t>https://web.archive.org/web/20230702182208/http://eng.mod.gov.cn/xb/News_213114/TopStories/16232711.html</t>
  </si>
  <si>
    <t>https://web.archive.org/web/20230627122634/http://eng.mod.gov.cn/xb/News_213114/TopStories/16233448.html</t>
  </si>
  <si>
    <t>https://web.archive.org/web/20230703103059/http://eng.chinamil.com.cn/CHINA_209163/Exchanges/News_209188/16234783.html</t>
  </si>
  <si>
    <t>https://web.archive.org/web/20230726122636/http://eng.mod.gov.cn/xb/News_213114/TopStories/16239768.html</t>
  </si>
  <si>
    <t>Defense Minister Sergei Shoigu; BL at Moscow Conference on International Security</t>
  </si>
  <si>
    <t>https://web.archive.org/web/20240119185608/http://eng.chinamil.com.cn/CHINA_209163/Exchanges/News_209188/16245838.html</t>
  </si>
  <si>
    <t>http://en.people.cn/n3/2023/0823/c90000-20062164.html</t>
  </si>
  <si>
    <t>Figure 11</t>
  </si>
  <si>
    <t>President-elect/Defense Minister</t>
  </si>
  <si>
    <t>https://english.www.gov.cn/news/202404/03/content_WS660c9226c6d0868f4e8e5b32.html</t>
  </si>
  <si>
    <t>http://eng.chinamil.com.cn/CHINA_209163/TopStories_209189/16300567.html</t>
  </si>
  <si>
    <t>8th border defense friendship exchange; held in both Yunnan and Lao Cai, VN</t>
  </si>
  <si>
    <t xml:space="preserve">France </t>
  </si>
  <si>
    <t>http://eng.chinamil.com.cn/CHINA_209163/TopStories_209189/16304108.html</t>
  </si>
  <si>
    <t>DDG163 Jiaozuo, FFG536 Xuchang, AOR906 Honghu</t>
  </si>
  <si>
    <t>joint exercise drill with Nigeria, Brazil, and Cameroon; frigate Xuchang of ETF-46 particiated in joint search/rescue, comms, formation maneuver, and counterpiracy</t>
  </si>
  <si>
    <t>http://eng.chinamil.com.cn/CHINA_209163/Exercises/News_209184/16313786.html</t>
  </si>
  <si>
    <t>20th Shangri-La</t>
  </si>
  <si>
    <t>https://www.iiss.org/globalassets/media-library---content--migration/files/shangri-la-dialogue/2023/provisional-transcripts/p-5/general-li-shangfu-state-councilor-minister-of-national-defense-china---provisional.pdf</t>
  </si>
  <si>
    <t>Defense Minister Ng Eng Hen</t>
  </si>
  <si>
    <t>https://www.mindef.gov.sg/web/portal/mindef/news-and-events/latest-releases/article-detail/2023/June/01jun23_nr</t>
  </si>
  <si>
    <t>Defense Minister Lee Jong-sup; BL at Shangri-La</t>
  </si>
  <si>
    <t>https://www.globaltimes.cn/page/202206/1267790.shtml; https://www.koreaherald.com/view.php?ud=20220612000135</t>
  </si>
  <si>
    <t>Russian MINDEF at Moscow Conference on International Security</t>
  </si>
  <si>
    <t>https://news.cgtn.com/news/2024-04-27/Defense-minister-China-proposed-initiatives-benefit-people-worldwide-1t8RRpVlJUQ/p.html</t>
  </si>
  <si>
    <t>https://web.archive.org/web/20240105114406/http://eng.chinamil.com.cn/CHINA_209163/Exchanges/News_209188/16245560.html</t>
  </si>
  <si>
    <t>Defense Minister; BL at MCIS</t>
  </si>
  <si>
    <t xml:space="preserve">21st Shangri-La </t>
  </si>
  <si>
    <t>https://www.globaltimes.cn/page/202406/1313470.shtml</t>
  </si>
  <si>
    <t xml:space="preserve">10th Xiangshan Forum </t>
  </si>
  <si>
    <t>https://english.news.cn/20231030/913df68ec0734234b48e19d292378c6f/c.html</t>
  </si>
  <si>
    <t>https://www.bbc.com/news/world-asia-india-65399808</t>
  </si>
  <si>
    <t>SCO Defense Ministers' meeting in Kazakhstan</t>
  </si>
  <si>
    <t xml:space="preserve">SCO Defense Ministers' meeting in India </t>
  </si>
  <si>
    <t>If the row is highlighted then it means the chart was changed</t>
  </si>
  <si>
    <t>PLA Military Diplomatic Interactions by US COCOM AOR, 2002-2024</t>
  </si>
  <si>
    <t>Total PLA Senior-Level Visits by US COCOM AOR, 2002-2024</t>
  </si>
  <si>
    <t>Total PLA Naval Port Calls by US COCOM AOR, 1985-2024</t>
  </si>
  <si>
    <t>PLA International Military Exercises 2002-2024 (PACOM &amp; Global)</t>
  </si>
  <si>
    <t>Total PLA Military Diplomatic Interactions, 2002-2024 (AFRICOM)</t>
  </si>
  <si>
    <t>Total PLA Senior-level Visits, 2002-2024 (AFRICOM)</t>
  </si>
  <si>
    <t>PLA International Military Exercises by Function, 2002-2024 (AFRICOM &amp; Global)</t>
  </si>
  <si>
    <t>Total PLA Military Diplomatic Interactions, 2002-2024 (SOUTHCOM)</t>
  </si>
  <si>
    <t>Total PLA Senior-level Visits, 2002-2024 (SOUTHCOM)</t>
  </si>
  <si>
    <t>PLA International Military Exercises 2002-2024 (SOUTHCOM &amp; Global)</t>
  </si>
  <si>
    <t>PLA International Military Exercises by Function, 2002-2024 (SOUTHCOM &amp; Global)</t>
  </si>
  <si>
    <t>Total PLA Military Diplomatic Interactions, 2002-2024 (CENTCOM)</t>
  </si>
  <si>
    <t>Total PLA Senior-level Visits, 2002-2024 (CENTCOM)</t>
  </si>
  <si>
    <t>PLA International Military Exercises 2002-2024 (CENTCOM &amp; Global)</t>
  </si>
  <si>
    <t>PLA International Military Exercises by Function, 2002-2024 (CENTCOM &amp; Global)</t>
  </si>
  <si>
    <t>Total PLA Military Diplomatic Interactions, 2002-2024 (EUCOM)</t>
  </si>
  <si>
    <t>Total PLA Senior-level Visits, 2002-2024 (EUCOM)</t>
  </si>
  <si>
    <t>PLA International Military Exercises 2002-2024 (EUCOM &amp; Global)</t>
  </si>
  <si>
    <t>PLA International Military Exercises by Function, 2002-2024 (EUCOM &amp; Global)</t>
  </si>
  <si>
    <t>Total PLA Military Diplomatic Interactions, 2002-2024 (Europe)</t>
  </si>
  <si>
    <t>Total PLA Military Diplomatic Interactions, 2002-2024 (NORTHCOM)</t>
  </si>
  <si>
    <t>Total PLA Senior-level Visits, 2002-2024 (NORTHCOM)</t>
  </si>
  <si>
    <t>PLA International Military Exercises 2002-2024 (NORTHCOM &amp; Global)</t>
  </si>
  <si>
    <t>PLA International Military Exercises by Function, 2002-2024 (NORTHCOM &amp; Global)</t>
  </si>
  <si>
    <t>Total Military Diplomatic Interactions by Activity, 2002-2024</t>
  </si>
  <si>
    <t>Total Number of Senior-Level Meetings, 2002-2024</t>
  </si>
  <si>
    <t>Total PLA International Military Exercises by Type, 2002-2024</t>
  </si>
  <si>
    <t>Total PLA International Military Exercises by Service, 2002-2024</t>
  </si>
  <si>
    <t>Total Outbound Naval Port Calls, 2002-2024</t>
  </si>
  <si>
    <t>Total Number of Senior-Level Meetings, 2020-2024 only</t>
  </si>
  <si>
    <t>Total PLA International Military Exercises by Type, 2020-2024 only</t>
  </si>
  <si>
    <t>Total PLA International Military Exercises by Service, 2020 through 2024 only</t>
  </si>
  <si>
    <t>Aggregate PLA Military Diplomatic Interactions in Asia, 2002-2024</t>
  </si>
  <si>
    <t>Senior-Level Visits Abroad by Geographic Region, 2002-2024</t>
  </si>
  <si>
    <t>China and ASEAN Military Diplomacy 2010-2024</t>
  </si>
  <si>
    <t>PLA Military Exercises by Region 2002-2024</t>
  </si>
  <si>
    <t>PLA Participation in Multilateral Exercises by Counterpart 2002-2024</t>
  </si>
  <si>
    <t>Senior Level Visit Trends 2002-2024 with Marginals</t>
  </si>
  <si>
    <t>Golden Friendship-2024</t>
  </si>
  <si>
    <t xml:space="preserve">CT and UN PKO scenarios </t>
  </si>
  <si>
    <t>http://eng.mod.gov.cn/xb/News_213114/NewsRelease/16305683.html; http://eng.chinamil.com.cn/VOICES/MinistryofNationalDefense_209794/16303742.html</t>
  </si>
  <si>
    <t>http://eng.mod.gov.cn/xb/News_213114/TopStories/16306073.html</t>
  </si>
  <si>
    <t>http://eng.chinamil.com.cn/CHINA_209163/TopStories_209189/16310104.html</t>
  </si>
  <si>
    <t>Border Defense Cooperation-2024</t>
  </si>
  <si>
    <t> The Chinese and Russian sides implemented encirclement and capture operations in their respective areas through aerial reconnaissance, surface interception and ambushes on the shore.</t>
  </si>
  <si>
    <t>http://eng.chinamil.com.cn/CHINA_209163/Exercises/News_209184/16321037.html</t>
  </si>
  <si>
    <t>Defense Minister; Dong Jun also met with separately</t>
  </si>
  <si>
    <t>http://eng.chinamil.com.cn/CHINA_209163/TopStories_209189/16318475.html</t>
  </si>
  <si>
    <t xml:space="preserve"> Friendship Shield 2024</t>
  </si>
  <si>
    <t>operation of mine-clearance and explosive ordnance disposal equipment, unarmed combat, and combat wound treatment.</t>
  </si>
  <si>
    <t>http://eng.mod.gov.cn/xb/News_213114/TopStories/16322655.html</t>
  </si>
  <si>
    <t>Eagle Assault 2024</t>
  </si>
  <si>
    <t>hostage rescue and counter-terrorism operation</t>
  </si>
  <si>
    <t>http://eng.mod.gov.cn/xb/News_213114/TopStories/16322662.html</t>
  </si>
  <si>
    <t>http://eng.mod.gov.cn/xb/News_213114/TopStories/16322667.html</t>
  </si>
  <si>
    <t>Falcon Shield 2024</t>
  </si>
  <si>
    <t>http://eng.mod.gov.cn/xb/News_213114/TopStories/16323441.html</t>
  </si>
  <si>
    <t>Joint Sea 2024</t>
  </si>
  <si>
    <t>exercise near Zhanjiang City, Guangdong</t>
  </si>
  <si>
    <t>http://eng.chinamil.com.cn/CHINA_209163/TopStories_209189/16324026.html</t>
  </si>
  <si>
    <t>http://eng.chinamil.com.cn/CHINA_209163/TopStories_209189/16323958.html</t>
  </si>
  <si>
    <t>Defense Secretary Austin</t>
  </si>
  <si>
    <t>Defense Secretary Austin; BL at Shangri-La</t>
  </si>
  <si>
    <t>Cobra Gold 2024</t>
  </si>
  <si>
    <t>http://eng.chinamil.com.cn/CHINA_209163/Exercises/News_209184/16290432.html</t>
  </si>
  <si>
    <t>second joint training focused on deepening trust/coop, held in XJ</t>
  </si>
  <si>
    <t xml:space="preserve">unclear milex type due to lack of relevant info, currently classified as MOOTW </t>
  </si>
  <si>
    <t>https://english.news.cn/20231204/326cc8b760c340318db17ed5b198d57d/c.html</t>
  </si>
  <si>
    <t>Commander of Pacific Ocean and French Polynesian maritime zones</t>
  </si>
  <si>
    <t>INDOPACOM</t>
  </si>
  <si>
    <t>Figures 21-38 Bilateral Countries</t>
  </si>
  <si>
    <t>Comprehensive Strategic Partnership [全面战略伙伴]</t>
  </si>
  <si>
    <t>Comprehensive Strategic Cooperative Partnership [战略合作伙伴关系]</t>
  </si>
  <si>
    <t>Permanent Comprehensive Strategic Partnership [永久全面战略伙伴]</t>
  </si>
  <si>
    <t>upgraded diplomatic ties in 2023</t>
  </si>
  <si>
    <t>upgraded diplomatic ties in 2024</t>
  </si>
  <si>
    <t>All-round, high-quality, future-oriented Partnernship [全方位高质量的前瞻性伙伴关系]</t>
  </si>
  <si>
    <t>Comprehensive Collaborative Stategic Partnership [全面战略合作伙伴关系]</t>
  </si>
  <si>
    <t>Total PLA Military Diplomatic Interactions, 2002-2024 (INDOPACOM)</t>
  </si>
  <si>
    <t>Total PLA Senior-level Visits, 2002-2024 (INDOPACOM)</t>
  </si>
  <si>
    <t>PLA International Military Exercises 2002-2024 (INDOPACOM &amp; Global)</t>
  </si>
  <si>
    <t>PLA International Military Exercises by Function, 2002-2024 (INDOPACOM &amp; Global)</t>
  </si>
  <si>
    <t>(Does not include virtual meetings or meetings on the margins)</t>
  </si>
  <si>
    <t>Second table is linked to the first (pivot table) to drive the graph.  Updates to the pivot table data should update second table and the graph. If not, data may need to be manually copied to second table update the graph.</t>
  </si>
  <si>
    <t>Positive total means country visits China more; Negative Total means China visits country more.</t>
  </si>
  <si>
    <t>No Action Required.</t>
  </si>
  <si>
    <t>Difference</t>
  </si>
  <si>
    <t>Visit Type</t>
  </si>
  <si>
    <t>Number of PLA Visits Abroad, 2002-2024</t>
  </si>
  <si>
    <t>Top 10 Countries with most senior level visits (selected from Figure 16)</t>
  </si>
  <si>
    <t>(Sorted from most to least)</t>
  </si>
  <si>
    <t>Largest Differentials Between Meetings Hosted in China and Abroad 2002-2024</t>
  </si>
  <si>
    <t>(Rest of list is hidden)</t>
  </si>
  <si>
    <t>Uses formulas to get the top 10 highest/lowest differences into a range</t>
  </si>
  <si>
    <t xml:space="preserve">Largest Differentials Between Visits Hosted in China and Abroad 2002-2024 </t>
  </si>
  <si>
    <t>(weighted average based on position of senior PLA officer)</t>
  </si>
  <si>
    <t>Total PLA Combat and Combat Support 2002-2024</t>
  </si>
  <si>
    <t xml:space="preserve">Most Frequent PLA Military Diplomatic Partners, 2002–2024 </t>
  </si>
  <si>
    <t xml:space="preserve">Most Frequent PLA Military Diplomatic Partners, 2020–2024 </t>
  </si>
  <si>
    <t>(See next worksheet for top 10 partners)</t>
  </si>
  <si>
    <t>Table 3. Top 10 PLA Military Diplomatic Partners, 2002–2024</t>
  </si>
  <si>
    <t>Table 4. Top 10 PLA Military Diplomatic Partners 2020-2024</t>
  </si>
  <si>
    <t>Table 1A: Most Frequent PLA Military Diplomatic Partners in NATO, 2002–2024</t>
  </si>
  <si>
    <t>Table 2A: Most Frequent PLA Military Diplomatic Partners in NATO, 2020-2024</t>
  </si>
  <si>
    <t>Table 5: PLA Military Diplomatic Interactions by Geographic Region, 2002–2024</t>
  </si>
  <si>
    <t xml:space="preserve">Table 6: PLA Military Diplomatic Interactions in Asia, 2020–2024 </t>
  </si>
  <si>
    <t>Table 7: PLA Military Diplomatic Interactions in Asia, 2002–2024</t>
  </si>
  <si>
    <t xml:space="preserve">Table 8: PLA Military Diplomatic Interactions in Asia, 2020–2024 </t>
  </si>
  <si>
    <t>Most Frequent ETF PLAN Port Call Destinations, 1985-2024</t>
  </si>
  <si>
    <t>Most Frequent NETF PLAN Port Call Destinations, 1985-2024</t>
  </si>
  <si>
    <t>Most Frequent PLAN Port Call Destinations, 1985-2024</t>
  </si>
  <si>
    <t>(without US)</t>
  </si>
  <si>
    <t>(with US)</t>
  </si>
  <si>
    <t>Table 1B: Most Frequent PLA Military Diplomatic Partners in NATO, 2002–2024</t>
  </si>
  <si>
    <t>Table 3A: PLA Top 10 Military Diplomatic Partners in NATO, 2002–2024</t>
  </si>
  <si>
    <t>Table 4A: PLA Top 10 Military Diplomatic Partners in NATO, 2020–2024</t>
  </si>
  <si>
    <t>Table 4B: PLA Top 10 Military Diplomatic Partners in NATO, 2002–2024</t>
  </si>
  <si>
    <t>Appendix: List of Pre-Built Figures and Tables</t>
  </si>
  <si>
    <t>CCMD Figure 3: Total PLA Senior-Level Meetings by US CCMD AOR, 2002-2024</t>
  </si>
  <si>
    <t>CCMD Figure 7: Total PLA Naval Port Calls by US CCMD AOR, 1985-2024</t>
  </si>
  <si>
    <t>CCMD Table 3: Top 10 Most Frequent Military Diplomatic Partners, 2002-2024</t>
  </si>
  <si>
    <t xml:space="preserve">INDOPACOM Figure 2: Total PLA Military Diplomatic Interactions, 2002-2024 (INDOPACOM) </t>
  </si>
  <si>
    <t>INDOPACOM Figure 4: Total PLA Senior-level Meetings, 2002-2024 (INDOPACOM)</t>
  </si>
  <si>
    <t xml:space="preserve">INDOPACOM Figure 5: PLA International Military Exercises 2002-2024 (INDOPACOM &amp; Global) </t>
  </si>
  <si>
    <t xml:space="preserve">INDOPACOM Figure 6: PLA International Military Exercises by Function, 2002-2024 (INDOPACOM &amp; Global) </t>
  </si>
  <si>
    <t>INDOPACOM Figure 7: Largest Differentials Between Meetings Hosted in China and Abroad 2021 (INDOPACOM)</t>
  </si>
  <si>
    <t xml:space="preserve">AFRICOM Figure 2: Total PLA Military Diplomatic Interactions, 2002-2024 (AFRICOM) </t>
  </si>
  <si>
    <t xml:space="preserve">AFRICOM Figure 4: Total PLA Senior-level Meetings, 2002-2024 (AFRICOM) </t>
  </si>
  <si>
    <t xml:space="preserve">AFRICOM Figure 5: PLA International Military Exercises 2002-2024 (AFRICOM &amp; Global) </t>
  </si>
  <si>
    <t xml:space="preserve">AFRICOM Figure 6: PLA International Military Exercises by Function, 2002-2024 (AFRICOM &amp; Global) </t>
  </si>
  <si>
    <t xml:space="preserve">SOUTHCOM Figure 2: Total PLA Military Diplomatic Interactions, 2002-2024 (SOUTHCOM) </t>
  </si>
  <si>
    <t xml:space="preserve">SOUTHCOM Figure 4: Total PLA Senior-level Meetings, 2002-2024 (SOUTHCOM) </t>
  </si>
  <si>
    <t xml:space="preserve">SOUTHCOM Figure 5: PLA International Military Exercises 2002-2024 (SOUTHCOM &amp; Global) </t>
  </si>
  <si>
    <t xml:space="preserve">SOUTHCOM Figure 6: PLA International Military Exercises by Function, 2002-2024 (SOUTHCOM &amp; Global) </t>
  </si>
  <si>
    <t xml:space="preserve">CENTCOM Figure 2: Total PLA Military Diplomatic Interactions, 2002-2024 (CENTCOM) </t>
  </si>
  <si>
    <t xml:space="preserve">CENTCOM Figure 4:  Total PLA Senior-level Meetings, 2002-2024 (CENTCOM) </t>
  </si>
  <si>
    <t xml:space="preserve">CENTCOM Figure 5: PLA International Military Exercises 2002-2024 (CENTCOM &amp; Global) </t>
  </si>
  <si>
    <t xml:space="preserve">CENTCOM Figure 6: PLA International Military Exercises by Function, 2002-2024 (CENTCOM &amp; Global) </t>
  </si>
  <si>
    <t xml:space="preserve">EUCOM Figure 2: Total PLA Diplomatic Interactions, 2002-2024 (EUCOM) </t>
  </si>
  <si>
    <t xml:space="preserve">EUCOM Figure 4: Total PLA Senior-level Meetings, 2002-2024 (EUCOM) </t>
  </si>
  <si>
    <t xml:space="preserve">EUCOM Figure 5: PLA International Military Exercises 2002-2024 (EUCOM &amp; Global) </t>
  </si>
  <si>
    <t xml:space="preserve">EUCOM Figure 6: PLA International Military Exercises by Function, 2002-2024 (EUCOM &amp; Global) </t>
  </si>
  <si>
    <t xml:space="preserve">NORTHCOM Figure 2: Total PLA Military Diplomatic Interactions, 2002-2024 (NORTHCOM) </t>
  </si>
  <si>
    <t xml:space="preserve">NORTHCOM Figure 4: Total PLA Senior-level Meetings, 2002-2024 (NORTHCOM) </t>
  </si>
  <si>
    <t xml:space="preserve">NORTHCOM Figure 5: PLA International Military Exercises 2002-2024 (NORTHCOM &amp; Global) </t>
  </si>
  <si>
    <t xml:space="preserve">NORTHCOM Figure 6: PLA International Military Exercises by Function, 2002-2024 (NORTHCOM &amp; Global) </t>
  </si>
  <si>
    <t>Figure 1: Total Military Diplomatic Interactions by Activity, 2002-2024</t>
  </si>
  <si>
    <t>Figure 2: Total Military Diplomatic Interactions by Activity, 2024 only</t>
  </si>
  <si>
    <t>Figure 3: Total Number of Senior-Level Meetings, 2002-2024</t>
  </si>
  <si>
    <t>Figure 4: Total Number of Senior-Level Meetings, 2020-2024 only</t>
  </si>
  <si>
    <t>Figure 5: Total PLA International Military Exercises by Type, 2002-2024</t>
  </si>
  <si>
    <t>Figure 6: Total PLA International Military Exercises by Type, 2020-2024 only</t>
  </si>
  <si>
    <t>Figure 7: Total PLA International Military Exercises by Function, 2002-2024</t>
  </si>
  <si>
    <t>Figure 8: Total PLA International Military Exercises by Function, 2020-2024 only</t>
  </si>
  <si>
    <t>Figure 9: Total PLA International Military Exercises by Service, 2002-2024</t>
  </si>
  <si>
    <t>Figure 10: Total PLA International Military Exercises by Service, 2020-2024 only</t>
  </si>
  <si>
    <t xml:space="preserve">Figure 11: Total Outbound Naval Port Calls, 2002-2024 </t>
  </si>
  <si>
    <t>Figure 12: Total Outbound Naval Port Calls, 2021 only</t>
  </si>
  <si>
    <t>Figure 13: Aggregate PLA Military Diplomatic Interactions in Asia, 2002-2024</t>
  </si>
  <si>
    <t>Figure 14: Aggregate PLA Military Diplomatic Interactions in Asia, 2002-2024 (pie chart)</t>
  </si>
  <si>
    <t>Figure 15. Senior-Level Visits Abroad by Geographic Region, 2002-2024</t>
  </si>
  <si>
    <t>Figure 16. Number of PLA Visits Abroad, 2002-2024</t>
  </si>
  <si>
    <t>Figure 17. Number of PLA Visits Abroad, 2002-2024 (Top 10)</t>
  </si>
  <si>
    <t>Figure 18. Largest Differentials Between Meetings Hosted in China and Abroad, 2002-2024</t>
  </si>
  <si>
    <t>Figure 19: Largest Differentials Between Visits Hosted in China and Abroad 2002-2024 only</t>
  </si>
  <si>
    <t>Figure 20: Total PLA Combat and Combat Support 2002-2024</t>
  </si>
  <si>
    <t>Table 1: Most Frequent PLA Military Diplomatic Partners, 2002–2024</t>
  </si>
  <si>
    <t>Table 2: Most Frequent PLA Military Diplomatic Partners, 2020-2024 only</t>
  </si>
  <si>
    <t>Table 3: Top 10 PLA Military Diplomatic Partners, 2002–2024</t>
  </si>
  <si>
    <t>Table 4: Top 10 PLA Military Diplomatic Partners, 2020-2024 only</t>
  </si>
  <si>
    <t>Table 2A: Most Frequent PLA Military Diplomatic Partners in NATO, 2020-2024 only</t>
  </si>
  <si>
    <t>Table 3A: Top 10 PLA Military Diplomatic Partners in NATO, 2002–2024</t>
  </si>
  <si>
    <t>Table 4A: Top 10 PLA Military Diplomatic Partners in NATO, 2020-2024 only</t>
  </si>
  <si>
    <t>Table 6: PLA Military Diplomatic Interactions by Geographic Region, 2020-2024 only</t>
  </si>
  <si>
    <t>Table 8: PLA Military Diplomatic Interactions in Asia, 2020-2024 only</t>
  </si>
  <si>
    <t>Table 9. Most Frequent PLAN Port Call Destinations, 2002-2024 (ETF, NETF, and TOTAL)</t>
  </si>
  <si>
    <t>Figure 21: Military Diplomatic Interactions between Brunei and China, 2002-2024</t>
  </si>
  <si>
    <t>Figure 22: Military Diplomatic Interactions between Cambodia and China, 2002-2024</t>
  </si>
  <si>
    <t>Figure 23: Military Diplomatic Interactions between Indonesia and China, 2002-2024</t>
  </si>
  <si>
    <t>Figure 24: Military Diplomatic Interactions between Laos and China, 2002-2024</t>
  </si>
  <si>
    <t>Figure 25: Military Diplomatic Interactions between Malaysia and China, 2002-2024</t>
  </si>
  <si>
    <t>Figure 26: Military Diplomatic Interactions between Myanmar and China, 2002-2024</t>
  </si>
  <si>
    <t>Figure 27: Military Diplomatic Interactions between Philippines and China, 2002-2024</t>
  </si>
  <si>
    <t>Figure 28: Military Diplomatic Interactions between Singapore and China, 2002-2024</t>
  </si>
  <si>
    <t>Figure 29: Military Diplomatic Interactions between Thailand and China, 2002-2024</t>
  </si>
  <si>
    <t>Figure 30: Military Diplomatic Interactions between Vietnam and China, 2002-2024</t>
  </si>
  <si>
    <t>Figure 31: Military Diplomatic Interactions between Japan and China, 2002-2024</t>
  </si>
  <si>
    <t>Figure 32: Military Diplomatic Interactions between South Korea and China, 2002-2024</t>
  </si>
  <si>
    <t>Figure 33: Military Diplomatic Interactions between Australia and China, 2002-2024</t>
  </si>
  <si>
    <t>Figure 34: Military Diplomatic Interactions between India and China, 2002-2024</t>
  </si>
  <si>
    <t>Figure 35: Military Diplomatic Interactions between United States and China, 2002-2024</t>
  </si>
  <si>
    <t>Figure 36: Military Diplomatic Interactions between Russia and China, 2002-2024</t>
  </si>
  <si>
    <t>Figure 37: Military Diplomatic Interactions between New Zealand and China, 2002-2024</t>
  </si>
  <si>
    <t>Figure 38: Military Diplomatic Interactions between Pakistan and China, 2002-2024</t>
  </si>
  <si>
    <t>Figure 38b: Military Diplomatic Interactions between Brazil and China, 2002-2024</t>
  </si>
  <si>
    <t>Figure 38c: Military Diplomatic Interactions between Tanzania and China, 2002-2024</t>
  </si>
  <si>
    <t>Figure 38d: Military Diplomatic Interactions between Saudi Arabia and China, 2002-2024</t>
  </si>
  <si>
    <t>Figure 38e: Military Diplomatic Interactions between Iran and China, 2002-2024</t>
  </si>
  <si>
    <t xml:space="preserve">Figure 39: Military Diplomatic Interactions between ASEAN and China, 2002-2024 </t>
  </si>
  <si>
    <t>Figure 39A: Military Diplomatic Interactions between SCO and China, 2002-2024</t>
  </si>
  <si>
    <t>Figure 41: PLA Military Exercises by Region 2002-2024</t>
  </si>
  <si>
    <t>Figure 42: PLA Participation in Multilateral Exercises by Counterpart 2002-2024</t>
  </si>
  <si>
    <t>Figure 43: Senior Level Visit Trends 2002-2024 with Marginals</t>
  </si>
  <si>
    <t>Figure 44: PLA Participation in ML Meetings 2002-2024</t>
  </si>
  <si>
    <t>Figure 40: Count of China's First Time Military Exercise Counterparts</t>
  </si>
  <si>
    <t>Comprehensive Stategic Cooperative Partnership [全面战略合作伙伴关系]</t>
  </si>
  <si>
    <t>Good-Neighborly Partnership [世代友好的睦邻伙伴关系]</t>
  </si>
  <si>
    <t>All-Round Strategic Partnership  [全面合作伙伴关系]</t>
  </si>
  <si>
    <t>Development-oriented Strategic Cooperative Partnership [面向发展与繁荣的世代友好的战略合作伙伴关系].</t>
  </si>
  <si>
    <t>All-round strategic cooperative partnership in the new era [新时代全方位战略合作伙伴关系]</t>
  </si>
  <si>
    <t>All-Weather Comprehensive Strategic Partnership [全天候全面战略伙伴关系]</t>
  </si>
  <si>
    <t>Chairman NATO Military Committee ; 14th Shangri-la</t>
  </si>
  <si>
    <t>https://www.nato.int/cps/fr/natohq/news_84305.htm?selectedLocale=en</t>
  </si>
  <si>
    <t>PCS: May have been an iteration of the China-NATO staff talks, but the higher rank of the NATO delegation and the PLA counterpart Ma Xiaotian justify inclusion</t>
  </si>
  <si>
    <t>PCS: ordinarily these dialogues would not be included, but this one is at a higher level on th New Zealand side. Added source</t>
  </si>
  <si>
    <t>https://johnmenadue.com/nz-and-china-military-meeting-no-news-is-bad-news/</t>
  </si>
  <si>
    <t>PCS: NZ delegation led by General Tim Keating; th strategic defense dialogue; met with Qi Jinguo for office call?</t>
  </si>
  <si>
    <t>Described as 7th joint aerial strategic patrol</t>
  </si>
  <si>
    <t xml:space="preserve"> 7th "joint strategic air patrol" and second of 2023 over the Sea of Japan and the East China Sea;</t>
  </si>
  <si>
    <t>Sea Guardian 2023</t>
  </si>
  <si>
    <r>
      <t xml:space="preserve">5-8 August 2009, anti-piracy ETF joint drills and friendly visit, </t>
    </r>
    <r>
      <rPr>
        <i/>
        <sz val="11"/>
        <color rgb="FF000000"/>
        <rFont val="Calibri"/>
        <family val="2"/>
        <scheme val="minor"/>
      </rPr>
      <t xml:space="preserve">Six Years </t>
    </r>
    <r>
      <rPr>
        <sz val="11"/>
        <color rgb="FF000000"/>
        <rFont val="Calibri"/>
        <family val="2"/>
        <scheme val="minor"/>
      </rPr>
      <t>p. 129</t>
    </r>
  </si>
  <si>
    <r>
      <t xml:space="preserve">Joint drills and friendly port call, </t>
    </r>
    <r>
      <rPr>
        <i/>
        <sz val="11"/>
        <color rgb="FF000000"/>
        <rFont val="Calibri"/>
        <family val="2"/>
        <scheme val="minor"/>
      </rPr>
      <t>Six Years at Sea p. 126</t>
    </r>
  </si>
  <si>
    <r>
      <t xml:space="preserve">Maritime exercises,both combat and support. Sent frigate </t>
    </r>
    <r>
      <rPr>
        <i/>
        <sz val="11"/>
        <color rgb="FF000000"/>
        <rFont val="Calibri"/>
        <family val="2"/>
        <scheme val="minor"/>
      </rPr>
      <t>Huangshan</t>
    </r>
    <r>
      <rPr>
        <sz val="11"/>
        <color rgb="FF000000"/>
        <rFont val="Calibri"/>
        <family val="2"/>
        <scheme val="minor"/>
      </rPr>
      <t>. 27 countries total: India, Japan, BG, Brunei, CB, CA, Chile, Cook Islands, East Timor, Fiji, FR, IN, ID, MY, NZ, PL, PNG, PH, SG, KS, CE, TH, Tonga, UAE, VM</t>
    </r>
  </si>
  <si>
    <t>NATO Deputy Secretary General</t>
  </si>
  <si>
    <t>https://www.nato.int/cps/en/natohq/news_59191.htm; https://www.nato.int/cps/en/natohq/photos_159906.htm</t>
  </si>
  <si>
    <t>PCS: source lists VFM Zhang Zhijun as counterpart and does not specify PLA involvement.  ADD or not?</t>
  </si>
  <si>
    <t>President Academy of Military Sciences</t>
  </si>
  <si>
    <t>https://www.nato.int/cps/en/natohq/news_160122.htm; https://www.ceris.be/blog/nato-china-relations-charting-the-way-forward/</t>
  </si>
  <si>
    <t>BL on margins of 8th Xiangshan Forum; counterpart not specified but likely AMS President</t>
  </si>
  <si>
    <t>https://www.scmp.com/news/china/diplomacy/article/3224414/brazil-and-china-officials-resume-bilateral-defence-talks-also-discuss-fishing-complaints</t>
  </si>
  <si>
    <t>Resumption of defense ties after a break?</t>
  </si>
  <si>
    <t>http://eng.chinamil.com.cn/CHINA_209163/TopStories_209189/16233084.html</t>
  </si>
  <si>
    <t>Port call in Abidjan</t>
  </si>
  <si>
    <t>http://eng.chinamil.com.cn/CHINA_209163/TopStories_209189/16234758.html</t>
  </si>
  <si>
    <t>Port Call in Tema; Note that China and Ghana would establish a strategic partnership in 2024</t>
  </si>
  <si>
    <t>http://eng.chinamil.com.cn/CHINA_209163/TopStories_209189/16234980.html</t>
  </si>
  <si>
    <t>Port Call in Lagos</t>
  </si>
  <si>
    <t>Vice Chair CMC</t>
  </si>
  <si>
    <t>http://www.mod.gov.cn/gfbw/jswj/lf/16338277.html</t>
  </si>
  <si>
    <t>BL during 10th Xiangshan - When meeting with Zakserykov, Zhang Youxia said that President Xi Jinping successfully paid a state visit to Kazakhstan in July this year, held talks with President Tokayev and jointly signed a joint statement, which injected new impetus and drew a new blueprint for the high-quality development of the China-Kazakhstan permanent comprehensive strategic partnership. Under the strategic guidance of the two heads of state, the two militaries should strengthen exchanges at all levels, improve the quality and eﬀectiveness of cooperation in areas such as personnel training and joint exercises, continue to expand areas of cooperation, promote the long-term and stable development of relations between the two militaries, and make positive contributions to building a China-Kazakhstan community with a shared future that features everlasting friendship, high mutual trust, shared weal and woe, and shared prosperity.</t>
  </si>
  <si>
    <t>Deputy PM and Defense Minister</t>
  </si>
  <si>
    <t>http://www.mod.gov.cn/gfbw/jswj/lf/16262759.html</t>
  </si>
  <si>
    <t>BL during 10th Xiangshan - During the talks with Chan Samoeng, Zhang Youxia said that China and Laos are socialist friendly neighbors and an unbreakable community of shared destiny. China is willing to work with Laos to implement the important consensus reached by the leaders of the two parties and the two countries, carry forward traditional friendship, strengthen strategic cooperation, close communication and cooperation, firmly safeguard each other's core interests, and work together to strengthen practical cooperation in various fields to bring more benefits to the two countries and their peoples. It is hoped that the Chinese and Lao militaries will continue to strengthen exchanges at all levels, continuously expand exchanges and cooperation in the fields of border defense, political work, joint exercises and joint training, enhance mutual trust between the two militaries, safeguard common security, and promote the comprehensive and in-depth development of the relationship between the two militaries.</t>
  </si>
  <si>
    <t>BL during 10th Xiangshan - During the talks with Saikhanbayar, Zhang Youxia said that China and Mongolia are friendly neighbors. Under the strategic guidance of the leaders of the two countries, BLeral relations have maintained a good momentum of development in recent years. Next year will be the 75th anniversary of the establishment of diplomatic relations between China and Mongolia and the 30th anniversary of the signing of the Treaty of Friendly Cooperation. It is hoped that the two sides will take this opportunity to strengthen strategic communication and policy coordination and firmly promote the steady and long- term development of China-Mongolia relations in the new era. The Chinese military is willing to work with the Mongolian military to strengthen high-level exchanges, strengthen exchanges and cooperation, and work together to implement the global security initiative proposed by President Xi Jinping, and jointly inject positive energy into regional security and stability.</t>
  </si>
  <si>
    <t>http://www.mod.gov.cn/gfbw/jswj/lf/16263539.html</t>
  </si>
  <si>
    <t>PCS: Added from Ken Allen BL meeting on margins of 10th Xiangshan Forum</t>
  </si>
  <si>
    <t>Jing Jianfeng</t>
  </si>
  <si>
    <t>Deputy JSD</t>
  </si>
  <si>
    <t>PCS: JSD downgraded to TC level organization in 2019; Deputy JSD chief would be deputy TC grade</t>
  </si>
  <si>
    <t>http://www.mod.gov.cn/gfbw/jswj/lf/16263691.html</t>
  </si>
  <si>
    <t>PCS: Added from Ken Allen BL meeting on margins of 10th Xiangshan Forum. First entry for Suriname in this database.</t>
  </si>
  <si>
    <t>CJSD; CMC Member</t>
  </si>
  <si>
    <t>CJCS Brown</t>
  </si>
  <si>
    <t>https://www.jcs.mil/Media/News/News-Display/Article/3623794/readout-of-chairman-of-the-joint-chiefs-of-staff-gen-cq-brown-jrs-video-telecon/</t>
  </si>
  <si>
    <t>Videoteleconference</t>
  </si>
  <si>
    <t>operational coordination, personnel search and rescue, water rescue, fire rescue, hazardous substances leakage disposal and medical first aid. PLA delegation only involved in the HADR demonstration part of the exercise.</t>
  </si>
  <si>
    <t>State Councillor</t>
  </si>
  <si>
    <t>https://www.khmertimeskh.com/501464676/hun-sen-holds-talks-with-the-second-vice-chairman-of-the-central-military-commission-of-china/</t>
  </si>
  <si>
    <t>http://eng.mod.gov.cn/xb/News_213114/TopStories/16296479.html</t>
  </si>
  <si>
    <t>BEIJING, Mar. 25 -- Chinese Defense Minister Admiral Dong Jun, met with General Mao Sopan, deputy commander of the Royal Cambodian Armed Forces (RCAF) and commander of the Royal Cambodian Army, in Beijing on March 25.</t>
  </si>
  <si>
    <t>with Russia and Iran in Gulf of Oman; The Chinese participating forces consist of three warships of the People's Liberation Army (PLA) Navy's 45th escort task force that just wrapped up escort missions in the Gulf of Aden, namely the Type 052D guided missile destroyer Urumqi, the Type 054A guided missile frigate Linyi and the Type 903A comprehensive replenishment ship Dongpinghu, the report said, noting that the Iranian side sent over 10 vessels including the frigates Alborz and Jamaran, while the Russian side sent the guided missile cruiser Varyag and the large anti-submarine warfare ship Marshal Shaposhnikov.</t>
  </si>
  <si>
    <t>Comprehensive Collaborative Strategic Partnership [全面战略合作伙伴关系]</t>
  </si>
  <si>
    <t>Zhang Baoqun</t>
  </si>
  <si>
    <t>Deputy Director, OIMC</t>
  </si>
  <si>
    <t>https://presidency.gov.mv/Press/Article/30330; https://www.scmp.com/news/china/diplomacy/article/3255321/maldives-signed-military-deal-beijing-may-remain-swing-state-china-india-tug-war; https://geotvnews.com/china-signed-a-defense-agreement-with-the-maldives-to-provide-military-assistance-the-details-have-not-been-disclosed-geo-tv-news/</t>
  </si>
  <si>
    <t xml:space="preserve">PCS: Dep Dir OIMC BG Zhang Baoqun met w/Maldive Min Def and President, signed Defense Cooperation Agreement (DCA), gave military aid.  Zhang wouldn't qualify on his own, but is likely subbing for the PRC Min Def to sign the agreement, so this is included. </t>
  </si>
  <si>
    <t>This is the sixth China-Cambodia "Golden Dragon" joint military exercise, which is conducive to further consolidating the iron-clad friendship between the two countries, enhancing the strategic coordination level between the two militaries, and jointly safeguarding regional peace and stability</t>
  </si>
  <si>
    <t>PCS: Separate BL meeting prior to Shangri-la, so NOT coded as on the margins</t>
  </si>
  <si>
    <t>The guided-missile frigate Xuchang attached to the 46th Chinese naval escort taskforce made a technical stop in Cape Town, South Africa, from May 16 to 19, for replenishment and rest.</t>
  </si>
  <si>
    <t>Chief, Joint Staff Dept (JSD)</t>
  </si>
  <si>
    <t>http://www.mod.gov.cn/gfbw/gc/lzl_244321/2024_246934/16309418.html</t>
  </si>
  <si>
    <t>On May 15, Liu Zhenli, member of the Central Military Commission and Chief of the Joint Staﬀ Department of the Central Military Commission, held a video call with British Chief of Defense Staﬀ Radakin. The two sides exchanged views on the relations between the two countries and the two militaries, the international and regional situation, and communicated on strengthening exchanges and cooperation between the two militaries.</t>
  </si>
  <si>
    <t>Defense Ministers</t>
  </si>
  <si>
    <t>http://www.mod.gov.cn/gfbw/jswj/cf/16313261.html</t>
  </si>
  <si>
    <t>BL on margins of 21st IISS Shangri-la dialogue</t>
  </si>
  <si>
    <t>http://www.mod.gov.cn/gfbw/jswj/cf/16313261.html; https://www.iiss.org/events/shangri-la-dialogue/shangri-la-dialogue-2024/speaker-agenda/</t>
  </si>
  <si>
    <t>BL on margins of 21st IISS Shangri-la dialogue; Cambodian counterpart inferred from Cambodian head of delegation</t>
  </si>
  <si>
    <t>High Representive of EU for Foreign Affairs and Security Policy</t>
  </si>
  <si>
    <t>http://eng.mod.gov.cn/xb/News_213114/TopStories/16313281.html; https://www.iiss.org/events/shangri-la-dialogue/shangri-la-dialogue-2024/speaker-agenda/</t>
  </si>
  <si>
    <t>BL on margins of 21st IISS Shangri-la dialogue; PCS--not sure we have fully captured previous meetings between senior PLA officials and EU civilian officials int eh database</t>
  </si>
  <si>
    <t>Vice Chief of the Defence Staff</t>
  </si>
  <si>
    <t>BL on margins of 21st IISS Shangri-la dialogue; French counterpart inferred from French head of delegation</t>
  </si>
  <si>
    <t>BL on margins of 21st IISS Shangri-la dialogue; Japanese counterpart inferred from head of delegation</t>
  </si>
  <si>
    <t>http://eng.mod.gov.cn/xb/News_213114/TopStories/16319209.html</t>
  </si>
  <si>
    <t>Chinese Defense Minister Admiral Dong Jun held talks with visiting Mozambican Defense Minister Cristóvão Artur Chume in Beijing on Thursday.</t>
  </si>
  <si>
    <t>BL on margins of 21st IISS Shangri-la dialogue; New Zealand counterpart inferred from head of delegation</t>
  </si>
  <si>
    <t>BL on margins of 21st IISS Shangri-la dialogue; Thai counterpart inferred from head of delegation</t>
  </si>
  <si>
    <t> Comprehensive Strategic Partnership of Coordination in the New Era [新时代中俄全面战略协作伙伴关系]</t>
  </si>
  <si>
    <t>Longhushan (landing ship) and Zheng He (training ship) attend Russian Navy anniversary in Vladisvostok</t>
  </si>
  <si>
    <t>http://eng.chinamil.com.cn/CHINA_209163/Exchanges/News_209188/16328779.html</t>
  </si>
  <si>
    <t xml:space="preserve"> Chinese naval vessels, the Longhushan and Zheng He, arrived at the Russian port of Vladivostok on the morning of July 26, local time, to begin a four-day friendly visit and participate in the celebration of the 328th anniversary of the founding of the Russian Navy.</t>
  </si>
  <si>
    <t>Joint Strategic Aerial Patrol I</t>
  </si>
  <si>
    <t>8th joint Strategic air patrol. Two Chinese H-6 and two Russian Tu-95 bombers flew off Alaska; first time Chinese bombers have flown within the Alaskan ADIZ. Escorted partly by a Russian Su-30; U.S. and Candaian fights tracked and intercepted the bombers, which stayed outside sovereign US territory.</t>
  </si>
  <si>
    <t>https://apnews.com/article/china-russia-us-military-planes-norad-alaska-4994b489e75ae636b4a4cd5bb40f91ac</t>
  </si>
  <si>
    <t>9th China-Russia air patrol</t>
  </si>
  <si>
    <t>Joint Maritime Cruise 2024-I</t>
  </si>
  <si>
    <t>The joint patrol featured the Russian corvette Sovershenny, the PLA Navy's Type 052D destroyer Yinchuan, Type 054A frigate Hengshui and Type 903 replenishment ship Weishanhu</t>
  </si>
  <si>
    <t>https://www.globaltimes.cn/page/202407/1315995.shtml</t>
  </si>
  <si>
    <t>4th Joint Maritime Patrol, in the Western and Northern Pacific Ocean</t>
  </si>
  <si>
    <t>Jiaozuo destroyer and Honghu replenishment ship left the Russian port of St. Petersburg</t>
  </si>
  <si>
    <t>https://www-81-cn.translate.goog/yw_208727/16328939.html?_x_tr_sch=http&amp;_x_tr_sl=auto&amp;_x_tr_tl=en&amp;_x_tr_hl=en&amp;_x_tr_pto=wapp</t>
  </si>
  <si>
    <t>Jiaozuo destroyer and Honghu replenishment ship visited St. Petersburg for the Russian Navy anniversary and conducted a drill with a Russian Navy frigate.  PRC source calls this a joint exercise but it seems much more like a port call with a light drill added on the end.</t>
  </si>
  <si>
    <t xml:space="preserve">http://eng.mod.gov.cn/xb/News_213114/TopStories/16322940.html; http://www.mod.gov.cn/gfbw/jswj/jl/16323102.html; </t>
  </si>
  <si>
    <t>http://www.mod.gov.cn/gfbw/jswj/cf/16326508.html</t>
  </si>
  <si>
    <t>Third visit of the Peace Ark to Tanzania</t>
  </si>
  <si>
    <t>Peace Unity 2024</t>
  </si>
  <si>
    <t>the sealift assets includd: the amphibious dock landing ship Wuzhishan, the amphibious dock landing ship Qilianshan, and the guided-missile destroyer Hefei.</t>
  </si>
  <si>
    <t>Mozambique also particpated in the exercise, but provided a smaller contingent. Classified as combat exercise based on significant live fire and combined arms elements.</t>
  </si>
  <si>
    <t>Jiaozuo DG and Honghu supply ships</t>
  </si>
  <si>
    <t>http://eng.chinamil.com.cn/CHINA_209163/Exchanges/News_209188/16332206.html</t>
  </si>
  <si>
    <t>The 46th Chinese Navy escort fleet, Jiaozuo destroyer and Honghu supply ship, arrived at the Egyptian port of Alexandria on the 15th, starting a five-day friendly visit.</t>
  </si>
  <si>
    <t>http://www.mod.gov.cn/gfbw/jswj/cf/16329156.html</t>
  </si>
  <si>
    <t>This the first time the Peace Ark has visited Madagascar</t>
  </si>
  <si>
    <t>http://eng.chinamil.com.cn/CHINA_209163/Exchanges/News_209188/16332205.html</t>
  </si>
  <si>
    <t>The last visit of the Peace Ark to Mozambique was in 2017.</t>
  </si>
  <si>
    <t>joint maritime patrols, visit, board, search and seizure (VBSS), maritime rescue, and anti-terrorism and anti-piracy</t>
  </si>
  <si>
    <t>http://eng.chinamil.com.cn/SIDEBAR/WeRecommend/16329725.html</t>
  </si>
  <si>
    <t xml:space="preserve"> amphibious dock landing ship Qilianshan</t>
  </si>
  <si>
    <t>http://eng.mod.gov.cn/xb/News_213114/Features/16334935.html</t>
  </si>
  <si>
    <t>He Fei DDG, Wuzhishan LPD, Qilianshan LPD; ships conducted a PASSEX as they departed</t>
  </si>
  <si>
    <t>https://news.navy.lk/eventnews/2024/08/26/202408261600/</t>
  </si>
  <si>
    <t>Falcon Strike 2024</t>
  </si>
  <si>
    <t>Exercise focused on early warning detection, dissimilar aircraft combat, close air support, penetration assault, and battlefield medical evacuation</t>
  </si>
  <si>
    <t>http://eng.chinamil.com.cn/BILINGUAL/News_209203/16334825.html</t>
  </si>
  <si>
    <t>NSA Sullivan</t>
  </si>
  <si>
    <t>http://eng.mod.gov.cn/xb/News_213114/TopStories/16334468.html</t>
  </si>
  <si>
    <t>PCS: Not sure if we have captured all previous PLA meetings with US NSAs, but earlier entries do include senior PLA officers meeting with civilian officials and even retired officials.\</t>
  </si>
  <si>
    <t>http://eng.mod.gov.cn/xb/News_213114/TopStories/16332372.html</t>
  </si>
  <si>
    <t>Comprehensive Cooperative Strategic Partnership [全面战略合作伙伴关系]</t>
  </si>
  <si>
    <t>http://www.mod.gov.cn/gfbw/jswj/cf/16336065.html</t>
  </si>
  <si>
    <t>This was the second visit of the Peace Ark to Angola. The first was in 2017.</t>
  </si>
  <si>
    <t>http://www.mod.gov.cn/gfbw/jswj/lf/16338033.html</t>
  </si>
  <si>
    <t>BL during 11th Xiangshan - Papikian said that under the strategic guidance of the two heads of state, the Armenian-China relations have maintained a good momentum of development and achieved fruitful results. The cooperation between the two militaries in military education, personnel training and other fields has achieved outstanding results, and he hopes to further deepen bilateral defense relations with China.</t>
  </si>
  <si>
    <t>BL during 11th Xiangshan - Khlenin said that Belarus and China have an all-weather comprehensive strategic partnership. Belarus is willing to continue exchanges and cooperation with China in various fields such as joint training and personnel training, and work together to elevate the relationship between the two militaries to a higher level.</t>
  </si>
  <si>
    <t>Exercise Formosa</t>
  </si>
  <si>
    <t>The US-Brasil part of the exercise included coordinated live fire elements; the PRC-Brasil part "will primarily concentrate on joint landing and anti-landing combat drills". US (63 Marines) and PLA troops (32 Marines) did not interact; PRC sent oberse vrs to the 2023 exercise</t>
  </si>
  <si>
    <t>https://fmso.tradoc.army.mil/2024/chinese-marines-participate-in-brazils-military-exercise-for-the-first-time/; http://eng.chinamil.com.cn/CHINA_209163/Exercises/News_209184/16336575.html; https://english.elpais.com/international/2024-09-12/us-and-chinese-soldiers-take-part-in-joint-military-exercises-in-brazil.html</t>
  </si>
  <si>
    <t>The People's Liberation Army (PLA) Navy will dispatch a Marine Corps detachment to Brazil to take part in a multilateral joint exercise, following an invitation from the Brazilian military. The exercise will primarily concentrate on joint landing and anti-landing combat drills. It aims to strengthen the friendship and collaboration between the Chinese military and its counterparts from the participating nations as well as to bolster their collective capacity to tackle security risks and challenges.</t>
  </si>
  <si>
    <t>http://www.mod.gov.cn/gfbw/jswj/lf/16337971.html</t>
  </si>
  <si>
    <t>BL during 11th Xiangshan - When meeting with Dixieha, Zhang Youxia said that China and Cambodia are partners who share weal and woe and are truly iron-clad. Under the strategic guidance of the leaders of the two countries, the construction of a community with a shared future between China and Cambodia has entered a new era of high quality, high level and high standards. China is willing to inherit and consolidate the special friendly relations with Cambodia, firmly support each other, jointly respond to challenges, promote strategic cooperation, and continue to work hand in hand to safeguard common interests. The cooperation between the two militaries has a long history and fruitful results. It is hoped that the two sides will strengthen high-level strategic communication, deepen practical cooperation in various fields, and promote the relationship between the two militaries to a new level.</t>
  </si>
  <si>
    <t>http://www.mod.gov.cn/gfbw/jswj/lf/16338281.html</t>
  </si>
  <si>
    <t>BL during 11th Xiangshan - Assomo said that China is Cameroon's primary partner in the field of defense and security. During the Beijing Summit of the Forum on China-Africa Cooperation, the two heads of state reached a series of important consensuses, which clarified the development direction of the relations between the two countries and their militaries. Cameroon thanked China for its valuable support in helping Kazakhstan cope with diﬃculties and challenges, and is willing to continue to strengthen practical cooperation with China in various fields such as mutual visits of delegations, military medicine, and counter-terrorism.</t>
  </si>
  <si>
    <t>BL during 11th Xiangshan - Fernandez said Chile has always firmly adhered to the one-China principle and will continue to give firm support to China on various occasions. The two sides have a good mechanism and foundation for defense exchanges, and are willing to continuously expand the breadth and depth of Chile-China cooperation.</t>
  </si>
  <si>
    <t>http://www.mod.gov.cn/gfbw/jswj/cf/16339975.html</t>
  </si>
  <si>
    <t>This is the second visit of the Peace Ark hospital ship and was highly valued by the government of the Republic of Congo.</t>
  </si>
  <si>
    <t>Minister of Internal Affairs and Immigration</t>
  </si>
  <si>
    <t>http://www.mod.gov.cn/gfbw/jswj/lf/16338581.html</t>
  </si>
  <si>
    <t>BL during 11th Beijing Xiangshan Forum.</t>
  </si>
  <si>
    <t>Comprehensive Stategic Collaborative Partnership [全面战略合作伙伴关系]</t>
  </si>
  <si>
    <t>http://eng.chinamil.com.cn/CHINA_209163/Exchanges/News_209188/16341312.html</t>
  </si>
  <si>
    <t>Peace Ark conducted minor drills with Gabonese Navy after visit, such as sailing in formation.</t>
  </si>
  <si>
    <t>BL during 11th Xiangshan - Onkanova said that Gabon and China have a special friendly relationship. Gabon regards China as an important strategic partner. The two heads of state have unanimously decided to expand and deepen BLeral relations. The two sides have broad prospects for cooperation in the field of defense. Gabon is willing to strengthen cooperation with China in the fields of counter-terrorism, anti-piracy, joint exercises and training, personnel training, etc., and promote the continuous development of relations between the two militaries.</t>
  </si>
  <si>
    <t>Training Ship Po Lang sailing ship from Dalian Naval Academy</t>
  </si>
  <si>
    <t>https://srilankachinahotline.srilankamirror.com/news/chinese-navy-training-ship-sets-sail-for-training-foreign-visits</t>
  </si>
  <si>
    <t>Polang is a sailing ship</t>
  </si>
  <si>
    <t>Defense Minister Zakserykov</t>
  </si>
  <si>
    <t>PCS: Added from Ken Allen BL meeting on margins of 11th Xiangshan Forum</t>
  </si>
  <si>
    <t>Comprehensive Strategic Partnership for a New Era [新时代全面战略伙伴关系]</t>
  </si>
  <si>
    <t>BL during 11th Xiangshan - Bekbolotov said that Kyrgyzstan and China are a model of good-neighborly friendship and cooperation, and Kyrgyzstan is grateful for China's long-term selfless help. Kyrgyzstan firmly adheres to the one-China principle and is willing to work with China to implement the important consensus reached by the two heads of state, continue to deepen the brotherly friendship between the two militaries, continuously expand BLeral and multilateral exchanges and cooperation, and take firm steps to consolidate the relationship between the two militaries.</t>
  </si>
  <si>
    <t>BL during 11th Xiangshan - Chansamon said that Laos highly appreciates and firmly supports China's important role in international and regional aﬀairs, and thanks China for its long-term support and assistance to Laos. Last year, the two heads of state jointly signed a new five-year action plan to build a community with a shared future for Laos and China, which pointed out the direction for the development of relations between the two parties, two countries and two militaries. Laos is willing to take this forum as an opportunity to continue to strengthen practical cooperation with China in areas such as joint exercises and training, personnel training, and make positive contributions to deepening relations between the two countries and two militaries</t>
  </si>
  <si>
    <t>BL during 11th Xiangshan - Sayvilo said that the friendship between Madagascar and China has a long history. During the Beijing Summit of the Forum on China-Africa Cooperation, the two heads of state upgraded the Madagascar-China relationship to a comprehensive strategic partnership of cooperation. The two militaries should seize the opportunity and continuously improve the level and quality of exchanges and cooperation.</t>
  </si>
  <si>
    <t>BL during 11th Xiangshan - Gassan said that the friendly relations between Maldives and China are the best example of China treating all countries, big or small, equally. He hopes that the two militaries will have closer personnel exchanges, deepen maritime security cooperation, and further strengthen defense relations.</t>
  </si>
  <si>
    <t>BL during 11th Xiangshan - Xidi said that the Mauritanian side firmly adheres to the one-China principle. The two militaries should conform to the new positioning of BLeral relations, deepen BLeral practical exchanges and cooperation, and promote the further improvement and upgrading of the relationship between the two militaries.</t>
  </si>
  <si>
    <t>http://www.mod.gov.cn/gfbw/gc/hwd/2024_246932/16338275.html</t>
  </si>
  <si>
    <t>BL with Myanmar's Deputy Prime Minister and Union Minister for Defense Admiral Tin Aung San during Xianshan forum</t>
  </si>
  <si>
    <t xml:space="preserve">11th Xiangshan Forum </t>
  </si>
  <si>
    <t xml:space="preserve">http://eng.mod.gov.cn/xb/News_213114/TopStories/16338069.html; https://xiangshanforum.cn/; </t>
  </si>
  <si>
    <t>Sagarmatha Friendship 2024</t>
  </si>
  <si>
    <t>Under the theme of "joint counter-terrorism operations in urban blocks," the joint training will include small arms shooting in special operations, counter-terrorism squad tactics, drone operations, emergency rescue, and comprehensive counter-terrorism exercises.</t>
  </si>
  <si>
    <t>http://eng.chinamil.com.cn/CHINA_209163/Exercises/News_209184/16339979.html</t>
  </si>
  <si>
    <t>Held in southwest China's Chongqing Municipality, this is the fourth iteration of joint training between the two militaries, with the previous session held in 2019.</t>
  </si>
  <si>
    <t>Chairman of Joint Chiefs of Staff Cmte.</t>
  </si>
  <si>
    <t>http://www.mod.gov.cn/gfbw/jswj/lf/16338276.html</t>
  </si>
  <si>
    <t>PCS: Changed from 2-7-25 version; BL with Pakistani Chairman Joint Chiefs of Staﬀ CommitteeLt. Gen. Sahir Shamshad Mirza during Xianshan forum.</t>
  </si>
  <si>
    <t>Deputy Defense Minister Fomin</t>
  </si>
  <si>
    <t>BL during 11th Xiangshan - Fomin said that this year marks the 75th anniversary of the establishment of diplomatic relations between Russia and China. Russia-China relations are of great significance to global and regional security and stability. Russia is willing to continue to carry out pragmatic exchanges and cooperation with China and contribute to strengthening the comprehensive strategic partnership of coordination between Russia and China in the new era.</t>
  </si>
  <si>
    <t xml:space="preserve">Northern Interaction-2024 </t>
  </si>
  <si>
    <t>Joint maritime defense operations. Improve organizational and commanding capabilities in joint sea and air defense operations. The exercise covered a range of training subjects, including naval and air escort, guard and defense, air and missile defense.</t>
  </si>
  <si>
    <t>http://eng.chinamil.com.cn/CHINA_209163/Exercises/News_209184/16341794.html; http://www.mod.gov.cn/gfbw/jsxd/ly/16337324.html; http://www.81.cn/yw_208727/16337286.html</t>
  </si>
  <si>
    <t>The closing ceremony of the China-Russia Northern/Interaction-2024 exercise was held on September 27. Centered on joint maritime defense operations, the participating forces of China and Russia coordinated closely during the exercise and effectively improved their organizational and commanding capabilities in joint sea and air defense operations. The exercise covered a range of training subjects, including naval and air escort, guard and defense, air and missile defense. All subjects were combat-oriented and were completed successfully.</t>
  </si>
  <si>
    <t>Joint Maritime Cruise 2024-II</t>
  </si>
  <si>
    <t>Russian Navy destroyers RFS Admiral Panteleyev (548) and RFS Admiral Tributs (564) and corvettes RFS MPK-107 (332), RFS MPK-82 (375) and RFS Smerch (423) and PLAN cruiser CNS Wuxi (104), destroyer CNS Xining (117), frigate CNS Linyi (547) and fleet oiler CNS Taihu (889) form joint SAG in Northwestern Pacific Ocean</t>
  </si>
  <si>
    <t>https://news.usni.org/2024/10/01/9-russian-chinese-warships-on-joint-patrol-in-the-northwest-pacific-after-major-naval-exercise</t>
  </si>
  <si>
    <t>5th (?) Joint Maritime Patrol, in the Western and Northern Pacific Ocean following Northern Interaction naval exercise</t>
  </si>
  <si>
    <t>BL during 11th Xiangshan - When meeting with Wong Eng Hen, Zhang Youxia introduced the spirit of the Third Plenary Session of the 20th CPC Central Committee, emphasizing that this meeting made overall arrangements for further deepening reform in an all-round way, promoting high- quality development and high-level opening up, and provided a new and important opportunity for the cooperation between China and Singapore and the development of regional countries. He said that China is willing to work with Singapore to deepen the implementation of the important consensus reached by the leaders of the two countries, further promote the upward and positive development of BLeral cooperation, and better benefit the people of the two countries and the region. It is hoped that the two militaries will maintain close high-level interactions, deepen and expand practical cooperation in various fields such as joint exercises and training, and personnel training, so as to promote the continuous development of the relationship between the two militaries.</t>
  </si>
  <si>
    <t>China-Singapore Exercise Cooperation 2024</t>
  </si>
  <si>
    <t>http://eng.chinamil.com.cn/BILINGUAL/News_209203/16335372.html; https://www.mindef.gov.sg/news-and-events/latest-releases/14nov24_nr; https://www.scmp.com/news/china/military/article/3276822/china-and-singapore-embark-bigger-joint-navy-exercise-south-china-sea-tension-rises</t>
  </si>
  <si>
    <t>Type 054A frigate Sanya and Type 082-II minesweeper Hejian; Singapore frigate RSS Stalwart</t>
  </si>
  <si>
    <t>BL with Minister of Defense and Military Veterans Ms Angie Motshekga during Xianshan forum</t>
  </si>
  <si>
    <t>Comprehensive Strategic Cooperative Partnership in the New Era [新时代全面战略合作伙伴关系]</t>
  </si>
  <si>
    <t>BL during 11th Xiangshan - Mirzo said that China is a reliable partner and close friend of Tajikistan, and Tajikistan is willing to work with China to implement the consensus reached by the two heads of state and continue to strengthen cooperation in areas such as counter-terrorism, peacekeeping and personnel training.</t>
  </si>
  <si>
    <t>Minsiter of Defense and National Service</t>
  </si>
  <si>
    <t>BL during the 11th Beijing Xiangshan Forum.</t>
  </si>
  <si>
    <t>Minister for State Defense</t>
  </si>
  <si>
    <t>BL during 11th Xiangshan - Mazrui said that this year marks the 40th anniversary of the establishment of diplomatic relations between UAE and China. Under the strategic guidance of the two heads of state, the comprehensive strategic partnership between UAE and China continues to consolidate. The military cooperation between Afghanistan and China is fruitful. UAE is willing to continue to strengthen high-level military visits with China, strengthen mutually beneficial and friendly cooperation in personnel training, joint exercises and training, and promote the development of BLeral relations to a higher level.</t>
  </si>
  <si>
    <t>Wu Yanan</t>
  </si>
  <si>
    <t>Southern Theater Commmander</t>
  </si>
  <si>
    <t>Theater Commander (US INDOPACOM)</t>
  </si>
  <si>
    <t>http://eng.chinamil.com.cn/CHINA_209163/Exchanges/News_209188/16340241.html</t>
  </si>
  <si>
    <t>US INDOPACOM Commander ADM Samuel Paparo</t>
  </si>
  <si>
    <t>PCS: Wu Yanan met with ADM Paparo and they exchanged views candidly and in-depth on issues of common concern around the implementation of the consensus reached by the two heads of state.</t>
  </si>
  <si>
    <t>https://www.pacom.mil/Media/News/News-Article-View/Article/3900303/readout-of-commander-us-indo-pacific-command-call-with-pla-southern-theater-com/</t>
  </si>
  <si>
    <t>VTC prior to Southern TC travel to Hawaii for Pacfic Army Conference</t>
  </si>
  <si>
    <t>BL during 11th Xiangshan - When meeting with Phan Van Giang, Zhang Youxia said that General Secretary Xi Jinping and General Secretary To Lin had recently made strategic arrangements for deepening the construction of a China-Vietnam community with a shared future, and the development of the military relations between the two countries has ushered in a new opportunity. The Chinese and Vietnamese militaries are both defenders of the socialist path and promoters of the country's modernization process. They should follow the blueprint and guidance of the top leaders of the two parties, carry forward traditional friendship, continue to deepen mutual understanding and trust, explore new growth points for cooperation, strengthen practical cooperation in joint exercises and training, maritime security, international peacekeeping and other fields, and promote the continuous development of the military relations between the two countries.</t>
  </si>
  <si>
    <t>Naval training ship Qi Jiguang (Hull 83) and amphibious dock landing ship Jinggangshan (Hull 999)</t>
  </si>
  <si>
    <t>http://www.mod.gov.cn/gfbw/jswj/cf/16345594.html</t>
  </si>
  <si>
    <t>Jinggangshan is in South Sea Fleet; Dalian Naval Ship Academy is in North Sea Fleet AOR but reports to PLAN HQ. Coded as South Sea Fleet based on Jinggangshan.</t>
  </si>
  <si>
    <t>http://www.mod.gov.cn/gfbw/jswj/cf/16346117.html</t>
  </si>
  <si>
    <t>http://www.mod.gov.cn/gfbw/jswj/jt_214074/16345615.html</t>
  </si>
  <si>
    <t>This was the fist visit of Peace Ark to Cameroon.</t>
  </si>
  <si>
    <t>Cooperation-2024.11.FAD (Forces Armées Djibouti)</t>
  </si>
  <si>
    <t>http://eng.mod.gov.cn/xb/News_213114/TopStories/16349482.html; http://eng.chinamil.com.cn/MEDIA/PhotosChina/16349153.html</t>
  </si>
  <si>
    <t>https://www.nst.com.my/news/nation/2024/10/1125283/chinese-navy-training-vessel-po-lang-docks-penang</t>
  </si>
  <si>
    <t>http://www.mod.gov.cn/gfbw/jswj/jt_214074/16348887.html</t>
  </si>
  <si>
    <t>This is the first time that the Peace Ark hospital ship has visited Mauritania, and it is also the first visit by a Chinese naval ship since the establishment of diplomatic relations between China and Mauritania.</t>
  </si>
  <si>
    <t>http://eng.mod.gov.cn/xb/CMCDEPARTMENTS/News_213079/16345857.html</t>
  </si>
  <si>
    <t>On October 15, Vice Chairman of the Central Military Commission Zhang Youxia met in Beijing with Russian Defense Minister Belousov who was visiting China. Belousov also met with Dong Jun, Min Def, while in Beijing.</t>
  </si>
  <si>
    <t>Commando 2024</t>
  </si>
  <si>
    <t>Focusing on joint CT operations, the training included special demolition blasting, helicopter landing, joint search and suppression, and others.</t>
  </si>
  <si>
    <t>http://eng.chinamil.com.cn/CHINA_209163/Exercises/News_209184/16345822.html</t>
  </si>
  <si>
    <t xml:space="preserve">Held in Kunming City, in southwest China's Yunnan Province. It marks the seventh event of the "Commando" series of joint training held by Chinese and Thai militaries. </t>
  </si>
  <si>
    <t>President (and Prime Minister, and Gen Sec of Communist Party of Vietnam)</t>
  </si>
  <si>
    <t>http://www.mod.gov.cn/gfbw/jswj/cf/16347663.html</t>
  </si>
  <si>
    <t>Zhang Youxia, Vice Chairman of the Central Military Commission, led a delegation to visit Vietnam at the invitation of the Vietnam government. He met with To Lin, General Secretary of the Communist Party of Vietnam, President Luong Cuong, and Prime Minister Pham Minh Chinh respectively.</t>
  </si>
  <si>
    <t>http://www.mod.gov.cn/gfbw/jswj/jl/16354058.html</t>
  </si>
  <si>
    <t>During the five-day technical stop, the hospital ship organized ship open activities in batches. Afghan doctors, oﬃcers, local university students, as well as overseas Chinese and Chinese-funded institutions visited the ship and gained a deep understanding of the hospital ship's mission through the detailed explanations of the guides. In addition, the mission oﬃcers and soldiers also visited the local military museum and organized a friendly football match with Afghan naval oﬃcers and soldiers to enhance mutual understanding through in-depth exchanges.</t>
  </si>
  <si>
    <t>Comprehensive Strategic Partnership [全面战略伙伴关系]</t>
    <phoneticPr fontId="14" type="noConversion"/>
  </si>
  <si>
    <t>http://eng.mod.gov.cn/xb/News_213114/TopStories/16353453.html</t>
  </si>
  <si>
    <t>11th ADMM+</t>
  </si>
  <si>
    <t>http://www.mod.gov.cn/gfbw/jswj/jl/16353474.html</t>
  </si>
  <si>
    <t>China-ASEAN Defense Ministers Infoemal Meeting. This is technically separate from the ADMM+ mechanism, since it is a PRC BL meeting with the ASEAN Defense Ministers</t>
  </si>
  <si>
    <t>Meet India Min Def on margins during the 11th ADMM+</t>
  </si>
  <si>
    <t>BL on margins of 14th China-ASEAN Defense Ministers' Informal Meeting</t>
  </si>
  <si>
    <t>President (and Party Central Committee General Secretary)</t>
  </si>
  <si>
    <t>http://www.mod.gov.cn/gfbw/jswj/cf/16353872.html</t>
  </si>
  <si>
    <t>November 22 Thongloun, General Secretary of the Central Committee of the Lao People's Revolutionary Party and President, met with visiting Chinese Defense Minister Dong Jun in Vientiane on the 22nd. On the same day, Dong Jun held talks with Lao Deputy Prime Minister and Defense Minister Chan Samoeun and visited the Lao Army 103 Hospital.</t>
  </si>
  <si>
    <t>Peace Train 2024</t>
  </si>
  <si>
    <t xml:space="preserve">joint humanitarian medical support exercise and medical service activities </t>
  </si>
  <si>
    <t>http://eng.chinamil.com.cn/CHINA_209163/Exercises/News_209184/16351016.html</t>
  </si>
  <si>
    <t>Held in Vientiane, Laos.</t>
  </si>
  <si>
    <t>Meet Malaysian Min Def on margins during the 11th ADMM+</t>
  </si>
  <si>
    <t>Meet New Zealand Min Def on margins during the 11th ADMM+</t>
  </si>
  <si>
    <t>https://www.scmp.com/news/china/military/article/3288560/china-and-pakistan-talk-security-they-target-terrorism-against-belt-and-road-projects</t>
  </si>
  <si>
    <t>On margins of 11th Xiangshan Forum Security talks with Pakistani counterpart amid joint counterterrorism drills in the wake of several attacks targeting Chinese interests and citizens in the South Asian country.</t>
  </si>
  <si>
    <t>Warrior VIII</t>
  </si>
  <si>
    <t>The exercise will involve troops from the Western Theater Command of the PLA. Will train in multi-level and mixed training across various specialties and organize live troop drills in accordance with the actual combat process.</t>
  </si>
  <si>
    <t>http://eng.mod.gov.cn/xb/MilitaryServices/News_213106/16360289.html; https://www.voanews.com/a/china-pakistan-to-hold-first-anti-terror-drills-in-5-years-amid-rising-attacks/7869287.html; https://www.globaltimes.cn/page/202411/1324090.shtml</t>
  </si>
  <si>
    <t>this is the countries' first joint counterterrorism military exercise in five years.</t>
  </si>
  <si>
    <t>https://srilankachinahotline.srilankamirror.com/news/chinese-navy-training-ship-sets-sail-for-training-foreign-visits (or) http://www.mod.gov.cn/gfbw/jswj/cf/16349523.html</t>
  </si>
  <si>
    <t>Exercise Cooperation 2024 (in Henan, China)</t>
  </si>
  <si>
    <t>This year’s exercise will centre on urban Counter-Terrorism (CT) operations, similar to the previous iteration of the exercise in 2023. Personnel from the SAF's 3rd Singapore Division and 1st Commando Battalion will train alongside the PLA’s Central Theatre Command-Army’s 81st Army Group. The exercise will feature a battalion-level Command Post and Field Training Exercise, as well as professional exchanges on CT operations in support of a rescue scenario. Participants will also engage in tactical drills, small-arms live firing, and cohesion activities. These interactions aim to strengthen professional exchanges and build people-to-people ties.</t>
  </si>
  <si>
    <t xml:space="preserve">https://www.mindef.gov.sg/news-and-events/latest-releases/14nov24_nr#:~:text=The%20Singapore%20Armed%20Forces%20(SAF,17%20to%2028%20November%202024 (or) http://eng.chinamil.com.cn/CHINA_209163/Exercises/News_209184/16353208.html </t>
  </si>
  <si>
    <t>see also OSINT report ASD25C88038 (26 Nov 2024).</t>
  </si>
  <si>
    <t>Heads of various African Navies</t>
  </si>
  <si>
    <t>http://eng.mod.gov.cn/xb/News_213114/TopStories/16356311.html; http://eng.mod.gov.cn/xb/News_213114/TopStories/16355659.html; https://www.abujanetworknews.com.ng/2024/12/chief-of-naval-staff-leads-nigerias.html; http://eng.chinamil.com.cn/CHINA_209163/TopStories_209189/16356268.html</t>
  </si>
  <si>
    <t>2nd Seminar on Security Situation in the Gulf of Guinea in Shanghai; delegation include Nigeria Chief of Navy Staff Emmanuel Ikechukwu Ogalla and Gabon National Navy Chief of Staff Charles Hubert Bekale Meyong. PCS: coded as African Union to match 2022 entry and because this is under the FOCAC umbrella. See https://www.mfa.gov.cn/eng/xw/zyxw/202409/t20240905_11485719.html</t>
  </si>
  <si>
    <t>https://www.plenglish.com/news/2024/12/14/president-diaz-canel-meets-vice-chair-of-chinese-military-commision/</t>
  </si>
  <si>
    <t>http://eng.mod.gov.cn/xb/MilitaryServices/News_213106/16360291.html</t>
  </si>
  <si>
    <t>The 12th and final stop of Peace Ark in Africa. Next stop is Sri Lanka.</t>
  </si>
  <si>
    <t>amphibious assault ship Hainan (Hull 31) and guided-missile frigates Hengyang (Hull 568) and Liuzhou (Hull 573)</t>
  </si>
  <si>
    <t>http://eng.chinamil.com.cn/CHINA_209163/Exchanges/News_209188/16361429.html; https://internationaldefenceanalysis.com/pla-navy-type-075-makes-first-overseas-stop-in-indonesia/; https://www.globaltimes.cn/page/202412/1325810.shtml?utm_source=chatgpt.com</t>
  </si>
  <si>
    <t>A Chinese naval taskforce, including the amphibious assault ship Hainan (Hull 31) and guided-missile frigates Hengyang (Hull 568) and Liuzhou (Hull 573), made a port call on December 24 at Tanjung Priok Port in Indonesia for a four-day replenishment and rest.</t>
  </si>
  <si>
    <t>Peace Garuda 2024</t>
  </si>
  <si>
    <t>Based on a significant natural disaster scenario, the drills occurred across land, sea, and air domains at various training sites in Indonesia, focusing on enhancing humanitarian assistance and disaster relief (HADR) capabilities; including paratroop drops</t>
  </si>
  <si>
    <t xml:space="preserve">PLA Daily 6 December 2024 李利军, 段江⼭ | “和平神鹰-2024”联演——中印尼参演部队展开灾害救援实兵演练 | 解放军报 </t>
  </si>
  <si>
    <t xml:space="preserve"> Based on a significant natural disaster scenario, the drills occurred across land, sea, and air domains at various training sites in Indonesia, focusing on enhancing humanitarian assistance and disaster relief (HADR) capabilities. Included special operations forces and paratroop drops</t>
  </si>
  <si>
    <t>On the afternoon of December 5, General Secretary of the Central Committee of the Lao People's Revolutionary Party and President Thongloun Sisoulith met with visiting Vice Chairman of the Central Military Commission He Weidong in Vientiane. On the same day, He Weidong held talks with Lao Deputy Prime Minister and Defense Minister Chansamone.</t>
  </si>
  <si>
    <t>Joint Strategic Aerial Patrol II</t>
  </si>
  <si>
    <t>The Chinese and Russian air forces completed the second phase of the ninth joint strategic aerial patrol in the western Pacific airspace. As part of the annual cooperation between the two militaries, the joint aerial patrol was carried out in the relevant airspace of the Sea of Japan. It is the ninth joint aerial patrol organized by the two militaries since 2019, and the second this year.</t>
  </si>
  <si>
    <t>http://eng.mod.gov.cn/xb/News_213114/TopStories/16355257.html; https://www.reuters.com/world/china-russia-militaries-conduct-joint-air-patrol-over-sea-japan-2024-11-29/; http://www.xinhuanet.com/milpro/20241129/16d6e990686c42c7968f6b9637b3e7eb/c.html</t>
  </si>
  <si>
    <t>http://eng.mod.gov.cn/xb/News_213114/TopStories/16360265.html</t>
  </si>
  <si>
    <t>General Secretary of Comm Party, and Minister of Defense</t>
  </si>
  <si>
    <t>http://www.mod.gov.cn/gfbw/jswj/cf/16359791.html</t>
  </si>
  <si>
    <t>Changsha DDG and amphibious warfare ship Jinggangshan – docked in Da Nang</t>
  </si>
  <si>
    <t>https://www.scmp.com/news/china/diplomacy/article/3292880/chinese-warships-make-port-call-vietnam-after-talks-joint-patrols</t>
  </si>
  <si>
    <t>Four day talks on joint maritime patrols</t>
  </si>
  <si>
    <t>https://www.gulf-times.com/article/672512/qatar/chief-of-staff-meets-deputy-chief-of-joint-staff-of-china-central-military-commission; https://thepeninsulaqatar.com/article/28/11/2023/qatar-china-officials-review-military-cooperation</t>
  </si>
  <si>
    <t>http://en.people.cn/n3/2023/0517/c90000-20019709.html; https://www.nzdf.mil.nz/media-centre/news/new-zealand-china-strategic-defence-dialogue/</t>
  </si>
  <si>
    <t>11th New Zealand-China Strategic Defence Dialogue in Xi'an; Vice Chief of Defence Force, Air Vice-Marshal Tony Davies, and Ministry of Defence Deputy Secretary Policy and Planning, Richard Schmidt PLA head of delegation not mentioned but 2019 physical and 2022 virtual meetings were with Chief of JSD Li Zuocheng</t>
  </si>
  <si>
    <t>https://www.defence.govt.nz/news/12th-new-zealand-china-strategic-defence-dialogue/</t>
  </si>
  <si>
    <t xml:space="preserve">12th China-New Zealand Strategic Defense Dialogue. Hosted by Acting Vice Chief of Defence Force Commodore Mat Williams and Deputy Secretary Policy and Planning of the Ministry of Defence Richard Schmidt. PLA head of del not mentioned; previous meetings were with Li Zuochang. </t>
  </si>
  <si>
    <t>http://eng.mod.gov.cn/xb/News_213114/TopStories/16340972.html</t>
  </si>
  <si>
    <t>China-UK defense strategic consultations. Participants not named, but previous consultations were at the deputy chief of JSD level</t>
  </si>
  <si>
    <t>http://www.mod.gov.cn/gfbw/qwfb/16361205.html</t>
  </si>
  <si>
    <t>The 14th China-France Senior Military Officers Security Policy Seminar; Participants not named, but previous consultations were at the deputy chief of JSD level</t>
  </si>
  <si>
    <t>Vice Chief of Defense Force</t>
  </si>
  <si>
    <t>Wu Yanan met with ADM Paparo and they exchanged views candidly and in-depth on issues of common concern around the implementation of the consensus reached by the two heads of state.</t>
  </si>
  <si>
    <t>Presumably counterpart visit with MINDEF? On the afternoon of December 19, General Secretary of the Communist Party of Vietnam To Lin met with visiting Chinese Defense Minister Dong Jun in Hanoi.</t>
  </si>
  <si>
    <t xml:space="preserve">Wu Yanan, Southern TC Commander led a delegation to Hawaii to attend the Indo-Pacific Defense Commanders' Conference. "bilateral meetings or interactive exchanges were held with representatives from Thailand, Singapore, the Philippines, the United Kingdom, France, the United States and other countries." </t>
  </si>
  <si>
    <t>http://english.chinamil.com.cn/view/2017-12/13/content_7865423.htm; http://english.chinamil.com.cn/view/2017-12/21/content_7878182.htm</t>
  </si>
  <si>
    <t>CMC/JSD CJS</t>
  </si>
  <si>
    <t>He Lei</t>
  </si>
  <si>
    <t>LTG</t>
  </si>
  <si>
    <t>a battalion-sized element from PLA Central Theater Command 82nd Group Army including assault, reconnaissance, intelligence, special operations, information support and logistics elements, an information and communications regiment, and a military hospital. Exercise also assigned an exercise director and staff to evaluate the performance of units and commanders. The exercise also involved live-fire, integrated logistics, opposition force elements, and shared command and control. Also displayed were power projection capabilities, like the Y-20 strategic transport aircraft and sealift assets. Note: PLA marines from the Djibouti base were part of the PLA Contingent in these drills and this may be the first time PLA marines based in Djibouti have exercised with foreign militaries. Naval flotilla sent from Southern TC Navy</t>
  </si>
  <si>
    <t>https://ssi.armywarcollege.edu/SSI-Media/Recent-Publications/Display/Article/3930357/peace-and-unity-chinas-growing-military-footprint-in-tanzania/; https://africacenter.org/spotlight/militarization-china-africa-policy/; https://cartamz.com/index.php/sociedade/item/17226-mocambique-tanzania-e-china-em-exercicios-militares-conjuntos-para-o-combate-ao-terrorismo</t>
  </si>
  <si>
    <t>Cooperation-2024.7.FAD (Forces Armées Djibouti)</t>
  </si>
  <si>
    <t>http://world.people.com.cn/n1/2024/0727/c1002-40286881.html</t>
  </si>
  <si>
    <t>Described as annual routine military cooperation activity; November 2024 exercise included naval elements as well.</t>
  </si>
  <si>
    <t>Marines from PLA Djibouti base and Djibouti army formed a joint task force, and the command group is jointly held by the leaders of both sides. "jointly attacking terrorists in desert areas", focusing on practical exercises such as coordinated reconnaissance, joint firepower strikes, and joint force assaults. three stages: research and training, adaptive training, and live-fire exercises.</t>
  </si>
  <si>
    <t>Marines from Djibouti base exercised with Djibouti armed forces on "joint anti-terrorism military operation", with a land phase and a sea phase. Land training included fire strike, armed escort, counter-piracy and other subjects, involved more than 300 soldiers, five boats, and more than 40 armored vehicles, artilleries, and logistic vehicles from both sides. Sea phase was scenario of "joint escort and anti-piracy". The two navies carried out seven training subjects, namely dock loading, blockade, armed escort, joint patrol at sea, anti-piracy, visit, board, search and seizure (VBSS) and covert raid. Described as PLAN's first exercise with Djibouti Navy</t>
  </si>
  <si>
    <t>Coded as joint because of the land and sea phases of the exercise. No references to the July 2024 exercise. Is that different? July 27, 2024 13:50 | Source: People's Daily Online - International Channel; People's Daily Online, Dubai, July 27 (Zhang Zhiwen, Wang Zongyang, Mi Peng) Djibouti City News.</t>
  </si>
  <si>
    <t>China and SCO Military Diplomacy 2010-2024</t>
  </si>
  <si>
    <t>CCMD Figure 1: PLA Military Diplomatic Interactions by US CCMD AOR, 2002-2024</t>
  </si>
  <si>
    <t>Largest Differentials Between Meetings Hosted in China and Abroad 2002-2024 (INDOPACOM)</t>
  </si>
  <si>
    <t>Top 10 Most Frequent Military Diplomatic Partners, 2002-2024</t>
  </si>
  <si>
    <t>Total PLA International Military Exercises by Function, 2002-2024</t>
  </si>
  <si>
    <t>Zhoushan 529 FFG, Xuzhou 530 FFG, Qiandaohu 886</t>
  </si>
  <si>
    <t>Erickson, Six Years at Sea…, p.81</t>
  </si>
  <si>
    <t>PLAN Frigate IMDEX07</t>
  </si>
  <si>
    <t>Yancheng FFG, Daqing, FFG, Tai Hu oiler visited San Diego</t>
  </si>
  <si>
    <t>https://thaimilitaryandasianregion.blogspot.com/2016/12/chinese-naval-ships-visit-san-diego.html</t>
  </si>
  <si>
    <t>Yemen NEO</t>
  </si>
  <si>
    <t>Linyi FFG, Weifang FFG</t>
  </si>
  <si>
    <t>https://jamestown.org/program/pla-navy-used-for-first-time-in-naval-evacuation-from-yemen-conflict/</t>
  </si>
  <si>
    <t>ETF or NETF</t>
  </si>
  <si>
    <t>ETF</t>
  </si>
  <si>
    <t xml:space="preserve">ETF-01 </t>
  </si>
  <si>
    <t>ETF-02</t>
  </si>
  <si>
    <t>ETF-03</t>
  </si>
  <si>
    <t>ETF-04</t>
  </si>
  <si>
    <t>ETF-05</t>
  </si>
  <si>
    <t>ETF-06</t>
  </si>
  <si>
    <t>ETF-07</t>
  </si>
  <si>
    <t>ETF-08</t>
  </si>
  <si>
    <t>ETF-09</t>
  </si>
  <si>
    <t>1985-11  DD132 Hefei</t>
  </si>
  <si>
    <t>1989-03 Zhenghe</t>
  </si>
  <si>
    <t>1990-03 Zhenghe</t>
  </si>
  <si>
    <t>1993-10 Zhenghe</t>
  </si>
  <si>
    <t>1994-05 DD166 Zhuhai</t>
  </si>
  <si>
    <t>1995-08 DD166 Zhuhai</t>
  </si>
  <si>
    <t>1995-08 FFG541 Huaibei</t>
  </si>
  <si>
    <t>1996-07 DD112 Harbin</t>
  </si>
  <si>
    <t>1997-02 DDG113 Qingdao</t>
  </si>
  <si>
    <t>1997-02 DD112 Harbin</t>
  </si>
  <si>
    <t>1998-04 DDG113 Qingdao</t>
  </si>
  <si>
    <t>2002-07 DD167 Shenzhen</t>
  </si>
  <si>
    <t>2000-08 DDG113 Qingdao</t>
  </si>
  <si>
    <t>2002-08 DDG113 Qingdao</t>
  </si>
  <si>
    <t>2001-05 DD112 Harbin</t>
  </si>
  <si>
    <t>2001-08 DD167 Shenzhen</t>
  </si>
  <si>
    <t>2001-09 FF564 Yichang</t>
  </si>
  <si>
    <t>2001-11 FF565 Yulin</t>
  </si>
  <si>
    <t>2002-05 DDG113 Qingdao</t>
  </si>
  <si>
    <t>2002-05 FF521 Jiaxing</t>
  </si>
  <si>
    <t>2002-10 DD167 Shenzhen</t>
  </si>
  <si>
    <t>2003-10 DD167 Shenzhen</t>
  </si>
  <si>
    <t>2003-11 FF564 Yichang</t>
  </si>
  <si>
    <t xml:space="preserve">2004-05 Unknown </t>
  </si>
  <si>
    <t xml:space="preserve">2005-11  DD167 Shenzhen </t>
  </si>
  <si>
    <t>2006-08 DDG113 Qingdao</t>
  </si>
  <si>
    <t xml:space="preserve">2009-11 Zhenghe </t>
  </si>
  <si>
    <t xml:space="preserve">2009-10 Zhenghe </t>
  </si>
  <si>
    <t xml:space="preserve">2010-11 Peace Ark </t>
  </si>
  <si>
    <t xml:space="preserve">2011-10 Peace Ark </t>
  </si>
  <si>
    <t xml:space="preserve">2013-04 Zhenghe </t>
  </si>
  <si>
    <t>2013-06 Harmonious Mission</t>
  </si>
  <si>
    <t>2013-08 DDG113 Qingdao</t>
  </si>
  <si>
    <t xml:space="preserve">2013-08 Zhenghe </t>
  </si>
  <si>
    <t>2013-09 DDG170 Lanzhou</t>
  </si>
  <si>
    <t xml:space="preserve">2013-11  Medical Mission </t>
  </si>
  <si>
    <t xml:space="preserve">2014-04 Zhenghe </t>
  </si>
  <si>
    <t xml:space="preserve">2014-07 Harmonious Mission </t>
  </si>
  <si>
    <t>2014-09 SSK329</t>
  </si>
  <si>
    <t xml:space="preserve">2015-04 Zhu Kezhen </t>
  </si>
  <si>
    <t xml:space="preserve">2015-05 Zhu Kezhen </t>
  </si>
  <si>
    <t xml:space="preserve">2015-10 Harmonious Mission </t>
  </si>
  <si>
    <t>2015-10  Zhenghe</t>
  </si>
  <si>
    <t xml:space="preserve">2015-11 Harmonious Mission </t>
  </si>
  <si>
    <t xml:space="preserve">2015-11  Harmonious Mission </t>
  </si>
  <si>
    <t xml:space="preserve">2015-12 Harmonious Mission </t>
  </si>
  <si>
    <t xml:space="preserve">2016-10 Zhenghe </t>
  </si>
  <si>
    <t xml:space="preserve">2016-11 Zhenghe </t>
  </si>
  <si>
    <t>2016-11 DDG546 Yancheng</t>
  </si>
  <si>
    <t xml:space="preserve">2016-12 Zhenghe </t>
  </si>
  <si>
    <t>2016-12</t>
  </si>
  <si>
    <t>2017-05 DDG150 Changchun</t>
  </si>
  <si>
    <t>2017-08 Peace Ark</t>
  </si>
  <si>
    <t>2017-09 Peace Ark</t>
  </si>
  <si>
    <t>2017-10 Peace Ark</t>
  </si>
  <si>
    <t>2017-11 Peace Ark</t>
  </si>
  <si>
    <t>2017-12 Peace Ark</t>
  </si>
  <si>
    <t>2018-7 Peace Ark</t>
  </si>
  <si>
    <t>2018-8 Peace Ark</t>
  </si>
  <si>
    <t>2018-9 Peace Ark</t>
  </si>
  <si>
    <t>2018-10 Peace Ark</t>
  </si>
  <si>
    <t>2018-11 Peace Ark</t>
  </si>
  <si>
    <t>2018-12 Peace Ark</t>
  </si>
  <si>
    <t>Training Ship Qi Jiguang</t>
  </si>
  <si>
    <t>Mission Harmony-2022</t>
  </si>
  <si>
    <t>Bangladesh International Fleet Review</t>
  </si>
  <si>
    <t xml:space="preserve">2023-7 Peace Ark </t>
  </si>
  <si>
    <t xml:space="preserve">2023-9 Peace Ark </t>
  </si>
  <si>
    <t>83 task unit</t>
  </si>
  <si>
    <t>Jiaozuo and Honghu</t>
  </si>
  <si>
    <t>Longhushang landing ship</t>
  </si>
  <si>
    <t>Harmonious Mission 2024 Peace Ark</t>
  </si>
  <si>
    <t>Peace Ark - Harmonious Mission 2024</t>
  </si>
  <si>
    <t>He Fei DDG, Wuzhishan LPD, Qilianshan LPD</t>
  </si>
  <si>
    <t>Training Ship Po Lang</t>
  </si>
  <si>
    <t>Training ship Qi Jiguang (Hull 83) and amphibious dock landing ship Jinggangshan (Hull 999)</t>
  </si>
  <si>
    <t>Hainan Naval Task Force</t>
  </si>
  <si>
    <t>Count of ETF or NETF</t>
  </si>
  <si>
    <t>;'/.,m</t>
  </si>
  <si>
    <t>03-20-2025 graphic will update if current years data changes but will have to relink when adding a new year</t>
  </si>
  <si>
    <t>Data derived from "CCMD Table 3 Pivot Table" Worksheet</t>
  </si>
  <si>
    <t>http://english.chinamil.com.cn/view/2017-08/28/content_7733398.htm; http://www.xinhuanet.com/mil/2017-08/27/c_129690040.htm</t>
  </si>
  <si>
    <t xml:space="preserve">FFG568 Hengyang, FFG569 Yulin, AOR 963 Honghu </t>
  </si>
  <si>
    <t xml:space="preserve">FFG568 Hengyang, FFG569 Yulin, AOR 963 Honghu  </t>
  </si>
  <si>
    <t>FFG577 Huanggang, FFG578 Yangzhou, AOR966 Gaoyouhu</t>
  </si>
  <si>
    <t>http://english.chinamil.com.cn/view/2017-09/15/content_7757901.htm; http://english.chinamil.com.cn/view/2017-10/17/content_7790399.htm</t>
  </si>
  <si>
    <t>DDG150 Changchun, FFG532 Jingzhou, AOR890 Chaohu</t>
  </si>
  <si>
    <t>FFG577 Huanggang, FFG578 Yangzhou</t>
  </si>
  <si>
    <t>TS83 QiJiguang</t>
  </si>
  <si>
    <t>FFG571 Yuncheng</t>
  </si>
  <si>
    <t>DDGHefei, FFG571 Yuncheng</t>
  </si>
  <si>
    <t>DDGHefei, FFG571 Yuncheng, AOR Luomahu</t>
  </si>
  <si>
    <t>2017-08 DDG150 Changchun</t>
  </si>
  <si>
    <t>2017-09 DDG150 Changchun</t>
  </si>
  <si>
    <t>2017-08 DDG174 Hefei</t>
  </si>
  <si>
    <t>In conjunction with Joint Sea 2017 exercise with Russian Navy</t>
  </si>
  <si>
    <t>http://english.chinamil.com.cn/view/2017-08/02/content_7699947.htm; http://english.chinamil.com.cn/view/2017-08/16/content_7720657.htm</t>
  </si>
  <si>
    <t>http://english.chinamil.com.cn/view/2017-08/06/content_7705899.htm; http://english.chinamil.com.cn/view/2017-08/16/content_7720657.htm</t>
  </si>
  <si>
    <t>2017-10 TS83 Qi Jiguang</t>
  </si>
  <si>
    <t>2017-11 TS83 Qi Jiguang</t>
  </si>
  <si>
    <t>2017-11 FFG571 Yuncheng</t>
  </si>
  <si>
    <t>Had previously participated in Joint Sea 2017 with DDG Hefei</t>
  </si>
  <si>
    <t>2017-11 DDG150 Changchun</t>
  </si>
  <si>
    <t>DDG150 Changchun</t>
  </si>
  <si>
    <t>http://english.chinamil.com.cn/view/2017-11/10/content_7820123.htm</t>
  </si>
  <si>
    <t>Participated in International Fleet Review 2017; sailed from Zhoushan</t>
  </si>
  <si>
    <t>http://english.chinamil.com.cn/view/2017-07/17/content_7678654.htm</t>
  </si>
  <si>
    <t>Source refers to Turkey as next stop; wrap up report includes a port call in Turkey</t>
  </si>
  <si>
    <t>http://english.chinamil.com.cn/view/2017-10/16/content_7788876.htm</t>
  </si>
  <si>
    <t>Date inferred from Brunei visit date and wrapup article</t>
  </si>
  <si>
    <t>2017-10 DDG150 Changchun</t>
  </si>
  <si>
    <t>http://www.chinadaily.com.cn/china/2017-10/06/content_32901405.htm</t>
  </si>
  <si>
    <t>Last stop of 20 country, six month series of port calls</t>
  </si>
  <si>
    <t>Second stop on 20 country series of port calls</t>
  </si>
  <si>
    <t>First stop on 20 country, six month series of port calls</t>
  </si>
  <si>
    <t>Date inferred from Brunei and Thailand visit dates and wrapup article, which suggests this is the 19th of 20 port calls</t>
  </si>
  <si>
    <t>DDG171 Haikou, FFG575 Yueyang</t>
  </si>
  <si>
    <t>FFG530 Xuzhou</t>
  </si>
  <si>
    <t>FFG546 Yancheng</t>
  </si>
  <si>
    <t>FFG515 Binzhou</t>
  </si>
  <si>
    <t>FFG570 Huangshan</t>
  </si>
  <si>
    <t>FFG539 Wuhu</t>
  </si>
  <si>
    <t>ETF28-Yancheng GMF; Weifeng GMF; Taihu supply ship</t>
  </si>
  <si>
    <t>HSS876 Qian Weichang</t>
  </si>
  <si>
    <t>Hydrographic survey ship; not associated with specific fleet?</t>
  </si>
  <si>
    <t>2018-8 Qian Weichang</t>
  </si>
  <si>
    <t>http://www.defence.lk/new.asp?fname=Qian_Weichang_arrives_to_Sri_Lanka_20180808_02; https://www.ndtv.com/world-news/chinese-hydrographic-survey-ship-arrives-in-sri-lanka-on-goodwill-visit-1898036</t>
  </si>
  <si>
    <t>2018-7 Qian Weichang</t>
  </si>
  <si>
    <t>https://www.defenceweb.co.za/sea/sea-sea/chinese-survey-vessel-visits-south-africa/</t>
  </si>
  <si>
    <t>FFG539 Wuhu; FFG579 Handan; AOR960 Dongping Hu</t>
  </si>
  <si>
    <t>LPD998 Kunlun Shan; FFG536 Xuchang; AOR964 Luoma Hu</t>
  </si>
  <si>
    <t>DDG153 Xi'an FFG599 Anyang AOR966 Gaoyuhu</t>
  </si>
  <si>
    <t>AOR968 Hoh Xil Hu</t>
  </si>
  <si>
    <t>DDG117 Xining FFG550 Weifang AOR968 Kekexili</t>
  </si>
  <si>
    <t>can’t find original source</t>
  </si>
  <si>
    <t>FFG536 Xuchang replenishment of oil, water, and staple and non-staple food, and organized troops to rest</t>
  </si>
  <si>
    <t>Total Activities, 2002-2024</t>
  </si>
  <si>
    <t>Note: Edited searches to cutoff at 2025 ("&lt;2025") and to search the new column "U" which has either "ETF" or "NETF" for all port calls</t>
  </si>
  <si>
    <t>V5.00 data include a number of fixes to port calls that more accurately characterize ETF membership (or lack thereof) and that relabel NETF identifiers in column "V"</t>
  </si>
  <si>
    <t>PCS: As of 17 March 2025, uses the new ETF/NETF column (U) to generate a table and a graph.</t>
  </si>
  <si>
    <t>Recoded as port call (friendly visit and drills) since the "exercise" took place AFTER departure and involved formation saiing with a Kuwaiti Navy patrol craft</t>
  </si>
  <si>
    <t>PLA Multilateral Meetings</t>
  </si>
  <si>
    <t>2002-2013</t>
  </si>
  <si>
    <t>2014-2024</t>
  </si>
  <si>
    <t>(manually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</si>
</sst>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1" formatCode="_(* #,##0_);_(* \(#,##0\);_(* &quot;-&quot;_);_(@_)"/>
    <numFmt numFmtId="43" formatCode="_(* #,##0.00_);_(* \(#,##0.00\);_(* &quot;-&quot;??_);_(@_)"/>
    <numFmt numFmtId="164" formatCode="0.0%"/>
  </numFmts>
  <fonts count="39"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1"/>
      <color theme="1"/>
      <name val="Calibri"/>
      <family val="2"/>
    </font>
    <font>
      <sz val="11"/>
      <color theme="1"/>
      <name val="Calibri"/>
      <family val="2"/>
      <scheme val="minor"/>
    </font>
    <font>
      <sz val="11"/>
      <color theme="1"/>
      <name val="Calibri"/>
      <family val="2"/>
    </font>
    <font>
      <u/>
      <sz val="11"/>
      <color theme="10"/>
      <name val="Calibri"/>
      <family val="2"/>
    </font>
    <font>
      <sz val="12"/>
      <color theme="1"/>
      <name val="Courier New"/>
      <family val="1"/>
    </font>
    <font>
      <b/>
      <sz val="11"/>
      <color theme="1"/>
      <name val="Calibri"/>
      <family val="2"/>
    </font>
    <font>
      <b/>
      <sz val="11"/>
      <color theme="0"/>
      <name val="Calibri"/>
      <family val="2"/>
    </font>
    <font>
      <sz val="11"/>
      <color theme="0"/>
      <name val="Calibri"/>
      <family val="2"/>
    </font>
    <font>
      <b/>
      <sz val="11"/>
      <color rgb="FF000000"/>
      <name val="Calibri"/>
      <family val="2"/>
    </font>
    <font>
      <sz val="11"/>
      <color rgb="FF000000"/>
      <name val="Calibri"/>
      <family val="2"/>
    </font>
    <font>
      <sz val="11"/>
      <color rgb="FFFF0000"/>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b/>
      <sz val="11"/>
      <color theme="1"/>
      <name val="Times New Roman"/>
      <family val="1"/>
    </font>
    <font>
      <b/>
      <sz val="11"/>
      <color theme="1"/>
      <name val="Calibri"/>
      <family val="2"/>
      <scheme val="major"/>
    </font>
    <font>
      <sz val="11"/>
      <color theme="1"/>
      <name val="Calibri"/>
      <family val="2"/>
      <scheme val="major"/>
    </font>
    <font>
      <u/>
      <sz val="11"/>
      <color rgb="FF0000FF"/>
      <name val="Calibri"/>
      <family val="2"/>
      <scheme val="minor"/>
    </font>
    <font>
      <i/>
      <sz val="11"/>
      <color rgb="FF000000"/>
      <name val="Calibri"/>
      <family val="2"/>
      <scheme val="minor"/>
    </font>
    <font>
      <sz val="11"/>
      <name val="Calibri"/>
      <family val="2"/>
      <scheme val="minor"/>
    </font>
    <font>
      <sz val="11"/>
      <color rgb="FF262626"/>
      <name val="Calibri"/>
      <family val="2"/>
      <scheme val="minor"/>
    </font>
    <font>
      <sz val="11"/>
      <color rgb="FF333333"/>
      <name val="Calibri"/>
      <family val="2"/>
      <scheme val="minor"/>
    </font>
    <font>
      <sz val="11"/>
      <color rgb="FF222222"/>
      <name val="Calibri"/>
      <family val="2"/>
      <scheme val="minor"/>
    </font>
  </fonts>
  <fills count="12">
    <fill>
      <patternFill patternType="none"/>
    </fill>
    <fill>
      <patternFill patternType="gray125"/>
    </fill>
    <fill>
      <patternFill patternType="solid">
        <fgColor rgb="FFFFFF00"/>
        <bgColor rgb="FFFFFF00"/>
      </patternFill>
    </fill>
    <fill>
      <patternFill patternType="solid">
        <fgColor rgb="FF00B050"/>
        <bgColor rgb="FF00B050"/>
      </patternFill>
    </fill>
    <fill>
      <patternFill patternType="solid">
        <fgColor rgb="FF2E75B5"/>
        <bgColor rgb="FF2E75B5"/>
      </patternFill>
    </fill>
    <fill>
      <patternFill patternType="solid">
        <fgColor theme="0"/>
        <bgColor theme="0"/>
      </patternFill>
    </fill>
    <fill>
      <patternFill patternType="solid">
        <fgColor rgb="FFDEEAF6"/>
        <bgColor rgb="FFDEEAF6"/>
      </patternFill>
    </fill>
    <fill>
      <patternFill patternType="solid">
        <fgColor rgb="FFAEABAB"/>
        <bgColor rgb="FFAEABAB"/>
      </patternFill>
    </fill>
    <fill>
      <patternFill patternType="solid">
        <fgColor rgb="FFFFFF00"/>
        <bgColor indexed="64"/>
      </patternFill>
    </fill>
    <fill>
      <patternFill patternType="solid">
        <fgColor rgb="FFBDD6EE"/>
        <bgColor rgb="FFBDD6EE"/>
      </patternFill>
    </fill>
    <fill>
      <patternFill patternType="solid">
        <fgColor theme="0"/>
        <bgColor rgb="FF2E75B5"/>
      </patternFill>
    </fill>
    <fill>
      <patternFill patternType="solid">
        <fgColor theme="0"/>
        <bgColor indexed="64"/>
      </patternFill>
    </fill>
  </fills>
  <borders count="62">
    <border>
      <left/>
      <right/>
      <top/>
      <bottom/>
      <diagonal/>
    </border>
    <border>
      <left/>
      <right/>
      <top/>
      <bottom/>
      <diagonal/>
    </border>
    <border>
      <left/>
      <right/>
      <top/>
      <bottom style="thin">
        <color rgb="FF000000"/>
      </bottom>
      <diagonal/>
    </border>
    <border>
      <left/>
      <right/>
      <top/>
      <bottom style="thin">
        <color rgb="FF9CC2E5"/>
      </bottom>
      <diagonal/>
    </border>
    <border>
      <left/>
      <right style="thin">
        <color rgb="FF9CC2E5"/>
      </right>
      <top/>
      <bottom style="thin">
        <color rgb="FF9CC2E5"/>
      </bottom>
      <diagonal/>
    </border>
    <border>
      <left/>
      <right/>
      <top style="thin">
        <color rgb="FF2E75B5"/>
      </top>
      <bottom style="thin">
        <color rgb="FFBDD6EE"/>
      </bottom>
      <diagonal/>
    </border>
    <border>
      <left/>
      <right/>
      <top style="thin">
        <color rgb="FF2E75B5"/>
      </top>
      <bottom style="thin">
        <color rgb="FF2E75B5"/>
      </bottom>
      <diagonal/>
    </border>
    <border>
      <left style="thin">
        <color rgb="FF2E75B5"/>
      </left>
      <right style="thin">
        <color rgb="FF2E75B5"/>
      </right>
      <top style="thin">
        <color rgb="FF2E75B5"/>
      </top>
      <bottom style="thin">
        <color rgb="FF2E75B5"/>
      </bottom>
      <diagonal/>
    </border>
    <border>
      <left style="thin">
        <color rgb="FF2E75B5"/>
      </left>
      <right style="thin">
        <color rgb="FF2E75B5"/>
      </right>
      <top style="thin">
        <color rgb="FFDEEAF6"/>
      </top>
      <bottom style="thin">
        <color rgb="FFDEEAF6"/>
      </bottom>
      <diagonal/>
    </border>
    <border>
      <left/>
      <right/>
      <top/>
      <bottom style="thin">
        <color rgb="FF9CC2E5"/>
      </bottom>
      <diagonal/>
    </border>
    <border>
      <left/>
      <right/>
      <top style="thin">
        <color rgb="FF2E75B5"/>
      </top>
      <bottom style="thin">
        <color rgb="FFDEEAF6"/>
      </bottom>
      <diagonal/>
    </border>
    <border>
      <left/>
      <right/>
      <top/>
      <bottom style="thin">
        <color rgb="FFDEEAF6"/>
      </bottom>
      <diagonal/>
    </border>
    <border>
      <left/>
      <right/>
      <top/>
      <bottom style="thin">
        <color rgb="FF2E75B5"/>
      </bottom>
      <diagonal/>
    </border>
    <border>
      <left style="thin">
        <color rgb="FF2E75B5"/>
      </left>
      <right/>
      <top/>
      <bottom style="thin">
        <color rgb="FF2E75B5"/>
      </bottom>
      <diagonal/>
    </border>
    <border>
      <left style="thin">
        <color rgb="FF2E75B5"/>
      </left>
      <right/>
      <top style="thin">
        <color rgb="FF2E75B5"/>
      </top>
      <bottom style="thin">
        <color rgb="FF2E75B5"/>
      </bottom>
      <diagonal/>
    </border>
    <border>
      <left/>
      <right/>
      <top style="thin">
        <color rgb="FFDEEAF6"/>
      </top>
      <bottom style="thin">
        <color rgb="FFDEEAF6"/>
      </bottom>
      <diagonal/>
    </border>
    <border>
      <left style="thin">
        <color rgb="FF2E75B5"/>
      </left>
      <right/>
      <top style="thin">
        <color rgb="FFDEEAF6"/>
      </top>
      <bottom style="thin">
        <color rgb="FFDEEAF6"/>
      </bottom>
      <diagonal/>
    </border>
    <border>
      <left/>
      <right/>
      <top style="double">
        <color rgb="FF2E75B5"/>
      </top>
      <bottom/>
      <diagonal/>
    </border>
    <border>
      <left style="thin">
        <color rgb="FF2E75B5"/>
      </left>
      <right/>
      <top style="double">
        <color rgb="FF2E75B5"/>
      </top>
      <bottom/>
      <diagonal/>
    </border>
    <border>
      <left/>
      <right/>
      <top style="thin">
        <color rgb="FF9CC2E5"/>
      </top>
      <bottom style="thin">
        <color rgb="FF9CC2E5"/>
      </bottom>
      <diagonal/>
    </border>
    <border>
      <left style="thin">
        <color rgb="FF9CC2E5"/>
      </left>
      <right/>
      <top style="thin">
        <color rgb="FF9CC2E5"/>
      </top>
      <bottom/>
      <diagonal/>
    </border>
    <border>
      <left/>
      <right/>
      <top style="thin">
        <color rgb="FF9CC2E5"/>
      </top>
      <bottom/>
      <diagonal/>
    </border>
    <border>
      <left style="thin">
        <color rgb="FF9CC2E5"/>
      </left>
      <right/>
      <top/>
      <bottom/>
      <diagonal/>
    </border>
    <border>
      <left style="thin">
        <color rgb="FF9CC2E5"/>
      </left>
      <right/>
      <top/>
      <bottom style="thin">
        <color rgb="FF2E75B5"/>
      </bottom>
      <diagonal/>
    </border>
    <border>
      <left style="thin">
        <color rgb="FF9CC2E5"/>
      </left>
      <right/>
      <top/>
      <bottom style="thin">
        <color rgb="FF2E75B5"/>
      </bottom>
      <diagonal/>
    </border>
    <border>
      <left style="thin">
        <color rgb="FF9CC2E5"/>
      </left>
      <right/>
      <top style="thin">
        <color rgb="FF2E75B5"/>
      </top>
      <bottom style="thin">
        <color rgb="FF2E75B5"/>
      </bottom>
      <diagonal/>
    </border>
    <border>
      <left/>
      <right style="thin">
        <color rgb="FF9CC2E5"/>
      </right>
      <top style="thin">
        <color rgb="FF9CC2E5"/>
      </top>
      <bottom style="thin">
        <color rgb="FF9CC2E5"/>
      </bottom>
      <diagonal/>
    </border>
    <border>
      <left style="thin">
        <color rgb="FF9CC2E5"/>
      </left>
      <right/>
      <top style="thin">
        <color rgb="FF9CC2E5"/>
      </top>
      <bottom style="thin">
        <color rgb="FF9CC2E5"/>
      </bottom>
      <diagonal/>
    </border>
    <border>
      <left style="thin">
        <color rgb="FF9CC2E5"/>
      </left>
      <right/>
      <top style="thin">
        <color rgb="FF2E75B5"/>
      </top>
      <bottom style="thin">
        <color rgb="FF2E75B5"/>
      </bottom>
      <diagonal/>
    </border>
    <border>
      <left/>
      <right style="thin">
        <color rgb="FF9CC2E5"/>
      </right>
      <top style="thin">
        <color rgb="FF9CC2E5"/>
      </top>
      <bottom style="thin">
        <color rgb="FF9CC2E5"/>
      </bottom>
      <diagonal/>
    </border>
    <border>
      <left style="thin">
        <color rgb="FF9CC2E5"/>
      </left>
      <right/>
      <top style="thin">
        <color rgb="FF9CC2E5"/>
      </top>
      <bottom style="thin">
        <color rgb="FF9CC2E5"/>
      </bottom>
      <diagonal/>
    </border>
    <border>
      <left/>
      <right/>
      <top style="thin">
        <color rgb="FF2E75B5"/>
      </top>
      <bottom/>
      <diagonal/>
    </border>
    <border>
      <left style="thin">
        <color rgb="FF000000"/>
      </left>
      <right style="thin">
        <color rgb="FF000000"/>
      </right>
      <top style="thin">
        <color rgb="FF000000"/>
      </top>
      <bottom style="thin">
        <color rgb="FF000000"/>
      </bottom>
      <diagonal/>
    </border>
    <border>
      <left/>
      <right/>
      <top style="thin">
        <color rgb="FF9CC2E5"/>
      </top>
      <bottom/>
      <diagonal/>
    </border>
    <border>
      <left style="thin">
        <color rgb="FF999999"/>
      </left>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bottom style="thin">
        <color rgb="FF999999"/>
      </bottom>
      <diagonal/>
    </border>
    <border>
      <left style="thin">
        <color rgb="FF9CC2E5"/>
      </left>
      <right/>
      <top style="thin">
        <color rgb="FF2E75B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top/>
      <bottom style="thin">
        <color rgb="FFABABAB"/>
      </bottom>
      <diagonal/>
    </border>
    <border>
      <left style="thin">
        <color rgb="FFABABAB"/>
      </left>
      <right/>
      <top style="thin">
        <color indexed="65"/>
      </top>
      <bottom/>
      <diagonal/>
    </border>
    <border>
      <left/>
      <right style="thin">
        <color rgb="FFABABAB"/>
      </right>
      <top style="thin">
        <color rgb="FFABABAB"/>
      </top>
      <bottom/>
      <diagonal/>
    </border>
    <border>
      <left/>
      <right style="thin">
        <color rgb="FFABABAB"/>
      </right>
      <top/>
      <bottom/>
      <diagonal/>
    </border>
    <border>
      <left/>
      <right style="thin">
        <color rgb="FFABABAB"/>
      </right>
      <top/>
      <bottom style="thin">
        <color rgb="FFABABAB"/>
      </bottom>
      <diagonal/>
    </border>
    <border>
      <left/>
      <right style="thin">
        <color rgb="FFABABAB"/>
      </right>
      <top style="thin">
        <color rgb="FFABABAB"/>
      </top>
      <bottom style="thin">
        <color rgb="FFABABAB"/>
      </bottom>
      <diagonal/>
    </border>
    <border>
      <left style="thin">
        <color indexed="65"/>
      </left>
      <right/>
      <top style="thin">
        <color rgb="FFABABAB"/>
      </top>
      <bottom style="thin">
        <color rgb="FFABABAB"/>
      </bottom>
      <diagonal/>
    </border>
    <border>
      <left/>
      <right/>
      <top/>
      <bottom style="thin">
        <color rgb="FFABABAB"/>
      </bottom>
      <diagonal/>
    </border>
    <border>
      <left style="thin">
        <color rgb="FFABABAB"/>
      </left>
      <right style="thin">
        <color rgb="FFABABAB"/>
      </right>
      <top/>
      <bottom style="thin">
        <color rgb="FFABABAB"/>
      </bottom>
      <diagonal/>
    </border>
  </borders>
  <cellStyleXfs count="2">
    <xf numFmtId="0" fontId="0" fillId="0" borderId="0"/>
    <xf numFmtId="0" fontId="27" fillId="0" borderId="0" applyNumberFormat="0" applyFill="0" applyBorder="0" applyAlignment="0" applyProtection="0"/>
  </cellStyleXfs>
  <cellXfs count="219">
    <xf numFmtId="0" fontId="0" fillId="0" borderId="0" xfId="0"/>
    <xf numFmtId="0" fontId="16" fillId="0" borderId="0" xfId="0" applyFont="1"/>
    <xf numFmtId="0" fontId="17" fillId="0" borderId="0" xfId="0" applyFont="1"/>
    <xf numFmtId="0" fontId="18" fillId="0" borderId="0" xfId="0" applyFont="1"/>
    <xf numFmtId="0" fontId="18" fillId="2" borderId="1" xfId="0" applyFont="1" applyFill="1" applyBorder="1"/>
    <xf numFmtId="43" fontId="18" fillId="0" borderId="0" xfId="0" applyNumberFormat="1" applyFont="1"/>
    <xf numFmtId="0" fontId="18" fillId="0" borderId="0" xfId="0" applyFont="1" applyAlignment="1">
      <alignment horizontal="left"/>
    </xf>
    <xf numFmtId="0" fontId="18" fillId="3" borderId="1" xfId="0" applyFont="1" applyFill="1" applyBorder="1"/>
    <xf numFmtId="43" fontId="18" fillId="2" borderId="1" xfId="0" applyNumberFormat="1" applyFont="1" applyFill="1" applyBorder="1"/>
    <xf numFmtId="0" fontId="19" fillId="2" borderId="1" xfId="0" applyFont="1" applyFill="1" applyBorder="1" applyAlignment="1">
      <alignment vertical="center"/>
    </xf>
    <xf numFmtId="0" fontId="20" fillId="3" borderId="1" xfId="0" applyFont="1" applyFill="1" applyBorder="1"/>
    <xf numFmtId="0" fontId="20" fillId="0" borderId="0" xfId="0" applyFont="1"/>
    <xf numFmtId="0" fontId="21" fillId="0" borderId="0" xfId="0" applyFont="1"/>
    <xf numFmtId="164" fontId="18" fillId="0" borderId="0" xfId="0" applyNumberFormat="1" applyFont="1"/>
    <xf numFmtId="41" fontId="18" fillId="0" borderId="0" xfId="0" applyNumberFormat="1" applyFont="1"/>
    <xf numFmtId="0" fontId="21" fillId="0" borderId="3" xfId="0" applyFont="1" applyBorder="1"/>
    <xf numFmtId="0" fontId="23" fillId="4" borderId="5" xfId="0" applyFont="1" applyFill="1" applyBorder="1"/>
    <xf numFmtId="0" fontId="18" fillId="0" borderId="6" xfId="0" applyFont="1" applyBorder="1"/>
    <xf numFmtId="0" fontId="18" fillId="5" borderId="1" xfId="0" applyFont="1" applyFill="1" applyBorder="1"/>
    <xf numFmtId="0" fontId="23" fillId="4" borderId="1" xfId="0" applyFont="1" applyFill="1" applyBorder="1"/>
    <xf numFmtId="0" fontId="18" fillId="0" borderId="7" xfId="0" applyFont="1" applyBorder="1"/>
    <xf numFmtId="0" fontId="18" fillId="0" borderId="8" xfId="0" applyFont="1" applyBorder="1"/>
    <xf numFmtId="0" fontId="21" fillId="6" borderId="9" xfId="0" applyFont="1" applyFill="1" applyBorder="1"/>
    <xf numFmtId="0" fontId="21" fillId="0" borderId="0" xfId="0" applyFont="1" applyAlignment="1">
      <alignment horizontal="left"/>
    </xf>
    <xf numFmtId="0" fontId="23" fillId="4" borderId="11" xfId="0" applyFont="1" applyFill="1" applyBorder="1"/>
    <xf numFmtId="0" fontId="18" fillId="0" borderId="12" xfId="0" applyFont="1" applyBorder="1" applyAlignment="1">
      <alignment horizontal="left"/>
    </xf>
    <xf numFmtId="0" fontId="18" fillId="0" borderId="13" xfId="0" applyFont="1" applyBorder="1"/>
    <xf numFmtId="0" fontId="18" fillId="0" borderId="6" xfId="0" applyFont="1" applyBorder="1" applyAlignment="1">
      <alignment horizontal="left"/>
    </xf>
    <xf numFmtId="0" fontId="18" fillId="0" borderId="14" xfId="0" applyFont="1" applyBorder="1"/>
    <xf numFmtId="0" fontId="18" fillId="0" borderId="15" xfId="0" applyFont="1" applyBorder="1" applyAlignment="1">
      <alignment horizontal="left"/>
    </xf>
    <xf numFmtId="0" fontId="18" fillId="0" borderId="16" xfId="0" applyFont="1" applyBorder="1"/>
    <xf numFmtId="0" fontId="21" fillId="0" borderId="17" xfId="0" applyFont="1" applyBorder="1" applyAlignment="1">
      <alignment horizontal="left"/>
    </xf>
    <xf numFmtId="0" fontId="21" fillId="0" borderId="18" xfId="0" applyFont="1" applyBorder="1"/>
    <xf numFmtId="0" fontId="22" fillId="0" borderId="19" xfId="0" applyFont="1" applyBorder="1"/>
    <xf numFmtId="0" fontId="22" fillId="0" borderId="0" xfId="0" applyFont="1"/>
    <xf numFmtId="0" fontId="22" fillId="0" borderId="20" xfId="0" applyFont="1" applyBorder="1"/>
    <xf numFmtId="0" fontId="18" fillId="0" borderId="19" xfId="0" applyFont="1" applyBorder="1"/>
    <xf numFmtId="0" fontId="18" fillId="0" borderId="20" xfId="0" applyFont="1" applyBorder="1"/>
    <xf numFmtId="0" fontId="18" fillId="0" borderId="21" xfId="0" applyFont="1" applyBorder="1"/>
    <xf numFmtId="0" fontId="24" fillId="0" borderId="0" xfId="0" applyFont="1"/>
    <xf numFmtId="0" fontId="18" fillId="0" borderId="24" xfId="0" applyFont="1" applyBorder="1" applyAlignment="1">
      <alignment horizontal="left"/>
    </xf>
    <xf numFmtId="0" fontId="18" fillId="0" borderId="4" xfId="0" applyFont="1" applyBorder="1"/>
    <xf numFmtId="0" fontId="18" fillId="6" borderId="25" xfId="0" applyFont="1" applyFill="1" applyBorder="1" applyAlignment="1">
      <alignment horizontal="left"/>
    </xf>
    <xf numFmtId="0" fontId="18" fillId="6" borderId="26" xfId="0" applyFont="1" applyFill="1" applyBorder="1"/>
    <xf numFmtId="0" fontId="22" fillId="4" borderId="27" xfId="0" applyFont="1" applyFill="1" applyBorder="1"/>
    <xf numFmtId="0" fontId="22" fillId="4" borderId="26" xfId="0" applyFont="1" applyFill="1" applyBorder="1"/>
    <xf numFmtId="0" fontId="18" fillId="0" borderId="28" xfId="0" applyFont="1" applyBorder="1" applyAlignment="1">
      <alignment horizontal="left"/>
    </xf>
    <xf numFmtId="0" fontId="18" fillId="0" borderId="29" xfId="0" applyFont="1" applyBorder="1"/>
    <xf numFmtId="0" fontId="18" fillId="0" borderId="28" xfId="0" applyFont="1" applyBorder="1"/>
    <xf numFmtId="0" fontId="18" fillId="0" borderId="22" xfId="0" applyFont="1" applyBorder="1" applyAlignment="1">
      <alignment horizontal="left"/>
    </xf>
    <xf numFmtId="0" fontId="18" fillId="6" borderId="27" xfId="0" applyFont="1" applyFill="1" applyBorder="1"/>
    <xf numFmtId="0" fontId="18" fillId="0" borderId="30" xfId="0" applyFont="1" applyBorder="1" applyAlignment="1">
      <alignment horizontal="left"/>
    </xf>
    <xf numFmtId="0" fontId="18" fillId="0" borderId="30" xfId="0" applyFont="1" applyBorder="1"/>
    <xf numFmtId="0" fontId="25" fillId="0" borderId="0" xfId="0" applyFont="1"/>
    <xf numFmtId="0" fontId="23" fillId="4" borderId="31" xfId="0" applyFont="1" applyFill="1" applyBorder="1"/>
    <xf numFmtId="0" fontId="18" fillId="0" borderId="32" xfId="0" applyFont="1" applyBorder="1"/>
    <xf numFmtId="0" fontId="18" fillId="0" borderId="32" xfId="0" applyFont="1" applyBorder="1" applyAlignment="1">
      <alignment horizontal="left"/>
    </xf>
    <xf numFmtId="0" fontId="21" fillId="7" borderId="1" xfId="0" applyFont="1" applyFill="1" applyBorder="1"/>
    <xf numFmtId="0" fontId="18" fillId="7" borderId="1" xfId="0" applyFont="1" applyFill="1" applyBorder="1"/>
    <xf numFmtId="0" fontId="21" fillId="5" borderId="1" xfId="0" applyFont="1" applyFill="1" applyBorder="1"/>
    <xf numFmtId="0" fontId="23" fillId="4" borderId="10" xfId="0" applyFont="1" applyFill="1" applyBorder="1"/>
    <xf numFmtId="0" fontId="18" fillId="0" borderId="15" xfId="0" applyFont="1" applyBorder="1"/>
    <xf numFmtId="0" fontId="21" fillId="6" borderId="33" xfId="0" applyFont="1" applyFill="1" applyBorder="1" applyAlignment="1">
      <alignment horizontal="left"/>
    </xf>
    <xf numFmtId="0" fontId="21" fillId="6" borderId="33" xfId="0" applyFont="1" applyFill="1"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1" xfId="0" applyBorder="1"/>
    <xf numFmtId="0" fontId="0" fillId="0" borderId="38" xfId="0" applyBorder="1"/>
    <xf numFmtId="0" fontId="0" fillId="0" borderId="41" xfId="0" applyBorder="1"/>
    <xf numFmtId="0" fontId="26" fillId="0" borderId="0" xfId="0" applyFont="1"/>
    <xf numFmtId="0" fontId="29" fillId="0" borderId="0" xfId="0" applyFont="1"/>
    <xf numFmtId="0" fontId="29" fillId="0" borderId="38" xfId="0" applyFont="1" applyBorder="1"/>
    <xf numFmtId="0" fontId="29" fillId="0" borderId="36" xfId="0" applyFont="1" applyBorder="1"/>
    <xf numFmtId="41" fontId="29" fillId="0" borderId="0" xfId="0" applyNumberFormat="1" applyFont="1"/>
    <xf numFmtId="0" fontId="17" fillId="0" borderId="0" xfId="0" applyFont="1" applyAlignment="1">
      <alignment horizontal="right"/>
    </xf>
    <xf numFmtId="0" fontId="29" fillId="0" borderId="1" xfId="0" applyFont="1" applyBorder="1"/>
    <xf numFmtId="0" fontId="21" fillId="8" borderId="0" xfId="0" applyFont="1" applyFill="1"/>
    <xf numFmtId="0" fontId="0" fillId="8" borderId="0" xfId="0" applyFill="1"/>
    <xf numFmtId="0" fontId="29" fillId="0" borderId="0" xfId="0" applyFont="1" applyAlignment="1">
      <alignment horizontal="right"/>
    </xf>
    <xf numFmtId="0" fontId="29" fillId="0" borderId="40" xfId="0" applyFont="1" applyBorder="1"/>
    <xf numFmtId="0" fontId="15" fillId="0" borderId="0" xfId="0" applyFont="1"/>
    <xf numFmtId="0" fontId="14" fillId="8" borderId="0" xfId="0" applyFont="1" applyFill="1"/>
    <xf numFmtId="0" fontId="18" fillId="10" borderId="1" xfId="0" applyFont="1" applyFill="1" applyBorder="1"/>
    <xf numFmtId="0" fontId="0" fillId="11" borderId="0" xfId="0" applyFill="1"/>
    <xf numFmtId="0" fontId="18" fillId="6" borderId="31" xfId="0" applyFont="1" applyFill="1" applyBorder="1" applyAlignment="1">
      <alignment horizontal="left"/>
    </xf>
    <xf numFmtId="0" fontId="13" fillId="6" borderId="0" xfId="0" applyFont="1" applyFill="1"/>
    <xf numFmtId="0" fontId="18" fillId="9" borderId="31" xfId="0" applyFont="1" applyFill="1" applyBorder="1" applyAlignment="1">
      <alignment horizontal="left"/>
    </xf>
    <xf numFmtId="0" fontId="13" fillId="9" borderId="0" xfId="0" applyFont="1" applyFill="1"/>
    <xf numFmtId="0" fontId="18" fillId="9" borderId="6" xfId="0" applyFont="1" applyFill="1" applyBorder="1" applyAlignment="1">
      <alignment horizontal="left"/>
    </xf>
    <xf numFmtId="0" fontId="22" fillId="4" borderId="22" xfId="0" applyFont="1" applyFill="1" applyBorder="1"/>
    <xf numFmtId="0" fontId="22" fillId="4" borderId="1" xfId="0" applyFont="1" applyFill="1" applyBorder="1"/>
    <xf numFmtId="0" fontId="18" fillId="6" borderId="42" xfId="0" applyFont="1" applyFill="1" applyBorder="1" applyAlignment="1">
      <alignment horizontal="left"/>
    </xf>
    <xf numFmtId="0" fontId="18" fillId="6" borderId="33" xfId="0" applyFont="1" applyFill="1" applyBorder="1"/>
    <xf numFmtId="0" fontId="18" fillId="9" borderId="42" xfId="0" applyFont="1" applyFill="1" applyBorder="1" applyAlignment="1">
      <alignment horizontal="left"/>
    </xf>
    <xf numFmtId="0" fontId="18" fillId="9" borderId="33" xfId="0" applyFont="1" applyFill="1" applyBorder="1"/>
    <xf numFmtId="0" fontId="18" fillId="6" borderId="42" xfId="0" applyFont="1" applyFill="1" applyBorder="1"/>
    <xf numFmtId="0" fontId="18" fillId="0" borderId="42" xfId="0" applyFont="1" applyBorder="1" applyAlignment="1">
      <alignment horizontal="left"/>
    </xf>
    <xf numFmtId="0" fontId="18" fillId="0" borderId="33" xfId="0" applyFont="1" applyBorder="1"/>
    <xf numFmtId="0" fontId="13" fillId="0" borderId="0" xfId="0" applyFont="1"/>
    <xf numFmtId="0" fontId="18" fillId="6" borderId="31" xfId="0" applyFont="1" applyFill="1" applyBorder="1"/>
    <xf numFmtId="0" fontId="18" fillId="0" borderId="23" xfId="0" applyFont="1" applyBorder="1" applyAlignment="1">
      <alignment horizontal="left"/>
    </xf>
    <xf numFmtId="0" fontId="12" fillId="0" borderId="0" xfId="0" applyFont="1"/>
    <xf numFmtId="0" fontId="30" fillId="0" borderId="0" xfId="0" applyFont="1"/>
    <xf numFmtId="0" fontId="31" fillId="0" borderId="0" xfId="0" applyFont="1" applyAlignment="1">
      <alignment vertical="center"/>
    </xf>
    <xf numFmtId="0" fontId="32" fillId="0" borderId="0" xfId="0" applyFont="1"/>
    <xf numFmtId="0" fontId="31" fillId="0" borderId="0" xfId="0" applyFont="1"/>
    <xf numFmtId="0" fontId="32" fillId="0" borderId="0" xfId="0" applyFont="1" applyAlignment="1">
      <alignment vertical="center"/>
    </xf>
    <xf numFmtId="0" fontId="31" fillId="0" borderId="0" xfId="0" applyFont="1" applyAlignment="1">
      <alignment horizontal="center" vertical="center"/>
    </xf>
    <xf numFmtId="0" fontId="29" fillId="0" borderId="39" xfId="0" applyFont="1" applyBorder="1"/>
    <xf numFmtId="0" fontId="0" fillId="0" borderId="43" xfId="0" pivotButton="1" applyBorder="1"/>
    <xf numFmtId="0" fontId="0" fillId="0" borderId="44" xfId="0" applyBorder="1"/>
    <xf numFmtId="0" fontId="0" fillId="0" borderId="45" xfId="0" applyBorder="1"/>
    <xf numFmtId="0" fontId="0" fillId="0" borderId="43" xfId="0" applyBorder="1"/>
    <xf numFmtId="0" fontId="0" fillId="0" borderId="46" xfId="0" applyBorder="1"/>
    <xf numFmtId="0" fontId="0" fillId="0" borderId="47" xfId="0" applyBorder="1"/>
    <xf numFmtId="0" fontId="0" fillId="0" borderId="48" xfId="0" applyBorder="1"/>
    <xf numFmtId="0" fontId="0" fillId="0" borderId="50" xfId="0" applyBorder="1"/>
    <xf numFmtId="0" fontId="0" fillId="0" borderId="52" xfId="0" applyBorder="1"/>
    <xf numFmtId="0" fontId="0" fillId="0" borderId="52" xfId="0" pivotButton="1" applyBorder="1"/>
    <xf numFmtId="0" fontId="29" fillId="0" borderId="50" xfId="0" applyFont="1" applyBorder="1"/>
    <xf numFmtId="0" fontId="29" fillId="0" borderId="47" xfId="0" applyFont="1" applyBorder="1"/>
    <xf numFmtId="0" fontId="0" fillId="0" borderId="53" xfId="0" applyBorder="1"/>
    <xf numFmtId="0" fontId="0" fillId="0" borderId="54" xfId="0" applyBorder="1"/>
    <xf numFmtId="0" fontId="0" fillId="0" borderId="55" xfId="0" applyBorder="1"/>
    <xf numFmtId="0" fontId="0" fillId="0" borderId="59" xfId="0" applyBorder="1"/>
    <xf numFmtId="0" fontId="0" fillId="0" borderId="52" xfId="0" applyBorder="1" applyAlignment="1">
      <alignment horizontal="left"/>
    </xf>
    <xf numFmtId="0" fontId="10" fillId="0" borderId="0" xfId="0" applyFont="1"/>
    <xf numFmtId="0" fontId="9" fillId="0" borderId="0" xfId="0" applyFont="1"/>
    <xf numFmtId="0" fontId="35" fillId="0" borderId="0" xfId="1" applyFont="1" applyFill="1" applyBorder="1"/>
    <xf numFmtId="0" fontId="35" fillId="0" borderId="0" xfId="1" applyFont="1" applyFill="1"/>
    <xf numFmtId="0" fontId="0" fillId="8" borderId="48" xfId="0" applyFill="1" applyBorder="1"/>
    <xf numFmtId="0" fontId="0" fillId="8" borderId="43" xfId="0" applyFill="1" applyBorder="1"/>
    <xf numFmtId="0" fontId="0" fillId="0" borderId="43" xfId="0" applyBorder="1" applyAlignment="1">
      <alignment horizontal="right"/>
    </xf>
    <xf numFmtId="0" fontId="0" fillId="0" borderId="55" xfId="0" applyBorder="1" applyAlignment="1">
      <alignment horizontal="right"/>
    </xf>
    <xf numFmtId="0" fontId="29" fillId="0" borderId="43" xfId="0" pivotButton="1" applyFont="1" applyBorder="1"/>
    <xf numFmtId="0" fontId="29" fillId="0" borderId="43" xfId="0" applyFont="1" applyBorder="1"/>
    <xf numFmtId="0" fontId="29" fillId="0" borderId="55" xfId="0" applyFont="1" applyBorder="1"/>
    <xf numFmtId="0" fontId="0" fillId="0" borderId="47" xfId="0" pivotButton="1" applyBorder="1"/>
    <xf numFmtId="0" fontId="29" fillId="0" borderId="46" xfId="0" applyFont="1" applyBorder="1"/>
    <xf numFmtId="0" fontId="0" fillId="8" borderId="34" xfId="0" applyFill="1" applyBorder="1"/>
    <xf numFmtId="0" fontId="0" fillId="8" borderId="37" xfId="0" applyFill="1" applyBorder="1"/>
    <xf numFmtId="0" fontId="7" fillId="0" borderId="0" xfId="0" applyFont="1"/>
    <xf numFmtId="0" fontId="29" fillId="0" borderId="43" xfId="0" applyFont="1" applyBorder="1" applyAlignment="1">
      <alignment horizontal="right"/>
    </xf>
    <xf numFmtId="0" fontId="29" fillId="0" borderId="48" xfId="0" applyFont="1" applyBorder="1" applyAlignment="1">
      <alignment horizontal="right"/>
    </xf>
    <xf numFmtId="0" fontId="29" fillId="0" borderId="50" xfId="0" applyFont="1" applyBorder="1" applyAlignment="1">
      <alignment horizontal="right"/>
    </xf>
    <xf numFmtId="0" fontId="0" fillId="0" borderId="49" xfId="0" applyBorder="1"/>
    <xf numFmtId="0" fontId="11" fillId="0" borderId="0" xfId="0" applyFont="1"/>
    <xf numFmtId="0" fontId="6" fillId="0" borderId="0" xfId="0" applyFont="1"/>
    <xf numFmtId="0" fontId="35" fillId="0" borderId="0" xfId="0" applyFont="1"/>
    <xf numFmtId="0" fontId="11" fillId="0" borderId="0" xfId="0" quotePrefix="1" applyFont="1"/>
    <xf numFmtId="0" fontId="11" fillId="0" borderId="1" xfId="0" applyFont="1" applyBorder="1"/>
    <xf numFmtId="0" fontId="5" fillId="0" borderId="0" xfId="0" applyFont="1"/>
    <xf numFmtId="0" fontId="35" fillId="0" borderId="1" xfId="0" applyFont="1" applyBorder="1"/>
    <xf numFmtId="0" fontId="8" fillId="0" borderId="0" xfId="0" applyFont="1"/>
    <xf numFmtId="0" fontId="33" fillId="0" borderId="0" xfId="0" applyFont="1"/>
    <xf numFmtId="0" fontId="4" fillId="0" borderId="0" xfId="0" applyFont="1"/>
    <xf numFmtId="0" fontId="6" fillId="0" borderId="1" xfId="0" applyFont="1" applyBorder="1"/>
    <xf numFmtId="0" fontId="27" fillId="0" borderId="0" xfId="1" applyFill="1"/>
    <xf numFmtId="0" fontId="11" fillId="0" borderId="2" xfId="0" applyFont="1" applyBorder="1"/>
    <xf numFmtId="0" fontId="4" fillId="0" borderId="1" xfId="0" applyFont="1" applyBorder="1"/>
    <xf numFmtId="0" fontId="28" fillId="0" borderId="0" xfId="0" applyFont="1"/>
    <xf numFmtId="0" fontId="11" fillId="0" borderId="0" xfId="0" applyFont="1" applyAlignment="1">
      <alignment vertical="top"/>
    </xf>
    <xf numFmtId="0" fontId="35" fillId="0" borderId="0" xfId="0" applyFont="1" applyAlignment="1">
      <alignment vertical="top"/>
    </xf>
    <xf numFmtId="17" fontId="11" fillId="0" borderId="0" xfId="0" applyNumberFormat="1" applyFont="1"/>
    <xf numFmtId="43" fontId="11" fillId="0" borderId="0" xfId="0" applyNumberFormat="1" applyFont="1"/>
    <xf numFmtId="0" fontId="11" fillId="0" borderId="0" xfId="0" applyFont="1" applyAlignment="1">
      <alignment wrapText="1"/>
    </xf>
    <xf numFmtId="0" fontId="35" fillId="0" borderId="1" xfId="0" applyFont="1" applyBorder="1" applyAlignment="1">
      <alignment wrapText="1"/>
    </xf>
    <xf numFmtId="0" fontId="27" fillId="0" borderId="1" xfId="1" applyFill="1" applyBorder="1"/>
    <xf numFmtId="0" fontId="35" fillId="0" borderId="0" xfId="0" applyFont="1" applyAlignment="1">
      <alignment wrapText="1"/>
    </xf>
    <xf numFmtId="0" fontId="27" fillId="0" borderId="0" xfId="1" applyFill="1" applyBorder="1"/>
    <xf numFmtId="0" fontId="10" fillId="0" borderId="0" xfId="0" applyFont="1" applyAlignment="1">
      <alignment wrapText="1"/>
    </xf>
    <xf numFmtId="0" fontId="36" fillId="0" borderId="0" xfId="0" applyFont="1"/>
    <xf numFmtId="0" fontId="10" fillId="0" borderId="0" xfId="0" applyFont="1" applyAlignment="1">
      <alignment horizontal="right"/>
    </xf>
    <xf numFmtId="0" fontId="37" fillId="0" borderId="0" xfId="0" applyFont="1"/>
    <xf numFmtId="0" fontId="38" fillId="0" borderId="0" xfId="0" applyFont="1"/>
    <xf numFmtId="0" fontId="3" fillId="0" borderId="0" xfId="0" applyFont="1"/>
    <xf numFmtId="0" fontId="3" fillId="8" borderId="0" xfId="0" applyFont="1" applyFill="1"/>
    <xf numFmtId="0" fontId="27" fillId="0" borderId="0" xfId="1"/>
    <xf numFmtId="0" fontId="2" fillId="0" borderId="0" xfId="0" applyFont="1"/>
    <xf numFmtId="0" fontId="0" fillId="0" borderId="50" xfId="0" applyNumberFormat="1" applyBorder="1"/>
    <xf numFmtId="0" fontId="0" fillId="0" borderId="51" xfId="0" applyNumberFormat="1" applyBorder="1"/>
    <xf numFmtId="0" fontId="0" fillId="0" borderId="58" xfId="0" applyNumberFormat="1" applyBorder="1"/>
    <xf numFmtId="0" fontId="0" fillId="0" borderId="43" xfId="0" applyNumberFormat="1" applyBorder="1"/>
    <xf numFmtId="0" fontId="0" fillId="0" borderId="46" xfId="0" applyNumberFormat="1" applyBorder="1"/>
    <xf numFmtId="0" fontId="0" fillId="0" borderId="55" xfId="0" applyNumberFormat="1" applyBorder="1"/>
    <xf numFmtId="0" fontId="0" fillId="0" borderId="48" xfId="0" applyNumberFormat="1" applyBorder="1"/>
    <xf numFmtId="0" fontId="0" fillId="0" borderId="1" xfId="0" applyNumberFormat="1" applyBorder="1"/>
    <xf numFmtId="0" fontId="0" fillId="0" borderId="56" xfId="0" applyNumberFormat="1" applyBorder="1"/>
    <xf numFmtId="0" fontId="0" fillId="0" borderId="53" xfId="0" applyNumberFormat="1" applyBorder="1"/>
    <xf numFmtId="0" fontId="0" fillId="0" borderId="60" xfId="0" applyNumberFormat="1" applyBorder="1"/>
    <xf numFmtId="0" fontId="0" fillId="0" borderId="57" xfId="0" applyNumberFormat="1" applyBorder="1"/>
    <xf numFmtId="0" fontId="0" fillId="0" borderId="47" xfId="0" applyNumberFormat="1" applyBorder="1"/>
    <xf numFmtId="0" fontId="0" fillId="0" borderId="49" xfId="0" applyNumberFormat="1" applyBorder="1"/>
    <xf numFmtId="0" fontId="0" fillId="0" borderId="52" xfId="0" applyNumberFormat="1" applyBorder="1"/>
    <xf numFmtId="0" fontId="29" fillId="0" borderId="50" xfId="0" applyNumberFormat="1" applyFont="1" applyBorder="1"/>
    <xf numFmtId="0" fontId="29" fillId="0" borderId="51" xfId="0" applyNumberFormat="1" applyFont="1" applyBorder="1"/>
    <xf numFmtId="0" fontId="29" fillId="0" borderId="52" xfId="0" applyNumberFormat="1" applyFont="1" applyBorder="1"/>
    <xf numFmtId="0" fontId="29" fillId="0" borderId="47" xfId="0" applyNumberFormat="1" applyFont="1" applyBorder="1"/>
    <xf numFmtId="0" fontId="29" fillId="0" borderId="49" xfId="0" applyNumberFormat="1" applyFont="1" applyBorder="1"/>
    <xf numFmtId="0" fontId="0" fillId="8" borderId="48" xfId="0" applyNumberFormat="1" applyFill="1" applyBorder="1"/>
    <xf numFmtId="0" fontId="0" fillId="8" borderId="1" xfId="0" applyNumberFormat="1" applyFill="1" applyBorder="1"/>
    <xf numFmtId="0" fontId="0" fillId="0" borderId="48" xfId="0" applyNumberFormat="1" applyFill="1" applyBorder="1"/>
    <xf numFmtId="0" fontId="0" fillId="0" borderId="1" xfId="0" applyNumberFormat="1" applyFill="1" applyBorder="1"/>
    <xf numFmtId="0" fontId="0" fillId="0" borderId="48" xfId="0" applyFill="1" applyBorder="1"/>
    <xf numFmtId="0" fontId="29" fillId="0" borderId="49" xfId="0" applyNumberFormat="1" applyFont="1" applyFill="1" applyBorder="1"/>
    <xf numFmtId="0" fontId="29" fillId="0" borderId="52" xfId="0" applyNumberFormat="1" applyFont="1" applyFill="1" applyBorder="1"/>
    <xf numFmtId="0" fontId="29" fillId="0" borderId="50" xfId="0" applyNumberFormat="1" applyFont="1" applyFill="1" applyBorder="1"/>
    <xf numFmtId="0" fontId="29" fillId="0" borderId="51" xfId="0" applyNumberFormat="1" applyFont="1" applyFill="1" applyBorder="1"/>
    <xf numFmtId="0" fontId="29" fillId="0" borderId="50" xfId="0" applyFont="1" applyFill="1" applyBorder="1"/>
    <xf numFmtId="0" fontId="0" fillId="8" borderId="43" xfId="0" applyNumberFormat="1" applyFill="1" applyBorder="1"/>
    <xf numFmtId="0" fontId="0" fillId="8" borderId="46" xfId="0" applyNumberFormat="1" applyFill="1" applyBorder="1"/>
    <xf numFmtId="0" fontId="29" fillId="8" borderId="47" xfId="0" applyNumberFormat="1" applyFont="1" applyFill="1" applyBorder="1"/>
    <xf numFmtId="0" fontId="29" fillId="8" borderId="49" xfId="0" applyNumberFormat="1" applyFont="1" applyFill="1" applyBorder="1"/>
    <xf numFmtId="0" fontId="0" fillId="0" borderId="61" xfId="0" applyNumberFormat="1" applyBorder="1"/>
    <xf numFmtId="0" fontId="29" fillId="0" borderId="61" xfId="0" applyNumberFormat="1" applyFont="1" applyBorder="1"/>
    <xf numFmtId="0" fontId="0" fillId="0" borderId="1" xfId="0" applyFill="1" applyBorder="1"/>
    <xf numFmtId="0" fontId="1" fillId="0" borderId="0" xfId="0" applyFont="1"/>
  </cellXfs>
  <cellStyles count="2">
    <cellStyle name="Hyperlink" xfId="1" builtinId="8"/>
    <cellStyle name="Normal" xfId="0" builtinId="0"/>
  </cellStyles>
  <dxfs count="960">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alignment horizontal="right"/>
    </dxf>
    <dxf>
      <alignment horizontal="right"/>
    </dxf>
    <dxf>
      <font>
        <b/>
        <family val="2"/>
      </font>
    </dxf>
    <dxf>
      <font>
        <b/>
        <family val="2"/>
      </font>
    </dxf>
    <dxf>
      <font>
        <b/>
        <family val="2"/>
      </font>
    </dxf>
    <dxf>
      <font>
        <b/>
        <family val="2"/>
      </font>
    </dxf>
    <dxf>
      <font>
        <b/>
        <family val="2"/>
      </font>
    </dxf>
    <dxf>
      <font>
        <b/>
        <family val="2"/>
      </font>
    </dxf>
    <dxf>
      <font>
        <b/>
        <family val="2"/>
      </font>
    </dxf>
    <dxf>
      <alignment horizontal="right"/>
    </dxf>
    <dxf>
      <font>
        <b/>
        <family val="2"/>
      </font>
    </dxf>
    <dxf>
      <font>
        <b/>
        <family val="2"/>
      </font>
    </dxf>
    <dxf>
      <alignment horizontal="righ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ill>
        <patternFill patternType="none">
          <bgColor auto="1"/>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ill>
        <patternFill patternType="none">
          <bgColor auto="1"/>
        </patternFill>
      </fill>
    </dxf>
    <dxf>
      <fill>
        <patternFill patternType="solid">
          <bgColor rgb="FFFFFF00"/>
        </patternFill>
      </fill>
    </dxf>
    <dxf>
      <font>
        <b/>
        <family val="2"/>
      </font>
    </dxf>
    <dxf>
      <font>
        <b/>
        <family val="2"/>
      </font>
    </dxf>
    <dxf>
      <font>
        <b/>
        <family val="2"/>
      </font>
    </dxf>
    <dxf>
      <fill>
        <patternFill patternType="none">
          <bgColor auto="1"/>
        </patternFill>
      </fill>
    </dxf>
    <dxf>
      <font>
        <b/>
        <family val="2"/>
      </font>
    </dxf>
    <dxf>
      <font>
        <b/>
        <family val="2"/>
      </font>
    </dxf>
    <dxf>
      <font>
        <b/>
        <family val="2"/>
      </font>
    </dxf>
    <dxf>
      <font>
        <b/>
        <family val="2"/>
      </font>
    </dxf>
    <dxf>
      <font>
        <b/>
        <family val="2"/>
      </font>
    </dxf>
    <dxf>
      <font>
        <b/>
        <family val="2"/>
      </font>
    </dxf>
    <dxf>
      <fill>
        <patternFill patternType="none">
          <bgColor auto="1"/>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ont>
        <b/>
        <family val="2"/>
      </font>
    </dxf>
    <dxf>
      <font>
        <b/>
        <family val="2"/>
      </font>
    </dxf>
    <dxf>
      <fill>
        <patternFill patternType="none">
          <bgColor auto="1"/>
        </patternFill>
      </fill>
    </dxf>
    <dxf>
      <fill>
        <patternFill patternType="none">
          <bgColor auto="1"/>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alignment horizontal="right"/>
    </dxf>
    <dxf>
      <alignment horizontal="right"/>
    </dxf>
    <dxf>
      <font>
        <b/>
        <family val="2"/>
      </font>
    </dxf>
    <dxf>
      <font>
        <b/>
        <family val="2"/>
      </font>
    </dxf>
    <dxf>
      <font>
        <b/>
        <family val="2"/>
      </font>
    </dxf>
    <dxf>
      <font>
        <b/>
        <family val="2"/>
      </font>
    </dxf>
    <dxf>
      <font>
        <b/>
        <family val="2"/>
      </font>
    </dxf>
    <dxf>
      <font>
        <b/>
        <family val="2"/>
      </font>
    </dxf>
    <dxf>
      <font>
        <b/>
        <family val="2"/>
      </font>
    </dxf>
    <dxf>
      <alignment horizontal="right"/>
    </dxf>
    <dxf>
      <font>
        <b/>
        <family val="2"/>
      </font>
    </dxf>
    <dxf>
      <font>
        <b/>
        <family val="2"/>
      </font>
    </dxf>
    <dxf>
      <alignment horizontal="righ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ill>
        <patternFill patternType="none">
          <bgColor auto="1"/>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ill>
        <patternFill patternType="none">
          <bgColor auto="1"/>
        </patternFill>
      </fill>
    </dxf>
    <dxf>
      <fill>
        <patternFill patternType="solid">
          <bgColor rgb="FFFFFF00"/>
        </patternFill>
      </fill>
    </dxf>
    <dxf>
      <font>
        <b/>
        <family val="2"/>
      </font>
    </dxf>
    <dxf>
      <font>
        <b/>
        <family val="2"/>
      </font>
    </dxf>
    <dxf>
      <font>
        <b/>
        <family val="2"/>
      </font>
    </dxf>
    <dxf>
      <fill>
        <patternFill patternType="none">
          <bgColor auto="1"/>
        </patternFill>
      </fill>
    </dxf>
    <dxf>
      <font>
        <b/>
        <family val="2"/>
      </font>
    </dxf>
    <dxf>
      <font>
        <b/>
        <family val="2"/>
      </font>
    </dxf>
    <dxf>
      <font>
        <b/>
        <family val="2"/>
      </font>
    </dxf>
    <dxf>
      <font>
        <b/>
        <family val="2"/>
      </font>
    </dxf>
    <dxf>
      <font>
        <b/>
        <family val="2"/>
      </font>
    </dxf>
    <dxf>
      <font>
        <b/>
        <family val="2"/>
      </font>
    </dxf>
    <dxf>
      <fill>
        <patternFill patternType="none">
          <bgColor auto="1"/>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ont>
        <b/>
        <family val="2"/>
      </font>
    </dxf>
    <dxf>
      <font>
        <b/>
        <family val="2"/>
      </font>
    </dxf>
    <dxf>
      <fill>
        <patternFill patternType="none">
          <bgColor auto="1"/>
        </patternFill>
      </fill>
    </dxf>
    <dxf>
      <fill>
        <patternFill patternType="none">
          <bgColor auto="1"/>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alignment horizontal="right"/>
    </dxf>
    <dxf>
      <alignment horizontal="righ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alignment horizontal="right"/>
    </dxf>
    <dxf>
      <font>
        <b/>
        <family val="2"/>
      </font>
    </dxf>
    <dxf>
      <font>
        <b/>
        <family val="2"/>
      </font>
    </dxf>
    <dxf>
      <alignment horizontal="righ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none">
          <bgColor auto="1"/>
        </patternFill>
      </fill>
    </dxf>
    <dxf>
      <fill>
        <patternFill patternType="solid">
          <bgColor rgb="FFFFFF00"/>
        </patternFill>
      </fill>
    </dxf>
    <dxf>
      <font>
        <b/>
        <family val="2"/>
      </font>
    </dxf>
    <dxf>
      <font>
        <b/>
        <family val="2"/>
      </font>
    </dxf>
    <dxf>
      <font>
        <b/>
        <family val="2"/>
      </font>
    </dxf>
    <dxf>
      <fill>
        <patternFill patternType="none">
          <bgColor auto="1"/>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ont>
        <b/>
        <family val="2"/>
      </font>
    </dxf>
    <dxf>
      <font>
        <b/>
        <family val="2"/>
      </font>
    </dxf>
    <dxf>
      <font>
        <b/>
        <family val="2"/>
      </font>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ill>
        <patternFill patternType="none">
          <bgColor auto="1"/>
        </patternFill>
      </fill>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ont>
        <b/>
        <family val="2"/>
      </font>
    </dxf>
    <dxf>
      <font>
        <b/>
        <family val="2"/>
      </font>
    </dxf>
    <dxf>
      <font>
        <b/>
        <family val="2"/>
      </font>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none">
          <bgColor auto="1"/>
        </patternFill>
      </fill>
    </dxf>
    <dxf>
      <fill>
        <patternFill patternType="none">
          <bgColor auto="1"/>
        </patternFill>
      </fill>
    </dxf>
    <dxf>
      <font>
        <b/>
        <family val="2"/>
      </font>
    </dxf>
    <dxf>
      <fill>
        <patternFill patternType="solid">
          <bgColor rgb="FFFFFF00"/>
        </patternFill>
      </fill>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ont>
        <b/>
        <family val="2"/>
      </font>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dxf>
    <dxf>
      <font>
        <b/>
        <family val="2"/>
      </font>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dxf>
    <dxf>
      <font>
        <b/>
        <family val="2"/>
      </font>
    </dxf>
    <dxf>
      <font>
        <b/>
        <family val="2"/>
      </font>
    </dxf>
    <dxf>
      <font>
        <b/>
        <family val="2"/>
      </font>
    </dxf>
    <dxf>
      <font>
        <b/>
        <family val="2"/>
      </font>
    </dxf>
    <dxf>
      <fill>
        <patternFill patternType="solid">
          <fgColor rgb="FFFF0000"/>
          <bgColor rgb="FF000000"/>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12">
    <tableStyle name="CCMD Figure 1-style" pivot="0" count="3" xr9:uid="{00000000-0011-0000-FFFF-FFFF00000000}">
      <tableStyleElement type="headerRow" dxfId="959"/>
      <tableStyleElement type="firstRowStripe" dxfId="958"/>
      <tableStyleElement type="secondRowStripe" dxfId="957"/>
    </tableStyle>
    <tableStyle name="CCMD Figure 3-style" pivot="0" count="3" xr9:uid="{00000000-0011-0000-FFFF-FFFF01000000}">
      <tableStyleElement type="headerRow" dxfId="956"/>
      <tableStyleElement type="firstRowStripe" dxfId="955"/>
      <tableStyleElement type="secondRowStripe" dxfId="954"/>
    </tableStyle>
    <tableStyle name="CCMD Figure 7-style" pivot="0" count="3" xr9:uid="{00000000-0011-0000-FFFF-FFFF02000000}">
      <tableStyleElement type="headerRow" dxfId="953"/>
      <tableStyleElement type="firstRowStripe" dxfId="952"/>
      <tableStyleElement type="secondRowStripe" dxfId="951"/>
    </tableStyle>
    <tableStyle name="PACOM Figure 7-style" pivot="0" count="3" xr9:uid="{00000000-0011-0000-FFFF-FFFF03000000}">
      <tableStyleElement type="headerRow" dxfId="950"/>
      <tableStyleElement type="firstRowStripe" dxfId="949"/>
      <tableStyleElement type="secondRowStripe" dxfId="948"/>
    </tableStyle>
    <tableStyle name="PACOM Figure 7-style 2" pivot="0" count="3" xr9:uid="{00000000-0011-0000-FFFF-FFFF04000000}">
      <tableStyleElement type="headerRow" dxfId="947"/>
      <tableStyleElement type="firstRowStripe" dxfId="946"/>
      <tableStyleElement type="secondRowStripe" dxfId="945"/>
    </tableStyle>
    <tableStyle name="Figure 15-style" pivot="0" count="3" xr9:uid="{00000000-0011-0000-FFFF-FFFF05000000}">
      <tableStyleElement type="headerRow" dxfId="944"/>
      <tableStyleElement type="firstRowStripe" dxfId="943"/>
      <tableStyleElement type="secondRowStripe" dxfId="942"/>
    </tableStyle>
    <tableStyle name="Figure 17-18-style" pivot="0" count="3" xr9:uid="{00000000-0011-0000-FFFF-FFFF06000000}">
      <tableStyleElement type="headerRow" dxfId="941"/>
      <tableStyleElement type="firstRowStripe" dxfId="940"/>
      <tableStyleElement type="secondRowStripe" dxfId="939"/>
    </tableStyle>
    <tableStyle name="Figure 17-18-style 2" pivot="0" count="3" xr9:uid="{00000000-0011-0000-FFFF-FFFF07000000}">
      <tableStyleElement type="headerRow" dxfId="938"/>
      <tableStyleElement type="firstRowStripe" dxfId="937"/>
      <tableStyleElement type="secondRowStripe" dxfId="936"/>
    </tableStyle>
    <tableStyle name="Figure 17-18-style 3" pivot="0" count="3" xr9:uid="{00000000-0011-0000-FFFF-FFFF08000000}">
      <tableStyleElement type="headerRow" dxfId="935"/>
      <tableStyleElement type="firstRowStripe" dxfId="934"/>
      <tableStyleElement type="secondRowStripe" dxfId="933"/>
    </tableStyle>
    <tableStyle name="Figure 19-style" pivot="0" count="3" xr9:uid="{00000000-0011-0000-FFFF-FFFF09000000}">
      <tableStyleElement type="headerRow" dxfId="932"/>
      <tableStyleElement type="firstRowStripe" dxfId="931"/>
      <tableStyleElement type="secondRowStripe" dxfId="930"/>
    </tableStyle>
    <tableStyle name="Fig 40-42 Exercises-style" pivot="0" count="3" xr9:uid="{00000000-0011-0000-FFFF-FFFF0A000000}">
      <tableStyleElement type="headerRow" dxfId="929"/>
      <tableStyleElement type="firstRowStripe" dxfId="928"/>
      <tableStyleElement type="secondRowStripe" dxfId="927"/>
    </tableStyle>
    <tableStyle name="Invisible" pivot="0" table="0" count="0" xr9:uid="{E50CD2A6-F878-4788-9725-29A17F48403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84" Type="http://schemas.openxmlformats.org/officeDocument/2006/relationships/sheetMetadata" Target="metadata.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pivotCacheDefinition" Target="pivotCache/pivotCacheDefinition3.xml"/><Relationship Id="rId87"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90"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pivotCacheDefinition" Target="pivotCache/pivotCacheDefinition1.xml"/><Relationship Id="rId8" Type="http://schemas.openxmlformats.org/officeDocument/2006/relationships/worksheet" Target="worksheets/sheet8.xml"/><Relationship Id="rId51" Type="http://schemas.openxmlformats.org/officeDocument/2006/relationships/worksheet" Target="worksheets/sheet51.xml"/><Relationship Id="rId80" Type="http://customschemas.google.com/relationships/workbookmetadata" Target="metadata"/><Relationship Id="rId85"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pivotCacheDefinition" Target="pivotCache/pivotCacheDefinition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83" Type="http://schemas.openxmlformats.org/officeDocument/2006/relationships/sharedStrings" Target="sharedStrings.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pivotCacheDefinition" Target="pivotCache/pivotCacheDefinition2.xml"/><Relationship Id="rId81" Type="http://schemas.openxmlformats.org/officeDocument/2006/relationships/theme" Target="theme/theme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7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7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8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8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1. PLA Military Diplomatic Interactions by US CCMD AOR, 2002-2024</a:t>
            </a:r>
          </a:p>
        </c:rich>
      </c:tx>
      <c:overlay val="0"/>
    </c:title>
    <c:autoTitleDeleted val="0"/>
    <c:plotArea>
      <c:layout/>
      <c:barChart>
        <c:barDir val="col"/>
        <c:grouping val="stacked"/>
        <c:varyColors val="1"/>
        <c:ser>
          <c:idx val="0"/>
          <c:order val="0"/>
          <c:tx>
            <c:v>Senior-Level Meetings</c:v>
          </c:tx>
          <c:spPr>
            <a:solidFill>
              <a:srgbClr val="5B9BD5"/>
            </a:solidFill>
            <a:ln cmpd="sng">
              <a:solidFill>
                <a:srgbClr val="000000"/>
              </a:solidFill>
            </a:ln>
          </c:spPr>
          <c:invertIfNegative val="1"/>
          <c:cat>
            <c:strRef>
              <c:f>'CCMD Figure 1'!$A$60:$A$65</c:f>
              <c:strCache>
                <c:ptCount val="6"/>
                <c:pt idx="0">
                  <c:v>AFRICOM</c:v>
                </c:pt>
                <c:pt idx="1">
                  <c:v>CENTCOM</c:v>
                </c:pt>
                <c:pt idx="2">
                  <c:v>EUCOM</c:v>
                </c:pt>
                <c:pt idx="3">
                  <c:v>NORTHCOM</c:v>
                </c:pt>
                <c:pt idx="4">
                  <c:v>INDOPACOM</c:v>
                </c:pt>
                <c:pt idx="5">
                  <c:v>SOUTHCOM</c:v>
                </c:pt>
              </c:strCache>
            </c:strRef>
          </c:cat>
          <c:val>
            <c:numRef>
              <c:f>'CCMD Figure 1'!$B$60:$B$65</c:f>
              <c:numCache>
                <c:formatCode>General</c:formatCode>
                <c:ptCount val="6"/>
                <c:pt idx="0">
                  <c:v>297</c:v>
                </c:pt>
                <c:pt idx="1">
                  <c:v>374</c:v>
                </c:pt>
                <c:pt idx="2">
                  <c:v>642</c:v>
                </c:pt>
                <c:pt idx="3">
                  <c:v>137</c:v>
                </c:pt>
                <c:pt idx="4">
                  <c:v>840</c:v>
                </c:pt>
                <c:pt idx="5">
                  <c:v>209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6EC-3B46-9284-E1B372C84122}"/>
            </c:ext>
          </c:extLst>
        </c:ser>
        <c:ser>
          <c:idx val="1"/>
          <c:order val="1"/>
          <c:tx>
            <c:v>Military Exercises </c:v>
          </c:tx>
          <c:spPr>
            <a:solidFill>
              <a:srgbClr val="ED7D31"/>
            </a:solidFill>
            <a:ln cmpd="sng">
              <a:solidFill>
                <a:srgbClr val="000000"/>
              </a:solidFill>
            </a:ln>
          </c:spPr>
          <c:invertIfNegative val="1"/>
          <c:cat>
            <c:strRef>
              <c:f>'CCMD Figure 1'!$A$60:$A$65</c:f>
              <c:strCache>
                <c:ptCount val="6"/>
                <c:pt idx="0">
                  <c:v>AFRICOM</c:v>
                </c:pt>
                <c:pt idx="1">
                  <c:v>CENTCOM</c:v>
                </c:pt>
                <c:pt idx="2">
                  <c:v>EUCOM</c:v>
                </c:pt>
                <c:pt idx="3">
                  <c:v>NORTHCOM</c:v>
                </c:pt>
                <c:pt idx="4">
                  <c:v>INDOPACOM</c:v>
                </c:pt>
                <c:pt idx="5">
                  <c:v>SOUTHCOM</c:v>
                </c:pt>
              </c:strCache>
            </c:strRef>
          </c:cat>
          <c:val>
            <c:numRef>
              <c:f>'CCMD Figure 1'!$C$60:$C$65</c:f>
              <c:numCache>
                <c:formatCode>General</c:formatCode>
                <c:ptCount val="6"/>
                <c:pt idx="0">
                  <c:v>22</c:v>
                </c:pt>
                <c:pt idx="1">
                  <c:v>92</c:v>
                </c:pt>
                <c:pt idx="2">
                  <c:v>99</c:v>
                </c:pt>
                <c:pt idx="3">
                  <c:v>19</c:v>
                </c:pt>
                <c:pt idx="4">
                  <c:v>174</c:v>
                </c:pt>
                <c:pt idx="5">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6EC-3B46-9284-E1B372C84122}"/>
            </c:ext>
          </c:extLst>
        </c:ser>
        <c:ser>
          <c:idx val="2"/>
          <c:order val="2"/>
          <c:tx>
            <c:v>Naval Port Calls</c:v>
          </c:tx>
          <c:spPr>
            <a:solidFill>
              <a:srgbClr val="A5A5A5"/>
            </a:solidFill>
            <a:ln cmpd="sng">
              <a:solidFill>
                <a:srgbClr val="000000"/>
              </a:solidFill>
            </a:ln>
          </c:spPr>
          <c:invertIfNegative val="1"/>
          <c:cat>
            <c:strRef>
              <c:f>'CCMD Figure 1'!$A$60:$A$65</c:f>
              <c:strCache>
                <c:ptCount val="6"/>
                <c:pt idx="0">
                  <c:v>AFRICOM</c:v>
                </c:pt>
                <c:pt idx="1">
                  <c:v>CENTCOM</c:v>
                </c:pt>
                <c:pt idx="2">
                  <c:v>EUCOM</c:v>
                </c:pt>
                <c:pt idx="3">
                  <c:v>NORTHCOM</c:v>
                </c:pt>
                <c:pt idx="4">
                  <c:v>INDOPACOM</c:v>
                </c:pt>
                <c:pt idx="5">
                  <c:v>SOUTHCOM</c:v>
                </c:pt>
              </c:strCache>
            </c:strRef>
          </c:cat>
          <c:val>
            <c:numRef>
              <c:f>'CCMD Figure 1'!$D$60:$D$65</c:f>
              <c:numCache>
                <c:formatCode>General</c:formatCode>
                <c:ptCount val="6"/>
                <c:pt idx="0">
                  <c:v>71</c:v>
                </c:pt>
                <c:pt idx="1">
                  <c:v>108</c:v>
                </c:pt>
                <c:pt idx="2">
                  <c:v>58</c:v>
                </c:pt>
                <c:pt idx="3">
                  <c:v>10</c:v>
                </c:pt>
                <c:pt idx="4">
                  <c:v>153</c:v>
                </c:pt>
                <c:pt idx="5">
                  <c:v>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6EC-3B46-9284-E1B372C84122}"/>
            </c:ext>
          </c:extLst>
        </c:ser>
        <c:dLbls>
          <c:showLegendKey val="0"/>
          <c:showVal val="0"/>
          <c:showCatName val="0"/>
          <c:showSerName val="0"/>
          <c:showPercent val="0"/>
          <c:showBubbleSize val="0"/>
        </c:dLbls>
        <c:gapWidth val="150"/>
        <c:overlap val="100"/>
        <c:axId val="1255069432"/>
        <c:axId val="1296491244"/>
      </c:barChart>
      <c:catAx>
        <c:axId val="125506943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296491244"/>
        <c:crosses val="autoZero"/>
        <c:auto val="1"/>
        <c:lblAlgn val="ctr"/>
        <c:lblOffset val="100"/>
        <c:noMultiLvlLbl val="1"/>
      </c:catAx>
      <c:valAx>
        <c:axId val="12964912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55069432"/>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2002-2024 (AFRICOM)</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'AFRICOM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'AFRICOM Figure 4'!$B$64:$X$64</c:f>
              <c:numCache>
                <c:formatCode>General</c:formatCode>
                <c:ptCount val="23"/>
                <c:pt idx="0">
                  <c:v>4</c:v>
                </c:pt>
                <c:pt idx="1">
                  <c:v>13</c:v>
                </c:pt>
                <c:pt idx="2">
                  <c:v>9</c:v>
                </c:pt>
                <c:pt idx="3">
                  <c:v>8</c:v>
                </c:pt>
                <c:pt idx="4">
                  <c:v>13</c:v>
                </c:pt>
                <c:pt idx="5">
                  <c:v>8</c:v>
                </c:pt>
                <c:pt idx="6">
                  <c:v>11</c:v>
                </c:pt>
                <c:pt idx="7">
                  <c:v>7</c:v>
                </c:pt>
                <c:pt idx="8">
                  <c:v>10</c:v>
                </c:pt>
                <c:pt idx="9">
                  <c:v>6</c:v>
                </c:pt>
                <c:pt idx="10">
                  <c:v>4</c:v>
                </c:pt>
                <c:pt idx="11">
                  <c:v>0</c:v>
                </c:pt>
                <c:pt idx="12">
                  <c:v>4</c:v>
                </c:pt>
                <c:pt idx="13">
                  <c:v>2</c:v>
                </c:pt>
                <c:pt idx="14">
                  <c:v>3</c:v>
                </c:pt>
                <c:pt idx="15">
                  <c:v>2</c:v>
                </c:pt>
                <c:pt idx="16">
                  <c:v>2</c:v>
                </c:pt>
                <c:pt idx="17">
                  <c:v>3</c:v>
                </c:pt>
                <c:pt idx="18">
                  <c:v>0</c:v>
                </c:pt>
                <c:pt idx="19">
                  <c:v>0</c:v>
                </c:pt>
                <c:pt idx="20">
                  <c:v>1</c:v>
                </c:pt>
                <c:pt idx="21">
                  <c:v>0</c:v>
                </c:pt>
                <c:pt idx="2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E73-3945-9E21-1ABFC11B5273}"/>
            </c:ext>
          </c:extLst>
        </c:ser>
        <c:ser>
          <c:idx val="1"/>
          <c:order val="1"/>
          <c:tx>
            <c:v>Hosted</c:v>
          </c:tx>
          <c:spPr>
            <a:solidFill>
              <a:srgbClr val="ED7D31"/>
            </a:solidFill>
            <a:ln cmpd="sng">
              <a:solidFill>
                <a:srgbClr val="000000"/>
              </a:solidFill>
            </a:ln>
          </c:spPr>
          <c:invertIfNegative val="1"/>
          <c:cat>
            <c:numRef>
              <c:f>'AFRICOM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'AFRICOM Figure 4'!$B$65:$X$65</c:f>
              <c:numCache>
                <c:formatCode>General</c:formatCode>
                <c:ptCount val="23"/>
                <c:pt idx="0">
                  <c:v>11</c:v>
                </c:pt>
                <c:pt idx="1">
                  <c:v>9</c:v>
                </c:pt>
                <c:pt idx="2">
                  <c:v>6</c:v>
                </c:pt>
                <c:pt idx="3">
                  <c:v>19</c:v>
                </c:pt>
                <c:pt idx="4">
                  <c:v>14</c:v>
                </c:pt>
                <c:pt idx="5">
                  <c:v>22</c:v>
                </c:pt>
                <c:pt idx="6">
                  <c:v>5</c:v>
                </c:pt>
                <c:pt idx="7">
                  <c:v>11</c:v>
                </c:pt>
                <c:pt idx="8">
                  <c:v>11</c:v>
                </c:pt>
                <c:pt idx="9">
                  <c:v>7</c:v>
                </c:pt>
                <c:pt idx="10">
                  <c:v>3</c:v>
                </c:pt>
                <c:pt idx="11">
                  <c:v>10</c:v>
                </c:pt>
                <c:pt idx="12">
                  <c:v>5</c:v>
                </c:pt>
                <c:pt idx="13">
                  <c:v>9</c:v>
                </c:pt>
                <c:pt idx="14">
                  <c:v>1</c:v>
                </c:pt>
                <c:pt idx="15">
                  <c:v>12</c:v>
                </c:pt>
                <c:pt idx="16">
                  <c:v>6</c:v>
                </c:pt>
                <c:pt idx="17">
                  <c:v>6</c:v>
                </c:pt>
                <c:pt idx="18">
                  <c:v>0</c:v>
                </c:pt>
                <c:pt idx="19">
                  <c:v>0</c:v>
                </c:pt>
                <c:pt idx="20">
                  <c:v>0</c:v>
                </c:pt>
                <c:pt idx="21">
                  <c:v>6</c:v>
                </c:pt>
                <c:pt idx="22">
                  <c:v>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E73-3945-9E21-1ABFC11B5273}"/>
            </c:ext>
          </c:extLst>
        </c:ser>
        <c:dLbls>
          <c:showLegendKey val="0"/>
          <c:showVal val="0"/>
          <c:showCatName val="0"/>
          <c:showSerName val="0"/>
          <c:showPercent val="0"/>
          <c:showBubbleSize val="0"/>
        </c:dLbls>
        <c:gapWidth val="150"/>
        <c:axId val="113803148"/>
        <c:axId val="806901480"/>
      </c:barChart>
      <c:catAx>
        <c:axId val="11380314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806901480"/>
        <c:crosses val="autoZero"/>
        <c:auto val="1"/>
        <c:lblAlgn val="ctr"/>
        <c:lblOffset val="100"/>
        <c:noMultiLvlLbl val="1"/>
      </c:catAx>
      <c:valAx>
        <c:axId val="8069014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380314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2002-2024 (AFRICOM &amp; Global)</a:t>
            </a:r>
          </a:p>
        </c:rich>
      </c:tx>
      <c:layout>
        <c:manualLayout>
          <c:xMode val="edge"/>
          <c:yMode val="edge"/>
          <c:x val="0.16128090896532671"/>
          <c:y val="2.9974397372107629E-2"/>
        </c:manualLayout>
      </c:layout>
      <c:overlay val="0"/>
    </c:title>
    <c:autoTitleDeleted val="0"/>
    <c:plotArea>
      <c:layout/>
      <c:barChart>
        <c:barDir val="col"/>
        <c:grouping val="clustered"/>
        <c:varyColors val="1"/>
        <c:ser>
          <c:idx val="0"/>
          <c:order val="0"/>
          <c:tx>
            <c:v>AFRICOM</c:v>
          </c:tx>
          <c:spPr>
            <a:solidFill>
              <a:srgbClr val="5B9BD5"/>
            </a:solidFill>
            <a:ln cmpd="sng">
              <a:solidFill>
                <a:srgbClr val="000000"/>
              </a:solidFill>
            </a:ln>
          </c:spPr>
          <c:invertIfNegative val="1"/>
          <c:cat>
            <c:numRef>
              <c:f>'AFRICOM Figure 5'!$B$61:$X$61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'AFRICOM Figure 5'!$B$62:$V$62</c:f>
              <c:numCache>
                <c:formatCode>General</c:formatCode>
                <c:ptCount val="21"/>
                <c:pt idx="0">
                  <c:v>0</c:v>
                </c:pt>
                <c:pt idx="1">
                  <c:v>0</c:v>
                </c:pt>
                <c:pt idx="2">
                  <c:v>0</c:v>
                </c:pt>
                <c:pt idx="3">
                  <c:v>0</c:v>
                </c:pt>
                <c:pt idx="4">
                  <c:v>0</c:v>
                </c:pt>
                <c:pt idx="5">
                  <c:v>0</c:v>
                </c:pt>
                <c:pt idx="6">
                  <c:v>0</c:v>
                </c:pt>
                <c:pt idx="7">
                  <c:v>1</c:v>
                </c:pt>
                <c:pt idx="8">
                  <c:v>0</c:v>
                </c:pt>
                <c:pt idx="9">
                  <c:v>0</c:v>
                </c:pt>
                <c:pt idx="10">
                  <c:v>0</c:v>
                </c:pt>
                <c:pt idx="11">
                  <c:v>0</c:v>
                </c:pt>
                <c:pt idx="12">
                  <c:v>4</c:v>
                </c:pt>
                <c:pt idx="13">
                  <c:v>0</c:v>
                </c:pt>
                <c:pt idx="14">
                  <c:v>1</c:v>
                </c:pt>
                <c:pt idx="15">
                  <c:v>1</c:v>
                </c:pt>
                <c:pt idx="16">
                  <c:v>6</c:v>
                </c:pt>
                <c:pt idx="17">
                  <c:v>2</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0AB-C14A-8492-B6E42248C281}"/>
            </c:ext>
          </c:extLst>
        </c:ser>
        <c:ser>
          <c:idx val="1"/>
          <c:order val="1"/>
          <c:tx>
            <c:v>Global</c:v>
          </c:tx>
          <c:spPr>
            <a:solidFill>
              <a:srgbClr val="ED7D31"/>
            </a:solidFill>
            <a:ln cmpd="sng">
              <a:solidFill>
                <a:srgbClr val="000000"/>
              </a:solidFill>
            </a:ln>
          </c:spPr>
          <c:invertIfNegative val="1"/>
          <c:cat>
            <c:numRef>
              <c:f>'AFRICOM Figure 5'!$B$61:$X$61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'AFRICOM Figure 5'!$B$68:$X$68</c:f>
              <c:numCache>
                <c:formatCode>General</c:formatCode>
                <c:ptCount val="23"/>
                <c:pt idx="0">
                  <c:v>1</c:v>
                </c:pt>
                <c:pt idx="1">
                  <c:v>3</c:v>
                </c:pt>
                <c:pt idx="2">
                  <c:v>4</c:v>
                </c:pt>
                <c:pt idx="3">
                  <c:v>5</c:v>
                </c:pt>
                <c:pt idx="4">
                  <c:v>5</c:v>
                </c:pt>
                <c:pt idx="5">
                  <c:v>8</c:v>
                </c:pt>
                <c:pt idx="6">
                  <c:v>2</c:v>
                </c:pt>
                <c:pt idx="7">
                  <c:v>9</c:v>
                </c:pt>
                <c:pt idx="8">
                  <c:v>13</c:v>
                </c:pt>
                <c:pt idx="9">
                  <c:v>10</c:v>
                </c:pt>
                <c:pt idx="10">
                  <c:v>12</c:v>
                </c:pt>
                <c:pt idx="11">
                  <c:v>15</c:v>
                </c:pt>
                <c:pt idx="12">
                  <c:v>26</c:v>
                </c:pt>
                <c:pt idx="13">
                  <c:v>44</c:v>
                </c:pt>
                <c:pt idx="14">
                  <c:v>38</c:v>
                </c:pt>
                <c:pt idx="15">
                  <c:v>50</c:v>
                </c:pt>
                <c:pt idx="16">
                  <c:v>39</c:v>
                </c:pt>
                <c:pt idx="17">
                  <c:v>42</c:v>
                </c:pt>
                <c:pt idx="18">
                  <c:v>9</c:v>
                </c:pt>
                <c:pt idx="19">
                  <c:v>14</c:v>
                </c:pt>
                <c:pt idx="20">
                  <c:v>10</c:v>
                </c:pt>
                <c:pt idx="21">
                  <c:v>24</c:v>
                </c:pt>
                <c:pt idx="22">
                  <c:v>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0AB-C14A-8492-B6E42248C281}"/>
            </c:ext>
          </c:extLst>
        </c:ser>
        <c:dLbls>
          <c:showLegendKey val="0"/>
          <c:showVal val="0"/>
          <c:showCatName val="0"/>
          <c:showSerName val="0"/>
          <c:showPercent val="0"/>
          <c:showBubbleSize val="0"/>
        </c:dLbls>
        <c:gapWidth val="150"/>
        <c:axId val="1183189196"/>
        <c:axId val="1068085379"/>
      </c:barChart>
      <c:catAx>
        <c:axId val="118318919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068085379"/>
        <c:crosses val="autoZero"/>
        <c:auto val="1"/>
        <c:lblAlgn val="ctr"/>
        <c:lblOffset val="100"/>
        <c:noMultiLvlLbl val="1"/>
      </c:catAx>
      <c:valAx>
        <c:axId val="106808537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8318919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6. PLA International Military Exercises by Function, 2002-2024 (AFRICOM &amp; Global)</a:t>
            </a:r>
          </a:p>
        </c:rich>
      </c:tx>
      <c:overlay val="0"/>
    </c:title>
    <c:autoTitleDeleted val="0"/>
    <c:plotArea>
      <c:layout/>
      <c:barChart>
        <c:barDir val="col"/>
        <c:grouping val="clustered"/>
        <c:varyColors val="1"/>
        <c:ser>
          <c:idx val="0"/>
          <c:order val="0"/>
          <c:tx>
            <c:v>AFRICOM</c:v>
          </c:tx>
          <c:spPr>
            <a:solidFill>
              <a:srgbClr val="5B9BD5"/>
            </a:solidFill>
            <a:ln cmpd="sng">
              <a:solidFill>
                <a:srgbClr val="000000"/>
              </a:solidFill>
            </a:ln>
          </c:spPr>
          <c:invertIfNegative val="1"/>
          <c:cat>
            <c:strRef>
              <c:f>'AFRICOM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'AFRICOM Figure 6'!$B$68:$I$68</c:f>
              <c:numCache>
                <c:formatCode>General</c:formatCode>
                <c:ptCount val="8"/>
                <c:pt idx="0">
                  <c:v>3</c:v>
                </c:pt>
                <c:pt idx="1">
                  <c:v>2</c:v>
                </c:pt>
                <c:pt idx="2">
                  <c:v>2</c:v>
                </c:pt>
                <c:pt idx="3">
                  <c:v>0</c:v>
                </c:pt>
                <c:pt idx="4">
                  <c:v>0</c:v>
                </c:pt>
                <c:pt idx="5">
                  <c:v>8</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F67-844F-8283-9E4AB7137EFE}"/>
            </c:ext>
          </c:extLst>
        </c:ser>
        <c:ser>
          <c:idx val="1"/>
          <c:order val="1"/>
          <c:tx>
            <c:v>Global</c:v>
          </c:tx>
          <c:spPr>
            <a:solidFill>
              <a:srgbClr val="ED7D31"/>
            </a:solidFill>
            <a:ln cmpd="sng">
              <a:solidFill>
                <a:srgbClr val="000000"/>
              </a:solidFill>
            </a:ln>
          </c:spPr>
          <c:invertIfNegative val="1"/>
          <c:cat>
            <c:strRef>
              <c:f>'AFRICOM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'AFRICOM Figure 6'!$B$74:$I$74</c:f>
              <c:numCache>
                <c:formatCode>General</c:formatCode>
                <c:ptCount val="8"/>
                <c:pt idx="0">
                  <c:v>22</c:v>
                </c:pt>
                <c:pt idx="1">
                  <c:v>86</c:v>
                </c:pt>
                <c:pt idx="2">
                  <c:v>60</c:v>
                </c:pt>
                <c:pt idx="3">
                  <c:v>12</c:v>
                </c:pt>
                <c:pt idx="4">
                  <c:v>15</c:v>
                </c:pt>
                <c:pt idx="5">
                  <c:v>155</c:v>
                </c:pt>
                <c:pt idx="6">
                  <c:v>7</c:v>
                </c:pt>
                <c:pt idx="7">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F67-844F-8283-9E4AB7137EFE}"/>
            </c:ext>
          </c:extLst>
        </c:ser>
        <c:dLbls>
          <c:showLegendKey val="0"/>
          <c:showVal val="0"/>
          <c:showCatName val="0"/>
          <c:showSerName val="0"/>
          <c:showPercent val="0"/>
          <c:showBubbleSize val="0"/>
        </c:dLbls>
        <c:gapWidth val="150"/>
        <c:axId val="1158224781"/>
        <c:axId val="24662931"/>
      </c:barChart>
      <c:catAx>
        <c:axId val="115822478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4662931"/>
        <c:crosses val="autoZero"/>
        <c:auto val="1"/>
        <c:lblAlgn val="ctr"/>
        <c:lblOffset val="100"/>
        <c:noMultiLvlLbl val="1"/>
      </c:catAx>
      <c:valAx>
        <c:axId val="2466293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5822478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2. Total PLA Military Diplomatic Interactions, 2002-2024 (SOUTHCOM)</a:t>
            </a:r>
          </a:p>
        </c:rich>
      </c:tx>
      <c:overlay val="0"/>
    </c:title>
    <c:autoTitleDeleted val="0"/>
    <c:plotArea>
      <c:layout/>
      <c:barChart>
        <c:barDir val="col"/>
        <c:grouping val="stacked"/>
        <c:varyColors val="1"/>
        <c:ser>
          <c:idx val="0"/>
          <c:order val="0"/>
          <c:tx>
            <c:v>Senior Level Visits</c:v>
          </c:tx>
          <c:spPr>
            <a:solidFill>
              <a:srgbClr val="5B9BD5"/>
            </a:solidFill>
            <a:ln cmpd="sng">
              <a:solidFill>
                <a:srgbClr val="000000"/>
              </a:solidFill>
            </a:ln>
          </c:spPr>
          <c:invertIfNegative val="1"/>
          <c:cat>
            <c:numRef>
              <c:f>'SOUTHCOM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'SOUTHCOM Figure 2'!$B$61:$X$61</c:f>
              <c:numCache>
                <c:formatCode>General</c:formatCode>
                <c:ptCount val="23"/>
                <c:pt idx="0">
                  <c:v>10</c:v>
                </c:pt>
                <c:pt idx="1">
                  <c:v>11</c:v>
                </c:pt>
                <c:pt idx="2">
                  <c:v>16</c:v>
                </c:pt>
                <c:pt idx="3">
                  <c:v>20</c:v>
                </c:pt>
                <c:pt idx="4">
                  <c:v>17</c:v>
                </c:pt>
                <c:pt idx="5">
                  <c:v>21</c:v>
                </c:pt>
                <c:pt idx="6">
                  <c:v>15</c:v>
                </c:pt>
                <c:pt idx="7">
                  <c:v>12</c:v>
                </c:pt>
                <c:pt idx="8">
                  <c:v>19</c:v>
                </c:pt>
                <c:pt idx="9">
                  <c:v>10</c:v>
                </c:pt>
                <c:pt idx="10">
                  <c:v>5</c:v>
                </c:pt>
                <c:pt idx="11">
                  <c:v>6</c:v>
                </c:pt>
                <c:pt idx="12">
                  <c:v>8</c:v>
                </c:pt>
                <c:pt idx="13">
                  <c:v>10</c:v>
                </c:pt>
                <c:pt idx="14">
                  <c:v>4</c:v>
                </c:pt>
                <c:pt idx="15">
                  <c:v>3</c:v>
                </c:pt>
                <c:pt idx="16">
                  <c:v>6</c:v>
                </c:pt>
                <c:pt idx="17">
                  <c:v>8</c:v>
                </c:pt>
                <c:pt idx="18">
                  <c:v>0</c:v>
                </c:pt>
                <c:pt idx="19">
                  <c:v>1</c:v>
                </c:pt>
                <c:pt idx="20">
                  <c:v>1</c:v>
                </c:pt>
                <c:pt idx="21">
                  <c:v>2</c:v>
                </c:pt>
                <c:pt idx="22">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C87-9040-A499-667C57081B0F}"/>
            </c:ext>
          </c:extLst>
        </c:ser>
        <c:ser>
          <c:idx val="1"/>
          <c:order val="1"/>
          <c:tx>
            <c:v>Naval Port Calls</c:v>
          </c:tx>
          <c:spPr>
            <a:solidFill>
              <a:srgbClr val="ED7D31"/>
            </a:solidFill>
            <a:ln cmpd="sng">
              <a:solidFill>
                <a:srgbClr val="000000"/>
              </a:solidFill>
            </a:ln>
          </c:spPr>
          <c:invertIfNegative val="1"/>
          <c:cat>
            <c:numRef>
              <c:f>'SOUTHCOM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'SOUTHCOM Figure 2'!$B$60:$X$60</c:f>
              <c:numCache>
                <c:formatCode>General</c:formatCode>
                <c:ptCount val="23"/>
                <c:pt idx="0">
                  <c:v>3</c:v>
                </c:pt>
                <c:pt idx="1">
                  <c:v>0</c:v>
                </c:pt>
                <c:pt idx="2">
                  <c:v>0</c:v>
                </c:pt>
                <c:pt idx="3">
                  <c:v>0</c:v>
                </c:pt>
                <c:pt idx="4">
                  <c:v>0</c:v>
                </c:pt>
                <c:pt idx="5">
                  <c:v>0</c:v>
                </c:pt>
                <c:pt idx="6">
                  <c:v>0</c:v>
                </c:pt>
                <c:pt idx="7">
                  <c:v>3</c:v>
                </c:pt>
                <c:pt idx="8">
                  <c:v>0</c:v>
                </c:pt>
                <c:pt idx="9">
                  <c:v>4</c:v>
                </c:pt>
                <c:pt idx="10">
                  <c:v>0</c:v>
                </c:pt>
                <c:pt idx="11">
                  <c:v>3</c:v>
                </c:pt>
                <c:pt idx="12">
                  <c:v>0</c:v>
                </c:pt>
                <c:pt idx="13">
                  <c:v>6</c:v>
                </c:pt>
                <c:pt idx="14">
                  <c:v>0</c:v>
                </c:pt>
                <c:pt idx="15">
                  <c:v>0</c:v>
                </c:pt>
                <c:pt idx="16">
                  <c:v>7</c:v>
                </c:pt>
                <c:pt idx="17">
                  <c:v>0</c:v>
                </c:pt>
                <c:pt idx="18">
                  <c:v>0</c:v>
                </c:pt>
                <c:pt idx="19">
                  <c:v>0</c:v>
                </c:pt>
                <c:pt idx="20">
                  <c:v>0</c:v>
                </c:pt>
                <c:pt idx="21">
                  <c:v>0</c:v>
                </c:pt>
                <c:pt idx="2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C87-9040-A499-667C57081B0F}"/>
            </c:ext>
          </c:extLst>
        </c:ser>
        <c:ser>
          <c:idx val="2"/>
          <c:order val="2"/>
          <c:tx>
            <c:v>Military Exercises</c:v>
          </c:tx>
          <c:spPr>
            <a:solidFill>
              <a:srgbClr val="A5A5A5"/>
            </a:solidFill>
            <a:ln cmpd="sng">
              <a:solidFill>
                <a:srgbClr val="000000"/>
              </a:solidFill>
            </a:ln>
          </c:spPr>
          <c:invertIfNegative val="1"/>
          <c:cat>
            <c:numRef>
              <c:f>'SOUTHCOM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'SOUTHCOM Figure 2'!$B$59:$X$59</c:f>
              <c:numCache>
                <c:formatCode>General</c:formatCode>
                <c:ptCount val="23"/>
                <c:pt idx="0">
                  <c:v>0</c:v>
                </c:pt>
                <c:pt idx="1">
                  <c:v>0</c:v>
                </c:pt>
                <c:pt idx="2">
                  <c:v>0</c:v>
                </c:pt>
                <c:pt idx="3">
                  <c:v>0</c:v>
                </c:pt>
                <c:pt idx="4">
                  <c:v>0</c:v>
                </c:pt>
                <c:pt idx="5">
                  <c:v>0</c:v>
                </c:pt>
                <c:pt idx="6">
                  <c:v>0</c:v>
                </c:pt>
                <c:pt idx="7">
                  <c:v>0</c:v>
                </c:pt>
                <c:pt idx="8">
                  <c:v>1</c:v>
                </c:pt>
                <c:pt idx="9">
                  <c:v>1</c:v>
                </c:pt>
                <c:pt idx="10">
                  <c:v>1</c:v>
                </c:pt>
                <c:pt idx="11">
                  <c:v>0</c:v>
                </c:pt>
                <c:pt idx="12">
                  <c:v>0</c:v>
                </c:pt>
                <c:pt idx="13">
                  <c:v>0</c:v>
                </c:pt>
                <c:pt idx="14">
                  <c:v>1</c:v>
                </c:pt>
                <c:pt idx="15">
                  <c:v>0</c:v>
                </c:pt>
                <c:pt idx="16">
                  <c:v>1</c:v>
                </c:pt>
                <c:pt idx="17">
                  <c:v>0</c:v>
                </c:pt>
                <c:pt idx="18">
                  <c:v>0</c:v>
                </c:pt>
                <c:pt idx="19">
                  <c:v>0</c:v>
                </c:pt>
                <c:pt idx="20">
                  <c:v>0</c:v>
                </c:pt>
                <c:pt idx="21">
                  <c:v>0</c:v>
                </c:pt>
                <c:pt idx="2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C87-9040-A499-667C57081B0F}"/>
            </c:ext>
          </c:extLst>
        </c:ser>
        <c:dLbls>
          <c:showLegendKey val="0"/>
          <c:showVal val="0"/>
          <c:showCatName val="0"/>
          <c:showSerName val="0"/>
          <c:showPercent val="0"/>
          <c:showBubbleSize val="0"/>
        </c:dLbls>
        <c:gapWidth val="150"/>
        <c:overlap val="100"/>
        <c:axId val="1110198091"/>
        <c:axId val="1504753739"/>
      </c:barChart>
      <c:catAx>
        <c:axId val="111019809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04753739"/>
        <c:crosses val="autoZero"/>
        <c:auto val="1"/>
        <c:lblAlgn val="ctr"/>
        <c:lblOffset val="100"/>
        <c:noMultiLvlLbl val="1"/>
      </c:catAx>
      <c:valAx>
        <c:axId val="15047537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1019809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2002-2024 (SOUTHCOM)</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'SOUTHCOM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'SOUTHCOM Figure 4'!$B$64:$X$64</c:f>
              <c:numCache>
                <c:formatCode>General</c:formatCode>
                <c:ptCount val="23"/>
                <c:pt idx="0">
                  <c:v>0</c:v>
                </c:pt>
                <c:pt idx="1">
                  <c:v>6</c:v>
                </c:pt>
                <c:pt idx="2">
                  <c:v>7</c:v>
                </c:pt>
                <c:pt idx="3">
                  <c:v>12</c:v>
                </c:pt>
                <c:pt idx="4">
                  <c:v>11</c:v>
                </c:pt>
                <c:pt idx="5">
                  <c:v>14</c:v>
                </c:pt>
                <c:pt idx="6">
                  <c:v>9</c:v>
                </c:pt>
                <c:pt idx="7">
                  <c:v>3</c:v>
                </c:pt>
                <c:pt idx="8">
                  <c:v>14</c:v>
                </c:pt>
                <c:pt idx="9">
                  <c:v>7</c:v>
                </c:pt>
                <c:pt idx="10">
                  <c:v>1</c:v>
                </c:pt>
                <c:pt idx="11">
                  <c:v>1</c:v>
                </c:pt>
                <c:pt idx="12">
                  <c:v>4</c:v>
                </c:pt>
                <c:pt idx="13">
                  <c:v>4</c:v>
                </c:pt>
                <c:pt idx="14">
                  <c:v>0</c:v>
                </c:pt>
                <c:pt idx="15">
                  <c:v>1</c:v>
                </c:pt>
                <c:pt idx="16">
                  <c:v>2</c:v>
                </c:pt>
                <c:pt idx="17">
                  <c:v>5</c:v>
                </c:pt>
                <c:pt idx="18">
                  <c:v>0</c:v>
                </c:pt>
                <c:pt idx="19">
                  <c:v>0</c:v>
                </c:pt>
                <c:pt idx="20">
                  <c:v>0</c:v>
                </c:pt>
                <c:pt idx="21">
                  <c:v>1</c:v>
                </c:pt>
                <c:pt idx="2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B44-AA4F-BD18-4EF90449512B}"/>
            </c:ext>
          </c:extLst>
        </c:ser>
        <c:ser>
          <c:idx val="1"/>
          <c:order val="1"/>
          <c:tx>
            <c:v>Hosted</c:v>
          </c:tx>
          <c:spPr>
            <a:solidFill>
              <a:srgbClr val="ED7D31"/>
            </a:solidFill>
            <a:ln cmpd="sng">
              <a:solidFill>
                <a:srgbClr val="000000"/>
              </a:solidFill>
            </a:ln>
          </c:spPr>
          <c:invertIfNegative val="1"/>
          <c:cat>
            <c:numRef>
              <c:f>'SOUTHCOM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'SOUTHCOM Figure 4'!$B$65:$X$65</c:f>
              <c:numCache>
                <c:formatCode>General</c:formatCode>
                <c:ptCount val="23"/>
                <c:pt idx="0">
                  <c:v>10</c:v>
                </c:pt>
                <c:pt idx="1">
                  <c:v>5</c:v>
                </c:pt>
                <c:pt idx="2">
                  <c:v>9</c:v>
                </c:pt>
                <c:pt idx="3">
                  <c:v>8</c:v>
                </c:pt>
                <c:pt idx="4">
                  <c:v>6</c:v>
                </c:pt>
                <c:pt idx="5">
                  <c:v>7</c:v>
                </c:pt>
                <c:pt idx="6">
                  <c:v>6</c:v>
                </c:pt>
                <c:pt idx="7">
                  <c:v>9</c:v>
                </c:pt>
                <c:pt idx="8">
                  <c:v>5</c:v>
                </c:pt>
                <c:pt idx="9">
                  <c:v>3</c:v>
                </c:pt>
                <c:pt idx="10">
                  <c:v>4</c:v>
                </c:pt>
                <c:pt idx="11">
                  <c:v>5</c:v>
                </c:pt>
                <c:pt idx="12">
                  <c:v>4</c:v>
                </c:pt>
                <c:pt idx="13">
                  <c:v>6</c:v>
                </c:pt>
                <c:pt idx="14">
                  <c:v>4</c:v>
                </c:pt>
                <c:pt idx="15">
                  <c:v>2</c:v>
                </c:pt>
                <c:pt idx="16">
                  <c:v>4</c:v>
                </c:pt>
                <c:pt idx="17">
                  <c:v>3</c:v>
                </c:pt>
                <c:pt idx="18">
                  <c:v>0</c:v>
                </c:pt>
                <c:pt idx="19">
                  <c:v>0</c:v>
                </c:pt>
                <c:pt idx="20">
                  <c:v>0</c:v>
                </c:pt>
                <c:pt idx="21">
                  <c:v>1</c:v>
                </c:pt>
                <c:pt idx="22">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B44-AA4F-BD18-4EF90449512B}"/>
            </c:ext>
          </c:extLst>
        </c:ser>
        <c:dLbls>
          <c:showLegendKey val="0"/>
          <c:showVal val="0"/>
          <c:showCatName val="0"/>
          <c:showSerName val="0"/>
          <c:showPercent val="0"/>
          <c:showBubbleSize val="0"/>
        </c:dLbls>
        <c:gapWidth val="150"/>
        <c:axId val="477594317"/>
        <c:axId val="770491129"/>
      </c:barChart>
      <c:catAx>
        <c:axId val="47759431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70491129"/>
        <c:crosses val="autoZero"/>
        <c:auto val="1"/>
        <c:lblAlgn val="ctr"/>
        <c:lblOffset val="100"/>
        <c:noMultiLvlLbl val="1"/>
      </c:catAx>
      <c:valAx>
        <c:axId val="77049112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47759431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2002-2024 (SOUTHCOM &amp; Global)</a:t>
            </a:r>
          </a:p>
        </c:rich>
      </c:tx>
      <c:layout>
        <c:manualLayout>
          <c:xMode val="edge"/>
          <c:yMode val="edge"/>
          <c:x val="0.12626583928664545"/>
          <c:y val="4.6879821840451759E-2"/>
        </c:manualLayout>
      </c:layout>
      <c:overlay val="0"/>
    </c:title>
    <c:autoTitleDeleted val="0"/>
    <c:plotArea>
      <c:layout/>
      <c:barChart>
        <c:barDir val="col"/>
        <c:grouping val="clustered"/>
        <c:varyColors val="1"/>
        <c:ser>
          <c:idx val="0"/>
          <c:order val="0"/>
          <c:tx>
            <c:v>SOUTHCOM</c:v>
          </c:tx>
          <c:spPr>
            <a:solidFill>
              <a:srgbClr val="5B9BD5"/>
            </a:solidFill>
            <a:ln cmpd="sng">
              <a:solidFill>
                <a:srgbClr val="000000"/>
              </a:solidFill>
            </a:ln>
          </c:spPr>
          <c:invertIfNegative val="1"/>
          <c:cat>
            <c:numRef>
              <c:f>'SOUTHCOM Figure 5'!$B$61:$X$61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'SOUTHCOM Figure 5'!$B$67:$X$67</c:f>
              <c:numCache>
                <c:formatCode>General</c:formatCode>
                <c:ptCount val="23"/>
                <c:pt idx="0">
                  <c:v>0</c:v>
                </c:pt>
                <c:pt idx="1">
                  <c:v>0</c:v>
                </c:pt>
                <c:pt idx="2">
                  <c:v>0</c:v>
                </c:pt>
                <c:pt idx="3">
                  <c:v>0</c:v>
                </c:pt>
                <c:pt idx="4">
                  <c:v>0</c:v>
                </c:pt>
                <c:pt idx="5">
                  <c:v>0</c:v>
                </c:pt>
                <c:pt idx="6">
                  <c:v>0</c:v>
                </c:pt>
                <c:pt idx="7">
                  <c:v>0</c:v>
                </c:pt>
                <c:pt idx="8">
                  <c:v>1</c:v>
                </c:pt>
                <c:pt idx="9">
                  <c:v>1</c:v>
                </c:pt>
                <c:pt idx="10">
                  <c:v>1</c:v>
                </c:pt>
                <c:pt idx="11">
                  <c:v>0</c:v>
                </c:pt>
                <c:pt idx="12">
                  <c:v>0</c:v>
                </c:pt>
                <c:pt idx="13">
                  <c:v>0</c:v>
                </c:pt>
                <c:pt idx="14">
                  <c:v>1</c:v>
                </c:pt>
                <c:pt idx="15">
                  <c:v>0</c:v>
                </c:pt>
                <c:pt idx="16">
                  <c:v>1</c:v>
                </c:pt>
                <c:pt idx="17">
                  <c:v>0</c:v>
                </c:pt>
                <c:pt idx="18">
                  <c:v>0</c:v>
                </c:pt>
                <c:pt idx="19">
                  <c:v>0</c:v>
                </c:pt>
                <c:pt idx="20">
                  <c:v>0</c:v>
                </c:pt>
                <c:pt idx="21">
                  <c:v>0</c:v>
                </c:pt>
                <c:pt idx="2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C42-AB4B-8AB0-E14B01121871}"/>
            </c:ext>
          </c:extLst>
        </c:ser>
        <c:ser>
          <c:idx val="1"/>
          <c:order val="1"/>
          <c:tx>
            <c:v>Global</c:v>
          </c:tx>
          <c:spPr>
            <a:solidFill>
              <a:srgbClr val="ED7D31"/>
            </a:solidFill>
            <a:ln cmpd="sng">
              <a:solidFill>
                <a:srgbClr val="000000"/>
              </a:solidFill>
            </a:ln>
          </c:spPr>
          <c:invertIfNegative val="1"/>
          <c:cat>
            <c:numRef>
              <c:f>'SOUTHCOM Figure 5'!$B$61:$X$61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'SOUTHCOM Figure 5'!$B$68:$X$68</c:f>
              <c:numCache>
                <c:formatCode>General</c:formatCode>
                <c:ptCount val="23"/>
                <c:pt idx="0">
                  <c:v>1</c:v>
                </c:pt>
                <c:pt idx="1">
                  <c:v>3</c:v>
                </c:pt>
                <c:pt idx="2">
                  <c:v>4</c:v>
                </c:pt>
                <c:pt idx="3">
                  <c:v>5</c:v>
                </c:pt>
                <c:pt idx="4">
                  <c:v>5</c:v>
                </c:pt>
                <c:pt idx="5">
                  <c:v>8</c:v>
                </c:pt>
                <c:pt idx="6">
                  <c:v>2</c:v>
                </c:pt>
                <c:pt idx="7">
                  <c:v>9</c:v>
                </c:pt>
                <c:pt idx="8">
                  <c:v>13</c:v>
                </c:pt>
                <c:pt idx="9">
                  <c:v>10</c:v>
                </c:pt>
                <c:pt idx="10">
                  <c:v>12</c:v>
                </c:pt>
                <c:pt idx="11">
                  <c:v>15</c:v>
                </c:pt>
                <c:pt idx="12">
                  <c:v>26</c:v>
                </c:pt>
                <c:pt idx="13">
                  <c:v>44</c:v>
                </c:pt>
                <c:pt idx="14">
                  <c:v>38</c:v>
                </c:pt>
                <c:pt idx="15">
                  <c:v>50</c:v>
                </c:pt>
                <c:pt idx="16">
                  <c:v>39</c:v>
                </c:pt>
                <c:pt idx="17">
                  <c:v>42</c:v>
                </c:pt>
                <c:pt idx="18">
                  <c:v>9</c:v>
                </c:pt>
                <c:pt idx="19">
                  <c:v>14</c:v>
                </c:pt>
                <c:pt idx="20">
                  <c:v>10</c:v>
                </c:pt>
                <c:pt idx="21">
                  <c:v>24</c:v>
                </c:pt>
                <c:pt idx="22">
                  <c:v>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C42-AB4B-8AB0-E14B01121871}"/>
            </c:ext>
          </c:extLst>
        </c:ser>
        <c:dLbls>
          <c:showLegendKey val="0"/>
          <c:showVal val="0"/>
          <c:showCatName val="0"/>
          <c:showSerName val="0"/>
          <c:showPercent val="0"/>
          <c:showBubbleSize val="0"/>
        </c:dLbls>
        <c:gapWidth val="150"/>
        <c:axId val="1802022098"/>
        <c:axId val="1898961415"/>
      </c:barChart>
      <c:catAx>
        <c:axId val="180202209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898961415"/>
        <c:crosses val="autoZero"/>
        <c:auto val="1"/>
        <c:lblAlgn val="ctr"/>
        <c:lblOffset val="100"/>
        <c:noMultiLvlLbl val="1"/>
      </c:catAx>
      <c:valAx>
        <c:axId val="189896141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80202209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2002-2024 (SOUTHCOM &amp; Global)</a:t>
            </a:r>
          </a:p>
        </c:rich>
      </c:tx>
      <c:layout>
        <c:manualLayout>
          <c:xMode val="edge"/>
          <c:yMode val="edge"/>
          <c:x val="0.14806907757220003"/>
          <c:y val="5.4389891014315739E-2"/>
        </c:manualLayout>
      </c:layout>
      <c:overlay val="0"/>
    </c:title>
    <c:autoTitleDeleted val="0"/>
    <c:plotArea>
      <c:layout/>
      <c:barChart>
        <c:barDir val="col"/>
        <c:grouping val="clustered"/>
        <c:varyColors val="1"/>
        <c:ser>
          <c:idx val="0"/>
          <c:order val="0"/>
          <c:tx>
            <c:v>SOUTHCOM</c:v>
          </c:tx>
          <c:spPr>
            <a:solidFill>
              <a:srgbClr val="5B9BD5"/>
            </a:solidFill>
            <a:ln cmpd="sng">
              <a:solidFill>
                <a:srgbClr val="000000"/>
              </a:solidFill>
            </a:ln>
          </c:spPr>
          <c:invertIfNegative val="1"/>
          <c:cat>
            <c:strRef>
              <c:f>'SOUTHCOM Figure 6'!$B$68:$I$68</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'SOUTHCOM Figure 6'!$B$74:$I$74</c:f>
              <c:numCache>
                <c:formatCode>General</c:formatCode>
                <c:ptCount val="8"/>
                <c:pt idx="0">
                  <c:v>0</c:v>
                </c:pt>
                <c:pt idx="1">
                  <c:v>0</c:v>
                </c:pt>
                <c:pt idx="2">
                  <c:v>1</c:v>
                </c:pt>
                <c:pt idx="3">
                  <c:v>0</c:v>
                </c:pt>
                <c:pt idx="4">
                  <c:v>1</c:v>
                </c:pt>
                <c:pt idx="5">
                  <c:v>3</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0A2-B64B-BAB3-993562B67B91}"/>
            </c:ext>
          </c:extLst>
        </c:ser>
        <c:ser>
          <c:idx val="1"/>
          <c:order val="1"/>
          <c:tx>
            <c:v>Global</c:v>
          </c:tx>
          <c:spPr>
            <a:solidFill>
              <a:srgbClr val="ED7D31"/>
            </a:solidFill>
            <a:ln cmpd="sng">
              <a:solidFill>
                <a:srgbClr val="000000"/>
              </a:solidFill>
            </a:ln>
          </c:spPr>
          <c:invertIfNegative val="1"/>
          <c:cat>
            <c:strRef>
              <c:f>'SOUTHCOM Figure 6'!$B$68:$I$68</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'SOUTHCOM Figure 6'!$B$75:$I$75</c:f>
              <c:numCache>
                <c:formatCode>General</c:formatCode>
                <c:ptCount val="8"/>
                <c:pt idx="0">
                  <c:v>22</c:v>
                </c:pt>
                <c:pt idx="1">
                  <c:v>86</c:v>
                </c:pt>
                <c:pt idx="2">
                  <c:v>60</c:v>
                </c:pt>
                <c:pt idx="3">
                  <c:v>12</c:v>
                </c:pt>
                <c:pt idx="4">
                  <c:v>15</c:v>
                </c:pt>
                <c:pt idx="5">
                  <c:v>155</c:v>
                </c:pt>
                <c:pt idx="6">
                  <c:v>7</c:v>
                </c:pt>
                <c:pt idx="7">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0A2-B64B-BAB3-993562B67B91}"/>
            </c:ext>
          </c:extLst>
        </c:ser>
        <c:dLbls>
          <c:showLegendKey val="0"/>
          <c:showVal val="0"/>
          <c:showCatName val="0"/>
          <c:showSerName val="0"/>
          <c:showPercent val="0"/>
          <c:showBubbleSize val="0"/>
        </c:dLbls>
        <c:gapWidth val="150"/>
        <c:axId val="2052018854"/>
        <c:axId val="850711830"/>
      </c:barChart>
      <c:catAx>
        <c:axId val="205201885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850711830"/>
        <c:crosses val="autoZero"/>
        <c:auto val="1"/>
        <c:lblAlgn val="ctr"/>
        <c:lblOffset val="100"/>
        <c:noMultiLvlLbl val="1"/>
      </c:catAx>
      <c:valAx>
        <c:axId val="85071183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05201885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2. Total PLA Military Diplomatic Interactions, 2002-2024 (CENTCOM)</a:t>
            </a:r>
          </a:p>
        </c:rich>
      </c:tx>
      <c:overlay val="0"/>
    </c:title>
    <c:autoTitleDeleted val="0"/>
    <c:plotArea>
      <c:layout/>
      <c:barChart>
        <c:barDir val="col"/>
        <c:grouping val="stacked"/>
        <c:varyColors val="1"/>
        <c:ser>
          <c:idx val="0"/>
          <c:order val="0"/>
          <c:tx>
            <c:v>Senior Level Visits</c:v>
          </c:tx>
          <c:spPr>
            <a:solidFill>
              <a:srgbClr val="5B9BD5"/>
            </a:solidFill>
            <a:ln cmpd="sng">
              <a:solidFill>
                <a:srgbClr val="000000"/>
              </a:solidFill>
            </a:ln>
          </c:spPr>
          <c:invertIfNegative val="1"/>
          <c:cat>
            <c:numRef>
              <c:f>'CENTCOM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'CENTCOM Figure 2'!$B$61:$X$61</c:f>
              <c:numCache>
                <c:formatCode>General</c:formatCode>
                <c:ptCount val="23"/>
                <c:pt idx="0">
                  <c:v>14</c:v>
                </c:pt>
                <c:pt idx="1">
                  <c:v>14</c:v>
                </c:pt>
                <c:pt idx="2">
                  <c:v>18</c:v>
                </c:pt>
                <c:pt idx="3">
                  <c:v>21</c:v>
                </c:pt>
                <c:pt idx="4">
                  <c:v>20</c:v>
                </c:pt>
                <c:pt idx="5">
                  <c:v>13</c:v>
                </c:pt>
                <c:pt idx="6">
                  <c:v>17</c:v>
                </c:pt>
                <c:pt idx="7">
                  <c:v>17</c:v>
                </c:pt>
                <c:pt idx="8">
                  <c:v>26</c:v>
                </c:pt>
                <c:pt idx="9">
                  <c:v>16</c:v>
                </c:pt>
                <c:pt idx="10">
                  <c:v>14</c:v>
                </c:pt>
                <c:pt idx="11">
                  <c:v>16</c:v>
                </c:pt>
                <c:pt idx="12">
                  <c:v>19</c:v>
                </c:pt>
                <c:pt idx="13">
                  <c:v>16</c:v>
                </c:pt>
                <c:pt idx="14">
                  <c:v>28</c:v>
                </c:pt>
                <c:pt idx="15">
                  <c:v>16</c:v>
                </c:pt>
                <c:pt idx="16">
                  <c:v>18</c:v>
                </c:pt>
                <c:pt idx="17">
                  <c:v>21</c:v>
                </c:pt>
                <c:pt idx="18">
                  <c:v>3</c:v>
                </c:pt>
                <c:pt idx="19">
                  <c:v>6</c:v>
                </c:pt>
                <c:pt idx="20">
                  <c:v>10</c:v>
                </c:pt>
                <c:pt idx="21">
                  <c:v>16</c:v>
                </c:pt>
                <c:pt idx="22">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EC-7448-BCB5-124C4BFF14B2}"/>
            </c:ext>
          </c:extLst>
        </c:ser>
        <c:ser>
          <c:idx val="1"/>
          <c:order val="1"/>
          <c:tx>
            <c:v>Naval Port Calls</c:v>
          </c:tx>
          <c:spPr>
            <a:solidFill>
              <a:srgbClr val="ED7D31"/>
            </a:solidFill>
            <a:ln cmpd="sng">
              <a:solidFill>
                <a:srgbClr val="000000"/>
              </a:solidFill>
            </a:ln>
          </c:spPr>
          <c:invertIfNegative val="1"/>
          <c:cat>
            <c:numRef>
              <c:f>'CENTCOM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'CENTCOM Figure 2'!$B$60:$X$60</c:f>
              <c:numCache>
                <c:formatCode>General</c:formatCode>
                <c:ptCount val="23"/>
                <c:pt idx="0">
                  <c:v>1</c:v>
                </c:pt>
                <c:pt idx="1">
                  <c:v>0</c:v>
                </c:pt>
                <c:pt idx="2">
                  <c:v>0</c:v>
                </c:pt>
                <c:pt idx="3">
                  <c:v>2</c:v>
                </c:pt>
                <c:pt idx="4">
                  <c:v>0</c:v>
                </c:pt>
                <c:pt idx="5">
                  <c:v>0</c:v>
                </c:pt>
                <c:pt idx="6">
                  <c:v>0</c:v>
                </c:pt>
                <c:pt idx="7">
                  <c:v>8</c:v>
                </c:pt>
                <c:pt idx="8">
                  <c:v>18</c:v>
                </c:pt>
                <c:pt idx="9">
                  <c:v>13</c:v>
                </c:pt>
                <c:pt idx="10">
                  <c:v>10</c:v>
                </c:pt>
                <c:pt idx="11">
                  <c:v>9</c:v>
                </c:pt>
                <c:pt idx="12">
                  <c:v>13</c:v>
                </c:pt>
                <c:pt idx="13">
                  <c:v>7</c:v>
                </c:pt>
                <c:pt idx="14">
                  <c:v>4</c:v>
                </c:pt>
                <c:pt idx="15">
                  <c:v>9</c:v>
                </c:pt>
                <c:pt idx="16">
                  <c:v>4</c:v>
                </c:pt>
                <c:pt idx="17">
                  <c:v>4</c:v>
                </c:pt>
                <c:pt idx="18">
                  <c:v>1</c:v>
                </c:pt>
                <c:pt idx="19">
                  <c:v>0</c:v>
                </c:pt>
                <c:pt idx="20">
                  <c:v>0</c:v>
                </c:pt>
                <c:pt idx="21">
                  <c:v>4</c:v>
                </c:pt>
                <c:pt idx="2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DEC-7448-BCB5-124C4BFF14B2}"/>
            </c:ext>
          </c:extLst>
        </c:ser>
        <c:ser>
          <c:idx val="2"/>
          <c:order val="2"/>
          <c:tx>
            <c:v>Military Exercises</c:v>
          </c:tx>
          <c:spPr>
            <a:solidFill>
              <a:srgbClr val="A5A5A5"/>
            </a:solidFill>
            <a:ln cmpd="sng">
              <a:solidFill>
                <a:srgbClr val="000000"/>
              </a:solidFill>
            </a:ln>
          </c:spPr>
          <c:invertIfNegative val="1"/>
          <c:cat>
            <c:numRef>
              <c:f>'CENTCOM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'CENTCOM Figure 2'!$B$59:$X$59</c:f>
              <c:numCache>
                <c:formatCode>General</c:formatCode>
                <c:ptCount val="23"/>
                <c:pt idx="0">
                  <c:v>1</c:v>
                </c:pt>
                <c:pt idx="1">
                  <c:v>2</c:v>
                </c:pt>
                <c:pt idx="2">
                  <c:v>1</c:v>
                </c:pt>
                <c:pt idx="3">
                  <c:v>1</c:v>
                </c:pt>
                <c:pt idx="4">
                  <c:v>4</c:v>
                </c:pt>
                <c:pt idx="5">
                  <c:v>3</c:v>
                </c:pt>
                <c:pt idx="6">
                  <c:v>0</c:v>
                </c:pt>
                <c:pt idx="7">
                  <c:v>2</c:v>
                </c:pt>
                <c:pt idx="8">
                  <c:v>3</c:v>
                </c:pt>
                <c:pt idx="9">
                  <c:v>5</c:v>
                </c:pt>
                <c:pt idx="10">
                  <c:v>2</c:v>
                </c:pt>
                <c:pt idx="11">
                  <c:v>2</c:v>
                </c:pt>
                <c:pt idx="12">
                  <c:v>3</c:v>
                </c:pt>
                <c:pt idx="13">
                  <c:v>8</c:v>
                </c:pt>
                <c:pt idx="14">
                  <c:v>9</c:v>
                </c:pt>
                <c:pt idx="15">
                  <c:v>11</c:v>
                </c:pt>
                <c:pt idx="16">
                  <c:v>5</c:v>
                </c:pt>
                <c:pt idx="17">
                  <c:v>13</c:v>
                </c:pt>
                <c:pt idx="18">
                  <c:v>2</c:v>
                </c:pt>
                <c:pt idx="19">
                  <c:v>4</c:v>
                </c:pt>
                <c:pt idx="20">
                  <c:v>2</c:v>
                </c:pt>
                <c:pt idx="21">
                  <c:v>6</c:v>
                </c:pt>
                <c:pt idx="22">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DEC-7448-BCB5-124C4BFF14B2}"/>
            </c:ext>
          </c:extLst>
        </c:ser>
        <c:dLbls>
          <c:showLegendKey val="0"/>
          <c:showVal val="0"/>
          <c:showCatName val="0"/>
          <c:showSerName val="0"/>
          <c:showPercent val="0"/>
          <c:showBubbleSize val="0"/>
        </c:dLbls>
        <c:gapWidth val="150"/>
        <c:overlap val="100"/>
        <c:axId val="1192040736"/>
        <c:axId val="303435528"/>
      </c:barChart>
      <c:catAx>
        <c:axId val="119204073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303435528"/>
        <c:crosses val="autoZero"/>
        <c:auto val="1"/>
        <c:lblAlgn val="ctr"/>
        <c:lblOffset val="100"/>
        <c:noMultiLvlLbl val="1"/>
      </c:catAx>
      <c:valAx>
        <c:axId val="3034355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9204073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2002-2024 (CENTCOM)</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'CENTCOM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'CENTCOM Figure 4'!$B$64:$X$64</c:f>
              <c:numCache>
                <c:formatCode>General</c:formatCode>
                <c:ptCount val="23"/>
                <c:pt idx="0">
                  <c:v>6</c:v>
                </c:pt>
                <c:pt idx="1">
                  <c:v>4</c:v>
                </c:pt>
                <c:pt idx="2">
                  <c:v>8</c:v>
                </c:pt>
                <c:pt idx="3">
                  <c:v>6</c:v>
                </c:pt>
                <c:pt idx="4">
                  <c:v>9</c:v>
                </c:pt>
                <c:pt idx="5">
                  <c:v>7</c:v>
                </c:pt>
                <c:pt idx="6">
                  <c:v>13</c:v>
                </c:pt>
                <c:pt idx="7">
                  <c:v>6</c:v>
                </c:pt>
                <c:pt idx="8">
                  <c:v>13</c:v>
                </c:pt>
                <c:pt idx="9">
                  <c:v>5</c:v>
                </c:pt>
                <c:pt idx="10">
                  <c:v>6</c:v>
                </c:pt>
                <c:pt idx="11">
                  <c:v>3</c:v>
                </c:pt>
                <c:pt idx="12">
                  <c:v>5</c:v>
                </c:pt>
                <c:pt idx="13">
                  <c:v>6</c:v>
                </c:pt>
                <c:pt idx="14">
                  <c:v>14</c:v>
                </c:pt>
                <c:pt idx="15">
                  <c:v>6</c:v>
                </c:pt>
                <c:pt idx="16">
                  <c:v>7</c:v>
                </c:pt>
                <c:pt idx="17">
                  <c:v>10</c:v>
                </c:pt>
                <c:pt idx="18">
                  <c:v>3</c:v>
                </c:pt>
                <c:pt idx="19">
                  <c:v>4</c:v>
                </c:pt>
                <c:pt idx="20">
                  <c:v>4</c:v>
                </c:pt>
                <c:pt idx="21">
                  <c:v>9</c:v>
                </c:pt>
                <c:pt idx="22">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6E8-C842-BB5E-8B824472D003}"/>
            </c:ext>
          </c:extLst>
        </c:ser>
        <c:ser>
          <c:idx val="1"/>
          <c:order val="1"/>
          <c:tx>
            <c:v>Hosted</c:v>
          </c:tx>
          <c:spPr>
            <a:solidFill>
              <a:srgbClr val="ED7D31"/>
            </a:solidFill>
            <a:ln cmpd="sng">
              <a:solidFill>
                <a:srgbClr val="000000"/>
              </a:solidFill>
            </a:ln>
          </c:spPr>
          <c:invertIfNegative val="1"/>
          <c:cat>
            <c:numRef>
              <c:f>'CENTCOM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'CENTCOM Figure 4'!$B$65:$X$65</c:f>
              <c:numCache>
                <c:formatCode>General</c:formatCode>
                <c:ptCount val="23"/>
                <c:pt idx="0">
                  <c:v>8</c:v>
                </c:pt>
                <c:pt idx="1">
                  <c:v>10</c:v>
                </c:pt>
                <c:pt idx="2">
                  <c:v>10</c:v>
                </c:pt>
                <c:pt idx="3">
                  <c:v>15</c:v>
                </c:pt>
                <c:pt idx="4">
                  <c:v>11</c:v>
                </c:pt>
                <c:pt idx="5">
                  <c:v>6</c:v>
                </c:pt>
                <c:pt idx="6">
                  <c:v>4</c:v>
                </c:pt>
                <c:pt idx="7">
                  <c:v>11</c:v>
                </c:pt>
                <c:pt idx="8">
                  <c:v>13</c:v>
                </c:pt>
                <c:pt idx="9">
                  <c:v>11</c:v>
                </c:pt>
                <c:pt idx="10">
                  <c:v>8</c:v>
                </c:pt>
                <c:pt idx="11">
                  <c:v>13</c:v>
                </c:pt>
                <c:pt idx="12">
                  <c:v>14</c:v>
                </c:pt>
                <c:pt idx="13">
                  <c:v>10</c:v>
                </c:pt>
                <c:pt idx="14">
                  <c:v>14</c:v>
                </c:pt>
                <c:pt idx="15">
                  <c:v>10</c:v>
                </c:pt>
                <c:pt idx="16">
                  <c:v>11</c:v>
                </c:pt>
                <c:pt idx="17">
                  <c:v>11</c:v>
                </c:pt>
                <c:pt idx="18">
                  <c:v>0</c:v>
                </c:pt>
                <c:pt idx="19">
                  <c:v>1</c:v>
                </c:pt>
                <c:pt idx="20">
                  <c:v>2</c:v>
                </c:pt>
                <c:pt idx="21">
                  <c:v>7</c:v>
                </c:pt>
                <c:pt idx="22">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6E8-C842-BB5E-8B824472D003}"/>
            </c:ext>
          </c:extLst>
        </c:ser>
        <c:dLbls>
          <c:showLegendKey val="0"/>
          <c:showVal val="0"/>
          <c:showCatName val="0"/>
          <c:showSerName val="0"/>
          <c:showPercent val="0"/>
          <c:showBubbleSize val="0"/>
        </c:dLbls>
        <c:gapWidth val="150"/>
        <c:axId val="1728745109"/>
        <c:axId val="1640635524"/>
      </c:barChart>
      <c:catAx>
        <c:axId val="172874510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640635524"/>
        <c:crosses val="autoZero"/>
        <c:auto val="1"/>
        <c:lblAlgn val="ctr"/>
        <c:lblOffset val="100"/>
        <c:noMultiLvlLbl val="1"/>
      </c:catAx>
      <c:valAx>
        <c:axId val="16406355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72874510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2002-2024 (CENTCOM &amp; Global)</a:t>
            </a:r>
          </a:p>
        </c:rich>
      </c:tx>
      <c:layout>
        <c:manualLayout>
          <c:xMode val="edge"/>
          <c:yMode val="edge"/>
          <c:x val="0.14171837791799205"/>
          <c:y val="5.0920225880855791E-2"/>
        </c:manualLayout>
      </c:layout>
      <c:overlay val="0"/>
    </c:title>
    <c:autoTitleDeleted val="0"/>
    <c:plotArea>
      <c:layout/>
      <c:barChart>
        <c:barDir val="col"/>
        <c:grouping val="clustered"/>
        <c:varyColors val="1"/>
        <c:ser>
          <c:idx val="0"/>
          <c:order val="0"/>
          <c:tx>
            <c:v>CENTCOM</c:v>
          </c:tx>
          <c:spPr>
            <a:solidFill>
              <a:srgbClr val="5B9BD5"/>
            </a:solidFill>
            <a:ln cmpd="sng">
              <a:solidFill>
                <a:srgbClr val="000000"/>
              </a:solidFill>
            </a:ln>
          </c:spPr>
          <c:invertIfNegative val="1"/>
          <c:cat>
            <c:numRef>
              <c:f>'CENTCOM Figure 5'!$B$61:$X$61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'CENTCOM Figure 5'!$B$63:$X$63</c:f>
              <c:numCache>
                <c:formatCode>General</c:formatCode>
                <c:ptCount val="23"/>
                <c:pt idx="0">
                  <c:v>1</c:v>
                </c:pt>
                <c:pt idx="1">
                  <c:v>2</c:v>
                </c:pt>
                <c:pt idx="2">
                  <c:v>1</c:v>
                </c:pt>
                <c:pt idx="3">
                  <c:v>1</c:v>
                </c:pt>
                <c:pt idx="4">
                  <c:v>4</c:v>
                </c:pt>
                <c:pt idx="5">
                  <c:v>3</c:v>
                </c:pt>
                <c:pt idx="6">
                  <c:v>0</c:v>
                </c:pt>
                <c:pt idx="7">
                  <c:v>2</c:v>
                </c:pt>
                <c:pt idx="8">
                  <c:v>3</c:v>
                </c:pt>
                <c:pt idx="9">
                  <c:v>5</c:v>
                </c:pt>
                <c:pt idx="10">
                  <c:v>2</c:v>
                </c:pt>
                <c:pt idx="11">
                  <c:v>2</c:v>
                </c:pt>
                <c:pt idx="12">
                  <c:v>3</c:v>
                </c:pt>
                <c:pt idx="13">
                  <c:v>8</c:v>
                </c:pt>
                <c:pt idx="14">
                  <c:v>9</c:v>
                </c:pt>
                <c:pt idx="15">
                  <c:v>11</c:v>
                </c:pt>
                <c:pt idx="16">
                  <c:v>5</c:v>
                </c:pt>
                <c:pt idx="17">
                  <c:v>13</c:v>
                </c:pt>
                <c:pt idx="18">
                  <c:v>2</c:v>
                </c:pt>
                <c:pt idx="19">
                  <c:v>4</c:v>
                </c:pt>
                <c:pt idx="20">
                  <c:v>2</c:v>
                </c:pt>
                <c:pt idx="21">
                  <c:v>6</c:v>
                </c:pt>
                <c:pt idx="22">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AA-CB49-8573-2BD37957DEA5}"/>
            </c:ext>
          </c:extLst>
        </c:ser>
        <c:ser>
          <c:idx val="1"/>
          <c:order val="1"/>
          <c:tx>
            <c:v>Global</c:v>
          </c:tx>
          <c:spPr>
            <a:solidFill>
              <a:srgbClr val="ED7D31"/>
            </a:solidFill>
            <a:ln cmpd="sng">
              <a:solidFill>
                <a:srgbClr val="000000"/>
              </a:solidFill>
            </a:ln>
          </c:spPr>
          <c:invertIfNegative val="1"/>
          <c:cat>
            <c:numRef>
              <c:f>'CENTCOM Figure 5'!$B$61:$X$61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'CENTCOM Figure 5'!$B$68:$X$68</c:f>
              <c:numCache>
                <c:formatCode>General</c:formatCode>
                <c:ptCount val="23"/>
                <c:pt idx="0">
                  <c:v>1</c:v>
                </c:pt>
                <c:pt idx="1">
                  <c:v>3</c:v>
                </c:pt>
                <c:pt idx="2">
                  <c:v>4</c:v>
                </c:pt>
                <c:pt idx="3">
                  <c:v>5</c:v>
                </c:pt>
                <c:pt idx="4">
                  <c:v>5</c:v>
                </c:pt>
                <c:pt idx="5">
                  <c:v>8</c:v>
                </c:pt>
                <c:pt idx="6">
                  <c:v>2</c:v>
                </c:pt>
                <c:pt idx="7">
                  <c:v>9</c:v>
                </c:pt>
                <c:pt idx="8">
                  <c:v>13</c:v>
                </c:pt>
                <c:pt idx="9">
                  <c:v>10</c:v>
                </c:pt>
                <c:pt idx="10">
                  <c:v>12</c:v>
                </c:pt>
                <c:pt idx="11">
                  <c:v>15</c:v>
                </c:pt>
                <c:pt idx="12">
                  <c:v>26</c:v>
                </c:pt>
                <c:pt idx="13">
                  <c:v>44</c:v>
                </c:pt>
                <c:pt idx="14">
                  <c:v>38</c:v>
                </c:pt>
                <c:pt idx="15">
                  <c:v>50</c:v>
                </c:pt>
                <c:pt idx="16">
                  <c:v>39</c:v>
                </c:pt>
                <c:pt idx="17">
                  <c:v>42</c:v>
                </c:pt>
                <c:pt idx="18">
                  <c:v>9</c:v>
                </c:pt>
                <c:pt idx="19">
                  <c:v>14</c:v>
                </c:pt>
                <c:pt idx="20">
                  <c:v>10</c:v>
                </c:pt>
                <c:pt idx="21">
                  <c:v>24</c:v>
                </c:pt>
                <c:pt idx="22">
                  <c:v>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CAA-CB49-8573-2BD37957DEA5}"/>
            </c:ext>
          </c:extLst>
        </c:ser>
        <c:dLbls>
          <c:showLegendKey val="0"/>
          <c:showVal val="0"/>
          <c:showCatName val="0"/>
          <c:showSerName val="0"/>
          <c:showPercent val="0"/>
          <c:showBubbleSize val="0"/>
        </c:dLbls>
        <c:gapWidth val="150"/>
        <c:axId val="1292955429"/>
        <c:axId val="1771031577"/>
      </c:barChart>
      <c:catAx>
        <c:axId val="129295542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771031577"/>
        <c:crosses val="autoZero"/>
        <c:auto val="1"/>
        <c:lblAlgn val="ctr"/>
        <c:lblOffset val="100"/>
        <c:noMultiLvlLbl val="1"/>
      </c:catAx>
      <c:valAx>
        <c:axId val="177103157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9295542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3. Total PLA Senior-Level Meetings by US COCOM AOR, 2002-2024</a:t>
            </a:r>
          </a:p>
        </c:rich>
      </c:tx>
      <c:overlay val="0"/>
    </c:title>
    <c:autoTitleDeleted val="0"/>
    <c:plotArea>
      <c:layout/>
      <c:barChart>
        <c:barDir val="col"/>
        <c:grouping val="stacked"/>
        <c:varyColors val="1"/>
        <c:ser>
          <c:idx val="0"/>
          <c:order val="0"/>
          <c:tx>
            <c:strRef>
              <c:f>'CCMD Figure 3'!$B$62</c:f>
              <c:strCache>
                <c:ptCount val="1"/>
                <c:pt idx="0">
                  <c:v>Visits Abroad</c:v>
                </c:pt>
              </c:strCache>
            </c:strRef>
          </c:tx>
          <c:spPr>
            <a:solidFill>
              <a:srgbClr val="5B9BD5"/>
            </a:solidFill>
            <a:ln cmpd="sng">
              <a:solidFill>
                <a:srgbClr val="000000"/>
              </a:solidFill>
            </a:ln>
          </c:spPr>
          <c:invertIfNegative val="1"/>
          <c:cat>
            <c:strRef>
              <c:f>'CCMD Figure 3'!$A$63:$A$68</c:f>
              <c:strCache>
                <c:ptCount val="6"/>
                <c:pt idx="0">
                  <c:v>AFRICOM</c:v>
                </c:pt>
                <c:pt idx="1">
                  <c:v>CENTCOM</c:v>
                </c:pt>
                <c:pt idx="2">
                  <c:v>EUCOM</c:v>
                </c:pt>
                <c:pt idx="3">
                  <c:v>NORTHCOM</c:v>
                </c:pt>
                <c:pt idx="4">
                  <c:v>INDOPACOM</c:v>
                </c:pt>
                <c:pt idx="5">
                  <c:v>SOUTHCOM</c:v>
                </c:pt>
              </c:strCache>
            </c:strRef>
          </c:cat>
          <c:val>
            <c:numRef>
              <c:f>'CCMD Figure 3'!$B$63:$B$68</c:f>
              <c:numCache>
                <c:formatCode>_(* #,##0_);_(* \(#,##0\);_(* "-"_);_(@_)</c:formatCode>
                <c:ptCount val="6"/>
                <c:pt idx="0">
                  <c:v>111</c:v>
                </c:pt>
                <c:pt idx="1">
                  <c:v>137</c:v>
                </c:pt>
                <c:pt idx="2">
                  <c:v>279</c:v>
                </c:pt>
                <c:pt idx="3">
                  <c:v>57</c:v>
                </c:pt>
                <c:pt idx="4">
                  <c:v>255</c:v>
                </c:pt>
                <c:pt idx="5">
                  <c:v>101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ABC-D14E-B14D-330EFAE212A2}"/>
            </c:ext>
          </c:extLst>
        </c:ser>
        <c:ser>
          <c:idx val="1"/>
          <c:order val="1"/>
          <c:tx>
            <c:strRef>
              <c:f>'CCMD Figure 3'!$C$62</c:f>
              <c:strCache>
                <c:ptCount val="1"/>
                <c:pt idx="0">
                  <c:v>Visits Hosted</c:v>
                </c:pt>
              </c:strCache>
            </c:strRef>
          </c:tx>
          <c:spPr>
            <a:solidFill>
              <a:srgbClr val="ED7D31"/>
            </a:solidFill>
            <a:ln cmpd="sng">
              <a:solidFill>
                <a:srgbClr val="000000"/>
              </a:solidFill>
            </a:ln>
          </c:spPr>
          <c:invertIfNegative val="1"/>
          <c:cat>
            <c:strRef>
              <c:f>'CCMD Figure 3'!$A$63:$A$68</c:f>
              <c:strCache>
                <c:ptCount val="6"/>
                <c:pt idx="0">
                  <c:v>AFRICOM</c:v>
                </c:pt>
                <c:pt idx="1">
                  <c:v>CENTCOM</c:v>
                </c:pt>
                <c:pt idx="2">
                  <c:v>EUCOM</c:v>
                </c:pt>
                <c:pt idx="3">
                  <c:v>NORTHCOM</c:v>
                </c:pt>
                <c:pt idx="4">
                  <c:v>INDOPACOM</c:v>
                </c:pt>
                <c:pt idx="5">
                  <c:v>SOUTHCOM</c:v>
                </c:pt>
              </c:strCache>
            </c:strRef>
          </c:cat>
          <c:val>
            <c:numRef>
              <c:f>'CCMD Figure 3'!$C$63:$C$68</c:f>
              <c:numCache>
                <c:formatCode>_(* #,##0_);_(* \(#,##0\);_(* "-"_);_(@_)</c:formatCode>
                <c:ptCount val="6"/>
                <c:pt idx="0">
                  <c:v>165</c:v>
                </c:pt>
                <c:pt idx="1">
                  <c:v>178</c:v>
                </c:pt>
                <c:pt idx="2">
                  <c:v>317</c:v>
                </c:pt>
                <c:pt idx="3">
                  <c:v>59</c:v>
                </c:pt>
                <c:pt idx="4">
                  <c:v>412</c:v>
                </c:pt>
                <c:pt idx="5">
                  <c:v>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ABC-D14E-B14D-330EFAE212A2}"/>
            </c:ext>
          </c:extLst>
        </c:ser>
        <c:dLbls>
          <c:showLegendKey val="0"/>
          <c:showVal val="0"/>
          <c:showCatName val="0"/>
          <c:showSerName val="0"/>
          <c:showPercent val="0"/>
          <c:showBubbleSize val="0"/>
        </c:dLbls>
        <c:gapWidth val="150"/>
        <c:overlap val="100"/>
        <c:axId val="1258832967"/>
        <c:axId val="940400697"/>
        <c:extLst>
          <c:ext xmlns:c15="http://schemas.microsoft.com/office/drawing/2012/chart" uri="{02D57815-91ED-43cb-92C2-25804820EDAC}">
            <c15:filteredBarSeries>
              <c15:ser>
                <c:idx val="2"/>
                <c:order val="2"/>
                <c:tx>
                  <c:strRef>
                    <c:extLst>
                      <c:ext uri="{02D57815-91ED-43cb-92C2-25804820EDAC}">
                        <c15:formulaRef>
                          <c15:sqref>'CCMD Figure 3'!$D$62</c15:sqref>
                        </c15:formulaRef>
                      </c:ext>
                    </c:extLst>
                    <c:strCache>
                      <c:ptCount val="1"/>
                      <c:pt idx="0">
                        <c:v>TOTAL</c:v>
                      </c:pt>
                    </c:strCache>
                  </c:strRef>
                </c:tx>
                <c:invertIfNegative val="0"/>
                <c:cat>
                  <c:strRef>
                    <c:extLst>
                      <c:ext uri="{02D57815-91ED-43cb-92C2-25804820EDAC}">
                        <c15:formulaRef>
                          <c15:sqref>'CCMD Figure 3'!$A$63:$A$68</c15:sqref>
                        </c15:formulaRef>
                      </c:ext>
                    </c:extLst>
                    <c:strCache>
                      <c:ptCount val="6"/>
                      <c:pt idx="0">
                        <c:v>AFRICOM</c:v>
                      </c:pt>
                      <c:pt idx="1">
                        <c:v>CENTCOM</c:v>
                      </c:pt>
                      <c:pt idx="2">
                        <c:v>EUCOM</c:v>
                      </c:pt>
                      <c:pt idx="3">
                        <c:v>NORTHCOM</c:v>
                      </c:pt>
                      <c:pt idx="4">
                        <c:v>INDOPACOM</c:v>
                      </c:pt>
                      <c:pt idx="5">
                        <c:v>SOUTHCOM</c:v>
                      </c:pt>
                    </c:strCache>
                  </c:strRef>
                </c:cat>
                <c:val>
                  <c:numRef>
                    <c:extLst>
                      <c:ext uri="{02D57815-91ED-43cb-92C2-25804820EDAC}">
                        <c15:formulaRef>
                          <c15:sqref>'CCMD Figure 3'!$D$63:$D$68</c15:sqref>
                        </c15:formulaRef>
                      </c:ext>
                    </c:extLst>
                    <c:numCache>
                      <c:formatCode>_(* #,##0_);_(* \(#,##0\);_(* "-"_);_(@_)</c:formatCode>
                      <c:ptCount val="6"/>
                      <c:pt idx="0">
                        <c:v>276</c:v>
                      </c:pt>
                      <c:pt idx="1">
                        <c:v>315</c:v>
                      </c:pt>
                      <c:pt idx="2">
                        <c:v>596</c:v>
                      </c:pt>
                      <c:pt idx="3">
                        <c:v>116</c:v>
                      </c:pt>
                      <c:pt idx="4">
                        <c:v>667</c:v>
                      </c:pt>
                      <c:pt idx="5">
                        <c:v>200</c:v>
                      </c:pt>
                    </c:numCache>
                  </c:numRef>
                </c:val>
                <c:extLst>
                  <c:ext xmlns:c16="http://schemas.microsoft.com/office/drawing/2014/chart" uri="{C3380CC4-5D6E-409C-BE32-E72D297353CC}">
                    <c16:uniqueId val="{00000000-B6C1-42A2-8944-70F628BC3944}"/>
                  </c:ext>
                </c:extLst>
              </c15:ser>
            </c15:filteredBarSeries>
          </c:ext>
        </c:extLst>
      </c:barChart>
      <c:catAx>
        <c:axId val="125883296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940400697"/>
        <c:crosses val="autoZero"/>
        <c:auto val="1"/>
        <c:lblAlgn val="ctr"/>
        <c:lblOffset val="100"/>
        <c:noMultiLvlLbl val="1"/>
      </c:catAx>
      <c:valAx>
        <c:axId val="940400697"/>
        <c:scaling>
          <c:orientation val="minMax"/>
          <c:max val="70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 #,##0_);_(* \(#,##0\);_(* &quot;-&quot;_);_(@_)" sourceLinked="0"/>
        <c:majorTickMark val="none"/>
        <c:minorTickMark val="none"/>
        <c:tickLblPos val="nextTo"/>
        <c:spPr>
          <a:ln/>
        </c:spPr>
        <c:txPr>
          <a:bodyPr/>
          <a:lstStyle/>
          <a:p>
            <a:pPr lvl="0">
              <a:defRPr sz="900" b="0" i="0">
                <a:solidFill>
                  <a:srgbClr val="000000"/>
                </a:solidFill>
                <a:latin typeface="+mn-lt"/>
              </a:defRPr>
            </a:pPr>
            <a:endParaRPr lang="en-US"/>
          </a:p>
        </c:txPr>
        <c:crossAx val="125883296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6. PLA International Military Exercises by Function, 2002-2024 (CENTCOM &amp; Global)</a:t>
            </a:r>
          </a:p>
        </c:rich>
      </c:tx>
      <c:overlay val="0"/>
    </c:title>
    <c:autoTitleDeleted val="0"/>
    <c:plotArea>
      <c:layout/>
      <c:barChart>
        <c:barDir val="col"/>
        <c:grouping val="clustered"/>
        <c:varyColors val="1"/>
        <c:ser>
          <c:idx val="0"/>
          <c:order val="0"/>
          <c:tx>
            <c:v>CENTCOM</c:v>
          </c:tx>
          <c:spPr>
            <a:solidFill>
              <a:srgbClr val="5B9BD5"/>
            </a:solidFill>
            <a:ln cmpd="sng">
              <a:solidFill>
                <a:srgbClr val="000000"/>
              </a:solidFill>
            </a:ln>
          </c:spPr>
          <c:invertIfNegative val="1"/>
          <c:cat>
            <c:strRef>
              <c:f>'CENTCOM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'CENTCOM Figure 6'!$B$69:$I$69</c:f>
              <c:numCache>
                <c:formatCode>General</c:formatCode>
                <c:ptCount val="8"/>
                <c:pt idx="0">
                  <c:v>7</c:v>
                </c:pt>
                <c:pt idx="1">
                  <c:v>32</c:v>
                </c:pt>
                <c:pt idx="2">
                  <c:v>20</c:v>
                </c:pt>
                <c:pt idx="3">
                  <c:v>2</c:v>
                </c:pt>
                <c:pt idx="4">
                  <c:v>3</c:v>
                </c:pt>
                <c:pt idx="5">
                  <c:v>17</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91D-7547-A213-5224ED5D2168}"/>
            </c:ext>
          </c:extLst>
        </c:ser>
        <c:ser>
          <c:idx val="1"/>
          <c:order val="1"/>
          <c:tx>
            <c:v>Global</c:v>
          </c:tx>
          <c:spPr>
            <a:solidFill>
              <a:srgbClr val="ED7D31"/>
            </a:solidFill>
            <a:ln cmpd="sng">
              <a:solidFill>
                <a:srgbClr val="000000"/>
              </a:solidFill>
            </a:ln>
          </c:spPr>
          <c:invertIfNegative val="1"/>
          <c:cat>
            <c:strRef>
              <c:f>'CENTCOM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'CENTCOM Figure 6'!$B$74:$I$74</c:f>
              <c:numCache>
                <c:formatCode>General</c:formatCode>
                <c:ptCount val="8"/>
                <c:pt idx="0">
                  <c:v>21</c:v>
                </c:pt>
                <c:pt idx="1">
                  <c:v>86</c:v>
                </c:pt>
                <c:pt idx="2">
                  <c:v>56</c:v>
                </c:pt>
                <c:pt idx="3">
                  <c:v>12</c:v>
                </c:pt>
                <c:pt idx="4">
                  <c:v>14</c:v>
                </c:pt>
                <c:pt idx="5">
                  <c:v>154</c:v>
                </c:pt>
                <c:pt idx="6">
                  <c:v>4</c:v>
                </c:pt>
                <c:pt idx="7">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91D-7547-A213-5224ED5D2168}"/>
            </c:ext>
          </c:extLst>
        </c:ser>
        <c:dLbls>
          <c:showLegendKey val="0"/>
          <c:showVal val="0"/>
          <c:showCatName val="0"/>
          <c:showSerName val="0"/>
          <c:showPercent val="0"/>
          <c:showBubbleSize val="0"/>
        </c:dLbls>
        <c:gapWidth val="150"/>
        <c:axId val="209139536"/>
        <c:axId val="919525955"/>
      </c:barChart>
      <c:catAx>
        <c:axId val="20913953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919525955"/>
        <c:crosses val="autoZero"/>
        <c:auto val="1"/>
        <c:lblAlgn val="ctr"/>
        <c:lblOffset val="100"/>
        <c:noMultiLvlLbl val="1"/>
      </c:catAx>
      <c:valAx>
        <c:axId val="91952595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0913953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2. Total PLA Military Diplomatic Interactions, 2002-2024 (EUCOM)</a:t>
            </a:r>
          </a:p>
        </c:rich>
      </c:tx>
      <c:overlay val="0"/>
    </c:title>
    <c:autoTitleDeleted val="0"/>
    <c:plotArea>
      <c:layout/>
      <c:barChart>
        <c:barDir val="col"/>
        <c:grouping val="stacked"/>
        <c:varyColors val="1"/>
        <c:ser>
          <c:idx val="0"/>
          <c:order val="0"/>
          <c:tx>
            <c:v>Senior Level Visits</c:v>
          </c:tx>
          <c:spPr>
            <a:solidFill>
              <a:srgbClr val="5B9BD5"/>
            </a:solidFill>
            <a:ln cmpd="sng">
              <a:solidFill>
                <a:srgbClr val="000000"/>
              </a:solidFill>
            </a:ln>
          </c:spPr>
          <c:invertIfNegative val="1"/>
          <c:cat>
            <c:numRef>
              <c:f>'EUCOM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'EUCOM Figure 2'!$B$61:$X$61</c:f>
              <c:numCache>
                <c:formatCode>General</c:formatCode>
                <c:ptCount val="23"/>
                <c:pt idx="0">
                  <c:v>34</c:v>
                </c:pt>
                <c:pt idx="1">
                  <c:v>36</c:v>
                </c:pt>
                <c:pt idx="2">
                  <c:v>43</c:v>
                </c:pt>
                <c:pt idx="3">
                  <c:v>57</c:v>
                </c:pt>
                <c:pt idx="4">
                  <c:v>34</c:v>
                </c:pt>
                <c:pt idx="5">
                  <c:v>34</c:v>
                </c:pt>
                <c:pt idx="6">
                  <c:v>33</c:v>
                </c:pt>
                <c:pt idx="7">
                  <c:v>49</c:v>
                </c:pt>
                <c:pt idx="8">
                  <c:v>52</c:v>
                </c:pt>
                <c:pt idx="9">
                  <c:v>35</c:v>
                </c:pt>
                <c:pt idx="10">
                  <c:v>27</c:v>
                </c:pt>
                <c:pt idx="11">
                  <c:v>28</c:v>
                </c:pt>
                <c:pt idx="12">
                  <c:v>31</c:v>
                </c:pt>
                <c:pt idx="13">
                  <c:v>33</c:v>
                </c:pt>
                <c:pt idx="14">
                  <c:v>18</c:v>
                </c:pt>
                <c:pt idx="15">
                  <c:v>21</c:v>
                </c:pt>
                <c:pt idx="16">
                  <c:v>19</c:v>
                </c:pt>
                <c:pt idx="17">
                  <c:v>14</c:v>
                </c:pt>
                <c:pt idx="18">
                  <c:v>3</c:v>
                </c:pt>
                <c:pt idx="19">
                  <c:v>10</c:v>
                </c:pt>
                <c:pt idx="20">
                  <c:v>4</c:v>
                </c:pt>
                <c:pt idx="21">
                  <c:v>12</c:v>
                </c:pt>
                <c:pt idx="22">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47C-8A45-8B0D-1E40277255CA}"/>
            </c:ext>
          </c:extLst>
        </c:ser>
        <c:ser>
          <c:idx val="1"/>
          <c:order val="1"/>
          <c:tx>
            <c:v>Naval Port Calls</c:v>
          </c:tx>
          <c:spPr>
            <a:solidFill>
              <a:srgbClr val="ED7D31"/>
            </a:solidFill>
            <a:ln cmpd="sng">
              <a:solidFill>
                <a:srgbClr val="000000"/>
              </a:solidFill>
            </a:ln>
          </c:spPr>
          <c:invertIfNegative val="1"/>
          <c:cat>
            <c:numRef>
              <c:f>'EUCOM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'EUCOM Figure 2'!$B$60:$X$60</c:f>
              <c:numCache>
                <c:formatCode>General</c:formatCode>
                <c:ptCount val="23"/>
                <c:pt idx="0">
                  <c:v>5</c:v>
                </c:pt>
                <c:pt idx="1">
                  <c:v>0</c:v>
                </c:pt>
                <c:pt idx="2">
                  <c:v>0</c:v>
                </c:pt>
                <c:pt idx="3">
                  <c:v>0</c:v>
                </c:pt>
                <c:pt idx="4">
                  <c:v>0</c:v>
                </c:pt>
                <c:pt idx="5">
                  <c:v>4</c:v>
                </c:pt>
                <c:pt idx="6">
                  <c:v>0</c:v>
                </c:pt>
                <c:pt idx="7">
                  <c:v>0</c:v>
                </c:pt>
                <c:pt idx="8">
                  <c:v>1</c:v>
                </c:pt>
                <c:pt idx="9">
                  <c:v>1</c:v>
                </c:pt>
                <c:pt idx="10">
                  <c:v>4</c:v>
                </c:pt>
                <c:pt idx="11">
                  <c:v>4</c:v>
                </c:pt>
                <c:pt idx="12">
                  <c:v>0</c:v>
                </c:pt>
                <c:pt idx="13">
                  <c:v>15</c:v>
                </c:pt>
                <c:pt idx="14">
                  <c:v>1</c:v>
                </c:pt>
                <c:pt idx="15">
                  <c:v>12</c:v>
                </c:pt>
                <c:pt idx="16">
                  <c:v>6</c:v>
                </c:pt>
                <c:pt idx="17">
                  <c:v>3</c:v>
                </c:pt>
                <c:pt idx="18">
                  <c:v>0</c:v>
                </c:pt>
                <c:pt idx="19">
                  <c:v>0</c:v>
                </c:pt>
                <c:pt idx="20">
                  <c:v>0</c:v>
                </c:pt>
                <c:pt idx="21">
                  <c:v>0</c:v>
                </c:pt>
                <c:pt idx="22">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47C-8A45-8B0D-1E40277255CA}"/>
            </c:ext>
          </c:extLst>
        </c:ser>
        <c:ser>
          <c:idx val="2"/>
          <c:order val="2"/>
          <c:tx>
            <c:v>Military Exercises</c:v>
          </c:tx>
          <c:spPr>
            <a:solidFill>
              <a:srgbClr val="A5A5A5"/>
            </a:solidFill>
            <a:ln cmpd="sng">
              <a:solidFill>
                <a:srgbClr val="000000"/>
              </a:solidFill>
            </a:ln>
          </c:spPr>
          <c:invertIfNegative val="1"/>
          <c:cat>
            <c:numRef>
              <c:f>'EUCOM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'EUCOM Figure 2'!$B$59:$X$59</c:f>
              <c:numCache>
                <c:formatCode>General</c:formatCode>
                <c:ptCount val="23"/>
                <c:pt idx="0">
                  <c:v>0</c:v>
                </c:pt>
                <c:pt idx="1">
                  <c:v>0</c:v>
                </c:pt>
                <c:pt idx="2">
                  <c:v>2</c:v>
                </c:pt>
                <c:pt idx="3">
                  <c:v>1</c:v>
                </c:pt>
                <c:pt idx="4">
                  <c:v>0</c:v>
                </c:pt>
                <c:pt idx="5">
                  <c:v>1</c:v>
                </c:pt>
                <c:pt idx="6">
                  <c:v>0</c:v>
                </c:pt>
                <c:pt idx="7">
                  <c:v>4</c:v>
                </c:pt>
                <c:pt idx="8">
                  <c:v>4</c:v>
                </c:pt>
                <c:pt idx="9">
                  <c:v>1</c:v>
                </c:pt>
                <c:pt idx="10">
                  <c:v>3</c:v>
                </c:pt>
                <c:pt idx="11">
                  <c:v>5</c:v>
                </c:pt>
                <c:pt idx="12">
                  <c:v>6</c:v>
                </c:pt>
                <c:pt idx="13">
                  <c:v>14</c:v>
                </c:pt>
                <c:pt idx="14">
                  <c:v>7</c:v>
                </c:pt>
                <c:pt idx="15">
                  <c:v>12</c:v>
                </c:pt>
                <c:pt idx="16">
                  <c:v>7</c:v>
                </c:pt>
                <c:pt idx="17">
                  <c:v>7</c:v>
                </c:pt>
                <c:pt idx="18">
                  <c:v>3</c:v>
                </c:pt>
                <c:pt idx="19">
                  <c:v>5</c:v>
                </c:pt>
                <c:pt idx="20">
                  <c:v>6</c:v>
                </c:pt>
                <c:pt idx="21">
                  <c:v>3</c:v>
                </c:pt>
                <c:pt idx="22">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47C-8A45-8B0D-1E40277255CA}"/>
            </c:ext>
          </c:extLst>
        </c:ser>
        <c:dLbls>
          <c:showLegendKey val="0"/>
          <c:showVal val="0"/>
          <c:showCatName val="0"/>
          <c:showSerName val="0"/>
          <c:showPercent val="0"/>
          <c:showBubbleSize val="0"/>
        </c:dLbls>
        <c:gapWidth val="150"/>
        <c:overlap val="100"/>
        <c:axId val="590963224"/>
        <c:axId val="1317293037"/>
      </c:barChart>
      <c:catAx>
        <c:axId val="59096322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317293037"/>
        <c:crosses val="autoZero"/>
        <c:auto val="1"/>
        <c:lblAlgn val="ctr"/>
        <c:lblOffset val="100"/>
        <c:noMultiLvlLbl val="1"/>
      </c:catAx>
      <c:valAx>
        <c:axId val="131729303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9096322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2002-2024 (EUCOM)</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'EUCOM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'EUCOM Figure 4'!$B$64:$X$64</c:f>
              <c:numCache>
                <c:formatCode>General</c:formatCode>
                <c:ptCount val="23"/>
                <c:pt idx="0">
                  <c:v>13</c:v>
                </c:pt>
                <c:pt idx="1">
                  <c:v>20</c:v>
                </c:pt>
                <c:pt idx="2">
                  <c:v>22</c:v>
                </c:pt>
                <c:pt idx="3">
                  <c:v>30</c:v>
                </c:pt>
                <c:pt idx="4">
                  <c:v>22</c:v>
                </c:pt>
                <c:pt idx="5">
                  <c:v>18</c:v>
                </c:pt>
                <c:pt idx="6">
                  <c:v>13</c:v>
                </c:pt>
                <c:pt idx="7">
                  <c:v>38</c:v>
                </c:pt>
                <c:pt idx="8">
                  <c:v>29</c:v>
                </c:pt>
                <c:pt idx="9">
                  <c:v>14</c:v>
                </c:pt>
                <c:pt idx="10">
                  <c:v>2</c:v>
                </c:pt>
                <c:pt idx="11">
                  <c:v>11</c:v>
                </c:pt>
                <c:pt idx="12">
                  <c:v>8</c:v>
                </c:pt>
                <c:pt idx="13">
                  <c:v>13</c:v>
                </c:pt>
                <c:pt idx="14">
                  <c:v>8</c:v>
                </c:pt>
                <c:pt idx="15">
                  <c:v>8</c:v>
                </c:pt>
                <c:pt idx="16">
                  <c:v>6</c:v>
                </c:pt>
                <c:pt idx="17">
                  <c:v>5</c:v>
                </c:pt>
                <c:pt idx="18">
                  <c:v>1</c:v>
                </c:pt>
                <c:pt idx="19">
                  <c:v>6</c:v>
                </c:pt>
                <c:pt idx="20">
                  <c:v>0</c:v>
                </c:pt>
                <c:pt idx="21">
                  <c:v>7</c:v>
                </c:pt>
                <c:pt idx="22">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12D-A347-A84B-0B088710F53F}"/>
            </c:ext>
          </c:extLst>
        </c:ser>
        <c:ser>
          <c:idx val="1"/>
          <c:order val="1"/>
          <c:tx>
            <c:v>Hosted</c:v>
          </c:tx>
          <c:spPr>
            <a:solidFill>
              <a:srgbClr val="ED7D31"/>
            </a:solidFill>
            <a:ln cmpd="sng">
              <a:solidFill>
                <a:srgbClr val="000000"/>
              </a:solidFill>
            </a:ln>
          </c:spPr>
          <c:invertIfNegative val="1"/>
          <c:cat>
            <c:numRef>
              <c:f>'EUCOM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'EUCOM Figure 4'!$B$65:$X$65</c:f>
              <c:numCache>
                <c:formatCode>General</c:formatCode>
                <c:ptCount val="23"/>
                <c:pt idx="0">
                  <c:v>21</c:v>
                </c:pt>
                <c:pt idx="1">
                  <c:v>16</c:v>
                </c:pt>
                <c:pt idx="2">
                  <c:v>21</c:v>
                </c:pt>
                <c:pt idx="3">
                  <c:v>27</c:v>
                </c:pt>
                <c:pt idx="4">
                  <c:v>12</c:v>
                </c:pt>
                <c:pt idx="5">
                  <c:v>16</c:v>
                </c:pt>
                <c:pt idx="6">
                  <c:v>20</c:v>
                </c:pt>
                <c:pt idx="7">
                  <c:v>11</c:v>
                </c:pt>
                <c:pt idx="8">
                  <c:v>23</c:v>
                </c:pt>
                <c:pt idx="9">
                  <c:v>21</c:v>
                </c:pt>
                <c:pt idx="10">
                  <c:v>25</c:v>
                </c:pt>
                <c:pt idx="11">
                  <c:v>17</c:v>
                </c:pt>
                <c:pt idx="12">
                  <c:v>23</c:v>
                </c:pt>
                <c:pt idx="13">
                  <c:v>20</c:v>
                </c:pt>
                <c:pt idx="14">
                  <c:v>10</c:v>
                </c:pt>
                <c:pt idx="15">
                  <c:v>13</c:v>
                </c:pt>
                <c:pt idx="16">
                  <c:v>13</c:v>
                </c:pt>
                <c:pt idx="17">
                  <c:v>9</c:v>
                </c:pt>
                <c:pt idx="18">
                  <c:v>0</c:v>
                </c:pt>
                <c:pt idx="19">
                  <c:v>0</c:v>
                </c:pt>
                <c:pt idx="20">
                  <c:v>0</c:v>
                </c:pt>
                <c:pt idx="21">
                  <c:v>4</c:v>
                </c:pt>
                <c:pt idx="22">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12D-A347-A84B-0B088710F53F}"/>
            </c:ext>
          </c:extLst>
        </c:ser>
        <c:dLbls>
          <c:showLegendKey val="0"/>
          <c:showVal val="0"/>
          <c:showCatName val="0"/>
          <c:showSerName val="0"/>
          <c:showPercent val="0"/>
          <c:showBubbleSize val="0"/>
        </c:dLbls>
        <c:gapWidth val="150"/>
        <c:axId val="1668009931"/>
        <c:axId val="1547747619"/>
      </c:barChart>
      <c:catAx>
        <c:axId val="166800993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47747619"/>
        <c:crosses val="autoZero"/>
        <c:auto val="1"/>
        <c:lblAlgn val="ctr"/>
        <c:lblOffset val="100"/>
        <c:noMultiLvlLbl val="1"/>
      </c:catAx>
      <c:valAx>
        <c:axId val="154774761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66800993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2002-2024 (EUCOM &amp; Global)</a:t>
            </a:r>
          </a:p>
        </c:rich>
      </c:tx>
      <c:layout>
        <c:manualLayout>
          <c:xMode val="edge"/>
          <c:yMode val="edge"/>
          <c:x val="0.14613338895551964"/>
          <c:y val="4.283941780004772E-2"/>
        </c:manualLayout>
      </c:layout>
      <c:overlay val="0"/>
    </c:title>
    <c:autoTitleDeleted val="0"/>
    <c:plotArea>
      <c:layout/>
      <c:barChart>
        <c:barDir val="col"/>
        <c:grouping val="clustered"/>
        <c:varyColors val="1"/>
        <c:ser>
          <c:idx val="0"/>
          <c:order val="0"/>
          <c:tx>
            <c:v>EUCOM</c:v>
          </c:tx>
          <c:spPr>
            <a:solidFill>
              <a:srgbClr val="5B9BD5"/>
            </a:solidFill>
            <a:ln cmpd="sng">
              <a:solidFill>
                <a:srgbClr val="000000"/>
              </a:solidFill>
            </a:ln>
          </c:spPr>
          <c:invertIfNegative val="1"/>
          <c:cat>
            <c:numRef>
              <c:f>'EUCOM Figure 5'!$B$61:$X$61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'EUCOM Figure 5'!$B$64:$X$64</c:f>
              <c:numCache>
                <c:formatCode>General</c:formatCode>
                <c:ptCount val="23"/>
                <c:pt idx="0">
                  <c:v>0</c:v>
                </c:pt>
                <c:pt idx="1">
                  <c:v>0</c:v>
                </c:pt>
                <c:pt idx="2">
                  <c:v>2</c:v>
                </c:pt>
                <c:pt idx="3">
                  <c:v>1</c:v>
                </c:pt>
                <c:pt idx="4">
                  <c:v>0</c:v>
                </c:pt>
                <c:pt idx="5">
                  <c:v>1</c:v>
                </c:pt>
                <c:pt idx="6">
                  <c:v>0</c:v>
                </c:pt>
                <c:pt idx="7">
                  <c:v>4</c:v>
                </c:pt>
                <c:pt idx="8">
                  <c:v>4</c:v>
                </c:pt>
                <c:pt idx="9">
                  <c:v>1</c:v>
                </c:pt>
                <c:pt idx="10">
                  <c:v>3</c:v>
                </c:pt>
                <c:pt idx="11">
                  <c:v>5</c:v>
                </c:pt>
                <c:pt idx="12">
                  <c:v>6</c:v>
                </c:pt>
                <c:pt idx="13">
                  <c:v>14</c:v>
                </c:pt>
                <c:pt idx="14">
                  <c:v>7</c:v>
                </c:pt>
                <c:pt idx="15">
                  <c:v>12</c:v>
                </c:pt>
                <c:pt idx="16">
                  <c:v>7</c:v>
                </c:pt>
                <c:pt idx="17">
                  <c:v>7</c:v>
                </c:pt>
                <c:pt idx="18">
                  <c:v>3</c:v>
                </c:pt>
                <c:pt idx="19">
                  <c:v>5</c:v>
                </c:pt>
                <c:pt idx="20">
                  <c:v>6</c:v>
                </c:pt>
                <c:pt idx="21">
                  <c:v>3</c:v>
                </c:pt>
                <c:pt idx="22">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42E-7A40-9A0B-130AEA5E2AB2}"/>
            </c:ext>
          </c:extLst>
        </c:ser>
        <c:ser>
          <c:idx val="1"/>
          <c:order val="1"/>
          <c:tx>
            <c:v>Global</c:v>
          </c:tx>
          <c:spPr>
            <a:solidFill>
              <a:srgbClr val="ED7D31"/>
            </a:solidFill>
            <a:ln cmpd="sng">
              <a:solidFill>
                <a:srgbClr val="000000"/>
              </a:solidFill>
            </a:ln>
          </c:spPr>
          <c:invertIfNegative val="1"/>
          <c:cat>
            <c:numRef>
              <c:f>'EUCOM Figure 5'!$B$61:$X$61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'EUCOM Figure 5'!$B$68:$X$68</c:f>
              <c:numCache>
                <c:formatCode>General</c:formatCode>
                <c:ptCount val="23"/>
                <c:pt idx="0">
                  <c:v>1</c:v>
                </c:pt>
                <c:pt idx="1">
                  <c:v>3</c:v>
                </c:pt>
                <c:pt idx="2">
                  <c:v>4</c:v>
                </c:pt>
                <c:pt idx="3">
                  <c:v>5</c:v>
                </c:pt>
                <c:pt idx="4">
                  <c:v>5</c:v>
                </c:pt>
                <c:pt idx="5">
                  <c:v>8</c:v>
                </c:pt>
                <c:pt idx="6">
                  <c:v>2</c:v>
                </c:pt>
                <c:pt idx="7">
                  <c:v>9</c:v>
                </c:pt>
                <c:pt idx="8">
                  <c:v>13</c:v>
                </c:pt>
                <c:pt idx="9">
                  <c:v>10</c:v>
                </c:pt>
                <c:pt idx="10">
                  <c:v>12</c:v>
                </c:pt>
                <c:pt idx="11">
                  <c:v>15</c:v>
                </c:pt>
                <c:pt idx="12">
                  <c:v>26</c:v>
                </c:pt>
                <c:pt idx="13">
                  <c:v>44</c:v>
                </c:pt>
                <c:pt idx="14">
                  <c:v>38</c:v>
                </c:pt>
                <c:pt idx="15">
                  <c:v>50</c:v>
                </c:pt>
                <c:pt idx="16">
                  <c:v>39</c:v>
                </c:pt>
                <c:pt idx="17">
                  <c:v>42</c:v>
                </c:pt>
                <c:pt idx="18">
                  <c:v>9</c:v>
                </c:pt>
                <c:pt idx="19">
                  <c:v>14</c:v>
                </c:pt>
                <c:pt idx="20">
                  <c:v>10</c:v>
                </c:pt>
                <c:pt idx="21">
                  <c:v>24</c:v>
                </c:pt>
                <c:pt idx="22">
                  <c:v>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42E-7A40-9A0B-130AEA5E2AB2}"/>
            </c:ext>
          </c:extLst>
        </c:ser>
        <c:dLbls>
          <c:showLegendKey val="0"/>
          <c:showVal val="0"/>
          <c:showCatName val="0"/>
          <c:showSerName val="0"/>
          <c:showPercent val="0"/>
          <c:showBubbleSize val="0"/>
        </c:dLbls>
        <c:gapWidth val="150"/>
        <c:axId val="9176884"/>
        <c:axId val="1263057163"/>
      </c:barChart>
      <c:catAx>
        <c:axId val="917688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263057163"/>
        <c:crosses val="autoZero"/>
        <c:auto val="1"/>
        <c:lblAlgn val="ctr"/>
        <c:lblOffset val="100"/>
        <c:noMultiLvlLbl val="1"/>
      </c:catAx>
      <c:valAx>
        <c:axId val="126305716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917688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6. PLA International Military Exercises by Function, 2002-2024 (EUCOM &amp; Global)</a:t>
            </a:r>
          </a:p>
        </c:rich>
      </c:tx>
      <c:overlay val="0"/>
    </c:title>
    <c:autoTitleDeleted val="0"/>
    <c:plotArea>
      <c:layout/>
      <c:barChart>
        <c:barDir val="col"/>
        <c:grouping val="clustered"/>
        <c:varyColors val="1"/>
        <c:ser>
          <c:idx val="0"/>
          <c:order val="0"/>
          <c:tx>
            <c:v>EUCOM</c:v>
          </c:tx>
          <c:spPr>
            <a:solidFill>
              <a:srgbClr val="5B9BD5"/>
            </a:solidFill>
            <a:ln cmpd="sng">
              <a:solidFill>
                <a:srgbClr val="000000"/>
              </a:solidFill>
            </a:ln>
          </c:spPr>
          <c:invertIfNegative val="1"/>
          <c:cat>
            <c:strRef>
              <c:f>'EUCOM Figure 6'!$B$67:$H$67</c:f>
              <c:strCache>
                <c:ptCount val="7"/>
                <c:pt idx="0">
                  <c:v>Anti-piracy</c:v>
                </c:pt>
                <c:pt idx="1">
                  <c:v>Anti-terrorism</c:v>
                </c:pt>
                <c:pt idx="2">
                  <c:v>Combat</c:v>
                </c:pt>
                <c:pt idx="3">
                  <c:v>Competition</c:v>
                </c:pt>
                <c:pt idx="4">
                  <c:v>MOOTW</c:v>
                </c:pt>
                <c:pt idx="5">
                  <c:v>Patrol</c:v>
                </c:pt>
                <c:pt idx="6">
                  <c:v>Strategic CPX</c:v>
                </c:pt>
              </c:strCache>
            </c:strRef>
          </c:cat>
          <c:val>
            <c:numRef>
              <c:f>'EUCOM Figure 6'!$B$70:$H$70</c:f>
              <c:numCache>
                <c:formatCode>General</c:formatCode>
                <c:ptCount val="7"/>
                <c:pt idx="0">
                  <c:v>4</c:v>
                </c:pt>
                <c:pt idx="1">
                  <c:v>15</c:v>
                </c:pt>
                <c:pt idx="2">
                  <c:v>22</c:v>
                </c:pt>
                <c:pt idx="3">
                  <c:v>10</c:v>
                </c:pt>
                <c:pt idx="4">
                  <c:v>27</c:v>
                </c:pt>
                <c:pt idx="5">
                  <c:v>7</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A6-264C-9405-85FC0CE82CE4}"/>
            </c:ext>
          </c:extLst>
        </c:ser>
        <c:ser>
          <c:idx val="1"/>
          <c:order val="1"/>
          <c:tx>
            <c:v>Global</c:v>
          </c:tx>
          <c:spPr>
            <a:solidFill>
              <a:srgbClr val="ED7D31"/>
            </a:solidFill>
            <a:ln cmpd="sng">
              <a:solidFill>
                <a:srgbClr val="000000"/>
              </a:solidFill>
            </a:ln>
          </c:spPr>
          <c:invertIfNegative val="1"/>
          <c:cat>
            <c:strRef>
              <c:f>'EUCOM Figure 6'!$B$67:$H$67</c:f>
              <c:strCache>
                <c:ptCount val="7"/>
                <c:pt idx="0">
                  <c:v>Anti-piracy</c:v>
                </c:pt>
                <c:pt idx="1">
                  <c:v>Anti-terrorism</c:v>
                </c:pt>
                <c:pt idx="2">
                  <c:v>Combat</c:v>
                </c:pt>
                <c:pt idx="3">
                  <c:v>Competition</c:v>
                </c:pt>
                <c:pt idx="4">
                  <c:v>MOOTW</c:v>
                </c:pt>
                <c:pt idx="5">
                  <c:v>Patrol</c:v>
                </c:pt>
                <c:pt idx="6">
                  <c:v>Strategic CPX</c:v>
                </c:pt>
              </c:strCache>
            </c:strRef>
          </c:cat>
          <c:val>
            <c:numRef>
              <c:f>'EUCOM Figure 6'!$B$74:$H$74</c:f>
              <c:numCache>
                <c:formatCode>General</c:formatCode>
                <c:ptCount val="7"/>
                <c:pt idx="0">
                  <c:v>22</c:v>
                </c:pt>
                <c:pt idx="1">
                  <c:v>86</c:v>
                </c:pt>
                <c:pt idx="2">
                  <c:v>60</c:v>
                </c:pt>
                <c:pt idx="3">
                  <c:v>15</c:v>
                </c:pt>
                <c:pt idx="4">
                  <c:v>155</c:v>
                </c:pt>
                <c:pt idx="5">
                  <c:v>7</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3A6-264C-9405-85FC0CE82CE4}"/>
            </c:ext>
          </c:extLst>
        </c:ser>
        <c:dLbls>
          <c:showLegendKey val="0"/>
          <c:showVal val="0"/>
          <c:showCatName val="0"/>
          <c:showSerName val="0"/>
          <c:showPercent val="0"/>
          <c:showBubbleSize val="0"/>
        </c:dLbls>
        <c:gapWidth val="150"/>
        <c:axId val="355262597"/>
        <c:axId val="581932310"/>
      </c:barChart>
      <c:catAx>
        <c:axId val="35526259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81932310"/>
        <c:crosses val="autoZero"/>
        <c:auto val="1"/>
        <c:lblAlgn val="ctr"/>
        <c:lblOffset val="100"/>
        <c:noMultiLvlLbl val="1"/>
      </c:catAx>
      <c:valAx>
        <c:axId val="5819323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35526259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baseline="0">
                <a:solidFill>
                  <a:srgbClr val="757575"/>
                </a:solidFill>
              </a:rPr>
              <a:t>Figure 2. Total PLA Military Diplomatic Interactions, 2002-2024 (Europe)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'Europe Figure 2'!$A$67</c:f>
              <c:strCache>
                <c:ptCount val="1"/>
                <c:pt idx="0">
                  <c:v>Military Exercise</c:v>
                </c:pt>
              </c:strCache>
            </c:strRef>
          </c:tx>
          <c:spPr>
            <a:solidFill>
              <a:schemeClr val="accent2"/>
            </a:solidFill>
            <a:ln>
              <a:noFill/>
            </a:ln>
            <a:effectLst/>
          </c:spPr>
          <c:invertIfNegative val="0"/>
          <c:cat>
            <c:numRef>
              <c:f>'Europe Figure 2'!$B$66:$X$66</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'Europe Figure 2'!$B$67:$X$67</c:f>
              <c:numCache>
                <c:formatCode>General</c:formatCode>
                <c:ptCount val="23"/>
                <c:pt idx="0">
                  <c:v>0</c:v>
                </c:pt>
                <c:pt idx="1">
                  <c:v>0</c:v>
                </c:pt>
                <c:pt idx="2">
                  <c:v>2</c:v>
                </c:pt>
                <c:pt idx="3">
                  <c:v>0</c:v>
                </c:pt>
                <c:pt idx="4">
                  <c:v>0</c:v>
                </c:pt>
                <c:pt idx="5">
                  <c:v>0</c:v>
                </c:pt>
                <c:pt idx="6">
                  <c:v>0</c:v>
                </c:pt>
                <c:pt idx="7">
                  <c:v>1</c:v>
                </c:pt>
                <c:pt idx="8">
                  <c:v>4</c:v>
                </c:pt>
                <c:pt idx="9">
                  <c:v>1</c:v>
                </c:pt>
                <c:pt idx="10">
                  <c:v>2</c:v>
                </c:pt>
                <c:pt idx="11">
                  <c:v>0</c:v>
                </c:pt>
                <c:pt idx="12">
                  <c:v>1</c:v>
                </c:pt>
                <c:pt idx="13">
                  <c:v>11</c:v>
                </c:pt>
                <c:pt idx="14">
                  <c:v>3</c:v>
                </c:pt>
                <c:pt idx="15">
                  <c:v>7</c:v>
                </c:pt>
                <c:pt idx="16">
                  <c:v>5</c:v>
                </c:pt>
                <c:pt idx="17">
                  <c:v>1</c:v>
                </c:pt>
                <c:pt idx="18">
                  <c:v>0</c:v>
                </c:pt>
                <c:pt idx="19">
                  <c:v>1</c:v>
                </c:pt>
                <c:pt idx="20">
                  <c:v>1</c:v>
                </c:pt>
                <c:pt idx="21">
                  <c:v>0</c:v>
                </c:pt>
                <c:pt idx="22">
                  <c:v>1</c:v>
                </c:pt>
              </c:numCache>
            </c:numRef>
          </c:val>
          <c:extLst>
            <c:ext xmlns:c16="http://schemas.microsoft.com/office/drawing/2014/chart" uri="{C3380CC4-5D6E-409C-BE32-E72D297353CC}">
              <c16:uniqueId val="{00000001-8740-4593-9AD0-ABB9F7880742}"/>
            </c:ext>
          </c:extLst>
        </c:ser>
        <c:ser>
          <c:idx val="2"/>
          <c:order val="2"/>
          <c:tx>
            <c:strRef>
              <c:f>'Europe Figure 2'!$A$68</c:f>
              <c:strCache>
                <c:ptCount val="1"/>
                <c:pt idx="0">
                  <c:v>Naval Port Call</c:v>
                </c:pt>
              </c:strCache>
            </c:strRef>
          </c:tx>
          <c:spPr>
            <a:solidFill>
              <a:schemeClr val="accent3"/>
            </a:solidFill>
            <a:ln>
              <a:noFill/>
            </a:ln>
            <a:effectLst/>
          </c:spPr>
          <c:invertIfNegative val="0"/>
          <c:cat>
            <c:numRef>
              <c:f>'Europe Figure 2'!$B$66:$X$66</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'Europe Figure 2'!$B$68:$X$68</c:f>
              <c:numCache>
                <c:formatCode>General</c:formatCode>
                <c:ptCount val="23"/>
                <c:pt idx="0">
                  <c:v>5</c:v>
                </c:pt>
                <c:pt idx="1">
                  <c:v>0</c:v>
                </c:pt>
                <c:pt idx="2">
                  <c:v>0</c:v>
                </c:pt>
                <c:pt idx="3">
                  <c:v>0</c:v>
                </c:pt>
                <c:pt idx="4">
                  <c:v>0</c:v>
                </c:pt>
                <c:pt idx="5">
                  <c:v>3</c:v>
                </c:pt>
                <c:pt idx="6">
                  <c:v>0</c:v>
                </c:pt>
                <c:pt idx="7">
                  <c:v>0</c:v>
                </c:pt>
                <c:pt idx="8">
                  <c:v>1</c:v>
                </c:pt>
                <c:pt idx="9">
                  <c:v>1</c:v>
                </c:pt>
                <c:pt idx="10">
                  <c:v>4</c:v>
                </c:pt>
                <c:pt idx="11">
                  <c:v>4</c:v>
                </c:pt>
                <c:pt idx="12">
                  <c:v>0</c:v>
                </c:pt>
                <c:pt idx="13">
                  <c:v>14</c:v>
                </c:pt>
                <c:pt idx="14">
                  <c:v>1</c:v>
                </c:pt>
                <c:pt idx="15">
                  <c:v>12</c:v>
                </c:pt>
                <c:pt idx="16">
                  <c:v>6</c:v>
                </c:pt>
                <c:pt idx="17">
                  <c:v>2</c:v>
                </c:pt>
                <c:pt idx="18">
                  <c:v>0</c:v>
                </c:pt>
                <c:pt idx="19">
                  <c:v>0</c:v>
                </c:pt>
                <c:pt idx="20">
                  <c:v>0</c:v>
                </c:pt>
                <c:pt idx="21">
                  <c:v>0</c:v>
                </c:pt>
                <c:pt idx="22">
                  <c:v>0</c:v>
                </c:pt>
              </c:numCache>
            </c:numRef>
          </c:val>
          <c:extLst>
            <c:ext xmlns:c16="http://schemas.microsoft.com/office/drawing/2014/chart" uri="{C3380CC4-5D6E-409C-BE32-E72D297353CC}">
              <c16:uniqueId val="{00000002-8740-4593-9AD0-ABB9F7880742}"/>
            </c:ext>
          </c:extLst>
        </c:ser>
        <c:ser>
          <c:idx val="3"/>
          <c:order val="3"/>
          <c:tx>
            <c:strRef>
              <c:f>'Europe Figure 2'!$A$69</c:f>
              <c:strCache>
                <c:ptCount val="1"/>
                <c:pt idx="0">
                  <c:v>Senior Level Visit</c:v>
                </c:pt>
              </c:strCache>
            </c:strRef>
          </c:tx>
          <c:spPr>
            <a:solidFill>
              <a:schemeClr val="accent4"/>
            </a:solidFill>
            <a:ln>
              <a:noFill/>
            </a:ln>
            <a:effectLst/>
          </c:spPr>
          <c:invertIfNegative val="0"/>
          <c:cat>
            <c:numRef>
              <c:f>'Europe Figure 2'!$B$66:$X$66</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'Europe Figure 2'!$B$69:$X$69</c:f>
              <c:numCache>
                <c:formatCode>General</c:formatCode>
                <c:ptCount val="23"/>
                <c:pt idx="0">
                  <c:v>31</c:v>
                </c:pt>
                <c:pt idx="1">
                  <c:v>31</c:v>
                </c:pt>
                <c:pt idx="2">
                  <c:v>37</c:v>
                </c:pt>
                <c:pt idx="3">
                  <c:v>52</c:v>
                </c:pt>
                <c:pt idx="4">
                  <c:v>30</c:v>
                </c:pt>
                <c:pt idx="5">
                  <c:v>31</c:v>
                </c:pt>
                <c:pt idx="6">
                  <c:v>31</c:v>
                </c:pt>
                <c:pt idx="7">
                  <c:v>45</c:v>
                </c:pt>
                <c:pt idx="8">
                  <c:v>49</c:v>
                </c:pt>
                <c:pt idx="9">
                  <c:v>30</c:v>
                </c:pt>
                <c:pt idx="10">
                  <c:v>24</c:v>
                </c:pt>
                <c:pt idx="11">
                  <c:v>21</c:v>
                </c:pt>
                <c:pt idx="12">
                  <c:v>28</c:v>
                </c:pt>
                <c:pt idx="13">
                  <c:v>27</c:v>
                </c:pt>
                <c:pt idx="14">
                  <c:v>13</c:v>
                </c:pt>
                <c:pt idx="15">
                  <c:v>18</c:v>
                </c:pt>
                <c:pt idx="16">
                  <c:v>11</c:v>
                </c:pt>
                <c:pt idx="17">
                  <c:v>9</c:v>
                </c:pt>
                <c:pt idx="18">
                  <c:v>1</c:v>
                </c:pt>
                <c:pt idx="19">
                  <c:v>6</c:v>
                </c:pt>
                <c:pt idx="20">
                  <c:v>2</c:v>
                </c:pt>
                <c:pt idx="21">
                  <c:v>5</c:v>
                </c:pt>
                <c:pt idx="22">
                  <c:v>11</c:v>
                </c:pt>
              </c:numCache>
            </c:numRef>
          </c:val>
          <c:extLst>
            <c:ext xmlns:c16="http://schemas.microsoft.com/office/drawing/2014/chart" uri="{C3380CC4-5D6E-409C-BE32-E72D297353CC}">
              <c16:uniqueId val="{00000003-8740-4593-9AD0-ABB9F7880742}"/>
            </c:ext>
          </c:extLst>
        </c:ser>
        <c:dLbls>
          <c:showLegendKey val="0"/>
          <c:showVal val="0"/>
          <c:showCatName val="0"/>
          <c:showSerName val="0"/>
          <c:showPercent val="0"/>
          <c:showBubbleSize val="0"/>
        </c:dLbls>
        <c:gapWidth val="150"/>
        <c:overlap val="100"/>
        <c:axId val="1695897120"/>
        <c:axId val="1695898560"/>
        <c:extLst>
          <c:ext xmlns:c15="http://schemas.microsoft.com/office/drawing/2012/chart" uri="{02D57815-91ED-43cb-92C2-25804820EDAC}">
            <c15:filteredBarSeries>
              <c15:ser>
                <c:idx val="0"/>
                <c:order val="0"/>
                <c:tx>
                  <c:strRef>
                    <c:extLst>
                      <c:ext uri="{02D57815-91ED-43cb-92C2-25804820EDAC}">
                        <c15:formulaRef>
                          <c15:sqref>'Europe Figure 2'!$A$66</c15:sqref>
                        </c15:formulaRef>
                      </c:ext>
                    </c:extLst>
                    <c:strCache>
                      <c:ptCount val="1"/>
                    </c:strCache>
                  </c:strRef>
                </c:tx>
                <c:spPr>
                  <a:solidFill>
                    <a:schemeClr val="accent1"/>
                  </a:solidFill>
                  <a:ln>
                    <a:noFill/>
                  </a:ln>
                  <a:effectLst/>
                </c:spPr>
                <c:invertIfNegative val="0"/>
                <c:cat>
                  <c:numRef>
                    <c:extLst>
                      <c:ext uri="{02D57815-91ED-43cb-92C2-25804820EDAC}">
                        <c15:formulaRef>
                          <c15:sqref>'Europe Figure 2'!$B$66:$X$66</c15:sqref>
                        </c15:formulaRef>
                      </c:ext>
                    </c:extLst>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extLst>
                      <c:ext uri="{02D57815-91ED-43cb-92C2-25804820EDAC}">
                        <c15:formulaRef>
                          <c15:sqref>'Europe Figure 2'!$B$66:$X$66</c15:sqref>
                        </c15:formulaRef>
                      </c:ext>
                    </c:extLst>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val>
                <c:extLst>
                  <c:ext xmlns:c16="http://schemas.microsoft.com/office/drawing/2014/chart" uri="{C3380CC4-5D6E-409C-BE32-E72D297353CC}">
                    <c16:uniqueId val="{00000000-8740-4593-9AD0-ABB9F7880742}"/>
                  </c:ext>
                </c:extLst>
              </c15:ser>
            </c15:filteredBarSeries>
          </c:ext>
        </c:extLst>
      </c:barChart>
      <c:catAx>
        <c:axId val="169589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5898560"/>
        <c:crosses val="autoZero"/>
        <c:auto val="1"/>
        <c:lblAlgn val="ctr"/>
        <c:lblOffset val="100"/>
        <c:noMultiLvlLbl val="0"/>
      </c:catAx>
      <c:valAx>
        <c:axId val="1695898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589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2002-2024 (Europe)</a:t>
            </a:r>
          </a:p>
        </c:rich>
      </c:tx>
      <c:layout>
        <c:manualLayout>
          <c:xMode val="edge"/>
          <c:yMode val="edge"/>
          <c:x val="0.12484461181482749"/>
          <c:y val="2.2598870056497175E-2"/>
        </c:manualLayout>
      </c:layout>
      <c:overlay val="0"/>
    </c:title>
    <c:autoTitleDeleted val="0"/>
    <c:plotArea>
      <c:layout>
        <c:manualLayout>
          <c:xMode val="edge"/>
          <c:yMode val="edge"/>
          <c:x val="6.9166575784675111E-2"/>
          <c:y val="0.25974817221770924"/>
          <c:w val="0.90313259319039418"/>
          <c:h val="0.52364603388833098"/>
        </c:manualLayout>
      </c:layout>
      <c:barChart>
        <c:barDir val="col"/>
        <c:grouping val="clustered"/>
        <c:varyColors val="1"/>
        <c:ser>
          <c:idx val="0"/>
          <c:order val="0"/>
          <c:tx>
            <c:v>Abroad</c:v>
          </c:tx>
          <c:spPr>
            <a:solidFill>
              <a:srgbClr val="5B9BD5"/>
            </a:solidFill>
            <a:ln cmpd="sng">
              <a:solidFill>
                <a:srgbClr val="000000"/>
              </a:solidFill>
            </a:ln>
          </c:spPr>
          <c:invertIfNegative val="1"/>
          <c:cat>
            <c:numRef>
              <c:f>'Europe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'Europe Figure 4'!$B$64:$X$64</c:f>
              <c:numCache>
                <c:formatCode>General</c:formatCode>
                <c:ptCount val="23"/>
                <c:pt idx="0">
                  <c:v>13</c:v>
                </c:pt>
                <c:pt idx="1">
                  <c:v>17</c:v>
                </c:pt>
                <c:pt idx="2">
                  <c:v>19</c:v>
                </c:pt>
                <c:pt idx="3">
                  <c:v>27</c:v>
                </c:pt>
                <c:pt idx="4">
                  <c:v>20</c:v>
                </c:pt>
                <c:pt idx="5">
                  <c:v>16</c:v>
                </c:pt>
                <c:pt idx="6">
                  <c:v>13</c:v>
                </c:pt>
                <c:pt idx="7">
                  <c:v>35</c:v>
                </c:pt>
                <c:pt idx="8">
                  <c:v>27</c:v>
                </c:pt>
                <c:pt idx="9">
                  <c:v>11</c:v>
                </c:pt>
                <c:pt idx="10">
                  <c:v>2</c:v>
                </c:pt>
                <c:pt idx="11">
                  <c:v>7</c:v>
                </c:pt>
                <c:pt idx="12">
                  <c:v>7</c:v>
                </c:pt>
                <c:pt idx="13">
                  <c:v>9</c:v>
                </c:pt>
                <c:pt idx="14">
                  <c:v>4</c:v>
                </c:pt>
                <c:pt idx="15">
                  <c:v>5</c:v>
                </c:pt>
                <c:pt idx="16">
                  <c:v>2</c:v>
                </c:pt>
                <c:pt idx="17">
                  <c:v>2</c:v>
                </c:pt>
                <c:pt idx="18">
                  <c:v>0</c:v>
                </c:pt>
                <c:pt idx="19">
                  <c:v>4</c:v>
                </c:pt>
                <c:pt idx="20">
                  <c:v>0</c:v>
                </c:pt>
                <c:pt idx="21">
                  <c:v>3</c:v>
                </c:pt>
                <c:pt idx="22">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6F1-2A4E-A311-50D4D74AF7F4}"/>
            </c:ext>
          </c:extLst>
        </c:ser>
        <c:ser>
          <c:idx val="1"/>
          <c:order val="1"/>
          <c:tx>
            <c:v>Hosted</c:v>
          </c:tx>
          <c:spPr>
            <a:solidFill>
              <a:srgbClr val="ED7D31"/>
            </a:solidFill>
            <a:ln cmpd="sng">
              <a:solidFill>
                <a:srgbClr val="000000"/>
              </a:solidFill>
            </a:ln>
          </c:spPr>
          <c:invertIfNegative val="1"/>
          <c:cat>
            <c:numRef>
              <c:f>'Europe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'Europe Figure 4'!$B$65:$X$65</c:f>
              <c:numCache>
                <c:formatCode>General</c:formatCode>
                <c:ptCount val="23"/>
                <c:pt idx="0">
                  <c:v>18</c:v>
                </c:pt>
                <c:pt idx="1">
                  <c:v>14</c:v>
                </c:pt>
                <c:pt idx="2">
                  <c:v>18</c:v>
                </c:pt>
                <c:pt idx="3">
                  <c:v>25</c:v>
                </c:pt>
                <c:pt idx="4">
                  <c:v>10</c:v>
                </c:pt>
                <c:pt idx="5">
                  <c:v>15</c:v>
                </c:pt>
                <c:pt idx="6">
                  <c:v>18</c:v>
                </c:pt>
                <c:pt idx="7">
                  <c:v>10</c:v>
                </c:pt>
                <c:pt idx="8">
                  <c:v>22</c:v>
                </c:pt>
                <c:pt idx="9">
                  <c:v>19</c:v>
                </c:pt>
                <c:pt idx="10">
                  <c:v>22</c:v>
                </c:pt>
                <c:pt idx="11">
                  <c:v>14</c:v>
                </c:pt>
                <c:pt idx="12">
                  <c:v>21</c:v>
                </c:pt>
                <c:pt idx="13">
                  <c:v>18</c:v>
                </c:pt>
                <c:pt idx="14">
                  <c:v>9</c:v>
                </c:pt>
                <c:pt idx="15">
                  <c:v>13</c:v>
                </c:pt>
                <c:pt idx="16">
                  <c:v>9</c:v>
                </c:pt>
                <c:pt idx="17">
                  <c:v>7</c:v>
                </c:pt>
                <c:pt idx="18">
                  <c:v>0</c:v>
                </c:pt>
                <c:pt idx="19">
                  <c:v>0</c:v>
                </c:pt>
                <c:pt idx="20">
                  <c:v>0</c:v>
                </c:pt>
                <c:pt idx="21">
                  <c:v>2</c:v>
                </c:pt>
                <c:pt idx="22">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6F1-2A4E-A311-50D4D74AF7F4}"/>
            </c:ext>
          </c:extLst>
        </c:ser>
        <c:dLbls>
          <c:showLegendKey val="0"/>
          <c:showVal val="0"/>
          <c:showCatName val="0"/>
          <c:showSerName val="0"/>
          <c:showPercent val="0"/>
          <c:showBubbleSize val="0"/>
        </c:dLbls>
        <c:gapWidth val="150"/>
        <c:axId val="2098093805"/>
        <c:axId val="2045196677"/>
      </c:barChart>
      <c:catAx>
        <c:axId val="209809380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045196677"/>
        <c:crosses val="autoZero"/>
        <c:auto val="1"/>
        <c:lblAlgn val="ctr"/>
        <c:lblOffset val="100"/>
        <c:noMultiLvlLbl val="1"/>
      </c:catAx>
      <c:valAx>
        <c:axId val="204519667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09809380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2. Total PLA Military Diplomatic Interactions, 2002-2024 (NORTHCOM)</a:t>
            </a:r>
          </a:p>
        </c:rich>
      </c:tx>
      <c:overlay val="0"/>
    </c:title>
    <c:autoTitleDeleted val="0"/>
    <c:plotArea>
      <c:layout/>
      <c:barChart>
        <c:barDir val="col"/>
        <c:grouping val="stacked"/>
        <c:varyColors val="1"/>
        <c:ser>
          <c:idx val="0"/>
          <c:order val="0"/>
          <c:tx>
            <c:v>Senior Level Visits</c:v>
          </c:tx>
          <c:spPr>
            <a:solidFill>
              <a:srgbClr val="5B9BD5"/>
            </a:solidFill>
            <a:ln cmpd="sng">
              <a:solidFill>
                <a:srgbClr val="000000"/>
              </a:solidFill>
            </a:ln>
          </c:spPr>
          <c:invertIfNegative val="1"/>
          <c:cat>
            <c:numRef>
              <c:f>'NORTHCOM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'NORTHCOM Figure 2'!$B$61:$X$61</c:f>
              <c:numCache>
                <c:formatCode>General</c:formatCode>
                <c:ptCount val="23"/>
                <c:pt idx="0">
                  <c:v>9</c:v>
                </c:pt>
                <c:pt idx="1">
                  <c:v>7</c:v>
                </c:pt>
                <c:pt idx="2">
                  <c:v>6</c:v>
                </c:pt>
                <c:pt idx="3">
                  <c:v>7</c:v>
                </c:pt>
                <c:pt idx="4">
                  <c:v>6</c:v>
                </c:pt>
                <c:pt idx="5">
                  <c:v>10</c:v>
                </c:pt>
                <c:pt idx="6">
                  <c:v>9</c:v>
                </c:pt>
                <c:pt idx="7">
                  <c:v>5</c:v>
                </c:pt>
                <c:pt idx="8">
                  <c:v>5</c:v>
                </c:pt>
                <c:pt idx="9">
                  <c:v>8</c:v>
                </c:pt>
                <c:pt idx="10">
                  <c:v>7</c:v>
                </c:pt>
                <c:pt idx="11">
                  <c:v>8</c:v>
                </c:pt>
                <c:pt idx="12">
                  <c:v>10</c:v>
                </c:pt>
                <c:pt idx="13">
                  <c:v>7</c:v>
                </c:pt>
                <c:pt idx="14">
                  <c:v>7</c:v>
                </c:pt>
                <c:pt idx="15">
                  <c:v>4</c:v>
                </c:pt>
                <c:pt idx="16">
                  <c:v>5</c:v>
                </c:pt>
                <c:pt idx="17">
                  <c:v>4</c:v>
                </c:pt>
                <c:pt idx="18">
                  <c:v>4</c:v>
                </c:pt>
                <c:pt idx="19">
                  <c:v>1</c:v>
                </c:pt>
                <c:pt idx="20">
                  <c:v>4</c:v>
                </c:pt>
                <c:pt idx="21">
                  <c:v>1</c:v>
                </c:pt>
                <c:pt idx="22">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B3-F544-BF40-D4CA3A111CBF}"/>
            </c:ext>
          </c:extLst>
        </c:ser>
        <c:ser>
          <c:idx val="1"/>
          <c:order val="1"/>
          <c:tx>
            <c:v>Naval Port Calls</c:v>
          </c:tx>
          <c:spPr>
            <a:solidFill>
              <a:srgbClr val="ED7D31"/>
            </a:solidFill>
            <a:ln cmpd="sng">
              <a:solidFill>
                <a:srgbClr val="000000"/>
              </a:solidFill>
            </a:ln>
          </c:spPr>
          <c:invertIfNegative val="1"/>
          <c:cat>
            <c:numRef>
              <c:f>'NORTHCOM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'NORTHCOM Figure 2'!$B$60:$X$60</c:f>
              <c:numCache>
                <c:formatCode>General</c:formatCode>
                <c:ptCount val="23"/>
                <c:pt idx="0">
                  <c:v>0</c:v>
                </c:pt>
                <c:pt idx="1">
                  <c:v>1</c:v>
                </c:pt>
                <c:pt idx="2">
                  <c:v>0</c:v>
                </c:pt>
                <c:pt idx="3">
                  <c:v>0</c:v>
                </c:pt>
                <c:pt idx="4">
                  <c:v>2</c:v>
                </c:pt>
                <c:pt idx="5">
                  <c:v>0</c:v>
                </c:pt>
                <c:pt idx="6">
                  <c:v>0</c:v>
                </c:pt>
                <c:pt idx="7">
                  <c:v>0</c:v>
                </c:pt>
                <c:pt idx="8">
                  <c:v>0</c:v>
                </c:pt>
                <c:pt idx="9">
                  <c:v>0</c:v>
                </c:pt>
                <c:pt idx="10">
                  <c:v>0</c:v>
                </c:pt>
                <c:pt idx="11">
                  <c:v>1</c:v>
                </c:pt>
                <c:pt idx="12">
                  <c:v>0</c:v>
                </c:pt>
                <c:pt idx="13">
                  <c:v>5</c:v>
                </c:pt>
                <c:pt idx="14">
                  <c:v>1</c:v>
                </c:pt>
                <c:pt idx="15">
                  <c:v>0</c:v>
                </c:pt>
                <c:pt idx="16">
                  <c:v>0</c:v>
                </c:pt>
                <c:pt idx="17">
                  <c:v>0</c:v>
                </c:pt>
                <c:pt idx="18">
                  <c:v>0</c:v>
                </c:pt>
                <c:pt idx="19">
                  <c:v>0</c:v>
                </c:pt>
                <c:pt idx="20">
                  <c:v>0</c:v>
                </c:pt>
                <c:pt idx="21">
                  <c:v>0</c:v>
                </c:pt>
                <c:pt idx="2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8B3-F544-BF40-D4CA3A111CBF}"/>
            </c:ext>
          </c:extLst>
        </c:ser>
        <c:ser>
          <c:idx val="2"/>
          <c:order val="2"/>
          <c:tx>
            <c:v>Military Exercises</c:v>
          </c:tx>
          <c:spPr>
            <a:solidFill>
              <a:srgbClr val="A5A5A5"/>
            </a:solidFill>
            <a:ln cmpd="sng">
              <a:solidFill>
                <a:srgbClr val="000000"/>
              </a:solidFill>
            </a:ln>
          </c:spPr>
          <c:invertIfNegative val="1"/>
          <c:cat>
            <c:numRef>
              <c:f>'NORTHCOM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'NORTHCOM Figure 2'!$B$59:$X$59</c:f>
              <c:numCache>
                <c:formatCode>General</c:formatCode>
                <c:ptCount val="23"/>
                <c:pt idx="0">
                  <c:v>0</c:v>
                </c:pt>
                <c:pt idx="1">
                  <c:v>0</c:v>
                </c:pt>
                <c:pt idx="2">
                  <c:v>0</c:v>
                </c:pt>
                <c:pt idx="3">
                  <c:v>1</c:v>
                </c:pt>
                <c:pt idx="4">
                  <c:v>1</c:v>
                </c:pt>
                <c:pt idx="5">
                  <c:v>0</c:v>
                </c:pt>
                <c:pt idx="6">
                  <c:v>0</c:v>
                </c:pt>
                <c:pt idx="7">
                  <c:v>0</c:v>
                </c:pt>
                <c:pt idx="8">
                  <c:v>0</c:v>
                </c:pt>
                <c:pt idx="9">
                  <c:v>0</c:v>
                </c:pt>
                <c:pt idx="10">
                  <c:v>1</c:v>
                </c:pt>
                <c:pt idx="11">
                  <c:v>2</c:v>
                </c:pt>
                <c:pt idx="12">
                  <c:v>2</c:v>
                </c:pt>
                <c:pt idx="13">
                  <c:v>4</c:v>
                </c:pt>
                <c:pt idx="14">
                  <c:v>2</c:v>
                </c:pt>
                <c:pt idx="15">
                  <c:v>3</c:v>
                </c:pt>
                <c:pt idx="16">
                  <c:v>1</c:v>
                </c:pt>
                <c:pt idx="17">
                  <c:v>1</c:v>
                </c:pt>
                <c:pt idx="18">
                  <c:v>1</c:v>
                </c:pt>
                <c:pt idx="19">
                  <c:v>0</c:v>
                </c:pt>
                <c:pt idx="20">
                  <c:v>0</c:v>
                </c:pt>
                <c:pt idx="21">
                  <c:v>0</c:v>
                </c:pt>
                <c:pt idx="2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8B3-F544-BF40-D4CA3A111CBF}"/>
            </c:ext>
          </c:extLst>
        </c:ser>
        <c:dLbls>
          <c:showLegendKey val="0"/>
          <c:showVal val="0"/>
          <c:showCatName val="0"/>
          <c:showSerName val="0"/>
          <c:showPercent val="0"/>
          <c:showBubbleSize val="0"/>
        </c:dLbls>
        <c:gapWidth val="150"/>
        <c:overlap val="100"/>
        <c:axId val="226721723"/>
        <c:axId val="1711689929"/>
      </c:barChart>
      <c:catAx>
        <c:axId val="22672172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711689929"/>
        <c:crosses val="autoZero"/>
        <c:auto val="1"/>
        <c:lblAlgn val="ctr"/>
        <c:lblOffset val="100"/>
        <c:noMultiLvlLbl val="1"/>
      </c:catAx>
      <c:valAx>
        <c:axId val="171168992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2672172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2002-2024 (NORTHCOM)</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'NORTHCOM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'NORTHCOM Figure 4'!$B$64:$X$64</c:f>
              <c:numCache>
                <c:formatCode>General</c:formatCode>
                <c:ptCount val="23"/>
                <c:pt idx="0">
                  <c:v>2</c:v>
                </c:pt>
                <c:pt idx="1">
                  <c:v>6</c:v>
                </c:pt>
                <c:pt idx="2">
                  <c:v>3</c:v>
                </c:pt>
                <c:pt idx="3">
                  <c:v>3</c:v>
                </c:pt>
                <c:pt idx="4">
                  <c:v>3</c:v>
                </c:pt>
                <c:pt idx="5">
                  <c:v>6</c:v>
                </c:pt>
                <c:pt idx="6">
                  <c:v>5</c:v>
                </c:pt>
                <c:pt idx="7">
                  <c:v>2</c:v>
                </c:pt>
                <c:pt idx="8">
                  <c:v>3</c:v>
                </c:pt>
                <c:pt idx="9">
                  <c:v>4</c:v>
                </c:pt>
                <c:pt idx="10">
                  <c:v>3</c:v>
                </c:pt>
                <c:pt idx="11">
                  <c:v>4</c:v>
                </c:pt>
                <c:pt idx="12">
                  <c:v>5</c:v>
                </c:pt>
                <c:pt idx="13">
                  <c:v>5</c:v>
                </c:pt>
                <c:pt idx="14">
                  <c:v>3</c:v>
                </c:pt>
                <c:pt idx="15">
                  <c:v>2</c:v>
                </c:pt>
                <c:pt idx="16">
                  <c:v>2</c:v>
                </c:pt>
                <c:pt idx="17">
                  <c:v>2</c:v>
                </c:pt>
                <c:pt idx="18">
                  <c:v>0</c:v>
                </c:pt>
                <c:pt idx="19">
                  <c:v>0</c:v>
                </c:pt>
                <c:pt idx="20">
                  <c:v>2</c:v>
                </c:pt>
                <c:pt idx="21">
                  <c:v>0</c:v>
                </c:pt>
                <c:pt idx="22">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C97-AD4B-A8B4-B9AC8AC97789}"/>
            </c:ext>
          </c:extLst>
        </c:ser>
        <c:ser>
          <c:idx val="1"/>
          <c:order val="1"/>
          <c:tx>
            <c:v>Hosted</c:v>
          </c:tx>
          <c:spPr>
            <a:solidFill>
              <a:srgbClr val="ED7D31"/>
            </a:solidFill>
            <a:ln cmpd="sng">
              <a:solidFill>
                <a:srgbClr val="000000"/>
              </a:solidFill>
            </a:ln>
          </c:spPr>
          <c:invertIfNegative val="1"/>
          <c:cat>
            <c:numRef>
              <c:f>'NORTHCOM Figure 4'!$B$63:$X$63</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'NORTHCOM Figure 4'!$B$65:$X$65</c:f>
              <c:numCache>
                <c:formatCode>General</c:formatCode>
                <c:ptCount val="23"/>
                <c:pt idx="0">
                  <c:v>7</c:v>
                </c:pt>
                <c:pt idx="1">
                  <c:v>1</c:v>
                </c:pt>
                <c:pt idx="2">
                  <c:v>3</c:v>
                </c:pt>
                <c:pt idx="3">
                  <c:v>4</c:v>
                </c:pt>
                <c:pt idx="4">
                  <c:v>3</c:v>
                </c:pt>
                <c:pt idx="5">
                  <c:v>4</c:v>
                </c:pt>
                <c:pt idx="6">
                  <c:v>4</c:v>
                </c:pt>
                <c:pt idx="7">
                  <c:v>3</c:v>
                </c:pt>
                <c:pt idx="8">
                  <c:v>2</c:v>
                </c:pt>
                <c:pt idx="9">
                  <c:v>4</c:v>
                </c:pt>
                <c:pt idx="10">
                  <c:v>4</c:v>
                </c:pt>
                <c:pt idx="11">
                  <c:v>4</c:v>
                </c:pt>
                <c:pt idx="12">
                  <c:v>5</c:v>
                </c:pt>
                <c:pt idx="13">
                  <c:v>2</c:v>
                </c:pt>
                <c:pt idx="14">
                  <c:v>4</c:v>
                </c:pt>
                <c:pt idx="15">
                  <c:v>2</c:v>
                </c:pt>
                <c:pt idx="16">
                  <c:v>3</c:v>
                </c:pt>
                <c:pt idx="17">
                  <c:v>2</c:v>
                </c:pt>
                <c:pt idx="18">
                  <c:v>0</c:v>
                </c:pt>
                <c:pt idx="19">
                  <c:v>0</c:v>
                </c:pt>
                <c:pt idx="20">
                  <c:v>0</c:v>
                </c:pt>
                <c:pt idx="21">
                  <c:v>0</c:v>
                </c:pt>
                <c:pt idx="2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C97-AD4B-A8B4-B9AC8AC97789}"/>
            </c:ext>
          </c:extLst>
        </c:ser>
        <c:dLbls>
          <c:showLegendKey val="0"/>
          <c:showVal val="0"/>
          <c:showCatName val="0"/>
          <c:showSerName val="0"/>
          <c:showPercent val="0"/>
          <c:showBubbleSize val="0"/>
        </c:dLbls>
        <c:gapWidth val="150"/>
        <c:axId val="968421574"/>
        <c:axId val="1471909495"/>
      </c:barChart>
      <c:catAx>
        <c:axId val="96842157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471909495"/>
        <c:crosses val="autoZero"/>
        <c:auto val="1"/>
        <c:lblAlgn val="ctr"/>
        <c:lblOffset val="100"/>
        <c:noMultiLvlLbl val="1"/>
      </c:catAx>
      <c:valAx>
        <c:axId val="147190949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96842157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2002-2024 (NORTHCOM &amp; Global)</a:t>
            </a:r>
          </a:p>
        </c:rich>
      </c:tx>
      <c:layout>
        <c:manualLayout>
          <c:xMode val="edge"/>
          <c:yMode val="edge"/>
          <c:x val="0.14629168665744738"/>
          <c:y val="4.283941780004772E-2"/>
        </c:manualLayout>
      </c:layout>
      <c:overlay val="0"/>
    </c:title>
    <c:autoTitleDeleted val="0"/>
    <c:plotArea>
      <c:layout/>
      <c:barChart>
        <c:barDir val="col"/>
        <c:grouping val="clustered"/>
        <c:varyColors val="1"/>
        <c:ser>
          <c:idx val="0"/>
          <c:order val="0"/>
          <c:tx>
            <c:v>NORTHCOM</c:v>
          </c:tx>
          <c:spPr>
            <a:solidFill>
              <a:srgbClr val="5B9BD5"/>
            </a:solidFill>
            <a:ln cmpd="sng">
              <a:solidFill>
                <a:srgbClr val="000000"/>
              </a:solidFill>
            </a:ln>
          </c:spPr>
          <c:invertIfNegative val="1"/>
          <c:cat>
            <c:numRef>
              <c:f>'NORTHCOM Figure 5'!$B$61:$X$61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'NORTHCOM Figure 5'!$B$65:$X$65</c:f>
              <c:numCache>
                <c:formatCode>General</c:formatCode>
                <c:ptCount val="23"/>
                <c:pt idx="0">
                  <c:v>0</c:v>
                </c:pt>
                <c:pt idx="1">
                  <c:v>1</c:v>
                </c:pt>
                <c:pt idx="2">
                  <c:v>1</c:v>
                </c:pt>
                <c:pt idx="3">
                  <c:v>2</c:v>
                </c:pt>
                <c:pt idx="4">
                  <c:v>0</c:v>
                </c:pt>
                <c:pt idx="5">
                  <c:v>4</c:v>
                </c:pt>
                <c:pt idx="6">
                  <c:v>2</c:v>
                </c:pt>
                <c:pt idx="7">
                  <c:v>2</c:v>
                </c:pt>
                <c:pt idx="8">
                  <c:v>5</c:v>
                </c:pt>
                <c:pt idx="9">
                  <c:v>3</c:v>
                </c:pt>
                <c:pt idx="10">
                  <c:v>5</c:v>
                </c:pt>
                <c:pt idx="11">
                  <c:v>6</c:v>
                </c:pt>
                <c:pt idx="12">
                  <c:v>11</c:v>
                </c:pt>
                <c:pt idx="13">
                  <c:v>18</c:v>
                </c:pt>
                <c:pt idx="14">
                  <c:v>18</c:v>
                </c:pt>
                <c:pt idx="15">
                  <c:v>23</c:v>
                </c:pt>
                <c:pt idx="16">
                  <c:v>19</c:v>
                </c:pt>
                <c:pt idx="17">
                  <c:v>19</c:v>
                </c:pt>
                <c:pt idx="18">
                  <c:v>3</c:v>
                </c:pt>
                <c:pt idx="19">
                  <c:v>5</c:v>
                </c:pt>
                <c:pt idx="20">
                  <c:v>2</c:v>
                </c:pt>
                <c:pt idx="21">
                  <c:v>13</c:v>
                </c:pt>
                <c:pt idx="22">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6DF-3A4A-871A-5D30A78A7089}"/>
            </c:ext>
          </c:extLst>
        </c:ser>
        <c:ser>
          <c:idx val="1"/>
          <c:order val="1"/>
          <c:tx>
            <c:v>Global</c:v>
          </c:tx>
          <c:spPr>
            <a:solidFill>
              <a:srgbClr val="ED7D31"/>
            </a:solidFill>
            <a:ln cmpd="sng">
              <a:solidFill>
                <a:srgbClr val="000000"/>
              </a:solidFill>
            </a:ln>
          </c:spPr>
          <c:invertIfNegative val="1"/>
          <c:cat>
            <c:numRef>
              <c:f>'NORTHCOM Figure 5'!$B$61:$X$61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'NORTHCOM Figure 5'!$B$68:$X$68</c:f>
              <c:numCache>
                <c:formatCode>General</c:formatCode>
                <c:ptCount val="23"/>
                <c:pt idx="0">
                  <c:v>1</c:v>
                </c:pt>
                <c:pt idx="1">
                  <c:v>3</c:v>
                </c:pt>
                <c:pt idx="2">
                  <c:v>4</c:v>
                </c:pt>
                <c:pt idx="3">
                  <c:v>5</c:v>
                </c:pt>
                <c:pt idx="4">
                  <c:v>5</c:v>
                </c:pt>
                <c:pt idx="5">
                  <c:v>8</c:v>
                </c:pt>
                <c:pt idx="6">
                  <c:v>2</c:v>
                </c:pt>
                <c:pt idx="7">
                  <c:v>9</c:v>
                </c:pt>
                <c:pt idx="8">
                  <c:v>13</c:v>
                </c:pt>
                <c:pt idx="9">
                  <c:v>10</c:v>
                </c:pt>
                <c:pt idx="10">
                  <c:v>12</c:v>
                </c:pt>
                <c:pt idx="11">
                  <c:v>15</c:v>
                </c:pt>
                <c:pt idx="12">
                  <c:v>26</c:v>
                </c:pt>
                <c:pt idx="13">
                  <c:v>44</c:v>
                </c:pt>
                <c:pt idx="14">
                  <c:v>38</c:v>
                </c:pt>
                <c:pt idx="15">
                  <c:v>50</c:v>
                </c:pt>
                <c:pt idx="16">
                  <c:v>39</c:v>
                </c:pt>
                <c:pt idx="17">
                  <c:v>42</c:v>
                </c:pt>
                <c:pt idx="18">
                  <c:v>9</c:v>
                </c:pt>
                <c:pt idx="19">
                  <c:v>14</c:v>
                </c:pt>
                <c:pt idx="20">
                  <c:v>10</c:v>
                </c:pt>
                <c:pt idx="21">
                  <c:v>24</c:v>
                </c:pt>
                <c:pt idx="22">
                  <c:v>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6DF-3A4A-871A-5D30A78A7089}"/>
            </c:ext>
          </c:extLst>
        </c:ser>
        <c:dLbls>
          <c:showLegendKey val="0"/>
          <c:showVal val="0"/>
          <c:showCatName val="0"/>
          <c:showSerName val="0"/>
          <c:showPercent val="0"/>
          <c:showBubbleSize val="0"/>
        </c:dLbls>
        <c:gapWidth val="150"/>
        <c:axId val="149376800"/>
        <c:axId val="614934249"/>
      </c:barChart>
      <c:catAx>
        <c:axId val="14937680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14934249"/>
        <c:crosses val="autoZero"/>
        <c:auto val="1"/>
        <c:lblAlgn val="ctr"/>
        <c:lblOffset val="100"/>
        <c:noMultiLvlLbl val="1"/>
      </c:catAx>
      <c:valAx>
        <c:axId val="61493424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4937680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7. Total PLA Naval Port Calls by US COCOM AOR, 1985-2024</a:t>
            </a:r>
          </a:p>
        </c:rich>
      </c:tx>
      <c:overlay val="0"/>
    </c:title>
    <c:autoTitleDeleted val="0"/>
    <c:plotArea>
      <c:layout>
        <c:manualLayout>
          <c:xMode val="edge"/>
          <c:yMode val="edge"/>
          <c:x val="8.5887557766935574E-2"/>
          <c:y val="0.29279069767441862"/>
          <c:w val="0.88855007004492537"/>
          <c:h val="0.48826332173594578"/>
        </c:manualLayout>
      </c:layout>
      <c:barChart>
        <c:barDir val="col"/>
        <c:grouping val="stacked"/>
        <c:varyColors val="1"/>
        <c:ser>
          <c:idx val="0"/>
          <c:order val="0"/>
          <c:tx>
            <c:strRef>
              <c:f>'CCMD Figure 7'!$B$33</c:f>
              <c:strCache>
                <c:ptCount val="1"/>
                <c:pt idx="0">
                  <c:v>ETF Port Calls</c:v>
                </c:pt>
              </c:strCache>
            </c:strRef>
          </c:tx>
          <c:spPr>
            <a:solidFill>
              <a:srgbClr val="5B9BD5"/>
            </a:solidFill>
            <a:ln cmpd="sng">
              <a:solidFill>
                <a:srgbClr val="000000"/>
              </a:solidFill>
            </a:ln>
          </c:spPr>
          <c:invertIfNegative val="1"/>
          <c:cat>
            <c:strRef>
              <c:f>'CCMD Figure 7'!$A$34:$A$39</c:f>
              <c:strCache>
                <c:ptCount val="6"/>
                <c:pt idx="0">
                  <c:v>AFRICOM</c:v>
                </c:pt>
                <c:pt idx="1">
                  <c:v>CENTCOM</c:v>
                </c:pt>
                <c:pt idx="2">
                  <c:v>EUCOM</c:v>
                </c:pt>
                <c:pt idx="3">
                  <c:v>NORTHCOM</c:v>
                </c:pt>
                <c:pt idx="4">
                  <c:v>INDOPACOM</c:v>
                </c:pt>
                <c:pt idx="5">
                  <c:v>SOUTHCOM</c:v>
                </c:pt>
              </c:strCache>
            </c:strRef>
          </c:cat>
          <c:val>
            <c:numRef>
              <c:f>'CCMD Figure 7'!$B$34:$B$39</c:f>
              <c:numCache>
                <c:formatCode>_(* #,##0_);_(* \(#,##0\);_(* "-"_);_(@_)</c:formatCode>
                <c:ptCount val="6"/>
                <c:pt idx="0">
                  <c:v>45</c:v>
                </c:pt>
                <c:pt idx="1">
                  <c:v>98</c:v>
                </c:pt>
                <c:pt idx="2">
                  <c:v>38</c:v>
                </c:pt>
                <c:pt idx="3">
                  <c:v>2</c:v>
                </c:pt>
                <c:pt idx="4">
                  <c:v>51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27-9A48-8E3B-1F16B7B022D2}"/>
            </c:ext>
          </c:extLst>
        </c:ser>
        <c:ser>
          <c:idx val="1"/>
          <c:order val="1"/>
          <c:tx>
            <c:strRef>
              <c:f>'CCMD Figure 7'!$C$33</c:f>
              <c:strCache>
                <c:ptCount val="1"/>
                <c:pt idx="0">
                  <c:v>Non-ETF</c:v>
                </c:pt>
              </c:strCache>
            </c:strRef>
          </c:tx>
          <c:spPr>
            <a:solidFill>
              <a:srgbClr val="ED7D31"/>
            </a:solidFill>
            <a:ln cmpd="sng">
              <a:solidFill>
                <a:srgbClr val="000000"/>
              </a:solidFill>
            </a:ln>
          </c:spPr>
          <c:invertIfNegative val="1"/>
          <c:cat>
            <c:strRef>
              <c:f>'CCMD Figure 7'!$A$34:$A$39</c:f>
              <c:strCache>
                <c:ptCount val="6"/>
                <c:pt idx="0">
                  <c:v>AFRICOM</c:v>
                </c:pt>
                <c:pt idx="1">
                  <c:v>CENTCOM</c:v>
                </c:pt>
                <c:pt idx="2">
                  <c:v>EUCOM</c:v>
                </c:pt>
                <c:pt idx="3">
                  <c:v>NORTHCOM</c:v>
                </c:pt>
                <c:pt idx="4">
                  <c:v>INDOPACOM</c:v>
                </c:pt>
                <c:pt idx="5">
                  <c:v>SOUTHCOM</c:v>
                </c:pt>
              </c:strCache>
            </c:strRef>
          </c:cat>
          <c:val>
            <c:numRef>
              <c:f>'CCMD Figure 7'!$C$34:$C$39</c:f>
              <c:numCache>
                <c:formatCode>_(* #,##0_);_(* \(#,##0\);_(* "-"_);_(@_)</c:formatCode>
                <c:ptCount val="6"/>
                <c:pt idx="0">
                  <c:v>28</c:v>
                </c:pt>
                <c:pt idx="1">
                  <c:v>14</c:v>
                </c:pt>
                <c:pt idx="2">
                  <c:v>27</c:v>
                </c:pt>
                <c:pt idx="3">
                  <c:v>12</c:v>
                </c:pt>
                <c:pt idx="4">
                  <c:v>124</c:v>
                </c:pt>
                <c:pt idx="5">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427-9A48-8E3B-1F16B7B022D2}"/>
            </c:ext>
          </c:extLst>
        </c:ser>
        <c:dLbls>
          <c:showLegendKey val="0"/>
          <c:showVal val="0"/>
          <c:showCatName val="0"/>
          <c:showSerName val="0"/>
          <c:showPercent val="0"/>
          <c:showBubbleSize val="0"/>
        </c:dLbls>
        <c:gapWidth val="150"/>
        <c:overlap val="100"/>
        <c:axId val="1074142188"/>
        <c:axId val="365282372"/>
        <c:extLst>
          <c:ext xmlns:c15="http://schemas.microsoft.com/office/drawing/2012/chart" uri="{02D57815-91ED-43cb-92C2-25804820EDAC}">
            <c15:filteredBarSeries>
              <c15:ser>
                <c:idx val="2"/>
                <c:order val="2"/>
                <c:tx>
                  <c:strRef>
                    <c:extLst>
                      <c:ext uri="{02D57815-91ED-43cb-92C2-25804820EDAC}">
                        <c15:formulaRef>
                          <c15:sqref>'CCMD Figure 7'!$D$33</c15:sqref>
                        </c15:formulaRef>
                      </c:ext>
                    </c:extLst>
                    <c:strCache>
                      <c:ptCount val="1"/>
                      <c:pt idx="0">
                        <c:v>TOTAL</c:v>
                      </c:pt>
                    </c:strCache>
                  </c:strRef>
                </c:tx>
                <c:invertIfNegative val="0"/>
                <c:cat>
                  <c:strRef>
                    <c:extLst>
                      <c:ext uri="{02D57815-91ED-43cb-92C2-25804820EDAC}">
                        <c15:formulaRef>
                          <c15:sqref>'CCMD Figure 7'!$A$34:$A$39</c15:sqref>
                        </c15:formulaRef>
                      </c:ext>
                    </c:extLst>
                    <c:strCache>
                      <c:ptCount val="6"/>
                      <c:pt idx="0">
                        <c:v>AFRICOM</c:v>
                      </c:pt>
                      <c:pt idx="1">
                        <c:v>CENTCOM</c:v>
                      </c:pt>
                      <c:pt idx="2">
                        <c:v>EUCOM</c:v>
                      </c:pt>
                      <c:pt idx="3">
                        <c:v>NORTHCOM</c:v>
                      </c:pt>
                      <c:pt idx="4">
                        <c:v>INDOPACOM</c:v>
                      </c:pt>
                      <c:pt idx="5">
                        <c:v>SOUTHCOM</c:v>
                      </c:pt>
                    </c:strCache>
                  </c:strRef>
                </c:cat>
                <c:val>
                  <c:numRef>
                    <c:extLst>
                      <c:ext uri="{02D57815-91ED-43cb-92C2-25804820EDAC}">
                        <c15:formulaRef>
                          <c15:sqref>'CCMD Figure 7'!$D$34:$D$39</c15:sqref>
                        </c15:formulaRef>
                      </c:ext>
                    </c:extLst>
                    <c:numCache>
                      <c:formatCode>_(* #,##0_);_(* \(#,##0\);_(* "-"_);_(@_)</c:formatCode>
                      <c:ptCount val="6"/>
                      <c:pt idx="0">
                        <c:v>73</c:v>
                      </c:pt>
                      <c:pt idx="1">
                        <c:v>112</c:v>
                      </c:pt>
                      <c:pt idx="2">
                        <c:v>65</c:v>
                      </c:pt>
                      <c:pt idx="3">
                        <c:v>14</c:v>
                      </c:pt>
                      <c:pt idx="4">
                        <c:v>175</c:v>
                      </c:pt>
                      <c:pt idx="5">
                        <c:v>26</c:v>
                      </c:pt>
                    </c:numCache>
                  </c:numRef>
                </c:val>
                <c:extLst>
                  <c:ext xmlns:c16="http://schemas.microsoft.com/office/drawing/2014/chart" uri="{C3380CC4-5D6E-409C-BE32-E72D297353CC}">
                    <c16:uniqueId val="{00000000-4C9D-421E-9AC2-9BD4F19270E2}"/>
                  </c:ext>
                </c:extLst>
              </c15:ser>
            </c15:filteredBarSeries>
          </c:ext>
        </c:extLst>
      </c:barChart>
      <c:catAx>
        <c:axId val="107414218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365282372"/>
        <c:crosses val="autoZero"/>
        <c:auto val="1"/>
        <c:lblAlgn val="ctr"/>
        <c:lblOffset val="100"/>
        <c:noMultiLvlLbl val="1"/>
      </c:catAx>
      <c:valAx>
        <c:axId val="3652823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 #,##0_);_(* \(#,##0\);_(* &quot;-&quot;_);_(@_)" sourceLinked="0"/>
        <c:majorTickMark val="none"/>
        <c:minorTickMark val="none"/>
        <c:tickLblPos val="nextTo"/>
        <c:spPr>
          <a:ln/>
        </c:spPr>
        <c:txPr>
          <a:bodyPr/>
          <a:lstStyle/>
          <a:p>
            <a:pPr lvl="0">
              <a:defRPr sz="900" b="0" i="0">
                <a:solidFill>
                  <a:srgbClr val="000000"/>
                </a:solidFill>
                <a:latin typeface="+mn-lt"/>
              </a:defRPr>
            </a:pPr>
            <a:endParaRPr lang="en-US"/>
          </a:p>
        </c:txPr>
        <c:crossAx val="107414218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6. PLA International Military Exercises by Function, 2002-2024 (NORTHCOM &amp; Global)</a:t>
            </a:r>
          </a:p>
        </c:rich>
      </c:tx>
      <c:overlay val="0"/>
    </c:title>
    <c:autoTitleDeleted val="0"/>
    <c:plotArea>
      <c:layout/>
      <c:barChart>
        <c:barDir val="col"/>
        <c:grouping val="clustered"/>
        <c:varyColors val="1"/>
        <c:ser>
          <c:idx val="0"/>
          <c:order val="0"/>
          <c:tx>
            <c:v>NORTHCOM</c:v>
          </c:tx>
          <c:spPr>
            <a:solidFill>
              <a:srgbClr val="5B9BD5"/>
            </a:solidFill>
            <a:ln cmpd="sng">
              <a:solidFill>
                <a:srgbClr val="000000"/>
              </a:solidFill>
            </a:ln>
          </c:spPr>
          <c:invertIfNegative val="1"/>
          <c:cat>
            <c:strRef>
              <c:f>'NORTHCOM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'NORTHCOM Figure 6'!$B$71:$I$71</c:f>
              <c:numCache>
                <c:formatCode>General</c:formatCode>
                <c:ptCount val="8"/>
                <c:pt idx="0">
                  <c:v>4</c:v>
                </c:pt>
                <c:pt idx="1">
                  <c:v>37</c:v>
                </c:pt>
                <c:pt idx="2">
                  <c:v>12</c:v>
                </c:pt>
                <c:pt idx="3">
                  <c:v>8</c:v>
                </c:pt>
                <c:pt idx="4">
                  <c:v>1</c:v>
                </c:pt>
                <c:pt idx="5">
                  <c:v>87</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332-B249-AE3B-1B783E505A91}"/>
            </c:ext>
          </c:extLst>
        </c:ser>
        <c:ser>
          <c:idx val="1"/>
          <c:order val="1"/>
          <c:tx>
            <c:v>Global</c:v>
          </c:tx>
          <c:spPr>
            <a:solidFill>
              <a:srgbClr val="ED7D31"/>
            </a:solidFill>
            <a:ln cmpd="sng">
              <a:solidFill>
                <a:srgbClr val="000000"/>
              </a:solidFill>
            </a:ln>
          </c:spPr>
          <c:invertIfNegative val="1"/>
          <c:cat>
            <c:strRef>
              <c:f>'NORTHCOM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'NORTHCOM Figure 6'!$B$74:$I$74</c:f>
              <c:numCache>
                <c:formatCode>General</c:formatCode>
                <c:ptCount val="8"/>
                <c:pt idx="0">
                  <c:v>22</c:v>
                </c:pt>
                <c:pt idx="1">
                  <c:v>86</c:v>
                </c:pt>
                <c:pt idx="2">
                  <c:v>60</c:v>
                </c:pt>
                <c:pt idx="3">
                  <c:v>12</c:v>
                </c:pt>
                <c:pt idx="4">
                  <c:v>15</c:v>
                </c:pt>
                <c:pt idx="5">
                  <c:v>155</c:v>
                </c:pt>
                <c:pt idx="6">
                  <c:v>7</c:v>
                </c:pt>
                <c:pt idx="7">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332-B249-AE3B-1B783E505A91}"/>
            </c:ext>
          </c:extLst>
        </c:ser>
        <c:dLbls>
          <c:showLegendKey val="0"/>
          <c:showVal val="0"/>
          <c:showCatName val="0"/>
          <c:showSerName val="0"/>
          <c:showPercent val="0"/>
          <c:showBubbleSize val="0"/>
        </c:dLbls>
        <c:gapWidth val="150"/>
        <c:axId val="762931830"/>
        <c:axId val="714807593"/>
      </c:barChart>
      <c:catAx>
        <c:axId val="76293183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14807593"/>
        <c:crosses val="autoZero"/>
        <c:auto val="1"/>
        <c:lblAlgn val="ctr"/>
        <c:lblOffset val="100"/>
        <c:noMultiLvlLbl val="1"/>
      </c:catAx>
      <c:valAx>
        <c:axId val="71480759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76293183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000000"/>
                </a:solidFill>
                <a:latin typeface="+mn-lt"/>
              </a:defRPr>
            </a:pPr>
            <a:r>
              <a:rPr lang="en-US" sz="1400" b="0" i="0">
                <a:solidFill>
                  <a:srgbClr val="000000"/>
                </a:solidFill>
                <a:latin typeface="+mn-lt"/>
              </a:rPr>
              <a:t>Figure 2. Total Military Diplomatic Interactions by Activity, 2020 through 2024
</a:t>
            </a:r>
          </a:p>
        </c:rich>
      </c:tx>
      <c:overlay val="0"/>
    </c:title>
    <c:autoTitleDeleted val="0"/>
    <c:plotArea>
      <c:layout/>
      <c:barChart>
        <c:barDir val="col"/>
        <c:grouping val="clustered"/>
        <c:varyColors val="1"/>
        <c:ser>
          <c:idx val="0"/>
          <c:order val="0"/>
          <c:tx>
            <c:v>Total</c:v>
          </c:tx>
          <c:spPr>
            <a:solidFill>
              <a:srgbClr val="5B9BD5"/>
            </a:solidFill>
            <a:ln cmpd="sng">
              <a:solidFill>
                <a:srgbClr val="000000"/>
              </a:solidFill>
            </a:ln>
          </c:spPr>
          <c:invertIfNegative val="1"/>
          <c:cat>
            <c:strRef>
              <c:f>'Figure 1-2'!$A$60:$A$62</c:f>
              <c:strCache>
                <c:ptCount val="3"/>
                <c:pt idx="0">
                  <c:v>Military Exercise</c:v>
                </c:pt>
                <c:pt idx="1">
                  <c:v>Naval Port Call</c:v>
                </c:pt>
                <c:pt idx="2">
                  <c:v>Senior Level Visit</c:v>
                </c:pt>
              </c:strCache>
            </c:strRef>
          </c:cat>
          <c:val>
            <c:numRef>
              <c:f>'Figure 1-2'!$B$60:$B$62</c:f>
              <c:numCache>
                <c:formatCode>General</c:formatCode>
                <c:ptCount val="3"/>
                <c:pt idx="0">
                  <c:v>86</c:v>
                </c:pt>
                <c:pt idx="1">
                  <c:v>63</c:v>
                </c:pt>
                <c:pt idx="2">
                  <c:v>260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76-E543-957C-05A299CB3070}"/>
            </c:ext>
          </c:extLst>
        </c:ser>
        <c:dLbls>
          <c:showLegendKey val="0"/>
          <c:showVal val="0"/>
          <c:showCatName val="0"/>
          <c:showSerName val="0"/>
          <c:showPercent val="0"/>
          <c:showBubbleSize val="0"/>
        </c:dLbls>
        <c:gapWidth val="150"/>
        <c:axId val="783094896"/>
        <c:axId val="1511615863"/>
      </c:barChart>
      <c:catAx>
        <c:axId val="78309489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11615863"/>
        <c:crosses val="autoZero"/>
        <c:auto val="1"/>
        <c:lblAlgn val="ctr"/>
        <c:lblOffset val="100"/>
        <c:noMultiLvlLbl val="1"/>
      </c:catAx>
      <c:valAx>
        <c:axId val="151161586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783094896"/>
        <c:crosses val="autoZero"/>
        <c:crossBetween val="between"/>
      </c:valAx>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 1. Military Diplomatic Interactions, 2002-2024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'Figure 1-2'!$A$37</c:f>
              <c:strCache>
                <c:ptCount val="1"/>
                <c:pt idx="0">
                  <c:v>Military Exercise</c:v>
                </c:pt>
              </c:strCache>
            </c:strRef>
          </c:tx>
          <c:spPr>
            <a:solidFill>
              <a:schemeClr val="accent1"/>
            </a:solidFill>
            <a:ln>
              <a:noFill/>
            </a:ln>
            <a:effectLst/>
          </c:spPr>
          <c:invertIfNegative val="0"/>
          <c:cat>
            <c:numRef>
              <c:f>'Figure 1-2'!$B$36:$X$36</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1-2'!$B$37:$X$37</c:f>
              <c:numCache>
                <c:formatCode>General</c:formatCode>
                <c:ptCount val="23"/>
                <c:pt idx="0">
                  <c:v>1</c:v>
                </c:pt>
                <c:pt idx="1">
                  <c:v>3</c:v>
                </c:pt>
                <c:pt idx="2">
                  <c:v>4</c:v>
                </c:pt>
                <c:pt idx="3">
                  <c:v>5</c:v>
                </c:pt>
                <c:pt idx="4">
                  <c:v>5</c:v>
                </c:pt>
                <c:pt idx="5">
                  <c:v>8</c:v>
                </c:pt>
                <c:pt idx="6">
                  <c:v>2</c:v>
                </c:pt>
                <c:pt idx="7">
                  <c:v>9</c:v>
                </c:pt>
                <c:pt idx="8">
                  <c:v>13</c:v>
                </c:pt>
                <c:pt idx="9">
                  <c:v>10</c:v>
                </c:pt>
                <c:pt idx="10">
                  <c:v>12</c:v>
                </c:pt>
                <c:pt idx="11">
                  <c:v>15</c:v>
                </c:pt>
                <c:pt idx="12">
                  <c:v>26</c:v>
                </c:pt>
                <c:pt idx="13">
                  <c:v>44</c:v>
                </c:pt>
                <c:pt idx="14">
                  <c:v>38</c:v>
                </c:pt>
                <c:pt idx="15">
                  <c:v>50</c:v>
                </c:pt>
                <c:pt idx="16">
                  <c:v>39</c:v>
                </c:pt>
                <c:pt idx="17">
                  <c:v>42</c:v>
                </c:pt>
                <c:pt idx="18">
                  <c:v>9</c:v>
                </c:pt>
                <c:pt idx="19">
                  <c:v>14</c:v>
                </c:pt>
                <c:pt idx="20">
                  <c:v>10</c:v>
                </c:pt>
                <c:pt idx="21">
                  <c:v>24</c:v>
                </c:pt>
                <c:pt idx="22">
                  <c:v>29</c:v>
                </c:pt>
              </c:numCache>
            </c:numRef>
          </c:val>
          <c:extLst>
            <c:ext xmlns:c16="http://schemas.microsoft.com/office/drawing/2014/chart" uri="{C3380CC4-5D6E-409C-BE32-E72D297353CC}">
              <c16:uniqueId val="{00000000-DDCE-44EF-BA75-1012F6B7FEBA}"/>
            </c:ext>
          </c:extLst>
        </c:ser>
        <c:ser>
          <c:idx val="1"/>
          <c:order val="1"/>
          <c:tx>
            <c:strRef>
              <c:f>'Figure 1-2'!$A$38</c:f>
              <c:strCache>
                <c:ptCount val="1"/>
                <c:pt idx="0">
                  <c:v>Naval Port Call</c:v>
                </c:pt>
              </c:strCache>
            </c:strRef>
          </c:tx>
          <c:spPr>
            <a:solidFill>
              <a:schemeClr val="accent2"/>
            </a:solidFill>
            <a:ln>
              <a:noFill/>
            </a:ln>
            <a:effectLst/>
          </c:spPr>
          <c:invertIfNegative val="0"/>
          <c:cat>
            <c:numRef>
              <c:f>'Figure 1-2'!$B$36:$X$36</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1-2'!$B$38:$X$38</c:f>
              <c:numCache>
                <c:formatCode>General</c:formatCode>
                <c:ptCount val="23"/>
                <c:pt idx="0">
                  <c:v>11</c:v>
                </c:pt>
                <c:pt idx="1">
                  <c:v>4</c:v>
                </c:pt>
                <c:pt idx="2">
                  <c:v>1</c:v>
                </c:pt>
                <c:pt idx="3">
                  <c:v>4</c:v>
                </c:pt>
                <c:pt idx="4">
                  <c:v>3</c:v>
                </c:pt>
                <c:pt idx="5">
                  <c:v>6</c:v>
                </c:pt>
                <c:pt idx="6">
                  <c:v>1</c:v>
                </c:pt>
                <c:pt idx="7">
                  <c:v>18</c:v>
                </c:pt>
                <c:pt idx="8">
                  <c:v>31</c:v>
                </c:pt>
                <c:pt idx="9">
                  <c:v>22</c:v>
                </c:pt>
                <c:pt idx="10">
                  <c:v>17</c:v>
                </c:pt>
                <c:pt idx="11">
                  <c:v>39</c:v>
                </c:pt>
                <c:pt idx="12">
                  <c:v>39</c:v>
                </c:pt>
                <c:pt idx="13">
                  <c:v>39</c:v>
                </c:pt>
                <c:pt idx="14">
                  <c:v>23</c:v>
                </c:pt>
                <c:pt idx="15">
                  <c:v>50</c:v>
                </c:pt>
                <c:pt idx="16">
                  <c:v>33</c:v>
                </c:pt>
                <c:pt idx="17">
                  <c:v>22</c:v>
                </c:pt>
                <c:pt idx="18">
                  <c:v>3</c:v>
                </c:pt>
                <c:pt idx="19">
                  <c:v>0</c:v>
                </c:pt>
                <c:pt idx="20">
                  <c:v>2</c:v>
                </c:pt>
                <c:pt idx="21">
                  <c:v>23</c:v>
                </c:pt>
                <c:pt idx="22">
                  <c:v>35</c:v>
                </c:pt>
              </c:numCache>
            </c:numRef>
          </c:val>
          <c:extLst>
            <c:ext xmlns:c16="http://schemas.microsoft.com/office/drawing/2014/chart" uri="{C3380CC4-5D6E-409C-BE32-E72D297353CC}">
              <c16:uniqueId val="{00000001-DDCE-44EF-BA75-1012F6B7FEBA}"/>
            </c:ext>
          </c:extLst>
        </c:ser>
        <c:ser>
          <c:idx val="2"/>
          <c:order val="2"/>
          <c:tx>
            <c:strRef>
              <c:f>'Figure 1-2'!$A$39</c:f>
              <c:strCache>
                <c:ptCount val="1"/>
                <c:pt idx="0">
                  <c:v>Senior Level Visit</c:v>
                </c:pt>
              </c:strCache>
            </c:strRef>
          </c:tx>
          <c:spPr>
            <a:solidFill>
              <a:schemeClr val="accent3"/>
            </a:solidFill>
            <a:ln>
              <a:noFill/>
            </a:ln>
            <a:effectLst/>
          </c:spPr>
          <c:invertIfNegative val="0"/>
          <c:cat>
            <c:numRef>
              <c:f>'Figure 1-2'!$B$36:$X$36</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1-2'!$B$39:$X$39</c:f>
              <c:numCache>
                <c:formatCode>General</c:formatCode>
                <c:ptCount val="23"/>
                <c:pt idx="0">
                  <c:v>110</c:v>
                </c:pt>
                <c:pt idx="1">
                  <c:v>115</c:v>
                </c:pt>
                <c:pt idx="2">
                  <c:v>132</c:v>
                </c:pt>
                <c:pt idx="3">
                  <c:v>157</c:v>
                </c:pt>
                <c:pt idx="4">
                  <c:v>139</c:v>
                </c:pt>
                <c:pt idx="5">
                  <c:v>151</c:v>
                </c:pt>
                <c:pt idx="6">
                  <c:v>130</c:v>
                </c:pt>
                <c:pt idx="7">
                  <c:v>150</c:v>
                </c:pt>
                <c:pt idx="8">
                  <c:v>172</c:v>
                </c:pt>
                <c:pt idx="9">
                  <c:v>126</c:v>
                </c:pt>
                <c:pt idx="10">
                  <c:v>92</c:v>
                </c:pt>
                <c:pt idx="11">
                  <c:v>112</c:v>
                </c:pt>
                <c:pt idx="12">
                  <c:v>124</c:v>
                </c:pt>
                <c:pt idx="13">
                  <c:v>129</c:v>
                </c:pt>
                <c:pt idx="14">
                  <c:v>104</c:v>
                </c:pt>
                <c:pt idx="15">
                  <c:v>89</c:v>
                </c:pt>
                <c:pt idx="16">
                  <c:v>104</c:v>
                </c:pt>
                <c:pt idx="17">
                  <c:v>105</c:v>
                </c:pt>
                <c:pt idx="18">
                  <c:v>32</c:v>
                </c:pt>
                <c:pt idx="19">
                  <c:v>33</c:v>
                </c:pt>
                <c:pt idx="20">
                  <c:v>45</c:v>
                </c:pt>
                <c:pt idx="21">
                  <c:v>64</c:v>
                </c:pt>
                <c:pt idx="22">
                  <c:v>86</c:v>
                </c:pt>
              </c:numCache>
            </c:numRef>
          </c:val>
          <c:extLst>
            <c:ext xmlns:c16="http://schemas.microsoft.com/office/drawing/2014/chart" uri="{C3380CC4-5D6E-409C-BE32-E72D297353CC}">
              <c16:uniqueId val="{00000002-DDCE-44EF-BA75-1012F6B7FEBA}"/>
            </c:ext>
          </c:extLst>
        </c:ser>
        <c:dLbls>
          <c:showLegendKey val="0"/>
          <c:showVal val="0"/>
          <c:showCatName val="0"/>
          <c:showSerName val="0"/>
          <c:showPercent val="0"/>
          <c:showBubbleSize val="0"/>
        </c:dLbls>
        <c:gapWidth val="150"/>
        <c:overlap val="100"/>
        <c:axId val="1614246016"/>
        <c:axId val="1614246496"/>
      </c:barChart>
      <c:catAx>
        <c:axId val="161424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4246496"/>
        <c:crosses val="autoZero"/>
        <c:auto val="1"/>
        <c:lblAlgn val="ctr"/>
        <c:lblOffset val="100"/>
        <c:noMultiLvlLbl val="0"/>
      </c:catAx>
      <c:valAx>
        <c:axId val="1614246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4246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3. Total Number of Senior-Level Meetings, 2002-2024</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'Figure 3-4'!$B$31:$X$31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3-4'!$B$32:$X$32</c:f>
              <c:numCache>
                <c:formatCode>General</c:formatCode>
                <c:ptCount val="23"/>
                <c:pt idx="0">
                  <c:v>28</c:v>
                </c:pt>
                <c:pt idx="1">
                  <c:v>61</c:v>
                </c:pt>
                <c:pt idx="2">
                  <c:v>63</c:v>
                </c:pt>
                <c:pt idx="3">
                  <c:v>65</c:v>
                </c:pt>
                <c:pt idx="4">
                  <c:v>76</c:v>
                </c:pt>
                <c:pt idx="5">
                  <c:v>78</c:v>
                </c:pt>
                <c:pt idx="6">
                  <c:v>72</c:v>
                </c:pt>
                <c:pt idx="7">
                  <c:v>81</c:v>
                </c:pt>
                <c:pt idx="8">
                  <c:v>94</c:v>
                </c:pt>
                <c:pt idx="9">
                  <c:v>56</c:v>
                </c:pt>
                <c:pt idx="10">
                  <c:v>27</c:v>
                </c:pt>
                <c:pt idx="11">
                  <c:v>34</c:v>
                </c:pt>
                <c:pt idx="12">
                  <c:v>40</c:v>
                </c:pt>
                <c:pt idx="13">
                  <c:v>53</c:v>
                </c:pt>
                <c:pt idx="14">
                  <c:v>41</c:v>
                </c:pt>
                <c:pt idx="15">
                  <c:v>32</c:v>
                </c:pt>
                <c:pt idx="16">
                  <c:v>36</c:v>
                </c:pt>
                <c:pt idx="17">
                  <c:v>42</c:v>
                </c:pt>
                <c:pt idx="18">
                  <c:v>10</c:v>
                </c:pt>
                <c:pt idx="19">
                  <c:v>14</c:v>
                </c:pt>
                <c:pt idx="20">
                  <c:v>13</c:v>
                </c:pt>
                <c:pt idx="21">
                  <c:v>27</c:v>
                </c:pt>
                <c:pt idx="22">
                  <c:v>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58F-9547-91A7-A47C7FF00316}"/>
            </c:ext>
          </c:extLst>
        </c:ser>
        <c:ser>
          <c:idx val="1"/>
          <c:order val="1"/>
          <c:tx>
            <c:v>Hosted</c:v>
          </c:tx>
          <c:spPr>
            <a:solidFill>
              <a:srgbClr val="ED7D31"/>
            </a:solidFill>
            <a:ln cmpd="sng">
              <a:solidFill>
                <a:srgbClr val="000000"/>
              </a:solidFill>
            </a:ln>
          </c:spPr>
          <c:invertIfNegative val="1"/>
          <c:cat>
            <c:numRef>
              <c:f>'Figure 3-4'!$B$31:$X$31</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3-4'!$B$33:$X$33</c:f>
              <c:numCache>
                <c:formatCode>General</c:formatCode>
                <c:ptCount val="23"/>
                <c:pt idx="0">
                  <c:v>82</c:v>
                </c:pt>
                <c:pt idx="1">
                  <c:v>54</c:v>
                </c:pt>
                <c:pt idx="2">
                  <c:v>69</c:v>
                </c:pt>
                <c:pt idx="3">
                  <c:v>92</c:v>
                </c:pt>
                <c:pt idx="4">
                  <c:v>63</c:v>
                </c:pt>
                <c:pt idx="5">
                  <c:v>73</c:v>
                </c:pt>
                <c:pt idx="6">
                  <c:v>58</c:v>
                </c:pt>
                <c:pt idx="7">
                  <c:v>69</c:v>
                </c:pt>
                <c:pt idx="8">
                  <c:v>78</c:v>
                </c:pt>
                <c:pt idx="9">
                  <c:v>70</c:v>
                </c:pt>
                <c:pt idx="10">
                  <c:v>65</c:v>
                </c:pt>
                <c:pt idx="11">
                  <c:v>78</c:v>
                </c:pt>
                <c:pt idx="12">
                  <c:v>84</c:v>
                </c:pt>
                <c:pt idx="13">
                  <c:v>76</c:v>
                </c:pt>
                <c:pt idx="14">
                  <c:v>63</c:v>
                </c:pt>
                <c:pt idx="15">
                  <c:v>57</c:v>
                </c:pt>
                <c:pt idx="16">
                  <c:v>68</c:v>
                </c:pt>
                <c:pt idx="17">
                  <c:v>63</c:v>
                </c:pt>
                <c:pt idx="18">
                  <c:v>2</c:v>
                </c:pt>
                <c:pt idx="19">
                  <c:v>1</c:v>
                </c:pt>
                <c:pt idx="20">
                  <c:v>8</c:v>
                </c:pt>
                <c:pt idx="21">
                  <c:v>34</c:v>
                </c:pt>
                <c:pt idx="22">
                  <c:v>38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58F-9547-91A7-A47C7FF00316}"/>
            </c:ext>
          </c:extLst>
        </c:ser>
        <c:dLbls>
          <c:showLegendKey val="0"/>
          <c:showVal val="0"/>
          <c:showCatName val="0"/>
          <c:showSerName val="0"/>
          <c:showPercent val="0"/>
          <c:showBubbleSize val="0"/>
        </c:dLbls>
        <c:gapWidth val="150"/>
        <c:axId val="306761121"/>
        <c:axId val="156091383"/>
      </c:barChart>
      <c:catAx>
        <c:axId val="30676112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6091383"/>
        <c:crosses val="autoZero"/>
        <c:auto val="1"/>
        <c:lblAlgn val="ctr"/>
        <c:lblOffset val="100"/>
        <c:noMultiLvlLbl val="1"/>
      </c:catAx>
      <c:valAx>
        <c:axId val="15609138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30676112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000000"/>
                </a:solidFill>
                <a:latin typeface="+mn-lt"/>
              </a:defRPr>
            </a:pPr>
            <a:r>
              <a:rPr lang="en-US" sz="1400" b="0" i="0">
                <a:solidFill>
                  <a:srgbClr val="000000"/>
                </a:solidFill>
                <a:latin typeface="+mn-lt"/>
              </a:rPr>
              <a:t>Figure 4. Total Number of Senior-Level Meetings, 2020-2024
</a:t>
            </a:r>
          </a:p>
        </c:rich>
      </c:tx>
      <c:overlay val="0"/>
    </c:title>
    <c:autoTitleDeleted val="0"/>
    <c:plotArea>
      <c:layout/>
      <c:barChart>
        <c:barDir val="col"/>
        <c:grouping val="clustered"/>
        <c:varyColors val="1"/>
        <c:ser>
          <c:idx val="0"/>
          <c:order val="0"/>
          <c:tx>
            <c:v>2020</c:v>
          </c:tx>
          <c:spPr>
            <a:solidFill>
              <a:srgbClr val="5B9BD5"/>
            </a:solidFill>
            <a:ln cmpd="sng">
              <a:solidFill>
                <a:srgbClr val="000000"/>
              </a:solidFill>
            </a:ln>
          </c:spPr>
          <c:invertIfNegative val="1"/>
          <c:cat>
            <c:strRef>
              <c:f>'Figure 3-4'!$A$61:$A$63</c:f>
              <c:strCache>
                <c:ptCount val="3"/>
                <c:pt idx="0">
                  <c:v>Abroad</c:v>
                </c:pt>
                <c:pt idx="1">
                  <c:v>Hosted</c:v>
                </c:pt>
                <c:pt idx="2">
                  <c:v>Virtual</c:v>
                </c:pt>
              </c:strCache>
            </c:strRef>
          </c:cat>
          <c:val>
            <c:numRef>
              <c:f>'Figure 3-4'!$B$61:$B$63</c:f>
              <c:numCache>
                <c:formatCode>General</c:formatCode>
                <c:ptCount val="3"/>
                <c:pt idx="0">
                  <c:v>10</c:v>
                </c:pt>
                <c:pt idx="1">
                  <c:v>2</c:v>
                </c:pt>
                <c:pt idx="2">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1DD-AC4C-AD48-D1B2633C071D}"/>
            </c:ext>
          </c:extLst>
        </c:ser>
        <c:ser>
          <c:idx val="1"/>
          <c:order val="1"/>
          <c:tx>
            <c:v>2021</c:v>
          </c:tx>
          <c:spPr>
            <a:solidFill>
              <a:srgbClr val="ED7D31"/>
            </a:solidFill>
            <a:ln cmpd="sng">
              <a:solidFill>
                <a:srgbClr val="000000"/>
              </a:solidFill>
            </a:ln>
          </c:spPr>
          <c:invertIfNegative val="1"/>
          <c:cat>
            <c:strRef>
              <c:f>'Figure 3-4'!$A$61:$A$63</c:f>
              <c:strCache>
                <c:ptCount val="3"/>
                <c:pt idx="0">
                  <c:v>Abroad</c:v>
                </c:pt>
                <c:pt idx="1">
                  <c:v>Hosted</c:v>
                </c:pt>
                <c:pt idx="2">
                  <c:v>Virtual</c:v>
                </c:pt>
              </c:strCache>
            </c:strRef>
          </c:cat>
          <c:val>
            <c:numRef>
              <c:f>'Figure 3-4'!$C$61:$C$63</c:f>
              <c:numCache>
                <c:formatCode>General</c:formatCode>
                <c:ptCount val="3"/>
                <c:pt idx="0">
                  <c:v>14</c:v>
                </c:pt>
                <c:pt idx="1">
                  <c:v>1</c:v>
                </c:pt>
                <c:pt idx="2">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1DD-AC4C-AD48-D1B2633C071D}"/>
            </c:ext>
          </c:extLst>
        </c:ser>
        <c:ser>
          <c:idx val="2"/>
          <c:order val="2"/>
          <c:tx>
            <c:v>2022</c:v>
          </c:tx>
          <c:spPr>
            <a:solidFill>
              <a:srgbClr val="A5A5A5"/>
            </a:solidFill>
            <a:ln cmpd="sng">
              <a:solidFill>
                <a:srgbClr val="000000"/>
              </a:solidFill>
            </a:ln>
          </c:spPr>
          <c:invertIfNegative val="1"/>
          <c:cat>
            <c:strRef>
              <c:f>'Figure 3-4'!$A$61:$A$63</c:f>
              <c:strCache>
                <c:ptCount val="3"/>
                <c:pt idx="0">
                  <c:v>Abroad</c:v>
                </c:pt>
                <c:pt idx="1">
                  <c:v>Hosted</c:v>
                </c:pt>
                <c:pt idx="2">
                  <c:v>Virtual</c:v>
                </c:pt>
              </c:strCache>
            </c:strRef>
          </c:cat>
          <c:val>
            <c:numRef>
              <c:f>'Figure 3-4'!$D$61:$D$63</c:f>
              <c:numCache>
                <c:formatCode>General</c:formatCode>
                <c:ptCount val="3"/>
                <c:pt idx="0">
                  <c:v>13</c:v>
                </c:pt>
                <c:pt idx="1">
                  <c:v>8</c:v>
                </c:pt>
                <c:pt idx="2">
                  <c:v>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1DD-AC4C-AD48-D1B2633C071D}"/>
            </c:ext>
          </c:extLst>
        </c:ser>
        <c:ser>
          <c:idx val="3"/>
          <c:order val="3"/>
          <c:tx>
            <c:v>2023</c:v>
          </c:tx>
          <c:invertIfNegative val="0"/>
          <c:val>
            <c:numRef>
              <c:f>'Figure 3-4'!$E$61:$E$63</c:f>
              <c:numCache>
                <c:formatCode>General</c:formatCode>
                <c:ptCount val="3"/>
                <c:pt idx="0">
                  <c:v>27</c:v>
                </c:pt>
                <c:pt idx="1">
                  <c:v>34</c:v>
                </c:pt>
                <c:pt idx="2">
                  <c:v>3</c:v>
                </c:pt>
              </c:numCache>
            </c:numRef>
          </c:val>
          <c:extLst>
            <c:ext xmlns:c16="http://schemas.microsoft.com/office/drawing/2014/chart" uri="{C3380CC4-5D6E-409C-BE32-E72D297353CC}">
              <c16:uniqueId val="{00000000-5BCF-4090-9FFD-115CF68EE074}"/>
            </c:ext>
          </c:extLst>
        </c:ser>
        <c:ser>
          <c:idx val="4"/>
          <c:order val="4"/>
          <c:tx>
            <c:v>2024</c:v>
          </c:tx>
          <c:invertIfNegative val="0"/>
          <c:val>
            <c:numRef>
              <c:f>'Figure 3-4'!$F$61:$F$63</c:f>
              <c:numCache>
                <c:formatCode>General</c:formatCode>
                <c:ptCount val="3"/>
                <c:pt idx="0">
                  <c:v>43</c:v>
                </c:pt>
                <c:pt idx="1">
                  <c:v>38</c:v>
                </c:pt>
                <c:pt idx="2">
                  <c:v>4</c:v>
                </c:pt>
              </c:numCache>
            </c:numRef>
          </c:val>
          <c:extLst>
            <c:ext xmlns:c16="http://schemas.microsoft.com/office/drawing/2014/chart" uri="{C3380CC4-5D6E-409C-BE32-E72D297353CC}">
              <c16:uniqueId val="{00000001-5BCF-4090-9FFD-115CF68EE074}"/>
            </c:ext>
          </c:extLst>
        </c:ser>
        <c:dLbls>
          <c:showLegendKey val="0"/>
          <c:showVal val="0"/>
          <c:showCatName val="0"/>
          <c:showSerName val="0"/>
          <c:showPercent val="0"/>
          <c:showBubbleSize val="0"/>
        </c:dLbls>
        <c:gapWidth val="150"/>
        <c:axId val="1303786913"/>
        <c:axId val="1444373683"/>
      </c:barChart>
      <c:catAx>
        <c:axId val="130378691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444373683"/>
        <c:crosses val="autoZero"/>
        <c:auto val="1"/>
        <c:lblAlgn val="ctr"/>
        <c:lblOffset val="100"/>
        <c:noMultiLvlLbl val="1"/>
      </c:catAx>
      <c:valAx>
        <c:axId val="144437368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30378691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Total PLA International Military Exercises by Type, 2002-2024</a:t>
            </a:r>
          </a:p>
        </c:rich>
      </c:tx>
      <c:overlay val="0"/>
    </c:title>
    <c:autoTitleDeleted val="0"/>
    <c:plotArea>
      <c:layout/>
      <c:barChart>
        <c:barDir val="col"/>
        <c:grouping val="clustered"/>
        <c:varyColors val="1"/>
        <c:ser>
          <c:idx val="0"/>
          <c:order val="0"/>
          <c:tx>
            <c:v>Military Exercise - Bilateral</c:v>
          </c:tx>
          <c:spPr>
            <a:solidFill>
              <a:srgbClr val="5B9BD5"/>
            </a:solidFill>
            <a:ln cmpd="sng">
              <a:solidFill>
                <a:srgbClr val="000000"/>
              </a:solidFill>
            </a:ln>
          </c:spPr>
          <c:invertIfNegative val="1"/>
          <c:cat>
            <c:numRef>
              <c:f>'Figure 5-6'!$B$34:$X$34</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5-6'!$B$35:$X$35</c:f>
              <c:numCache>
                <c:formatCode>General</c:formatCode>
                <c:ptCount val="23"/>
                <c:pt idx="0">
                  <c:v>1</c:v>
                </c:pt>
                <c:pt idx="1">
                  <c:v>2</c:v>
                </c:pt>
                <c:pt idx="2">
                  <c:v>4</c:v>
                </c:pt>
                <c:pt idx="3">
                  <c:v>5</c:v>
                </c:pt>
                <c:pt idx="4">
                  <c:v>4</c:v>
                </c:pt>
                <c:pt idx="5">
                  <c:v>3</c:v>
                </c:pt>
                <c:pt idx="6">
                  <c:v>2</c:v>
                </c:pt>
                <c:pt idx="7">
                  <c:v>8</c:v>
                </c:pt>
                <c:pt idx="8">
                  <c:v>12</c:v>
                </c:pt>
                <c:pt idx="9">
                  <c:v>8</c:v>
                </c:pt>
                <c:pt idx="10">
                  <c:v>9</c:v>
                </c:pt>
                <c:pt idx="11">
                  <c:v>13</c:v>
                </c:pt>
                <c:pt idx="12">
                  <c:v>15</c:v>
                </c:pt>
                <c:pt idx="13">
                  <c:v>33</c:v>
                </c:pt>
                <c:pt idx="14">
                  <c:v>21</c:v>
                </c:pt>
                <c:pt idx="15">
                  <c:v>41</c:v>
                </c:pt>
                <c:pt idx="16">
                  <c:v>22</c:v>
                </c:pt>
                <c:pt idx="17">
                  <c:v>26</c:v>
                </c:pt>
                <c:pt idx="18">
                  <c:v>6</c:v>
                </c:pt>
                <c:pt idx="19">
                  <c:v>9</c:v>
                </c:pt>
                <c:pt idx="20">
                  <c:v>7</c:v>
                </c:pt>
                <c:pt idx="21">
                  <c:v>16</c:v>
                </c:pt>
                <c:pt idx="22">
                  <c:v>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B63-0247-AAD1-869B07C380C3}"/>
            </c:ext>
          </c:extLst>
        </c:ser>
        <c:ser>
          <c:idx val="1"/>
          <c:order val="1"/>
          <c:tx>
            <c:v>Military Exercise - Multilateral</c:v>
          </c:tx>
          <c:spPr>
            <a:solidFill>
              <a:srgbClr val="ED7D31"/>
            </a:solidFill>
            <a:ln cmpd="sng">
              <a:solidFill>
                <a:srgbClr val="000000"/>
              </a:solidFill>
            </a:ln>
          </c:spPr>
          <c:invertIfNegative val="1"/>
          <c:cat>
            <c:numRef>
              <c:f>'Figure 5-6'!$B$34:$X$34</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5-6'!$B$36:$X$36</c:f>
              <c:numCache>
                <c:formatCode>General</c:formatCode>
                <c:ptCount val="23"/>
                <c:pt idx="0">
                  <c:v>0</c:v>
                </c:pt>
                <c:pt idx="1">
                  <c:v>1</c:v>
                </c:pt>
                <c:pt idx="2">
                  <c:v>0</c:v>
                </c:pt>
                <c:pt idx="3">
                  <c:v>0</c:v>
                </c:pt>
                <c:pt idx="4">
                  <c:v>1</c:v>
                </c:pt>
                <c:pt idx="5">
                  <c:v>5</c:v>
                </c:pt>
                <c:pt idx="6">
                  <c:v>0</c:v>
                </c:pt>
                <c:pt idx="7">
                  <c:v>1</c:v>
                </c:pt>
                <c:pt idx="8">
                  <c:v>1</c:v>
                </c:pt>
                <c:pt idx="9">
                  <c:v>2</c:v>
                </c:pt>
                <c:pt idx="10">
                  <c:v>3</c:v>
                </c:pt>
                <c:pt idx="11">
                  <c:v>2</c:v>
                </c:pt>
                <c:pt idx="12">
                  <c:v>11</c:v>
                </c:pt>
                <c:pt idx="13">
                  <c:v>11</c:v>
                </c:pt>
                <c:pt idx="14">
                  <c:v>17</c:v>
                </c:pt>
                <c:pt idx="15">
                  <c:v>9</c:v>
                </c:pt>
                <c:pt idx="16">
                  <c:v>17</c:v>
                </c:pt>
                <c:pt idx="17">
                  <c:v>16</c:v>
                </c:pt>
                <c:pt idx="18">
                  <c:v>3</c:v>
                </c:pt>
                <c:pt idx="19">
                  <c:v>5</c:v>
                </c:pt>
                <c:pt idx="20">
                  <c:v>3</c:v>
                </c:pt>
                <c:pt idx="21">
                  <c:v>8</c:v>
                </c:pt>
                <c:pt idx="22">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B63-0247-AAD1-869B07C380C3}"/>
            </c:ext>
          </c:extLst>
        </c:ser>
        <c:dLbls>
          <c:showLegendKey val="0"/>
          <c:showVal val="0"/>
          <c:showCatName val="0"/>
          <c:showSerName val="0"/>
          <c:showPercent val="0"/>
          <c:showBubbleSize val="0"/>
        </c:dLbls>
        <c:gapWidth val="150"/>
        <c:axId val="178325869"/>
        <c:axId val="951828075"/>
      </c:barChart>
      <c:catAx>
        <c:axId val="17832586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951828075"/>
        <c:crosses val="autoZero"/>
        <c:auto val="1"/>
        <c:lblAlgn val="ctr"/>
        <c:lblOffset val="100"/>
        <c:noMultiLvlLbl val="1"/>
      </c:catAx>
      <c:valAx>
        <c:axId val="95182807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7832586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000000"/>
                </a:solidFill>
                <a:latin typeface="+mn-lt"/>
              </a:defRPr>
            </a:pPr>
            <a:r>
              <a:rPr lang="en-US" sz="1400" b="0" i="0">
                <a:solidFill>
                  <a:srgbClr val="000000"/>
                </a:solidFill>
                <a:latin typeface="+mn-lt"/>
              </a:rPr>
              <a:t>Figure 6. Total PLA International Military Exercises by Type, 2020-2024
</a:t>
            </a:r>
          </a:p>
        </c:rich>
      </c:tx>
      <c:overlay val="0"/>
    </c:title>
    <c:autoTitleDeleted val="0"/>
    <c:plotArea>
      <c:layout/>
      <c:barChart>
        <c:barDir val="col"/>
        <c:grouping val="clustered"/>
        <c:varyColors val="1"/>
        <c:ser>
          <c:idx val="0"/>
          <c:order val="0"/>
          <c:tx>
            <c:v>2020</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5-6'!$A$62:$A$63</c:f>
              <c:strCache>
                <c:ptCount val="2"/>
                <c:pt idx="0">
                  <c:v>Military Exercise - Bilateral</c:v>
                </c:pt>
                <c:pt idx="1">
                  <c:v>Military Exercise - Multilateral</c:v>
                </c:pt>
              </c:strCache>
            </c:strRef>
          </c:cat>
          <c:val>
            <c:numRef>
              <c:f>'Figure 5-6'!$B$62:$B$63</c:f>
              <c:numCache>
                <c:formatCode>General</c:formatCode>
                <c:ptCount val="2"/>
                <c:pt idx="0">
                  <c:v>6</c:v>
                </c:pt>
                <c:pt idx="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12C-274A-80C9-770E2BA94E28}"/>
            </c:ext>
          </c:extLst>
        </c:ser>
        <c:ser>
          <c:idx val="1"/>
          <c:order val="1"/>
          <c:tx>
            <c:v>2021</c:v>
          </c:tx>
          <c:spPr>
            <a:solidFill>
              <a:srgbClr val="ED7D31"/>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5-6'!$A$62:$A$63</c:f>
              <c:strCache>
                <c:ptCount val="2"/>
                <c:pt idx="0">
                  <c:v>Military Exercise - Bilateral</c:v>
                </c:pt>
                <c:pt idx="1">
                  <c:v>Military Exercise - Multilateral</c:v>
                </c:pt>
              </c:strCache>
            </c:strRef>
          </c:cat>
          <c:val>
            <c:numRef>
              <c:f>'Figure 5-6'!$C$62:$C$63</c:f>
              <c:numCache>
                <c:formatCode>General</c:formatCode>
                <c:ptCount val="2"/>
                <c:pt idx="0">
                  <c:v>9</c:v>
                </c:pt>
                <c:pt idx="1">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12C-274A-80C9-770E2BA94E28}"/>
            </c:ext>
          </c:extLst>
        </c:ser>
        <c:ser>
          <c:idx val="2"/>
          <c:order val="2"/>
          <c:tx>
            <c:v>2022</c:v>
          </c:tx>
          <c:spPr>
            <a:solidFill>
              <a:srgbClr val="A5A5A5"/>
            </a:solidFill>
            <a:ln cmpd="sng">
              <a:solidFill>
                <a:srgbClr val="000000"/>
              </a:solidFill>
            </a:ln>
          </c:spPr>
          <c:invertIfNegative val="1"/>
          <c:cat>
            <c:strRef>
              <c:f>'Figure 5-6'!$A$62:$A$63</c:f>
              <c:strCache>
                <c:ptCount val="2"/>
                <c:pt idx="0">
                  <c:v>Military Exercise - Bilateral</c:v>
                </c:pt>
                <c:pt idx="1">
                  <c:v>Military Exercise - Multilateral</c:v>
                </c:pt>
              </c:strCache>
            </c:strRef>
          </c:cat>
          <c:val>
            <c:numRef>
              <c:f>'Figure 5-6'!$D$62:$D$63</c:f>
              <c:numCache>
                <c:formatCode>General</c:formatCode>
                <c:ptCount val="2"/>
                <c:pt idx="0">
                  <c:v>7</c:v>
                </c:pt>
                <c:pt idx="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12C-274A-80C9-770E2BA94E28}"/>
            </c:ext>
          </c:extLst>
        </c:ser>
        <c:ser>
          <c:idx val="3"/>
          <c:order val="3"/>
          <c:tx>
            <c:v>2023</c:v>
          </c:tx>
          <c:invertIfNegative val="0"/>
          <c:val>
            <c:numRef>
              <c:f>'Figure 5-6'!$E$62:$E$63</c:f>
              <c:numCache>
                <c:formatCode>General</c:formatCode>
                <c:ptCount val="2"/>
                <c:pt idx="0">
                  <c:v>16</c:v>
                </c:pt>
                <c:pt idx="1">
                  <c:v>8</c:v>
                </c:pt>
              </c:numCache>
            </c:numRef>
          </c:val>
          <c:extLst>
            <c:ext xmlns:c16="http://schemas.microsoft.com/office/drawing/2014/chart" uri="{C3380CC4-5D6E-409C-BE32-E72D297353CC}">
              <c16:uniqueId val="{00000000-C93A-4BCF-931C-CA5B2D2A4F37}"/>
            </c:ext>
          </c:extLst>
        </c:ser>
        <c:ser>
          <c:idx val="4"/>
          <c:order val="4"/>
          <c:tx>
            <c:v>2024</c:v>
          </c:tx>
          <c:invertIfNegative val="0"/>
          <c:val>
            <c:numRef>
              <c:f>'Figure 5-6'!$F$62:$F$63</c:f>
              <c:numCache>
                <c:formatCode>General</c:formatCode>
                <c:ptCount val="2"/>
                <c:pt idx="0">
                  <c:v>24</c:v>
                </c:pt>
                <c:pt idx="1">
                  <c:v>5</c:v>
                </c:pt>
              </c:numCache>
            </c:numRef>
          </c:val>
          <c:extLst>
            <c:ext xmlns:c16="http://schemas.microsoft.com/office/drawing/2014/chart" uri="{C3380CC4-5D6E-409C-BE32-E72D297353CC}">
              <c16:uniqueId val="{00000001-C93A-4BCF-931C-CA5B2D2A4F37}"/>
            </c:ext>
          </c:extLst>
        </c:ser>
        <c:dLbls>
          <c:showLegendKey val="0"/>
          <c:showVal val="0"/>
          <c:showCatName val="0"/>
          <c:showSerName val="0"/>
          <c:showPercent val="0"/>
          <c:showBubbleSize val="0"/>
        </c:dLbls>
        <c:gapWidth val="150"/>
        <c:axId val="859350320"/>
        <c:axId val="230848428"/>
      </c:barChart>
      <c:catAx>
        <c:axId val="85935032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30848428"/>
        <c:crosses val="autoZero"/>
        <c:auto val="1"/>
        <c:lblAlgn val="ctr"/>
        <c:lblOffset val="100"/>
        <c:noMultiLvlLbl val="1"/>
      </c:catAx>
      <c:valAx>
        <c:axId val="2308484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85935032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200" b="0" i="0">
                <a:solidFill>
                  <a:srgbClr val="000000"/>
                </a:solidFill>
                <a:latin typeface="+mn-lt"/>
              </a:defRPr>
            </a:pPr>
            <a:r>
              <a:rPr lang="en-US" sz="1200" b="0" i="0">
                <a:solidFill>
                  <a:srgbClr val="000000"/>
                </a:solidFill>
                <a:latin typeface="+mn-lt"/>
              </a:rPr>
              <a:t>Figure 7. Total PLA International Military Exercises by Function, 2002-2024
</a:t>
            </a:r>
          </a:p>
        </c:rich>
      </c:tx>
      <c:overlay val="0"/>
    </c:title>
    <c:autoTitleDeleted val="0"/>
    <c:plotArea>
      <c:layout/>
      <c:pieChart>
        <c:varyColors val="1"/>
        <c:ser>
          <c:idx val="0"/>
          <c:order val="0"/>
          <c:tx>
            <c:strRef>
              <c:f>'Figure 7-8'!$B$44</c:f>
              <c:strCache>
                <c:ptCount val="1"/>
                <c:pt idx="0">
                  <c:v>Count of Activity Category</c:v>
                </c:pt>
              </c:strCache>
            </c:strRef>
          </c:tx>
          <c:dPt>
            <c:idx val="0"/>
            <c:bubble3D val="0"/>
            <c:spPr>
              <a:solidFill>
                <a:schemeClr val="accent1"/>
              </a:solidFill>
            </c:spPr>
            <c:extLst>
              <c:ext xmlns:c16="http://schemas.microsoft.com/office/drawing/2014/chart" uri="{C3380CC4-5D6E-409C-BE32-E72D297353CC}">
                <c16:uniqueId val="{00000001-6FD7-294D-B3BB-A5FA4EF78236}"/>
              </c:ext>
            </c:extLst>
          </c:dPt>
          <c:dPt>
            <c:idx val="1"/>
            <c:bubble3D val="0"/>
            <c:spPr>
              <a:solidFill>
                <a:schemeClr val="accent2"/>
              </a:solidFill>
            </c:spPr>
            <c:extLst>
              <c:ext xmlns:c16="http://schemas.microsoft.com/office/drawing/2014/chart" uri="{C3380CC4-5D6E-409C-BE32-E72D297353CC}">
                <c16:uniqueId val="{00000003-6FD7-294D-B3BB-A5FA4EF78236}"/>
              </c:ext>
            </c:extLst>
          </c:dPt>
          <c:dPt>
            <c:idx val="2"/>
            <c:bubble3D val="0"/>
            <c:spPr>
              <a:solidFill>
                <a:schemeClr val="accent3"/>
              </a:solidFill>
            </c:spPr>
            <c:extLst>
              <c:ext xmlns:c16="http://schemas.microsoft.com/office/drawing/2014/chart" uri="{C3380CC4-5D6E-409C-BE32-E72D297353CC}">
                <c16:uniqueId val="{00000005-6FD7-294D-B3BB-A5FA4EF78236}"/>
              </c:ext>
            </c:extLst>
          </c:dPt>
          <c:dPt>
            <c:idx val="3"/>
            <c:bubble3D val="0"/>
            <c:spPr>
              <a:solidFill>
                <a:schemeClr val="accent4"/>
              </a:solidFill>
            </c:spPr>
            <c:extLst>
              <c:ext xmlns:c16="http://schemas.microsoft.com/office/drawing/2014/chart" uri="{C3380CC4-5D6E-409C-BE32-E72D297353CC}">
                <c16:uniqueId val="{00000007-6FD7-294D-B3BB-A5FA4EF78236}"/>
              </c:ext>
            </c:extLst>
          </c:dPt>
          <c:dPt>
            <c:idx val="4"/>
            <c:bubble3D val="0"/>
            <c:spPr>
              <a:solidFill>
                <a:schemeClr val="accent5"/>
              </a:solidFill>
            </c:spPr>
            <c:extLst>
              <c:ext xmlns:c16="http://schemas.microsoft.com/office/drawing/2014/chart" uri="{C3380CC4-5D6E-409C-BE32-E72D297353CC}">
                <c16:uniqueId val="{00000009-6FD7-294D-B3BB-A5FA4EF78236}"/>
              </c:ext>
            </c:extLst>
          </c:dPt>
          <c:dPt>
            <c:idx val="5"/>
            <c:bubble3D val="0"/>
            <c:spPr>
              <a:solidFill>
                <a:schemeClr val="accent6"/>
              </a:solidFill>
            </c:spPr>
            <c:extLst>
              <c:ext xmlns:c16="http://schemas.microsoft.com/office/drawing/2014/chart" uri="{C3380CC4-5D6E-409C-BE32-E72D297353CC}">
                <c16:uniqueId val="{0000000B-6FD7-294D-B3BB-A5FA4EF78236}"/>
              </c:ext>
            </c:extLst>
          </c:dPt>
          <c:dPt>
            <c:idx val="6"/>
            <c:bubble3D val="0"/>
            <c:spPr>
              <a:solidFill>
                <a:schemeClr val="accent1"/>
              </a:solidFill>
            </c:spPr>
            <c:extLst>
              <c:ext xmlns:c16="http://schemas.microsoft.com/office/drawing/2014/chart" uri="{C3380CC4-5D6E-409C-BE32-E72D297353CC}">
                <c16:uniqueId val="{0000000D-6FD7-294D-B3BB-A5FA4EF78236}"/>
              </c:ext>
            </c:extLst>
          </c:dPt>
          <c:dPt>
            <c:idx val="7"/>
            <c:bubble3D val="0"/>
            <c:spPr>
              <a:solidFill>
                <a:schemeClr val="accent2"/>
              </a:solidFill>
            </c:spPr>
            <c:extLst>
              <c:ext xmlns:c16="http://schemas.microsoft.com/office/drawing/2014/chart" uri="{C3380CC4-5D6E-409C-BE32-E72D297353CC}">
                <c16:uniqueId val="{0000000F-6FD7-294D-B3BB-A5FA4EF7823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'Figure 7-8'!$A$45:$A$53</c15:sqref>
                  </c15:fullRef>
                </c:ext>
              </c:extLst>
              <c:f>'Figure 7-8'!$A$45:$A$52</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extLst>
                <c:ext xmlns:c15="http://schemas.microsoft.com/office/drawing/2012/chart" uri="{02D57815-91ED-43cb-92C2-25804820EDAC}">
                  <c15:fullRef>
                    <c15:sqref>'Figure 7-8'!$B$45:$B$53</c15:sqref>
                  </c15:fullRef>
                </c:ext>
              </c:extLst>
              <c:f>'Figure 7-8'!$B$45:$B$52</c:f>
              <c:numCache>
                <c:formatCode>General</c:formatCode>
                <c:ptCount val="8"/>
                <c:pt idx="0">
                  <c:v>26</c:v>
                </c:pt>
                <c:pt idx="1">
                  <c:v>103</c:v>
                </c:pt>
                <c:pt idx="2">
                  <c:v>69</c:v>
                </c:pt>
                <c:pt idx="3">
                  <c:v>15</c:v>
                </c:pt>
                <c:pt idx="4">
                  <c:v>15</c:v>
                </c:pt>
                <c:pt idx="5">
                  <c:v>169</c:v>
                </c:pt>
                <c:pt idx="6">
                  <c:v>13</c:v>
                </c:pt>
                <c:pt idx="7">
                  <c:v>2</c:v>
                </c:pt>
              </c:numCache>
            </c:numRef>
          </c:val>
          <c:extLst>
            <c:ext xmlns:c15="http://schemas.microsoft.com/office/drawing/2012/chart" uri="{02D57815-91ED-43cb-92C2-25804820EDAC}">
              <c15:categoryFilterExceptions>
                <c15:categoryFilterException>
                  <c15:sqref>'Figure 7-8'!$B$53</c15:sqref>
                  <c15:spPr xmlns:c15="http://schemas.microsoft.com/office/drawing/2012/chart">
                    <a:solidFill>
                      <a:srgbClr val="C0C0C0"/>
                    </a:solidFill>
                  </c15:spPr>
                  <c15:bubble3D val="0"/>
                </c15:categoryFilterException>
              </c15:categoryFilterExceptions>
            </c:ext>
            <c:ext xmlns:c16="http://schemas.microsoft.com/office/drawing/2014/chart" uri="{C3380CC4-5D6E-409C-BE32-E72D297353CC}">
              <c16:uniqueId val="{00000012-6FD7-294D-B3BB-A5FA4EF78236}"/>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000000"/>
                </a:solidFill>
                <a:latin typeface="+mn-lt"/>
              </a:defRPr>
            </a:pPr>
            <a:r>
              <a:rPr lang="en-US" sz="1400" b="0" i="0">
                <a:solidFill>
                  <a:srgbClr val="000000"/>
                </a:solidFill>
                <a:latin typeface="+mn-lt"/>
              </a:rPr>
              <a:t>Figure 8. Total PLA International Military Exercises by Function, 2020 through 2024</a:t>
            </a:r>
          </a:p>
        </c:rich>
      </c:tx>
      <c:overlay val="0"/>
    </c:title>
    <c:autoTitleDeleted val="0"/>
    <c:plotArea>
      <c:layout/>
      <c:pieChart>
        <c:varyColors val="1"/>
        <c:ser>
          <c:idx val="0"/>
          <c:order val="0"/>
          <c:tx>
            <c:strRef>
              <c:f>'Figure 7-8'!$B$61</c:f>
              <c:strCache>
                <c:ptCount val="1"/>
                <c:pt idx="0">
                  <c:v>Count of Activity Category</c:v>
                </c:pt>
              </c:strCache>
            </c:strRef>
          </c:tx>
          <c:dPt>
            <c:idx val="0"/>
            <c:bubble3D val="0"/>
            <c:spPr>
              <a:solidFill>
                <a:schemeClr val="accent1"/>
              </a:solidFill>
            </c:spPr>
            <c:extLst>
              <c:ext xmlns:c16="http://schemas.microsoft.com/office/drawing/2014/chart" uri="{C3380CC4-5D6E-409C-BE32-E72D297353CC}">
                <c16:uniqueId val="{00000001-5228-2F45-9773-0A7A185E2154}"/>
              </c:ext>
            </c:extLst>
          </c:dPt>
          <c:dPt>
            <c:idx val="1"/>
            <c:bubble3D val="0"/>
            <c:spPr>
              <a:solidFill>
                <a:schemeClr val="accent2"/>
              </a:solidFill>
            </c:spPr>
            <c:extLst>
              <c:ext xmlns:c16="http://schemas.microsoft.com/office/drawing/2014/chart" uri="{C3380CC4-5D6E-409C-BE32-E72D297353CC}">
                <c16:uniqueId val="{00000003-5228-2F45-9773-0A7A185E2154}"/>
              </c:ext>
            </c:extLst>
          </c:dPt>
          <c:dPt>
            <c:idx val="2"/>
            <c:bubble3D val="0"/>
            <c:spPr>
              <a:solidFill>
                <a:schemeClr val="accent3"/>
              </a:solidFill>
            </c:spPr>
            <c:extLst>
              <c:ext xmlns:c16="http://schemas.microsoft.com/office/drawing/2014/chart" uri="{C3380CC4-5D6E-409C-BE32-E72D297353CC}">
                <c16:uniqueId val="{00000005-5228-2F45-9773-0A7A185E2154}"/>
              </c:ext>
            </c:extLst>
          </c:dPt>
          <c:dPt>
            <c:idx val="3"/>
            <c:bubble3D val="0"/>
            <c:spPr>
              <a:solidFill>
                <a:schemeClr val="accent4"/>
              </a:solidFill>
            </c:spPr>
            <c:extLst>
              <c:ext xmlns:c16="http://schemas.microsoft.com/office/drawing/2014/chart" uri="{C3380CC4-5D6E-409C-BE32-E72D297353CC}">
                <c16:uniqueId val="{00000007-5228-2F45-9773-0A7A185E2154}"/>
              </c:ext>
            </c:extLst>
          </c:dPt>
          <c:dPt>
            <c:idx val="4"/>
            <c:bubble3D val="0"/>
            <c:spPr>
              <a:solidFill>
                <a:schemeClr val="accent5"/>
              </a:solidFill>
            </c:spPr>
            <c:extLst>
              <c:ext xmlns:c16="http://schemas.microsoft.com/office/drawing/2014/chart" uri="{C3380CC4-5D6E-409C-BE32-E72D297353CC}">
                <c16:uniqueId val="{00000009-5228-2F45-9773-0A7A185E2154}"/>
              </c:ext>
            </c:extLst>
          </c:dPt>
          <c:dPt>
            <c:idx val="5"/>
            <c:bubble3D val="0"/>
            <c:spPr>
              <a:solidFill>
                <a:schemeClr val="accent6"/>
              </a:solidFill>
            </c:spPr>
            <c:extLst>
              <c:ext xmlns:c16="http://schemas.microsoft.com/office/drawing/2014/chart" uri="{C3380CC4-5D6E-409C-BE32-E72D297353CC}">
                <c16:uniqueId val="{0000000B-5228-2F45-9773-0A7A185E2154}"/>
              </c:ext>
            </c:extLst>
          </c:dPt>
          <c:dPt>
            <c:idx val="6"/>
            <c:bubble3D val="0"/>
            <c:spPr>
              <a:solidFill>
                <a:schemeClr val="accent1"/>
              </a:solidFill>
            </c:spPr>
            <c:extLst>
              <c:ext xmlns:c16="http://schemas.microsoft.com/office/drawing/2014/chart" uri="{C3380CC4-5D6E-409C-BE32-E72D297353CC}">
                <c16:uniqueId val="{0000000D-5228-2F45-9773-0A7A185E215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'Figure 7-8'!$A$62:$A$68</c:f>
              <c:strCache>
                <c:ptCount val="7"/>
                <c:pt idx="0">
                  <c:v>Anti-piracy</c:v>
                </c:pt>
                <c:pt idx="1">
                  <c:v>Anti-terrorism</c:v>
                </c:pt>
                <c:pt idx="2">
                  <c:v>Combat</c:v>
                </c:pt>
                <c:pt idx="3">
                  <c:v>Combat Support</c:v>
                </c:pt>
                <c:pt idx="4">
                  <c:v>Competition</c:v>
                </c:pt>
                <c:pt idx="5">
                  <c:v>MOOTW</c:v>
                </c:pt>
                <c:pt idx="6">
                  <c:v>Patrol</c:v>
                </c:pt>
              </c:strCache>
            </c:strRef>
          </c:cat>
          <c:val>
            <c:numRef>
              <c:f>'Figure 7-8'!$B$62:$B$68</c:f>
              <c:numCache>
                <c:formatCode>General</c:formatCode>
                <c:ptCount val="7"/>
                <c:pt idx="0">
                  <c:v>6</c:v>
                </c:pt>
                <c:pt idx="1">
                  <c:v>19</c:v>
                </c:pt>
                <c:pt idx="2">
                  <c:v>19</c:v>
                </c:pt>
                <c:pt idx="3">
                  <c:v>3</c:v>
                </c:pt>
                <c:pt idx="4">
                  <c:v>3</c:v>
                </c:pt>
                <c:pt idx="5">
                  <c:v>24</c:v>
                </c:pt>
                <c:pt idx="6">
                  <c:v>12</c:v>
                </c:pt>
              </c:numCache>
            </c:numRef>
          </c:val>
          <c:extLst>
            <c:ext xmlns:c16="http://schemas.microsoft.com/office/drawing/2014/chart" uri="{C3380CC4-5D6E-409C-BE32-E72D297353CC}">
              <c16:uniqueId val="{0000000E-5228-2F45-9773-0A7A185E2154}"/>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800" b="1" i="0">
                <a:solidFill>
                  <a:srgbClr val="000000"/>
                </a:solidFill>
                <a:latin typeface="+mn-lt"/>
              </a:defRPr>
            </a:pPr>
            <a:r>
              <a:rPr lang="en-US" sz="1800" b="1" i="0">
                <a:solidFill>
                  <a:srgbClr val="000000"/>
                </a:solidFill>
                <a:latin typeface="+mn-lt"/>
              </a:rPr>
              <a:t>Figure 9. Total PLA International Military Exercises by Service, 2002-2024</a:t>
            </a:r>
          </a:p>
        </c:rich>
      </c:tx>
      <c:overlay val="0"/>
    </c:title>
    <c:autoTitleDeleted val="0"/>
    <c:plotArea>
      <c:layout/>
      <c:pieChart>
        <c:varyColors val="1"/>
        <c:ser>
          <c:idx val="0"/>
          <c:order val="0"/>
          <c:tx>
            <c:strRef>
              <c:f>'Figure 9-10'!$B$27</c:f>
              <c:strCache>
                <c:ptCount val="1"/>
                <c:pt idx="0">
                  <c:v>Count of Activity Category</c:v>
                </c:pt>
              </c:strCache>
            </c:strRef>
          </c:tx>
          <c:dPt>
            <c:idx val="0"/>
            <c:bubble3D val="0"/>
            <c:spPr>
              <a:solidFill>
                <a:schemeClr val="accent1"/>
              </a:solidFill>
            </c:spPr>
            <c:extLst>
              <c:ext xmlns:c16="http://schemas.microsoft.com/office/drawing/2014/chart" uri="{C3380CC4-5D6E-409C-BE32-E72D297353CC}">
                <c16:uniqueId val="{00000001-7566-2C45-A892-CE315537BCCE}"/>
              </c:ext>
            </c:extLst>
          </c:dPt>
          <c:dPt>
            <c:idx val="1"/>
            <c:bubble3D val="0"/>
            <c:spPr>
              <a:solidFill>
                <a:schemeClr val="accent2"/>
              </a:solidFill>
            </c:spPr>
            <c:extLst>
              <c:ext xmlns:c16="http://schemas.microsoft.com/office/drawing/2014/chart" uri="{C3380CC4-5D6E-409C-BE32-E72D297353CC}">
                <c16:uniqueId val="{00000003-7566-2C45-A892-CE315537BCCE}"/>
              </c:ext>
            </c:extLst>
          </c:dPt>
          <c:dPt>
            <c:idx val="2"/>
            <c:bubble3D val="0"/>
            <c:spPr>
              <a:solidFill>
                <a:schemeClr val="accent3"/>
              </a:solidFill>
            </c:spPr>
            <c:extLst>
              <c:ext xmlns:c16="http://schemas.microsoft.com/office/drawing/2014/chart" uri="{C3380CC4-5D6E-409C-BE32-E72D297353CC}">
                <c16:uniqueId val="{00000005-7566-2C45-A892-CE315537BCCE}"/>
              </c:ext>
            </c:extLst>
          </c:dPt>
          <c:dPt>
            <c:idx val="3"/>
            <c:bubble3D val="0"/>
            <c:spPr>
              <a:solidFill>
                <a:schemeClr val="accent4"/>
              </a:solidFill>
            </c:spPr>
            <c:extLst>
              <c:ext xmlns:c16="http://schemas.microsoft.com/office/drawing/2014/chart" uri="{C3380CC4-5D6E-409C-BE32-E72D297353CC}">
                <c16:uniqueId val="{00000007-7566-2C45-A892-CE315537BCCE}"/>
              </c:ext>
            </c:extLst>
          </c:dPt>
          <c:dPt>
            <c:idx val="4"/>
            <c:bubble3D val="0"/>
            <c:spPr>
              <a:solidFill>
                <a:schemeClr val="accent5"/>
              </a:solidFill>
            </c:spPr>
            <c:extLst>
              <c:ext xmlns:c16="http://schemas.microsoft.com/office/drawing/2014/chart" uri="{C3380CC4-5D6E-409C-BE32-E72D297353CC}">
                <c16:uniqueId val="{00000009-7566-2C45-A892-CE315537BCCE}"/>
              </c:ext>
            </c:extLst>
          </c:dPt>
          <c:dPt>
            <c:idx val="5"/>
            <c:bubble3D val="0"/>
            <c:spPr>
              <a:solidFill>
                <a:schemeClr val="accent6"/>
              </a:solidFill>
            </c:spPr>
            <c:extLst>
              <c:ext xmlns:c16="http://schemas.microsoft.com/office/drawing/2014/chart" uri="{C3380CC4-5D6E-409C-BE32-E72D297353CC}">
                <c16:uniqueId val="{0000000B-7566-2C45-A892-CE315537BCCE}"/>
              </c:ext>
            </c:extLst>
          </c:dPt>
          <c:dPt>
            <c:idx val="6"/>
            <c:bubble3D val="0"/>
            <c:spPr>
              <a:solidFill>
                <a:srgbClr val="8CB9E2"/>
              </a:solidFill>
            </c:spPr>
            <c:extLst>
              <c:ext xmlns:c16="http://schemas.microsoft.com/office/drawing/2014/chart" uri="{C3380CC4-5D6E-409C-BE32-E72D297353CC}">
                <c16:uniqueId val="{0000000D-7566-2C45-A892-CE315537BCC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'Figure 9-10'!$A$28:$A$34</c:f>
              <c:strCache>
                <c:ptCount val="7"/>
                <c:pt idx="0">
                  <c:v>Air Force</c:v>
                </c:pt>
                <c:pt idx="1">
                  <c:v>Army</c:v>
                </c:pt>
                <c:pt idx="2">
                  <c:v>Coast Guard </c:v>
                </c:pt>
                <c:pt idx="3">
                  <c:v>Joint</c:v>
                </c:pt>
                <c:pt idx="4">
                  <c:v>Navy</c:v>
                </c:pt>
                <c:pt idx="5">
                  <c:v>PAP</c:v>
                </c:pt>
                <c:pt idx="6">
                  <c:v>Grand Total</c:v>
                </c:pt>
              </c:strCache>
            </c:strRef>
          </c:cat>
          <c:val>
            <c:numRef>
              <c:f>'Figure 9-10'!$B$28:$B$34</c:f>
              <c:numCache>
                <c:formatCode>General</c:formatCode>
                <c:ptCount val="7"/>
                <c:pt idx="0">
                  <c:v>43</c:v>
                </c:pt>
                <c:pt idx="1">
                  <c:v>155</c:v>
                </c:pt>
                <c:pt idx="2">
                  <c:v>1</c:v>
                </c:pt>
                <c:pt idx="3">
                  <c:v>23</c:v>
                </c:pt>
                <c:pt idx="4">
                  <c:v>169</c:v>
                </c:pt>
                <c:pt idx="5">
                  <c:v>20</c:v>
                </c:pt>
                <c:pt idx="6">
                  <c:v>411</c:v>
                </c:pt>
              </c:numCache>
            </c:numRef>
          </c:val>
          <c:extLst>
            <c:ext xmlns:c16="http://schemas.microsoft.com/office/drawing/2014/chart" uri="{C3380CC4-5D6E-409C-BE32-E72D297353CC}">
              <c16:uniqueId val="{0000000E-7566-2C45-A892-CE315537BCCE}"/>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PLA Military Diplomatic Interactions, 2002-2024 (INDOPACOM)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'INDOPACOM Figure 2'!$A$66</c:f>
              <c:strCache>
                <c:ptCount val="1"/>
                <c:pt idx="0">
                  <c:v>Military Exercise</c:v>
                </c:pt>
              </c:strCache>
            </c:strRef>
          </c:tx>
          <c:spPr>
            <a:solidFill>
              <a:schemeClr val="accent1"/>
            </a:solidFill>
            <a:ln>
              <a:noFill/>
            </a:ln>
            <a:effectLst/>
          </c:spPr>
          <c:invertIfNegative val="0"/>
          <c:cat>
            <c:numRef>
              <c:f>'INDOPACOM Figure 2'!$B$65:$X$65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'INDOPACOM Figure 2'!$B$66:$X$66</c:f>
              <c:numCache>
                <c:formatCode>General</c:formatCode>
                <c:ptCount val="23"/>
                <c:pt idx="0">
                  <c:v>0</c:v>
                </c:pt>
                <c:pt idx="1">
                  <c:v>1</c:v>
                </c:pt>
                <c:pt idx="2">
                  <c:v>1</c:v>
                </c:pt>
                <c:pt idx="3">
                  <c:v>2</c:v>
                </c:pt>
                <c:pt idx="4">
                  <c:v>0</c:v>
                </c:pt>
                <c:pt idx="5">
                  <c:v>4</c:v>
                </c:pt>
                <c:pt idx="6">
                  <c:v>2</c:v>
                </c:pt>
                <c:pt idx="7">
                  <c:v>2</c:v>
                </c:pt>
                <c:pt idx="8">
                  <c:v>5</c:v>
                </c:pt>
                <c:pt idx="9">
                  <c:v>3</c:v>
                </c:pt>
                <c:pt idx="10">
                  <c:v>5</c:v>
                </c:pt>
                <c:pt idx="11">
                  <c:v>6</c:v>
                </c:pt>
                <c:pt idx="12">
                  <c:v>11</c:v>
                </c:pt>
                <c:pt idx="13">
                  <c:v>18</c:v>
                </c:pt>
                <c:pt idx="14">
                  <c:v>18</c:v>
                </c:pt>
                <c:pt idx="15">
                  <c:v>23</c:v>
                </c:pt>
                <c:pt idx="16">
                  <c:v>19</c:v>
                </c:pt>
                <c:pt idx="17">
                  <c:v>19</c:v>
                </c:pt>
                <c:pt idx="18">
                  <c:v>3</c:v>
                </c:pt>
                <c:pt idx="19">
                  <c:v>5</c:v>
                </c:pt>
                <c:pt idx="20">
                  <c:v>2</c:v>
                </c:pt>
                <c:pt idx="21">
                  <c:v>13</c:v>
                </c:pt>
                <c:pt idx="22">
                  <c:v>12</c:v>
                </c:pt>
              </c:numCache>
            </c:numRef>
          </c:val>
          <c:extLst>
            <c:ext xmlns:c16="http://schemas.microsoft.com/office/drawing/2014/chart" uri="{C3380CC4-5D6E-409C-BE32-E72D297353CC}">
              <c16:uniqueId val="{00000000-E824-4ED8-96B9-9F217735CAF3}"/>
            </c:ext>
          </c:extLst>
        </c:ser>
        <c:ser>
          <c:idx val="1"/>
          <c:order val="1"/>
          <c:tx>
            <c:strRef>
              <c:f>'INDOPACOM Figure 2'!$A$67</c:f>
              <c:strCache>
                <c:ptCount val="1"/>
                <c:pt idx="0">
                  <c:v>Naval Port Call</c:v>
                </c:pt>
              </c:strCache>
            </c:strRef>
          </c:tx>
          <c:spPr>
            <a:solidFill>
              <a:schemeClr val="accent2"/>
            </a:solidFill>
            <a:ln>
              <a:noFill/>
            </a:ln>
            <a:effectLst/>
          </c:spPr>
          <c:invertIfNegative val="0"/>
          <c:cat>
            <c:numRef>
              <c:f>'INDOPACOM Figure 2'!$B$65:$X$65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'INDOPACOM Figure 2'!$B$67:$X$67</c:f>
              <c:numCache>
                <c:formatCode>General</c:formatCode>
                <c:ptCount val="23"/>
                <c:pt idx="0">
                  <c:v>2</c:v>
                </c:pt>
                <c:pt idx="1">
                  <c:v>3</c:v>
                </c:pt>
                <c:pt idx="2">
                  <c:v>1</c:v>
                </c:pt>
                <c:pt idx="3">
                  <c:v>2</c:v>
                </c:pt>
                <c:pt idx="4">
                  <c:v>1</c:v>
                </c:pt>
                <c:pt idx="5">
                  <c:v>2</c:v>
                </c:pt>
                <c:pt idx="6">
                  <c:v>1</c:v>
                </c:pt>
                <c:pt idx="7">
                  <c:v>7</c:v>
                </c:pt>
                <c:pt idx="8">
                  <c:v>9</c:v>
                </c:pt>
                <c:pt idx="9">
                  <c:v>2</c:v>
                </c:pt>
                <c:pt idx="10">
                  <c:v>2</c:v>
                </c:pt>
                <c:pt idx="11">
                  <c:v>19</c:v>
                </c:pt>
                <c:pt idx="12">
                  <c:v>15</c:v>
                </c:pt>
                <c:pt idx="13">
                  <c:v>3</c:v>
                </c:pt>
                <c:pt idx="14">
                  <c:v>16</c:v>
                </c:pt>
                <c:pt idx="15">
                  <c:v>21</c:v>
                </c:pt>
                <c:pt idx="16">
                  <c:v>7</c:v>
                </c:pt>
                <c:pt idx="17">
                  <c:v>11</c:v>
                </c:pt>
                <c:pt idx="18">
                  <c:v>2</c:v>
                </c:pt>
                <c:pt idx="19">
                  <c:v>0</c:v>
                </c:pt>
                <c:pt idx="20">
                  <c:v>2</c:v>
                </c:pt>
                <c:pt idx="21">
                  <c:v>12</c:v>
                </c:pt>
                <c:pt idx="22">
                  <c:v>13</c:v>
                </c:pt>
              </c:numCache>
            </c:numRef>
          </c:val>
          <c:extLst>
            <c:ext xmlns:c16="http://schemas.microsoft.com/office/drawing/2014/chart" uri="{C3380CC4-5D6E-409C-BE32-E72D297353CC}">
              <c16:uniqueId val="{00000001-E824-4ED8-96B9-9F217735CAF3}"/>
            </c:ext>
          </c:extLst>
        </c:ser>
        <c:ser>
          <c:idx val="2"/>
          <c:order val="2"/>
          <c:tx>
            <c:strRef>
              <c:f>'INDOPACOM Figure 2'!$A$68</c:f>
              <c:strCache>
                <c:ptCount val="1"/>
                <c:pt idx="0">
                  <c:v>Senior Level Visit</c:v>
                </c:pt>
              </c:strCache>
            </c:strRef>
          </c:tx>
          <c:spPr>
            <a:solidFill>
              <a:schemeClr val="accent3"/>
            </a:solidFill>
            <a:ln>
              <a:noFill/>
            </a:ln>
            <a:effectLst/>
          </c:spPr>
          <c:invertIfNegative val="0"/>
          <c:cat>
            <c:numRef>
              <c:f>'INDOPACOM Figure 2'!$B$65:$X$65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'INDOPACOM Figure 2'!$B$68:$X$68</c:f>
              <c:numCache>
                <c:formatCode>General</c:formatCode>
                <c:ptCount val="23"/>
                <c:pt idx="0">
                  <c:v>28</c:v>
                </c:pt>
                <c:pt idx="1">
                  <c:v>25</c:v>
                </c:pt>
                <c:pt idx="2">
                  <c:v>34</c:v>
                </c:pt>
                <c:pt idx="3">
                  <c:v>25</c:v>
                </c:pt>
                <c:pt idx="4">
                  <c:v>35</c:v>
                </c:pt>
                <c:pt idx="5">
                  <c:v>43</c:v>
                </c:pt>
                <c:pt idx="6">
                  <c:v>43</c:v>
                </c:pt>
                <c:pt idx="7">
                  <c:v>49</c:v>
                </c:pt>
                <c:pt idx="8">
                  <c:v>49</c:v>
                </c:pt>
                <c:pt idx="9">
                  <c:v>44</c:v>
                </c:pt>
                <c:pt idx="10">
                  <c:v>32</c:v>
                </c:pt>
                <c:pt idx="11">
                  <c:v>44</c:v>
                </c:pt>
                <c:pt idx="12">
                  <c:v>47</c:v>
                </c:pt>
                <c:pt idx="13">
                  <c:v>52</c:v>
                </c:pt>
                <c:pt idx="14">
                  <c:v>42</c:v>
                </c:pt>
                <c:pt idx="15">
                  <c:v>31</c:v>
                </c:pt>
                <c:pt idx="16">
                  <c:v>47</c:v>
                </c:pt>
                <c:pt idx="17">
                  <c:v>49</c:v>
                </c:pt>
                <c:pt idx="18">
                  <c:v>22</c:v>
                </c:pt>
                <c:pt idx="19">
                  <c:v>15</c:v>
                </c:pt>
                <c:pt idx="20">
                  <c:v>20</c:v>
                </c:pt>
                <c:pt idx="21">
                  <c:v>27</c:v>
                </c:pt>
                <c:pt idx="22">
                  <c:v>40</c:v>
                </c:pt>
              </c:numCache>
            </c:numRef>
          </c:val>
          <c:extLst>
            <c:ext xmlns:c16="http://schemas.microsoft.com/office/drawing/2014/chart" uri="{C3380CC4-5D6E-409C-BE32-E72D297353CC}">
              <c16:uniqueId val="{00000002-E824-4ED8-96B9-9F217735CAF3}"/>
            </c:ext>
          </c:extLst>
        </c:ser>
        <c:dLbls>
          <c:showLegendKey val="0"/>
          <c:showVal val="0"/>
          <c:showCatName val="0"/>
          <c:showSerName val="0"/>
          <c:showPercent val="0"/>
          <c:showBubbleSize val="0"/>
        </c:dLbls>
        <c:gapWidth val="150"/>
        <c:overlap val="100"/>
        <c:axId val="382759616"/>
        <c:axId val="298556064"/>
      </c:barChart>
      <c:catAx>
        <c:axId val="38275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8556064"/>
        <c:crosses val="autoZero"/>
        <c:auto val="1"/>
        <c:lblAlgn val="ctr"/>
        <c:lblOffset val="100"/>
        <c:noMultiLvlLbl val="0"/>
      </c:catAx>
      <c:valAx>
        <c:axId val="298556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759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800" b="1" i="0">
                <a:solidFill>
                  <a:srgbClr val="000000"/>
                </a:solidFill>
                <a:latin typeface="+mn-lt"/>
              </a:defRPr>
            </a:pPr>
            <a:r>
              <a:rPr lang="en-US" sz="1800" b="1" i="0">
                <a:solidFill>
                  <a:srgbClr val="000000"/>
                </a:solidFill>
                <a:latin typeface="+mn-lt"/>
              </a:rPr>
              <a:t>Figure 10. Total PLA International Military Exercises by Service, 2020 through 2024</a:t>
            </a:r>
          </a:p>
        </c:rich>
      </c:tx>
      <c:overlay val="0"/>
    </c:title>
    <c:autoTitleDeleted val="0"/>
    <c:plotArea>
      <c:layout/>
      <c:pieChart>
        <c:varyColors val="1"/>
        <c:ser>
          <c:idx val="0"/>
          <c:order val="0"/>
          <c:tx>
            <c:strRef>
              <c:f>'Figure 9-10'!$B$54</c:f>
              <c:strCache>
                <c:ptCount val="1"/>
                <c:pt idx="0">
                  <c:v>Count of Activity Category</c:v>
                </c:pt>
              </c:strCache>
            </c:strRef>
          </c:tx>
          <c:dPt>
            <c:idx val="0"/>
            <c:bubble3D val="0"/>
            <c:spPr>
              <a:solidFill>
                <a:schemeClr val="accent1"/>
              </a:solidFill>
            </c:spPr>
            <c:extLst>
              <c:ext xmlns:c16="http://schemas.microsoft.com/office/drawing/2014/chart" uri="{C3380CC4-5D6E-409C-BE32-E72D297353CC}">
                <c16:uniqueId val="{00000001-130C-5F41-9E94-1762D045027B}"/>
              </c:ext>
            </c:extLst>
          </c:dPt>
          <c:dPt>
            <c:idx val="1"/>
            <c:bubble3D val="0"/>
            <c:spPr>
              <a:solidFill>
                <a:schemeClr val="accent2"/>
              </a:solidFill>
            </c:spPr>
            <c:extLst>
              <c:ext xmlns:c16="http://schemas.microsoft.com/office/drawing/2014/chart" uri="{C3380CC4-5D6E-409C-BE32-E72D297353CC}">
                <c16:uniqueId val="{00000003-130C-5F41-9E94-1762D045027B}"/>
              </c:ext>
            </c:extLst>
          </c:dPt>
          <c:dPt>
            <c:idx val="2"/>
            <c:bubble3D val="0"/>
            <c:spPr>
              <a:solidFill>
                <a:schemeClr val="accent3"/>
              </a:solidFill>
            </c:spPr>
            <c:extLst>
              <c:ext xmlns:c16="http://schemas.microsoft.com/office/drawing/2014/chart" uri="{C3380CC4-5D6E-409C-BE32-E72D297353CC}">
                <c16:uniqueId val="{00000005-130C-5F41-9E94-1762D045027B}"/>
              </c:ext>
            </c:extLst>
          </c:dPt>
          <c:dPt>
            <c:idx val="3"/>
            <c:bubble3D val="0"/>
            <c:spPr>
              <a:solidFill>
                <a:schemeClr val="accent4"/>
              </a:solidFill>
            </c:spPr>
            <c:extLst>
              <c:ext xmlns:c16="http://schemas.microsoft.com/office/drawing/2014/chart" uri="{C3380CC4-5D6E-409C-BE32-E72D297353CC}">
                <c16:uniqueId val="{00000007-130C-5F41-9E94-1762D045027B}"/>
              </c:ext>
            </c:extLst>
          </c:dPt>
          <c:dPt>
            <c:idx val="4"/>
            <c:bubble3D val="0"/>
            <c:spPr>
              <a:solidFill>
                <a:schemeClr val="accent5"/>
              </a:solidFill>
            </c:spPr>
            <c:extLst>
              <c:ext xmlns:c16="http://schemas.microsoft.com/office/drawing/2014/chart" uri="{C3380CC4-5D6E-409C-BE32-E72D297353CC}">
                <c16:uniqueId val="{00000009-130C-5F41-9E94-1762D045027B}"/>
              </c:ext>
            </c:extLst>
          </c:dPt>
          <c:dPt>
            <c:idx val="5"/>
            <c:bubble3D val="0"/>
            <c:spPr>
              <a:solidFill>
                <a:srgbClr val="70AD47"/>
              </a:solidFill>
            </c:spPr>
            <c:extLst>
              <c:ext xmlns:c16="http://schemas.microsoft.com/office/drawing/2014/chart" uri="{C3380CC4-5D6E-409C-BE32-E72D297353CC}">
                <c16:uniqueId val="{0000000B-130C-5F41-9E94-1762D045027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'Figure 9-10'!$A$55:$A$60</c:f>
              <c:strCache>
                <c:ptCount val="6"/>
                <c:pt idx="0">
                  <c:v>Air Force</c:v>
                </c:pt>
                <c:pt idx="1">
                  <c:v>Army</c:v>
                </c:pt>
                <c:pt idx="2">
                  <c:v>Coast Guard </c:v>
                </c:pt>
                <c:pt idx="3">
                  <c:v>Joint</c:v>
                </c:pt>
                <c:pt idx="4">
                  <c:v>Navy</c:v>
                </c:pt>
                <c:pt idx="5">
                  <c:v>Grand Total</c:v>
                </c:pt>
              </c:strCache>
            </c:strRef>
          </c:cat>
          <c:val>
            <c:numRef>
              <c:f>'Figure 9-10'!$B$55:$B$60</c:f>
              <c:numCache>
                <c:formatCode>General</c:formatCode>
                <c:ptCount val="6"/>
                <c:pt idx="0">
                  <c:v>16</c:v>
                </c:pt>
                <c:pt idx="1">
                  <c:v>32</c:v>
                </c:pt>
                <c:pt idx="2">
                  <c:v>1</c:v>
                </c:pt>
                <c:pt idx="3">
                  <c:v>8</c:v>
                </c:pt>
                <c:pt idx="4">
                  <c:v>28</c:v>
                </c:pt>
                <c:pt idx="5">
                  <c:v>85</c:v>
                </c:pt>
              </c:numCache>
            </c:numRef>
          </c:val>
          <c:extLst>
            <c:ext xmlns:c16="http://schemas.microsoft.com/office/drawing/2014/chart" uri="{C3380CC4-5D6E-409C-BE32-E72D297353CC}">
              <c16:uniqueId val="{0000000C-130C-5F41-9E94-1762D045027B}"/>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Outbound Port Calls, 2002-2024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'Figure 11-12'!$A$17</c:f>
              <c:strCache>
                <c:ptCount val="1"/>
                <c:pt idx="0">
                  <c:v>ETF</c:v>
                </c:pt>
              </c:strCache>
            </c:strRef>
          </c:tx>
          <c:spPr>
            <a:solidFill>
              <a:schemeClr val="accent1"/>
            </a:solidFill>
            <a:ln>
              <a:noFill/>
            </a:ln>
            <a:effectLst/>
          </c:spPr>
          <c:invertIfNegative val="0"/>
          <c:cat>
            <c:numRef>
              <c:f>'Figure 11-12'!$B$16:$X$16</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11-12'!$B$17:$X$17</c:f>
              <c:numCache>
                <c:formatCode>General</c:formatCode>
                <c:ptCount val="23"/>
                <c:pt idx="0">
                  <c:v>0</c:v>
                </c:pt>
                <c:pt idx="1">
                  <c:v>0</c:v>
                </c:pt>
                <c:pt idx="2">
                  <c:v>0</c:v>
                </c:pt>
                <c:pt idx="3">
                  <c:v>0</c:v>
                </c:pt>
                <c:pt idx="4">
                  <c:v>0</c:v>
                </c:pt>
                <c:pt idx="5">
                  <c:v>0</c:v>
                </c:pt>
                <c:pt idx="6">
                  <c:v>0</c:v>
                </c:pt>
                <c:pt idx="7">
                  <c:v>15</c:v>
                </c:pt>
                <c:pt idx="8">
                  <c:v>25</c:v>
                </c:pt>
                <c:pt idx="9">
                  <c:v>18</c:v>
                </c:pt>
                <c:pt idx="10">
                  <c:v>17</c:v>
                </c:pt>
                <c:pt idx="11">
                  <c:v>18</c:v>
                </c:pt>
                <c:pt idx="12">
                  <c:v>29</c:v>
                </c:pt>
                <c:pt idx="13">
                  <c:v>27</c:v>
                </c:pt>
                <c:pt idx="14">
                  <c:v>17</c:v>
                </c:pt>
                <c:pt idx="15">
                  <c:v>11</c:v>
                </c:pt>
                <c:pt idx="16">
                  <c:v>19</c:v>
                </c:pt>
                <c:pt idx="17">
                  <c:v>15</c:v>
                </c:pt>
                <c:pt idx="18">
                  <c:v>3</c:v>
                </c:pt>
                <c:pt idx="19">
                  <c:v>0</c:v>
                </c:pt>
                <c:pt idx="20">
                  <c:v>0</c:v>
                </c:pt>
                <c:pt idx="21">
                  <c:v>13</c:v>
                </c:pt>
                <c:pt idx="22">
                  <c:v>8</c:v>
                </c:pt>
              </c:numCache>
            </c:numRef>
          </c:val>
          <c:extLst>
            <c:ext xmlns:c16="http://schemas.microsoft.com/office/drawing/2014/chart" uri="{C3380CC4-5D6E-409C-BE32-E72D297353CC}">
              <c16:uniqueId val="{00000000-C26F-4251-8F7C-D45950012EBB}"/>
            </c:ext>
          </c:extLst>
        </c:ser>
        <c:ser>
          <c:idx val="1"/>
          <c:order val="1"/>
          <c:tx>
            <c:strRef>
              <c:f>'Figure 11-12'!$A$18</c:f>
              <c:strCache>
                <c:ptCount val="1"/>
                <c:pt idx="0">
                  <c:v>NETF</c:v>
                </c:pt>
              </c:strCache>
            </c:strRef>
          </c:tx>
          <c:spPr>
            <a:solidFill>
              <a:schemeClr val="accent2"/>
            </a:solidFill>
            <a:ln>
              <a:noFill/>
            </a:ln>
            <a:effectLst/>
          </c:spPr>
          <c:invertIfNegative val="0"/>
          <c:cat>
            <c:numRef>
              <c:f>'Figure 11-12'!$B$16:$X$16</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11-12'!$B$18:$X$18</c:f>
              <c:numCache>
                <c:formatCode>General</c:formatCode>
                <c:ptCount val="23"/>
                <c:pt idx="0">
                  <c:v>11</c:v>
                </c:pt>
                <c:pt idx="1">
                  <c:v>4</c:v>
                </c:pt>
                <c:pt idx="2">
                  <c:v>1</c:v>
                </c:pt>
                <c:pt idx="3">
                  <c:v>4</c:v>
                </c:pt>
                <c:pt idx="4">
                  <c:v>3</c:v>
                </c:pt>
                <c:pt idx="5">
                  <c:v>6</c:v>
                </c:pt>
                <c:pt idx="6">
                  <c:v>1</c:v>
                </c:pt>
                <c:pt idx="7">
                  <c:v>6</c:v>
                </c:pt>
                <c:pt idx="8">
                  <c:v>6</c:v>
                </c:pt>
                <c:pt idx="9">
                  <c:v>4</c:v>
                </c:pt>
                <c:pt idx="10">
                  <c:v>0</c:v>
                </c:pt>
                <c:pt idx="11">
                  <c:v>21</c:v>
                </c:pt>
                <c:pt idx="12">
                  <c:v>10</c:v>
                </c:pt>
                <c:pt idx="13">
                  <c:v>12</c:v>
                </c:pt>
                <c:pt idx="14">
                  <c:v>6</c:v>
                </c:pt>
                <c:pt idx="15">
                  <c:v>39</c:v>
                </c:pt>
                <c:pt idx="16">
                  <c:v>14</c:v>
                </c:pt>
                <c:pt idx="17">
                  <c:v>7</c:v>
                </c:pt>
                <c:pt idx="18">
                  <c:v>0</c:v>
                </c:pt>
                <c:pt idx="19">
                  <c:v>0</c:v>
                </c:pt>
                <c:pt idx="20">
                  <c:v>2</c:v>
                </c:pt>
                <c:pt idx="21">
                  <c:v>9</c:v>
                </c:pt>
                <c:pt idx="22">
                  <c:v>27</c:v>
                </c:pt>
              </c:numCache>
            </c:numRef>
          </c:val>
          <c:extLst>
            <c:ext xmlns:c16="http://schemas.microsoft.com/office/drawing/2014/chart" uri="{C3380CC4-5D6E-409C-BE32-E72D297353CC}">
              <c16:uniqueId val="{00000001-C26F-4251-8F7C-D45950012EBB}"/>
            </c:ext>
          </c:extLst>
        </c:ser>
        <c:dLbls>
          <c:showLegendKey val="0"/>
          <c:showVal val="0"/>
          <c:showCatName val="0"/>
          <c:showSerName val="0"/>
          <c:showPercent val="0"/>
          <c:showBubbleSize val="0"/>
        </c:dLbls>
        <c:gapWidth val="150"/>
        <c:overlap val="100"/>
        <c:axId val="230707295"/>
        <c:axId val="223822831"/>
      </c:barChart>
      <c:catAx>
        <c:axId val="230707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3822831"/>
        <c:crosses val="autoZero"/>
        <c:auto val="1"/>
        <c:lblAlgn val="ctr"/>
        <c:lblOffset val="100"/>
        <c:noMultiLvlLbl val="0"/>
      </c:catAx>
      <c:valAx>
        <c:axId val="2238228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0707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rgbClr val="000000">
                    <a:lumMod val="65000"/>
                    <a:lumOff val="35000"/>
                  </a:srgbClr>
                </a:solidFill>
              </a:rPr>
              <a:t>Total Outbound Port Calls, 2020-2024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'Figure 11-12'!$B$50</c:f>
              <c:strCache>
                <c:ptCount val="1"/>
                <c:pt idx="0">
                  <c:v>ETF</c:v>
                </c:pt>
              </c:strCache>
            </c:strRef>
          </c:tx>
          <c:spPr>
            <a:solidFill>
              <a:schemeClr val="accent1"/>
            </a:solidFill>
            <a:ln>
              <a:noFill/>
            </a:ln>
            <a:effectLst/>
          </c:spPr>
          <c:invertIfNegative val="0"/>
          <c:cat>
            <c:numRef>
              <c:f>'Figure 11-12'!$A$51:$A$55</c:f>
              <c:numCache>
                <c:formatCode>General</c:formatCode>
                <c:ptCount val="5"/>
                <c:pt idx="0">
                  <c:v>2020</c:v>
                </c:pt>
                <c:pt idx="1">
                  <c:v>2021</c:v>
                </c:pt>
                <c:pt idx="2">
                  <c:v>2022</c:v>
                </c:pt>
                <c:pt idx="3">
                  <c:v>2023</c:v>
                </c:pt>
                <c:pt idx="4">
                  <c:v>2024</c:v>
                </c:pt>
              </c:numCache>
            </c:numRef>
          </c:cat>
          <c:val>
            <c:numRef>
              <c:f>'Figure 11-12'!$B$51:$B$55</c:f>
              <c:numCache>
                <c:formatCode>General</c:formatCode>
                <c:ptCount val="5"/>
                <c:pt idx="0">
                  <c:v>3</c:v>
                </c:pt>
                <c:pt idx="1">
                  <c:v>0</c:v>
                </c:pt>
                <c:pt idx="2">
                  <c:v>0</c:v>
                </c:pt>
                <c:pt idx="3">
                  <c:v>13</c:v>
                </c:pt>
                <c:pt idx="4">
                  <c:v>8</c:v>
                </c:pt>
              </c:numCache>
            </c:numRef>
          </c:val>
          <c:extLst>
            <c:ext xmlns:c16="http://schemas.microsoft.com/office/drawing/2014/chart" uri="{C3380CC4-5D6E-409C-BE32-E72D297353CC}">
              <c16:uniqueId val="{00000000-0799-43E5-9DC4-7ED488D14C1F}"/>
            </c:ext>
          </c:extLst>
        </c:ser>
        <c:ser>
          <c:idx val="1"/>
          <c:order val="1"/>
          <c:tx>
            <c:strRef>
              <c:f>'Figure 11-12'!$C$50</c:f>
              <c:strCache>
                <c:ptCount val="1"/>
                <c:pt idx="0">
                  <c:v>NETF</c:v>
                </c:pt>
              </c:strCache>
            </c:strRef>
          </c:tx>
          <c:spPr>
            <a:solidFill>
              <a:schemeClr val="accent2"/>
            </a:solidFill>
            <a:ln>
              <a:noFill/>
            </a:ln>
            <a:effectLst/>
          </c:spPr>
          <c:invertIfNegative val="0"/>
          <c:cat>
            <c:numRef>
              <c:f>'Figure 11-12'!$A$51:$A$55</c:f>
              <c:numCache>
                <c:formatCode>General</c:formatCode>
                <c:ptCount val="5"/>
                <c:pt idx="0">
                  <c:v>2020</c:v>
                </c:pt>
                <c:pt idx="1">
                  <c:v>2021</c:v>
                </c:pt>
                <c:pt idx="2">
                  <c:v>2022</c:v>
                </c:pt>
                <c:pt idx="3">
                  <c:v>2023</c:v>
                </c:pt>
                <c:pt idx="4">
                  <c:v>2024</c:v>
                </c:pt>
              </c:numCache>
            </c:numRef>
          </c:cat>
          <c:val>
            <c:numRef>
              <c:f>'Figure 11-12'!$C$51:$C$55</c:f>
              <c:numCache>
                <c:formatCode>General</c:formatCode>
                <c:ptCount val="5"/>
                <c:pt idx="0">
                  <c:v>0</c:v>
                </c:pt>
                <c:pt idx="1">
                  <c:v>0</c:v>
                </c:pt>
                <c:pt idx="2">
                  <c:v>2</c:v>
                </c:pt>
                <c:pt idx="3">
                  <c:v>9</c:v>
                </c:pt>
                <c:pt idx="4">
                  <c:v>27</c:v>
                </c:pt>
              </c:numCache>
            </c:numRef>
          </c:val>
          <c:extLst>
            <c:ext xmlns:c16="http://schemas.microsoft.com/office/drawing/2014/chart" uri="{C3380CC4-5D6E-409C-BE32-E72D297353CC}">
              <c16:uniqueId val="{00000001-0799-43E5-9DC4-7ED488D14C1F}"/>
            </c:ext>
          </c:extLst>
        </c:ser>
        <c:dLbls>
          <c:showLegendKey val="0"/>
          <c:showVal val="0"/>
          <c:showCatName val="0"/>
          <c:showSerName val="0"/>
          <c:showPercent val="0"/>
          <c:showBubbleSize val="0"/>
        </c:dLbls>
        <c:gapWidth val="150"/>
        <c:overlap val="100"/>
        <c:axId val="664870032"/>
        <c:axId val="664866672"/>
      </c:barChart>
      <c:catAx>
        <c:axId val="66487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866672"/>
        <c:crosses val="autoZero"/>
        <c:auto val="1"/>
        <c:lblAlgn val="ctr"/>
        <c:lblOffset val="100"/>
        <c:noMultiLvlLbl val="0"/>
      </c:catAx>
      <c:valAx>
        <c:axId val="664866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870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13. Aggregate PLA Military Diplomatic Interactions in Asia, 2002-2024</a:t>
            </a:r>
          </a:p>
        </c:rich>
      </c:tx>
      <c:layout>
        <c:manualLayout>
          <c:xMode val="edge"/>
          <c:yMode val="edge"/>
          <c:x val="0.12176567140372171"/>
          <c:y val="2.4077052635091224E-2"/>
        </c:manualLayout>
      </c:layout>
      <c:overlay val="0"/>
    </c:title>
    <c:autoTitleDeleted val="0"/>
    <c:plotArea>
      <c:layout/>
      <c:areaChart>
        <c:grouping val="stacked"/>
        <c:varyColors val="1"/>
        <c:ser>
          <c:idx val="0"/>
          <c:order val="0"/>
          <c:tx>
            <c:v>Central Asia</c:v>
          </c:tx>
          <c:spPr>
            <a:solidFill>
              <a:srgbClr val="5B9BD5">
                <a:alpha val="30000"/>
              </a:srgbClr>
            </a:solidFill>
            <a:ln cmpd="sng">
              <a:solidFill>
                <a:srgbClr val="5B9BD5"/>
              </a:solidFill>
            </a:ln>
          </c:spPr>
          <c:cat>
            <c:numRef>
              <c:f>'Figure 13-14'!$B$37:$X$37</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13-14'!$B$38:$X$38</c:f>
              <c:numCache>
                <c:formatCode>General</c:formatCode>
                <c:ptCount val="23"/>
                <c:pt idx="0">
                  <c:v>9</c:v>
                </c:pt>
                <c:pt idx="1">
                  <c:v>6</c:v>
                </c:pt>
                <c:pt idx="2">
                  <c:v>4</c:v>
                </c:pt>
                <c:pt idx="3">
                  <c:v>11</c:v>
                </c:pt>
                <c:pt idx="4">
                  <c:v>11</c:v>
                </c:pt>
                <c:pt idx="5">
                  <c:v>6</c:v>
                </c:pt>
                <c:pt idx="6">
                  <c:v>2</c:v>
                </c:pt>
                <c:pt idx="7">
                  <c:v>6</c:v>
                </c:pt>
                <c:pt idx="8">
                  <c:v>6</c:v>
                </c:pt>
                <c:pt idx="9">
                  <c:v>12</c:v>
                </c:pt>
                <c:pt idx="10">
                  <c:v>10</c:v>
                </c:pt>
                <c:pt idx="11">
                  <c:v>7</c:v>
                </c:pt>
                <c:pt idx="12">
                  <c:v>11</c:v>
                </c:pt>
                <c:pt idx="13">
                  <c:v>7</c:v>
                </c:pt>
                <c:pt idx="14">
                  <c:v>12</c:v>
                </c:pt>
                <c:pt idx="15">
                  <c:v>5</c:v>
                </c:pt>
                <c:pt idx="16">
                  <c:v>11</c:v>
                </c:pt>
                <c:pt idx="17">
                  <c:v>11</c:v>
                </c:pt>
                <c:pt idx="18">
                  <c:v>1</c:v>
                </c:pt>
                <c:pt idx="19">
                  <c:v>2</c:v>
                </c:pt>
                <c:pt idx="20">
                  <c:v>5</c:v>
                </c:pt>
                <c:pt idx="21">
                  <c:v>7</c:v>
                </c:pt>
                <c:pt idx="22">
                  <c:v>8</c:v>
                </c:pt>
              </c:numCache>
            </c:numRef>
          </c:val>
          <c:extLst>
            <c:ext xmlns:c16="http://schemas.microsoft.com/office/drawing/2014/chart" uri="{C3380CC4-5D6E-409C-BE32-E72D297353CC}">
              <c16:uniqueId val="{00000000-4D4F-6F43-9D03-FD238D0EA4B6}"/>
            </c:ext>
          </c:extLst>
        </c:ser>
        <c:ser>
          <c:idx val="1"/>
          <c:order val="1"/>
          <c:tx>
            <c:v>Northeast Asia</c:v>
          </c:tx>
          <c:spPr>
            <a:solidFill>
              <a:srgbClr val="ED7D31">
                <a:alpha val="30000"/>
              </a:srgbClr>
            </a:solidFill>
            <a:ln cmpd="sng">
              <a:solidFill>
                <a:srgbClr val="ED7D31"/>
              </a:solidFill>
            </a:ln>
          </c:spPr>
          <c:cat>
            <c:numRef>
              <c:f>'Figure 13-14'!$B$37:$X$37</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13-14'!$B$39:$X$39</c:f>
              <c:numCache>
                <c:formatCode>General</c:formatCode>
                <c:ptCount val="23"/>
                <c:pt idx="0">
                  <c:v>10</c:v>
                </c:pt>
                <c:pt idx="1">
                  <c:v>8</c:v>
                </c:pt>
                <c:pt idx="2">
                  <c:v>9</c:v>
                </c:pt>
                <c:pt idx="3">
                  <c:v>4</c:v>
                </c:pt>
                <c:pt idx="4">
                  <c:v>5</c:v>
                </c:pt>
                <c:pt idx="5">
                  <c:v>12</c:v>
                </c:pt>
                <c:pt idx="6">
                  <c:v>9</c:v>
                </c:pt>
                <c:pt idx="7">
                  <c:v>16</c:v>
                </c:pt>
                <c:pt idx="8">
                  <c:v>7</c:v>
                </c:pt>
                <c:pt idx="9">
                  <c:v>8</c:v>
                </c:pt>
                <c:pt idx="10">
                  <c:v>3</c:v>
                </c:pt>
                <c:pt idx="11">
                  <c:v>7</c:v>
                </c:pt>
                <c:pt idx="12">
                  <c:v>9</c:v>
                </c:pt>
                <c:pt idx="13">
                  <c:v>13</c:v>
                </c:pt>
                <c:pt idx="14">
                  <c:v>5</c:v>
                </c:pt>
                <c:pt idx="15">
                  <c:v>3</c:v>
                </c:pt>
                <c:pt idx="16">
                  <c:v>8</c:v>
                </c:pt>
                <c:pt idx="17">
                  <c:v>13</c:v>
                </c:pt>
                <c:pt idx="18">
                  <c:v>4</c:v>
                </c:pt>
                <c:pt idx="19">
                  <c:v>5</c:v>
                </c:pt>
                <c:pt idx="20">
                  <c:v>5</c:v>
                </c:pt>
                <c:pt idx="21">
                  <c:v>7</c:v>
                </c:pt>
                <c:pt idx="22">
                  <c:v>4</c:v>
                </c:pt>
              </c:numCache>
            </c:numRef>
          </c:val>
          <c:extLst>
            <c:ext xmlns:c16="http://schemas.microsoft.com/office/drawing/2014/chart" uri="{C3380CC4-5D6E-409C-BE32-E72D297353CC}">
              <c16:uniqueId val="{00000001-4D4F-6F43-9D03-FD238D0EA4B6}"/>
            </c:ext>
          </c:extLst>
        </c:ser>
        <c:ser>
          <c:idx val="2"/>
          <c:order val="2"/>
          <c:tx>
            <c:v>South Asia</c:v>
          </c:tx>
          <c:spPr>
            <a:solidFill>
              <a:srgbClr val="A5A5A5">
                <a:alpha val="30000"/>
              </a:srgbClr>
            </a:solidFill>
            <a:ln cmpd="sng">
              <a:solidFill>
                <a:srgbClr val="A5A5A5"/>
              </a:solidFill>
            </a:ln>
          </c:spPr>
          <c:cat>
            <c:numRef>
              <c:f>'Figure 13-14'!$B$37:$X$37</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13-14'!$B$40:$X$40</c:f>
              <c:numCache>
                <c:formatCode>General</c:formatCode>
                <c:ptCount val="23"/>
                <c:pt idx="0">
                  <c:v>9</c:v>
                </c:pt>
                <c:pt idx="1">
                  <c:v>7</c:v>
                </c:pt>
                <c:pt idx="2">
                  <c:v>8</c:v>
                </c:pt>
                <c:pt idx="3">
                  <c:v>14</c:v>
                </c:pt>
                <c:pt idx="4">
                  <c:v>10</c:v>
                </c:pt>
                <c:pt idx="5">
                  <c:v>9</c:v>
                </c:pt>
                <c:pt idx="6">
                  <c:v>9</c:v>
                </c:pt>
                <c:pt idx="7">
                  <c:v>16</c:v>
                </c:pt>
                <c:pt idx="8">
                  <c:v>18</c:v>
                </c:pt>
                <c:pt idx="9">
                  <c:v>16</c:v>
                </c:pt>
                <c:pt idx="10">
                  <c:v>13</c:v>
                </c:pt>
                <c:pt idx="11">
                  <c:v>17</c:v>
                </c:pt>
                <c:pt idx="12">
                  <c:v>18</c:v>
                </c:pt>
                <c:pt idx="13">
                  <c:v>21</c:v>
                </c:pt>
                <c:pt idx="14">
                  <c:v>30</c:v>
                </c:pt>
                <c:pt idx="15">
                  <c:v>29</c:v>
                </c:pt>
                <c:pt idx="16">
                  <c:v>20</c:v>
                </c:pt>
                <c:pt idx="17">
                  <c:v>19</c:v>
                </c:pt>
                <c:pt idx="18">
                  <c:v>9</c:v>
                </c:pt>
                <c:pt idx="19">
                  <c:v>8</c:v>
                </c:pt>
                <c:pt idx="20">
                  <c:v>4</c:v>
                </c:pt>
                <c:pt idx="21">
                  <c:v>11</c:v>
                </c:pt>
                <c:pt idx="22">
                  <c:v>11</c:v>
                </c:pt>
              </c:numCache>
            </c:numRef>
          </c:val>
          <c:extLst>
            <c:ext xmlns:c16="http://schemas.microsoft.com/office/drawing/2014/chart" uri="{C3380CC4-5D6E-409C-BE32-E72D297353CC}">
              <c16:uniqueId val="{00000002-4D4F-6F43-9D03-FD238D0EA4B6}"/>
            </c:ext>
          </c:extLst>
        </c:ser>
        <c:ser>
          <c:idx val="3"/>
          <c:order val="3"/>
          <c:tx>
            <c:v>Southeast Asia</c:v>
          </c:tx>
          <c:spPr>
            <a:solidFill>
              <a:srgbClr val="FFC000">
                <a:alpha val="30000"/>
              </a:srgbClr>
            </a:solidFill>
            <a:ln cmpd="sng">
              <a:solidFill>
                <a:srgbClr val="FFC000"/>
              </a:solidFill>
            </a:ln>
          </c:spPr>
          <c:cat>
            <c:numRef>
              <c:f>'Figure 13-14'!$B$37:$X$37</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 13-14'!$B$41:$X$41</c:f>
              <c:numCache>
                <c:formatCode>General</c:formatCode>
                <c:ptCount val="23"/>
                <c:pt idx="0">
                  <c:v>14</c:v>
                </c:pt>
                <c:pt idx="1">
                  <c:v>12</c:v>
                </c:pt>
                <c:pt idx="2">
                  <c:v>15</c:v>
                </c:pt>
                <c:pt idx="3">
                  <c:v>11</c:v>
                </c:pt>
                <c:pt idx="4">
                  <c:v>21</c:v>
                </c:pt>
                <c:pt idx="5">
                  <c:v>27</c:v>
                </c:pt>
                <c:pt idx="6">
                  <c:v>23</c:v>
                </c:pt>
                <c:pt idx="7">
                  <c:v>30</c:v>
                </c:pt>
                <c:pt idx="8">
                  <c:v>38</c:v>
                </c:pt>
                <c:pt idx="9">
                  <c:v>27</c:v>
                </c:pt>
                <c:pt idx="10">
                  <c:v>23</c:v>
                </c:pt>
                <c:pt idx="11">
                  <c:v>34</c:v>
                </c:pt>
                <c:pt idx="12">
                  <c:v>38</c:v>
                </c:pt>
                <c:pt idx="13">
                  <c:v>36</c:v>
                </c:pt>
                <c:pt idx="14">
                  <c:v>42</c:v>
                </c:pt>
                <c:pt idx="15">
                  <c:v>44</c:v>
                </c:pt>
                <c:pt idx="16">
                  <c:v>39</c:v>
                </c:pt>
                <c:pt idx="17">
                  <c:v>47</c:v>
                </c:pt>
                <c:pt idx="18">
                  <c:v>18</c:v>
                </c:pt>
                <c:pt idx="19">
                  <c:v>13</c:v>
                </c:pt>
                <c:pt idx="20">
                  <c:v>17</c:v>
                </c:pt>
                <c:pt idx="21">
                  <c:v>37</c:v>
                </c:pt>
                <c:pt idx="22">
                  <c:v>45</c:v>
                </c:pt>
              </c:numCache>
            </c:numRef>
          </c:val>
          <c:extLst>
            <c:ext xmlns:c16="http://schemas.microsoft.com/office/drawing/2014/chart" uri="{C3380CC4-5D6E-409C-BE32-E72D297353CC}">
              <c16:uniqueId val="{00000003-4D4F-6F43-9D03-FD238D0EA4B6}"/>
            </c:ext>
          </c:extLst>
        </c:ser>
        <c:dLbls>
          <c:showLegendKey val="0"/>
          <c:showVal val="0"/>
          <c:showCatName val="0"/>
          <c:showSerName val="0"/>
          <c:showPercent val="0"/>
          <c:showBubbleSize val="0"/>
        </c:dLbls>
        <c:axId val="391103253"/>
        <c:axId val="1516017844"/>
      </c:areaChart>
      <c:catAx>
        <c:axId val="39110325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1516017844"/>
        <c:crosses val="autoZero"/>
        <c:auto val="1"/>
        <c:lblAlgn val="ctr"/>
        <c:lblOffset val="100"/>
        <c:noMultiLvlLbl val="1"/>
      </c:catAx>
      <c:valAx>
        <c:axId val="15160178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391103253"/>
        <c:crosses val="autoZero"/>
        <c:crossBetween val="midCat"/>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800" b="1" i="0">
                <a:solidFill>
                  <a:srgbClr val="000000"/>
                </a:solidFill>
                <a:latin typeface="+mn-lt"/>
              </a:defRPr>
            </a:pPr>
            <a:r>
              <a:rPr lang="en-US" sz="1800" b="1" i="0">
                <a:solidFill>
                  <a:srgbClr val="000000"/>
                </a:solidFill>
                <a:latin typeface="+mn-lt"/>
              </a:rPr>
              <a:t>Figure 14. PLA Military Diplomatic Interactions in Asia, 2002-2024</a:t>
            </a:r>
          </a:p>
        </c:rich>
      </c:tx>
      <c:layout>
        <c:manualLayout>
          <c:xMode val="edge"/>
          <c:yMode val="edge"/>
          <c:x val="7.9446041831896727E-2"/>
          <c:y val="4.4532645040040196E-2"/>
        </c:manualLayout>
      </c:layout>
      <c:overlay val="0"/>
    </c:title>
    <c:autoTitleDeleted val="0"/>
    <c:plotArea>
      <c:layout/>
      <c:pieChart>
        <c:varyColors val="1"/>
        <c:ser>
          <c:idx val="0"/>
          <c:order val="0"/>
          <c:tx>
            <c:strRef>
              <c:f>'Figure 13-14'!$B$70</c:f>
              <c:strCache>
                <c:ptCount val="1"/>
                <c:pt idx="0">
                  <c:v>Count of Activity Category</c:v>
                </c:pt>
              </c:strCache>
            </c:strRef>
          </c:tx>
          <c:dPt>
            <c:idx val="0"/>
            <c:bubble3D val="0"/>
            <c:spPr>
              <a:solidFill>
                <a:schemeClr val="accent1"/>
              </a:solidFill>
            </c:spPr>
            <c:extLst>
              <c:ext xmlns:c16="http://schemas.microsoft.com/office/drawing/2014/chart" uri="{C3380CC4-5D6E-409C-BE32-E72D297353CC}">
                <c16:uniqueId val="{00000001-F9A9-144A-9FC7-19E0B1532FDD}"/>
              </c:ext>
            </c:extLst>
          </c:dPt>
          <c:dPt>
            <c:idx val="1"/>
            <c:bubble3D val="0"/>
            <c:spPr>
              <a:solidFill>
                <a:schemeClr val="accent2"/>
              </a:solidFill>
            </c:spPr>
            <c:extLst>
              <c:ext xmlns:c16="http://schemas.microsoft.com/office/drawing/2014/chart" uri="{C3380CC4-5D6E-409C-BE32-E72D297353CC}">
                <c16:uniqueId val="{00000003-F9A9-144A-9FC7-19E0B1532FDD}"/>
              </c:ext>
            </c:extLst>
          </c:dPt>
          <c:dPt>
            <c:idx val="2"/>
            <c:bubble3D val="0"/>
            <c:spPr>
              <a:solidFill>
                <a:schemeClr val="accent3"/>
              </a:solidFill>
            </c:spPr>
            <c:extLst>
              <c:ext xmlns:c16="http://schemas.microsoft.com/office/drawing/2014/chart" uri="{C3380CC4-5D6E-409C-BE32-E72D297353CC}">
                <c16:uniqueId val="{00000005-F9A9-144A-9FC7-19E0B1532FDD}"/>
              </c:ext>
            </c:extLst>
          </c:dPt>
          <c:dPt>
            <c:idx val="3"/>
            <c:bubble3D val="0"/>
            <c:spPr>
              <a:solidFill>
                <a:schemeClr val="accent4"/>
              </a:solidFill>
            </c:spPr>
            <c:extLst>
              <c:ext xmlns:c16="http://schemas.microsoft.com/office/drawing/2014/chart" uri="{C3380CC4-5D6E-409C-BE32-E72D297353CC}">
                <c16:uniqueId val="{00000007-F9A9-144A-9FC7-19E0B1532FDD}"/>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'Figure 13-14'!$A$71:$A$75</c15:sqref>
                  </c15:fullRef>
                </c:ext>
              </c:extLst>
              <c:f>'Figure 13-14'!$A$71:$A$74</c:f>
              <c:strCache>
                <c:ptCount val="4"/>
                <c:pt idx="0">
                  <c:v>Central Asia</c:v>
                </c:pt>
                <c:pt idx="1">
                  <c:v>Northeast Asia</c:v>
                </c:pt>
                <c:pt idx="2">
                  <c:v>South Asia</c:v>
                </c:pt>
                <c:pt idx="3">
                  <c:v>Southeast Asia</c:v>
                </c:pt>
              </c:strCache>
            </c:strRef>
          </c:cat>
          <c:val>
            <c:numRef>
              <c:extLst>
                <c:ext xmlns:c15="http://schemas.microsoft.com/office/drawing/2012/chart" uri="{02D57815-91ED-43cb-92C2-25804820EDAC}">
                  <c15:fullRef>
                    <c15:sqref>'Figure 13-14'!$B$71:$B$75</c15:sqref>
                  </c15:fullRef>
                </c:ext>
              </c:extLst>
              <c:f>'Figure 13-14'!$B$71:$B$74</c:f>
              <c:numCache>
                <c:formatCode>General</c:formatCode>
                <c:ptCount val="4"/>
                <c:pt idx="0">
                  <c:v>170</c:v>
                </c:pt>
                <c:pt idx="1">
                  <c:v>174</c:v>
                </c:pt>
                <c:pt idx="2">
                  <c:v>326</c:v>
                </c:pt>
                <c:pt idx="3">
                  <c:v>651</c:v>
                </c:pt>
              </c:numCache>
            </c:numRef>
          </c:val>
          <c:extLst>
            <c:ext xmlns:c15="http://schemas.microsoft.com/office/drawing/2012/chart" uri="{02D57815-91ED-43cb-92C2-25804820EDAC}">
              <c15:categoryFilterExceptions>
                <c15:categoryFilterException>
                  <c15:sqref>'Figure 13-14'!$B$75</c15:sqref>
                  <c15:spPr xmlns:c15="http://schemas.microsoft.com/office/drawing/2012/chart">
                    <a:solidFill>
                      <a:schemeClr val="accent5"/>
                    </a:solidFill>
                  </c15:spPr>
                  <c15:bubble3D val="0"/>
                </c15:categoryFilterException>
              </c15:categoryFilterExceptions>
            </c:ext>
            <c:ext xmlns:c16="http://schemas.microsoft.com/office/drawing/2014/chart" uri="{C3380CC4-5D6E-409C-BE32-E72D297353CC}">
              <c16:uniqueId val="{0000000A-F9A9-144A-9FC7-19E0B1532FDD}"/>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000000"/>
                </a:solidFill>
                <a:latin typeface="+mn-lt"/>
              </a:defRPr>
            </a:pPr>
            <a:r>
              <a:rPr lang="en-US" sz="1400" b="0" i="0">
                <a:solidFill>
                  <a:srgbClr val="000000"/>
                </a:solidFill>
                <a:latin typeface="+mn-lt"/>
              </a:rPr>
              <a:t>Figure 15. PLA Military Diplomacy by Geographic Region, 2002-2024</a:t>
            </a:r>
          </a:p>
        </c:rich>
      </c:tx>
      <c:overlay val="0"/>
    </c:title>
    <c:autoTitleDeleted val="0"/>
    <c:plotArea>
      <c:layout/>
      <c:barChart>
        <c:barDir val="col"/>
        <c:grouping val="clustered"/>
        <c:varyColors val="1"/>
        <c:ser>
          <c:idx val="0"/>
          <c:order val="0"/>
          <c:tx>
            <c:v>Total</c:v>
          </c:tx>
          <c:spPr>
            <a:solidFill>
              <a:srgbClr val="5B9BD5"/>
            </a:solidFill>
            <a:ln cmpd="sng">
              <a:solidFill>
                <a:srgbClr val="000000"/>
              </a:solidFill>
            </a:ln>
          </c:spPr>
          <c:invertIfNegative val="1"/>
          <c:dLbls>
            <c:spPr>
              <a:noFill/>
              <a:ln>
                <a:noFill/>
              </a:ln>
              <a:effectLst/>
            </c:spPr>
            <c:txPr>
              <a:bodyPr/>
              <a:lstStyle/>
              <a:p>
                <a:pPr lvl="0">
                  <a:defRPr sz="900" b="0" i="0">
                    <a:latin typeface="Calibri Ligh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'Figure 15'!$A$83:$A$95</c15:sqref>
                  </c15:fullRef>
                </c:ext>
              </c:extLst>
              <c:f>'Figure 15'!$A$83:$A$94</c:f>
              <c:strCache>
                <c:ptCount val="12"/>
                <c:pt idx="0">
                  <c:v>Africa</c:v>
                </c:pt>
                <c:pt idx="1">
                  <c:v>Central Asia</c:v>
                </c:pt>
                <c:pt idx="2">
                  <c:v>Europe</c:v>
                </c:pt>
                <c:pt idx="3">
                  <c:v>Middle East</c:v>
                </c:pt>
                <c:pt idx="4">
                  <c:v>N/A</c:v>
                </c:pt>
                <c:pt idx="5">
                  <c:v>North America</c:v>
                </c:pt>
                <c:pt idx="6">
                  <c:v>Northeast Asia</c:v>
                </c:pt>
                <c:pt idx="7">
                  <c:v>Oceania</c:v>
                </c:pt>
                <c:pt idx="8">
                  <c:v>Russia</c:v>
                </c:pt>
                <c:pt idx="9">
                  <c:v>South America</c:v>
                </c:pt>
                <c:pt idx="10">
                  <c:v>South Asia</c:v>
                </c:pt>
                <c:pt idx="11">
                  <c:v>Southeast Asia</c:v>
                </c:pt>
              </c:strCache>
            </c:strRef>
          </c:cat>
          <c:val>
            <c:numRef>
              <c:extLst>
                <c:ext xmlns:c15="http://schemas.microsoft.com/office/drawing/2012/chart" uri="{02D57815-91ED-43cb-92C2-25804820EDAC}">
                  <c15:fullRef>
                    <c15:sqref>'Figure 15'!$B$83:$B$95</c15:sqref>
                  </c15:fullRef>
                </c:ext>
              </c:extLst>
              <c:f>'Figure 15'!$B$83:$B$94</c:f>
              <c:numCache>
                <c:formatCode>General</c:formatCode>
                <c:ptCount val="12"/>
                <c:pt idx="0">
                  <c:v>389</c:v>
                </c:pt>
                <c:pt idx="1">
                  <c:v>170</c:v>
                </c:pt>
                <c:pt idx="2">
                  <c:v>637</c:v>
                </c:pt>
                <c:pt idx="3">
                  <c:v>243</c:v>
                </c:pt>
                <c:pt idx="4">
                  <c:v>2</c:v>
                </c:pt>
                <c:pt idx="5">
                  <c:v>172</c:v>
                </c:pt>
                <c:pt idx="6">
                  <c:v>174</c:v>
                </c:pt>
                <c:pt idx="7">
                  <c:v>176</c:v>
                </c:pt>
                <c:pt idx="8">
                  <c:v>161</c:v>
                </c:pt>
                <c:pt idx="9">
                  <c:v>238</c:v>
                </c:pt>
                <c:pt idx="10">
                  <c:v>326</c:v>
                </c:pt>
                <c:pt idx="11">
                  <c:v>651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E58-0E45-9ECD-A2A204EE0833}"/>
            </c:ext>
          </c:extLst>
        </c:ser>
        <c:dLbls>
          <c:showLegendKey val="0"/>
          <c:showVal val="0"/>
          <c:showCatName val="0"/>
          <c:showSerName val="0"/>
          <c:showPercent val="0"/>
          <c:showBubbleSize val="0"/>
        </c:dLbls>
        <c:gapWidth val="150"/>
        <c:axId val="1460231174"/>
        <c:axId val="1463351152"/>
      </c:barChart>
      <c:catAx>
        <c:axId val="146023117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Calibri Light"/>
              </a:defRPr>
            </a:pPr>
            <a:endParaRPr lang="en-US"/>
          </a:p>
        </c:txPr>
        <c:crossAx val="1463351152"/>
        <c:crosses val="autoZero"/>
        <c:auto val="1"/>
        <c:lblAlgn val="ctr"/>
        <c:lblOffset val="100"/>
        <c:noMultiLvlLbl val="1"/>
      </c:catAx>
      <c:valAx>
        <c:axId val="14633511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460231174"/>
        <c:crosses val="autoZero"/>
        <c:crossBetween val="between"/>
      </c:valAx>
    </c:plotArea>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15. PLA Military Diplomacy by Geographic Region, 2002-2024</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'Figure 15'!$A$102:$A$110</c:f>
              <c:strCache>
                <c:ptCount val="9"/>
                <c:pt idx="0">
                  <c:v>Africa</c:v>
                </c:pt>
                <c:pt idx="1">
                  <c:v>Asia</c:v>
                </c:pt>
                <c:pt idx="2">
                  <c:v>Europe</c:v>
                </c:pt>
                <c:pt idx="3">
                  <c:v>Middle East</c:v>
                </c:pt>
                <c:pt idx="4">
                  <c:v>N/A</c:v>
                </c:pt>
                <c:pt idx="5">
                  <c:v>North America</c:v>
                </c:pt>
                <c:pt idx="6">
                  <c:v>Oceania</c:v>
                </c:pt>
                <c:pt idx="7">
                  <c:v>Russia</c:v>
                </c:pt>
                <c:pt idx="8">
                  <c:v>South America</c:v>
                </c:pt>
              </c:strCache>
            </c:strRef>
          </c:cat>
          <c:val>
            <c:numRef>
              <c:f>'Figure 15'!$B$102:$B$110</c:f>
              <c:numCache>
                <c:formatCode>General</c:formatCode>
                <c:ptCount val="9"/>
                <c:pt idx="0">
                  <c:v>389</c:v>
                </c:pt>
                <c:pt idx="1">
                  <c:v>1321</c:v>
                </c:pt>
                <c:pt idx="2">
                  <c:v>637</c:v>
                </c:pt>
                <c:pt idx="3">
                  <c:v>243</c:v>
                </c:pt>
                <c:pt idx="4">
                  <c:v>2</c:v>
                </c:pt>
                <c:pt idx="5">
                  <c:v>172</c:v>
                </c:pt>
                <c:pt idx="6">
                  <c:v>176</c:v>
                </c:pt>
                <c:pt idx="7">
                  <c:v>161</c:v>
                </c:pt>
                <c:pt idx="8">
                  <c:v>238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37-5542-B283-10854C76562B}"/>
            </c:ext>
          </c:extLst>
        </c:ser>
        <c:dLbls>
          <c:showLegendKey val="0"/>
          <c:showVal val="0"/>
          <c:showCatName val="0"/>
          <c:showSerName val="0"/>
          <c:showPercent val="0"/>
          <c:showBubbleSize val="0"/>
        </c:dLbls>
        <c:gapWidth val="150"/>
        <c:axId val="1432243316"/>
        <c:axId val="510318051"/>
      </c:barChart>
      <c:catAx>
        <c:axId val="143224331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10318051"/>
        <c:crosses val="autoZero"/>
        <c:auto val="1"/>
        <c:lblAlgn val="ctr"/>
        <c:lblOffset val="100"/>
        <c:noMultiLvlLbl val="1"/>
      </c:catAx>
      <c:valAx>
        <c:axId val="51031805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432243316"/>
        <c:crosses val="autoZero"/>
        <c:crossBetween val="between"/>
      </c:valAx>
    </c:plotArea>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PLA Senior Level Visits Abroad, 2002-2024</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'Figure 16'!$B$142</c:f>
              <c:strCache>
                <c:ptCount val="1"/>
                <c:pt idx="0">
                  <c:v>Senior Level Visit</c:v>
                </c:pt>
              </c:strCache>
            </c:strRef>
          </c:tx>
          <c:spPr>
            <a:solidFill>
              <a:schemeClr val="accent1"/>
            </a:solidFill>
            <a:ln>
              <a:noFill/>
            </a:ln>
            <a:effectLst/>
          </c:spPr>
          <c:invertIfNegative val="0"/>
          <c:cat>
            <c:strRef>
              <c:f>'Figure 16'!$A$143:$A$272</c:f>
              <c:strCache>
                <c:ptCount val="130"/>
                <c:pt idx="0">
                  <c:v>Russia</c:v>
                </c:pt>
                <c:pt idx="1">
                  <c:v>United States</c:v>
                </c:pt>
                <c:pt idx="2">
                  <c:v>Singapore</c:v>
                </c:pt>
                <c:pt idx="3">
                  <c:v>Pakistan</c:v>
                </c:pt>
                <c:pt idx="4">
                  <c:v>Vietnam</c:v>
                </c:pt>
                <c:pt idx="5">
                  <c:v>Cuba</c:v>
                </c:pt>
                <c:pt idx="6">
                  <c:v>Australia</c:v>
                </c:pt>
                <c:pt idx="7">
                  <c:v>South Korea</c:v>
                </c:pt>
                <c:pt idx="8">
                  <c:v>Thailand</c:v>
                </c:pt>
                <c:pt idx="9">
                  <c:v>New Zealand</c:v>
                </c:pt>
                <c:pt idx="10">
                  <c:v>Laos</c:v>
                </c:pt>
                <c:pt idx="11">
                  <c:v>Belarus</c:v>
                </c:pt>
                <c:pt idx="12">
                  <c:v>Egypt</c:v>
                </c:pt>
                <c:pt idx="13">
                  <c:v>Indonesia</c:v>
                </c:pt>
                <c:pt idx="14">
                  <c:v>SCO</c:v>
                </c:pt>
                <c:pt idx="15">
                  <c:v>Hungary</c:v>
                </c:pt>
                <c:pt idx="16">
                  <c:v>India</c:v>
                </c:pt>
                <c:pt idx="17">
                  <c:v>ASEAN</c:v>
                </c:pt>
                <c:pt idx="18">
                  <c:v>Kazakhstan</c:v>
                </c:pt>
                <c:pt idx="19">
                  <c:v>Brazil</c:v>
                </c:pt>
                <c:pt idx="20">
                  <c:v>Chile</c:v>
                </c:pt>
                <c:pt idx="21">
                  <c:v>IISS</c:v>
                </c:pt>
                <c:pt idx="22">
                  <c:v>Argentina</c:v>
                </c:pt>
                <c:pt idx="23">
                  <c:v>Tanzania</c:v>
                </c:pt>
                <c:pt idx="24">
                  <c:v>Romania</c:v>
                </c:pt>
                <c:pt idx="25">
                  <c:v>Tajikistan</c:v>
                </c:pt>
                <c:pt idx="26">
                  <c:v>Japan</c:v>
                </c:pt>
                <c:pt idx="27">
                  <c:v>Malaysia</c:v>
                </c:pt>
                <c:pt idx="28">
                  <c:v>Mexico</c:v>
                </c:pt>
                <c:pt idx="29">
                  <c:v>Cambodia</c:v>
                </c:pt>
                <c:pt idx="30">
                  <c:v>Myanmar</c:v>
                </c:pt>
                <c:pt idx="31">
                  <c:v>France</c:v>
                </c:pt>
                <c:pt idx="32">
                  <c:v>Greece</c:v>
                </c:pt>
                <c:pt idx="33">
                  <c:v>United Kingdom</c:v>
                </c:pt>
                <c:pt idx="34">
                  <c:v>Poland</c:v>
                </c:pt>
                <c:pt idx="35">
                  <c:v>Italy</c:v>
                </c:pt>
                <c:pt idx="36">
                  <c:v>Germany</c:v>
                </c:pt>
                <c:pt idx="37">
                  <c:v>Philippines</c:v>
                </c:pt>
                <c:pt idx="38">
                  <c:v>South Africa</c:v>
                </c:pt>
                <c:pt idx="39">
                  <c:v>Finland</c:v>
                </c:pt>
                <c:pt idx="40">
                  <c:v>Bulgaria</c:v>
                </c:pt>
                <c:pt idx="41">
                  <c:v>Turkey</c:v>
                </c:pt>
                <c:pt idx="42">
                  <c:v>Iran</c:v>
                </c:pt>
                <c:pt idx="43">
                  <c:v>Sweden</c:v>
                </c:pt>
                <c:pt idx="44">
                  <c:v>Kyrgyzstan</c:v>
                </c:pt>
                <c:pt idx="45">
                  <c:v>Brunei</c:v>
                </c:pt>
                <c:pt idx="46">
                  <c:v>North Korea</c:v>
                </c:pt>
                <c:pt idx="47">
                  <c:v>Uzbekistan</c:v>
                </c:pt>
                <c:pt idx="48">
                  <c:v>Slovakia</c:v>
                </c:pt>
                <c:pt idx="49">
                  <c:v>Mongolia</c:v>
                </c:pt>
                <c:pt idx="50">
                  <c:v>Canada</c:v>
                </c:pt>
                <c:pt idx="51">
                  <c:v>Bangladesh</c:v>
                </c:pt>
                <c:pt idx="52">
                  <c:v>Croatia</c:v>
                </c:pt>
                <c:pt idx="53">
                  <c:v>Ukraine</c:v>
                </c:pt>
                <c:pt idx="54">
                  <c:v>Serbia</c:v>
                </c:pt>
                <c:pt idx="55">
                  <c:v>Zambia</c:v>
                </c:pt>
                <c:pt idx="56">
                  <c:v>Kenya</c:v>
                </c:pt>
                <c:pt idx="57">
                  <c:v>Switzerland</c:v>
                </c:pt>
                <c:pt idx="58">
                  <c:v>Sri Lanka</c:v>
                </c:pt>
                <c:pt idx="59">
                  <c:v>Norway</c:v>
                </c:pt>
                <c:pt idx="60">
                  <c:v>Uruguay</c:v>
                </c:pt>
                <c:pt idx="61">
                  <c:v>Syria</c:v>
                </c:pt>
                <c:pt idx="62">
                  <c:v>Venezuela</c:v>
                </c:pt>
                <c:pt idx="63">
                  <c:v>Ethiopia</c:v>
                </c:pt>
                <c:pt idx="64">
                  <c:v>Namibia</c:v>
                </c:pt>
                <c:pt idx="65">
                  <c:v>Czech Republic</c:v>
                </c:pt>
                <c:pt idx="66">
                  <c:v>Spain</c:v>
                </c:pt>
                <c:pt idx="67">
                  <c:v>Uganda</c:v>
                </c:pt>
                <c:pt idx="68">
                  <c:v>Tunisia</c:v>
                </c:pt>
                <c:pt idx="69">
                  <c:v>Colombia</c:v>
                </c:pt>
                <c:pt idx="70">
                  <c:v>Saudi Arabia</c:v>
                </c:pt>
                <c:pt idx="71">
                  <c:v>Nepal</c:v>
                </c:pt>
                <c:pt idx="72">
                  <c:v>Jordan</c:v>
                </c:pt>
                <c:pt idx="73">
                  <c:v>Zimbabwe</c:v>
                </c:pt>
                <c:pt idx="74">
                  <c:v>Mozambique</c:v>
                </c:pt>
                <c:pt idx="75">
                  <c:v>Israel</c:v>
                </c:pt>
                <c:pt idx="76">
                  <c:v>Gabon</c:v>
                </c:pt>
                <c:pt idx="77">
                  <c:v>Algeria</c:v>
                </c:pt>
                <c:pt idx="78">
                  <c:v>Bolivia</c:v>
                </c:pt>
                <c:pt idx="79">
                  <c:v>Ecuador</c:v>
                </c:pt>
                <c:pt idx="80">
                  <c:v>Morocco</c:v>
                </c:pt>
                <c:pt idx="81">
                  <c:v>Angola</c:v>
                </c:pt>
                <c:pt idx="82">
                  <c:v>Peru</c:v>
                </c:pt>
                <c:pt idx="83">
                  <c:v>Belgium</c:v>
                </c:pt>
                <c:pt idx="84">
                  <c:v>Portugal</c:v>
                </c:pt>
                <c:pt idx="85">
                  <c:v>Turkmenistan</c:v>
                </c:pt>
                <c:pt idx="86">
                  <c:v>Trinidad and Tobago</c:v>
                </c:pt>
                <c:pt idx="87">
                  <c:v>Lebanon</c:v>
                </c:pt>
                <c:pt idx="88">
                  <c:v>Denmark</c:v>
                </c:pt>
                <c:pt idx="89">
                  <c:v>Botswana</c:v>
                </c:pt>
                <c:pt idx="90">
                  <c:v>United Arab Emirates</c:v>
                </c:pt>
                <c:pt idx="91">
                  <c:v>Sudan</c:v>
                </c:pt>
                <c:pt idx="92">
                  <c:v>Djibouti</c:v>
                </c:pt>
                <c:pt idx="93">
                  <c:v>Austria</c:v>
                </c:pt>
                <c:pt idx="94">
                  <c:v>Yemen</c:v>
                </c:pt>
                <c:pt idx="95">
                  <c:v>Qatar</c:v>
                </c:pt>
                <c:pt idx="96">
                  <c:v>NATO</c:v>
                </c:pt>
                <c:pt idx="97">
                  <c:v>Afghanistan</c:v>
                </c:pt>
                <c:pt idx="98">
                  <c:v>Benin</c:v>
                </c:pt>
                <c:pt idx="99">
                  <c:v>Cyprus</c:v>
                </c:pt>
                <c:pt idx="100">
                  <c:v>Netherlands</c:v>
                </c:pt>
                <c:pt idx="101">
                  <c:v>Costa Rica</c:v>
                </c:pt>
                <c:pt idx="102">
                  <c:v>Maldives</c:v>
                </c:pt>
                <c:pt idx="103">
                  <c:v>Cameroon</c:v>
                </c:pt>
                <c:pt idx="104">
                  <c:v>Armenia</c:v>
                </c:pt>
                <c:pt idx="105">
                  <c:v>Oman</c:v>
                </c:pt>
                <c:pt idx="106">
                  <c:v>Macedonia</c:v>
                </c:pt>
                <c:pt idx="107">
                  <c:v>Madagascar</c:v>
                </c:pt>
                <c:pt idx="108">
                  <c:v>Eritrea</c:v>
                </c:pt>
                <c:pt idx="109">
                  <c:v>Pakistan </c:v>
                </c:pt>
                <c:pt idx="110">
                  <c:v>Azerbaijan</c:v>
                </c:pt>
                <c:pt idx="111">
                  <c:v>Lithuania</c:v>
                </c:pt>
                <c:pt idx="112">
                  <c:v>Kuwait</c:v>
                </c:pt>
                <c:pt idx="113">
                  <c:v>Vanuatu</c:v>
                </c:pt>
                <c:pt idx="114">
                  <c:v>European Union</c:v>
                </c:pt>
                <c:pt idx="115">
                  <c:v>Malta</c:v>
                </c:pt>
                <c:pt idx="116">
                  <c:v>Togo</c:v>
                </c:pt>
                <c:pt idx="117">
                  <c:v>Seychelles</c:v>
                </c:pt>
                <c:pt idx="118">
                  <c:v>Tonga</c:v>
                </c:pt>
                <c:pt idx="119">
                  <c:v>Bahrain</c:v>
                </c:pt>
                <c:pt idx="120">
                  <c:v>Dominican Republic</c:v>
                </c:pt>
                <c:pt idx="121">
                  <c:v>Congo</c:v>
                </c:pt>
                <c:pt idx="122">
                  <c:v>Rwanda</c:v>
                </c:pt>
                <c:pt idx="123">
                  <c:v>Ghana</c:v>
                </c:pt>
                <c:pt idx="124">
                  <c:v>Latvia</c:v>
                </c:pt>
                <c:pt idx="125">
                  <c:v>Papua New Guinea</c:v>
                </c:pt>
                <c:pt idx="126">
                  <c:v>DR Congo</c:v>
                </c:pt>
                <c:pt idx="127">
                  <c:v>Equatorial Guinea</c:v>
                </c:pt>
                <c:pt idx="128">
                  <c:v>Senegal</c:v>
                </c:pt>
                <c:pt idx="129">
                  <c:v>Lesotho</c:v>
                </c:pt>
              </c:strCache>
            </c:strRef>
          </c:cat>
          <c:val>
            <c:numRef>
              <c:f>'Figure 16'!$B$143:$B$272</c:f>
              <c:numCache>
                <c:formatCode>General</c:formatCode>
                <c:ptCount val="130"/>
                <c:pt idx="0">
                  <c:v>51</c:v>
                </c:pt>
                <c:pt idx="1">
                  <c:v>48</c:v>
                </c:pt>
                <c:pt idx="2">
                  <c:v>27</c:v>
                </c:pt>
                <c:pt idx="3">
                  <c:v>26</c:v>
                </c:pt>
                <c:pt idx="4">
                  <c:v>24</c:v>
                </c:pt>
                <c:pt idx="5">
                  <c:v>22</c:v>
                </c:pt>
                <c:pt idx="6">
                  <c:v>21</c:v>
                </c:pt>
                <c:pt idx="7">
                  <c:v>21</c:v>
                </c:pt>
                <c:pt idx="8">
                  <c:v>21</c:v>
                </c:pt>
                <c:pt idx="9">
                  <c:v>21</c:v>
                </c:pt>
                <c:pt idx="10">
                  <c:v>20</c:v>
                </c:pt>
                <c:pt idx="11">
                  <c:v>20</c:v>
                </c:pt>
                <c:pt idx="12">
                  <c:v>19</c:v>
                </c:pt>
                <c:pt idx="13">
                  <c:v>19</c:v>
                </c:pt>
                <c:pt idx="14">
                  <c:v>18</c:v>
                </c:pt>
                <c:pt idx="15">
                  <c:v>17</c:v>
                </c:pt>
                <c:pt idx="16">
                  <c:v>17</c:v>
                </c:pt>
                <c:pt idx="17">
                  <c:v>17</c:v>
                </c:pt>
                <c:pt idx="18">
                  <c:v>17</c:v>
                </c:pt>
                <c:pt idx="19">
                  <c:v>16</c:v>
                </c:pt>
                <c:pt idx="20">
                  <c:v>16</c:v>
                </c:pt>
                <c:pt idx="21">
                  <c:v>16</c:v>
                </c:pt>
                <c:pt idx="22">
                  <c:v>15</c:v>
                </c:pt>
                <c:pt idx="23">
                  <c:v>15</c:v>
                </c:pt>
                <c:pt idx="24">
                  <c:v>15</c:v>
                </c:pt>
                <c:pt idx="25">
                  <c:v>15</c:v>
                </c:pt>
                <c:pt idx="26">
                  <c:v>15</c:v>
                </c:pt>
                <c:pt idx="27">
                  <c:v>15</c:v>
                </c:pt>
                <c:pt idx="28">
                  <c:v>13</c:v>
                </c:pt>
                <c:pt idx="29">
                  <c:v>13</c:v>
                </c:pt>
                <c:pt idx="30">
                  <c:v>13</c:v>
                </c:pt>
                <c:pt idx="31">
                  <c:v>13</c:v>
                </c:pt>
                <c:pt idx="32">
                  <c:v>13</c:v>
                </c:pt>
                <c:pt idx="33">
                  <c:v>13</c:v>
                </c:pt>
                <c:pt idx="34">
                  <c:v>12</c:v>
                </c:pt>
                <c:pt idx="35">
                  <c:v>12</c:v>
                </c:pt>
                <c:pt idx="36">
                  <c:v>12</c:v>
                </c:pt>
                <c:pt idx="37">
                  <c:v>11</c:v>
                </c:pt>
                <c:pt idx="38">
                  <c:v>11</c:v>
                </c:pt>
                <c:pt idx="39">
                  <c:v>11</c:v>
                </c:pt>
                <c:pt idx="40">
                  <c:v>11</c:v>
                </c:pt>
                <c:pt idx="41">
                  <c:v>10</c:v>
                </c:pt>
                <c:pt idx="42">
                  <c:v>9</c:v>
                </c:pt>
                <c:pt idx="43">
                  <c:v>9</c:v>
                </c:pt>
                <c:pt idx="44">
                  <c:v>9</c:v>
                </c:pt>
                <c:pt idx="45">
                  <c:v>9</c:v>
                </c:pt>
                <c:pt idx="46">
                  <c:v>9</c:v>
                </c:pt>
                <c:pt idx="47">
                  <c:v>8</c:v>
                </c:pt>
                <c:pt idx="48">
                  <c:v>8</c:v>
                </c:pt>
                <c:pt idx="49">
                  <c:v>8</c:v>
                </c:pt>
                <c:pt idx="50">
                  <c:v>8</c:v>
                </c:pt>
                <c:pt idx="51">
                  <c:v>8</c:v>
                </c:pt>
                <c:pt idx="52">
                  <c:v>7</c:v>
                </c:pt>
                <c:pt idx="53">
                  <c:v>7</c:v>
                </c:pt>
                <c:pt idx="54">
                  <c:v>7</c:v>
                </c:pt>
                <c:pt idx="55">
                  <c:v>7</c:v>
                </c:pt>
                <c:pt idx="56">
                  <c:v>7</c:v>
                </c:pt>
                <c:pt idx="57">
                  <c:v>7</c:v>
                </c:pt>
                <c:pt idx="58">
                  <c:v>7</c:v>
                </c:pt>
                <c:pt idx="59">
                  <c:v>7</c:v>
                </c:pt>
                <c:pt idx="60">
                  <c:v>6</c:v>
                </c:pt>
                <c:pt idx="61">
                  <c:v>6</c:v>
                </c:pt>
                <c:pt idx="62">
                  <c:v>6</c:v>
                </c:pt>
                <c:pt idx="63">
                  <c:v>6</c:v>
                </c:pt>
                <c:pt idx="64">
                  <c:v>6</c:v>
                </c:pt>
                <c:pt idx="65">
                  <c:v>6</c:v>
                </c:pt>
                <c:pt idx="66">
                  <c:v>6</c:v>
                </c:pt>
                <c:pt idx="67">
                  <c:v>5</c:v>
                </c:pt>
                <c:pt idx="68">
                  <c:v>5</c:v>
                </c:pt>
                <c:pt idx="69">
                  <c:v>5</c:v>
                </c:pt>
                <c:pt idx="70">
                  <c:v>5</c:v>
                </c:pt>
                <c:pt idx="71">
                  <c:v>5</c:v>
                </c:pt>
                <c:pt idx="72">
                  <c:v>5</c:v>
                </c:pt>
                <c:pt idx="73">
                  <c:v>5</c:v>
                </c:pt>
                <c:pt idx="74">
                  <c:v>5</c:v>
                </c:pt>
                <c:pt idx="75">
                  <c:v>4</c:v>
                </c:pt>
                <c:pt idx="76">
                  <c:v>4</c:v>
                </c:pt>
                <c:pt idx="77">
                  <c:v>4</c:v>
                </c:pt>
                <c:pt idx="78">
                  <c:v>4</c:v>
                </c:pt>
                <c:pt idx="79">
                  <c:v>4</c:v>
                </c:pt>
                <c:pt idx="80">
                  <c:v>4</c:v>
                </c:pt>
                <c:pt idx="81">
                  <c:v>4</c:v>
                </c:pt>
                <c:pt idx="82">
                  <c:v>3</c:v>
                </c:pt>
                <c:pt idx="83">
                  <c:v>3</c:v>
                </c:pt>
                <c:pt idx="84">
                  <c:v>3</c:v>
                </c:pt>
                <c:pt idx="85">
                  <c:v>3</c:v>
                </c:pt>
                <c:pt idx="86">
                  <c:v>3</c:v>
                </c:pt>
                <c:pt idx="87">
                  <c:v>3</c:v>
                </c:pt>
                <c:pt idx="88">
                  <c:v>3</c:v>
                </c:pt>
                <c:pt idx="89">
                  <c:v>3</c:v>
                </c:pt>
                <c:pt idx="90">
                  <c:v>3</c:v>
                </c:pt>
                <c:pt idx="91">
                  <c:v>3</c:v>
                </c:pt>
                <c:pt idx="92">
                  <c:v>3</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0</c:v>
                </c:pt>
              </c:numCache>
            </c:numRef>
          </c:val>
          <c:extLst>
            <c:ext xmlns:c16="http://schemas.microsoft.com/office/drawing/2014/chart" uri="{C3380CC4-5D6E-409C-BE32-E72D297353CC}">
              <c16:uniqueId val="{00000000-1CA5-42C6-8560-2359E7ACDA20}"/>
            </c:ext>
          </c:extLst>
        </c:ser>
        <c:dLbls>
          <c:showLegendKey val="0"/>
          <c:showVal val="0"/>
          <c:showCatName val="0"/>
          <c:showSerName val="0"/>
          <c:showPercent val="0"/>
          <c:showBubbleSize val="0"/>
        </c:dLbls>
        <c:gapWidth val="219"/>
        <c:overlap val="-27"/>
        <c:axId val="392431968"/>
        <c:axId val="392436288"/>
      </c:barChart>
      <c:catAx>
        <c:axId val="39243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92436288"/>
        <c:crosses val="autoZero"/>
        <c:auto val="1"/>
        <c:lblAlgn val="ctr"/>
        <c:lblOffset val="100"/>
        <c:noMultiLvlLbl val="0"/>
      </c:catAx>
      <c:valAx>
        <c:axId val="392436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92431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600" b="0" i="0">
                <a:solidFill>
                  <a:srgbClr val="757575"/>
                </a:solidFill>
                <a:latin typeface="Calibri Light"/>
              </a:defRPr>
            </a:pPr>
            <a:r>
              <a:rPr lang="en-US" sz="1600" b="0" i="0">
                <a:solidFill>
                  <a:srgbClr val="757575"/>
                </a:solidFill>
                <a:latin typeface="Calibri Light"/>
              </a:rPr>
              <a:t>Figure 16. Number of PLA Visits Abroad, 2002-2024</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17'!$A$40:$A$49</c:f>
              <c:strCache>
                <c:ptCount val="10"/>
                <c:pt idx="0">
                  <c:v>Russia</c:v>
                </c:pt>
                <c:pt idx="1">
                  <c:v>United States</c:v>
                </c:pt>
                <c:pt idx="2">
                  <c:v>Pakistan</c:v>
                </c:pt>
                <c:pt idx="3">
                  <c:v>Singapore</c:v>
                </c:pt>
                <c:pt idx="4">
                  <c:v>Vietnam</c:v>
                </c:pt>
                <c:pt idx="5">
                  <c:v>Cuba</c:v>
                </c:pt>
                <c:pt idx="6">
                  <c:v>Australia</c:v>
                </c:pt>
                <c:pt idx="7">
                  <c:v>South Korea</c:v>
                </c:pt>
                <c:pt idx="8">
                  <c:v>Thailand</c:v>
                </c:pt>
                <c:pt idx="9">
                  <c:v>New Zealand</c:v>
                </c:pt>
              </c:strCache>
            </c:strRef>
          </c:cat>
          <c:val>
            <c:numRef>
              <c:f>'Figure 17'!$B$40:$B$49</c:f>
              <c:numCache>
                <c:formatCode>General</c:formatCode>
                <c:ptCount val="10"/>
                <c:pt idx="0">
                  <c:v>51</c:v>
                </c:pt>
                <c:pt idx="1">
                  <c:v>48</c:v>
                </c:pt>
                <c:pt idx="2">
                  <c:v>27</c:v>
                </c:pt>
                <c:pt idx="3">
                  <c:v>26</c:v>
                </c:pt>
                <c:pt idx="4">
                  <c:v>24</c:v>
                </c:pt>
                <c:pt idx="5">
                  <c:v>22</c:v>
                </c:pt>
                <c:pt idx="6">
                  <c:v>21</c:v>
                </c:pt>
                <c:pt idx="7">
                  <c:v>21</c:v>
                </c:pt>
                <c:pt idx="8">
                  <c:v>21</c:v>
                </c:pt>
                <c:pt idx="9">
                  <c:v>21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38-104C-BDB9-D9D892F75F61}"/>
            </c:ext>
          </c:extLst>
        </c:ser>
        <c:dLbls>
          <c:showLegendKey val="0"/>
          <c:showVal val="0"/>
          <c:showCatName val="0"/>
          <c:showSerName val="0"/>
          <c:showPercent val="0"/>
          <c:showBubbleSize val="0"/>
        </c:dLbls>
        <c:gapWidth val="150"/>
        <c:axId val="1958256407"/>
        <c:axId val="1592512616"/>
      </c:barChart>
      <c:catAx>
        <c:axId val="195825640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92512616"/>
        <c:crosses val="autoZero"/>
        <c:auto val="1"/>
        <c:lblAlgn val="ctr"/>
        <c:lblOffset val="100"/>
        <c:noMultiLvlLbl val="1"/>
      </c:catAx>
      <c:valAx>
        <c:axId val="15925126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958256407"/>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18 Largest Differentials in Visits to China 2002-2024</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'Figure 17-18'!$F$183:$F$192</c:f>
              <c:strCache>
                <c:ptCount val="10"/>
                <c:pt idx="0">
                  <c:v>Pakistan</c:v>
                </c:pt>
                <c:pt idx="1">
                  <c:v>Thailand</c:v>
                </c:pt>
                <c:pt idx="2">
                  <c:v>United States</c:v>
                </c:pt>
                <c:pt idx="3">
                  <c:v>Australia</c:v>
                </c:pt>
                <c:pt idx="4">
                  <c:v>Cambodia</c:v>
                </c:pt>
                <c:pt idx="5">
                  <c:v>Bangladesh</c:v>
                </c:pt>
                <c:pt idx="6">
                  <c:v>Italy</c:v>
                </c:pt>
                <c:pt idx="7">
                  <c:v>South Korea</c:v>
                </c:pt>
                <c:pt idx="8">
                  <c:v>Vietnam</c:v>
                </c:pt>
                <c:pt idx="9">
                  <c:v>Afghanistan</c:v>
                </c:pt>
              </c:strCache>
            </c:strRef>
          </c:cat>
          <c:val>
            <c:numRef>
              <c:f>'Figure 17-18'!$G$183:$G$192</c:f>
              <c:numCache>
                <c:formatCode>General</c:formatCode>
                <c:ptCount val="10"/>
                <c:pt idx="0">
                  <c:v>35</c:v>
                </c:pt>
                <c:pt idx="1">
                  <c:v>21</c:v>
                </c:pt>
                <c:pt idx="2">
                  <c:v>19</c:v>
                </c:pt>
                <c:pt idx="3">
                  <c:v>14</c:v>
                </c:pt>
                <c:pt idx="4">
                  <c:v>14</c:v>
                </c:pt>
                <c:pt idx="5">
                  <c:v>13</c:v>
                </c:pt>
                <c:pt idx="6">
                  <c:v>13</c:v>
                </c:pt>
                <c:pt idx="7">
                  <c:v>13</c:v>
                </c:pt>
                <c:pt idx="8">
                  <c:v>11</c:v>
                </c:pt>
                <c:pt idx="9">
                  <c:v>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CE8-164A-ABFF-9D2CC37ABF47}"/>
            </c:ext>
          </c:extLst>
        </c:ser>
        <c:dLbls>
          <c:showLegendKey val="0"/>
          <c:showVal val="0"/>
          <c:showCatName val="0"/>
          <c:showSerName val="0"/>
          <c:showPercent val="0"/>
          <c:showBubbleSize val="0"/>
        </c:dLbls>
        <c:gapWidth val="150"/>
        <c:axId val="1269605370"/>
        <c:axId val="494901251"/>
      </c:barChart>
      <c:catAx>
        <c:axId val="126960537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494901251"/>
        <c:crosses val="autoZero"/>
        <c:auto val="1"/>
        <c:lblAlgn val="ctr"/>
        <c:lblOffset val="100"/>
        <c:noMultiLvlLbl val="1"/>
      </c:catAx>
      <c:valAx>
        <c:axId val="49490125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69605370"/>
        <c:crosses val="autoZero"/>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2002-2024
(INDOPACOM)</a:t>
            </a:r>
          </a:p>
        </c:rich>
      </c:tx>
      <c:layout>
        <c:manualLayout>
          <c:xMode val="edge"/>
          <c:yMode val="edge"/>
          <c:x val="0.1296813725490196"/>
          <c:y val="2.9878618113912233E-2"/>
        </c:manualLayout>
      </c:layout>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'INDOPACOM Figure 4'!$B$9:$X$9</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'INDOPACOM Figure 4'!$B$10:$X$10</c:f>
              <c:numCache>
                <c:formatCode>General</c:formatCode>
                <c:ptCount val="23"/>
                <c:pt idx="0">
                  <c:v>3</c:v>
                </c:pt>
                <c:pt idx="1">
                  <c:v>12</c:v>
                </c:pt>
                <c:pt idx="2">
                  <c:v>14</c:v>
                </c:pt>
                <c:pt idx="3">
                  <c:v>6</c:v>
                </c:pt>
                <c:pt idx="4">
                  <c:v>18</c:v>
                </c:pt>
                <c:pt idx="5">
                  <c:v>25</c:v>
                </c:pt>
                <c:pt idx="6">
                  <c:v>21</c:v>
                </c:pt>
                <c:pt idx="7">
                  <c:v>25</c:v>
                </c:pt>
                <c:pt idx="8">
                  <c:v>25</c:v>
                </c:pt>
                <c:pt idx="9">
                  <c:v>20</c:v>
                </c:pt>
                <c:pt idx="10">
                  <c:v>11</c:v>
                </c:pt>
                <c:pt idx="11">
                  <c:v>15</c:v>
                </c:pt>
                <c:pt idx="12">
                  <c:v>14</c:v>
                </c:pt>
                <c:pt idx="13">
                  <c:v>23</c:v>
                </c:pt>
                <c:pt idx="14">
                  <c:v>13</c:v>
                </c:pt>
                <c:pt idx="15">
                  <c:v>13</c:v>
                </c:pt>
                <c:pt idx="16">
                  <c:v>17</c:v>
                </c:pt>
                <c:pt idx="17">
                  <c:v>17</c:v>
                </c:pt>
                <c:pt idx="18">
                  <c:v>6</c:v>
                </c:pt>
                <c:pt idx="19">
                  <c:v>4</c:v>
                </c:pt>
                <c:pt idx="20">
                  <c:v>6</c:v>
                </c:pt>
                <c:pt idx="21">
                  <c:v>10</c:v>
                </c:pt>
                <c:pt idx="22">
                  <c:v>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0DC-489F-81F2-B09D5C079021}"/>
            </c:ext>
          </c:extLst>
        </c:ser>
        <c:ser>
          <c:idx val="1"/>
          <c:order val="1"/>
          <c:tx>
            <c:v>Hosted</c:v>
          </c:tx>
          <c:spPr>
            <a:solidFill>
              <a:srgbClr val="ED7D31"/>
            </a:solidFill>
            <a:ln cmpd="sng">
              <a:solidFill>
                <a:srgbClr val="000000"/>
              </a:solidFill>
            </a:ln>
          </c:spPr>
          <c:invertIfNegative val="1"/>
          <c:cat>
            <c:numRef>
              <c:f>'INDOPACOM Figure 4'!$B$9:$X$9</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'INDOPACOM Figure 4'!$B$11:$X$11</c:f>
              <c:numCache>
                <c:formatCode>General</c:formatCode>
                <c:ptCount val="23"/>
                <c:pt idx="0">
                  <c:v>25</c:v>
                </c:pt>
                <c:pt idx="1">
                  <c:v>13</c:v>
                </c:pt>
                <c:pt idx="2">
                  <c:v>20</c:v>
                </c:pt>
                <c:pt idx="3">
                  <c:v>19</c:v>
                </c:pt>
                <c:pt idx="4">
                  <c:v>17</c:v>
                </c:pt>
                <c:pt idx="5">
                  <c:v>18</c:v>
                </c:pt>
                <c:pt idx="6">
                  <c:v>19</c:v>
                </c:pt>
                <c:pt idx="7">
                  <c:v>24</c:v>
                </c:pt>
                <c:pt idx="8">
                  <c:v>24</c:v>
                </c:pt>
                <c:pt idx="9">
                  <c:v>24</c:v>
                </c:pt>
                <c:pt idx="10">
                  <c:v>21</c:v>
                </c:pt>
                <c:pt idx="11">
                  <c:v>29</c:v>
                </c:pt>
                <c:pt idx="12">
                  <c:v>33</c:v>
                </c:pt>
                <c:pt idx="13">
                  <c:v>29</c:v>
                </c:pt>
                <c:pt idx="14">
                  <c:v>29</c:v>
                </c:pt>
                <c:pt idx="15">
                  <c:v>18</c:v>
                </c:pt>
                <c:pt idx="16">
                  <c:v>30</c:v>
                </c:pt>
                <c:pt idx="17">
                  <c:v>32</c:v>
                </c:pt>
                <c:pt idx="18">
                  <c:v>2</c:v>
                </c:pt>
                <c:pt idx="19">
                  <c:v>0</c:v>
                </c:pt>
                <c:pt idx="20">
                  <c:v>6</c:v>
                </c:pt>
                <c:pt idx="21">
                  <c:v>16</c:v>
                </c:pt>
                <c:pt idx="22">
                  <c:v>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0DC-489F-81F2-B09D5C079021}"/>
            </c:ext>
          </c:extLst>
        </c:ser>
        <c:dLbls>
          <c:showLegendKey val="0"/>
          <c:showVal val="0"/>
          <c:showCatName val="0"/>
          <c:showSerName val="0"/>
          <c:showPercent val="0"/>
          <c:showBubbleSize val="0"/>
        </c:dLbls>
        <c:gapWidth val="150"/>
        <c:axId val="1099683517"/>
        <c:axId val="1991529365"/>
      </c:barChart>
      <c:catAx>
        <c:axId val="109968351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991529365"/>
        <c:crosses val="autoZero"/>
        <c:auto val="1"/>
        <c:lblAlgn val="ctr"/>
        <c:lblOffset val="100"/>
        <c:noMultiLvlLbl val="1"/>
      </c:catAx>
      <c:valAx>
        <c:axId val="1991529365"/>
        <c:scaling>
          <c:orientation val="minMax"/>
        </c:scaling>
        <c:delete val="1"/>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crossAx val="109968351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19 Largest Weighted Differentials in Visits to China</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'Figure 19'!$F$10:$F$19</c:f>
              <c:strCache>
                <c:ptCount val="9"/>
                <c:pt idx="0">
                  <c:v>Pakistan</c:v>
                </c:pt>
                <c:pt idx="1">
                  <c:v>Thailand</c:v>
                </c:pt>
                <c:pt idx="2">
                  <c:v>Cambodia</c:v>
                </c:pt>
                <c:pt idx="3">
                  <c:v>Italy</c:v>
                </c:pt>
                <c:pt idx="4">
                  <c:v>United States</c:v>
                </c:pt>
                <c:pt idx="5">
                  <c:v>Vietnam</c:v>
                </c:pt>
                <c:pt idx="6">
                  <c:v>Bangladesh</c:v>
                </c:pt>
                <c:pt idx="7">
                  <c:v>Afghanistan</c:v>
                </c:pt>
                <c:pt idx="8">
                  <c:v>Kyrgyzstan</c:v>
                </c:pt>
              </c:strCache>
            </c:strRef>
          </c:cat>
          <c:val>
            <c:numRef>
              <c:f>'Figure 19'!$G$10:$G$19</c:f>
              <c:numCache>
                <c:formatCode>General</c:formatCode>
                <c:ptCount val="9"/>
                <c:pt idx="0">
                  <c:v>305</c:v>
                </c:pt>
                <c:pt idx="1">
                  <c:v>150</c:v>
                </c:pt>
                <c:pt idx="2">
                  <c:v>147</c:v>
                </c:pt>
                <c:pt idx="3">
                  <c:v>127</c:v>
                </c:pt>
                <c:pt idx="4">
                  <c:v>123</c:v>
                </c:pt>
                <c:pt idx="5">
                  <c:v>120</c:v>
                </c:pt>
                <c:pt idx="6">
                  <c:v>106</c:v>
                </c:pt>
                <c:pt idx="7">
                  <c:v>84</c:v>
                </c:pt>
                <c:pt idx="8">
                  <c:v>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5D4-7349-A787-8BAEF41962C8}"/>
            </c:ext>
          </c:extLst>
        </c:ser>
        <c:dLbls>
          <c:showLegendKey val="0"/>
          <c:showVal val="0"/>
          <c:showCatName val="0"/>
          <c:showSerName val="0"/>
          <c:showPercent val="0"/>
          <c:showBubbleSize val="0"/>
        </c:dLbls>
        <c:gapWidth val="150"/>
        <c:axId val="1941430162"/>
        <c:axId val="539662384"/>
      </c:barChart>
      <c:catAx>
        <c:axId val="194143016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39662384"/>
        <c:crosses val="autoZero"/>
        <c:auto val="1"/>
        <c:lblAlgn val="ctr"/>
        <c:lblOffset val="100"/>
        <c:noMultiLvlLbl val="1"/>
      </c:catAx>
      <c:valAx>
        <c:axId val="5396623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941430162"/>
        <c:crosses val="autoZero"/>
        <c:crossBetween val="between"/>
      </c:valAx>
    </c:plotArea>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PLA</a:t>
            </a:r>
            <a:r>
              <a:rPr lang="en-US" baseline="0"/>
              <a:t> Combat and Combat Support 2002-2024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'Figure 20'!$A$13</c:f>
              <c:strCache>
                <c:ptCount val="1"/>
                <c:pt idx="0">
                  <c:v>Combat</c:v>
                </c:pt>
              </c:strCache>
            </c:strRef>
          </c:tx>
          <c:spPr>
            <a:solidFill>
              <a:schemeClr val="accent1"/>
            </a:solidFill>
            <a:ln>
              <a:noFill/>
            </a:ln>
            <a:effectLst/>
          </c:spPr>
          <c:invertIfNegative val="0"/>
          <c:cat>
            <c:numRef>
              <c:f>'Figure 20'!$B$12:$S$12</c:f>
              <c:numCache>
                <c:formatCode>General</c:formatCode>
                <c:ptCount val="18"/>
                <c:pt idx="0">
                  <c:v>2005</c:v>
                </c:pt>
                <c:pt idx="1">
                  <c:v>2007</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'Figure 20'!$B$13:$S$13</c:f>
              <c:numCache>
                <c:formatCode>General</c:formatCode>
                <c:ptCount val="18"/>
                <c:pt idx="0">
                  <c:v>1</c:v>
                </c:pt>
                <c:pt idx="1">
                  <c:v>1</c:v>
                </c:pt>
                <c:pt idx="2">
                  <c:v>1</c:v>
                </c:pt>
                <c:pt idx="3">
                  <c:v>3</c:v>
                </c:pt>
                <c:pt idx="4">
                  <c:v>2</c:v>
                </c:pt>
                <c:pt idx="5">
                  <c:v>3</c:v>
                </c:pt>
                <c:pt idx="6">
                  <c:v>3</c:v>
                </c:pt>
                <c:pt idx="7">
                  <c:v>5</c:v>
                </c:pt>
                <c:pt idx="8">
                  <c:v>6</c:v>
                </c:pt>
                <c:pt idx="9">
                  <c:v>5</c:v>
                </c:pt>
                <c:pt idx="10">
                  <c:v>5</c:v>
                </c:pt>
                <c:pt idx="11">
                  <c:v>7</c:v>
                </c:pt>
                <c:pt idx="12">
                  <c:v>8</c:v>
                </c:pt>
                <c:pt idx="13">
                  <c:v>3</c:v>
                </c:pt>
                <c:pt idx="14">
                  <c:v>3</c:v>
                </c:pt>
                <c:pt idx="15">
                  <c:v>4</c:v>
                </c:pt>
                <c:pt idx="16">
                  <c:v>4</c:v>
                </c:pt>
                <c:pt idx="17">
                  <c:v>5</c:v>
                </c:pt>
              </c:numCache>
            </c:numRef>
          </c:val>
          <c:extLst>
            <c:ext xmlns:c16="http://schemas.microsoft.com/office/drawing/2014/chart" uri="{C3380CC4-5D6E-409C-BE32-E72D297353CC}">
              <c16:uniqueId val="{00000000-B558-4330-AC4F-F79632091F7A}"/>
            </c:ext>
          </c:extLst>
        </c:ser>
        <c:ser>
          <c:idx val="1"/>
          <c:order val="1"/>
          <c:tx>
            <c:strRef>
              <c:f>'Figure 20'!$A$14</c:f>
              <c:strCache>
                <c:ptCount val="1"/>
                <c:pt idx="0">
                  <c:v>Combat Support</c:v>
                </c:pt>
              </c:strCache>
            </c:strRef>
          </c:tx>
          <c:spPr>
            <a:solidFill>
              <a:schemeClr val="accent2"/>
            </a:solidFill>
            <a:ln>
              <a:noFill/>
            </a:ln>
            <a:effectLst/>
          </c:spPr>
          <c:invertIfNegative val="0"/>
          <c:cat>
            <c:numRef>
              <c:f>'Figure 20'!$B$12:$S$12</c:f>
              <c:numCache>
                <c:formatCode>General</c:formatCode>
                <c:ptCount val="18"/>
                <c:pt idx="0">
                  <c:v>2005</c:v>
                </c:pt>
                <c:pt idx="1">
                  <c:v>2007</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'Figure 20'!$B$14:$S$14</c:f>
              <c:numCache>
                <c:formatCode>General</c:formatCode>
                <c:ptCount val="18"/>
                <c:pt idx="0">
                  <c:v>0</c:v>
                </c:pt>
                <c:pt idx="1">
                  <c:v>0</c:v>
                </c:pt>
                <c:pt idx="2">
                  <c:v>0</c:v>
                </c:pt>
                <c:pt idx="3">
                  <c:v>2</c:v>
                </c:pt>
                <c:pt idx="4">
                  <c:v>0</c:v>
                </c:pt>
                <c:pt idx="5">
                  <c:v>1</c:v>
                </c:pt>
                <c:pt idx="6">
                  <c:v>0</c:v>
                </c:pt>
                <c:pt idx="7">
                  <c:v>3</c:v>
                </c:pt>
                <c:pt idx="8">
                  <c:v>1</c:v>
                </c:pt>
                <c:pt idx="9">
                  <c:v>5</c:v>
                </c:pt>
                <c:pt idx="10">
                  <c:v>0</c:v>
                </c:pt>
                <c:pt idx="11">
                  <c:v>0</c:v>
                </c:pt>
                <c:pt idx="12">
                  <c:v>0</c:v>
                </c:pt>
                <c:pt idx="13">
                  <c:v>0</c:v>
                </c:pt>
                <c:pt idx="14">
                  <c:v>0</c:v>
                </c:pt>
                <c:pt idx="15">
                  <c:v>0</c:v>
                </c:pt>
                <c:pt idx="16">
                  <c:v>2</c:v>
                </c:pt>
                <c:pt idx="17">
                  <c:v>1</c:v>
                </c:pt>
              </c:numCache>
            </c:numRef>
          </c:val>
          <c:extLst>
            <c:ext xmlns:c16="http://schemas.microsoft.com/office/drawing/2014/chart" uri="{C3380CC4-5D6E-409C-BE32-E72D297353CC}">
              <c16:uniqueId val="{00000001-B558-4330-AC4F-F79632091F7A}"/>
            </c:ext>
          </c:extLst>
        </c:ser>
        <c:dLbls>
          <c:showLegendKey val="0"/>
          <c:showVal val="0"/>
          <c:showCatName val="0"/>
          <c:showSerName val="0"/>
          <c:showPercent val="0"/>
          <c:showBubbleSize val="0"/>
        </c:dLbls>
        <c:gapWidth val="150"/>
        <c:overlap val="100"/>
        <c:axId val="851954624"/>
        <c:axId val="851955104"/>
      </c:barChart>
      <c:catAx>
        <c:axId val="85195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55104"/>
        <c:crosses val="autoZero"/>
        <c:auto val="1"/>
        <c:lblAlgn val="ctr"/>
        <c:lblOffset val="100"/>
        <c:noMultiLvlLbl val="0"/>
      </c:catAx>
      <c:valAx>
        <c:axId val="851955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5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c:name>
    <c:fmtId val="1"/>
  </c:pivotSource>
  <c:chart>
    <c:title>
      <c:tx>
        <c:rich>
          <a:bodyPr/>
          <a:lstStyle/>
          <a:p>
            <a:pPr lvl="0">
              <a:defRPr sz="1400" b="0" i="0">
                <a:solidFill>
                  <a:srgbClr val="757575"/>
                </a:solidFill>
                <a:latin typeface="+mn-lt"/>
              </a:defRPr>
            </a:pPr>
            <a:r>
              <a:rPr lang="en-US" sz="1400" b="0" i="0">
                <a:solidFill>
                  <a:srgbClr val="757575"/>
                </a:solidFill>
                <a:latin typeface="+mn-lt"/>
              </a:rPr>
              <a:t>Fig 21: Brunei</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Countries'!$C$7:$C$8</c:f>
              <c:strCache>
                <c:ptCount val="1"/>
                <c:pt idx="0">
                  <c:v>Naval Port Call</c:v>
                </c:pt>
              </c:strCache>
            </c:strRef>
          </c:tx>
          <c:invertIfNegative val="0"/>
          <c:cat>
            <c:strRef>
              <c:f>'Figures 21-38 Bilat Countries'!$B$9:$B$32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Countries'!$C$9:$C$32</c:f>
              <c:numCache>
                <c:formatCode>General</c:formatCode>
                <c:ptCount val="23"/>
                <c:pt idx="0">
                  <c:v>0</c:v>
                </c:pt>
                <c:pt idx="1">
                  <c:v>1</c:v>
                </c:pt>
                <c:pt idx="2">
                  <c:v>0</c:v>
                </c:pt>
                <c:pt idx="3">
                  <c:v>0</c:v>
                </c:pt>
                <c:pt idx="4">
                  <c:v>0</c:v>
                </c:pt>
                <c:pt idx="5">
                  <c:v>0</c:v>
                </c:pt>
                <c:pt idx="6">
                  <c:v>0</c:v>
                </c:pt>
                <c:pt idx="7">
                  <c:v>0</c:v>
                </c:pt>
                <c:pt idx="8">
                  <c:v>0</c:v>
                </c:pt>
                <c:pt idx="9">
                  <c:v>0</c:v>
                </c:pt>
                <c:pt idx="10">
                  <c:v>0</c:v>
                </c:pt>
                <c:pt idx="11">
                  <c:v>1</c:v>
                </c:pt>
                <c:pt idx="12">
                  <c:v>0</c:v>
                </c:pt>
                <c:pt idx="13">
                  <c:v>0</c:v>
                </c:pt>
                <c:pt idx="14">
                  <c:v>0</c:v>
                </c:pt>
                <c:pt idx="15">
                  <c:v>1</c:v>
                </c:pt>
                <c:pt idx="16">
                  <c:v>0</c:v>
                </c:pt>
                <c:pt idx="17">
                  <c:v>2</c:v>
                </c:pt>
                <c:pt idx="18">
                  <c:v>0</c:v>
                </c:pt>
                <c:pt idx="19">
                  <c:v>0</c:v>
                </c:pt>
                <c:pt idx="20">
                  <c:v>0</c:v>
                </c:pt>
                <c:pt idx="21">
                  <c:v>1</c:v>
                </c:pt>
                <c:pt idx="22">
                  <c:v>0</c:v>
                </c:pt>
              </c:numCache>
            </c:numRef>
          </c:val>
          <c:extLst>
            <c:ext xmlns:c16="http://schemas.microsoft.com/office/drawing/2014/chart" uri="{C3380CC4-5D6E-409C-BE32-E72D297353CC}">
              <c16:uniqueId val="{00000000-A8B8-4D3B-AD85-F715466D6FDF}"/>
            </c:ext>
          </c:extLst>
        </c:ser>
        <c:ser>
          <c:idx val="1"/>
          <c:order val="1"/>
          <c:tx>
            <c:strRef>
              <c:f>'Figures 21-38 Bilat Countries'!$D$7:$D$8</c:f>
              <c:strCache>
                <c:ptCount val="1"/>
                <c:pt idx="0">
                  <c:v>Senior Level Visit</c:v>
                </c:pt>
              </c:strCache>
            </c:strRef>
          </c:tx>
          <c:invertIfNegative val="0"/>
          <c:cat>
            <c:strRef>
              <c:f>'Figures 21-38 Bilat Countries'!$B$9:$B$32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Countries'!$D$9:$D$32</c:f>
              <c:numCache>
                <c:formatCode>General</c:formatCode>
                <c:ptCount val="23"/>
                <c:pt idx="0">
                  <c:v>1</c:v>
                </c:pt>
                <c:pt idx="1">
                  <c:v>1</c:v>
                </c:pt>
                <c:pt idx="2">
                  <c:v>2</c:v>
                </c:pt>
                <c:pt idx="3">
                  <c:v>1</c:v>
                </c:pt>
                <c:pt idx="4">
                  <c:v>0</c:v>
                </c:pt>
                <c:pt idx="5">
                  <c:v>1</c:v>
                </c:pt>
                <c:pt idx="6">
                  <c:v>2</c:v>
                </c:pt>
                <c:pt idx="7">
                  <c:v>1</c:v>
                </c:pt>
                <c:pt idx="8">
                  <c:v>0</c:v>
                </c:pt>
                <c:pt idx="9">
                  <c:v>0</c:v>
                </c:pt>
                <c:pt idx="10">
                  <c:v>1</c:v>
                </c:pt>
                <c:pt idx="11">
                  <c:v>2</c:v>
                </c:pt>
                <c:pt idx="12">
                  <c:v>1</c:v>
                </c:pt>
                <c:pt idx="13">
                  <c:v>0</c:v>
                </c:pt>
                <c:pt idx="14">
                  <c:v>1</c:v>
                </c:pt>
                <c:pt idx="15">
                  <c:v>0</c:v>
                </c:pt>
                <c:pt idx="16">
                  <c:v>0</c:v>
                </c:pt>
                <c:pt idx="17">
                  <c:v>1</c:v>
                </c:pt>
                <c:pt idx="18">
                  <c:v>1</c:v>
                </c:pt>
                <c:pt idx="19">
                  <c:v>0</c:v>
                </c:pt>
                <c:pt idx="20">
                  <c:v>0</c:v>
                </c:pt>
                <c:pt idx="21">
                  <c:v>0</c:v>
                </c:pt>
                <c:pt idx="22">
                  <c:v>0</c:v>
                </c:pt>
              </c:numCache>
            </c:numRef>
          </c:val>
          <c:extLst>
            <c:ext xmlns:c16="http://schemas.microsoft.com/office/drawing/2014/chart" uri="{C3380CC4-5D6E-409C-BE32-E72D297353CC}">
              <c16:uniqueId val="{00000004-A8B8-4D3B-AD85-F715466D6FDF}"/>
            </c:ext>
          </c:extLst>
        </c:ser>
        <c:dLbls>
          <c:showLegendKey val="0"/>
          <c:showVal val="0"/>
          <c:showCatName val="0"/>
          <c:showSerName val="0"/>
          <c:showPercent val="0"/>
          <c:showBubbleSize val="0"/>
        </c:dLbls>
        <c:gapWidth val="150"/>
        <c:overlap val="100"/>
        <c:axId val="1736640419"/>
        <c:axId val="1584599367"/>
      </c:barChart>
      <c:catAx>
        <c:axId val="173664041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84599367"/>
        <c:crosses val="autoZero"/>
        <c:auto val="1"/>
        <c:lblAlgn val="ctr"/>
        <c:lblOffset val="100"/>
        <c:noMultiLvlLbl val="1"/>
      </c:catAx>
      <c:valAx>
        <c:axId val="1584599367"/>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73664041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2</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 22: Cambodia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Countries'!$C$39:$C$40</c:f>
              <c:strCache>
                <c:ptCount val="1"/>
                <c:pt idx="0">
                  <c:v>Military Exercise</c:v>
                </c:pt>
              </c:strCache>
            </c:strRef>
          </c:tx>
          <c:invertIfNegative val="0"/>
          <c:cat>
            <c:strRef>
              <c:f>'Figures 21-38 Bilat Countries'!$B$41:$B$64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Countries'!$C$41:$C$64</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1</c:v>
                </c:pt>
                <c:pt idx="17">
                  <c:v>1</c:v>
                </c:pt>
                <c:pt idx="18">
                  <c:v>1</c:v>
                </c:pt>
                <c:pt idx="19">
                  <c:v>0</c:v>
                </c:pt>
                <c:pt idx="20">
                  <c:v>0</c:v>
                </c:pt>
                <c:pt idx="21">
                  <c:v>2</c:v>
                </c:pt>
                <c:pt idx="22">
                  <c:v>1</c:v>
                </c:pt>
              </c:numCache>
            </c:numRef>
          </c:val>
          <c:extLst>
            <c:ext xmlns:c16="http://schemas.microsoft.com/office/drawing/2014/chart" uri="{C3380CC4-5D6E-409C-BE32-E72D297353CC}">
              <c16:uniqueId val="{00000000-E11F-4BAC-A6D1-4BFFD75B3C0D}"/>
            </c:ext>
          </c:extLst>
        </c:ser>
        <c:ser>
          <c:idx val="1"/>
          <c:order val="1"/>
          <c:tx>
            <c:strRef>
              <c:f>'Figures 21-38 Bilat Countries'!$D$39:$D$40</c:f>
              <c:strCache>
                <c:ptCount val="1"/>
                <c:pt idx="0">
                  <c:v>Naval Port Call</c:v>
                </c:pt>
              </c:strCache>
            </c:strRef>
          </c:tx>
          <c:invertIfNegative val="0"/>
          <c:cat>
            <c:strRef>
              <c:f>'Figures 21-38 Bilat Countries'!$B$41:$B$64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Countries'!$D$41:$D$64</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2</c:v>
                </c:pt>
                <c:pt idx="15">
                  <c:v>1</c:v>
                </c:pt>
                <c:pt idx="16">
                  <c:v>0</c:v>
                </c:pt>
                <c:pt idx="17">
                  <c:v>1</c:v>
                </c:pt>
                <c:pt idx="18">
                  <c:v>0</c:v>
                </c:pt>
                <c:pt idx="19">
                  <c:v>0</c:v>
                </c:pt>
                <c:pt idx="20">
                  <c:v>0</c:v>
                </c:pt>
                <c:pt idx="21">
                  <c:v>0</c:v>
                </c:pt>
                <c:pt idx="22">
                  <c:v>1</c:v>
                </c:pt>
              </c:numCache>
            </c:numRef>
          </c:val>
          <c:extLst>
            <c:ext xmlns:c16="http://schemas.microsoft.com/office/drawing/2014/chart" uri="{C3380CC4-5D6E-409C-BE32-E72D297353CC}">
              <c16:uniqueId val="{00000001-E11F-4BAC-A6D1-4BFFD75B3C0D}"/>
            </c:ext>
          </c:extLst>
        </c:ser>
        <c:ser>
          <c:idx val="2"/>
          <c:order val="2"/>
          <c:tx>
            <c:strRef>
              <c:f>'Figures 21-38 Bilat Countries'!$E$39:$E$40</c:f>
              <c:strCache>
                <c:ptCount val="1"/>
                <c:pt idx="0">
                  <c:v>Senior Level Visit</c:v>
                </c:pt>
              </c:strCache>
            </c:strRef>
          </c:tx>
          <c:invertIfNegative val="0"/>
          <c:cat>
            <c:strRef>
              <c:f>'Figures 21-38 Bilat Countries'!$B$41:$B$64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Countries'!$E$41:$E$64</c:f>
              <c:numCache>
                <c:formatCode>General</c:formatCode>
                <c:ptCount val="23"/>
                <c:pt idx="0">
                  <c:v>0</c:v>
                </c:pt>
                <c:pt idx="1">
                  <c:v>1</c:v>
                </c:pt>
                <c:pt idx="2">
                  <c:v>2</c:v>
                </c:pt>
                <c:pt idx="3">
                  <c:v>0</c:v>
                </c:pt>
                <c:pt idx="4">
                  <c:v>1</c:v>
                </c:pt>
                <c:pt idx="5">
                  <c:v>2</c:v>
                </c:pt>
                <c:pt idx="6">
                  <c:v>1</c:v>
                </c:pt>
                <c:pt idx="7">
                  <c:v>1</c:v>
                </c:pt>
                <c:pt idx="8">
                  <c:v>3</c:v>
                </c:pt>
                <c:pt idx="9">
                  <c:v>1</c:v>
                </c:pt>
                <c:pt idx="10">
                  <c:v>1</c:v>
                </c:pt>
                <c:pt idx="11">
                  <c:v>3</c:v>
                </c:pt>
                <c:pt idx="12">
                  <c:v>2</c:v>
                </c:pt>
                <c:pt idx="13">
                  <c:v>3</c:v>
                </c:pt>
                <c:pt idx="14">
                  <c:v>2</c:v>
                </c:pt>
                <c:pt idx="15">
                  <c:v>3</c:v>
                </c:pt>
                <c:pt idx="16">
                  <c:v>3</c:v>
                </c:pt>
                <c:pt idx="17">
                  <c:v>4</c:v>
                </c:pt>
                <c:pt idx="18">
                  <c:v>1</c:v>
                </c:pt>
                <c:pt idx="19">
                  <c:v>0</c:v>
                </c:pt>
                <c:pt idx="20">
                  <c:v>3</c:v>
                </c:pt>
                <c:pt idx="21">
                  <c:v>3</c:v>
                </c:pt>
                <c:pt idx="22">
                  <c:v>4</c:v>
                </c:pt>
              </c:numCache>
            </c:numRef>
          </c:val>
          <c:extLst>
            <c:ext xmlns:c16="http://schemas.microsoft.com/office/drawing/2014/chart" uri="{C3380CC4-5D6E-409C-BE32-E72D297353CC}">
              <c16:uniqueId val="{00000002-E11F-4BAC-A6D1-4BFFD75B3C0D}"/>
            </c:ext>
          </c:extLst>
        </c:ser>
        <c:dLbls>
          <c:showLegendKey val="0"/>
          <c:showVal val="0"/>
          <c:showCatName val="0"/>
          <c:showSerName val="0"/>
          <c:showPercent val="0"/>
          <c:showBubbleSize val="0"/>
        </c:dLbls>
        <c:gapWidth val="150"/>
        <c:overlap val="100"/>
        <c:axId val="584220635"/>
        <c:axId val="291856187"/>
      </c:barChart>
      <c:catAx>
        <c:axId val="58422063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91856187"/>
        <c:crosses val="autoZero"/>
        <c:auto val="1"/>
        <c:lblAlgn val="ctr"/>
        <c:lblOffset val="100"/>
        <c:noMultiLvlLbl val="1"/>
      </c:catAx>
      <c:valAx>
        <c:axId val="291856187"/>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8422063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3</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23: Indonesia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Countries'!$C$70:$C$71</c:f>
              <c:strCache>
                <c:ptCount val="1"/>
                <c:pt idx="0">
                  <c:v>Military Exercise</c:v>
                </c:pt>
              </c:strCache>
            </c:strRef>
          </c:tx>
          <c:invertIfNegative val="0"/>
          <c:cat>
            <c:strRef>
              <c:f>'Figures 21-38 Bilat Countries'!$B$72:$B$95</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Countries'!$C$72:$C$95</c:f>
              <c:numCache>
                <c:formatCode>General</c:formatCode>
                <c:ptCount val="23"/>
                <c:pt idx="0">
                  <c:v>0</c:v>
                </c:pt>
                <c:pt idx="1">
                  <c:v>0</c:v>
                </c:pt>
                <c:pt idx="2">
                  <c:v>0</c:v>
                </c:pt>
                <c:pt idx="3">
                  <c:v>0</c:v>
                </c:pt>
                <c:pt idx="4">
                  <c:v>0</c:v>
                </c:pt>
                <c:pt idx="5">
                  <c:v>0</c:v>
                </c:pt>
                <c:pt idx="6">
                  <c:v>0</c:v>
                </c:pt>
                <c:pt idx="7">
                  <c:v>0</c:v>
                </c:pt>
                <c:pt idx="8">
                  <c:v>0</c:v>
                </c:pt>
                <c:pt idx="9">
                  <c:v>1</c:v>
                </c:pt>
                <c:pt idx="10">
                  <c:v>1</c:v>
                </c:pt>
                <c:pt idx="11">
                  <c:v>1</c:v>
                </c:pt>
                <c:pt idx="12">
                  <c:v>3</c:v>
                </c:pt>
                <c:pt idx="13">
                  <c:v>0</c:v>
                </c:pt>
                <c:pt idx="14">
                  <c:v>2</c:v>
                </c:pt>
                <c:pt idx="15">
                  <c:v>0</c:v>
                </c:pt>
                <c:pt idx="16">
                  <c:v>1</c:v>
                </c:pt>
                <c:pt idx="17">
                  <c:v>0</c:v>
                </c:pt>
                <c:pt idx="18">
                  <c:v>0</c:v>
                </c:pt>
                <c:pt idx="19">
                  <c:v>1</c:v>
                </c:pt>
                <c:pt idx="20">
                  <c:v>0</c:v>
                </c:pt>
                <c:pt idx="21">
                  <c:v>1</c:v>
                </c:pt>
                <c:pt idx="22">
                  <c:v>1</c:v>
                </c:pt>
              </c:numCache>
            </c:numRef>
          </c:val>
          <c:extLst>
            <c:ext xmlns:c16="http://schemas.microsoft.com/office/drawing/2014/chart" uri="{C3380CC4-5D6E-409C-BE32-E72D297353CC}">
              <c16:uniqueId val="{00000000-3654-4B2F-8F28-F9BF6B168E22}"/>
            </c:ext>
          </c:extLst>
        </c:ser>
        <c:ser>
          <c:idx val="1"/>
          <c:order val="1"/>
          <c:tx>
            <c:strRef>
              <c:f>'Figures 21-38 Bilat Countries'!$D$70:$D$71</c:f>
              <c:strCache>
                <c:ptCount val="1"/>
                <c:pt idx="0">
                  <c:v>Naval Port Call</c:v>
                </c:pt>
              </c:strCache>
            </c:strRef>
          </c:tx>
          <c:invertIfNegative val="0"/>
          <c:cat>
            <c:strRef>
              <c:f>'Figures 21-38 Bilat Countries'!$B$72:$B$95</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Countries'!$D$72:$D$95</c:f>
              <c:numCache>
                <c:formatCode>General</c:formatCode>
                <c:ptCount val="23"/>
                <c:pt idx="0">
                  <c:v>0</c:v>
                </c:pt>
                <c:pt idx="1">
                  <c:v>0</c:v>
                </c:pt>
                <c:pt idx="2">
                  <c:v>0</c:v>
                </c:pt>
                <c:pt idx="3">
                  <c:v>0</c:v>
                </c:pt>
                <c:pt idx="4">
                  <c:v>0</c:v>
                </c:pt>
                <c:pt idx="5">
                  <c:v>0</c:v>
                </c:pt>
                <c:pt idx="6">
                  <c:v>0</c:v>
                </c:pt>
                <c:pt idx="7">
                  <c:v>0</c:v>
                </c:pt>
                <c:pt idx="8">
                  <c:v>1</c:v>
                </c:pt>
                <c:pt idx="9">
                  <c:v>0</c:v>
                </c:pt>
                <c:pt idx="10">
                  <c:v>0</c:v>
                </c:pt>
                <c:pt idx="11">
                  <c:v>2</c:v>
                </c:pt>
                <c:pt idx="12">
                  <c:v>0</c:v>
                </c:pt>
                <c:pt idx="13">
                  <c:v>0</c:v>
                </c:pt>
                <c:pt idx="14">
                  <c:v>2</c:v>
                </c:pt>
                <c:pt idx="15">
                  <c:v>1</c:v>
                </c:pt>
                <c:pt idx="16">
                  <c:v>1</c:v>
                </c:pt>
                <c:pt idx="17">
                  <c:v>0</c:v>
                </c:pt>
                <c:pt idx="18">
                  <c:v>0</c:v>
                </c:pt>
                <c:pt idx="19">
                  <c:v>0</c:v>
                </c:pt>
                <c:pt idx="20">
                  <c:v>1</c:v>
                </c:pt>
                <c:pt idx="21">
                  <c:v>1</c:v>
                </c:pt>
                <c:pt idx="22">
                  <c:v>2</c:v>
                </c:pt>
              </c:numCache>
            </c:numRef>
          </c:val>
          <c:extLst>
            <c:ext xmlns:c16="http://schemas.microsoft.com/office/drawing/2014/chart" uri="{C3380CC4-5D6E-409C-BE32-E72D297353CC}">
              <c16:uniqueId val="{00000001-3654-4B2F-8F28-F9BF6B168E22}"/>
            </c:ext>
          </c:extLst>
        </c:ser>
        <c:ser>
          <c:idx val="2"/>
          <c:order val="2"/>
          <c:tx>
            <c:strRef>
              <c:f>'Figures 21-38 Bilat Countries'!$E$70:$E$71</c:f>
              <c:strCache>
                <c:ptCount val="1"/>
                <c:pt idx="0">
                  <c:v>Senior Level Visit</c:v>
                </c:pt>
              </c:strCache>
            </c:strRef>
          </c:tx>
          <c:invertIfNegative val="0"/>
          <c:cat>
            <c:strRef>
              <c:f>'Figures 21-38 Bilat Countries'!$B$72:$B$95</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Countries'!$E$72:$E$95</c:f>
              <c:numCache>
                <c:formatCode>General</c:formatCode>
                <c:ptCount val="23"/>
                <c:pt idx="0">
                  <c:v>2</c:v>
                </c:pt>
                <c:pt idx="1">
                  <c:v>0</c:v>
                </c:pt>
                <c:pt idx="2">
                  <c:v>0</c:v>
                </c:pt>
                <c:pt idx="3">
                  <c:v>0</c:v>
                </c:pt>
                <c:pt idx="4">
                  <c:v>2</c:v>
                </c:pt>
                <c:pt idx="5">
                  <c:v>4</c:v>
                </c:pt>
                <c:pt idx="6">
                  <c:v>2</c:v>
                </c:pt>
                <c:pt idx="7">
                  <c:v>2</c:v>
                </c:pt>
                <c:pt idx="8">
                  <c:v>3</c:v>
                </c:pt>
                <c:pt idx="9">
                  <c:v>3</c:v>
                </c:pt>
                <c:pt idx="10">
                  <c:v>3</c:v>
                </c:pt>
                <c:pt idx="11">
                  <c:v>2</c:v>
                </c:pt>
                <c:pt idx="12">
                  <c:v>4</c:v>
                </c:pt>
                <c:pt idx="13">
                  <c:v>3</c:v>
                </c:pt>
                <c:pt idx="14">
                  <c:v>1</c:v>
                </c:pt>
                <c:pt idx="15">
                  <c:v>1</c:v>
                </c:pt>
                <c:pt idx="16">
                  <c:v>0</c:v>
                </c:pt>
                <c:pt idx="17">
                  <c:v>2</c:v>
                </c:pt>
                <c:pt idx="18">
                  <c:v>2</c:v>
                </c:pt>
                <c:pt idx="19">
                  <c:v>1</c:v>
                </c:pt>
                <c:pt idx="20">
                  <c:v>1</c:v>
                </c:pt>
                <c:pt idx="21">
                  <c:v>1</c:v>
                </c:pt>
                <c:pt idx="22">
                  <c:v>1</c:v>
                </c:pt>
              </c:numCache>
            </c:numRef>
          </c:val>
          <c:extLst>
            <c:ext xmlns:c16="http://schemas.microsoft.com/office/drawing/2014/chart" uri="{C3380CC4-5D6E-409C-BE32-E72D297353CC}">
              <c16:uniqueId val="{00000002-3654-4B2F-8F28-F9BF6B168E22}"/>
            </c:ext>
          </c:extLst>
        </c:ser>
        <c:dLbls>
          <c:showLegendKey val="0"/>
          <c:showVal val="0"/>
          <c:showCatName val="0"/>
          <c:showSerName val="0"/>
          <c:showPercent val="0"/>
          <c:showBubbleSize val="0"/>
        </c:dLbls>
        <c:gapWidth val="150"/>
        <c:overlap val="100"/>
        <c:axId val="1532285267"/>
        <c:axId val="513155724"/>
      </c:barChart>
      <c:catAx>
        <c:axId val="153228526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13155724"/>
        <c:crosses val="autoZero"/>
        <c:auto val="1"/>
        <c:lblAlgn val="ctr"/>
        <c:lblOffset val="100"/>
        <c:noMultiLvlLbl val="1"/>
      </c:catAx>
      <c:valAx>
        <c:axId val="513155724"/>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53228526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4</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24: Laos</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Countries'!$C$100:$C$101</c:f>
              <c:strCache>
                <c:ptCount val="1"/>
                <c:pt idx="0">
                  <c:v>Military Exercise</c:v>
                </c:pt>
              </c:strCache>
            </c:strRef>
          </c:tx>
          <c:invertIfNegative val="0"/>
          <c:cat>
            <c:strRef>
              <c:f>'Figures 21-38 Bilat Countries'!$B$102:$B$125</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Countries'!$C$102:$C$125</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2</c:v>
                </c:pt>
                <c:pt idx="18">
                  <c:v>0</c:v>
                </c:pt>
                <c:pt idx="19">
                  <c:v>0</c:v>
                </c:pt>
                <c:pt idx="20">
                  <c:v>1</c:v>
                </c:pt>
                <c:pt idx="21">
                  <c:v>1</c:v>
                </c:pt>
                <c:pt idx="22">
                  <c:v>2</c:v>
                </c:pt>
              </c:numCache>
            </c:numRef>
          </c:val>
          <c:extLst>
            <c:ext xmlns:c16="http://schemas.microsoft.com/office/drawing/2014/chart" uri="{C3380CC4-5D6E-409C-BE32-E72D297353CC}">
              <c16:uniqueId val="{00000000-D227-47AC-9833-82CA0E499906}"/>
            </c:ext>
          </c:extLst>
        </c:ser>
        <c:ser>
          <c:idx val="1"/>
          <c:order val="1"/>
          <c:tx>
            <c:strRef>
              <c:f>'Figures 21-38 Bilat Countries'!$D$100:$D$101</c:f>
              <c:strCache>
                <c:ptCount val="1"/>
                <c:pt idx="0">
                  <c:v>Naval Port Call</c:v>
                </c:pt>
              </c:strCache>
            </c:strRef>
          </c:tx>
          <c:invertIfNegative val="0"/>
          <c:cat>
            <c:strRef>
              <c:f>'Figures 21-38 Bilat Countries'!$B$102:$B$125</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Countries'!$D$102:$D$125</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D227-47AC-9833-82CA0E499906}"/>
            </c:ext>
          </c:extLst>
        </c:ser>
        <c:ser>
          <c:idx val="2"/>
          <c:order val="2"/>
          <c:tx>
            <c:strRef>
              <c:f>'Figures 21-38 Bilat Countries'!$E$100:$E$101</c:f>
              <c:strCache>
                <c:ptCount val="1"/>
                <c:pt idx="0">
                  <c:v>Senior Level Visit</c:v>
                </c:pt>
              </c:strCache>
            </c:strRef>
          </c:tx>
          <c:invertIfNegative val="0"/>
          <c:cat>
            <c:strRef>
              <c:f>'Figures 21-38 Bilat Countries'!$B$102:$B$125</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Countries'!$E$102:$E$125</c:f>
              <c:numCache>
                <c:formatCode>General</c:formatCode>
                <c:ptCount val="23"/>
                <c:pt idx="0">
                  <c:v>2</c:v>
                </c:pt>
                <c:pt idx="1">
                  <c:v>0</c:v>
                </c:pt>
                <c:pt idx="2">
                  <c:v>2</c:v>
                </c:pt>
                <c:pt idx="3">
                  <c:v>0</c:v>
                </c:pt>
                <c:pt idx="4">
                  <c:v>1</c:v>
                </c:pt>
                <c:pt idx="5">
                  <c:v>3</c:v>
                </c:pt>
                <c:pt idx="6">
                  <c:v>1</c:v>
                </c:pt>
                <c:pt idx="7">
                  <c:v>1</c:v>
                </c:pt>
                <c:pt idx="8">
                  <c:v>2</c:v>
                </c:pt>
                <c:pt idx="9">
                  <c:v>3</c:v>
                </c:pt>
                <c:pt idx="10">
                  <c:v>3</c:v>
                </c:pt>
                <c:pt idx="11">
                  <c:v>1</c:v>
                </c:pt>
                <c:pt idx="12">
                  <c:v>3</c:v>
                </c:pt>
                <c:pt idx="13">
                  <c:v>3</c:v>
                </c:pt>
                <c:pt idx="14">
                  <c:v>2</c:v>
                </c:pt>
                <c:pt idx="15">
                  <c:v>1</c:v>
                </c:pt>
                <c:pt idx="16">
                  <c:v>2</c:v>
                </c:pt>
                <c:pt idx="17">
                  <c:v>2</c:v>
                </c:pt>
                <c:pt idx="18">
                  <c:v>1</c:v>
                </c:pt>
                <c:pt idx="19">
                  <c:v>0</c:v>
                </c:pt>
                <c:pt idx="20">
                  <c:v>1</c:v>
                </c:pt>
                <c:pt idx="21">
                  <c:v>4</c:v>
                </c:pt>
                <c:pt idx="22">
                  <c:v>3</c:v>
                </c:pt>
              </c:numCache>
            </c:numRef>
          </c:val>
          <c:extLst>
            <c:ext xmlns:c16="http://schemas.microsoft.com/office/drawing/2014/chart" uri="{C3380CC4-5D6E-409C-BE32-E72D297353CC}">
              <c16:uniqueId val="{00000002-D227-47AC-9833-82CA0E499906}"/>
            </c:ext>
          </c:extLst>
        </c:ser>
        <c:dLbls>
          <c:showLegendKey val="0"/>
          <c:showVal val="0"/>
          <c:showCatName val="0"/>
          <c:showSerName val="0"/>
          <c:showPercent val="0"/>
          <c:showBubbleSize val="0"/>
        </c:dLbls>
        <c:gapWidth val="150"/>
        <c:overlap val="100"/>
        <c:axId val="162661727"/>
        <c:axId val="134582543"/>
      </c:barChart>
      <c:catAx>
        <c:axId val="16266172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34582543"/>
        <c:crosses val="autoZero"/>
        <c:auto val="1"/>
        <c:lblAlgn val="ctr"/>
        <c:lblOffset val="100"/>
        <c:noMultiLvlLbl val="1"/>
      </c:catAx>
      <c:valAx>
        <c:axId val="134582543"/>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6266172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5</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25: Malaysia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Countries'!$C$131:$C$132</c:f>
              <c:strCache>
                <c:ptCount val="1"/>
                <c:pt idx="0">
                  <c:v>Military Exercise</c:v>
                </c:pt>
              </c:strCache>
            </c:strRef>
          </c:tx>
          <c:invertIfNegative val="0"/>
          <c:cat>
            <c:strRef>
              <c:f>'Figures 21-38 Bilat Countries'!$B$133:$B$156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Countries'!$C$133:$C$156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0</c:v>
                </c:pt>
                <c:pt idx="16">
                  <c:v>1</c:v>
                </c:pt>
                <c:pt idx="17">
                  <c:v>1</c:v>
                </c:pt>
                <c:pt idx="18">
                  <c:v>0</c:v>
                </c:pt>
                <c:pt idx="19">
                  <c:v>0</c:v>
                </c:pt>
                <c:pt idx="20">
                  <c:v>0</c:v>
                </c:pt>
                <c:pt idx="21">
                  <c:v>0</c:v>
                </c:pt>
                <c:pt idx="22">
                  <c:v>0</c:v>
                </c:pt>
              </c:numCache>
            </c:numRef>
          </c:val>
          <c:extLst>
            <c:ext xmlns:c16="http://schemas.microsoft.com/office/drawing/2014/chart" uri="{C3380CC4-5D6E-409C-BE32-E72D297353CC}">
              <c16:uniqueId val="{00000000-F47E-460F-8A07-F92D16E3A42A}"/>
            </c:ext>
          </c:extLst>
        </c:ser>
        <c:ser>
          <c:idx val="1"/>
          <c:order val="1"/>
          <c:tx>
            <c:strRef>
              <c:f>'Figures 21-38 Bilat Countries'!$D$131:$D$132</c:f>
              <c:strCache>
                <c:ptCount val="1"/>
                <c:pt idx="0">
                  <c:v>Naval Port Call</c:v>
                </c:pt>
              </c:strCache>
            </c:strRef>
          </c:tx>
          <c:invertIfNegative val="0"/>
          <c:cat>
            <c:strRef>
              <c:f>'Figures 21-38 Bilat Countries'!$B$133:$B$156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Countries'!$D$133:$D$156</c:f>
              <c:numCache>
                <c:formatCode>General</c:formatCode>
                <c:ptCount val="23"/>
                <c:pt idx="0">
                  <c:v>0</c:v>
                </c:pt>
                <c:pt idx="1">
                  <c:v>0</c:v>
                </c:pt>
                <c:pt idx="2">
                  <c:v>0</c:v>
                </c:pt>
                <c:pt idx="3">
                  <c:v>0</c:v>
                </c:pt>
                <c:pt idx="4">
                  <c:v>0</c:v>
                </c:pt>
                <c:pt idx="5">
                  <c:v>0</c:v>
                </c:pt>
                <c:pt idx="6">
                  <c:v>0</c:v>
                </c:pt>
                <c:pt idx="7">
                  <c:v>1</c:v>
                </c:pt>
                <c:pt idx="8">
                  <c:v>0</c:v>
                </c:pt>
                <c:pt idx="9">
                  <c:v>0</c:v>
                </c:pt>
                <c:pt idx="10">
                  <c:v>0</c:v>
                </c:pt>
                <c:pt idx="11">
                  <c:v>1</c:v>
                </c:pt>
                <c:pt idx="12">
                  <c:v>0</c:v>
                </c:pt>
                <c:pt idx="13">
                  <c:v>1</c:v>
                </c:pt>
                <c:pt idx="14">
                  <c:v>1</c:v>
                </c:pt>
                <c:pt idx="15">
                  <c:v>1</c:v>
                </c:pt>
                <c:pt idx="16">
                  <c:v>0</c:v>
                </c:pt>
                <c:pt idx="17">
                  <c:v>1</c:v>
                </c:pt>
                <c:pt idx="18">
                  <c:v>0</c:v>
                </c:pt>
                <c:pt idx="19">
                  <c:v>0</c:v>
                </c:pt>
                <c:pt idx="20">
                  <c:v>0</c:v>
                </c:pt>
                <c:pt idx="21">
                  <c:v>1</c:v>
                </c:pt>
                <c:pt idx="22">
                  <c:v>2</c:v>
                </c:pt>
              </c:numCache>
            </c:numRef>
          </c:val>
          <c:extLst>
            <c:ext xmlns:c16="http://schemas.microsoft.com/office/drawing/2014/chart" uri="{C3380CC4-5D6E-409C-BE32-E72D297353CC}">
              <c16:uniqueId val="{00000001-F47E-460F-8A07-F92D16E3A42A}"/>
            </c:ext>
          </c:extLst>
        </c:ser>
        <c:ser>
          <c:idx val="2"/>
          <c:order val="2"/>
          <c:tx>
            <c:strRef>
              <c:f>'Figures 21-38 Bilat Countries'!$E$131:$E$132</c:f>
              <c:strCache>
                <c:ptCount val="1"/>
                <c:pt idx="0">
                  <c:v>Senior Level Visit</c:v>
                </c:pt>
              </c:strCache>
            </c:strRef>
          </c:tx>
          <c:invertIfNegative val="0"/>
          <c:cat>
            <c:strRef>
              <c:f>'Figures 21-38 Bilat Countries'!$B$133:$B$156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Countries'!$E$133:$E$156</c:f>
              <c:numCache>
                <c:formatCode>General</c:formatCode>
                <c:ptCount val="23"/>
                <c:pt idx="0">
                  <c:v>0</c:v>
                </c:pt>
                <c:pt idx="1">
                  <c:v>1</c:v>
                </c:pt>
                <c:pt idx="2">
                  <c:v>0</c:v>
                </c:pt>
                <c:pt idx="3">
                  <c:v>1</c:v>
                </c:pt>
                <c:pt idx="4">
                  <c:v>3</c:v>
                </c:pt>
                <c:pt idx="5">
                  <c:v>1</c:v>
                </c:pt>
                <c:pt idx="6">
                  <c:v>1</c:v>
                </c:pt>
                <c:pt idx="7">
                  <c:v>3</c:v>
                </c:pt>
                <c:pt idx="8">
                  <c:v>2</c:v>
                </c:pt>
                <c:pt idx="9">
                  <c:v>1</c:v>
                </c:pt>
                <c:pt idx="10">
                  <c:v>1</c:v>
                </c:pt>
                <c:pt idx="11">
                  <c:v>2</c:v>
                </c:pt>
                <c:pt idx="12">
                  <c:v>1</c:v>
                </c:pt>
                <c:pt idx="13">
                  <c:v>4</c:v>
                </c:pt>
                <c:pt idx="14">
                  <c:v>3</c:v>
                </c:pt>
                <c:pt idx="15">
                  <c:v>3</c:v>
                </c:pt>
                <c:pt idx="16">
                  <c:v>1</c:v>
                </c:pt>
                <c:pt idx="17">
                  <c:v>1</c:v>
                </c:pt>
                <c:pt idx="18">
                  <c:v>2</c:v>
                </c:pt>
                <c:pt idx="19">
                  <c:v>1</c:v>
                </c:pt>
                <c:pt idx="20">
                  <c:v>0</c:v>
                </c:pt>
                <c:pt idx="21">
                  <c:v>0</c:v>
                </c:pt>
                <c:pt idx="22">
                  <c:v>1</c:v>
                </c:pt>
              </c:numCache>
            </c:numRef>
          </c:val>
          <c:extLst>
            <c:ext xmlns:c16="http://schemas.microsoft.com/office/drawing/2014/chart" uri="{C3380CC4-5D6E-409C-BE32-E72D297353CC}">
              <c16:uniqueId val="{00000002-F47E-460F-8A07-F92D16E3A42A}"/>
            </c:ext>
          </c:extLst>
        </c:ser>
        <c:dLbls>
          <c:showLegendKey val="0"/>
          <c:showVal val="0"/>
          <c:showCatName val="0"/>
          <c:showSerName val="0"/>
          <c:showPercent val="0"/>
          <c:showBubbleSize val="0"/>
        </c:dLbls>
        <c:gapWidth val="150"/>
        <c:overlap val="100"/>
        <c:axId val="686177805"/>
        <c:axId val="1549296330"/>
      </c:barChart>
      <c:catAx>
        <c:axId val="68617780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49296330"/>
        <c:crosses val="autoZero"/>
        <c:auto val="1"/>
        <c:lblAlgn val="ctr"/>
        <c:lblOffset val="100"/>
        <c:noMultiLvlLbl val="1"/>
      </c:catAx>
      <c:valAx>
        <c:axId val="1549296330"/>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68617780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6</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26: Myanmar</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Countries'!$C$161:$C$162</c:f>
              <c:strCache>
                <c:ptCount val="1"/>
                <c:pt idx="0">
                  <c:v>Military Exercise</c:v>
                </c:pt>
              </c:strCache>
            </c:strRef>
          </c:tx>
          <c:invertIfNegative val="0"/>
          <c:cat>
            <c:strRef>
              <c:f>'Figures 21-38 Bilat Countries'!$B$163:$B$186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Countries'!$C$163:$C$186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B024-4DD6-8214-5CC4A4259324}"/>
            </c:ext>
          </c:extLst>
        </c:ser>
        <c:ser>
          <c:idx val="1"/>
          <c:order val="1"/>
          <c:tx>
            <c:strRef>
              <c:f>'Figures 21-38 Bilat Countries'!$D$161:$D$162</c:f>
              <c:strCache>
                <c:ptCount val="1"/>
                <c:pt idx="0">
                  <c:v>Naval Port Call</c:v>
                </c:pt>
              </c:strCache>
            </c:strRef>
          </c:tx>
          <c:invertIfNegative val="0"/>
          <c:cat>
            <c:strRef>
              <c:f>'Figures 21-38 Bilat Countries'!$B$163:$B$186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Countries'!$D$163:$D$186</c:f>
              <c:numCache>
                <c:formatCode>General</c:formatCode>
                <c:ptCount val="23"/>
                <c:pt idx="0">
                  <c:v>0</c:v>
                </c:pt>
                <c:pt idx="1">
                  <c:v>0</c:v>
                </c:pt>
                <c:pt idx="2">
                  <c:v>0</c:v>
                </c:pt>
                <c:pt idx="3">
                  <c:v>0</c:v>
                </c:pt>
                <c:pt idx="4">
                  <c:v>0</c:v>
                </c:pt>
                <c:pt idx="5">
                  <c:v>0</c:v>
                </c:pt>
                <c:pt idx="6">
                  <c:v>0</c:v>
                </c:pt>
                <c:pt idx="7">
                  <c:v>0</c:v>
                </c:pt>
                <c:pt idx="8">
                  <c:v>1</c:v>
                </c:pt>
                <c:pt idx="9">
                  <c:v>0</c:v>
                </c:pt>
                <c:pt idx="10">
                  <c:v>0</c:v>
                </c:pt>
                <c:pt idx="11">
                  <c:v>2</c:v>
                </c:pt>
                <c:pt idx="12">
                  <c:v>0</c:v>
                </c:pt>
                <c:pt idx="13">
                  <c:v>0</c:v>
                </c:pt>
                <c:pt idx="14">
                  <c:v>0</c:v>
                </c:pt>
                <c:pt idx="15">
                  <c:v>1</c:v>
                </c:pt>
                <c:pt idx="16">
                  <c:v>0</c:v>
                </c:pt>
                <c:pt idx="17">
                  <c:v>0</c:v>
                </c:pt>
                <c:pt idx="18">
                  <c:v>0</c:v>
                </c:pt>
                <c:pt idx="19">
                  <c:v>0</c:v>
                </c:pt>
                <c:pt idx="20">
                  <c:v>0</c:v>
                </c:pt>
                <c:pt idx="21">
                  <c:v>1</c:v>
                </c:pt>
                <c:pt idx="22">
                  <c:v>0</c:v>
                </c:pt>
              </c:numCache>
            </c:numRef>
          </c:val>
          <c:extLst>
            <c:ext xmlns:c16="http://schemas.microsoft.com/office/drawing/2014/chart" uri="{C3380CC4-5D6E-409C-BE32-E72D297353CC}">
              <c16:uniqueId val="{00000001-B024-4DD6-8214-5CC4A4259324}"/>
            </c:ext>
          </c:extLst>
        </c:ser>
        <c:ser>
          <c:idx val="2"/>
          <c:order val="2"/>
          <c:tx>
            <c:strRef>
              <c:f>'Figures 21-38 Bilat Countries'!$E$161:$E$162</c:f>
              <c:strCache>
                <c:ptCount val="1"/>
                <c:pt idx="0">
                  <c:v>Senior Level Visit</c:v>
                </c:pt>
              </c:strCache>
            </c:strRef>
          </c:tx>
          <c:invertIfNegative val="0"/>
          <c:cat>
            <c:strRef>
              <c:f>'Figures 21-38 Bilat Countries'!$B$163:$B$186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Countries'!$E$163:$E$186</c:f>
              <c:numCache>
                <c:formatCode>General</c:formatCode>
                <c:ptCount val="23"/>
                <c:pt idx="0">
                  <c:v>1</c:v>
                </c:pt>
                <c:pt idx="1">
                  <c:v>2</c:v>
                </c:pt>
                <c:pt idx="2">
                  <c:v>1</c:v>
                </c:pt>
                <c:pt idx="3">
                  <c:v>0</c:v>
                </c:pt>
                <c:pt idx="4">
                  <c:v>1</c:v>
                </c:pt>
                <c:pt idx="5">
                  <c:v>1</c:v>
                </c:pt>
                <c:pt idx="6">
                  <c:v>3</c:v>
                </c:pt>
                <c:pt idx="7">
                  <c:v>1</c:v>
                </c:pt>
                <c:pt idx="8">
                  <c:v>1</c:v>
                </c:pt>
                <c:pt idx="9">
                  <c:v>3</c:v>
                </c:pt>
                <c:pt idx="10">
                  <c:v>4</c:v>
                </c:pt>
                <c:pt idx="11">
                  <c:v>1</c:v>
                </c:pt>
                <c:pt idx="12">
                  <c:v>3</c:v>
                </c:pt>
                <c:pt idx="13">
                  <c:v>2</c:v>
                </c:pt>
                <c:pt idx="14">
                  <c:v>1</c:v>
                </c:pt>
                <c:pt idx="15">
                  <c:v>1</c:v>
                </c:pt>
                <c:pt idx="16">
                  <c:v>6</c:v>
                </c:pt>
                <c:pt idx="17">
                  <c:v>1</c:v>
                </c:pt>
                <c:pt idx="18">
                  <c:v>1</c:v>
                </c:pt>
                <c:pt idx="19">
                  <c:v>0</c:v>
                </c:pt>
                <c:pt idx="20">
                  <c:v>0</c:v>
                </c:pt>
                <c:pt idx="21">
                  <c:v>0</c:v>
                </c:pt>
                <c:pt idx="22">
                  <c:v>1</c:v>
                </c:pt>
              </c:numCache>
            </c:numRef>
          </c:val>
          <c:extLst>
            <c:ext xmlns:c16="http://schemas.microsoft.com/office/drawing/2014/chart" uri="{C3380CC4-5D6E-409C-BE32-E72D297353CC}">
              <c16:uniqueId val="{00000002-B024-4DD6-8214-5CC4A4259324}"/>
            </c:ext>
          </c:extLst>
        </c:ser>
        <c:dLbls>
          <c:showLegendKey val="0"/>
          <c:showVal val="0"/>
          <c:showCatName val="0"/>
          <c:showSerName val="0"/>
          <c:showPercent val="0"/>
          <c:showBubbleSize val="0"/>
        </c:dLbls>
        <c:gapWidth val="150"/>
        <c:overlap val="100"/>
        <c:axId val="1602804830"/>
        <c:axId val="1069184595"/>
      </c:barChart>
      <c:catAx>
        <c:axId val="160280483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069184595"/>
        <c:crosses val="autoZero"/>
        <c:auto val="1"/>
        <c:lblAlgn val="ctr"/>
        <c:lblOffset val="100"/>
        <c:noMultiLvlLbl val="1"/>
      </c:catAx>
      <c:valAx>
        <c:axId val="1069184595"/>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60280483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7</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27: Philippines</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Countries'!$C$191:$C$192</c:f>
              <c:strCache>
                <c:ptCount val="1"/>
                <c:pt idx="0">
                  <c:v>Military Exercise</c:v>
                </c:pt>
              </c:strCache>
            </c:strRef>
          </c:tx>
          <c:invertIfNegative val="0"/>
          <c:cat>
            <c:strRef>
              <c:f>'Figures 21-38 Bilat Countries'!$B$193:$B$216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Countries'!$C$193:$C$216</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numCache>
            </c:numRef>
          </c:val>
          <c:extLst>
            <c:ext xmlns:c16="http://schemas.microsoft.com/office/drawing/2014/chart" uri="{C3380CC4-5D6E-409C-BE32-E72D297353CC}">
              <c16:uniqueId val="{00000000-6D40-4251-BBFF-9F1B0479F7A7}"/>
            </c:ext>
          </c:extLst>
        </c:ser>
        <c:ser>
          <c:idx val="1"/>
          <c:order val="1"/>
          <c:tx>
            <c:strRef>
              <c:f>'Figures 21-38 Bilat Countries'!$D$191:$D$192</c:f>
              <c:strCache>
                <c:ptCount val="1"/>
                <c:pt idx="0">
                  <c:v>Naval Port Call</c:v>
                </c:pt>
              </c:strCache>
            </c:strRef>
          </c:tx>
          <c:invertIfNegative val="0"/>
          <c:cat>
            <c:strRef>
              <c:f>'Figures 21-38 Bilat Countries'!$B$193:$B$216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Countries'!$D$193:$D$216</c:f>
              <c:numCache>
                <c:formatCode>General</c:formatCode>
                <c:ptCount val="23"/>
                <c:pt idx="0">
                  <c:v>0</c:v>
                </c:pt>
                <c:pt idx="1">
                  <c:v>0</c:v>
                </c:pt>
                <c:pt idx="2">
                  <c:v>0</c:v>
                </c:pt>
                <c:pt idx="3">
                  <c:v>0</c:v>
                </c:pt>
                <c:pt idx="4">
                  <c:v>1</c:v>
                </c:pt>
                <c:pt idx="5">
                  <c:v>0</c:v>
                </c:pt>
                <c:pt idx="6">
                  <c:v>0</c:v>
                </c:pt>
                <c:pt idx="7">
                  <c:v>0</c:v>
                </c:pt>
                <c:pt idx="8">
                  <c:v>1</c:v>
                </c:pt>
                <c:pt idx="9">
                  <c:v>0</c:v>
                </c:pt>
                <c:pt idx="10">
                  <c:v>0</c:v>
                </c:pt>
                <c:pt idx="11">
                  <c:v>1</c:v>
                </c:pt>
                <c:pt idx="12">
                  <c:v>0</c:v>
                </c:pt>
                <c:pt idx="13">
                  <c:v>0</c:v>
                </c:pt>
                <c:pt idx="14">
                  <c:v>0</c:v>
                </c:pt>
                <c:pt idx="15">
                  <c:v>1</c:v>
                </c:pt>
                <c:pt idx="16">
                  <c:v>0</c:v>
                </c:pt>
                <c:pt idx="17">
                  <c:v>1</c:v>
                </c:pt>
                <c:pt idx="18">
                  <c:v>0</c:v>
                </c:pt>
                <c:pt idx="19">
                  <c:v>0</c:v>
                </c:pt>
                <c:pt idx="20">
                  <c:v>0</c:v>
                </c:pt>
                <c:pt idx="21">
                  <c:v>1</c:v>
                </c:pt>
                <c:pt idx="22">
                  <c:v>0</c:v>
                </c:pt>
              </c:numCache>
            </c:numRef>
          </c:val>
          <c:extLst>
            <c:ext xmlns:c16="http://schemas.microsoft.com/office/drawing/2014/chart" uri="{C3380CC4-5D6E-409C-BE32-E72D297353CC}">
              <c16:uniqueId val="{00000001-6D40-4251-BBFF-9F1B0479F7A7}"/>
            </c:ext>
          </c:extLst>
        </c:ser>
        <c:ser>
          <c:idx val="2"/>
          <c:order val="2"/>
          <c:tx>
            <c:strRef>
              <c:f>'Figures 21-38 Bilat Countries'!$E$191:$E$192</c:f>
              <c:strCache>
                <c:ptCount val="1"/>
                <c:pt idx="0">
                  <c:v>Senior Level Visit</c:v>
                </c:pt>
              </c:strCache>
            </c:strRef>
          </c:tx>
          <c:invertIfNegative val="0"/>
          <c:cat>
            <c:strRef>
              <c:f>'Figures 21-38 Bilat Countries'!$B$193:$B$216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Countries'!$E$193:$E$216</c:f>
              <c:numCache>
                <c:formatCode>General</c:formatCode>
                <c:ptCount val="23"/>
                <c:pt idx="0">
                  <c:v>2</c:v>
                </c:pt>
                <c:pt idx="1">
                  <c:v>1</c:v>
                </c:pt>
                <c:pt idx="2">
                  <c:v>3</c:v>
                </c:pt>
                <c:pt idx="3">
                  <c:v>1</c:v>
                </c:pt>
                <c:pt idx="4">
                  <c:v>1</c:v>
                </c:pt>
                <c:pt idx="5">
                  <c:v>3</c:v>
                </c:pt>
                <c:pt idx="6">
                  <c:v>1</c:v>
                </c:pt>
                <c:pt idx="7">
                  <c:v>2</c:v>
                </c:pt>
                <c:pt idx="8">
                  <c:v>2</c:v>
                </c:pt>
                <c:pt idx="9">
                  <c:v>2</c:v>
                </c:pt>
                <c:pt idx="10">
                  <c:v>0</c:v>
                </c:pt>
                <c:pt idx="11">
                  <c:v>1</c:v>
                </c:pt>
                <c:pt idx="12">
                  <c:v>0</c:v>
                </c:pt>
                <c:pt idx="13">
                  <c:v>0</c:v>
                </c:pt>
                <c:pt idx="14">
                  <c:v>2</c:v>
                </c:pt>
                <c:pt idx="15">
                  <c:v>2</c:v>
                </c:pt>
                <c:pt idx="16">
                  <c:v>0</c:v>
                </c:pt>
                <c:pt idx="17">
                  <c:v>1</c:v>
                </c:pt>
                <c:pt idx="18">
                  <c:v>2</c:v>
                </c:pt>
                <c:pt idx="19">
                  <c:v>0</c:v>
                </c:pt>
                <c:pt idx="20">
                  <c:v>0</c:v>
                </c:pt>
                <c:pt idx="21">
                  <c:v>0</c:v>
                </c:pt>
                <c:pt idx="22">
                  <c:v>1</c:v>
                </c:pt>
              </c:numCache>
            </c:numRef>
          </c:val>
          <c:extLst>
            <c:ext xmlns:c16="http://schemas.microsoft.com/office/drawing/2014/chart" uri="{C3380CC4-5D6E-409C-BE32-E72D297353CC}">
              <c16:uniqueId val="{00000002-6D40-4251-BBFF-9F1B0479F7A7}"/>
            </c:ext>
          </c:extLst>
        </c:ser>
        <c:dLbls>
          <c:showLegendKey val="0"/>
          <c:showVal val="0"/>
          <c:showCatName val="0"/>
          <c:showSerName val="0"/>
          <c:showPercent val="0"/>
          <c:showBubbleSize val="0"/>
        </c:dLbls>
        <c:gapWidth val="150"/>
        <c:overlap val="100"/>
        <c:axId val="1295821933"/>
        <c:axId val="2026815094"/>
      </c:barChart>
      <c:catAx>
        <c:axId val="129582193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026815094"/>
        <c:crosses val="autoZero"/>
        <c:auto val="1"/>
        <c:lblAlgn val="ctr"/>
        <c:lblOffset val="100"/>
        <c:noMultiLvlLbl val="1"/>
      </c:catAx>
      <c:valAx>
        <c:axId val="2026815094"/>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9582193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8</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28: Singapore</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Countries'!$C$223:$C$224</c:f>
              <c:strCache>
                <c:ptCount val="1"/>
                <c:pt idx="0">
                  <c:v>Military Exercise</c:v>
                </c:pt>
              </c:strCache>
            </c:strRef>
          </c:tx>
          <c:invertIfNegative val="0"/>
          <c:cat>
            <c:strRef>
              <c:f>'Figures 21-38 Bilat Countries'!$B$225:$B$248</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Countries'!$C$225:$C$248</c:f>
              <c:numCache>
                <c:formatCode>General</c:formatCode>
                <c:ptCount val="23"/>
                <c:pt idx="0">
                  <c:v>0</c:v>
                </c:pt>
                <c:pt idx="1">
                  <c:v>0</c:v>
                </c:pt>
                <c:pt idx="2">
                  <c:v>0</c:v>
                </c:pt>
                <c:pt idx="3">
                  <c:v>0</c:v>
                </c:pt>
                <c:pt idx="4">
                  <c:v>0</c:v>
                </c:pt>
                <c:pt idx="5">
                  <c:v>0</c:v>
                </c:pt>
                <c:pt idx="6">
                  <c:v>0</c:v>
                </c:pt>
                <c:pt idx="7">
                  <c:v>1</c:v>
                </c:pt>
                <c:pt idx="8">
                  <c:v>2</c:v>
                </c:pt>
                <c:pt idx="9">
                  <c:v>0</c:v>
                </c:pt>
                <c:pt idx="10">
                  <c:v>0</c:v>
                </c:pt>
                <c:pt idx="11">
                  <c:v>0</c:v>
                </c:pt>
                <c:pt idx="12">
                  <c:v>1</c:v>
                </c:pt>
                <c:pt idx="13">
                  <c:v>1</c:v>
                </c:pt>
                <c:pt idx="14">
                  <c:v>0</c:v>
                </c:pt>
                <c:pt idx="15">
                  <c:v>1</c:v>
                </c:pt>
                <c:pt idx="16">
                  <c:v>0</c:v>
                </c:pt>
                <c:pt idx="17">
                  <c:v>1</c:v>
                </c:pt>
                <c:pt idx="18">
                  <c:v>0</c:v>
                </c:pt>
                <c:pt idx="19">
                  <c:v>2</c:v>
                </c:pt>
                <c:pt idx="20">
                  <c:v>0</c:v>
                </c:pt>
                <c:pt idx="21">
                  <c:v>2</c:v>
                </c:pt>
                <c:pt idx="22">
                  <c:v>2</c:v>
                </c:pt>
              </c:numCache>
            </c:numRef>
          </c:val>
          <c:extLst>
            <c:ext xmlns:c16="http://schemas.microsoft.com/office/drawing/2014/chart" uri="{C3380CC4-5D6E-409C-BE32-E72D297353CC}">
              <c16:uniqueId val="{00000000-0BF8-40C4-9FE9-196DA9EBEC5F}"/>
            </c:ext>
          </c:extLst>
        </c:ser>
        <c:ser>
          <c:idx val="1"/>
          <c:order val="1"/>
          <c:tx>
            <c:strRef>
              <c:f>'Figures 21-38 Bilat Countries'!$D$223:$D$224</c:f>
              <c:strCache>
                <c:ptCount val="1"/>
                <c:pt idx="0">
                  <c:v>Naval Port Call</c:v>
                </c:pt>
              </c:strCache>
            </c:strRef>
          </c:tx>
          <c:invertIfNegative val="0"/>
          <c:cat>
            <c:strRef>
              <c:f>'Figures 21-38 Bilat Countries'!$B$225:$B$248</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Countries'!$D$225:$D$248</c:f>
              <c:numCache>
                <c:formatCode>General</c:formatCode>
                <c:ptCount val="23"/>
                <c:pt idx="0">
                  <c:v>1</c:v>
                </c:pt>
                <c:pt idx="1">
                  <c:v>1</c:v>
                </c:pt>
                <c:pt idx="2">
                  <c:v>0</c:v>
                </c:pt>
                <c:pt idx="3">
                  <c:v>0</c:v>
                </c:pt>
                <c:pt idx="4">
                  <c:v>0</c:v>
                </c:pt>
                <c:pt idx="5">
                  <c:v>1</c:v>
                </c:pt>
                <c:pt idx="6">
                  <c:v>0</c:v>
                </c:pt>
                <c:pt idx="7">
                  <c:v>2</c:v>
                </c:pt>
                <c:pt idx="8">
                  <c:v>1</c:v>
                </c:pt>
                <c:pt idx="9">
                  <c:v>1</c:v>
                </c:pt>
                <c:pt idx="10">
                  <c:v>0</c:v>
                </c:pt>
                <c:pt idx="11">
                  <c:v>1</c:v>
                </c:pt>
                <c:pt idx="12">
                  <c:v>2</c:v>
                </c:pt>
                <c:pt idx="13">
                  <c:v>1</c:v>
                </c:pt>
                <c:pt idx="14">
                  <c:v>0</c:v>
                </c:pt>
                <c:pt idx="15">
                  <c:v>0</c:v>
                </c:pt>
                <c:pt idx="16">
                  <c:v>0</c:v>
                </c:pt>
                <c:pt idx="17">
                  <c:v>0</c:v>
                </c:pt>
                <c:pt idx="18">
                  <c:v>0</c:v>
                </c:pt>
                <c:pt idx="19">
                  <c:v>0</c:v>
                </c:pt>
                <c:pt idx="20">
                  <c:v>0</c:v>
                </c:pt>
                <c:pt idx="21">
                  <c:v>1</c:v>
                </c:pt>
                <c:pt idx="22">
                  <c:v>1</c:v>
                </c:pt>
              </c:numCache>
            </c:numRef>
          </c:val>
          <c:extLst>
            <c:ext xmlns:c16="http://schemas.microsoft.com/office/drawing/2014/chart" uri="{C3380CC4-5D6E-409C-BE32-E72D297353CC}">
              <c16:uniqueId val="{00000001-0BF8-40C4-9FE9-196DA9EBEC5F}"/>
            </c:ext>
          </c:extLst>
        </c:ser>
        <c:ser>
          <c:idx val="2"/>
          <c:order val="2"/>
          <c:tx>
            <c:strRef>
              <c:f>'Figures 21-38 Bilat Countries'!$E$223:$E$224</c:f>
              <c:strCache>
                <c:ptCount val="1"/>
                <c:pt idx="0">
                  <c:v>Senior Level Visit</c:v>
                </c:pt>
              </c:strCache>
            </c:strRef>
          </c:tx>
          <c:invertIfNegative val="0"/>
          <c:cat>
            <c:strRef>
              <c:f>'Figures 21-38 Bilat Countries'!$B$225:$B$248</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Countries'!$E$225:$E$248</c:f>
              <c:numCache>
                <c:formatCode>General</c:formatCode>
                <c:ptCount val="23"/>
                <c:pt idx="0">
                  <c:v>1</c:v>
                </c:pt>
                <c:pt idx="1">
                  <c:v>1</c:v>
                </c:pt>
                <c:pt idx="2">
                  <c:v>0</c:v>
                </c:pt>
                <c:pt idx="3">
                  <c:v>1</c:v>
                </c:pt>
                <c:pt idx="4">
                  <c:v>2</c:v>
                </c:pt>
                <c:pt idx="5">
                  <c:v>2</c:v>
                </c:pt>
                <c:pt idx="6">
                  <c:v>4</c:v>
                </c:pt>
                <c:pt idx="7">
                  <c:v>2</c:v>
                </c:pt>
                <c:pt idx="8">
                  <c:v>6</c:v>
                </c:pt>
                <c:pt idx="9">
                  <c:v>2</c:v>
                </c:pt>
                <c:pt idx="10">
                  <c:v>2</c:v>
                </c:pt>
                <c:pt idx="11">
                  <c:v>2</c:v>
                </c:pt>
                <c:pt idx="12">
                  <c:v>4</c:v>
                </c:pt>
                <c:pt idx="13">
                  <c:v>4</c:v>
                </c:pt>
                <c:pt idx="14">
                  <c:v>2</c:v>
                </c:pt>
                <c:pt idx="15">
                  <c:v>3</c:v>
                </c:pt>
                <c:pt idx="16">
                  <c:v>6</c:v>
                </c:pt>
                <c:pt idx="17">
                  <c:v>5</c:v>
                </c:pt>
                <c:pt idx="18">
                  <c:v>1</c:v>
                </c:pt>
                <c:pt idx="19">
                  <c:v>2</c:v>
                </c:pt>
                <c:pt idx="20">
                  <c:v>2</c:v>
                </c:pt>
                <c:pt idx="21">
                  <c:v>2</c:v>
                </c:pt>
                <c:pt idx="22">
                  <c:v>3</c:v>
                </c:pt>
              </c:numCache>
            </c:numRef>
          </c:val>
          <c:extLst>
            <c:ext xmlns:c16="http://schemas.microsoft.com/office/drawing/2014/chart" uri="{C3380CC4-5D6E-409C-BE32-E72D297353CC}">
              <c16:uniqueId val="{00000002-0BF8-40C4-9FE9-196DA9EBEC5F}"/>
            </c:ext>
          </c:extLst>
        </c:ser>
        <c:dLbls>
          <c:showLegendKey val="0"/>
          <c:showVal val="0"/>
          <c:showCatName val="0"/>
          <c:showSerName val="0"/>
          <c:showPercent val="0"/>
          <c:showBubbleSize val="0"/>
        </c:dLbls>
        <c:gapWidth val="150"/>
        <c:overlap val="100"/>
        <c:axId val="455375117"/>
        <c:axId val="696637400"/>
      </c:barChart>
      <c:catAx>
        <c:axId val="45537511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96637400"/>
        <c:crosses val="autoZero"/>
        <c:auto val="1"/>
        <c:lblAlgn val="ctr"/>
        <c:lblOffset val="100"/>
        <c:noMultiLvlLbl val="1"/>
      </c:catAx>
      <c:valAx>
        <c:axId val="696637400"/>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45537511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2002-2024 (INDOPACOM &amp; Global)</a:t>
            </a:r>
          </a:p>
        </c:rich>
      </c:tx>
      <c:overlay val="0"/>
    </c:title>
    <c:autoTitleDeleted val="0"/>
    <c:plotArea>
      <c:layout/>
      <c:barChart>
        <c:barDir val="col"/>
        <c:grouping val="clustered"/>
        <c:varyColors val="1"/>
        <c:ser>
          <c:idx val="0"/>
          <c:order val="0"/>
          <c:tx>
            <c:v>PACOM</c:v>
          </c:tx>
          <c:spPr>
            <a:solidFill>
              <a:srgbClr val="5B9BD5"/>
            </a:solidFill>
            <a:ln cmpd="sng">
              <a:solidFill>
                <a:srgbClr val="000000"/>
              </a:solidFill>
            </a:ln>
          </c:spPr>
          <c:invertIfNegative val="1"/>
          <c:cat>
            <c:numRef>
              <c:f>'INDOPACOM Figure 5'!$B$16:$X$16</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'INDOPACOM Figure 5'!$B$21:$X$21</c:f>
              <c:numCache>
                <c:formatCode>General</c:formatCode>
                <c:ptCount val="23"/>
                <c:pt idx="0">
                  <c:v>0</c:v>
                </c:pt>
                <c:pt idx="1">
                  <c:v>0</c:v>
                </c:pt>
                <c:pt idx="2">
                  <c:v>0</c:v>
                </c:pt>
                <c:pt idx="3">
                  <c:v>1</c:v>
                </c:pt>
                <c:pt idx="4">
                  <c:v>1</c:v>
                </c:pt>
                <c:pt idx="5">
                  <c:v>0</c:v>
                </c:pt>
                <c:pt idx="6">
                  <c:v>0</c:v>
                </c:pt>
                <c:pt idx="7">
                  <c:v>0</c:v>
                </c:pt>
                <c:pt idx="8">
                  <c:v>0</c:v>
                </c:pt>
                <c:pt idx="9">
                  <c:v>0</c:v>
                </c:pt>
                <c:pt idx="10">
                  <c:v>1</c:v>
                </c:pt>
                <c:pt idx="11">
                  <c:v>2</c:v>
                </c:pt>
                <c:pt idx="12">
                  <c:v>2</c:v>
                </c:pt>
                <c:pt idx="13">
                  <c:v>4</c:v>
                </c:pt>
                <c:pt idx="14">
                  <c:v>2</c:v>
                </c:pt>
                <c:pt idx="15">
                  <c:v>3</c:v>
                </c:pt>
                <c:pt idx="16">
                  <c:v>1</c:v>
                </c:pt>
                <c:pt idx="17">
                  <c:v>1</c:v>
                </c:pt>
                <c:pt idx="18">
                  <c:v>1</c:v>
                </c:pt>
                <c:pt idx="19">
                  <c:v>0</c:v>
                </c:pt>
                <c:pt idx="20">
                  <c:v>0</c:v>
                </c:pt>
                <c:pt idx="21">
                  <c:v>0</c:v>
                </c:pt>
                <c:pt idx="2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8A-CF40-8807-3730F82FB89C}"/>
            </c:ext>
          </c:extLst>
        </c:ser>
        <c:ser>
          <c:idx val="1"/>
          <c:order val="1"/>
          <c:tx>
            <c:v>Global</c:v>
          </c:tx>
          <c:spPr>
            <a:solidFill>
              <a:srgbClr val="ED7D31"/>
            </a:solidFill>
            <a:ln cmpd="sng">
              <a:solidFill>
                <a:srgbClr val="000000"/>
              </a:solidFill>
            </a:ln>
          </c:spPr>
          <c:invertIfNegative val="1"/>
          <c:cat>
            <c:numRef>
              <c:f>'INDOPACOM Figure 5'!$B$16:$X$16</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'INDOPACOM Figure 5'!$B$23:$X$23</c:f>
              <c:numCache>
                <c:formatCode>General</c:formatCode>
                <c:ptCount val="23"/>
                <c:pt idx="0">
                  <c:v>1</c:v>
                </c:pt>
                <c:pt idx="1">
                  <c:v>3</c:v>
                </c:pt>
                <c:pt idx="2">
                  <c:v>4</c:v>
                </c:pt>
                <c:pt idx="3">
                  <c:v>5</c:v>
                </c:pt>
                <c:pt idx="4">
                  <c:v>5</c:v>
                </c:pt>
                <c:pt idx="5">
                  <c:v>8</c:v>
                </c:pt>
                <c:pt idx="6">
                  <c:v>2</c:v>
                </c:pt>
                <c:pt idx="7">
                  <c:v>9</c:v>
                </c:pt>
                <c:pt idx="8">
                  <c:v>13</c:v>
                </c:pt>
                <c:pt idx="9">
                  <c:v>10</c:v>
                </c:pt>
                <c:pt idx="10">
                  <c:v>12</c:v>
                </c:pt>
                <c:pt idx="11">
                  <c:v>15</c:v>
                </c:pt>
                <c:pt idx="12">
                  <c:v>26</c:v>
                </c:pt>
                <c:pt idx="13">
                  <c:v>44</c:v>
                </c:pt>
                <c:pt idx="14">
                  <c:v>38</c:v>
                </c:pt>
                <c:pt idx="15">
                  <c:v>50</c:v>
                </c:pt>
                <c:pt idx="16">
                  <c:v>39</c:v>
                </c:pt>
                <c:pt idx="17">
                  <c:v>42</c:v>
                </c:pt>
                <c:pt idx="18">
                  <c:v>9</c:v>
                </c:pt>
                <c:pt idx="19">
                  <c:v>14</c:v>
                </c:pt>
                <c:pt idx="20">
                  <c:v>10</c:v>
                </c:pt>
                <c:pt idx="21">
                  <c:v>24</c:v>
                </c:pt>
                <c:pt idx="22">
                  <c:v>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48A-CF40-8807-3730F82FB89C}"/>
            </c:ext>
          </c:extLst>
        </c:ser>
        <c:dLbls>
          <c:showLegendKey val="0"/>
          <c:showVal val="0"/>
          <c:showCatName val="0"/>
          <c:showSerName val="0"/>
          <c:showPercent val="0"/>
          <c:showBubbleSize val="0"/>
        </c:dLbls>
        <c:gapWidth val="150"/>
        <c:axId val="582083912"/>
        <c:axId val="676785228"/>
      </c:barChart>
      <c:catAx>
        <c:axId val="58208391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76785228"/>
        <c:crosses val="autoZero"/>
        <c:auto val="1"/>
        <c:lblAlgn val="ctr"/>
        <c:lblOffset val="100"/>
        <c:noMultiLvlLbl val="1"/>
      </c:catAx>
      <c:valAx>
        <c:axId val="6767852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82083912"/>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9</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29: Thailand</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Countries'!$C$255:$C$256</c:f>
              <c:strCache>
                <c:ptCount val="1"/>
                <c:pt idx="0">
                  <c:v>Military Exercise</c:v>
                </c:pt>
              </c:strCache>
            </c:strRef>
          </c:tx>
          <c:invertIfNegative val="0"/>
          <c:cat>
            <c:strRef>
              <c:f>'Figures 21-38 Bilat Countries'!$B$257:$B$280</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Countries'!$C$257:$C$280</c:f>
              <c:numCache>
                <c:formatCode>General</c:formatCode>
                <c:ptCount val="23"/>
                <c:pt idx="0">
                  <c:v>0</c:v>
                </c:pt>
                <c:pt idx="1">
                  <c:v>0</c:v>
                </c:pt>
                <c:pt idx="2">
                  <c:v>0</c:v>
                </c:pt>
                <c:pt idx="3">
                  <c:v>1</c:v>
                </c:pt>
                <c:pt idx="4">
                  <c:v>0</c:v>
                </c:pt>
                <c:pt idx="5">
                  <c:v>1</c:v>
                </c:pt>
                <c:pt idx="6">
                  <c:v>1</c:v>
                </c:pt>
                <c:pt idx="7">
                  <c:v>0</c:v>
                </c:pt>
                <c:pt idx="8">
                  <c:v>2</c:v>
                </c:pt>
                <c:pt idx="9">
                  <c:v>1</c:v>
                </c:pt>
                <c:pt idx="10">
                  <c:v>1</c:v>
                </c:pt>
                <c:pt idx="11">
                  <c:v>1</c:v>
                </c:pt>
                <c:pt idx="12">
                  <c:v>1</c:v>
                </c:pt>
                <c:pt idx="13">
                  <c:v>2</c:v>
                </c:pt>
                <c:pt idx="14">
                  <c:v>2</c:v>
                </c:pt>
                <c:pt idx="15">
                  <c:v>3</c:v>
                </c:pt>
                <c:pt idx="16">
                  <c:v>2</c:v>
                </c:pt>
                <c:pt idx="17">
                  <c:v>5</c:v>
                </c:pt>
                <c:pt idx="18">
                  <c:v>1</c:v>
                </c:pt>
                <c:pt idx="19">
                  <c:v>1</c:v>
                </c:pt>
                <c:pt idx="20">
                  <c:v>1</c:v>
                </c:pt>
                <c:pt idx="21">
                  <c:v>3</c:v>
                </c:pt>
                <c:pt idx="22">
                  <c:v>3</c:v>
                </c:pt>
              </c:numCache>
            </c:numRef>
          </c:val>
          <c:extLst>
            <c:ext xmlns:c16="http://schemas.microsoft.com/office/drawing/2014/chart" uri="{C3380CC4-5D6E-409C-BE32-E72D297353CC}">
              <c16:uniqueId val="{00000000-49D1-4AE5-9C78-3137C4F65E9D}"/>
            </c:ext>
          </c:extLst>
        </c:ser>
        <c:ser>
          <c:idx val="1"/>
          <c:order val="1"/>
          <c:tx>
            <c:strRef>
              <c:f>'Figures 21-38 Bilat Countries'!$D$255:$D$256</c:f>
              <c:strCache>
                <c:ptCount val="1"/>
                <c:pt idx="0">
                  <c:v>Naval Port Call</c:v>
                </c:pt>
              </c:strCache>
            </c:strRef>
          </c:tx>
          <c:invertIfNegative val="0"/>
          <c:cat>
            <c:strRef>
              <c:f>'Figures 21-38 Bilat Countries'!$B$257:$B$280</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Countries'!$D$257:$D$280</c:f>
              <c:numCache>
                <c:formatCode>General</c:formatCode>
                <c:ptCount val="23"/>
                <c:pt idx="0">
                  <c:v>0</c:v>
                </c:pt>
                <c:pt idx="1">
                  <c:v>0</c:v>
                </c:pt>
                <c:pt idx="2">
                  <c:v>0</c:v>
                </c:pt>
                <c:pt idx="3">
                  <c:v>1</c:v>
                </c:pt>
                <c:pt idx="4">
                  <c:v>0</c:v>
                </c:pt>
                <c:pt idx="5">
                  <c:v>0</c:v>
                </c:pt>
                <c:pt idx="6">
                  <c:v>0</c:v>
                </c:pt>
                <c:pt idx="7">
                  <c:v>0</c:v>
                </c:pt>
                <c:pt idx="8">
                  <c:v>0</c:v>
                </c:pt>
                <c:pt idx="9">
                  <c:v>1</c:v>
                </c:pt>
                <c:pt idx="10">
                  <c:v>1</c:v>
                </c:pt>
                <c:pt idx="11">
                  <c:v>1</c:v>
                </c:pt>
                <c:pt idx="12">
                  <c:v>1</c:v>
                </c:pt>
                <c:pt idx="13">
                  <c:v>0</c:v>
                </c:pt>
                <c:pt idx="14">
                  <c:v>1</c:v>
                </c:pt>
                <c:pt idx="15">
                  <c:v>3</c:v>
                </c:pt>
                <c:pt idx="16">
                  <c:v>0</c:v>
                </c:pt>
                <c:pt idx="17">
                  <c:v>0</c:v>
                </c:pt>
                <c:pt idx="18">
                  <c:v>1</c:v>
                </c:pt>
                <c:pt idx="19">
                  <c:v>0</c:v>
                </c:pt>
                <c:pt idx="20">
                  <c:v>0</c:v>
                </c:pt>
                <c:pt idx="21">
                  <c:v>1</c:v>
                </c:pt>
                <c:pt idx="22">
                  <c:v>0</c:v>
                </c:pt>
              </c:numCache>
            </c:numRef>
          </c:val>
          <c:extLst>
            <c:ext xmlns:c16="http://schemas.microsoft.com/office/drawing/2014/chart" uri="{C3380CC4-5D6E-409C-BE32-E72D297353CC}">
              <c16:uniqueId val="{00000001-49D1-4AE5-9C78-3137C4F65E9D}"/>
            </c:ext>
          </c:extLst>
        </c:ser>
        <c:ser>
          <c:idx val="2"/>
          <c:order val="2"/>
          <c:tx>
            <c:strRef>
              <c:f>'Figures 21-38 Bilat Countries'!$E$255:$E$256</c:f>
              <c:strCache>
                <c:ptCount val="1"/>
                <c:pt idx="0">
                  <c:v>Senior Level Visit</c:v>
                </c:pt>
              </c:strCache>
            </c:strRef>
          </c:tx>
          <c:invertIfNegative val="0"/>
          <c:cat>
            <c:strRef>
              <c:f>'Figures 21-38 Bilat Countries'!$B$257:$B$280</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Countries'!$E$257:$E$280</c:f>
              <c:numCache>
                <c:formatCode>General</c:formatCode>
                <c:ptCount val="23"/>
                <c:pt idx="0">
                  <c:v>2</c:v>
                </c:pt>
                <c:pt idx="1">
                  <c:v>2</c:v>
                </c:pt>
                <c:pt idx="2">
                  <c:v>3</c:v>
                </c:pt>
                <c:pt idx="3">
                  <c:v>2</c:v>
                </c:pt>
                <c:pt idx="4">
                  <c:v>5</c:v>
                </c:pt>
                <c:pt idx="5">
                  <c:v>4</c:v>
                </c:pt>
                <c:pt idx="6">
                  <c:v>2</c:v>
                </c:pt>
                <c:pt idx="7">
                  <c:v>4</c:v>
                </c:pt>
                <c:pt idx="8">
                  <c:v>4</c:v>
                </c:pt>
                <c:pt idx="9">
                  <c:v>2</c:v>
                </c:pt>
                <c:pt idx="10">
                  <c:v>2</c:v>
                </c:pt>
                <c:pt idx="11">
                  <c:v>3</c:v>
                </c:pt>
                <c:pt idx="12">
                  <c:v>3</c:v>
                </c:pt>
                <c:pt idx="13">
                  <c:v>5</c:v>
                </c:pt>
                <c:pt idx="14">
                  <c:v>3</c:v>
                </c:pt>
                <c:pt idx="15">
                  <c:v>2</c:v>
                </c:pt>
                <c:pt idx="16">
                  <c:v>4</c:v>
                </c:pt>
                <c:pt idx="17">
                  <c:v>2</c:v>
                </c:pt>
                <c:pt idx="18">
                  <c:v>1</c:v>
                </c:pt>
                <c:pt idx="19">
                  <c:v>0</c:v>
                </c:pt>
                <c:pt idx="20">
                  <c:v>2</c:v>
                </c:pt>
                <c:pt idx="21">
                  <c:v>2</c:v>
                </c:pt>
                <c:pt idx="22">
                  <c:v>3</c:v>
                </c:pt>
              </c:numCache>
            </c:numRef>
          </c:val>
          <c:extLst>
            <c:ext xmlns:c16="http://schemas.microsoft.com/office/drawing/2014/chart" uri="{C3380CC4-5D6E-409C-BE32-E72D297353CC}">
              <c16:uniqueId val="{00000002-49D1-4AE5-9C78-3137C4F65E9D}"/>
            </c:ext>
          </c:extLst>
        </c:ser>
        <c:dLbls>
          <c:showLegendKey val="0"/>
          <c:showVal val="0"/>
          <c:showCatName val="0"/>
          <c:showSerName val="0"/>
          <c:showPercent val="0"/>
          <c:showBubbleSize val="0"/>
        </c:dLbls>
        <c:gapWidth val="150"/>
        <c:overlap val="100"/>
        <c:axId val="191877553"/>
        <c:axId val="937094060"/>
      </c:barChart>
      <c:catAx>
        <c:axId val="19187755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937094060"/>
        <c:crosses val="autoZero"/>
        <c:auto val="1"/>
        <c:lblAlgn val="ctr"/>
        <c:lblOffset val="100"/>
        <c:noMultiLvlLbl val="1"/>
      </c:catAx>
      <c:valAx>
        <c:axId val="937094060"/>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9187755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10</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30: Vietnam</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Countries'!$C$288:$C$289</c:f>
              <c:strCache>
                <c:ptCount val="1"/>
                <c:pt idx="0">
                  <c:v>Military Exercise</c:v>
                </c:pt>
              </c:strCache>
            </c:strRef>
          </c:tx>
          <c:invertIfNegative val="0"/>
          <c:cat>
            <c:strRef>
              <c:f>'Figures 21-38 Bilat Countries'!$B$290:$B$313</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Countries'!$C$290:$C$313</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1</c:v>
                </c:pt>
                <c:pt idx="17">
                  <c:v>0</c:v>
                </c:pt>
                <c:pt idx="18">
                  <c:v>0</c:v>
                </c:pt>
                <c:pt idx="19">
                  <c:v>1</c:v>
                </c:pt>
                <c:pt idx="20">
                  <c:v>0</c:v>
                </c:pt>
                <c:pt idx="21">
                  <c:v>0</c:v>
                </c:pt>
                <c:pt idx="22">
                  <c:v>0</c:v>
                </c:pt>
              </c:numCache>
            </c:numRef>
          </c:val>
          <c:extLst>
            <c:ext xmlns:c16="http://schemas.microsoft.com/office/drawing/2014/chart" uri="{C3380CC4-5D6E-409C-BE32-E72D297353CC}">
              <c16:uniqueId val="{00000000-B3B5-473A-85DD-D66151CC1F3A}"/>
            </c:ext>
          </c:extLst>
        </c:ser>
        <c:ser>
          <c:idx val="1"/>
          <c:order val="1"/>
          <c:tx>
            <c:strRef>
              <c:f>'Figures 21-38 Bilat Countries'!$D$288:$D$289</c:f>
              <c:strCache>
                <c:ptCount val="1"/>
                <c:pt idx="0">
                  <c:v>Naval Port Call</c:v>
                </c:pt>
              </c:strCache>
            </c:strRef>
          </c:tx>
          <c:invertIfNegative val="0"/>
          <c:cat>
            <c:strRef>
              <c:f>'Figures 21-38 Bilat Countries'!$B$290:$B$313</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Countries'!$D$290:$D$313</c:f>
              <c:numCache>
                <c:formatCode>General</c:formatCode>
                <c:ptCount val="23"/>
                <c:pt idx="0">
                  <c:v>0</c:v>
                </c:pt>
                <c:pt idx="1">
                  <c:v>0</c:v>
                </c:pt>
                <c:pt idx="2">
                  <c:v>0</c:v>
                </c:pt>
                <c:pt idx="3">
                  <c:v>0</c:v>
                </c:pt>
                <c:pt idx="4">
                  <c:v>0</c:v>
                </c:pt>
                <c:pt idx="5">
                  <c:v>0</c:v>
                </c:pt>
                <c:pt idx="6">
                  <c:v>1</c:v>
                </c:pt>
                <c:pt idx="7">
                  <c:v>1</c:v>
                </c:pt>
                <c:pt idx="8">
                  <c:v>0</c:v>
                </c:pt>
                <c:pt idx="9">
                  <c:v>0</c:v>
                </c:pt>
                <c:pt idx="10">
                  <c:v>0</c:v>
                </c:pt>
                <c:pt idx="11">
                  <c:v>2</c:v>
                </c:pt>
                <c:pt idx="12">
                  <c:v>0</c:v>
                </c:pt>
                <c:pt idx="13">
                  <c:v>0</c:v>
                </c:pt>
                <c:pt idx="14">
                  <c:v>1</c:v>
                </c:pt>
                <c:pt idx="15">
                  <c:v>1</c:v>
                </c:pt>
                <c:pt idx="16">
                  <c:v>0</c:v>
                </c:pt>
                <c:pt idx="17">
                  <c:v>0</c:v>
                </c:pt>
                <c:pt idx="18">
                  <c:v>0</c:v>
                </c:pt>
                <c:pt idx="19">
                  <c:v>0</c:v>
                </c:pt>
                <c:pt idx="20">
                  <c:v>0</c:v>
                </c:pt>
                <c:pt idx="21">
                  <c:v>1</c:v>
                </c:pt>
                <c:pt idx="22">
                  <c:v>2</c:v>
                </c:pt>
              </c:numCache>
            </c:numRef>
          </c:val>
          <c:extLst>
            <c:ext xmlns:c16="http://schemas.microsoft.com/office/drawing/2014/chart" uri="{C3380CC4-5D6E-409C-BE32-E72D297353CC}">
              <c16:uniqueId val="{00000001-B3B5-473A-85DD-D66151CC1F3A}"/>
            </c:ext>
          </c:extLst>
        </c:ser>
        <c:ser>
          <c:idx val="2"/>
          <c:order val="2"/>
          <c:tx>
            <c:strRef>
              <c:f>'Figures 21-38 Bilat Countries'!$E$288:$E$289</c:f>
              <c:strCache>
                <c:ptCount val="1"/>
                <c:pt idx="0">
                  <c:v>Senior Level Visit</c:v>
                </c:pt>
              </c:strCache>
            </c:strRef>
          </c:tx>
          <c:invertIfNegative val="0"/>
          <c:cat>
            <c:strRef>
              <c:f>'Figures 21-38 Bilat Countries'!$B$290:$B$313</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Countries'!$E$290:$E$313</c:f>
              <c:numCache>
                <c:formatCode>General</c:formatCode>
                <c:ptCount val="23"/>
                <c:pt idx="0">
                  <c:v>1</c:v>
                </c:pt>
                <c:pt idx="1">
                  <c:v>1</c:v>
                </c:pt>
                <c:pt idx="2">
                  <c:v>2</c:v>
                </c:pt>
                <c:pt idx="3">
                  <c:v>2</c:v>
                </c:pt>
                <c:pt idx="4">
                  <c:v>3</c:v>
                </c:pt>
                <c:pt idx="5">
                  <c:v>3</c:v>
                </c:pt>
                <c:pt idx="6">
                  <c:v>2</c:v>
                </c:pt>
                <c:pt idx="7">
                  <c:v>5</c:v>
                </c:pt>
                <c:pt idx="8">
                  <c:v>5</c:v>
                </c:pt>
                <c:pt idx="9">
                  <c:v>4</c:v>
                </c:pt>
                <c:pt idx="10">
                  <c:v>1</c:v>
                </c:pt>
                <c:pt idx="11">
                  <c:v>1</c:v>
                </c:pt>
                <c:pt idx="12">
                  <c:v>3</c:v>
                </c:pt>
                <c:pt idx="13">
                  <c:v>2</c:v>
                </c:pt>
                <c:pt idx="14">
                  <c:v>5</c:v>
                </c:pt>
                <c:pt idx="15">
                  <c:v>4</c:v>
                </c:pt>
                <c:pt idx="16">
                  <c:v>3</c:v>
                </c:pt>
                <c:pt idx="17">
                  <c:v>3</c:v>
                </c:pt>
                <c:pt idx="18">
                  <c:v>2</c:v>
                </c:pt>
                <c:pt idx="19">
                  <c:v>2</c:v>
                </c:pt>
                <c:pt idx="20">
                  <c:v>2</c:v>
                </c:pt>
                <c:pt idx="21">
                  <c:v>3</c:v>
                </c:pt>
                <c:pt idx="22">
                  <c:v>5</c:v>
                </c:pt>
              </c:numCache>
            </c:numRef>
          </c:val>
          <c:extLst>
            <c:ext xmlns:c16="http://schemas.microsoft.com/office/drawing/2014/chart" uri="{C3380CC4-5D6E-409C-BE32-E72D297353CC}">
              <c16:uniqueId val="{00000002-B3B5-473A-85DD-D66151CC1F3A}"/>
            </c:ext>
          </c:extLst>
        </c:ser>
        <c:dLbls>
          <c:showLegendKey val="0"/>
          <c:showVal val="0"/>
          <c:showCatName val="0"/>
          <c:showSerName val="0"/>
          <c:showPercent val="0"/>
          <c:showBubbleSize val="0"/>
        </c:dLbls>
        <c:gapWidth val="150"/>
        <c:overlap val="100"/>
        <c:axId val="2052635101"/>
        <c:axId val="2752579"/>
      </c:barChart>
      <c:catAx>
        <c:axId val="205263510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752579"/>
        <c:crosses val="autoZero"/>
        <c:auto val="1"/>
        <c:lblAlgn val="ctr"/>
        <c:lblOffset val="100"/>
        <c:noMultiLvlLbl val="1"/>
      </c:catAx>
      <c:valAx>
        <c:axId val="2752579"/>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05263510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11</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31: Japan</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Countries'!$C$326:$C$327</c:f>
              <c:strCache>
                <c:ptCount val="1"/>
                <c:pt idx="0">
                  <c:v>Naval Port Call</c:v>
                </c:pt>
              </c:strCache>
            </c:strRef>
          </c:tx>
          <c:invertIfNegative val="0"/>
          <c:cat>
            <c:strRef>
              <c:f>'Figures 21-38 Bilat Countries'!$B$328:$B$351</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Countries'!$C$328:$C$351</c:f>
              <c:numCache>
                <c:formatCode>General</c:formatCode>
                <c:ptCount val="23"/>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3E7A-4C60-B6E4-3B3B96DD5A07}"/>
            </c:ext>
          </c:extLst>
        </c:ser>
        <c:ser>
          <c:idx val="1"/>
          <c:order val="1"/>
          <c:tx>
            <c:strRef>
              <c:f>'Figures 21-38 Bilat Countries'!$D$326:$D$327</c:f>
              <c:strCache>
                <c:ptCount val="1"/>
                <c:pt idx="0">
                  <c:v>Senior Level Visit</c:v>
                </c:pt>
              </c:strCache>
            </c:strRef>
          </c:tx>
          <c:invertIfNegative val="0"/>
          <c:cat>
            <c:strRef>
              <c:f>'Figures 21-38 Bilat Countries'!$B$328:$B$351</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Countries'!$D$328:$D$351</c:f>
              <c:numCache>
                <c:formatCode>General</c:formatCode>
                <c:ptCount val="23"/>
                <c:pt idx="0">
                  <c:v>0</c:v>
                </c:pt>
                <c:pt idx="1">
                  <c:v>1</c:v>
                </c:pt>
                <c:pt idx="2">
                  <c:v>4</c:v>
                </c:pt>
                <c:pt idx="3">
                  <c:v>1</c:v>
                </c:pt>
                <c:pt idx="4">
                  <c:v>1</c:v>
                </c:pt>
                <c:pt idx="5">
                  <c:v>2</c:v>
                </c:pt>
                <c:pt idx="6">
                  <c:v>3</c:v>
                </c:pt>
                <c:pt idx="7">
                  <c:v>5</c:v>
                </c:pt>
                <c:pt idx="8">
                  <c:v>3</c:v>
                </c:pt>
                <c:pt idx="9">
                  <c:v>2</c:v>
                </c:pt>
                <c:pt idx="10">
                  <c:v>1</c:v>
                </c:pt>
                <c:pt idx="11">
                  <c:v>0</c:v>
                </c:pt>
                <c:pt idx="12">
                  <c:v>1</c:v>
                </c:pt>
                <c:pt idx="13">
                  <c:v>1</c:v>
                </c:pt>
                <c:pt idx="14">
                  <c:v>1</c:v>
                </c:pt>
                <c:pt idx="15">
                  <c:v>0</c:v>
                </c:pt>
                <c:pt idx="16">
                  <c:v>1</c:v>
                </c:pt>
                <c:pt idx="17">
                  <c:v>1</c:v>
                </c:pt>
                <c:pt idx="18">
                  <c:v>1</c:v>
                </c:pt>
                <c:pt idx="19">
                  <c:v>1</c:v>
                </c:pt>
                <c:pt idx="20">
                  <c:v>0</c:v>
                </c:pt>
                <c:pt idx="21">
                  <c:v>2</c:v>
                </c:pt>
                <c:pt idx="22">
                  <c:v>2</c:v>
                </c:pt>
              </c:numCache>
            </c:numRef>
          </c:val>
          <c:extLst>
            <c:ext xmlns:c16="http://schemas.microsoft.com/office/drawing/2014/chart" uri="{C3380CC4-5D6E-409C-BE32-E72D297353CC}">
              <c16:uniqueId val="{00000001-3E7A-4C60-B6E4-3B3B96DD5A07}"/>
            </c:ext>
          </c:extLst>
        </c:ser>
        <c:dLbls>
          <c:showLegendKey val="0"/>
          <c:showVal val="0"/>
          <c:showCatName val="0"/>
          <c:showSerName val="0"/>
          <c:showPercent val="0"/>
          <c:showBubbleSize val="0"/>
        </c:dLbls>
        <c:gapWidth val="150"/>
        <c:overlap val="100"/>
        <c:axId val="1839555404"/>
        <c:axId val="1766529947"/>
      </c:barChart>
      <c:catAx>
        <c:axId val="18395554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766529947"/>
        <c:crosses val="autoZero"/>
        <c:auto val="1"/>
        <c:lblAlgn val="ctr"/>
        <c:lblOffset val="100"/>
        <c:noMultiLvlLbl val="1"/>
      </c:catAx>
      <c:valAx>
        <c:axId val="1766529947"/>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83955540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12</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32: South Korea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Countries'!$C$363:$C$364</c:f>
              <c:strCache>
                <c:ptCount val="1"/>
                <c:pt idx="0">
                  <c:v>Military Exercise</c:v>
                </c:pt>
              </c:strCache>
            </c:strRef>
          </c:tx>
          <c:invertIfNegative val="0"/>
          <c:cat>
            <c:strRef>
              <c:f>'Figures 21-38 Bilat Countries'!$B$365:$B$388</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Countries'!$C$365:$C$388</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9359-46AB-B74B-AF2B8A3DBB5F}"/>
            </c:ext>
          </c:extLst>
        </c:ser>
        <c:ser>
          <c:idx val="1"/>
          <c:order val="1"/>
          <c:tx>
            <c:strRef>
              <c:f>'Figures 21-38 Bilat Countries'!$D$363:$D$364</c:f>
              <c:strCache>
                <c:ptCount val="1"/>
                <c:pt idx="0">
                  <c:v>Naval Port Call</c:v>
                </c:pt>
              </c:strCache>
            </c:strRef>
          </c:tx>
          <c:invertIfNegative val="0"/>
          <c:cat>
            <c:strRef>
              <c:f>'Figures 21-38 Bilat Countries'!$B$365:$B$388</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Countries'!$D$365:$D$388</c:f>
              <c:numCache>
                <c:formatCode>General</c:formatCode>
                <c:ptCount val="23"/>
                <c:pt idx="0">
                  <c:v>1</c:v>
                </c:pt>
                <c:pt idx="1">
                  <c:v>0</c:v>
                </c:pt>
                <c:pt idx="2">
                  <c:v>0</c:v>
                </c:pt>
                <c:pt idx="3">
                  <c:v>0</c:v>
                </c:pt>
                <c:pt idx="4">
                  <c:v>0</c:v>
                </c:pt>
                <c:pt idx="5">
                  <c:v>0</c:v>
                </c:pt>
                <c:pt idx="6">
                  <c:v>0</c:v>
                </c:pt>
                <c:pt idx="7">
                  <c:v>0</c:v>
                </c:pt>
                <c:pt idx="8">
                  <c:v>0</c:v>
                </c:pt>
                <c:pt idx="9">
                  <c:v>0</c:v>
                </c:pt>
                <c:pt idx="10">
                  <c:v>0</c:v>
                </c:pt>
                <c:pt idx="11">
                  <c:v>1</c:v>
                </c:pt>
                <c:pt idx="12">
                  <c:v>0</c:v>
                </c:pt>
                <c:pt idx="13">
                  <c:v>0</c:v>
                </c:pt>
                <c:pt idx="14">
                  <c:v>1</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9359-46AB-B74B-AF2B8A3DBB5F}"/>
            </c:ext>
          </c:extLst>
        </c:ser>
        <c:ser>
          <c:idx val="2"/>
          <c:order val="2"/>
          <c:tx>
            <c:strRef>
              <c:f>'Figures 21-38 Bilat Countries'!$E$363:$E$364</c:f>
              <c:strCache>
                <c:ptCount val="1"/>
                <c:pt idx="0">
                  <c:v>Senior Level Visit</c:v>
                </c:pt>
              </c:strCache>
            </c:strRef>
          </c:tx>
          <c:invertIfNegative val="0"/>
          <c:cat>
            <c:strRef>
              <c:f>'Figures 21-38 Bilat Countries'!$B$365:$B$388</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Countries'!$E$365:$E$388</c:f>
              <c:numCache>
                <c:formatCode>General</c:formatCode>
                <c:ptCount val="23"/>
                <c:pt idx="0">
                  <c:v>6</c:v>
                </c:pt>
                <c:pt idx="1">
                  <c:v>2</c:v>
                </c:pt>
                <c:pt idx="2">
                  <c:v>2</c:v>
                </c:pt>
                <c:pt idx="3">
                  <c:v>2</c:v>
                </c:pt>
                <c:pt idx="4">
                  <c:v>2</c:v>
                </c:pt>
                <c:pt idx="5">
                  <c:v>6</c:v>
                </c:pt>
                <c:pt idx="6">
                  <c:v>4</c:v>
                </c:pt>
                <c:pt idx="7">
                  <c:v>5</c:v>
                </c:pt>
                <c:pt idx="8">
                  <c:v>0</c:v>
                </c:pt>
                <c:pt idx="9">
                  <c:v>2</c:v>
                </c:pt>
                <c:pt idx="10">
                  <c:v>1</c:v>
                </c:pt>
                <c:pt idx="11">
                  <c:v>4</c:v>
                </c:pt>
                <c:pt idx="12">
                  <c:v>3</c:v>
                </c:pt>
                <c:pt idx="13">
                  <c:v>3</c:v>
                </c:pt>
                <c:pt idx="14">
                  <c:v>0</c:v>
                </c:pt>
                <c:pt idx="15">
                  <c:v>1</c:v>
                </c:pt>
                <c:pt idx="16">
                  <c:v>1</c:v>
                </c:pt>
                <c:pt idx="17">
                  <c:v>3</c:v>
                </c:pt>
                <c:pt idx="18">
                  <c:v>2</c:v>
                </c:pt>
                <c:pt idx="19">
                  <c:v>0</c:v>
                </c:pt>
                <c:pt idx="20">
                  <c:v>1</c:v>
                </c:pt>
                <c:pt idx="21">
                  <c:v>0</c:v>
                </c:pt>
                <c:pt idx="22">
                  <c:v>0</c:v>
                </c:pt>
              </c:numCache>
            </c:numRef>
          </c:val>
          <c:extLst>
            <c:ext xmlns:c16="http://schemas.microsoft.com/office/drawing/2014/chart" uri="{C3380CC4-5D6E-409C-BE32-E72D297353CC}">
              <c16:uniqueId val="{00000002-9359-46AB-B74B-AF2B8A3DBB5F}"/>
            </c:ext>
          </c:extLst>
        </c:ser>
        <c:dLbls>
          <c:showLegendKey val="0"/>
          <c:showVal val="0"/>
          <c:showCatName val="0"/>
          <c:showSerName val="0"/>
          <c:showPercent val="0"/>
          <c:showBubbleSize val="0"/>
        </c:dLbls>
        <c:gapWidth val="150"/>
        <c:overlap val="100"/>
        <c:axId val="871096038"/>
        <c:axId val="1012930302"/>
      </c:barChart>
      <c:catAx>
        <c:axId val="87109603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012930302"/>
        <c:crosses val="autoZero"/>
        <c:auto val="1"/>
        <c:lblAlgn val="ctr"/>
        <c:lblOffset val="100"/>
        <c:noMultiLvlLbl val="1"/>
      </c:catAx>
      <c:valAx>
        <c:axId val="1012930302"/>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87109603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13</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33: Australia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Countries'!$C$431:$C$432</c:f>
              <c:strCache>
                <c:ptCount val="1"/>
                <c:pt idx="0">
                  <c:v>Military Exercise</c:v>
                </c:pt>
              </c:strCache>
            </c:strRef>
          </c:tx>
          <c:invertIfNegative val="0"/>
          <c:cat>
            <c:strRef>
              <c:f>'Figures 21-38 Bilat Countries'!$B$433:$B$456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Countries'!$C$433:$C$456</c:f>
              <c:numCache>
                <c:formatCode>General</c:formatCode>
                <c:ptCount val="23"/>
                <c:pt idx="0">
                  <c:v>0</c:v>
                </c:pt>
                <c:pt idx="1">
                  <c:v>0</c:v>
                </c:pt>
                <c:pt idx="2">
                  <c:v>1</c:v>
                </c:pt>
                <c:pt idx="3">
                  <c:v>0</c:v>
                </c:pt>
                <c:pt idx="4">
                  <c:v>0</c:v>
                </c:pt>
                <c:pt idx="5">
                  <c:v>1</c:v>
                </c:pt>
                <c:pt idx="6">
                  <c:v>0</c:v>
                </c:pt>
                <c:pt idx="7">
                  <c:v>0</c:v>
                </c:pt>
                <c:pt idx="8">
                  <c:v>1</c:v>
                </c:pt>
                <c:pt idx="9">
                  <c:v>1</c:v>
                </c:pt>
                <c:pt idx="10">
                  <c:v>1</c:v>
                </c:pt>
                <c:pt idx="11">
                  <c:v>0</c:v>
                </c:pt>
                <c:pt idx="12">
                  <c:v>2</c:v>
                </c:pt>
                <c:pt idx="13">
                  <c:v>3</c:v>
                </c:pt>
                <c:pt idx="14">
                  <c:v>4</c:v>
                </c:pt>
                <c:pt idx="15">
                  <c:v>4</c:v>
                </c:pt>
                <c:pt idx="16">
                  <c:v>3</c:v>
                </c:pt>
                <c:pt idx="17">
                  <c:v>2</c:v>
                </c:pt>
                <c:pt idx="18">
                  <c:v>0</c:v>
                </c:pt>
                <c:pt idx="19">
                  <c:v>0</c:v>
                </c:pt>
                <c:pt idx="20">
                  <c:v>0</c:v>
                </c:pt>
                <c:pt idx="21">
                  <c:v>0</c:v>
                </c:pt>
                <c:pt idx="22">
                  <c:v>0</c:v>
                </c:pt>
              </c:numCache>
            </c:numRef>
          </c:val>
          <c:extLst>
            <c:ext xmlns:c16="http://schemas.microsoft.com/office/drawing/2014/chart" uri="{C3380CC4-5D6E-409C-BE32-E72D297353CC}">
              <c16:uniqueId val="{00000000-5EEC-4E98-B8AC-E4FA46AF9B03}"/>
            </c:ext>
          </c:extLst>
        </c:ser>
        <c:ser>
          <c:idx val="1"/>
          <c:order val="1"/>
          <c:tx>
            <c:strRef>
              <c:f>'Figures 21-38 Bilat Countries'!$D$431:$D$432</c:f>
              <c:strCache>
                <c:ptCount val="1"/>
                <c:pt idx="0">
                  <c:v>Naval Port Call</c:v>
                </c:pt>
              </c:strCache>
            </c:strRef>
          </c:tx>
          <c:invertIfNegative val="0"/>
          <c:cat>
            <c:strRef>
              <c:f>'Figures 21-38 Bilat Countries'!$B$433:$B$456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Countries'!$D$433:$D$456</c:f>
              <c:numCache>
                <c:formatCode>General</c:formatCode>
                <c:ptCount val="23"/>
                <c:pt idx="0">
                  <c:v>0</c:v>
                </c:pt>
                <c:pt idx="1">
                  <c:v>0</c:v>
                </c:pt>
                <c:pt idx="2">
                  <c:v>0</c:v>
                </c:pt>
                <c:pt idx="3">
                  <c:v>0</c:v>
                </c:pt>
                <c:pt idx="4">
                  <c:v>0</c:v>
                </c:pt>
                <c:pt idx="5">
                  <c:v>0</c:v>
                </c:pt>
                <c:pt idx="6">
                  <c:v>0</c:v>
                </c:pt>
                <c:pt idx="7">
                  <c:v>0</c:v>
                </c:pt>
                <c:pt idx="8">
                  <c:v>1</c:v>
                </c:pt>
                <c:pt idx="9">
                  <c:v>0</c:v>
                </c:pt>
                <c:pt idx="10">
                  <c:v>1</c:v>
                </c:pt>
                <c:pt idx="11">
                  <c:v>1</c:v>
                </c:pt>
                <c:pt idx="12">
                  <c:v>1</c:v>
                </c:pt>
                <c:pt idx="13">
                  <c:v>1</c:v>
                </c:pt>
                <c:pt idx="14">
                  <c:v>2</c:v>
                </c:pt>
                <c:pt idx="15">
                  <c:v>1</c:v>
                </c:pt>
                <c:pt idx="16">
                  <c:v>1</c:v>
                </c:pt>
                <c:pt idx="17">
                  <c:v>1</c:v>
                </c:pt>
                <c:pt idx="18">
                  <c:v>0</c:v>
                </c:pt>
                <c:pt idx="19">
                  <c:v>0</c:v>
                </c:pt>
                <c:pt idx="20">
                  <c:v>0</c:v>
                </c:pt>
                <c:pt idx="21">
                  <c:v>0</c:v>
                </c:pt>
                <c:pt idx="22">
                  <c:v>0</c:v>
                </c:pt>
              </c:numCache>
            </c:numRef>
          </c:val>
          <c:extLst>
            <c:ext xmlns:c16="http://schemas.microsoft.com/office/drawing/2014/chart" uri="{C3380CC4-5D6E-409C-BE32-E72D297353CC}">
              <c16:uniqueId val="{00000001-5EEC-4E98-B8AC-E4FA46AF9B03}"/>
            </c:ext>
          </c:extLst>
        </c:ser>
        <c:ser>
          <c:idx val="2"/>
          <c:order val="2"/>
          <c:tx>
            <c:strRef>
              <c:f>'Figures 21-38 Bilat Countries'!$E$431:$E$432</c:f>
              <c:strCache>
                <c:ptCount val="1"/>
                <c:pt idx="0">
                  <c:v>Senior Level Visit</c:v>
                </c:pt>
              </c:strCache>
            </c:strRef>
          </c:tx>
          <c:invertIfNegative val="0"/>
          <c:cat>
            <c:strRef>
              <c:f>'Figures 21-38 Bilat Countries'!$B$433:$B$456</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Countries'!$E$433:$E$456</c:f>
              <c:numCache>
                <c:formatCode>General</c:formatCode>
                <c:ptCount val="23"/>
                <c:pt idx="0">
                  <c:v>1</c:v>
                </c:pt>
                <c:pt idx="1">
                  <c:v>2</c:v>
                </c:pt>
                <c:pt idx="2">
                  <c:v>5</c:v>
                </c:pt>
                <c:pt idx="3">
                  <c:v>4</c:v>
                </c:pt>
                <c:pt idx="4">
                  <c:v>3</c:v>
                </c:pt>
                <c:pt idx="5">
                  <c:v>2</c:v>
                </c:pt>
                <c:pt idx="6">
                  <c:v>2</c:v>
                </c:pt>
                <c:pt idx="7">
                  <c:v>2</c:v>
                </c:pt>
                <c:pt idx="8">
                  <c:v>2</c:v>
                </c:pt>
                <c:pt idx="9">
                  <c:v>2</c:v>
                </c:pt>
                <c:pt idx="10">
                  <c:v>2</c:v>
                </c:pt>
                <c:pt idx="11">
                  <c:v>4</c:v>
                </c:pt>
                <c:pt idx="12">
                  <c:v>5</c:v>
                </c:pt>
                <c:pt idx="13">
                  <c:v>3</c:v>
                </c:pt>
                <c:pt idx="14">
                  <c:v>2</c:v>
                </c:pt>
                <c:pt idx="15">
                  <c:v>2</c:v>
                </c:pt>
                <c:pt idx="16">
                  <c:v>3</c:v>
                </c:pt>
                <c:pt idx="17">
                  <c:v>3</c:v>
                </c:pt>
                <c:pt idx="18">
                  <c:v>0</c:v>
                </c:pt>
                <c:pt idx="19">
                  <c:v>0</c:v>
                </c:pt>
                <c:pt idx="20">
                  <c:v>0</c:v>
                </c:pt>
                <c:pt idx="21">
                  <c:v>0</c:v>
                </c:pt>
                <c:pt idx="22">
                  <c:v>1</c:v>
                </c:pt>
              </c:numCache>
            </c:numRef>
          </c:val>
          <c:extLst>
            <c:ext xmlns:c16="http://schemas.microsoft.com/office/drawing/2014/chart" uri="{C3380CC4-5D6E-409C-BE32-E72D297353CC}">
              <c16:uniqueId val="{00000002-5EEC-4E98-B8AC-E4FA46AF9B03}"/>
            </c:ext>
          </c:extLst>
        </c:ser>
        <c:dLbls>
          <c:showLegendKey val="0"/>
          <c:showVal val="0"/>
          <c:showCatName val="0"/>
          <c:showSerName val="0"/>
          <c:showPercent val="0"/>
          <c:showBubbleSize val="0"/>
        </c:dLbls>
        <c:gapWidth val="150"/>
        <c:overlap val="100"/>
        <c:axId val="1287098278"/>
        <c:axId val="1116012582"/>
      </c:barChart>
      <c:catAx>
        <c:axId val="128709827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116012582"/>
        <c:crosses val="autoZero"/>
        <c:auto val="1"/>
        <c:lblAlgn val="ctr"/>
        <c:lblOffset val="100"/>
        <c:noMultiLvlLbl val="1"/>
      </c:catAx>
      <c:valAx>
        <c:axId val="1116012582"/>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8709827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14</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34: India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Countries'!$C$464:$C$465</c:f>
              <c:strCache>
                <c:ptCount val="1"/>
                <c:pt idx="0">
                  <c:v>Military Exercise</c:v>
                </c:pt>
              </c:strCache>
            </c:strRef>
          </c:tx>
          <c:invertIfNegative val="0"/>
          <c:cat>
            <c:strRef>
              <c:f>'Figures 21-38 Bilat Countries'!$B$466:$B$489</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Countries'!$C$466:$C$489</c:f>
              <c:numCache>
                <c:formatCode>General</c:formatCode>
                <c:ptCount val="23"/>
                <c:pt idx="0">
                  <c:v>0</c:v>
                </c:pt>
                <c:pt idx="1">
                  <c:v>1</c:v>
                </c:pt>
                <c:pt idx="2">
                  <c:v>0</c:v>
                </c:pt>
                <c:pt idx="3">
                  <c:v>1</c:v>
                </c:pt>
                <c:pt idx="4">
                  <c:v>0</c:v>
                </c:pt>
                <c:pt idx="5">
                  <c:v>1</c:v>
                </c:pt>
                <c:pt idx="6">
                  <c:v>1</c:v>
                </c:pt>
                <c:pt idx="7">
                  <c:v>0</c:v>
                </c:pt>
                <c:pt idx="8">
                  <c:v>0</c:v>
                </c:pt>
                <c:pt idx="9">
                  <c:v>0</c:v>
                </c:pt>
                <c:pt idx="10">
                  <c:v>0</c:v>
                </c:pt>
                <c:pt idx="11">
                  <c:v>1</c:v>
                </c:pt>
                <c:pt idx="12">
                  <c:v>1</c:v>
                </c:pt>
                <c:pt idx="13">
                  <c:v>1</c:v>
                </c:pt>
                <c:pt idx="14">
                  <c:v>3</c:v>
                </c:pt>
                <c:pt idx="15">
                  <c:v>0</c:v>
                </c:pt>
                <c:pt idx="16">
                  <c:v>1</c:v>
                </c:pt>
                <c:pt idx="17">
                  <c:v>1</c:v>
                </c:pt>
                <c:pt idx="18">
                  <c:v>0</c:v>
                </c:pt>
                <c:pt idx="19">
                  <c:v>0</c:v>
                </c:pt>
                <c:pt idx="20">
                  <c:v>0</c:v>
                </c:pt>
                <c:pt idx="21">
                  <c:v>0</c:v>
                </c:pt>
                <c:pt idx="22">
                  <c:v>0</c:v>
                </c:pt>
              </c:numCache>
            </c:numRef>
          </c:val>
          <c:extLst>
            <c:ext xmlns:c16="http://schemas.microsoft.com/office/drawing/2014/chart" uri="{C3380CC4-5D6E-409C-BE32-E72D297353CC}">
              <c16:uniqueId val="{00000000-ADF8-4A23-A976-4980004D76FD}"/>
            </c:ext>
          </c:extLst>
        </c:ser>
        <c:ser>
          <c:idx val="1"/>
          <c:order val="1"/>
          <c:tx>
            <c:strRef>
              <c:f>'Figures 21-38 Bilat Countries'!$D$464:$D$465</c:f>
              <c:strCache>
                <c:ptCount val="1"/>
                <c:pt idx="0">
                  <c:v>Naval Port Call</c:v>
                </c:pt>
              </c:strCache>
            </c:strRef>
          </c:tx>
          <c:invertIfNegative val="0"/>
          <c:cat>
            <c:strRef>
              <c:f>'Figures 21-38 Bilat Countries'!$B$466:$B$489</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Countries'!$D$466:$D$489</c:f>
              <c:numCache>
                <c:formatCode>General</c:formatCode>
                <c:ptCount val="23"/>
                <c:pt idx="0">
                  <c:v>0</c:v>
                </c:pt>
                <c:pt idx="1">
                  <c:v>0</c:v>
                </c:pt>
                <c:pt idx="2">
                  <c:v>0</c:v>
                </c:pt>
                <c:pt idx="3">
                  <c:v>1</c:v>
                </c:pt>
                <c:pt idx="4">
                  <c:v>0</c:v>
                </c:pt>
                <c:pt idx="5">
                  <c:v>0</c:v>
                </c:pt>
                <c:pt idx="6">
                  <c:v>0</c:v>
                </c:pt>
                <c:pt idx="7">
                  <c:v>1</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ADF8-4A23-A976-4980004D76FD}"/>
            </c:ext>
          </c:extLst>
        </c:ser>
        <c:ser>
          <c:idx val="2"/>
          <c:order val="2"/>
          <c:tx>
            <c:strRef>
              <c:f>'Figures 21-38 Bilat Countries'!$E$464:$E$465</c:f>
              <c:strCache>
                <c:ptCount val="1"/>
                <c:pt idx="0">
                  <c:v>Senior Level Visit</c:v>
                </c:pt>
              </c:strCache>
            </c:strRef>
          </c:tx>
          <c:invertIfNegative val="0"/>
          <c:cat>
            <c:strRef>
              <c:f>'Figures 21-38 Bilat Countries'!$B$466:$B$489</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Countries'!$E$466:$E$489</c:f>
              <c:numCache>
                <c:formatCode>General</c:formatCode>
                <c:ptCount val="23"/>
                <c:pt idx="0">
                  <c:v>1</c:v>
                </c:pt>
                <c:pt idx="1">
                  <c:v>2</c:v>
                </c:pt>
                <c:pt idx="2">
                  <c:v>2</c:v>
                </c:pt>
                <c:pt idx="3">
                  <c:v>1</c:v>
                </c:pt>
                <c:pt idx="4">
                  <c:v>3</c:v>
                </c:pt>
                <c:pt idx="5">
                  <c:v>2</c:v>
                </c:pt>
                <c:pt idx="6">
                  <c:v>2</c:v>
                </c:pt>
                <c:pt idx="7">
                  <c:v>1</c:v>
                </c:pt>
                <c:pt idx="8">
                  <c:v>1</c:v>
                </c:pt>
                <c:pt idx="9">
                  <c:v>1</c:v>
                </c:pt>
                <c:pt idx="10">
                  <c:v>1</c:v>
                </c:pt>
                <c:pt idx="11">
                  <c:v>3</c:v>
                </c:pt>
                <c:pt idx="12">
                  <c:v>1</c:v>
                </c:pt>
                <c:pt idx="13">
                  <c:v>4</c:v>
                </c:pt>
                <c:pt idx="14">
                  <c:v>2</c:v>
                </c:pt>
                <c:pt idx="15">
                  <c:v>0</c:v>
                </c:pt>
                <c:pt idx="16">
                  <c:v>4</c:v>
                </c:pt>
                <c:pt idx="17">
                  <c:v>1</c:v>
                </c:pt>
                <c:pt idx="18">
                  <c:v>2</c:v>
                </c:pt>
                <c:pt idx="19">
                  <c:v>0</c:v>
                </c:pt>
                <c:pt idx="20">
                  <c:v>0</c:v>
                </c:pt>
                <c:pt idx="21">
                  <c:v>1</c:v>
                </c:pt>
                <c:pt idx="22">
                  <c:v>1</c:v>
                </c:pt>
              </c:numCache>
            </c:numRef>
          </c:val>
          <c:extLst>
            <c:ext xmlns:c16="http://schemas.microsoft.com/office/drawing/2014/chart" uri="{C3380CC4-5D6E-409C-BE32-E72D297353CC}">
              <c16:uniqueId val="{00000002-ADF8-4A23-A976-4980004D76FD}"/>
            </c:ext>
          </c:extLst>
        </c:ser>
        <c:dLbls>
          <c:showLegendKey val="0"/>
          <c:showVal val="0"/>
          <c:showCatName val="0"/>
          <c:showSerName val="0"/>
          <c:showPercent val="0"/>
          <c:showBubbleSize val="0"/>
        </c:dLbls>
        <c:gapWidth val="150"/>
        <c:overlap val="100"/>
        <c:axId val="571863210"/>
        <c:axId val="1826140867"/>
      </c:barChart>
      <c:catAx>
        <c:axId val="57186321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826140867"/>
        <c:crosses val="autoZero"/>
        <c:auto val="1"/>
        <c:lblAlgn val="ctr"/>
        <c:lblOffset val="100"/>
        <c:noMultiLvlLbl val="1"/>
      </c:catAx>
      <c:valAx>
        <c:axId val="1826140867"/>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7186321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15</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35: United States</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Countries'!$C$497:$C$498</c:f>
              <c:strCache>
                <c:ptCount val="1"/>
                <c:pt idx="0">
                  <c:v>Military Exercise</c:v>
                </c:pt>
              </c:strCache>
            </c:strRef>
          </c:tx>
          <c:invertIfNegative val="0"/>
          <c:cat>
            <c:strRef>
              <c:f>'Figures 21-38 Bilat Countries'!$B$499:$B$522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Countries'!$C$499:$C$522</c:f>
              <c:numCache>
                <c:formatCode>General</c:formatCode>
                <c:ptCount val="23"/>
                <c:pt idx="0">
                  <c:v>0</c:v>
                </c:pt>
                <c:pt idx="1">
                  <c:v>0</c:v>
                </c:pt>
                <c:pt idx="2">
                  <c:v>0</c:v>
                </c:pt>
                <c:pt idx="3">
                  <c:v>1</c:v>
                </c:pt>
                <c:pt idx="4">
                  <c:v>1</c:v>
                </c:pt>
                <c:pt idx="5">
                  <c:v>0</c:v>
                </c:pt>
                <c:pt idx="6">
                  <c:v>0</c:v>
                </c:pt>
                <c:pt idx="7">
                  <c:v>0</c:v>
                </c:pt>
                <c:pt idx="8">
                  <c:v>0</c:v>
                </c:pt>
                <c:pt idx="9">
                  <c:v>0</c:v>
                </c:pt>
                <c:pt idx="10">
                  <c:v>1</c:v>
                </c:pt>
                <c:pt idx="11">
                  <c:v>2</c:v>
                </c:pt>
                <c:pt idx="12">
                  <c:v>2</c:v>
                </c:pt>
                <c:pt idx="13">
                  <c:v>4</c:v>
                </c:pt>
                <c:pt idx="14">
                  <c:v>2</c:v>
                </c:pt>
                <c:pt idx="15">
                  <c:v>2</c:v>
                </c:pt>
                <c:pt idx="16">
                  <c:v>1</c:v>
                </c:pt>
                <c:pt idx="17">
                  <c:v>1</c:v>
                </c:pt>
                <c:pt idx="18">
                  <c:v>1</c:v>
                </c:pt>
                <c:pt idx="19">
                  <c:v>0</c:v>
                </c:pt>
                <c:pt idx="20">
                  <c:v>0</c:v>
                </c:pt>
                <c:pt idx="21">
                  <c:v>0</c:v>
                </c:pt>
                <c:pt idx="22">
                  <c:v>0</c:v>
                </c:pt>
              </c:numCache>
            </c:numRef>
          </c:val>
          <c:extLst>
            <c:ext xmlns:c16="http://schemas.microsoft.com/office/drawing/2014/chart" uri="{C3380CC4-5D6E-409C-BE32-E72D297353CC}">
              <c16:uniqueId val="{00000000-38A5-429F-B082-48CEB4698CEB}"/>
            </c:ext>
          </c:extLst>
        </c:ser>
        <c:ser>
          <c:idx val="1"/>
          <c:order val="1"/>
          <c:tx>
            <c:strRef>
              <c:f>'Figures 21-38 Bilat Countries'!$D$497:$D$498</c:f>
              <c:strCache>
                <c:ptCount val="1"/>
                <c:pt idx="0">
                  <c:v>Naval Port Call</c:v>
                </c:pt>
              </c:strCache>
            </c:strRef>
          </c:tx>
          <c:invertIfNegative val="0"/>
          <c:cat>
            <c:strRef>
              <c:f>'Figures 21-38 Bilat Countries'!$B$499:$B$522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Countries'!$D$499:$D$522</c:f>
              <c:numCache>
                <c:formatCode>General</c:formatCode>
                <c:ptCount val="23"/>
                <c:pt idx="0">
                  <c:v>0</c:v>
                </c:pt>
                <c:pt idx="1">
                  <c:v>1</c:v>
                </c:pt>
                <c:pt idx="2">
                  <c:v>0</c:v>
                </c:pt>
                <c:pt idx="3">
                  <c:v>0</c:v>
                </c:pt>
                <c:pt idx="4">
                  <c:v>1</c:v>
                </c:pt>
                <c:pt idx="5">
                  <c:v>0</c:v>
                </c:pt>
                <c:pt idx="6">
                  <c:v>0</c:v>
                </c:pt>
                <c:pt idx="7">
                  <c:v>0</c:v>
                </c:pt>
                <c:pt idx="8">
                  <c:v>0</c:v>
                </c:pt>
                <c:pt idx="9">
                  <c:v>0</c:v>
                </c:pt>
                <c:pt idx="10">
                  <c:v>0</c:v>
                </c:pt>
                <c:pt idx="11">
                  <c:v>1</c:v>
                </c:pt>
                <c:pt idx="12">
                  <c:v>0</c:v>
                </c:pt>
                <c:pt idx="13">
                  <c:v>3</c:v>
                </c:pt>
                <c:pt idx="14">
                  <c:v>1</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38A5-429F-B082-48CEB4698CEB}"/>
            </c:ext>
          </c:extLst>
        </c:ser>
        <c:ser>
          <c:idx val="2"/>
          <c:order val="2"/>
          <c:tx>
            <c:strRef>
              <c:f>'Figures 21-38 Bilat Countries'!$E$497:$E$498</c:f>
              <c:strCache>
                <c:ptCount val="1"/>
                <c:pt idx="0">
                  <c:v>Senior Level Visit</c:v>
                </c:pt>
              </c:strCache>
            </c:strRef>
          </c:tx>
          <c:invertIfNegative val="0"/>
          <c:cat>
            <c:strRef>
              <c:f>'Figures 21-38 Bilat Countries'!$B$499:$B$522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Countries'!$E$499:$E$522</c:f>
              <c:numCache>
                <c:formatCode>General</c:formatCode>
                <c:ptCount val="23"/>
                <c:pt idx="0">
                  <c:v>8</c:v>
                </c:pt>
                <c:pt idx="1">
                  <c:v>3</c:v>
                </c:pt>
                <c:pt idx="2">
                  <c:v>3</c:v>
                </c:pt>
                <c:pt idx="3">
                  <c:v>6</c:v>
                </c:pt>
                <c:pt idx="4">
                  <c:v>3</c:v>
                </c:pt>
                <c:pt idx="5">
                  <c:v>8</c:v>
                </c:pt>
                <c:pt idx="6">
                  <c:v>6</c:v>
                </c:pt>
                <c:pt idx="7">
                  <c:v>5</c:v>
                </c:pt>
                <c:pt idx="8">
                  <c:v>3</c:v>
                </c:pt>
                <c:pt idx="9">
                  <c:v>7</c:v>
                </c:pt>
                <c:pt idx="10">
                  <c:v>6</c:v>
                </c:pt>
                <c:pt idx="11">
                  <c:v>6</c:v>
                </c:pt>
                <c:pt idx="12">
                  <c:v>9</c:v>
                </c:pt>
                <c:pt idx="13">
                  <c:v>6</c:v>
                </c:pt>
                <c:pt idx="14">
                  <c:v>6</c:v>
                </c:pt>
                <c:pt idx="15">
                  <c:v>4</c:v>
                </c:pt>
                <c:pt idx="16">
                  <c:v>5</c:v>
                </c:pt>
                <c:pt idx="17">
                  <c:v>4</c:v>
                </c:pt>
                <c:pt idx="18">
                  <c:v>4</c:v>
                </c:pt>
                <c:pt idx="19">
                  <c:v>1</c:v>
                </c:pt>
                <c:pt idx="20">
                  <c:v>4</c:v>
                </c:pt>
                <c:pt idx="21">
                  <c:v>1</c:v>
                </c:pt>
                <c:pt idx="22">
                  <c:v>6</c:v>
                </c:pt>
              </c:numCache>
            </c:numRef>
          </c:val>
          <c:extLst>
            <c:ext xmlns:c16="http://schemas.microsoft.com/office/drawing/2014/chart" uri="{C3380CC4-5D6E-409C-BE32-E72D297353CC}">
              <c16:uniqueId val="{00000002-38A5-429F-B082-48CEB4698CEB}"/>
            </c:ext>
          </c:extLst>
        </c:ser>
        <c:dLbls>
          <c:showLegendKey val="0"/>
          <c:showVal val="0"/>
          <c:showCatName val="0"/>
          <c:showSerName val="0"/>
          <c:showPercent val="0"/>
          <c:showBubbleSize val="0"/>
        </c:dLbls>
        <c:gapWidth val="150"/>
        <c:overlap val="100"/>
        <c:axId val="700290264"/>
        <c:axId val="695212803"/>
      </c:barChart>
      <c:catAx>
        <c:axId val="70029026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95212803"/>
        <c:crosses val="autoZero"/>
        <c:auto val="1"/>
        <c:lblAlgn val="ctr"/>
        <c:lblOffset val="100"/>
        <c:noMultiLvlLbl val="1"/>
      </c:catAx>
      <c:valAx>
        <c:axId val="695212803"/>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70029026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16</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36: Russia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Countries'!$C$527:$C$528</c:f>
              <c:strCache>
                <c:ptCount val="1"/>
                <c:pt idx="0">
                  <c:v>Military Exercise</c:v>
                </c:pt>
              </c:strCache>
            </c:strRef>
          </c:tx>
          <c:invertIfNegative val="0"/>
          <c:cat>
            <c:strRef>
              <c:f>'Figures 21-38 Bilat Countries'!$B$529:$B$552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Countries'!$C$529:$C$552</c:f>
              <c:numCache>
                <c:formatCode>General</c:formatCode>
                <c:ptCount val="23"/>
                <c:pt idx="0">
                  <c:v>0</c:v>
                </c:pt>
                <c:pt idx="1">
                  <c:v>0</c:v>
                </c:pt>
                <c:pt idx="2">
                  <c:v>0</c:v>
                </c:pt>
                <c:pt idx="3">
                  <c:v>1</c:v>
                </c:pt>
                <c:pt idx="4">
                  <c:v>0</c:v>
                </c:pt>
                <c:pt idx="5">
                  <c:v>1</c:v>
                </c:pt>
                <c:pt idx="6">
                  <c:v>0</c:v>
                </c:pt>
                <c:pt idx="7">
                  <c:v>3</c:v>
                </c:pt>
                <c:pt idx="8">
                  <c:v>0</c:v>
                </c:pt>
                <c:pt idx="9">
                  <c:v>0</c:v>
                </c:pt>
                <c:pt idx="10">
                  <c:v>1</c:v>
                </c:pt>
                <c:pt idx="11">
                  <c:v>5</c:v>
                </c:pt>
                <c:pt idx="12">
                  <c:v>5</c:v>
                </c:pt>
                <c:pt idx="13">
                  <c:v>3</c:v>
                </c:pt>
                <c:pt idx="14">
                  <c:v>4</c:v>
                </c:pt>
                <c:pt idx="15">
                  <c:v>5</c:v>
                </c:pt>
                <c:pt idx="16">
                  <c:v>2</c:v>
                </c:pt>
                <c:pt idx="17">
                  <c:v>5</c:v>
                </c:pt>
                <c:pt idx="18">
                  <c:v>3</c:v>
                </c:pt>
                <c:pt idx="19">
                  <c:v>5</c:v>
                </c:pt>
                <c:pt idx="20">
                  <c:v>6</c:v>
                </c:pt>
                <c:pt idx="21">
                  <c:v>3</c:v>
                </c:pt>
                <c:pt idx="22">
                  <c:v>7</c:v>
                </c:pt>
              </c:numCache>
            </c:numRef>
          </c:val>
          <c:extLst>
            <c:ext xmlns:c16="http://schemas.microsoft.com/office/drawing/2014/chart" uri="{C3380CC4-5D6E-409C-BE32-E72D297353CC}">
              <c16:uniqueId val="{00000000-724A-468C-ADBF-F790E16BBD11}"/>
            </c:ext>
          </c:extLst>
        </c:ser>
        <c:ser>
          <c:idx val="1"/>
          <c:order val="1"/>
          <c:tx>
            <c:strRef>
              <c:f>'Figures 21-38 Bilat Countries'!$D$527:$D$528</c:f>
              <c:strCache>
                <c:ptCount val="1"/>
                <c:pt idx="0">
                  <c:v>Naval Port Call</c:v>
                </c:pt>
              </c:strCache>
            </c:strRef>
          </c:tx>
          <c:invertIfNegative val="0"/>
          <c:cat>
            <c:strRef>
              <c:f>'Figures 21-38 Bilat Countries'!$B$529:$B$552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Countries'!$D$529:$D$552</c:f>
              <c:numCache>
                <c:formatCode>General</c:formatCode>
                <c:ptCount val="23"/>
                <c:pt idx="0">
                  <c:v>0</c:v>
                </c:pt>
                <c:pt idx="1">
                  <c:v>0</c:v>
                </c:pt>
                <c:pt idx="2">
                  <c:v>0</c:v>
                </c:pt>
                <c:pt idx="3">
                  <c:v>0</c:v>
                </c:pt>
                <c:pt idx="4">
                  <c:v>0</c:v>
                </c:pt>
                <c:pt idx="5">
                  <c:v>1</c:v>
                </c:pt>
                <c:pt idx="6">
                  <c:v>0</c:v>
                </c:pt>
                <c:pt idx="7">
                  <c:v>0</c:v>
                </c:pt>
                <c:pt idx="8">
                  <c:v>0</c:v>
                </c:pt>
                <c:pt idx="9">
                  <c:v>0</c:v>
                </c:pt>
                <c:pt idx="10">
                  <c:v>0</c:v>
                </c:pt>
                <c:pt idx="11">
                  <c:v>0</c:v>
                </c:pt>
                <c:pt idx="12">
                  <c:v>0</c:v>
                </c:pt>
                <c:pt idx="13">
                  <c:v>1</c:v>
                </c:pt>
                <c:pt idx="14">
                  <c:v>0</c:v>
                </c:pt>
                <c:pt idx="15">
                  <c:v>0</c:v>
                </c:pt>
                <c:pt idx="16">
                  <c:v>0</c:v>
                </c:pt>
                <c:pt idx="17">
                  <c:v>1</c:v>
                </c:pt>
                <c:pt idx="18">
                  <c:v>0</c:v>
                </c:pt>
                <c:pt idx="19">
                  <c:v>0</c:v>
                </c:pt>
                <c:pt idx="20">
                  <c:v>0</c:v>
                </c:pt>
                <c:pt idx="21">
                  <c:v>0</c:v>
                </c:pt>
                <c:pt idx="22">
                  <c:v>2</c:v>
                </c:pt>
              </c:numCache>
            </c:numRef>
          </c:val>
          <c:extLst>
            <c:ext xmlns:c16="http://schemas.microsoft.com/office/drawing/2014/chart" uri="{C3380CC4-5D6E-409C-BE32-E72D297353CC}">
              <c16:uniqueId val="{00000001-724A-468C-ADBF-F790E16BBD11}"/>
            </c:ext>
          </c:extLst>
        </c:ser>
        <c:ser>
          <c:idx val="2"/>
          <c:order val="2"/>
          <c:tx>
            <c:strRef>
              <c:f>'Figures 21-38 Bilat Countries'!$E$527:$E$528</c:f>
              <c:strCache>
                <c:ptCount val="1"/>
                <c:pt idx="0">
                  <c:v>Senior Level Visit</c:v>
                </c:pt>
              </c:strCache>
            </c:strRef>
          </c:tx>
          <c:invertIfNegative val="0"/>
          <c:cat>
            <c:strRef>
              <c:f>'Figures 21-38 Bilat Countries'!$B$529:$B$552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Countries'!$E$529:$E$552</c:f>
              <c:numCache>
                <c:formatCode>General</c:formatCode>
                <c:ptCount val="23"/>
                <c:pt idx="0">
                  <c:v>3</c:v>
                </c:pt>
                <c:pt idx="1">
                  <c:v>5</c:v>
                </c:pt>
                <c:pt idx="2">
                  <c:v>6</c:v>
                </c:pt>
                <c:pt idx="3">
                  <c:v>5</c:v>
                </c:pt>
                <c:pt idx="4">
                  <c:v>4</c:v>
                </c:pt>
                <c:pt idx="5">
                  <c:v>3</c:v>
                </c:pt>
                <c:pt idx="6">
                  <c:v>2</c:v>
                </c:pt>
                <c:pt idx="7">
                  <c:v>4</c:v>
                </c:pt>
                <c:pt idx="8">
                  <c:v>3</c:v>
                </c:pt>
                <c:pt idx="9">
                  <c:v>5</c:v>
                </c:pt>
                <c:pt idx="10">
                  <c:v>3</c:v>
                </c:pt>
                <c:pt idx="11">
                  <c:v>4</c:v>
                </c:pt>
                <c:pt idx="12">
                  <c:v>3</c:v>
                </c:pt>
                <c:pt idx="13">
                  <c:v>6</c:v>
                </c:pt>
                <c:pt idx="14">
                  <c:v>5</c:v>
                </c:pt>
                <c:pt idx="15">
                  <c:v>3</c:v>
                </c:pt>
                <c:pt idx="16">
                  <c:v>9</c:v>
                </c:pt>
                <c:pt idx="17">
                  <c:v>5</c:v>
                </c:pt>
                <c:pt idx="18">
                  <c:v>2</c:v>
                </c:pt>
                <c:pt idx="19">
                  <c:v>4</c:v>
                </c:pt>
                <c:pt idx="20">
                  <c:v>2</c:v>
                </c:pt>
                <c:pt idx="21">
                  <c:v>7</c:v>
                </c:pt>
                <c:pt idx="22">
                  <c:v>4</c:v>
                </c:pt>
              </c:numCache>
            </c:numRef>
          </c:val>
          <c:extLst>
            <c:ext xmlns:c16="http://schemas.microsoft.com/office/drawing/2014/chart" uri="{C3380CC4-5D6E-409C-BE32-E72D297353CC}">
              <c16:uniqueId val="{00000002-724A-468C-ADBF-F790E16BBD11}"/>
            </c:ext>
          </c:extLst>
        </c:ser>
        <c:dLbls>
          <c:showLegendKey val="0"/>
          <c:showVal val="0"/>
          <c:showCatName val="0"/>
          <c:showSerName val="0"/>
          <c:showPercent val="0"/>
          <c:showBubbleSize val="0"/>
        </c:dLbls>
        <c:gapWidth val="150"/>
        <c:overlap val="100"/>
        <c:axId val="1741742485"/>
        <c:axId val="1306488296"/>
      </c:barChart>
      <c:catAx>
        <c:axId val="174174248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306488296"/>
        <c:crosses val="autoZero"/>
        <c:auto val="1"/>
        <c:lblAlgn val="ctr"/>
        <c:lblOffset val="100"/>
        <c:noMultiLvlLbl val="1"/>
      </c:catAx>
      <c:valAx>
        <c:axId val="1306488296"/>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74174248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17</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37: New Zealand</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Countries'!$C$557:$C$558</c:f>
              <c:strCache>
                <c:ptCount val="1"/>
                <c:pt idx="0">
                  <c:v>Military Exercise</c:v>
                </c:pt>
              </c:strCache>
            </c:strRef>
          </c:tx>
          <c:invertIfNegative val="0"/>
          <c:cat>
            <c:strRef>
              <c:f>'Figures 21-38 Bilat Countries'!$B$559:$B$582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Countries'!$C$559:$C$582</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1</c:v>
                </c:pt>
                <c:pt idx="12">
                  <c:v>0</c:v>
                </c:pt>
                <c:pt idx="13">
                  <c:v>1</c:v>
                </c:pt>
                <c:pt idx="14">
                  <c:v>0</c:v>
                </c:pt>
                <c:pt idx="15">
                  <c:v>1</c:v>
                </c:pt>
                <c:pt idx="16">
                  <c:v>1</c:v>
                </c:pt>
                <c:pt idx="17">
                  <c:v>0</c:v>
                </c:pt>
                <c:pt idx="18">
                  <c:v>0</c:v>
                </c:pt>
                <c:pt idx="19">
                  <c:v>0</c:v>
                </c:pt>
                <c:pt idx="20">
                  <c:v>0</c:v>
                </c:pt>
                <c:pt idx="21">
                  <c:v>0</c:v>
                </c:pt>
                <c:pt idx="22">
                  <c:v>0</c:v>
                </c:pt>
              </c:numCache>
            </c:numRef>
          </c:val>
          <c:extLst>
            <c:ext xmlns:c16="http://schemas.microsoft.com/office/drawing/2014/chart" uri="{C3380CC4-5D6E-409C-BE32-E72D297353CC}">
              <c16:uniqueId val="{00000000-077A-4BC6-BA87-A257A5CA9D46}"/>
            </c:ext>
          </c:extLst>
        </c:ser>
        <c:ser>
          <c:idx val="1"/>
          <c:order val="1"/>
          <c:tx>
            <c:strRef>
              <c:f>'Figures 21-38 Bilat Countries'!$D$557:$D$558</c:f>
              <c:strCache>
                <c:ptCount val="1"/>
                <c:pt idx="0">
                  <c:v>Naval Port Call</c:v>
                </c:pt>
              </c:strCache>
            </c:strRef>
          </c:tx>
          <c:invertIfNegative val="0"/>
          <c:cat>
            <c:strRef>
              <c:f>'Figures 21-38 Bilat Countries'!$B$559:$B$582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Countries'!$D$559:$D$582</c:f>
              <c:numCache>
                <c:formatCode>General</c:formatCode>
                <c:ptCount val="23"/>
                <c:pt idx="0">
                  <c:v>0</c:v>
                </c:pt>
                <c:pt idx="1">
                  <c:v>1</c:v>
                </c:pt>
                <c:pt idx="2">
                  <c:v>0</c:v>
                </c:pt>
                <c:pt idx="3">
                  <c:v>0</c:v>
                </c:pt>
                <c:pt idx="4">
                  <c:v>0</c:v>
                </c:pt>
                <c:pt idx="5">
                  <c:v>0</c:v>
                </c:pt>
                <c:pt idx="6">
                  <c:v>0</c:v>
                </c:pt>
                <c:pt idx="7">
                  <c:v>0</c:v>
                </c:pt>
                <c:pt idx="8">
                  <c:v>1</c:v>
                </c:pt>
                <c:pt idx="9">
                  <c:v>0</c:v>
                </c:pt>
                <c:pt idx="10">
                  <c:v>0</c:v>
                </c:pt>
                <c:pt idx="11">
                  <c:v>1</c:v>
                </c:pt>
                <c:pt idx="12">
                  <c:v>1</c:v>
                </c:pt>
                <c:pt idx="13">
                  <c:v>0</c:v>
                </c:pt>
                <c:pt idx="14">
                  <c:v>2</c:v>
                </c:pt>
                <c:pt idx="15">
                  <c:v>1</c:v>
                </c:pt>
                <c:pt idx="16">
                  <c:v>0</c:v>
                </c:pt>
                <c:pt idx="17">
                  <c:v>1</c:v>
                </c:pt>
                <c:pt idx="18">
                  <c:v>0</c:v>
                </c:pt>
                <c:pt idx="19">
                  <c:v>0</c:v>
                </c:pt>
                <c:pt idx="20">
                  <c:v>0</c:v>
                </c:pt>
                <c:pt idx="21">
                  <c:v>0</c:v>
                </c:pt>
                <c:pt idx="22">
                  <c:v>0</c:v>
                </c:pt>
              </c:numCache>
            </c:numRef>
          </c:val>
          <c:extLst>
            <c:ext xmlns:c16="http://schemas.microsoft.com/office/drawing/2014/chart" uri="{C3380CC4-5D6E-409C-BE32-E72D297353CC}">
              <c16:uniqueId val="{00000001-077A-4BC6-BA87-A257A5CA9D46}"/>
            </c:ext>
          </c:extLst>
        </c:ser>
        <c:ser>
          <c:idx val="2"/>
          <c:order val="2"/>
          <c:tx>
            <c:strRef>
              <c:f>'Figures 21-38 Bilat Countries'!$E$557:$E$558</c:f>
              <c:strCache>
                <c:ptCount val="1"/>
                <c:pt idx="0">
                  <c:v>Senior Level Visit</c:v>
                </c:pt>
              </c:strCache>
            </c:strRef>
          </c:tx>
          <c:invertIfNegative val="0"/>
          <c:cat>
            <c:strRef>
              <c:f>'Figures 21-38 Bilat Countries'!$B$559:$B$582</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Countries'!$E$559:$E$582</c:f>
              <c:numCache>
                <c:formatCode>General</c:formatCode>
                <c:ptCount val="23"/>
                <c:pt idx="0">
                  <c:v>0</c:v>
                </c:pt>
                <c:pt idx="1">
                  <c:v>2</c:v>
                </c:pt>
                <c:pt idx="2">
                  <c:v>2</c:v>
                </c:pt>
                <c:pt idx="3">
                  <c:v>1</c:v>
                </c:pt>
                <c:pt idx="4">
                  <c:v>3</c:v>
                </c:pt>
                <c:pt idx="5">
                  <c:v>2</c:v>
                </c:pt>
                <c:pt idx="6">
                  <c:v>2</c:v>
                </c:pt>
                <c:pt idx="7">
                  <c:v>2</c:v>
                </c:pt>
                <c:pt idx="8">
                  <c:v>4</c:v>
                </c:pt>
                <c:pt idx="9">
                  <c:v>2</c:v>
                </c:pt>
                <c:pt idx="10">
                  <c:v>1</c:v>
                </c:pt>
                <c:pt idx="11">
                  <c:v>4</c:v>
                </c:pt>
                <c:pt idx="12">
                  <c:v>1</c:v>
                </c:pt>
                <c:pt idx="13">
                  <c:v>3</c:v>
                </c:pt>
                <c:pt idx="14">
                  <c:v>4</c:v>
                </c:pt>
                <c:pt idx="15">
                  <c:v>3</c:v>
                </c:pt>
                <c:pt idx="16">
                  <c:v>1</c:v>
                </c:pt>
                <c:pt idx="17">
                  <c:v>3</c:v>
                </c:pt>
                <c:pt idx="18">
                  <c:v>0</c:v>
                </c:pt>
                <c:pt idx="19">
                  <c:v>0</c:v>
                </c:pt>
                <c:pt idx="20">
                  <c:v>1</c:v>
                </c:pt>
                <c:pt idx="21">
                  <c:v>1</c:v>
                </c:pt>
                <c:pt idx="22">
                  <c:v>3</c:v>
                </c:pt>
              </c:numCache>
            </c:numRef>
          </c:val>
          <c:extLst>
            <c:ext xmlns:c16="http://schemas.microsoft.com/office/drawing/2014/chart" uri="{C3380CC4-5D6E-409C-BE32-E72D297353CC}">
              <c16:uniqueId val="{00000002-077A-4BC6-BA87-A257A5CA9D46}"/>
            </c:ext>
          </c:extLst>
        </c:ser>
        <c:dLbls>
          <c:showLegendKey val="0"/>
          <c:showVal val="0"/>
          <c:showCatName val="0"/>
          <c:showSerName val="0"/>
          <c:showPercent val="0"/>
          <c:showBubbleSize val="0"/>
        </c:dLbls>
        <c:gapWidth val="150"/>
        <c:overlap val="100"/>
        <c:axId val="62644906"/>
        <c:axId val="707632401"/>
      </c:barChart>
      <c:catAx>
        <c:axId val="6264490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07632401"/>
        <c:crosses val="autoZero"/>
        <c:auto val="1"/>
        <c:lblAlgn val="ctr"/>
        <c:lblOffset val="100"/>
        <c:noMultiLvlLbl val="1"/>
      </c:catAx>
      <c:valAx>
        <c:axId val="707632401"/>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6264490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RELEASE.xlsx]Figures 21-38 Bilat Countries!Figures 21-38 Bilat Countries 18</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38: Pakistan</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Countries'!$C$589:$C$590</c:f>
              <c:strCache>
                <c:ptCount val="1"/>
                <c:pt idx="0">
                  <c:v>Military Exercise</c:v>
                </c:pt>
              </c:strCache>
            </c:strRef>
          </c:tx>
          <c:invertIfNegative val="0"/>
          <c:cat>
            <c:strRef>
              <c:f>'Figures 21-38 Bilat Countries'!$B$591:$B$614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Countries'!$C$591:$C$614</c:f>
              <c:numCache>
                <c:formatCode>General</c:formatCode>
                <c:ptCount val="23"/>
                <c:pt idx="0">
                  <c:v>0</c:v>
                </c:pt>
                <c:pt idx="1">
                  <c:v>1</c:v>
                </c:pt>
                <c:pt idx="2">
                  <c:v>1</c:v>
                </c:pt>
                <c:pt idx="3">
                  <c:v>1</c:v>
                </c:pt>
                <c:pt idx="4">
                  <c:v>1</c:v>
                </c:pt>
                <c:pt idx="5">
                  <c:v>1</c:v>
                </c:pt>
                <c:pt idx="6">
                  <c:v>0</c:v>
                </c:pt>
                <c:pt idx="7">
                  <c:v>2</c:v>
                </c:pt>
                <c:pt idx="8">
                  <c:v>2</c:v>
                </c:pt>
                <c:pt idx="9">
                  <c:v>4</c:v>
                </c:pt>
                <c:pt idx="10">
                  <c:v>0</c:v>
                </c:pt>
                <c:pt idx="11">
                  <c:v>1</c:v>
                </c:pt>
                <c:pt idx="12">
                  <c:v>2</c:v>
                </c:pt>
                <c:pt idx="13">
                  <c:v>4</c:v>
                </c:pt>
                <c:pt idx="14">
                  <c:v>5</c:v>
                </c:pt>
                <c:pt idx="15">
                  <c:v>6</c:v>
                </c:pt>
                <c:pt idx="16">
                  <c:v>2</c:v>
                </c:pt>
                <c:pt idx="17">
                  <c:v>5</c:v>
                </c:pt>
                <c:pt idx="18">
                  <c:v>2</c:v>
                </c:pt>
                <c:pt idx="19">
                  <c:v>3</c:v>
                </c:pt>
                <c:pt idx="20">
                  <c:v>1</c:v>
                </c:pt>
                <c:pt idx="21">
                  <c:v>3</c:v>
                </c:pt>
                <c:pt idx="22">
                  <c:v>1</c:v>
                </c:pt>
              </c:numCache>
            </c:numRef>
          </c:val>
          <c:extLst>
            <c:ext xmlns:c16="http://schemas.microsoft.com/office/drawing/2014/chart" uri="{C3380CC4-5D6E-409C-BE32-E72D297353CC}">
              <c16:uniqueId val="{00000000-A7DA-4C74-A561-D9CF794146BB}"/>
            </c:ext>
          </c:extLst>
        </c:ser>
        <c:ser>
          <c:idx val="1"/>
          <c:order val="1"/>
          <c:tx>
            <c:strRef>
              <c:f>'Figures 21-38 Bilat Countries'!$D$589:$D$590</c:f>
              <c:strCache>
                <c:ptCount val="1"/>
                <c:pt idx="0">
                  <c:v>Naval Port Call</c:v>
                </c:pt>
              </c:strCache>
            </c:strRef>
          </c:tx>
          <c:invertIfNegative val="0"/>
          <c:cat>
            <c:strRef>
              <c:f>'Figures 21-38 Bilat Countries'!$B$591:$B$614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Countries'!$D$591:$D$614</c:f>
              <c:numCache>
                <c:formatCode>General</c:formatCode>
                <c:ptCount val="23"/>
                <c:pt idx="0">
                  <c:v>0</c:v>
                </c:pt>
                <c:pt idx="1">
                  <c:v>0</c:v>
                </c:pt>
                <c:pt idx="2">
                  <c:v>0</c:v>
                </c:pt>
                <c:pt idx="3">
                  <c:v>2</c:v>
                </c:pt>
                <c:pt idx="4">
                  <c:v>0</c:v>
                </c:pt>
                <c:pt idx="5">
                  <c:v>0</c:v>
                </c:pt>
                <c:pt idx="6">
                  <c:v>0</c:v>
                </c:pt>
                <c:pt idx="7">
                  <c:v>1</c:v>
                </c:pt>
                <c:pt idx="8">
                  <c:v>1</c:v>
                </c:pt>
                <c:pt idx="9">
                  <c:v>1</c:v>
                </c:pt>
                <c:pt idx="10">
                  <c:v>1</c:v>
                </c:pt>
                <c:pt idx="11">
                  <c:v>1</c:v>
                </c:pt>
                <c:pt idx="12">
                  <c:v>1</c:v>
                </c:pt>
                <c:pt idx="13">
                  <c:v>0</c:v>
                </c:pt>
                <c:pt idx="14">
                  <c:v>2</c:v>
                </c:pt>
                <c:pt idx="15">
                  <c:v>1</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A7DA-4C74-A561-D9CF794146BB}"/>
            </c:ext>
          </c:extLst>
        </c:ser>
        <c:ser>
          <c:idx val="2"/>
          <c:order val="2"/>
          <c:tx>
            <c:strRef>
              <c:f>'Figures 21-38 Bilat Countries'!$E$589:$E$590</c:f>
              <c:strCache>
                <c:ptCount val="1"/>
                <c:pt idx="0">
                  <c:v>Senior Level Visit</c:v>
                </c:pt>
              </c:strCache>
            </c:strRef>
          </c:tx>
          <c:invertIfNegative val="0"/>
          <c:cat>
            <c:strRef>
              <c:f>'Figures 21-38 Bilat Countries'!$B$591:$B$614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Countries'!$E$591:$E$614</c:f>
              <c:numCache>
                <c:formatCode>General</c:formatCode>
                <c:ptCount val="23"/>
                <c:pt idx="0">
                  <c:v>4</c:v>
                </c:pt>
                <c:pt idx="1">
                  <c:v>2</c:v>
                </c:pt>
                <c:pt idx="2">
                  <c:v>3</c:v>
                </c:pt>
                <c:pt idx="3">
                  <c:v>3</c:v>
                </c:pt>
                <c:pt idx="4">
                  <c:v>3</c:v>
                </c:pt>
                <c:pt idx="5">
                  <c:v>2</c:v>
                </c:pt>
                <c:pt idx="6">
                  <c:v>3</c:v>
                </c:pt>
                <c:pt idx="7">
                  <c:v>6</c:v>
                </c:pt>
                <c:pt idx="8">
                  <c:v>5</c:v>
                </c:pt>
                <c:pt idx="9">
                  <c:v>2</c:v>
                </c:pt>
                <c:pt idx="10">
                  <c:v>3</c:v>
                </c:pt>
                <c:pt idx="11">
                  <c:v>3</c:v>
                </c:pt>
                <c:pt idx="12">
                  <c:v>3</c:v>
                </c:pt>
                <c:pt idx="13">
                  <c:v>4</c:v>
                </c:pt>
                <c:pt idx="14">
                  <c:v>5</c:v>
                </c:pt>
                <c:pt idx="15">
                  <c:v>5</c:v>
                </c:pt>
                <c:pt idx="16">
                  <c:v>7</c:v>
                </c:pt>
                <c:pt idx="17">
                  <c:v>8</c:v>
                </c:pt>
                <c:pt idx="18">
                  <c:v>2</c:v>
                </c:pt>
                <c:pt idx="19">
                  <c:v>3</c:v>
                </c:pt>
                <c:pt idx="20">
                  <c:v>2</c:v>
                </c:pt>
                <c:pt idx="21">
                  <c:v>4</c:v>
                </c:pt>
                <c:pt idx="22">
                  <c:v>3</c:v>
                </c:pt>
              </c:numCache>
            </c:numRef>
          </c:val>
          <c:extLst>
            <c:ext xmlns:c16="http://schemas.microsoft.com/office/drawing/2014/chart" uri="{C3380CC4-5D6E-409C-BE32-E72D297353CC}">
              <c16:uniqueId val="{00000002-A7DA-4C74-A561-D9CF794146BB}"/>
            </c:ext>
          </c:extLst>
        </c:ser>
        <c:dLbls>
          <c:showLegendKey val="0"/>
          <c:showVal val="0"/>
          <c:showCatName val="0"/>
          <c:showSerName val="0"/>
          <c:showPercent val="0"/>
          <c:showBubbleSize val="0"/>
        </c:dLbls>
        <c:gapWidth val="150"/>
        <c:overlap val="100"/>
        <c:axId val="595894395"/>
        <c:axId val="767849648"/>
      </c:barChart>
      <c:catAx>
        <c:axId val="59589439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67849648"/>
        <c:crosses val="autoZero"/>
        <c:auto val="1"/>
        <c:lblAlgn val="ctr"/>
        <c:lblOffset val="100"/>
        <c:noMultiLvlLbl val="1"/>
      </c:catAx>
      <c:valAx>
        <c:axId val="767849648"/>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9589439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6. PLA International Military Exercises by Function, 2002-2024 (INDOPACOM &amp; Global)</a:t>
            </a:r>
          </a:p>
        </c:rich>
      </c:tx>
      <c:overlay val="0"/>
    </c:title>
    <c:autoTitleDeleted val="0"/>
    <c:plotArea>
      <c:layout/>
      <c:barChart>
        <c:barDir val="col"/>
        <c:grouping val="clustered"/>
        <c:varyColors val="1"/>
        <c:ser>
          <c:idx val="0"/>
          <c:order val="0"/>
          <c:tx>
            <c:v>PACOM</c:v>
          </c:tx>
          <c:spPr>
            <a:solidFill>
              <a:srgbClr val="5B9BD5"/>
            </a:solidFill>
            <a:ln cmpd="sng">
              <a:solidFill>
                <a:srgbClr val="000000"/>
              </a:solidFill>
            </a:ln>
          </c:spPr>
          <c:invertIfNegative val="1"/>
          <c:cat>
            <c:strRef>
              <c:f>'INDOPACOM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'INDOPACOM Figure 6'!$B$72:$I$72</c:f>
              <c:numCache>
                <c:formatCode>General</c:formatCode>
                <c:ptCount val="8"/>
                <c:pt idx="0">
                  <c:v>3</c:v>
                </c:pt>
                <c:pt idx="1">
                  <c:v>0</c:v>
                </c:pt>
                <c:pt idx="2">
                  <c:v>2</c:v>
                </c:pt>
                <c:pt idx="3">
                  <c:v>1</c:v>
                </c:pt>
                <c:pt idx="4">
                  <c:v>0</c:v>
                </c:pt>
                <c:pt idx="5">
                  <c:v>13</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F3-574D-83D8-6257B299E354}"/>
            </c:ext>
          </c:extLst>
        </c:ser>
        <c:ser>
          <c:idx val="1"/>
          <c:order val="1"/>
          <c:tx>
            <c:v>Global</c:v>
          </c:tx>
          <c:spPr>
            <a:solidFill>
              <a:srgbClr val="ED7D31"/>
            </a:solidFill>
            <a:ln cmpd="sng">
              <a:solidFill>
                <a:srgbClr val="000000"/>
              </a:solidFill>
            </a:ln>
          </c:spPr>
          <c:invertIfNegative val="1"/>
          <c:cat>
            <c:strRef>
              <c:f>'INDOPACOM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'INDOPACOM Figure 6'!$B$74:$I$74</c:f>
              <c:numCache>
                <c:formatCode>General</c:formatCode>
                <c:ptCount val="8"/>
                <c:pt idx="0">
                  <c:v>22</c:v>
                </c:pt>
                <c:pt idx="1">
                  <c:v>86</c:v>
                </c:pt>
                <c:pt idx="2">
                  <c:v>60</c:v>
                </c:pt>
                <c:pt idx="3">
                  <c:v>12</c:v>
                </c:pt>
                <c:pt idx="4">
                  <c:v>15</c:v>
                </c:pt>
                <c:pt idx="5">
                  <c:v>155</c:v>
                </c:pt>
                <c:pt idx="6">
                  <c:v>7</c:v>
                </c:pt>
                <c:pt idx="7">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DF3-574D-83D8-6257B299E354}"/>
            </c:ext>
          </c:extLst>
        </c:ser>
        <c:dLbls>
          <c:showLegendKey val="0"/>
          <c:showVal val="0"/>
          <c:showCatName val="0"/>
          <c:showSerName val="0"/>
          <c:showPercent val="0"/>
          <c:showBubbleSize val="0"/>
        </c:dLbls>
        <c:gapWidth val="150"/>
        <c:axId val="1301263935"/>
        <c:axId val="113955036"/>
      </c:barChart>
      <c:catAx>
        <c:axId val="130126393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13955036"/>
        <c:crosses val="autoZero"/>
        <c:auto val="1"/>
        <c:lblAlgn val="ctr"/>
        <c:lblOffset val="100"/>
        <c:noMultiLvlLbl val="1"/>
      </c:catAx>
      <c:valAx>
        <c:axId val="1139550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30126393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39: Brazil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'Figures 21-38 Bilat Countries'!$J$622</c:f>
              <c:strCache>
                <c:ptCount val="1"/>
                <c:pt idx="0">
                  <c:v>Military Exercise</c:v>
                </c:pt>
              </c:strCache>
            </c:strRef>
          </c:tx>
          <c:spPr>
            <a:solidFill>
              <a:schemeClr val="accent1"/>
            </a:solidFill>
            <a:ln>
              <a:noFill/>
            </a:ln>
            <a:effectLst/>
          </c:spPr>
          <c:invertIfNegative val="0"/>
          <c:cat>
            <c:numRef>
              <c:f>'Figures 21-38 Bilat Countries'!$I$623:$I$645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Countries'!$J$623:$J$645</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1</c:v>
                </c:pt>
              </c:numCache>
            </c:numRef>
          </c:val>
          <c:extLst>
            <c:ext xmlns:c16="http://schemas.microsoft.com/office/drawing/2014/chart" uri="{C3380CC4-5D6E-409C-BE32-E72D297353CC}">
              <c16:uniqueId val="{00000001-3559-4D01-995E-697168593AF4}"/>
            </c:ext>
          </c:extLst>
        </c:ser>
        <c:ser>
          <c:idx val="2"/>
          <c:order val="1"/>
          <c:tx>
            <c:strRef>
              <c:f>'Figures 21-38 Bilat Countries'!$K$622</c:f>
              <c:strCache>
                <c:ptCount val="1"/>
                <c:pt idx="0">
                  <c:v>Naval Port Call</c:v>
                </c:pt>
              </c:strCache>
            </c:strRef>
          </c:tx>
          <c:spPr>
            <a:solidFill>
              <a:schemeClr val="accent2"/>
            </a:solidFill>
            <a:ln>
              <a:noFill/>
            </a:ln>
            <a:effectLst/>
          </c:spPr>
          <c:invertIfNegative val="0"/>
          <c:cat>
            <c:numRef>
              <c:f>'Figures 21-38 Bilat Countries'!$I$623:$I$645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Countries'!$K$623:$K$645</c:f>
              <c:numCache>
                <c:formatCode>General</c:formatCode>
                <c:ptCount val="23"/>
                <c:pt idx="0">
                  <c:v>1</c:v>
                </c:pt>
                <c:pt idx="1">
                  <c:v>0</c:v>
                </c:pt>
                <c:pt idx="2">
                  <c:v>0</c:v>
                </c:pt>
                <c:pt idx="3">
                  <c:v>0</c:v>
                </c:pt>
                <c:pt idx="4">
                  <c:v>0</c:v>
                </c:pt>
                <c:pt idx="5">
                  <c:v>0</c:v>
                </c:pt>
                <c:pt idx="6">
                  <c:v>0</c:v>
                </c:pt>
                <c:pt idx="7">
                  <c:v>0</c:v>
                </c:pt>
                <c:pt idx="8">
                  <c:v>0</c:v>
                </c:pt>
                <c:pt idx="9">
                  <c:v>0</c:v>
                </c:pt>
                <c:pt idx="10">
                  <c:v>0</c:v>
                </c:pt>
                <c:pt idx="11">
                  <c:v>1</c:v>
                </c:pt>
                <c:pt idx="12">
                  <c:v>0</c:v>
                </c:pt>
                <c:pt idx="13">
                  <c:v>1</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3559-4D01-995E-697168593AF4}"/>
            </c:ext>
          </c:extLst>
        </c:ser>
        <c:ser>
          <c:idx val="3"/>
          <c:order val="2"/>
          <c:tx>
            <c:strRef>
              <c:f>'Figures 21-38 Bilat Countries'!$L$622</c:f>
              <c:strCache>
                <c:ptCount val="1"/>
                <c:pt idx="0">
                  <c:v>Senior Level Visit</c:v>
                </c:pt>
              </c:strCache>
            </c:strRef>
          </c:tx>
          <c:spPr>
            <a:solidFill>
              <a:schemeClr val="accent3"/>
            </a:solidFill>
            <a:ln>
              <a:noFill/>
            </a:ln>
            <a:effectLst/>
          </c:spPr>
          <c:invertIfNegative val="0"/>
          <c:cat>
            <c:numRef>
              <c:f>'Figures 21-38 Bilat Countries'!$I$623:$I$645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Countries'!$L$623:$L$645</c:f>
              <c:numCache>
                <c:formatCode>General</c:formatCode>
                <c:ptCount val="23"/>
                <c:pt idx="0">
                  <c:v>1</c:v>
                </c:pt>
                <c:pt idx="1">
                  <c:v>2</c:v>
                </c:pt>
                <c:pt idx="2">
                  <c:v>2</c:v>
                </c:pt>
                <c:pt idx="3">
                  <c:v>2</c:v>
                </c:pt>
                <c:pt idx="4">
                  <c:v>1</c:v>
                </c:pt>
                <c:pt idx="5">
                  <c:v>2</c:v>
                </c:pt>
                <c:pt idx="6">
                  <c:v>2</c:v>
                </c:pt>
                <c:pt idx="7">
                  <c:v>3</c:v>
                </c:pt>
                <c:pt idx="8">
                  <c:v>3</c:v>
                </c:pt>
                <c:pt idx="9">
                  <c:v>1</c:v>
                </c:pt>
                <c:pt idx="10">
                  <c:v>0</c:v>
                </c:pt>
                <c:pt idx="11">
                  <c:v>1</c:v>
                </c:pt>
                <c:pt idx="12">
                  <c:v>2</c:v>
                </c:pt>
                <c:pt idx="13">
                  <c:v>2</c:v>
                </c:pt>
                <c:pt idx="14">
                  <c:v>1</c:v>
                </c:pt>
                <c:pt idx="15">
                  <c:v>0</c:v>
                </c:pt>
                <c:pt idx="16">
                  <c:v>0</c:v>
                </c:pt>
                <c:pt idx="17">
                  <c:v>1</c:v>
                </c:pt>
                <c:pt idx="18">
                  <c:v>0</c:v>
                </c:pt>
                <c:pt idx="19">
                  <c:v>0</c:v>
                </c:pt>
                <c:pt idx="20">
                  <c:v>0</c:v>
                </c:pt>
                <c:pt idx="21">
                  <c:v>1</c:v>
                </c:pt>
                <c:pt idx="22">
                  <c:v>1</c:v>
                </c:pt>
              </c:numCache>
            </c:numRef>
          </c:val>
          <c:extLst>
            <c:ext xmlns:c16="http://schemas.microsoft.com/office/drawing/2014/chart" uri="{C3380CC4-5D6E-409C-BE32-E72D297353CC}">
              <c16:uniqueId val="{00000003-3559-4D01-995E-697168593AF4}"/>
            </c:ext>
          </c:extLst>
        </c:ser>
        <c:dLbls>
          <c:showLegendKey val="0"/>
          <c:showVal val="0"/>
          <c:showCatName val="0"/>
          <c:showSerName val="0"/>
          <c:showPercent val="0"/>
          <c:showBubbleSize val="0"/>
        </c:dLbls>
        <c:gapWidth val="150"/>
        <c:overlap val="100"/>
        <c:axId val="846629552"/>
        <c:axId val="846623312"/>
      </c:barChart>
      <c:catAx>
        <c:axId val="84662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623312"/>
        <c:crosses val="autoZero"/>
        <c:auto val="1"/>
        <c:lblAlgn val="ctr"/>
        <c:lblOffset val="100"/>
        <c:noMultiLvlLbl val="0"/>
      </c:catAx>
      <c:valAx>
        <c:axId val="846623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62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40: Tanzania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'Figures 21-38 Bilat Countries'!$J$652</c:f>
              <c:strCache>
                <c:ptCount val="1"/>
                <c:pt idx="0">
                  <c:v>Military Exercise</c:v>
                </c:pt>
              </c:strCache>
            </c:strRef>
          </c:tx>
          <c:spPr>
            <a:solidFill>
              <a:schemeClr val="accent1"/>
            </a:solidFill>
            <a:ln>
              <a:noFill/>
            </a:ln>
            <a:effectLst/>
          </c:spPr>
          <c:invertIfNegative val="0"/>
          <c:cat>
            <c:numRef>
              <c:f>'Figures 21-38 Bilat Countries'!$I$653:$I$675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Countries'!$J$653:$J$675</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1</c:v>
                </c:pt>
                <c:pt idx="16">
                  <c:v>0</c:v>
                </c:pt>
                <c:pt idx="17">
                  <c:v>1</c:v>
                </c:pt>
                <c:pt idx="18">
                  <c:v>0</c:v>
                </c:pt>
                <c:pt idx="19">
                  <c:v>0</c:v>
                </c:pt>
                <c:pt idx="20">
                  <c:v>0</c:v>
                </c:pt>
                <c:pt idx="21">
                  <c:v>0</c:v>
                </c:pt>
                <c:pt idx="22">
                  <c:v>1</c:v>
                </c:pt>
              </c:numCache>
            </c:numRef>
          </c:val>
          <c:extLst>
            <c:ext xmlns:c16="http://schemas.microsoft.com/office/drawing/2014/chart" uri="{C3380CC4-5D6E-409C-BE32-E72D297353CC}">
              <c16:uniqueId val="{00000001-FC4F-4288-8457-B3249C76D8D4}"/>
            </c:ext>
          </c:extLst>
        </c:ser>
        <c:ser>
          <c:idx val="2"/>
          <c:order val="1"/>
          <c:tx>
            <c:strRef>
              <c:f>'Figures 21-38 Bilat Countries'!$K$652</c:f>
              <c:strCache>
                <c:ptCount val="1"/>
                <c:pt idx="0">
                  <c:v>Naval Port Call</c:v>
                </c:pt>
              </c:strCache>
            </c:strRef>
          </c:tx>
          <c:spPr>
            <a:solidFill>
              <a:schemeClr val="accent2"/>
            </a:solidFill>
            <a:ln>
              <a:noFill/>
            </a:ln>
            <a:effectLst/>
          </c:spPr>
          <c:invertIfNegative val="0"/>
          <c:cat>
            <c:numRef>
              <c:f>'Figures 21-38 Bilat Countries'!$I$653:$I$675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Countries'!$K$653:$K$675</c:f>
              <c:numCache>
                <c:formatCode>General</c:formatCode>
                <c:ptCount val="23"/>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2</c:v>
                </c:pt>
                <c:pt idx="16">
                  <c:v>0</c:v>
                </c:pt>
                <c:pt idx="17">
                  <c:v>0</c:v>
                </c:pt>
                <c:pt idx="18">
                  <c:v>0</c:v>
                </c:pt>
                <c:pt idx="19">
                  <c:v>0</c:v>
                </c:pt>
                <c:pt idx="20">
                  <c:v>0</c:v>
                </c:pt>
                <c:pt idx="21">
                  <c:v>0</c:v>
                </c:pt>
                <c:pt idx="22">
                  <c:v>2</c:v>
                </c:pt>
              </c:numCache>
            </c:numRef>
          </c:val>
          <c:extLst>
            <c:ext xmlns:c16="http://schemas.microsoft.com/office/drawing/2014/chart" uri="{C3380CC4-5D6E-409C-BE32-E72D297353CC}">
              <c16:uniqueId val="{00000002-FC4F-4288-8457-B3249C76D8D4}"/>
            </c:ext>
          </c:extLst>
        </c:ser>
        <c:ser>
          <c:idx val="3"/>
          <c:order val="2"/>
          <c:tx>
            <c:strRef>
              <c:f>'Figures 21-38 Bilat Countries'!$L$652</c:f>
              <c:strCache>
                <c:ptCount val="1"/>
                <c:pt idx="0">
                  <c:v>Senior Level Visit</c:v>
                </c:pt>
              </c:strCache>
            </c:strRef>
          </c:tx>
          <c:spPr>
            <a:solidFill>
              <a:schemeClr val="accent3"/>
            </a:solidFill>
            <a:ln>
              <a:noFill/>
            </a:ln>
            <a:effectLst/>
          </c:spPr>
          <c:invertIfNegative val="0"/>
          <c:cat>
            <c:numRef>
              <c:f>'Figures 21-38 Bilat Countries'!$I$653:$I$675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Countries'!$L$653:$L$675</c:f>
              <c:numCache>
                <c:formatCode>General</c:formatCode>
                <c:ptCount val="23"/>
                <c:pt idx="0">
                  <c:v>1</c:v>
                </c:pt>
                <c:pt idx="1">
                  <c:v>3</c:v>
                </c:pt>
                <c:pt idx="2">
                  <c:v>2</c:v>
                </c:pt>
                <c:pt idx="3">
                  <c:v>3</c:v>
                </c:pt>
                <c:pt idx="4">
                  <c:v>2</c:v>
                </c:pt>
                <c:pt idx="5">
                  <c:v>1</c:v>
                </c:pt>
                <c:pt idx="6">
                  <c:v>3</c:v>
                </c:pt>
                <c:pt idx="7">
                  <c:v>2</c:v>
                </c:pt>
                <c:pt idx="8">
                  <c:v>1</c:v>
                </c:pt>
                <c:pt idx="9">
                  <c:v>2</c:v>
                </c:pt>
                <c:pt idx="10">
                  <c:v>0</c:v>
                </c:pt>
                <c:pt idx="11">
                  <c:v>1</c:v>
                </c:pt>
                <c:pt idx="12">
                  <c:v>1</c:v>
                </c:pt>
                <c:pt idx="13">
                  <c:v>0</c:v>
                </c:pt>
                <c:pt idx="14">
                  <c:v>1</c:v>
                </c:pt>
                <c:pt idx="15">
                  <c:v>1</c:v>
                </c:pt>
                <c:pt idx="16">
                  <c:v>1</c:v>
                </c:pt>
                <c:pt idx="17">
                  <c:v>0</c:v>
                </c:pt>
                <c:pt idx="18">
                  <c:v>0</c:v>
                </c:pt>
                <c:pt idx="19">
                  <c:v>0</c:v>
                </c:pt>
                <c:pt idx="20">
                  <c:v>1</c:v>
                </c:pt>
                <c:pt idx="21">
                  <c:v>0</c:v>
                </c:pt>
                <c:pt idx="22">
                  <c:v>1</c:v>
                </c:pt>
              </c:numCache>
            </c:numRef>
          </c:val>
          <c:extLst>
            <c:ext xmlns:c16="http://schemas.microsoft.com/office/drawing/2014/chart" uri="{C3380CC4-5D6E-409C-BE32-E72D297353CC}">
              <c16:uniqueId val="{00000003-FC4F-4288-8457-B3249C76D8D4}"/>
            </c:ext>
          </c:extLst>
        </c:ser>
        <c:dLbls>
          <c:showLegendKey val="0"/>
          <c:showVal val="0"/>
          <c:showCatName val="0"/>
          <c:showSerName val="0"/>
          <c:showPercent val="0"/>
          <c:showBubbleSize val="0"/>
        </c:dLbls>
        <c:gapWidth val="150"/>
        <c:overlap val="100"/>
        <c:axId val="392338496"/>
        <c:axId val="1116198784"/>
      </c:barChart>
      <c:catAx>
        <c:axId val="39233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198784"/>
        <c:crosses val="autoZero"/>
        <c:auto val="1"/>
        <c:lblAlgn val="ctr"/>
        <c:lblOffset val="100"/>
        <c:noMultiLvlLbl val="0"/>
      </c:catAx>
      <c:valAx>
        <c:axId val="1116198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338496"/>
        <c:crosses val="autoZero"/>
        <c:crossBetween val="between"/>
      </c:valAx>
      <c:spPr>
        <a:noFill/>
        <a:ln>
          <a:noFill/>
        </a:ln>
        <a:effectLst/>
      </c:spPr>
    </c:plotArea>
    <c:legend>
      <c:legendPos val="b"/>
      <c:overlay val="0"/>
      <c:spPr>
        <a:solidFill>
          <a:schemeClr val="bg2"/>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a:t>
            </a:r>
            <a:r>
              <a:rPr lang="en-US" baseline="0"/>
              <a:t> 41: Saudi Arabia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'Figures 21-38 Bilat Countries'!$J$682</c:f>
              <c:strCache>
                <c:ptCount val="1"/>
                <c:pt idx="0">
                  <c:v>Military Exercise</c:v>
                </c:pt>
              </c:strCache>
            </c:strRef>
          </c:tx>
          <c:spPr>
            <a:solidFill>
              <a:schemeClr val="accent1"/>
            </a:solidFill>
            <a:ln>
              <a:noFill/>
            </a:ln>
            <a:effectLst/>
          </c:spPr>
          <c:invertIfNegative val="0"/>
          <c:cat>
            <c:numRef>
              <c:f>'Figures 21-38 Bilat Countries'!$I$683:$I$705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Countries'!$J$683:$J$705</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1</c:v>
                </c:pt>
                <c:pt idx="18">
                  <c:v>0</c:v>
                </c:pt>
                <c:pt idx="19">
                  <c:v>0</c:v>
                </c:pt>
                <c:pt idx="20">
                  <c:v>0</c:v>
                </c:pt>
                <c:pt idx="21">
                  <c:v>1</c:v>
                </c:pt>
                <c:pt idx="22">
                  <c:v>0</c:v>
                </c:pt>
              </c:numCache>
            </c:numRef>
          </c:val>
          <c:extLst>
            <c:ext xmlns:c16="http://schemas.microsoft.com/office/drawing/2014/chart" uri="{C3380CC4-5D6E-409C-BE32-E72D297353CC}">
              <c16:uniqueId val="{00000001-AC67-4C3A-AD29-91A7DBCACD74}"/>
            </c:ext>
          </c:extLst>
        </c:ser>
        <c:ser>
          <c:idx val="2"/>
          <c:order val="1"/>
          <c:tx>
            <c:strRef>
              <c:f>'Figures 21-38 Bilat Countries'!$K$682</c:f>
              <c:strCache>
                <c:ptCount val="1"/>
                <c:pt idx="0">
                  <c:v>Naval Port Call</c:v>
                </c:pt>
              </c:strCache>
            </c:strRef>
          </c:tx>
          <c:spPr>
            <a:solidFill>
              <a:schemeClr val="accent2"/>
            </a:solidFill>
            <a:ln>
              <a:noFill/>
            </a:ln>
            <a:effectLst/>
          </c:spPr>
          <c:invertIfNegative val="0"/>
          <c:cat>
            <c:numRef>
              <c:f>'Figures 21-38 Bilat Countries'!$I$683:$I$705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Countries'!$K$683:$K$705</c:f>
              <c:numCache>
                <c:formatCode>General</c:formatCode>
                <c:ptCount val="23"/>
                <c:pt idx="0">
                  <c:v>0</c:v>
                </c:pt>
                <c:pt idx="1">
                  <c:v>0</c:v>
                </c:pt>
                <c:pt idx="2">
                  <c:v>0</c:v>
                </c:pt>
                <c:pt idx="3">
                  <c:v>0</c:v>
                </c:pt>
                <c:pt idx="4">
                  <c:v>0</c:v>
                </c:pt>
                <c:pt idx="5">
                  <c:v>0</c:v>
                </c:pt>
                <c:pt idx="6">
                  <c:v>0</c:v>
                </c:pt>
                <c:pt idx="7">
                  <c:v>0</c:v>
                </c:pt>
                <c:pt idx="8">
                  <c:v>1</c:v>
                </c:pt>
                <c:pt idx="9">
                  <c:v>1</c:v>
                </c:pt>
                <c:pt idx="10">
                  <c:v>1</c:v>
                </c:pt>
                <c:pt idx="11">
                  <c:v>4</c:v>
                </c:pt>
                <c:pt idx="12">
                  <c:v>0</c:v>
                </c:pt>
                <c:pt idx="13">
                  <c:v>0</c:v>
                </c:pt>
                <c:pt idx="14">
                  <c:v>0</c:v>
                </c:pt>
                <c:pt idx="15">
                  <c:v>1</c:v>
                </c:pt>
                <c:pt idx="16">
                  <c:v>0</c:v>
                </c:pt>
                <c:pt idx="17">
                  <c:v>1</c:v>
                </c:pt>
                <c:pt idx="18">
                  <c:v>0</c:v>
                </c:pt>
                <c:pt idx="19">
                  <c:v>0</c:v>
                </c:pt>
                <c:pt idx="20">
                  <c:v>0</c:v>
                </c:pt>
                <c:pt idx="21">
                  <c:v>0</c:v>
                </c:pt>
                <c:pt idx="22">
                  <c:v>0</c:v>
                </c:pt>
              </c:numCache>
            </c:numRef>
          </c:val>
          <c:extLst>
            <c:ext xmlns:c16="http://schemas.microsoft.com/office/drawing/2014/chart" uri="{C3380CC4-5D6E-409C-BE32-E72D297353CC}">
              <c16:uniqueId val="{00000002-AC67-4C3A-AD29-91A7DBCACD74}"/>
            </c:ext>
          </c:extLst>
        </c:ser>
        <c:ser>
          <c:idx val="3"/>
          <c:order val="2"/>
          <c:tx>
            <c:strRef>
              <c:f>'Figures 21-38 Bilat Countries'!$L$682</c:f>
              <c:strCache>
                <c:ptCount val="1"/>
                <c:pt idx="0">
                  <c:v>Senior Level Visit</c:v>
                </c:pt>
              </c:strCache>
            </c:strRef>
          </c:tx>
          <c:spPr>
            <a:solidFill>
              <a:schemeClr val="accent3"/>
            </a:solidFill>
            <a:ln>
              <a:noFill/>
            </a:ln>
            <a:effectLst/>
          </c:spPr>
          <c:invertIfNegative val="0"/>
          <c:cat>
            <c:numRef>
              <c:f>'Figures 21-38 Bilat Countries'!$I$683:$I$705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Countries'!$L$683:$L$705</c:f>
              <c:numCache>
                <c:formatCode>General</c:formatCode>
                <c:ptCount val="23"/>
                <c:pt idx="0">
                  <c:v>0</c:v>
                </c:pt>
                <c:pt idx="1">
                  <c:v>0</c:v>
                </c:pt>
                <c:pt idx="2">
                  <c:v>0</c:v>
                </c:pt>
                <c:pt idx="3">
                  <c:v>0</c:v>
                </c:pt>
                <c:pt idx="4">
                  <c:v>0</c:v>
                </c:pt>
                <c:pt idx="5">
                  <c:v>0</c:v>
                </c:pt>
                <c:pt idx="6">
                  <c:v>1</c:v>
                </c:pt>
                <c:pt idx="7">
                  <c:v>1</c:v>
                </c:pt>
                <c:pt idx="8">
                  <c:v>0</c:v>
                </c:pt>
                <c:pt idx="9">
                  <c:v>0</c:v>
                </c:pt>
                <c:pt idx="10">
                  <c:v>0</c:v>
                </c:pt>
                <c:pt idx="11">
                  <c:v>1</c:v>
                </c:pt>
                <c:pt idx="12">
                  <c:v>1</c:v>
                </c:pt>
                <c:pt idx="13">
                  <c:v>1</c:v>
                </c:pt>
                <c:pt idx="14">
                  <c:v>1</c:v>
                </c:pt>
                <c:pt idx="15">
                  <c:v>1</c:v>
                </c:pt>
                <c:pt idx="16">
                  <c:v>0</c:v>
                </c:pt>
                <c:pt idx="17">
                  <c:v>1</c:v>
                </c:pt>
                <c:pt idx="18">
                  <c:v>0</c:v>
                </c:pt>
                <c:pt idx="19">
                  <c:v>0</c:v>
                </c:pt>
                <c:pt idx="20">
                  <c:v>1</c:v>
                </c:pt>
                <c:pt idx="21">
                  <c:v>1</c:v>
                </c:pt>
                <c:pt idx="22">
                  <c:v>1</c:v>
                </c:pt>
              </c:numCache>
            </c:numRef>
          </c:val>
          <c:extLst>
            <c:ext xmlns:c16="http://schemas.microsoft.com/office/drawing/2014/chart" uri="{C3380CC4-5D6E-409C-BE32-E72D297353CC}">
              <c16:uniqueId val="{00000003-AC67-4C3A-AD29-91A7DBCACD74}"/>
            </c:ext>
          </c:extLst>
        </c:ser>
        <c:dLbls>
          <c:showLegendKey val="0"/>
          <c:showVal val="0"/>
          <c:showCatName val="0"/>
          <c:showSerName val="0"/>
          <c:showPercent val="0"/>
          <c:showBubbleSize val="0"/>
        </c:dLbls>
        <c:gapWidth val="150"/>
        <c:overlap val="100"/>
        <c:axId val="84068687"/>
        <c:axId val="84072527"/>
      </c:barChart>
      <c:catAx>
        <c:axId val="84068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072527"/>
        <c:crosses val="autoZero"/>
        <c:auto val="1"/>
        <c:lblAlgn val="ctr"/>
        <c:lblOffset val="100"/>
        <c:noMultiLvlLbl val="0"/>
      </c:catAx>
      <c:valAx>
        <c:axId val="840725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068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42: Iran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'Figures 21-38 Bilat Countries'!$J$716</c:f>
              <c:strCache>
                <c:ptCount val="1"/>
                <c:pt idx="0">
                  <c:v>Military Exercise</c:v>
                </c:pt>
              </c:strCache>
            </c:strRef>
          </c:tx>
          <c:spPr>
            <a:solidFill>
              <a:schemeClr val="accent1"/>
            </a:solidFill>
            <a:ln>
              <a:noFill/>
            </a:ln>
            <a:effectLst/>
          </c:spPr>
          <c:invertIfNegative val="0"/>
          <c:cat>
            <c:numRef>
              <c:f>'Figures 21-38 Bilat Countries'!$I$717:$I$739</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Countries'!$J$717:$J$739</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2</c:v>
                </c:pt>
                <c:pt idx="18">
                  <c:v>0</c:v>
                </c:pt>
                <c:pt idx="19">
                  <c:v>0</c:v>
                </c:pt>
                <c:pt idx="20">
                  <c:v>1</c:v>
                </c:pt>
                <c:pt idx="21">
                  <c:v>1</c:v>
                </c:pt>
                <c:pt idx="22">
                  <c:v>1</c:v>
                </c:pt>
              </c:numCache>
            </c:numRef>
          </c:val>
          <c:extLst>
            <c:ext xmlns:c16="http://schemas.microsoft.com/office/drawing/2014/chart" uri="{C3380CC4-5D6E-409C-BE32-E72D297353CC}">
              <c16:uniqueId val="{00000001-9622-4D82-82B6-072E936269F4}"/>
            </c:ext>
          </c:extLst>
        </c:ser>
        <c:ser>
          <c:idx val="2"/>
          <c:order val="1"/>
          <c:tx>
            <c:strRef>
              <c:f>'Figures 21-38 Bilat Countries'!$K$716</c:f>
              <c:strCache>
                <c:ptCount val="1"/>
                <c:pt idx="0">
                  <c:v>Naval Port Call</c:v>
                </c:pt>
              </c:strCache>
            </c:strRef>
          </c:tx>
          <c:spPr>
            <a:solidFill>
              <a:schemeClr val="accent2"/>
            </a:solidFill>
            <a:ln>
              <a:noFill/>
            </a:ln>
            <a:effectLst/>
          </c:spPr>
          <c:invertIfNegative val="0"/>
          <c:cat>
            <c:numRef>
              <c:f>'Figures 21-38 Bilat Countries'!$I$717:$I$739</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Countries'!$K$717:$K$739</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1</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2-9622-4D82-82B6-072E936269F4}"/>
            </c:ext>
          </c:extLst>
        </c:ser>
        <c:ser>
          <c:idx val="3"/>
          <c:order val="2"/>
          <c:tx>
            <c:strRef>
              <c:f>'Figures 21-38 Bilat Countries'!$L$716</c:f>
              <c:strCache>
                <c:ptCount val="1"/>
                <c:pt idx="0">
                  <c:v>Senior Level Visit</c:v>
                </c:pt>
              </c:strCache>
            </c:strRef>
          </c:tx>
          <c:spPr>
            <a:solidFill>
              <a:schemeClr val="accent3"/>
            </a:solidFill>
            <a:ln>
              <a:noFill/>
            </a:ln>
            <a:effectLst/>
          </c:spPr>
          <c:invertIfNegative val="0"/>
          <c:cat>
            <c:numRef>
              <c:f>'Figures 21-38 Bilat Countries'!$I$717:$I$739</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'Figures 21-38 Bilat Countries'!$L$717:$L$739</c:f>
              <c:numCache>
                <c:formatCode>General</c:formatCode>
                <c:ptCount val="23"/>
                <c:pt idx="0">
                  <c:v>0</c:v>
                </c:pt>
                <c:pt idx="1">
                  <c:v>1</c:v>
                </c:pt>
                <c:pt idx="2">
                  <c:v>0</c:v>
                </c:pt>
                <c:pt idx="3">
                  <c:v>1</c:v>
                </c:pt>
                <c:pt idx="4">
                  <c:v>0</c:v>
                </c:pt>
                <c:pt idx="5">
                  <c:v>0</c:v>
                </c:pt>
                <c:pt idx="6">
                  <c:v>0</c:v>
                </c:pt>
                <c:pt idx="7">
                  <c:v>0</c:v>
                </c:pt>
                <c:pt idx="8">
                  <c:v>0</c:v>
                </c:pt>
                <c:pt idx="9">
                  <c:v>0</c:v>
                </c:pt>
                <c:pt idx="10">
                  <c:v>0</c:v>
                </c:pt>
                <c:pt idx="11">
                  <c:v>0</c:v>
                </c:pt>
                <c:pt idx="12">
                  <c:v>2</c:v>
                </c:pt>
                <c:pt idx="13">
                  <c:v>3</c:v>
                </c:pt>
                <c:pt idx="14">
                  <c:v>2</c:v>
                </c:pt>
                <c:pt idx="15">
                  <c:v>1</c:v>
                </c:pt>
                <c:pt idx="16">
                  <c:v>1</c:v>
                </c:pt>
                <c:pt idx="17">
                  <c:v>2</c:v>
                </c:pt>
                <c:pt idx="18">
                  <c:v>0</c:v>
                </c:pt>
                <c:pt idx="19">
                  <c:v>0</c:v>
                </c:pt>
                <c:pt idx="20">
                  <c:v>1</c:v>
                </c:pt>
                <c:pt idx="21">
                  <c:v>2</c:v>
                </c:pt>
                <c:pt idx="22">
                  <c:v>1</c:v>
                </c:pt>
              </c:numCache>
            </c:numRef>
          </c:val>
          <c:extLst>
            <c:ext xmlns:c16="http://schemas.microsoft.com/office/drawing/2014/chart" uri="{C3380CC4-5D6E-409C-BE32-E72D297353CC}">
              <c16:uniqueId val="{00000003-9622-4D82-82B6-072E936269F4}"/>
            </c:ext>
          </c:extLst>
        </c:ser>
        <c:dLbls>
          <c:showLegendKey val="0"/>
          <c:showVal val="0"/>
          <c:showCatName val="0"/>
          <c:showSerName val="0"/>
          <c:showPercent val="0"/>
          <c:showBubbleSize val="0"/>
        </c:dLbls>
        <c:gapWidth val="150"/>
        <c:overlap val="100"/>
        <c:axId val="849711456"/>
        <c:axId val="849715296"/>
      </c:barChart>
      <c:catAx>
        <c:axId val="84971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715296"/>
        <c:crosses val="autoZero"/>
        <c:auto val="1"/>
        <c:lblAlgn val="ctr"/>
        <c:lblOffset val="100"/>
        <c:noMultiLvlLbl val="0"/>
      </c:catAx>
      <c:valAx>
        <c:axId val="849715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711456"/>
        <c:crosses val="autoZero"/>
        <c:crossBetween val="between"/>
      </c:valAx>
      <c:spPr>
        <a:noFill/>
        <a:ln>
          <a:noFill/>
        </a:ln>
        <a:effectLst/>
      </c:spPr>
    </c:plotArea>
    <c:legend>
      <c:legendPos val="b"/>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[China Military Diplomacy DB 2002-2024 v500 04-21-2025 RELEASE.xlsx]Figures 21-38 Bilat Countries!PivotTable4</c:name>
    <c:fmtId val="4"/>
  </c:pivotSource>
  <c:chart>
    <c:title>
      <c:tx>
        <c:rich>
          <a:bodyPr/>
          <a:lstStyle/>
          <a:p>
            <a:pPr lvl="0">
              <a:defRPr sz="1400" b="0" i="0">
                <a:solidFill>
                  <a:srgbClr val="757575"/>
                </a:solidFill>
                <a:latin typeface="+mn-lt"/>
              </a:defRPr>
            </a:pPr>
            <a:r>
              <a:rPr lang="en-US"/>
              <a:t>Figure 32a: North Korea </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21-38 Bilat Countries'!$C$394:$C$395</c:f>
              <c:strCache>
                <c:ptCount val="1"/>
                <c:pt idx="0">
                  <c:v>Military Exercise</c:v>
                </c:pt>
              </c:strCache>
            </c:strRef>
          </c:tx>
          <c:invertIfNegative val="0"/>
          <c:cat>
            <c:strRef>
              <c:f>'Figures 21-38 Bilat Countries'!$B$396:$B$419</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Countries'!$C$396:$C$419</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9359-46AB-B74B-AF2B8A3DBB5F}"/>
            </c:ext>
          </c:extLst>
        </c:ser>
        <c:ser>
          <c:idx val="1"/>
          <c:order val="1"/>
          <c:tx>
            <c:strRef>
              <c:f>'Figures 21-38 Bilat Countries'!$D$394:$D$395</c:f>
              <c:strCache>
                <c:ptCount val="1"/>
                <c:pt idx="0">
                  <c:v>Naval Port Call</c:v>
                </c:pt>
              </c:strCache>
            </c:strRef>
          </c:tx>
          <c:invertIfNegative val="0"/>
          <c:cat>
            <c:strRef>
              <c:f>'Figures 21-38 Bilat Countries'!$B$396:$B$419</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Countries'!$D$396:$D$419</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9359-46AB-B74B-AF2B8A3DBB5F}"/>
            </c:ext>
          </c:extLst>
        </c:ser>
        <c:ser>
          <c:idx val="2"/>
          <c:order val="2"/>
          <c:tx>
            <c:strRef>
              <c:f>'Figures 21-38 Bilat Countries'!$E$394:$E$395</c:f>
              <c:strCache>
                <c:ptCount val="1"/>
                <c:pt idx="0">
                  <c:v>Senior Level Visit</c:v>
                </c:pt>
              </c:strCache>
            </c:strRef>
          </c:tx>
          <c:invertIfNegative val="0"/>
          <c:cat>
            <c:strRef>
              <c:f>'Figures 21-38 Bilat Countries'!$B$396:$B$419</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'Figures 21-38 Bilat Countries'!$E$396:$E$419</c:f>
              <c:numCache>
                <c:formatCode>General</c:formatCode>
                <c:ptCount val="23"/>
                <c:pt idx="0">
                  <c:v>1</c:v>
                </c:pt>
                <c:pt idx="1">
                  <c:v>3</c:v>
                </c:pt>
                <c:pt idx="2">
                  <c:v>2</c:v>
                </c:pt>
                <c:pt idx="3">
                  <c:v>1</c:v>
                </c:pt>
                <c:pt idx="4">
                  <c:v>2</c:v>
                </c:pt>
                <c:pt idx="5">
                  <c:v>1</c:v>
                </c:pt>
                <c:pt idx="6">
                  <c:v>1</c:v>
                </c:pt>
                <c:pt idx="7">
                  <c:v>2</c:v>
                </c:pt>
                <c:pt idx="8">
                  <c:v>2</c:v>
                </c:pt>
                <c:pt idx="9">
                  <c:v>4</c:v>
                </c:pt>
                <c:pt idx="10">
                  <c:v>0</c:v>
                </c:pt>
                <c:pt idx="11">
                  <c:v>1</c:v>
                </c:pt>
                <c:pt idx="12">
                  <c:v>0</c:v>
                </c:pt>
                <c:pt idx="13">
                  <c:v>0</c:v>
                </c:pt>
                <c:pt idx="14">
                  <c:v>0</c:v>
                </c:pt>
                <c:pt idx="15">
                  <c:v>0</c:v>
                </c:pt>
                <c:pt idx="16">
                  <c:v>1</c:v>
                </c:pt>
                <c:pt idx="17">
                  <c:v>4</c:v>
                </c:pt>
                <c:pt idx="18">
                  <c:v>0</c:v>
                </c:pt>
                <c:pt idx="19">
                  <c:v>0</c:v>
                </c:pt>
                <c:pt idx="20">
                  <c:v>0</c:v>
                </c:pt>
                <c:pt idx="21">
                  <c:v>0</c:v>
                </c:pt>
                <c:pt idx="22">
                  <c:v>0</c:v>
                </c:pt>
              </c:numCache>
            </c:numRef>
          </c:val>
          <c:extLst>
            <c:ext xmlns:c16="http://schemas.microsoft.com/office/drawing/2014/chart" uri="{C3380CC4-5D6E-409C-BE32-E72D297353CC}">
              <c16:uniqueId val="{00000002-9359-46AB-B74B-AF2B8A3DBB5F}"/>
            </c:ext>
          </c:extLst>
        </c:ser>
        <c:dLbls>
          <c:showLegendKey val="0"/>
          <c:showVal val="0"/>
          <c:showCatName val="0"/>
          <c:showSerName val="0"/>
          <c:showPercent val="0"/>
          <c:showBubbleSize val="0"/>
        </c:dLbls>
        <c:gapWidth val="150"/>
        <c:overlap val="100"/>
        <c:axId val="871096038"/>
        <c:axId val="1012930302"/>
      </c:barChart>
      <c:catAx>
        <c:axId val="871096038"/>
        <c:scaling>
          <c:orientation val="minMax"/>
        </c:scaling>
        <c:delete val="0"/>
        <c:axPos val="b"/>
        <c:title>
          <c:tx>
            <c:rich>
              <a:bodyPr/>
              <a:lstStyle/>
              <a:p>
                <a:pPr lvl="0">
                  <a:defRPr b="0">
                    <a:solidFill>
                      <a:srgbClr val="000000"/>
                    </a:solidFill>
                    <a:latin typeface="+mn-lt"/>
                  </a:defRPr>
                </a:pPr>
                <a:r>
                  <a:rPr lang="en-US"/>
                  <a:t>Title</a:t>
                </a: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012930302"/>
        <c:crosses val="autoZero"/>
        <c:auto val="1"/>
        <c:lblAlgn val="ctr"/>
        <c:lblOffset val="100"/>
        <c:noMultiLvlLbl val="1"/>
      </c:catAx>
      <c:valAx>
        <c:axId val="1012930302"/>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r>
                  <a:rPr lang="en-US"/>
                  <a:t>Title</a:t>
                </a: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87109603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 39 ASEAN!Fig 39 ASEAN</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39: China and ASEAN Military Diplomacy</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 39 ASEAN'!$B$5:$B$6</c:f>
              <c:strCache>
                <c:ptCount val="1"/>
                <c:pt idx="0">
                  <c:v>Military Exercise</c:v>
                </c:pt>
              </c:strCache>
            </c:strRef>
          </c:tx>
          <c:invertIfNegative val="0"/>
          <c:cat>
            <c:strRef>
              <c:f>'Fig 39 ASEAN'!$A$7:$A$22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'Fig 39 ASEAN'!$B$7:$B$22</c:f>
              <c:numCache>
                <c:formatCode>General</c:formatCode>
                <c:ptCount val="15"/>
                <c:pt idx="0">
                  <c:v>0</c:v>
                </c:pt>
                <c:pt idx="1">
                  <c:v>0</c:v>
                </c:pt>
                <c:pt idx="2">
                  <c:v>0</c:v>
                </c:pt>
                <c:pt idx="3">
                  <c:v>1</c:v>
                </c:pt>
                <c:pt idx="4">
                  <c:v>1</c:v>
                </c:pt>
                <c:pt idx="5">
                  <c:v>1</c:v>
                </c:pt>
                <c:pt idx="6">
                  <c:v>4</c:v>
                </c:pt>
                <c:pt idx="7">
                  <c:v>0</c:v>
                </c:pt>
                <c:pt idx="8">
                  <c:v>1</c:v>
                </c:pt>
                <c:pt idx="9">
                  <c:v>3</c:v>
                </c:pt>
                <c:pt idx="10">
                  <c:v>0</c:v>
                </c:pt>
                <c:pt idx="11">
                  <c:v>0</c:v>
                </c:pt>
                <c:pt idx="12">
                  <c:v>0</c:v>
                </c:pt>
                <c:pt idx="13">
                  <c:v>1</c:v>
                </c:pt>
                <c:pt idx="14">
                  <c:v>0</c:v>
                </c:pt>
              </c:numCache>
            </c:numRef>
          </c:val>
          <c:extLst>
            <c:ext xmlns:c16="http://schemas.microsoft.com/office/drawing/2014/chart" uri="{C3380CC4-5D6E-409C-BE32-E72D297353CC}">
              <c16:uniqueId val="{00000000-DD59-4439-BE0B-4FE89EB723F0}"/>
            </c:ext>
          </c:extLst>
        </c:ser>
        <c:ser>
          <c:idx val="1"/>
          <c:order val="1"/>
          <c:tx>
            <c:strRef>
              <c:f>'Fig 39 ASEAN'!$C$5:$C$6</c:f>
              <c:strCache>
                <c:ptCount val="1"/>
                <c:pt idx="0">
                  <c:v>Senior Level Visit</c:v>
                </c:pt>
              </c:strCache>
            </c:strRef>
          </c:tx>
          <c:invertIfNegative val="0"/>
          <c:cat>
            <c:strRef>
              <c:f>'Fig 39 ASEAN'!$A$7:$A$22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'Fig 39 ASEAN'!$C$7:$C$22</c:f>
              <c:numCache>
                <c:formatCode>General</c:formatCode>
                <c:ptCount val="15"/>
                <c:pt idx="0">
                  <c:v>1</c:v>
                </c:pt>
                <c:pt idx="1">
                  <c:v>1</c:v>
                </c:pt>
                <c:pt idx="2">
                  <c:v>1</c:v>
                </c:pt>
                <c:pt idx="3">
                  <c:v>2</c:v>
                </c:pt>
                <c:pt idx="4">
                  <c:v>1</c:v>
                </c:pt>
                <c:pt idx="5">
                  <c:v>2</c:v>
                </c:pt>
                <c:pt idx="6">
                  <c:v>1</c:v>
                </c:pt>
                <c:pt idx="7">
                  <c:v>2</c:v>
                </c:pt>
                <c:pt idx="8">
                  <c:v>2</c:v>
                </c:pt>
                <c:pt idx="9">
                  <c:v>2</c:v>
                </c:pt>
                <c:pt idx="10">
                  <c:v>1</c:v>
                </c:pt>
                <c:pt idx="11">
                  <c:v>2</c:v>
                </c:pt>
                <c:pt idx="12">
                  <c:v>2</c:v>
                </c:pt>
                <c:pt idx="13">
                  <c:v>0</c:v>
                </c:pt>
                <c:pt idx="14">
                  <c:v>2</c:v>
                </c:pt>
              </c:numCache>
            </c:numRef>
          </c:val>
          <c:extLst>
            <c:ext xmlns:c16="http://schemas.microsoft.com/office/drawing/2014/chart" uri="{C3380CC4-5D6E-409C-BE32-E72D297353CC}">
              <c16:uniqueId val="{00000001-DD59-4439-BE0B-4FE89EB723F0}"/>
            </c:ext>
          </c:extLst>
        </c:ser>
        <c:dLbls>
          <c:showLegendKey val="0"/>
          <c:showVal val="0"/>
          <c:showCatName val="0"/>
          <c:showSerName val="0"/>
          <c:showPercent val="0"/>
          <c:showBubbleSize val="0"/>
        </c:dLbls>
        <c:gapWidth val="150"/>
        <c:overlap val="100"/>
        <c:axId val="1347752971"/>
        <c:axId val="1542339068"/>
      </c:barChart>
      <c:catAx>
        <c:axId val="134775297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42339068"/>
        <c:crosses val="autoZero"/>
        <c:auto val="1"/>
        <c:lblAlgn val="ctr"/>
        <c:lblOffset val="100"/>
        <c:noMultiLvlLbl val="1"/>
      </c:catAx>
      <c:valAx>
        <c:axId val="1542339068"/>
        <c:scaling>
          <c:orientation val="minMax"/>
          <c:max val="1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34775297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2002-2024 v500 04-21-2025 RELEASE.xlsx]Fig 39a SCO!Fig 39a SCO</c:name>
    <c:fmtId val="0"/>
  </c:pivotSource>
  <c:chart>
    <c:title>
      <c:tx>
        <c:rich>
          <a:bodyPr/>
          <a:lstStyle/>
          <a:p>
            <a:pPr lvl="0">
              <a:defRPr sz="1400" b="0" i="0">
                <a:solidFill>
                  <a:srgbClr val="757575"/>
                </a:solidFill>
                <a:latin typeface="+mn-lt"/>
              </a:defRPr>
            </a:pPr>
            <a:r>
              <a:rPr lang="en-US" sz="1400" b="0" i="0">
                <a:solidFill>
                  <a:srgbClr val="757575"/>
                </a:solidFill>
                <a:latin typeface="+mn-lt"/>
              </a:rPr>
              <a:t>PLA Activities with SCO, 2002-2024</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 39a SCO'!$B$5:$B$6</c:f>
              <c:strCache>
                <c:ptCount val="1"/>
                <c:pt idx="0">
                  <c:v>Military Exercise</c:v>
                </c:pt>
              </c:strCache>
            </c:strRef>
          </c:tx>
          <c:invertIfNegative val="0"/>
          <c:cat>
            <c:strRef>
              <c:f>'Fig 39a SCO'!$A$7:$A$29</c:f>
              <c:strCache>
                <c:ptCount val="22"/>
                <c:pt idx="0">
                  <c:v>2002</c:v>
                </c:pt>
                <c:pt idx="1">
                  <c:v>2003</c:v>
                </c:pt>
                <c:pt idx="2">
                  <c:v>2004</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 39a SCO'!$B$7:$B$29</c:f>
              <c:numCache>
                <c:formatCode>General</c:formatCode>
                <c:ptCount val="22"/>
                <c:pt idx="0">
                  <c:v>0</c:v>
                </c:pt>
                <c:pt idx="1">
                  <c:v>1</c:v>
                </c:pt>
                <c:pt idx="2">
                  <c:v>0</c:v>
                </c:pt>
                <c:pt idx="3">
                  <c:v>1</c:v>
                </c:pt>
                <c:pt idx="4">
                  <c:v>2</c:v>
                </c:pt>
                <c:pt idx="5">
                  <c:v>0</c:v>
                </c:pt>
                <c:pt idx="6">
                  <c:v>0</c:v>
                </c:pt>
                <c:pt idx="7">
                  <c:v>1</c:v>
                </c:pt>
                <c:pt idx="8">
                  <c:v>1</c:v>
                </c:pt>
                <c:pt idx="9">
                  <c:v>1</c:v>
                </c:pt>
                <c:pt idx="10">
                  <c:v>0</c:v>
                </c:pt>
                <c:pt idx="11">
                  <c:v>1</c:v>
                </c:pt>
                <c:pt idx="12">
                  <c:v>2</c:v>
                </c:pt>
                <c:pt idx="13">
                  <c:v>2</c:v>
                </c:pt>
                <c:pt idx="14">
                  <c:v>0</c:v>
                </c:pt>
                <c:pt idx="15">
                  <c:v>1</c:v>
                </c:pt>
                <c:pt idx="16">
                  <c:v>0</c:v>
                </c:pt>
                <c:pt idx="17">
                  <c:v>0</c:v>
                </c:pt>
                <c:pt idx="18">
                  <c:v>1</c:v>
                </c:pt>
                <c:pt idx="19">
                  <c:v>0</c:v>
                </c:pt>
                <c:pt idx="20">
                  <c:v>0</c:v>
                </c:pt>
                <c:pt idx="21">
                  <c:v>0</c:v>
                </c:pt>
              </c:numCache>
            </c:numRef>
          </c:val>
          <c:extLst>
            <c:ext xmlns:c16="http://schemas.microsoft.com/office/drawing/2014/chart" uri="{C3380CC4-5D6E-409C-BE32-E72D297353CC}">
              <c16:uniqueId val="{00000000-F913-455A-9A4B-AF9CDDC28022}"/>
            </c:ext>
          </c:extLst>
        </c:ser>
        <c:ser>
          <c:idx val="1"/>
          <c:order val="1"/>
          <c:tx>
            <c:strRef>
              <c:f>'Fig 39a SCO'!$C$5:$C$6</c:f>
              <c:strCache>
                <c:ptCount val="1"/>
                <c:pt idx="0">
                  <c:v>Senior Level Visit</c:v>
                </c:pt>
              </c:strCache>
            </c:strRef>
          </c:tx>
          <c:invertIfNegative val="0"/>
          <c:cat>
            <c:strRef>
              <c:f>'Fig 39a SCO'!$A$7:$A$29</c:f>
              <c:strCache>
                <c:ptCount val="22"/>
                <c:pt idx="0">
                  <c:v>2002</c:v>
                </c:pt>
                <c:pt idx="1">
                  <c:v>2003</c:v>
                </c:pt>
                <c:pt idx="2">
                  <c:v>2004</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'Fig 39a SCO'!$C$7:$C$29</c:f>
              <c:numCache>
                <c:formatCode>General</c:formatCode>
                <c:ptCount val="22"/>
                <c:pt idx="0">
                  <c:v>1</c:v>
                </c:pt>
                <c:pt idx="1">
                  <c:v>1</c:v>
                </c:pt>
                <c:pt idx="2">
                  <c:v>1</c:v>
                </c:pt>
                <c:pt idx="3">
                  <c:v>1</c:v>
                </c:pt>
                <c:pt idx="4">
                  <c:v>1</c:v>
                </c:pt>
                <c:pt idx="5">
                  <c:v>1</c:v>
                </c:pt>
                <c:pt idx="6">
                  <c:v>1</c:v>
                </c:pt>
                <c:pt idx="7">
                  <c:v>0</c:v>
                </c:pt>
                <c:pt idx="8">
                  <c:v>2</c:v>
                </c:pt>
                <c:pt idx="9">
                  <c:v>2</c:v>
                </c:pt>
                <c:pt idx="10">
                  <c:v>1</c:v>
                </c:pt>
                <c:pt idx="11">
                  <c:v>2</c:v>
                </c:pt>
                <c:pt idx="12">
                  <c:v>1</c:v>
                </c:pt>
                <c:pt idx="13">
                  <c:v>2</c:v>
                </c:pt>
                <c:pt idx="14">
                  <c:v>1</c:v>
                </c:pt>
                <c:pt idx="15">
                  <c:v>2</c:v>
                </c:pt>
                <c:pt idx="16">
                  <c:v>1</c:v>
                </c:pt>
                <c:pt idx="17">
                  <c:v>1</c:v>
                </c:pt>
                <c:pt idx="18">
                  <c:v>2</c:v>
                </c:pt>
                <c:pt idx="19">
                  <c:v>2</c:v>
                </c:pt>
                <c:pt idx="20">
                  <c:v>1</c:v>
                </c:pt>
                <c:pt idx="21">
                  <c:v>1</c:v>
                </c:pt>
              </c:numCache>
            </c:numRef>
          </c:val>
          <c:extLst>
            <c:ext xmlns:c16="http://schemas.microsoft.com/office/drawing/2014/chart" uri="{C3380CC4-5D6E-409C-BE32-E72D297353CC}">
              <c16:uniqueId val="{00000001-F913-455A-9A4B-AF9CDDC28022}"/>
            </c:ext>
          </c:extLst>
        </c:ser>
        <c:dLbls>
          <c:showLegendKey val="0"/>
          <c:showVal val="0"/>
          <c:showCatName val="0"/>
          <c:showSerName val="0"/>
          <c:showPercent val="0"/>
          <c:showBubbleSize val="0"/>
        </c:dLbls>
        <c:gapWidth val="150"/>
        <c:overlap val="100"/>
        <c:axId val="747350719"/>
        <c:axId val="1171805812"/>
      </c:barChart>
      <c:catAx>
        <c:axId val="74735071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171805812"/>
        <c:crosses val="autoZero"/>
        <c:auto val="1"/>
        <c:lblAlgn val="ctr"/>
        <c:lblOffset val="100"/>
        <c:noMultiLvlLbl val="1"/>
      </c:catAx>
      <c:valAx>
        <c:axId val="1171805812"/>
        <c:scaling>
          <c:orientation val="minMax"/>
          <c:max val="1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74735071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baseline="0">
                <a:solidFill>
                  <a:srgbClr val="757575"/>
                </a:solidFill>
              </a:rPr>
              <a:t>PLA Activities with SCO, 2002-2024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 39a SCO'!$I$6</c:f>
              <c:strCache>
                <c:ptCount val="1"/>
                <c:pt idx="0">
                  <c:v>Military Exercise</c:v>
                </c:pt>
              </c:strCache>
            </c:strRef>
          </c:tx>
          <c:spPr>
            <a:solidFill>
              <a:schemeClr val="accent1"/>
            </a:solidFill>
            <a:ln>
              <a:noFill/>
            </a:ln>
            <a:effectLst/>
          </c:spPr>
          <c:invertIfNegative val="0"/>
          <c:cat>
            <c:numRef>
              <c:f>'Fig 39a SCO'!$H$7:$H$29</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39a SCO'!$I$7:$I$29</c:f>
              <c:numCache>
                <c:formatCode>General</c:formatCode>
                <c:ptCount val="23"/>
                <c:pt idx="0">
                  <c:v>0</c:v>
                </c:pt>
                <c:pt idx="1">
                  <c:v>1</c:v>
                </c:pt>
                <c:pt idx="2">
                  <c:v>0</c:v>
                </c:pt>
                <c:pt idx="3">
                  <c:v>0</c:v>
                </c:pt>
                <c:pt idx="4">
                  <c:v>1</c:v>
                </c:pt>
                <c:pt idx="5">
                  <c:v>2</c:v>
                </c:pt>
                <c:pt idx="6">
                  <c:v>0</c:v>
                </c:pt>
                <c:pt idx="7">
                  <c:v>0</c:v>
                </c:pt>
                <c:pt idx="8">
                  <c:v>1</c:v>
                </c:pt>
                <c:pt idx="9">
                  <c:v>1</c:v>
                </c:pt>
                <c:pt idx="10">
                  <c:v>1</c:v>
                </c:pt>
                <c:pt idx="11">
                  <c:v>0</c:v>
                </c:pt>
                <c:pt idx="12">
                  <c:v>1</c:v>
                </c:pt>
                <c:pt idx="13">
                  <c:v>2</c:v>
                </c:pt>
                <c:pt idx="14">
                  <c:v>2</c:v>
                </c:pt>
                <c:pt idx="15">
                  <c:v>0</c:v>
                </c:pt>
                <c:pt idx="16">
                  <c:v>1</c:v>
                </c:pt>
                <c:pt idx="17">
                  <c:v>0</c:v>
                </c:pt>
                <c:pt idx="18">
                  <c:v>0</c:v>
                </c:pt>
                <c:pt idx="19">
                  <c:v>1</c:v>
                </c:pt>
                <c:pt idx="20">
                  <c:v>0</c:v>
                </c:pt>
                <c:pt idx="21">
                  <c:v>0</c:v>
                </c:pt>
                <c:pt idx="22">
                  <c:v>0</c:v>
                </c:pt>
              </c:numCache>
            </c:numRef>
          </c:val>
          <c:extLst>
            <c:ext xmlns:c16="http://schemas.microsoft.com/office/drawing/2014/chart" uri="{C3380CC4-5D6E-409C-BE32-E72D297353CC}">
              <c16:uniqueId val="{00000000-64BE-46E6-8E90-D6DD218F9ACE}"/>
            </c:ext>
          </c:extLst>
        </c:ser>
        <c:ser>
          <c:idx val="1"/>
          <c:order val="1"/>
          <c:tx>
            <c:strRef>
              <c:f>'Fig 39a SCO'!$J$6</c:f>
              <c:strCache>
                <c:ptCount val="1"/>
                <c:pt idx="0">
                  <c:v>Senior Level Visit</c:v>
                </c:pt>
              </c:strCache>
            </c:strRef>
          </c:tx>
          <c:spPr>
            <a:solidFill>
              <a:schemeClr val="accent2"/>
            </a:solidFill>
            <a:ln>
              <a:noFill/>
            </a:ln>
            <a:effectLst/>
          </c:spPr>
          <c:invertIfNegative val="0"/>
          <c:cat>
            <c:numRef>
              <c:f>'Fig 39a SCO'!$H$7:$H$29</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39a SCO'!$J$7:$J$29</c:f>
              <c:numCache>
                <c:formatCode>General</c:formatCode>
                <c:ptCount val="23"/>
                <c:pt idx="0">
                  <c:v>1</c:v>
                </c:pt>
                <c:pt idx="1">
                  <c:v>1</c:v>
                </c:pt>
                <c:pt idx="2">
                  <c:v>1</c:v>
                </c:pt>
                <c:pt idx="3">
                  <c:v>0</c:v>
                </c:pt>
                <c:pt idx="4">
                  <c:v>1</c:v>
                </c:pt>
                <c:pt idx="5">
                  <c:v>1</c:v>
                </c:pt>
                <c:pt idx="6">
                  <c:v>1</c:v>
                </c:pt>
                <c:pt idx="7">
                  <c:v>1</c:v>
                </c:pt>
                <c:pt idx="8">
                  <c:v>0</c:v>
                </c:pt>
                <c:pt idx="9">
                  <c:v>2</c:v>
                </c:pt>
                <c:pt idx="10">
                  <c:v>2</c:v>
                </c:pt>
                <c:pt idx="11">
                  <c:v>1</c:v>
                </c:pt>
                <c:pt idx="12">
                  <c:v>2</c:v>
                </c:pt>
                <c:pt idx="13">
                  <c:v>1</c:v>
                </c:pt>
                <c:pt idx="14">
                  <c:v>2</c:v>
                </c:pt>
                <c:pt idx="15">
                  <c:v>1</c:v>
                </c:pt>
                <c:pt idx="16">
                  <c:v>2</c:v>
                </c:pt>
                <c:pt idx="17">
                  <c:v>1</c:v>
                </c:pt>
                <c:pt idx="18">
                  <c:v>1</c:v>
                </c:pt>
                <c:pt idx="19">
                  <c:v>2</c:v>
                </c:pt>
                <c:pt idx="20">
                  <c:v>2</c:v>
                </c:pt>
                <c:pt idx="21">
                  <c:v>1</c:v>
                </c:pt>
                <c:pt idx="22">
                  <c:v>1</c:v>
                </c:pt>
              </c:numCache>
            </c:numRef>
          </c:val>
          <c:extLst>
            <c:ext xmlns:c16="http://schemas.microsoft.com/office/drawing/2014/chart" uri="{C3380CC4-5D6E-409C-BE32-E72D297353CC}">
              <c16:uniqueId val="{00000001-64BE-46E6-8E90-D6DD218F9ACE}"/>
            </c:ext>
          </c:extLst>
        </c:ser>
        <c:dLbls>
          <c:showLegendKey val="0"/>
          <c:showVal val="0"/>
          <c:showCatName val="0"/>
          <c:showSerName val="0"/>
          <c:showPercent val="0"/>
          <c:showBubbleSize val="0"/>
        </c:dLbls>
        <c:gapWidth val="150"/>
        <c:overlap val="100"/>
        <c:axId val="1483362879"/>
        <c:axId val="1483363839"/>
      </c:barChart>
      <c:catAx>
        <c:axId val="148336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3363839"/>
        <c:crosses val="autoZero"/>
        <c:auto val="1"/>
        <c:lblAlgn val="ctr"/>
        <c:lblOffset val="100"/>
        <c:noMultiLvlLbl val="0"/>
      </c:catAx>
      <c:valAx>
        <c:axId val="1483363839"/>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33628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40: Count of China's First-Time Military Exercise Counterparts</a:t>
            </a:r>
          </a:p>
        </c:rich>
      </c:tx>
      <c:overlay val="0"/>
    </c:title>
    <c:autoTitleDeleted val="0"/>
    <c:plotArea>
      <c:layout/>
      <c:barChart>
        <c:barDir val="col"/>
        <c:grouping val="clustered"/>
        <c:varyColors val="1"/>
        <c:ser>
          <c:idx val="0"/>
          <c:order val="0"/>
          <c:tx>
            <c:strRef>
              <c:f>'Fig 40-42 Exercises'!$B$12</c:f>
              <c:strCache>
                <c:ptCount val="1"/>
                <c:pt idx="0">
                  <c:v>Count</c:v>
                </c:pt>
              </c:strCache>
            </c:strRef>
          </c:tx>
          <c:spPr>
            <a:solidFill>
              <a:srgbClr val="ED7D31"/>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 40-42 Exercises'!$A$13:$A$35</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Exercises'!$B$13:$B$35</c:f>
              <c:numCache>
                <c:formatCode>General</c:formatCode>
                <c:ptCount val="23"/>
                <c:pt idx="0">
                  <c:v>1</c:v>
                </c:pt>
                <c:pt idx="1">
                  <c:v>3</c:v>
                </c:pt>
                <c:pt idx="2">
                  <c:v>3</c:v>
                </c:pt>
                <c:pt idx="3">
                  <c:v>3</c:v>
                </c:pt>
                <c:pt idx="4">
                  <c:v>2</c:v>
                </c:pt>
                <c:pt idx="5">
                  <c:v>1</c:v>
                </c:pt>
                <c:pt idx="6">
                  <c:v>0</c:v>
                </c:pt>
                <c:pt idx="7">
                  <c:v>4</c:v>
                </c:pt>
                <c:pt idx="8">
                  <c:v>3</c:v>
                </c:pt>
                <c:pt idx="9">
                  <c:v>3</c:v>
                </c:pt>
                <c:pt idx="10">
                  <c:v>3</c:v>
                </c:pt>
                <c:pt idx="11">
                  <c:v>2</c:v>
                </c:pt>
                <c:pt idx="12">
                  <c:v>6</c:v>
                </c:pt>
                <c:pt idx="13">
                  <c:v>4</c:v>
                </c:pt>
                <c:pt idx="14">
                  <c:v>5</c:v>
                </c:pt>
                <c:pt idx="15">
                  <c:v>13</c:v>
                </c:pt>
                <c:pt idx="16">
                  <c:v>6</c:v>
                </c:pt>
                <c:pt idx="17">
                  <c:v>1</c:v>
                </c:pt>
                <c:pt idx="18">
                  <c:v>1</c:v>
                </c:pt>
                <c:pt idx="19">
                  <c:v>0</c:v>
                </c:pt>
                <c:pt idx="20">
                  <c:v>0</c:v>
                </c:pt>
                <c:pt idx="21">
                  <c:v>2</c:v>
                </c:pt>
                <c:pt idx="2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022-AC41-8C1F-5132253633EA}"/>
            </c:ext>
          </c:extLst>
        </c:ser>
        <c:dLbls>
          <c:showLegendKey val="0"/>
          <c:showVal val="0"/>
          <c:showCatName val="0"/>
          <c:showSerName val="0"/>
          <c:showPercent val="0"/>
          <c:showBubbleSize val="0"/>
        </c:dLbls>
        <c:gapWidth val="150"/>
        <c:axId val="852149278"/>
        <c:axId val="942053433"/>
      </c:barChart>
      <c:catAx>
        <c:axId val="85214927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942053433"/>
        <c:crosses val="autoZero"/>
        <c:auto val="1"/>
        <c:lblAlgn val="ctr"/>
        <c:lblOffset val="100"/>
        <c:noMultiLvlLbl val="1"/>
      </c:catAx>
      <c:valAx>
        <c:axId val="94205343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852149278"/>
        <c:crosses val="autoZero"/>
        <c:crossBetween val="between"/>
      </c:valAx>
    </c:plotArea>
    <c:plotVisOnly val="1"/>
    <c:dispBlanksAs val="zero"/>
    <c:showDLblsOverMax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42: PLA Multilateral Military Exercises </a:t>
            </a:r>
          </a:p>
        </c:rich>
      </c:tx>
      <c:overlay val="0"/>
    </c:title>
    <c:autoTitleDeleted val="0"/>
    <c:plotArea>
      <c:layout/>
      <c:areaChart>
        <c:grouping val="stacked"/>
        <c:varyColors val="1"/>
        <c:ser>
          <c:idx val="0"/>
          <c:order val="0"/>
          <c:tx>
            <c:v>Total</c:v>
          </c:tx>
          <c:spPr>
            <a:solidFill>
              <a:srgbClr val="5B9BD5">
                <a:alpha val="30000"/>
              </a:srgbClr>
            </a:solidFill>
            <a:ln cmpd="sng">
              <a:solidFill>
                <a:srgbClr val="5B9BD5"/>
              </a:solidFill>
            </a:ln>
          </c:spPr>
          <c:cat>
            <c:numRef>
              <c:f>'Fig 40-42 Exercises'!$A$92:$A$114</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Exercises'!$B$92:$B$114</c:f>
              <c:numCache>
                <c:formatCode>General</c:formatCode>
                <c:ptCount val="23"/>
                <c:pt idx="0">
                  <c:v>0</c:v>
                </c:pt>
                <c:pt idx="1">
                  <c:v>1</c:v>
                </c:pt>
                <c:pt idx="2">
                  <c:v>0</c:v>
                </c:pt>
                <c:pt idx="3">
                  <c:v>0</c:v>
                </c:pt>
                <c:pt idx="4">
                  <c:v>1</c:v>
                </c:pt>
                <c:pt idx="5">
                  <c:v>5</c:v>
                </c:pt>
                <c:pt idx="6">
                  <c:v>0</c:v>
                </c:pt>
                <c:pt idx="7">
                  <c:v>1</c:v>
                </c:pt>
                <c:pt idx="8">
                  <c:v>1</c:v>
                </c:pt>
                <c:pt idx="9">
                  <c:v>2</c:v>
                </c:pt>
                <c:pt idx="10">
                  <c:v>3</c:v>
                </c:pt>
                <c:pt idx="11">
                  <c:v>2</c:v>
                </c:pt>
                <c:pt idx="12">
                  <c:v>11</c:v>
                </c:pt>
                <c:pt idx="13">
                  <c:v>11</c:v>
                </c:pt>
                <c:pt idx="14">
                  <c:v>17</c:v>
                </c:pt>
                <c:pt idx="15">
                  <c:v>9</c:v>
                </c:pt>
                <c:pt idx="16">
                  <c:v>17</c:v>
                </c:pt>
                <c:pt idx="17">
                  <c:v>16</c:v>
                </c:pt>
                <c:pt idx="18">
                  <c:v>3</c:v>
                </c:pt>
                <c:pt idx="19">
                  <c:v>5</c:v>
                </c:pt>
                <c:pt idx="20">
                  <c:v>3</c:v>
                </c:pt>
                <c:pt idx="21">
                  <c:v>8</c:v>
                </c:pt>
                <c:pt idx="22">
                  <c:v>5</c:v>
                </c:pt>
              </c:numCache>
            </c:numRef>
          </c:val>
          <c:extLst>
            <c:ext xmlns:c16="http://schemas.microsoft.com/office/drawing/2014/chart" uri="{C3380CC4-5D6E-409C-BE32-E72D297353CC}">
              <c16:uniqueId val="{00000000-C6C4-2F45-8B35-9985157C4AE2}"/>
            </c:ext>
          </c:extLst>
        </c:ser>
        <c:dLbls>
          <c:showLegendKey val="0"/>
          <c:showVal val="0"/>
          <c:showCatName val="0"/>
          <c:showSerName val="0"/>
          <c:showPercent val="0"/>
          <c:showBubbleSize val="0"/>
        </c:dLbls>
        <c:axId val="1330909082"/>
        <c:axId val="1648248544"/>
      </c:areaChart>
      <c:catAx>
        <c:axId val="133090908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648248544"/>
        <c:crosses val="autoZero"/>
        <c:auto val="1"/>
        <c:lblAlgn val="ctr"/>
        <c:lblOffset val="100"/>
        <c:noMultiLvlLbl val="1"/>
      </c:catAx>
      <c:valAx>
        <c:axId val="16482485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330909082"/>
        <c:crosses val="autoZero"/>
        <c:crossBetween val="midCat"/>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7: Largest Differentials Between Meetings Hosted in China and Abroad 2002-2022 (INDOPACOM)</a:t>
            </a:r>
          </a:p>
        </c:rich>
      </c:tx>
      <c:overlay val="0"/>
    </c:title>
    <c:autoTitleDeleted val="0"/>
    <c:plotArea>
      <c:layout/>
      <c:barChart>
        <c:barDir val="col"/>
        <c:grouping val="clustered"/>
        <c:varyColors val="1"/>
        <c:ser>
          <c:idx val="2"/>
          <c:order val="0"/>
          <c:tx>
            <c:strRef>
              <c:f>'INDOPACOM Figure 7'!$B$44</c:f>
              <c:strCache>
                <c:ptCount val="1"/>
                <c:pt idx="0">
                  <c:v>Differences</c:v>
                </c:pt>
              </c:strCache>
            </c:strRef>
          </c:tx>
          <c:invertIfNegative val="1"/>
          <c:cat>
            <c:strRef>
              <c:f>'INDOPACOM Figure 7'!$A$45:$A$51</c:f>
              <c:strCache>
                <c:ptCount val="7"/>
                <c:pt idx="0">
                  <c:v>Thailand</c:v>
                </c:pt>
                <c:pt idx="1">
                  <c:v>Vietnam</c:v>
                </c:pt>
                <c:pt idx="2">
                  <c:v>Singapore</c:v>
                </c:pt>
                <c:pt idx="3">
                  <c:v>Australia</c:v>
                </c:pt>
                <c:pt idx="4">
                  <c:v>South Korea</c:v>
                </c:pt>
                <c:pt idx="5">
                  <c:v>New Zealand</c:v>
                </c:pt>
                <c:pt idx="6">
                  <c:v>Indonesia</c:v>
                </c:pt>
              </c:strCache>
            </c:strRef>
          </c:cat>
          <c:val>
            <c:numRef>
              <c:f>'INDOPACOM Figure 7'!$B$45:$B$51</c:f>
              <c:numCache>
                <c:formatCode>General</c:formatCode>
                <c:ptCount val="7"/>
                <c:pt idx="0">
                  <c:v>18</c:v>
                </c:pt>
                <c:pt idx="1">
                  <c:v>11</c:v>
                </c:pt>
                <c:pt idx="2">
                  <c:v>5</c:v>
                </c:pt>
                <c:pt idx="3">
                  <c:v>9</c:v>
                </c:pt>
                <c:pt idx="4">
                  <c:v>7</c:v>
                </c:pt>
                <c:pt idx="5">
                  <c:v>4</c:v>
                </c:pt>
                <c:pt idx="6">
                  <c:v>0</c:v>
                </c:pt>
              </c:numCache>
            </c:numRef>
          </c:val>
          <c:extLst>
            <c:ext xmlns:c16="http://schemas.microsoft.com/office/drawing/2014/chart" uri="{C3380CC4-5D6E-409C-BE32-E72D297353CC}">
              <c16:uniqueId val="{00000000-9281-314C-BE64-4F1CA2CCC235}"/>
            </c:ext>
          </c:extLst>
        </c:ser>
        <c:dLbls>
          <c:showLegendKey val="0"/>
          <c:showVal val="0"/>
          <c:showCatName val="0"/>
          <c:showSerName val="0"/>
          <c:showPercent val="0"/>
          <c:showBubbleSize val="0"/>
        </c:dLbls>
        <c:gapWidth val="150"/>
        <c:axId val="1350447472"/>
        <c:axId val="482188777"/>
      </c:barChart>
      <c:catAx>
        <c:axId val="135044747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482188777"/>
        <c:crosses val="autoZero"/>
        <c:auto val="1"/>
        <c:lblAlgn val="ctr"/>
        <c:lblOffset val="100"/>
        <c:noMultiLvlLbl val="1"/>
      </c:catAx>
      <c:valAx>
        <c:axId val="482188777"/>
        <c:scaling>
          <c:orientation val="minMax"/>
        </c:scaling>
        <c:delete val="0"/>
        <c:axPos val="l"/>
        <c:numFmt formatCode="General" sourceLinked="1"/>
        <c:majorTickMark val="cross"/>
        <c:minorTickMark val="cross"/>
        <c:tickLblPos val="nextTo"/>
        <c:spPr>
          <a:ln>
            <a:noFill/>
          </a:ln>
        </c:spPr>
        <c:crossAx val="1350447472"/>
        <c:crosses val="autoZero"/>
        <c:crossBetween val="between"/>
      </c:valAx>
    </c:plotArea>
    <c:plotVisOnly val="1"/>
    <c:dispBlanksAs val="zero"/>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42: PLA Multilateral Military Exercises </a:t>
            </a:r>
          </a:p>
        </c:rich>
      </c:tx>
      <c:overlay val="0"/>
    </c:title>
    <c:autoTitleDeleted val="0"/>
    <c:plotArea>
      <c:layout/>
      <c:lineChart>
        <c:grouping val="standard"/>
        <c:varyColors val="0"/>
        <c:ser>
          <c:idx val="0"/>
          <c:order val="0"/>
          <c:tx>
            <c:v>Total</c:v>
          </c:tx>
          <c:spPr>
            <a:ln w="28575" cmpd="sng">
              <a:solidFill>
                <a:schemeClr val="accent1"/>
              </a:solidFill>
            </a:ln>
          </c:spPr>
          <c:marker>
            <c:symbol val="none"/>
          </c:marker>
          <c:cat>
            <c:numRef>
              <c:f>'Fig 40-42 Exercises'!$A$92:$A$114</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Exercises'!$B$92:$B$114</c:f>
              <c:numCache>
                <c:formatCode>General</c:formatCode>
                <c:ptCount val="23"/>
                <c:pt idx="0">
                  <c:v>0</c:v>
                </c:pt>
                <c:pt idx="1">
                  <c:v>1</c:v>
                </c:pt>
                <c:pt idx="2">
                  <c:v>0</c:v>
                </c:pt>
                <c:pt idx="3">
                  <c:v>0</c:v>
                </c:pt>
                <c:pt idx="4">
                  <c:v>1</c:v>
                </c:pt>
                <c:pt idx="5">
                  <c:v>5</c:v>
                </c:pt>
                <c:pt idx="6">
                  <c:v>0</c:v>
                </c:pt>
                <c:pt idx="7">
                  <c:v>1</c:v>
                </c:pt>
                <c:pt idx="8">
                  <c:v>1</c:v>
                </c:pt>
                <c:pt idx="9">
                  <c:v>2</c:v>
                </c:pt>
                <c:pt idx="10">
                  <c:v>3</c:v>
                </c:pt>
                <c:pt idx="11">
                  <c:v>2</c:v>
                </c:pt>
                <c:pt idx="12">
                  <c:v>11</c:v>
                </c:pt>
                <c:pt idx="13">
                  <c:v>11</c:v>
                </c:pt>
                <c:pt idx="14">
                  <c:v>17</c:v>
                </c:pt>
                <c:pt idx="15">
                  <c:v>9</c:v>
                </c:pt>
                <c:pt idx="16">
                  <c:v>17</c:v>
                </c:pt>
                <c:pt idx="17">
                  <c:v>16</c:v>
                </c:pt>
                <c:pt idx="18">
                  <c:v>3</c:v>
                </c:pt>
                <c:pt idx="19">
                  <c:v>5</c:v>
                </c:pt>
                <c:pt idx="20">
                  <c:v>3</c:v>
                </c:pt>
                <c:pt idx="21">
                  <c:v>8</c:v>
                </c:pt>
                <c:pt idx="22">
                  <c:v>5</c:v>
                </c:pt>
              </c:numCache>
            </c:numRef>
          </c:val>
          <c:smooth val="0"/>
          <c:extLst>
            <c:ext xmlns:c16="http://schemas.microsoft.com/office/drawing/2014/chart" uri="{C3380CC4-5D6E-409C-BE32-E72D297353CC}">
              <c16:uniqueId val="{00000000-2482-4844-AC5B-CF58654D4660}"/>
            </c:ext>
          </c:extLst>
        </c:ser>
        <c:dLbls>
          <c:showLegendKey val="0"/>
          <c:showVal val="0"/>
          <c:showCatName val="0"/>
          <c:showSerName val="0"/>
          <c:showPercent val="0"/>
          <c:showBubbleSize val="0"/>
        </c:dLbls>
        <c:smooth val="0"/>
        <c:axId val="1120903992"/>
        <c:axId val="1709869680"/>
      </c:lineChart>
      <c:catAx>
        <c:axId val="112090399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709869680"/>
        <c:crosses val="autoZero"/>
        <c:auto val="1"/>
        <c:lblAlgn val="ctr"/>
        <c:lblOffset val="100"/>
        <c:noMultiLvlLbl val="1"/>
      </c:catAx>
      <c:valAx>
        <c:axId val="17098696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20903992"/>
        <c:crosses val="autoZero"/>
        <c:crossBetween val="between"/>
      </c:valAx>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baseline="0">
                <a:solidFill>
                  <a:srgbClr val="757575"/>
                </a:solidFill>
              </a:rPr>
              <a:t>Fig 41: PLA Military Exercises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 40-42 Exercises'!$A$59</c:f>
              <c:strCache>
                <c:ptCount val="1"/>
                <c:pt idx="0">
                  <c:v>Africa</c:v>
                </c:pt>
              </c:strCache>
            </c:strRef>
          </c:tx>
          <c:spPr>
            <a:solidFill>
              <a:schemeClr val="accent1"/>
            </a:solidFill>
            <a:ln>
              <a:noFill/>
            </a:ln>
            <a:effectLst/>
          </c:spPr>
          <c:invertIfNegative val="0"/>
          <c:cat>
            <c:numRef>
              <c:f>'Fig 40-42 Exercises'!$B$58:$X$58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Exercises'!$B$59:$X$59</c:f>
              <c:numCache>
                <c:formatCode>General</c:formatCode>
                <c:ptCount val="23"/>
                <c:pt idx="0">
                  <c:v>0</c:v>
                </c:pt>
                <c:pt idx="1">
                  <c:v>0</c:v>
                </c:pt>
                <c:pt idx="2">
                  <c:v>0</c:v>
                </c:pt>
                <c:pt idx="3">
                  <c:v>0</c:v>
                </c:pt>
                <c:pt idx="4">
                  <c:v>0</c:v>
                </c:pt>
                <c:pt idx="5">
                  <c:v>0</c:v>
                </c:pt>
                <c:pt idx="6">
                  <c:v>0</c:v>
                </c:pt>
                <c:pt idx="7">
                  <c:v>1</c:v>
                </c:pt>
                <c:pt idx="8">
                  <c:v>0</c:v>
                </c:pt>
                <c:pt idx="9">
                  <c:v>0</c:v>
                </c:pt>
                <c:pt idx="10">
                  <c:v>0</c:v>
                </c:pt>
                <c:pt idx="11">
                  <c:v>0</c:v>
                </c:pt>
                <c:pt idx="12">
                  <c:v>4</c:v>
                </c:pt>
                <c:pt idx="13">
                  <c:v>0</c:v>
                </c:pt>
                <c:pt idx="14">
                  <c:v>1</c:v>
                </c:pt>
                <c:pt idx="15">
                  <c:v>1</c:v>
                </c:pt>
                <c:pt idx="16">
                  <c:v>6</c:v>
                </c:pt>
                <c:pt idx="17">
                  <c:v>2</c:v>
                </c:pt>
                <c:pt idx="18">
                  <c:v>0</c:v>
                </c:pt>
                <c:pt idx="19">
                  <c:v>0</c:v>
                </c:pt>
                <c:pt idx="20">
                  <c:v>0</c:v>
                </c:pt>
                <c:pt idx="21">
                  <c:v>2</c:v>
                </c:pt>
                <c:pt idx="22">
                  <c:v>5</c:v>
                </c:pt>
              </c:numCache>
            </c:numRef>
          </c:val>
          <c:extLst>
            <c:ext xmlns:c16="http://schemas.microsoft.com/office/drawing/2014/chart" uri="{C3380CC4-5D6E-409C-BE32-E72D297353CC}">
              <c16:uniqueId val="{00000000-6FE5-48B0-918C-5C01D4D4DFC0}"/>
            </c:ext>
          </c:extLst>
        </c:ser>
        <c:ser>
          <c:idx val="1"/>
          <c:order val="1"/>
          <c:tx>
            <c:strRef>
              <c:f>'Fig 40-42 Exercises'!$A$60</c:f>
              <c:strCache>
                <c:ptCount val="1"/>
                <c:pt idx="0">
                  <c:v>Asia</c:v>
                </c:pt>
              </c:strCache>
            </c:strRef>
          </c:tx>
          <c:spPr>
            <a:solidFill>
              <a:schemeClr val="accent2"/>
            </a:solidFill>
            <a:ln>
              <a:noFill/>
            </a:ln>
            <a:effectLst/>
          </c:spPr>
          <c:invertIfNegative val="0"/>
          <c:cat>
            <c:numRef>
              <c:f>'Fig 40-42 Exercises'!$B$58:$X$58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Exercises'!$B$60:$X$60</c:f>
              <c:numCache>
                <c:formatCode>General</c:formatCode>
                <c:ptCount val="23"/>
                <c:pt idx="0">
                  <c:v>1</c:v>
                </c:pt>
                <c:pt idx="1">
                  <c:v>3</c:v>
                </c:pt>
                <c:pt idx="2">
                  <c:v>1</c:v>
                </c:pt>
                <c:pt idx="3">
                  <c:v>3</c:v>
                </c:pt>
                <c:pt idx="4">
                  <c:v>4</c:v>
                </c:pt>
                <c:pt idx="5">
                  <c:v>6</c:v>
                </c:pt>
                <c:pt idx="6">
                  <c:v>2</c:v>
                </c:pt>
                <c:pt idx="7">
                  <c:v>4</c:v>
                </c:pt>
                <c:pt idx="8">
                  <c:v>7</c:v>
                </c:pt>
                <c:pt idx="9">
                  <c:v>7</c:v>
                </c:pt>
                <c:pt idx="10">
                  <c:v>5</c:v>
                </c:pt>
                <c:pt idx="11">
                  <c:v>7</c:v>
                </c:pt>
                <c:pt idx="12">
                  <c:v>12</c:v>
                </c:pt>
                <c:pt idx="13">
                  <c:v>21</c:v>
                </c:pt>
                <c:pt idx="14">
                  <c:v>22</c:v>
                </c:pt>
                <c:pt idx="15">
                  <c:v>24</c:v>
                </c:pt>
                <c:pt idx="16">
                  <c:v>19</c:v>
                </c:pt>
                <c:pt idx="17">
                  <c:v>26</c:v>
                </c:pt>
                <c:pt idx="18">
                  <c:v>5</c:v>
                </c:pt>
                <c:pt idx="19">
                  <c:v>8</c:v>
                </c:pt>
                <c:pt idx="20">
                  <c:v>3</c:v>
                </c:pt>
                <c:pt idx="21">
                  <c:v>16</c:v>
                </c:pt>
                <c:pt idx="22">
                  <c:v>13</c:v>
                </c:pt>
              </c:numCache>
            </c:numRef>
          </c:val>
          <c:extLst>
            <c:ext xmlns:c16="http://schemas.microsoft.com/office/drawing/2014/chart" uri="{C3380CC4-5D6E-409C-BE32-E72D297353CC}">
              <c16:uniqueId val="{00000001-6FE5-48B0-918C-5C01D4D4DFC0}"/>
            </c:ext>
          </c:extLst>
        </c:ser>
        <c:ser>
          <c:idx val="2"/>
          <c:order val="2"/>
          <c:tx>
            <c:strRef>
              <c:f>'Fig 40-42 Exercises'!$A$61</c:f>
              <c:strCache>
                <c:ptCount val="1"/>
                <c:pt idx="0">
                  <c:v>Europe</c:v>
                </c:pt>
              </c:strCache>
            </c:strRef>
          </c:tx>
          <c:spPr>
            <a:solidFill>
              <a:schemeClr val="accent3"/>
            </a:solidFill>
            <a:ln>
              <a:noFill/>
            </a:ln>
            <a:effectLst/>
          </c:spPr>
          <c:invertIfNegative val="0"/>
          <c:cat>
            <c:numRef>
              <c:f>'Fig 40-42 Exercises'!$B$58:$X$58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Exercises'!$B$61:$X$61</c:f>
              <c:numCache>
                <c:formatCode>General</c:formatCode>
                <c:ptCount val="23"/>
                <c:pt idx="0">
                  <c:v>0</c:v>
                </c:pt>
                <c:pt idx="1">
                  <c:v>0</c:v>
                </c:pt>
                <c:pt idx="2">
                  <c:v>2</c:v>
                </c:pt>
                <c:pt idx="3">
                  <c:v>0</c:v>
                </c:pt>
                <c:pt idx="4">
                  <c:v>0</c:v>
                </c:pt>
                <c:pt idx="5">
                  <c:v>0</c:v>
                </c:pt>
                <c:pt idx="6">
                  <c:v>0</c:v>
                </c:pt>
                <c:pt idx="7">
                  <c:v>1</c:v>
                </c:pt>
                <c:pt idx="8">
                  <c:v>4</c:v>
                </c:pt>
                <c:pt idx="9">
                  <c:v>1</c:v>
                </c:pt>
                <c:pt idx="10">
                  <c:v>2</c:v>
                </c:pt>
                <c:pt idx="11">
                  <c:v>0</c:v>
                </c:pt>
                <c:pt idx="12">
                  <c:v>1</c:v>
                </c:pt>
                <c:pt idx="13">
                  <c:v>11</c:v>
                </c:pt>
                <c:pt idx="14">
                  <c:v>3</c:v>
                </c:pt>
                <c:pt idx="15">
                  <c:v>7</c:v>
                </c:pt>
                <c:pt idx="16">
                  <c:v>5</c:v>
                </c:pt>
                <c:pt idx="17">
                  <c:v>1</c:v>
                </c:pt>
                <c:pt idx="18">
                  <c:v>0</c:v>
                </c:pt>
                <c:pt idx="19">
                  <c:v>1</c:v>
                </c:pt>
                <c:pt idx="20">
                  <c:v>1</c:v>
                </c:pt>
                <c:pt idx="21">
                  <c:v>0</c:v>
                </c:pt>
                <c:pt idx="22">
                  <c:v>1</c:v>
                </c:pt>
              </c:numCache>
            </c:numRef>
          </c:val>
          <c:extLst>
            <c:ext xmlns:c16="http://schemas.microsoft.com/office/drawing/2014/chart" uri="{C3380CC4-5D6E-409C-BE32-E72D297353CC}">
              <c16:uniqueId val="{00000002-6FE5-48B0-918C-5C01D4D4DFC0}"/>
            </c:ext>
          </c:extLst>
        </c:ser>
        <c:ser>
          <c:idx val="3"/>
          <c:order val="3"/>
          <c:tx>
            <c:strRef>
              <c:f>'Fig 40-42 Exercises'!$A$62</c:f>
              <c:strCache>
                <c:ptCount val="1"/>
                <c:pt idx="0">
                  <c:v>Middle East</c:v>
                </c:pt>
              </c:strCache>
            </c:strRef>
          </c:tx>
          <c:spPr>
            <a:solidFill>
              <a:schemeClr val="accent4"/>
            </a:solidFill>
            <a:ln>
              <a:noFill/>
            </a:ln>
            <a:effectLst/>
          </c:spPr>
          <c:invertIfNegative val="0"/>
          <c:cat>
            <c:numRef>
              <c:f>'Fig 40-42 Exercises'!$B$58:$X$58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Exercises'!$B$62:$X$62</c:f>
              <c:numCache>
                <c:formatCode>General</c:formatCode>
                <c:ptCount val="23"/>
                <c:pt idx="0">
                  <c:v>0</c:v>
                </c:pt>
                <c:pt idx="1">
                  <c:v>0</c:v>
                </c:pt>
                <c:pt idx="2">
                  <c:v>0</c:v>
                </c:pt>
                <c:pt idx="3">
                  <c:v>0</c:v>
                </c:pt>
                <c:pt idx="4">
                  <c:v>0</c:v>
                </c:pt>
                <c:pt idx="5">
                  <c:v>0</c:v>
                </c:pt>
                <c:pt idx="6">
                  <c:v>0</c:v>
                </c:pt>
                <c:pt idx="7">
                  <c:v>0</c:v>
                </c:pt>
                <c:pt idx="8">
                  <c:v>0</c:v>
                </c:pt>
                <c:pt idx="9">
                  <c:v>0</c:v>
                </c:pt>
                <c:pt idx="10">
                  <c:v>1</c:v>
                </c:pt>
                <c:pt idx="11">
                  <c:v>0</c:v>
                </c:pt>
                <c:pt idx="12">
                  <c:v>0</c:v>
                </c:pt>
                <c:pt idx="13">
                  <c:v>1</c:v>
                </c:pt>
                <c:pt idx="14">
                  <c:v>1</c:v>
                </c:pt>
                <c:pt idx="15">
                  <c:v>5</c:v>
                </c:pt>
                <c:pt idx="16">
                  <c:v>1</c:v>
                </c:pt>
                <c:pt idx="17">
                  <c:v>4</c:v>
                </c:pt>
                <c:pt idx="18">
                  <c:v>0</c:v>
                </c:pt>
                <c:pt idx="19">
                  <c:v>0</c:v>
                </c:pt>
                <c:pt idx="20">
                  <c:v>1</c:v>
                </c:pt>
                <c:pt idx="21">
                  <c:v>3</c:v>
                </c:pt>
                <c:pt idx="22">
                  <c:v>2</c:v>
                </c:pt>
              </c:numCache>
            </c:numRef>
          </c:val>
          <c:extLst>
            <c:ext xmlns:c16="http://schemas.microsoft.com/office/drawing/2014/chart" uri="{C3380CC4-5D6E-409C-BE32-E72D297353CC}">
              <c16:uniqueId val="{00000003-6FE5-48B0-918C-5C01D4D4DFC0}"/>
            </c:ext>
          </c:extLst>
        </c:ser>
        <c:ser>
          <c:idx val="4"/>
          <c:order val="4"/>
          <c:tx>
            <c:strRef>
              <c:f>'Fig 40-42 Exercises'!$A$63</c:f>
              <c:strCache>
                <c:ptCount val="1"/>
                <c:pt idx="0">
                  <c:v>North America</c:v>
                </c:pt>
              </c:strCache>
            </c:strRef>
          </c:tx>
          <c:spPr>
            <a:solidFill>
              <a:schemeClr val="accent5"/>
            </a:solidFill>
            <a:ln>
              <a:noFill/>
            </a:ln>
            <a:effectLst/>
          </c:spPr>
          <c:invertIfNegative val="0"/>
          <c:cat>
            <c:numRef>
              <c:f>'Fig 40-42 Exercises'!$B$58:$X$58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Exercises'!$B$63:$X$63</c:f>
              <c:numCache>
                <c:formatCode>General</c:formatCode>
                <c:ptCount val="23"/>
                <c:pt idx="0">
                  <c:v>0</c:v>
                </c:pt>
                <c:pt idx="1">
                  <c:v>0</c:v>
                </c:pt>
                <c:pt idx="2">
                  <c:v>0</c:v>
                </c:pt>
                <c:pt idx="3">
                  <c:v>1</c:v>
                </c:pt>
                <c:pt idx="4">
                  <c:v>1</c:v>
                </c:pt>
                <c:pt idx="5">
                  <c:v>0</c:v>
                </c:pt>
                <c:pt idx="6">
                  <c:v>0</c:v>
                </c:pt>
                <c:pt idx="7">
                  <c:v>0</c:v>
                </c:pt>
                <c:pt idx="8">
                  <c:v>0</c:v>
                </c:pt>
                <c:pt idx="9">
                  <c:v>0</c:v>
                </c:pt>
                <c:pt idx="10">
                  <c:v>1</c:v>
                </c:pt>
                <c:pt idx="11">
                  <c:v>2</c:v>
                </c:pt>
                <c:pt idx="12">
                  <c:v>2</c:v>
                </c:pt>
                <c:pt idx="13">
                  <c:v>4</c:v>
                </c:pt>
                <c:pt idx="14">
                  <c:v>2</c:v>
                </c:pt>
                <c:pt idx="15">
                  <c:v>3</c:v>
                </c:pt>
                <c:pt idx="16">
                  <c:v>1</c:v>
                </c:pt>
                <c:pt idx="17">
                  <c:v>1</c:v>
                </c:pt>
                <c:pt idx="18">
                  <c:v>1</c:v>
                </c:pt>
                <c:pt idx="19">
                  <c:v>0</c:v>
                </c:pt>
                <c:pt idx="20">
                  <c:v>0</c:v>
                </c:pt>
                <c:pt idx="21">
                  <c:v>0</c:v>
                </c:pt>
                <c:pt idx="22">
                  <c:v>0</c:v>
                </c:pt>
              </c:numCache>
            </c:numRef>
          </c:val>
          <c:extLst>
            <c:ext xmlns:c16="http://schemas.microsoft.com/office/drawing/2014/chart" uri="{C3380CC4-5D6E-409C-BE32-E72D297353CC}">
              <c16:uniqueId val="{00000004-6FE5-48B0-918C-5C01D4D4DFC0}"/>
            </c:ext>
          </c:extLst>
        </c:ser>
        <c:ser>
          <c:idx val="5"/>
          <c:order val="5"/>
          <c:tx>
            <c:strRef>
              <c:f>'Fig 40-42 Exercises'!$A$64</c:f>
              <c:strCache>
                <c:ptCount val="1"/>
                <c:pt idx="0">
                  <c:v>Oceania</c:v>
                </c:pt>
              </c:strCache>
            </c:strRef>
          </c:tx>
          <c:spPr>
            <a:solidFill>
              <a:schemeClr val="accent6"/>
            </a:solidFill>
            <a:ln>
              <a:noFill/>
            </a:ln>
            <a:effectLst/>
          </c:spPr>
          <c:invertIfNegative val="0"/>
          <c:cat>
            <c:numRef>
              <c:f>'Fig 40-42 Exercises'!$B$58:$X$58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Exercises'!$B$64:$X$64</c:f>
              <c:numCache>
                <c:formatCode>General</c:formatCode>
                <c:ptCount val="23"/>
                <c:pt idx="0">
                  <c:v>0</c:v>
                </c:pt>
                <c:pt idx="1">
                  <c:v>0</c:v>
                </c:pt>
                <c:pt idx="2">
                  <c:v>1</c:v>
                </c:pt>
                <c:pt idx="3">
                  <c:v>0</c:v>
                </c:pt>
                <c:pt idx="4">
                  <c:v>0</c:v>
                </c:pt>
                <c:pt idx="5">
                  <c:v>1</c:v>
                </c:pt>
                <c:pt idx="6">
                  <c:v>0</c:v>
                </c:pt>
                <c:pt idx="7">
                  <c:v>0</c:v>
                </c:pt>
                <c:pt idx="8">
                  <c:v>1</c:v>
                </c:pt>
                <c:pt idx="9">
                  <c:v>1</c:v>
                </c:pt>
                <c:pt idx="10">
                  <c:v>1</c:v>
                </c:pt>
                <c:pt idx="11">
                  <c:v>1</c:v>
                </c:pt>
                <c:pt idx="12">
                  <c:v>2</c:v>
                </c:pt>
                <c:pt idx="13">
                  <c:v>4</c:v>
                </c:pt>
                <c:pt idx="14">
                  <c:v>4</c:v>
                </c:pt>
                <c:pt idx="15">
                  <c:v>5</c:v>
                </c:pt>
                <c:pt idx="16">
                  <c:v>4</c:v>
                </c:pt>
                <c:pt idx="17">
                  <c:v>2</c:v>
                </c:pt>
                <c:pt idx="18">
                  <c:v>0</c:v>
                </c:pt>
                <c:pt idx="19">
                  <c:v>0</c:v>
                </c:pt>
                <c:pt idx="20">
                  <c:v>0</c:v>
                </c:pt>
                <c:pt idx="21">
                  <c:v>0</c:v>
                </c:pt>
                <c:pt idx="22">
                  <c:v>0</c:v>
                </c:pt>
              </c:numCache>
            </c:numRef>
          </c:val>
          <c:extLst>
            <c:ext xmlns:c16="http://schemas.microsoft.com/office/drawing/2014/chart" uri="{C3380CC4-5D6E-409C-BE32-E72D297353CC}">
              <c16:uniqueId val="{00000005-6FE5-48B0-918C-5C01D4D4DFC0}"/>
            </c:ext>
          </c:extLst>
        </c:ser>
        <c:ser>
          <c:idx val="6"/>
          <c:order val="6"/>
          <c:tx>
            <c:strRef>
              <c:f>'Fig 40-42 Exercises'!$A$65</c:f>
              <c:strCache>
                <c:ptCount val="1"/>
                <c:pt idx="0">
                  <c:v>Russia</c:v>
                </c:pt>
              </c:strCache>
            </c:strRef>
          </c:tx>
          <c:spPr>
            <a:solidFill>
              <a:schemeClr val="accent1">
                <a:lumMod val="60000"/>
              </a:schemeClr>
            </a:solidFill>
            <a:ln>
              <a:noFill/>
            </a:ln>
            <a:effectLst/>
          </c:spPr>
          <c:invertIfNegative val="0"/>
          <c:cat>
            <c:numRef>
              <c:f>'Fig 40-42 Exercises'!$B$58:$X$58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Exercises'!$B$65:$X$65</c:f>
              <c:numCache>
                <c:formatCode>General</c:formatCode>
                <c:ptCount val="23"/>
                <c:pt idx="0">
                  <c:v>0</c:v>
                </c:pt>
                <c:pt idx="1">
                  <c:v>0</c:v>
                </c:pt>
                <c:pt idx="2">
                  <c:v>0</c:v>
                </c:pt>
                <c:pt idx="3">
                  <c:v>1</c:v>
                </c:pt>
                <c:pt idx="4">
                  <c:v>0</c:v>
                </c:pt>
                <c:pt idx="5">
                  <c:v>1</c:v>
                </c:pt>
                <c:pt idx="6">
                  <c:v>0</c:v>
                </c:pt>
                <c:pt idx="7">
                  <c:v>3</c:v>
                </c:pt>
                <c:pt idx="8">
                  <c:v>0</c:v>
                </c:pt>
                <c:pt idx="9">
                  <c:v>0</c:v>
                </c:pt>
                <c:pt idx="10">
                  <c:v>1</c:v>
                </c:pt>
                <c:pt idx="11">
                  <c:v>5</c:v>
                </c:pt>
                <c:pt idx="12">
                  <c:v>5</c:v>
                </c:pt>
                <c:pt idx="13">
                  <c:v>3</c:v>
                </c:pt>
                <c:pt idx="14">
                  <c:v>4</c:v>
                </c:pt>
                <c:pt idx="15">
                  <c:v>5</c:v>
                </c:pt>
                <c:pt idx="16">
                  <c:v>2</c:v>
                </c:pt>
                <c:pt idx="17">
                  <c:v>6</c:v>
                </c:pt>
                <c:pt idx="18">
                  <c:v>3</c:v>
                </c:pt>
                <c:pt idx="19">
                  <c:v>5</c:v>
                </c:pt>
                <c:pt idx="20">
                  <c:v>5</c:v>
                </c:pt>
                <c:pt idx="21">
                  <c:v>3</c:v>
                </c:pt>
                <c:pt idx="22">
                  <c:v>7</c:v>
                </c:pt>
              </c:numCache>
            </c:numRef>
          </c:val>
          <c:extLst>
            <c:ext xmlns:c16="http://schemas.microsoft.com/office/drawing/2014/chart" uri="{C3380CC4-5D6E-409C-BE32-E72D297353CC}">
              <c16:uniqueId val="{00000006-6FE5-48B0-918C-5C01D4D4DFC0}"/>
            </c:ext>
          </c:extLst>
        </c:ser>
        <c:ser>
          <c:idx val="7"/>
          <c:order val="7"/>
          <c:tx>
            <c:strRef>
              <c:f>'Fig 40-42 Exercises'!$A$66</c:f>
              <c:strCache>
                <c:ptCount val="1"/>
                <c:pt idx="0">
                  <c:v>South America</c:v>
                </c:pt>
              </c:strCache>
            </c:strRef>
          </c:tx>
          <c:spPr>
            <a:solidFill>
              <a:schemeClr val="accent2">
                <a:lumMod val="60000"/>
              </a:schemeClr>
            </a:solidFill>
            <a:ln>
              <a:noFill/>
            </a:ln>
            <a:effectLst/>
          </c:spPr>
          <c:invertIfNegative val="0"/>
          <c:cat>
            <c:numRef>
              <c:f>'Fig 40-42 Exercises'!$B$58:$X$58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40-42 Exercises'!$B$66:$X$66</c:f>
              <c:numCache>
                <c:formatCode>General</c:formatCode>
                <c:ptCount val="23"/>
                <c:pt idx="0">
                  <c:v>0</c:v>
                </c:pt>
                <c:pt idx="1">
                  <c:v>0</c:v>
                </c:pt>
                <c:pt idx="2">
                  <c:v>0</c:v>
                </c:pt>
                <c:pt idx="3">
                  <c:v>0</c:v>
                </c:pt>
                <c:pt idx="4">
                  <c:v>0</c:v>
                </c:pt>
                <c:pt idx="5">
                  <c:v>0</c:v>
                </c:pt>
                <c:pt idx="6">
                  <c:v>0</c:v>
                </c:pt>
                <c:pt idx="7">
                  <c:v>0</c:v>
                </c:pt>
                <c:pt idx="8">
                  <c:v>1</c:v>
                </c:pt>
                <c:pt idx="9">
                  <c:v>1</c:v>
                </c:pt>
                <c:pt idx="10">
                  <c:v>1</c:v>
                </c:pt>
                <c:pt idx="11">
                  <c:v>0</c:v>
                </c:pt>
                <c:pt idx="12">
                  <c:v>0</c:v>
                </c:pt>
                <c:pt idx="13">
                  <c:v>0</c:v>
                </c:pt>
                <c:pt idx="14">
                  <c:v>1</c:v>
                </c:pt>
                <c:pt idx="15">
                  <c:v>0</c:v>
                </c:pt>
                <c:pt idx="16">
                  <c:v>1</c:v>
                </c:pt>
                <c:pt idx="17">
                  <c:v>0</c:v>
                </c:pt>
                <c:pt idx="18">
                  <c:v>0</c:v>
                </c:pt>
                <c:pt idx="19">
                  <c:v>0</c:v>
                </c:pt>
                <c:pt idx="20">
                  <c:v>0</c:v>
                </c:pt>
                <c:pt idx="21">
                  <c:v>0</c:v>
                </c:pt>
                <c:pt idx="22">
                  <c:v>1</c:v>
                </c:pt>
              </c:numCache>
            </c:numRef>
          </c:val>
          <c:extLst>
            <c:ext xmlns:c16="http://schemas.microsoft.com/office/drawing/2014/chart" uri="{C3380CC4-5D6E-409C-BE32-E72D297353CC}">
              <c16:uniqueId val="{00000007-6FE5-48B0-918C-5C01D4D4DFC0}"/>
            </c:ext>
          </c:extLst>
        </c:ser>
        <c:dLbls>
          <c:showLegendKey val="0"/>
          <c:showVal val="0"/>
          <c:showCatName val="0"/>
          <c:showSerName val="0"/>
          <c:showPercent val="0"/>
          <c:showBubbleSize val="0"/>
        </c:dLbls>
        <c:gapWidth val="150"/>
        <c:overlap val="100"/>
        <c:axId val="829116512"/>
        <c:axId val="829104512"/>
      </c:barChart>
      <c:catAx>
        <c:axId val="82911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104512"/>
        <c:crosses val="autoZero"/>
        <c:auto val="1"/>
        <c:lblAlgn val="ctr"/>
        <c:lblOffset val="100"/>
        <c:noMultiLvlLbl val="0"/>
      </c:catAx>
      <c:valAx>
        <c:axId val="82910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116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 41 Military Exercises by Region, 2002-2024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'Fig 40-42 Exercises'!$A$72:$A$79</c:f>
              <c:strCache>
                <c:ptCount val="8"/>
                <c:pt idx="0">
                  <c:v>Africa</c:v>
                </c:pt>
                <c:pt idx="1">
                  <c:v>Asia</c:v>
                </c:pt>
                <c:pt idx="2">
                  <c:v>Europe</c:v>
                </c:pt>
                <c:pt idx="3">
                  <c:v>Middle East</c:v>
                </c:pt>
                <c:pt idx="4">
                  <c:v>North America</c:v>
                </c:pt>
                <c:pt idx="5">
                  <c:v>Oceania</c:v>
                </c:pt>
                <c:pt idx="6">
                  <c:v>Russia</c:v>
                </c:pt>
                <c:pt idx="7">
                  <c:v>South America</c:v>
                </c:pt>
              </c:strCache>
            </c:strRef>
          </c:cat>
          <c:val>
            <c:numRef>
              <c:f>'Fig 40-42 Exercises'!$B$72:$B$79</c:f>
              <c:numCache>
                <c:formatCode>General</c:formatCode>
                <c:ptCount val="8"/>
                <c:pt idx="0">
                  <c:v>22</c:v>
                </c:pt>
                <c:pt idx="1">
                  <c:v>219</c:v>
                </c:pt>
                <c:pt idx="2">
                  <c:v>41</c:v>
                </c:pt>
                <c:pt idx="3">
                  <c:v>19</c:v>
                </c:pt>
                <c:pt idx="4">
                  <c:v>19</c:v>
                </c:pt>
                <c:pt idx="5">
                  <c:v>27</c:v>
                </c:pt>
                <c:pt idx="6">
                  <c:v>59</c:v>
                </c:pt>
                <c:pt idx="7">
                  <c:v>6</c:v>
                </c:pt>
              </c:numCache>
            </c:numRef>
          </c:val>
          <c:extLst>
            <c:ext xmlns:c16="http://schemas.microsoft.com/office/drawing/2014/chart" uri="{C3380CC4-5D6E-409C-BE32-E72D297353CC}">
              <c16:uniqueId val="{00000000-1632-478F-B706-939C6D91864B}"/>
            </c:ext>
          </c:extLst>
        </c:ser>
        <c:dLbls>
          <c:showLegendKey val="0"/>
          <c:showVal val="0"/>
          <c:showCatName val="0"/>
          <c:showSerName val="0"/>
          <c:showPercent val="0"/>
          <c:showBubbleSize val="0"/>
        </c:dLbls>
        <c:gapWidth val="219"/>
        <c:overlap val="-27"/>
        <c:axId val="1006964864"/>
        <c:axId val="1006952384"/>
      </c:barChart>
      <c:catAx>
        <c:axId val="100696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952384"/>
        <c:crosses val="autoZero"/>
        <c:auto val="1"/>
        <c:lblAlgn val="ctr"/>
        <c:lblOffset val="100"/>
        <c:noMultiLvlLbl val="0"/>
      </c:catAx>
      <c:valAx>
        <c:axId val="1006952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96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43. Senior Level Visit Trends with Marginals
2002-2024</a:t>
            </a:r>
          </a:p>
        </c:rich>
      </c:tx>
      <c:overlay val="0"/>
    </c:title>
    <c:autoTitleDeleted val="0"/>
    <c:plotArea>
      <c:layout/>
      <c:barChart>
        <c:barDir val="col"/>
        <c:grouping val="clustered"/>
        <c:varyColors val="1"/>
        <c:ser>
          <c:idx val="0"/>
          <c:order val="0"/>
          <c:tx>
            <c:v>BL - Abroad</c:v>
          </c:tx>
          <c:spPr>
            <a:solidFill>
              <a:srgbClr val="5B9BD5"/>
            </a:solidFill>
            <a:ln cmpd="sng">
              <a:solidFill>
                <a:srgbClr val="000000"/>
              </a:solidFill>
            </a:ln>
          </c:spPr>
          <c:invertIfNegative val="1"/>
          <c:cat>
            <c:numRef>
              <c:f>'Fig 43 Marginals'!$A$7:$A$29</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43 Marginals'!$B$7:$B$29</c:f>
              <c:numCache>
                <c:formatCode>General</c:formatCode>
                <c:ptCount val="23"/>
                <c:pt idx="0">
                  <c:v>28</c:v>
                </c:pt>
                <c:pt idx="1">
                  <c:v>61</c:v>
                </c:pt>
                <c:pt idx="2">
                  <c:v>63</c:v>
                </c:pt>
                <c:pt idx="3">
                  <c:v>65</c:v>
                </c:pt>
                <c:pt idx="4">
                  <c:v>76</c:v>
                </c:pt>
                <c:pt idx="5">
                  <c:v>76</c:v>
                </c:pt>
                <c:pt idx="6">
                  <c:v>70</c:v>
                </c:pt>
                <c:pt idx="7">
                  <c:v>74</c:v>
                </c:pt>
                <c:pt idx="8">
                  <c:v>90</c:v>
                </c:pt>
                <c:pt idx="9">
                  <c:v>47</c:v>
                </c:pt>
                <c:pt idx="10">
                  <c:v>23</c:v>
                </c:pt>
                <c:pt idx="11">
                  <c:v>28</c:v>
                </c:pt>
                <c:pt idx="12">
                  <c:v>34</c:v>
                </c:pt>
                <c:pt idx="13">
                  <c:v>40</c:v>
                </c:pt>
                <c:pt idx="14">
                  <c:v>27</c:v>
                </c:pt>
                <c:pt idx="15">
                  <c:v>25</c:v>
                </c:pt>
                <c:pt idx="16">
                  <c:v>23</c:v>
                </c:pt>
                <c:pt idx="17">
                  <c:v>28</c:v>
                </c:pt>
                <c:pt idx="18">
                  <c:v>6</c:v>
                </c:pt>
                <c:pt idx="19">
                  <c:v>9</c:v>
                </c:pt>
                <c:pt idx="20">
                  <c:v>7</c:v>
                </c:pt>
                <c:pt idx="21">
                  <c:v>9</c:v>
                </c:pt>
                <c:pt idx="22">
                  <c:v>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16-434F-A7CB-4B93E6240B30}"/>
            </c:ext>
          </c:extLst>
        </c:ser>
        <c:ser>
          <c:idx val="1"/>
          <c:order val="1"/>
          <c:tx>
            <c:v>BL - Hosted</c:v>
          </c:tx>
          <c:spPr>
            <a:solidFill>
              <a:srgbClr val="ED7D31"/>
            </a:solidFill>
            <a:ln cmpd="sng">
              <a:solidFill>
                <a:srgbClr val="000000"/>
              </a:solidFill>
            </a:ln>
          </c:spPr>
          <c:invertIfNegative val="1"/>
          <c:cat>
            <c:numRef>
              <c:f>'Fig 43 Marginals'!$A$7:$A$29</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43 Marginals'!$C$7:$C$29</c:f>
              <c:numCache>
                <c:formatCode>General</c:formatCode>
                <c:ptCount val="23"/>
                <c:pt idx="0">
                  <c:v>81</c:v>
                </c:pt>
                <c:pt idx="1">
                  <c:v>53</c:v>
                </c:pt>
                <c:pt idx="2">
                  <c:v>68</c:v>
                </c:pt>
                <c:pt idx="3">
                  <c:v>92</c:v>
                </c:pt>
                <c:pt idx="4">
                  <c:v>57</c:v>
                </c:pt>
                <c:pt idx="5">
                  <c:v>72</c:v>
                </c:pt>
                <c:pt idx="6">
                  <c:v>58</c:v>
                </c:pt>
                <c:pt idx="7">
                  <c:v>74</c:v>
                </c:pt>
                <c:pt idx="8">
                  <c:v>78</c:v>
                </c:pt>
                <c:pt idx="9">
                  <c:v>63</c:v>
                </c:pt>
                <c:pt idx="10">
                  <c:v>62</c:v>
                </c:pt>
                <c:pt idx="11">
                  <c:v>78</c:v>
                </c:pt>
                <c:pt idx="12">
                  <c:v>76</c:v>
                </c:pt>
                <c:pt idx="13">
                  <c:v>72</c:v>
                </c:pt>
                <c:pt idx="14">
                  <c:v>59</c:v>
                </c:pt>
                <c:pt idx="15">
                  <c:v>56</c:v>
                </c:pt>
                <c:pt idx="16">
                  <c:v>39</c:v>
                </c:pt>
                <c:pt idx="17">
                  <c:v>42</c:v>
                </c:pt>
                <c:pt idx="18">
                  <c:v>2</c:v>
                </c:pt>
                <c:pt idx="19">
                  <c:v>0</c:v>
                </c:pt>
                <c:pt idx="20">
                  <c:v>6</c:v>
                </c:pt>
                <c:pt idx="21">
                  <c:v>16</c:v>
                </c:pt>
                <c:pt idx="22">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616-434F-A7CB-4B93E6240B30}"/>
            </c:ext>
          </c:extLst>
        </c:ser>
        <c:ser>
          <c:idx val="2"/>
          <c:order val="2"/>
          <c:tx>
            <c:v>ML - Margins</c:v>
          </c:tx>
          <c:spPr>
            <a:solidFill>
              <a:srgbClr val="A5A5A5"/>
            </a:solidFill>
            <a:ln cmpd="sng">
              <a:solidFill>
                <a:srgbClr val="000000"/>
              </a:solidFill>
            </a:ln>
          </c:spPr>
          <c:invertIfNegative val="1"/>
          <c:cat>
            <c:numRef>
              <c:f>'Fig 43 Marginals'!$A$7:$A$29</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'Fig 43 Marginals'!$D$7:$D$29</c:f>
              <c:numCache>
                <c:formatCode>General</c:formatCode>
                <c:ptCount val="23"/>
                <c:pt idx="0">
                  <c:v>0</c:v>
                </c:pt>
                <c:pt idx="1">
                  <c:v>0</c:v>
                </c:pt>
                <c:pt idx="2">
                  <c:v>0</c:v>
                </c:pt>
                <c:pt idx="3">
                  <c:v>0</c:v>
                </c:pt>
                <c:pt idx="4">
                  <c:v>5</c:v>
                </c:pt>
                <c:pt idx="5">
                  <c:v>1</c:v>
                </c:pt>
                <c:pt idx="6">
                  <c:v>0</c:v>
                </c:pt>
                <c:pt idx="7">
                  <c:v>0</c:v>
                </c:pt>
                <c:pt idx="8">
                  <c:v>2</c:v>
                </c:pt>
                <c:pt idx="9">
                  <c:v>12</c:v>
                </c:pt>
                <c:pt idx="10">
                  <c:v>2</c:v>
                </c:pt>
                <c:pt idx="11">
                  <c:v>2</c:v>
                </c:pt>
                <c:pt idx="12">
                  <c:v>7</c:v>
                </c:pt>
                <c:pt idx="13">
                  <c:v>12</c:v>
                </c:pt>
                <c:pt idx="14">
                  <c:v>12</c:v>
                </c:pt>
                <c:pt idx="15">
                  <c:v>4</c:v>
                </c:pt>
                <c:pt idx="16">
                  <c:v>33</c:v>
                </c:pt>
                <c:pt idx="17">
                  <c:v>30</c:v>
                </c:pt>
                <c:pt idx="18">
                  <c:v>3</c:v>
                </c:pt>
                <c:pt idx="19">
                  <c:v>4</c:v>
                </c:pt>
                <c:pt idx="20">
                  <c:v>3</c:v>
                </c:pt>
                <c:pt idx="21">
                  <c:v>32</c:v>
                </c:pt>
                <c:pt idx="22">
                  <c:v>50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616-434F-A7CB-4B93E6240B30}"/>
            </c:ext>
          </c:extLst>
        </c:ser>
        <c:dLbls>
          <c:showLegendKey val="0"/>
          <c:showVal val="0"/>
          <c:showCatName val="0"/>
          <c:showSerName val="0"/>
          <c:showPercent val="0"/>
          <c:showBubbleSize val="0"/>
        </c:dLbls>
        <c:gapWidth val="150"/>
        <c:axId val="849807907"/>
        <c:axId val="1966927247"/>
      </c:barChart>
      <c:catAx>
        <c:axId val="84980790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966927247"/>
        <c:crosses val="autoZero"/>
        <c:auto val="1"/>
        <c:lblAlgn val="ctr"/>
        <c:lblOffset val="100"/>
        <c:noMultiLvlLbl val="1"/>
      </c:catAx>
      <c:valAx>
        <c:axId val="196692724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849807907"/>
        <c:crosses val="autoZero"/>
        <c:crossBetween val="between"/>
      </c:valAx>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46 PLA Participation in ML Meetings, 2000-2024</a:t>
            </a:r>
          </a:p>
        </c:rich>
      </c:tx>
      <c:overlay val="0"/>
    </c:title>
    <c:autoTitleDeleted val="0"/>
    <c:plotArea>
      <c:layout/>
      <c:lineChart>
        <c:grouping val="standard"/>
        <c:varyColors val="0"/>
        <c:ser>
          <c:idx val="1"/>
          <c:order val="1"/>
          <c:marker>
            <c:symbol val="none"/>
          </c:marker>
          <c:cat>
            <c:numRef>
              <c:f>'Fig 44 PLA ML Mtgs'!$B$12:$Y$12</c:f>
              <c:numCache>
                <c:formatCode>General</c:formatCode>
                <c:ptCount val="24"/>
                <c:pt idx="0">
                  <c:v>2000</c:v>
                </c:pt>
                <c:pt idx="1">
                  <c:v>2001</c:v>
                </c:pt>
                <c:pt idx="2">
                  <c:v>2002</c:v>
                </c:pt>
                <c:pt idx="3">
                  <c:v>2003</c:v>
                </c:pt>
                <c:pt idx="4">
                  <c:v>2004</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'Fig 44 PLA ML Mtgs'!$B$13:$Y$13</c:f>
              <c:numCache>
                <c:formatCode>General</c:formatCode>
                <c:ptCount val="24"/>
                <c:pt idx="0">
                  <c:v>1</c:v>
                </c:pt>
                <c:pt idx="1">
                  <c:v>1</c:v>
                </c:pt>
                <c:pt idx="2">
                  <c:v>1</c:v>
                </c:pt>
                <c:pt idx="3">
                  <c:v>1</c:v>
                </c:pt>
                <c:pt idx="4">
                  <c:v>1</c:v>
                </c:pt>
                <c:pt idx="5">
                  <c:v>1</c:v>
                </c:pt>
                <c:pt idx="6">
                  <c:v>2</c:v>
                </c:pt>
                <c:pt idx="7">
                  <c:v>2</c:v>
                </c:pt>
                <c:pt idx="8">
                  <c:v>2</c:v>
                </c:pt>
                <c:pt idx="9">
                  <c:v>2</c:v>
                </c:pt>
                <c:pt idx="10">
                  <c:v>4</c:v>
                </c:pt>
                <c:pt idx="11">
                  <c:v>5</c:v>
                </c:pt>
                <c:pt idx="12">
                  <c:v>4</c:v>
                </c:pt>
                <c:pt idx="13">
                  <c:v>7</c:v>
                </c:pt>
                <c:pt idx="14">
                  <c:v>5</c:v>
                </c:pt>
                <c:pt idx="15">
                  <c:v>6</c:v>
                </c:pt>
                <c:pt idx="16">
                  <c:v>4</c:v>
                </c:pt>
                <c:pt idx="17">
                  <c:v>9</c:v>
                </c:pt>
                <c:pt idx="18">
                  <c:v>5</c:v>
                </c:pt>
                <c:pt idx="19">
                  <c:v>3</c:v>
                </c:pt>
                <c:pt idx="20">
                  <c:v>7</c:v>
                </c:pt>
                <c:pt idx="21">
                  <c:v>13</c:v>
                </c:pt>
                <c:pt idx="22">
                  <c:v>4</c:v>
                </c:pt>
                <c:pt idx="23">
                  <c:v>7</c:v>
                </c:pt>
              </c:numCache>
            </c:numRef>
          </c:val>
          <c:smooth val="0"/>
          <c:extLst>
            <c:ext xmlns:c16="http://schemas.microsoft.com/office/drawing/2014/chart" uri="{C3380CC4-5D6E-409C-BE32-E72D297353CC}">
              <c16:uniqueId val="{00000001-D667-4920-B9D5-05FE6C377007}"/>
            </c:ext>
          </c:extLst>
        </c:ser>
        <c:dLbls>
          <c:showLegendKey val="0"/>
          <c:showVal val="0"/>
          <c:showCatName val="0"/>
          <c:showSerName val="0"/>
          <c:showPercent val="0"/>
          <c:showBubbleSize val="0"/>
        </c:dLbls>
        <c:smooth val="0"/>
        <c:axId val="234594883"/>
        <c:axId val="325784783"/>
        <c:extLst>
          <c:ext xmlns:c15="http://schemas.microsoft.com/office/drawing/2012/chart" uri="{02D57815-91ED-43cb-92C2-25804820EDAC}">
            <c15:filteredLineSeries>
              <c15:ser>
                <c:idx val="0"/>
                <c:order val="0"/>
                <c:spPr>
                  <a:ln w="28575" cmpd="sng">
                    <a:solidFill>
                      <a:schemeClr val="accent1"/>
                    </a:solidFill>
                  </a:ln>
                </c:spPr>
                <c:marker>
                  <c:symbol val="none"/>
                </c:marker>
                <c:cat>
                  <c:numRef>
                    <c:extLst>
                      <c:ext uri="{02D57815-91ED-43cb-92C2-25804820EDAC}">
                        <c15:formulaRef>
                          <c15:sqref>'Fig 44 PLA ML Mtgs'!$B$12:$Y$12</c15:sqref>
                        </c15:formulaRef>
                      </c:ext>
                    </c:extLst>
                    <c:numCache>
                      <c:formatCode>General</c:formatCode>
                      <c:ptCount val="24"/>
                      <c:pt idx="0">
                        <c:v>2000</c:v>
                      </c:pt>
                      <c:pt idx="1">
                        <c:v>2001</c:v>
                      </c:pt>
                      <c:pt idx="2">
                        <c:v>2002</c:v>
                      </c:pt>
                      <c:pt idx="3">
                        <c:v>2003</c:v>
                      </c:pt>
                      <c:pt idx="4">
                        <c:v>2004</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extLst>
                      <c:ext uri="{02D57815-91ED-43cb-92C2-25804820EDAC}">
                        <c15:formulaRef>
                          <c15:sqref>'Fig 44 PLA ML Mtgs'!$B$12:$Y$12</c15:sqref>
                        </c15:formulaRef>
                      </c:ext>
                    </c:extLst>
                    <c:numCache>
                      <c:formatCode>General</c:formatCode>
                      <c:ptCount val="24"/>
                      <c:pt idx="0">
                        <c:v>2000</c:v>
                      </c:pt>
                      <c:pt idx="1">
                        <c:v>2001</c:v>
                      </c:pt>
                      <c:pt idx="2">
                        <c:v>2002</c:v>
                      </c:pt>
                      <c:pt idx="3">
                        <c:v>2003</c:v>
                      </c:pt>
                      <c:pt idx="4">
                        <c:v>2004</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val>
                <c:smooth val="0"/>
                <c:extLst>
                  <c:ext xmlns:c16="http://schemas.microsoft.com/office/drawing/2014/chart" uri="{C3380CC4-5D6E-409C-BE32-E72D297353CC}">
                    <c16:uniqueId val="{00000000-978E-8644-BA80-BF997FA27F70}"/>
                  </c:ext>
                </c:extLst>
              </c15:ser>
            </c15:filteredLineSeries>
          </c:ext>
        </c:extLst>
      </c:lineChart>
      <c:catAx>
        <c:axId val="23459488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325784783"/>
        <c:crosses val="autoZero"/>
        <c:auto val="1"/>
        <c:lblAlgn val="ctr"/>
        <c:lblOffset val="100"/>
        <c:noMultiLvlLbl val="1"/>
      </c:catAx>
      <c:valAx>
        <c:axId val="32578478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34594883"/>
        <c:crosses val="autoZero"/>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2. Total PLA Military Diplomatic Interactions, 2002-2024 (AFRICOM)</a:t>
            </a:r>
          </a:p>
        </c:rich>
      </c:tx>
      <c:overlay val="0"/>
    </c:title>
    <c:autoTitleDeleted val="0"/>
    <c:plotArea>
      <c:layout/>
      <c:barChart>
        <c:barDir val="col"/>
        <c:grouping val="stacked"/>
        <c:varyColors val="1"/>
        <c:ser>
          <c:idx val="0"/>
          <c:order val="0"/>
          <c:tx>
            <c:v>Senior Level Visits</c:v>
          </c:tx>
          <c:spPr>
            <a:solidFill>
              <a:srgbClr val="5B9BD5"/>
            </a:solidFill>
            <a:ln cmpd="sng">
              <a:solidFill>
                <a:srgbClr val="000000"/>
              </a:solidFill>
            </a:ln>
          </c:spPr>
          <c:invertIfNegative val="1"/>
          <c:cat>
            <c:numRef>
              <c:f>'AFRICOM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'AFRICOM Figure 2'!$B$61:$X$61</c:f>
              <c:numCache>
                <c:formatCode>General</c:formatCode>
                <c:ptCount val="23"/>
                <c:pt idx="0">
                  <c:v>15</c:v>
                </c:pt>
                <c:pt idx="1">
                  <c:v>22</c:v>
                </c:pt>
                <c:pt idx="2">
                  <c:v>15</c:v>
                </c:pt>
                <c:pt idx="3">
                  <c:v>27</c:v>
                </c:pt>
                <c:pt idx="4">
                  <c:v>27</c:v>
                </c:pt>
                <c:pt idx="5">
                  <c:v>30</c:v>
                </c:pt>
                <c:pt idx="6">
                  <c:v>16</c:v>
                </c:pt>
                <c:pt idx="7">
                  <c:v>18</c:v>
                </c:pt>
                <c:pt idx="8">
                  <c:v>21</c:v>
                </c:pt>
                <c:pt idx="9">
                  <c:v>13</c:v>
                </c:pt>
                <c:pt idx="10">
                  <c:v>7</c:v>
                </c:pt>
                <c:pt idx="11">
                  <c:v>10</c:v>
                </c:pt>
                <c:pt idx="12">
                  <c:v>9</c:v>
                </c:pt>
                <c:pt idx="13">
                  <c:v>11</c:v>
                </c:pt>
                <c:pt idx="14">
                  <c:v>4</c:v>
                </c:pt>
                <c:pt idx="15">
                  <c:v>14</c:v>
                </c:pt>
                <c:pt idx="16">
                  <c:v>8</c:v>
                </c:pt>
                <c:pt idx="17">
                  <c:v>9</c:v>
                </c:pt>
                <c:pt idx="18">
                  <c:v>0</c:v>
                </c:pt>
                <c:pt idx="19">
                  <c:v>0</c:v>
                </c:pt>
                <c:pt idx="20">
                  <c:v>6</c:v>
                </c:pt>
                <c:pt idx="21">
                  <c:v>6</c:v>
                </c:pt>
                <c:pt idx="22">
                  <c:v>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F4-A546-A160-209FA5160128}"/>
            </c:ext>
          </c:extLst>
        </c:ser>
        <c:ser>
          <c:idx val="1"/>
          <c:order val="1"/>
          <c:tx>
            <c:v>Naval Port Calls</c:v>
          </c:tx>
          <c:spPr>
            <a:solidFill>
              <a:srgbClr val="ED7D31"/>
            </a:solidFill>
            <a:ln cmpd="sng">
              <a:solidFill>
                <a:srgbClr val="000000"/>
              </a:solidFill>
            </a:ln>
          </c:spPr>
          <c:invertIfNegative val="1"/>
          <c:cat>
            <c:numRef>
              <c:f>'AFRICOM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'AFRICOM Figure 2'!$B$60:$X$60</c:f>
              <c:numCache>
                <c:formatCode>General</c:formatCode>
                <c:ptCount val="23"/>
                <c:pt idx="0">
                  <c:v>0</c:v>
                </c:pt>
                <c:pt idx="1">
                  <c:v>0</c:v>
                </c:pt>
                <c:pt idx="2">
                  <c:v>0</c:v>
                </c:pt>
                <c:pt idx="3">
                  <c:v>0</c:v>
                </c:pt>
                <c:pt idx="4">
                  <c:v>0</c:v>
                </c:pt>
                <c:pt idx="5">
                  <c:v>0</c:v>
                </c:pt>
                <c:pt idx="6">
                  <c:v>0</c:v>
                </c:pt>
                <c:pt idx="7">
                  <c:v>0</c:v>
                </c:pt>
                <c:pt idx="8">
                  <c:v>3</c:v>
                </c:pt>
                <c:pt idx="9">
                  <c:v>2</c:v>
                </c:pt>
                <c:pt idx="10">
                  <c:v>1</c:v>
                </c:pt>
                <c:pt idx="11">
                  <c:v>3</c:v>
                </c:pt>
                <c:pt idx="12">
                  <c:v>11</c:v>
                </c:pt>
                <c:pt idx="13">
                  <c:v>3</c:v>
                </c:pt>
                <c:pt idx="14">
                  <c:v>1</c:v>
                </c:pt>
                <c:pt idx="15">
                  <c:v>8</c:v>
                </c:pt>
                <c:pt idx="16">
                  <c:v>9</c:v>
                </c:pt>
                <c:pt idx="17">
                  <c:v>4</c:v>
                </c:pt>
                <c:pt idx="18">
                  <c:v>0</c:v>
                </c:pt>
                <c:pt idx="19">
                  <c:v>0</c:v>
                </c:pt>
                <c:pt idx="20">
                  <c:v>0</c:v>
                </c:pt>
                <c:pt idx="21">
                  <c:v>7</c:v>
                </c:pt>
                <c:pt idx="22">
                  <c:v>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7F4-A546-A160-209FA5160128}"/>
            </c:ext>
          </c:extLst>
        </c:ser>
        <c:ser>
          <c:idx val="2"/>
          <c:order val="2"/>
          <c:tx>
            <c:v>Military Exercises</c:v>
          </c:tx>
          <c:spPr>
            <a:solidFill>
              <a:srgbClr val="A5A5A5"/>
            </a:solidFill>
            <a:ln cmpd="sng">
              <a:solidFill>
                <a:srgbClr val="000000"/>
              </a:solidFill>
            </a:ln>
          </c:spPr>
          <c:invertIfNegative val="1"/>
          <c:cat>
            <c:numRef>
              <c:f>'AFRICOM Figure 2'!$B$58:$X$58</c:f>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'AFRICOM Figure 2'!$B$59:$X$59</c:f>
              <c:numCache>
                <c:formatCode>General</c:formatCode>
                <c:ptCount val="23"/>
                <c:pt idx="0">
                  <c:v>0</c:v>
                </c:pt>
                <c:pt idx="1">
                  <c:v>0</c:v>
                </c:pt>
                <c:pt idx="2">
                  <c:v>0</c:v>
                </c:pt>
                <c:pt idx="3">
                  <c:v>0</c:v>
                </c:pt>
                <c:pt idx="4">
                  <c:v>0</c:v>
                </c:pt>
                <c:pt idx="5">
                  <c:v>0</c:v>
                </c:pt>
                <c:pt idx="6">
                  <c:v>0</c:v>
                </c:pt>
                <c:pt idx="7">
                  <c:v>1</c:v>
                </c:pt>
                <c:pt idx="8">
                  <c:v>0</c:v>
                </c:pt>
                <c:pt idx="9">
                  <c:v>0</c:v>
                </c:pt>
                <c:pt idx="10">
                  <c:v>0</c:v>
                </c:pt>
                <c:pt idx="11">
                  <c:v>0</c:v>
                </c:pt>
                <c:pt idx="12">
                  <c:v>4</c:v>
                </c:pt>
                <c:pt idx="13">
                  <c:v>0</c:v>
                </c:pt>
                <c:pt idx="14">
                  <c:v>1</c:v>
                </c:pt>
                <c:pt idx="15">
                  <c:v>1</c:v>
                </c:pt>
                <c:pt idx="16">
                  <c:v>6</c:v>
                </c:pt>
                <c:pt idx="17">
                  <c:v>2</c:v>
                </c:pt>
                <c:pt idx="18">
                  <c:v>0</c:v>
                </c:pt>
                <c:pt idx="19">
                  <c:v>0</c:v>
                </c:pt>
                <c:pt idx="20">
                  <c:v>0</c:v>
                </c:pt>
                <c:pt idx="21">
                  <c:v>2</c:v>
                </c:pt>
                <c:pt idx="22">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7F4-A546-A160-209FA5160128}"/>
            </c:ext>
          </c:extLst>
        </c:ser>
        <c:dLbls>
          <c:showLegendKey val="0"/>
          <c:showVal val="0"/>
          <c:showCatName val="0"/>
          <c:showSerName val="0"/>
          <c:showPercent val="0"/>
          <c:showBubbleSize val="0"/>
        </c:dLbls>
        <c:gapWidth val="150"/>
        <c:overlap val="100"/>
        <c:axId val="2143961609"/>
        <c:axId val="1614085394"/>
      </c:barChart>
      <c:catAx>
        <c:axId val="214396160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614085394"/>
        <c:crosses val="autoZero"/>
        <c:auto val="1"/>
        <c:lblAlgn val="ctr"/>
        <c:lblOffset val="100"/>
        <c:noMultiLvlLbl val="1"/>
      </c:catAx>
      <c:valAx>
        <c:axId val="16140853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14396160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18" Type="http://schemas.openxmlformats.org/officeDocument/2006/relationships/chart" Target="../charts/chart69.xml"/><Relationship Id="rId3" Type="http://schemas.openxmlformats.org/officeDocument/2006/relationships/chart" Target="../charts/chart54.xml"/><Relationship Id="rId21" Type="http://schemas.openxmlformats.org/officeDocument/2006/relationships/chart" Target="../charts/chart72.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20" Type="http://schemas.openxmlformats.org/officeDocument/2006/relationships/chart" Target="../charts/chart71.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23" Type="http://schemas.openxmlformats.org/officeDocument/2006/relationships/chart" Target="../charts/chart74.xml"/><Relationship Id="rId10" Type="http://schemas.openxmlformats.org/officeDocument/2006/relationships/chart" Target="../charts/chart61.xml"/><Relationship Id="rId19" Type="http://schemas.openxmlformats.org/officeDocument/2006/relationships/chart" Target="../charts/chart70.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 Id="rId22" Type="http://schemas.openxmlformats.org/officeDocument/2006/relationships/chart" Target="../charts/chart7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5" Type="http://schemas.openxmlformats.org/officeDocument/2006/relationships/chart" Target="../charts/chart82.xml"/><Relationship Id="rId4"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11</xdr:col>
          <xdr:colOff>123825</xdr:colOff>
          <xdr:row>43</xdr:row>
          <xdr:rowOff>57150</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8</xdr:col>
      <xdr:colOff>295275</xdr:colOff>
      <xdr:row>42</xdr:row>
      <xdr:rowOff>38100</xdr:rowOff>
    </xdr:from>
    <xdr:ext cx="3143250" cy="3876675"/>
    <xdr:graphicFrame macro="">
      <xdr:nvGraphicFramePr>
        <xdr:cNvPr id="642469319" name="Chart 20">
          <a:extLst>
            <a:ext uri="{FF2B5EF4-FFF2-40B4-BE49-F238E27FC236}">
              <a16:creationId xmlns:a16="http://schemas.microsoft.com/office/drawing/2014/main" id="{00000000-0008-0000-0E00-0000C74D4B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768350</xdr:colOff>
      <xdr:row>77</xdr:row>
      <xdr:rowOff>15240</xdr:rowOff>
    </xdr:from>
    <xdr:ext cx="5172075" cy="1381125"/>
    <xdr:sp macro="" textlink="">
      <xdr:nvSpPr>
        <xdr:cNvPr id="3" name="Shape 3">
          <a:extLst>
            <a:ext uri="{FF2B5EF4-FFF2-40B4-BE49-F238E27FC236}">
              <a16:creationId xmlns:a16="http://schemas.microsoft.com/office/drawing/2014/main" id="{00000000-0008-0000-0E00-000003000000}"/>
            </a:ext>
          </a:extLst>
        </xdr:cNvPr>
        <xdr:cNvSpPr txBox="1"/>
      </xdr:nvSpPr>
      <xdr:spPr>
        <a:xfrm>
          <a:off x="2609850" y="7692390"/>
          <a:ext cx="5172075" cy="13811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“Differentials subtract Chinese visits abroad to a particular country from Chinese visits hosted; they measure whether PLA officers are visiting a particular country more than they are hosting officials from that country.  They measure which country is trying harder to improve the relationship (by sending more officials than it hosts). Positive numbers indicate the foreign country is trying harder; negative numbers indicate China is trying harder.” </a:t>
          </a: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266700</xdr:colOff>
      <xdr:row>63</xdr:row>
      <xdr:rowOff>57150</xdr:rowOff>
    </xdr:from>
    <xdr:ext cx="4581525" cy="3743325"/>
    <xdr:graphicFrame macro="">
      <xdr:nvGraphicFramePr>
        <xdr:cNvPr id="34623476" name="Chart 23">
          <a:extLst>
            <a:ext uri="{FF2B5EF4-FFF2-40B4-BE49-F238E27FC236}">
              <a16:creationId xmlns:a16="http://schemas.microsoft.com/office/drawing/2014/main" id="{00000000-0008-0000-0F00-0000F44F10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133350</xdr:colOff>
      <xdr:row>69</xdr:row>
      <xdr:rowOff>0</xdr:rowOff>
    </xdr:from>
    <xdr:ext cx="4600575" cy="3371850"/>
    <xdr:graphicFrame macro="">
      <xdr:nvGraphicFramePr>
        <xdr:cNvPr id="1314724530" name="Chart 26">
          <a:extLst>
            <a:ext uri="{FF2B5EF4-FFF2-40B4-BE49-F238E27FC236}">
              <a16:creationId xmlns:a16="http://schemas.microsoft.com/office/drawing/2014/main" id="{00000000-0008-0000-1000-0000B21A5D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456564</xdr:colOff>
      <xdr:row>72</xdr:row>
      <xdr:rowOff>53975</xdr:rowOff>
    </xdr:from>
    <xdr:ext cx="6210935" cy="3165476"/>
    <xdr:graphicFrame macro="">
      <xdr:nvGraphicFramePr>
        <xdr:cNvPr id="1074240016" name="Chart 29">
          <a:extLst>
            <a:ext uri="{FF2B5EF4-FFF2-40B4-BE49-F238E27FC236}">
              <a16:creationId xmlns:a16="http://schemas.microsoft.com/office/drawing/2014/main" id="{00000000-0008-0000-1100-0000109A07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133350</xdr:colOff>
      <xdr:row>76</xdr:row>
      <xdr:rowOff>133350</xdr:rowOff>
    </xdr:from>
    <xdr:ext cx="6457950" cy="4229100"/>
    <xdr:graphicFrame macro="">
      <xdr:nvGraphicFramePr>
        <xdr:cNvPr id="1889200538" name="Chart 32">
          <a:extLst>
            <a:ext uri="{FF2B5EF4-FFF2-40B4-BE49-F238E27FC236}">
              <a16:creationId xmlns:a16="http://schemas.microsoft.com/office/drawing/2014/main" id="{00000000-0008-0000-1200-00009AE99A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266700</xdr:colOff>
      <xdr:row>65</xdr:row>
      <xdr:rowOff>57150</xdr:rowOff>
    </xdr:from>
    <xdr:ext cx="4581525" cy="3743325"/>
    <xdr:graphicFrame macro="">
      <xdr:nvGraphicFramePr>
        <xdr:cNvPr id="677941095" name="Chart 35">
          <a:extLst>
            <a:ext uri="{FF2B5EF4-FFF2-40B4-BE49-F238E27FC236}">
              <a16:creationId xmlns:a16="http://schemas.microsoft.com/office/drawing/2014/main" id="{00000000-0008-0000-1300-0000678F68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133350</xdr:colOff>
      <xdr:row>68</xdr:row>
      <xdr:rowOff>0</xdr:rowOff>
    </xdr:from>
    <xdr:ext cx="4600575" cy="3371850"/>
    <xdr:graphicFrame macro="">
      <xdr:nvGraphicFramePr>
        <xdr:cNvPr id="717267365" name="Chart 38">
          <a:extLst>
            <a:ext uri="{FF2B5EF4-FFF2-40B4-BE49-F238E27FC236}">
              <a16:creationId xmlns:a16="http://schemas.microsoft.com/office/drawing/2014/main" id="{00000000-0008-0000-1400-0000A5A1C0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180974</xdr:colOff>
      <xdr:row>70</xdr:row>
      <xdr:rowOff>104775</xdr:rowOff>
    </xdr:from>
    <xdr:ext cx="6105525" cy="3143250"/>
    <xdr:graphicFrame macro="">
      <xdr:nvGraphicFramePr>
        <xdr:cNvPr id="492792381" name="Chart 41">
          <a:extLst>
            <a:ext uri="{FF2B5EF4-FFF2-40B4-BE49-F238E27FC236}">
              <a16:creationId xmlns:a16="http://schemas.microsoft.com/office/drawing/2014/main" id="{00000000-0008-0000-1500-00003D6A5F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257175</xdr:colOff>
      <xdr:row>77</xdr:row>
      <xdr:rowOff>152400</xdr:rowOff>
    </xdr:from>
    <xdr:ext cx="5800725" cy="3438525"/>
    <xdr:graphicFrame macro="">
      <xdr:nvGraphicFramePr>
        <xdr:cNvPr id="1796953509" name="Chart 44">
          <a:extLst>
            <a:ext uri="{FF2B5EF4-FFF2-40B4-BE49-F238E27FC236}">
              <a16:creationId xmlns:a16="http://schemas.microsoft.com/office/drawing/2014/main" id="{00000000-0008-0000-1600-0000A5551B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266700</xdr:colOff>
      <xdr:row>65</xdr:row>
      <xdr:rowOff>57150</xdr:rowOff>
    </xdr:from>
    <xdr:ext cx="4581525" cy="3743325"/>
    <xdr:graphicFrame macro="">
      <xdr:nvGraphicFramePr>
        <xdr:cNvPr id="141654789" name="Chart 47">
          <a:extLst>
            <a:ext uri="{FF2B5EF4-FFF2-40B4-BE49-F238E27FC236}">
              <a16:creationId xmlns:a16="http://schemas.microsoft.com/office/drawing/2014/main" id="{00000000-0008-0000-1700-0000057B71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88</xdr:col>
          <xdr:colOff>409575</xdr:colOff>
          <xdr:row>235</xdr:row>
          <xdr:rowOff>152400</xdr:rowOff>
        </xdr:to>
        <xdr:sp macro="" textlink="">
          <xdr:nvSpPr>
            <xdr:cNvPr id="60418" name="Object 2" hidden="1">
              <a:extLst>
                <a:ext uri="{63B3BB69-23CF-44E3-9099-C40C66FF867C}">
                  <a14:compatExt spid="_x0000_s60418"/>
                </a:ext>
                <a:ext uri="{FF2B5EF4-FFF2-40B4-BE49-F238E27FC236}">
                  <a16:creationId xmlns:a16="http://schemas.microsoft.com/office/drawing/2014/main" id="{00000000-0008-0000-0400-000002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0</xdr:col>
      <xdr:colOff>133350</xdr:colOff>
      <xdr:row>69</xdr:row>
      <xdr:rowOff>0</xdr:rowOff>
    </xdr:from>
    <xdr:ext cx="4600575" cy="3371850"/>
    <xdr:graphicFrame macro="">
      <xdr:nvGraphicFramePr>
        <xdr:cNvPr id="1983347752" name="Chart 50">
          <a:extLst>
            <a:ext uri="{FF2B5EF4-FFF2-40B4-BE49-F238E27FC236}">
              <a16:creationId xmlns:a16="http://schemas.microsoft.com/office/drawing/2014/main" id="{00000000-0008-0000-1800-0000287C37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142875</xdr:colOff>
      <xdr:row>71</xdr:row>
      <xdr:rowOff>47625</xdr:rowOff>
    </xdr:from>
    <xdr:ext cx="5753100" cy="3143250"/>
    <xdr:graphicFrame macro="">
      <xdr:nvGraphicFramePr>
        <xdr:cNvPr id="1430737925" name="Chart 53">
          <a:extLst>
            <a:ext uri="{FF2B5EF4-FFF2-40B4-BE49-F238E27FC236}">
              <a16:creationId xmlns:a16="http://schemas.microsoft.com/office/drawing/2014/main" id="{00000000-0008-0000-1900-0000055447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266700</xdr:colOff>
      <xdr:row>76</xdr:row>
      <xdr:rowOff>190500</xdr:rowOff>
    </xdr:from>
    <xdr:ext cx="5467350" cy="3143250"/>
    <xdr:graphicFrame macro="">
      <xdr:nvGraphicFramePr>
        <xdr:cNvPr id="1157231619" name="Chart 56">
          <a:extLst>
            <a:ext uri="{FF2B5EF4-FFF2-40B4-BE49-F238E27FC236}">
              <a16:creationId xmlns:a16="http://schemas.microsoft.com/office/drawing/2014/main" id="{00000000-0008-0000-1A00-000003F4F9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3.xml><?xml version="1.0" encoding="utf-8"?>
<xdr:wsDr xmlns:xdr="http://schemas.openxmlformats.org/drawingml/2006/spreadsheetDrawing" xmlns:a="http://schemas.openxmlformats.org/drawingml/2006/main">
  <xdr:oneCellAnchor>
    <xdr:from>
      <xdr:col>1</xdr:col>
      <xdr:colOff>0</xdr:colOff>
      <xdr:row>66</xdr:row>
      <xdr:rowOff>180975</xdr:rowOff>
    </xdr:from>
    <xdr:ext cx="4581525" cy="3743325"/>
    <xdr:graphicFrame macro="">
      <xdr:nvGraphicFramePr>
        <xdr:cNvPr id="454841274" name="Chart 59">
          <a:extLst>
            <a:ext uri="{FF2B5EF4-FFF2-40B4-BE49-F238E27FC236}">
              <a16:creationId xmlns:a16="http://schemas.microsoft.com/office/drawing/2014/main" id="{00000000-0008-0000-1B00-0000BA531C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133350</xdr:colOff>
      <xdr:row>69</xdr:row>
      <xdr:rowOff>0</xdr:rowOff>
    </xdr:from>
    <xdr:ext cx="4600575" cy="3371850"/>
    <xdr:graphicFrame macro="">
      <xdr:nvGraphicFramePr>
        <xdr:cNvPr id="289170870" name="Chart 62">
          <a:extLst>
            <a:ext uri="{FF2B5EF4-FFF2-40B4-BE49-F238E27FC236}">
              <a16:creationId xmlns:a16="http://schemas.microsoft.com/office/drawing/2014/main" id="{00000000-0008-0000-1C00-0000B6653C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142875</xdr:colOff>
      <xdr:row>71</xdr:row>
      <xdr:rowOff>0</xdr:rowOff>
    </xdr:from>
    <xdr:ext cx="5753100" cy="3143250"/>
    <xdr:graphicFrame macro="">
      <xdr:nvGraphicFramePr>
        <xdr:cNvPr id="894938829" name="Chart 65">
          <a:extLst>
            <a:ext uri="{FF2B5EF4-FFF2-40B4-BE49-F238E27FC236}">
              <a16:creationId xmlns:a16="http://schemas.microsoft.com/office/drawing/2014/main" id="{00000000-0008-0000-1D00-0000CDAE57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285750</xdr:colOff>
      <xdr:row>77</xdr:row>
      <xdr:rowOff>28575</xdr:rowOff>
    </xdr:from>
    <xdr:ext cx="5467350" cy="3114675"/>
    <xdr:graphicFrame macro="">
      <xdr:nvGraphicFramePr>
        <xdr:cNvPr id="251669912" name="Chart 68">
          <a:extLst>
            <a:ext uri="{FF2B5EF4-FFF2-40B4-BE49-F238E27FC236}">
              <a16:creationId xmlns:a16="http://schemas.microsoft.com/office/drawing/2014/main" id="{00000000-0008-0000-1E00-0000982D00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7.xml><?xml version="1.0" encoding="utf-8"?>
<xdr:wsDr xmlns:xdr="http://schemas.openxmlformats.org/drawingml/2006/spreadsheetDrawing" xmlns:a="http://schemas.openxmlformats.org/drawingml/2006/main">
  <xdr:twoCellAnchor>
    <xdr:from>
      <xdr:col>13</xdr:col>
      <xdr:colOff>261937</xdr:colOff>
      <xdr:row>70</xdr:row>
      <xdr:rowOff>123825</xdr:rowOff>
    </xdr:from>
    <xdr:to>
      <xdr:col>25</xdr:col>
      <xdr:colOff>347662</xdr:colOff>
      <xdr:row>84</xdr:row>
      <xdr:rowOff>66675</xdr:rowOff>
    </xdr:to>
    <xdr:graphicFrame macro="">
      <xdr:nvGraphicFramePr>
        <xdr:cNvPr id="2" name="Chart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0</xdr:col>
      <xdr:colOff>133350</xdr:colOff>
      <xdr:row>69</xdr:row>
      <xdr:rowOff>0</xdr:rowOff>
    </xdr:from>
    <xdr:ext cx="4924425" cy="3371850"/>
    <xdr:graphicFrame macro="">
      <xdr:nvGraphicFramePr>
        <xdr:cNvPr id="423861881" name="Chart 73">
          <a:extLst>
            <a:ext uri="{FF2B5EF4-FFF2-40B4-BE49-F238E27FC236}">
              <a16:creationId xmlns:a16="http://schemas.microsoft.com/office/drawing/2014/main" id="{00000000-0008-0000-2000-0000799E43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266700</xdr:colOff>
      <xdr:row>66</xdr:row>
      <xdr:rowOff>57150</xdr:rowOff>
    </xdr:from>
    <xdr:ext cx="4581525" cy="3743325"/>
    <xdr:graphicFrame macro="">
      <xdr:nvGraphicFramePr>
        <xdr:cNvPr id="515095834" name="Chart 76">
          <a:extLst>
            <a:ext uri="{FF2B5EF4-FFF2-40B4-BE49-F238E27FC236}">
              <a16:creationId xmlns:a16="http://schemas.microsoft.com/office/drawing/2014/main" id="{00000000-0008-0000-2100-00001ABDB3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257175</xdr:colOff>
      <xdr:row>69</xdr:row>
      <xdr:rowOff>76200</xdr:rowOff>
    </xdr:from>
    <xdr:ext cx="5581650" cy="3381375"/>
    <xdr:graphicFrame macro="">
      <xdr:nvGraphicFramePr>
        <xdr:cNvPr id="261591839" name="Chart 3">
          <a:extLst>
            <a:ext uri="{FF2B5EF4-FFF2-40B4-BE49-F238E27FC236}">
              <a16:creationId xmlns:a16="http://schemas.microsoft.com/office/drawing/2014/main" id="{00000000-0008-0000-0500-00001F9397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95250</xdr:colOff>
      <xdr:row>69</xdr:row>
      <xdr:rowOff>38100</xdr:rowOff>
    </xdr:from>
    <xdr:ext cx="4905375" cy="3695700"/>
    <xdr:graphicFrame macro="">
      <xdr:nvGraphicFramePr>
        <xdr:cNvPr id="320604306" name="Chart 79">
          <a:extLst>
            <a:ext uri="{FF2B5EF4-FFF2-40B4-BE49-F238E27FC236}">
              <a16:creationId xmlns:a16="http://schemas.microsoft.com/office/drawing/2014/main" id="{00000000-0008-0000-2200-000092081C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257175</xdr:colOff>
      <xdr:row>71</xdr:row>
      <xdr:rowOff>123825</xdr:rowOff>
    </xdr:from>
    <xdr:ext cx="5314950" cy="3143250"/>
    <xdr:graphicFrame macro="">
      <xdr:nvGraphicFramePr>
        <xdr:cNvPr id="1870563393" name="Chart 82">
          <a:extLst>
            <a:ext uri="{FF2B5EF4-FFF2-40B4-BE49-F238E27FC236}">
              <a16:creationId xmlns:a16="http://schemas.microsoft.com/office/drawing/2014/main" id="{00000000-0008-0000-2300-000041887E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333375</xdr:colOff>
      <xdr:row>77</xdr:row>
      <xdr:rowOff>171450</xdr:rowOff>
    </xdr:from>
    <xdr:ext cx="5467350" cy="3533775"/>
    <xdr:graphicFrame macro="">
      <xdr:nvGraphicFramePr>
        <xdr:cNvPr id="1703646650" name="Chart 85">
          <a:extLst>
            <a:ext uri="{FF2B5EF4-FFF2-40B4-BE49-F238E27FC236}">
              <a16:creationId xmlns:a16="http://schemas.microsoft.com/office/drawing/2014/main" id="{00000000-0008-0000-2400-0000BA958B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9525</xdr:colOff>
      <xdr:row>63</xdr:row>
      <xdr:rowOff>76200</xdr:rowOff>
    </xdr:from>
    <xdr:ext cx="4000500" cy="2876550"/>
    <xdr:graphicFrame macro="">
      <xdr:nvGraphicFramePr>
        <xdr:cNvPr id="1059739362" name="Chart 86">
          <a:extLst>
            <a:ext uri="{FF2B5EF4-FFF2-40B4-BE49-F238E27FC236}">
              <a16:creationId xmlns:a16="http://schemas.microsoft.com/office/drawing/2014/main" id="{00000000-0008-0000-2500-0000E2562A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1</xdr:col>
      <xdr:colOff>1014411</xdr:colOff>
      <xdr:row>41</xdr:row>
      <xdr:rowOff>9524</xdr:rowOff>
    </xdr:from>
    <xdr:to>
      <xdr:col>23</xdr:col>
      <xdr:colOff>209550</xdr:colOff>
      <xdr:row>55</xdr:row>
      <xdr:rowOff>171449</xdr:rowOff>
    </xdr:to>
    <xdr:graphicFrame macro="">
      <xdr:nvGraphicFramePr>
        <xdr:cNvPr id="2" name="Chart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38</xdr:row>
      <xdr:rowOff>38100</xdr:rowOff>
    </xdr:from>
    <xdr:ext cx="4448175" cy="2876550"/>
    <xdr:graphicFrame macro="">
      <xdr:nvGraphicFramePr>
        <xdr:cNvPr id="1196937726" name="Chart 89">
          <a:extLst>
            <a:ext uri="{FF2B5EF4-FFF2-40B4-BE49-F238E27FC236}">
              <a16:creationId xmlns:a16="http://schemas.microsoft.com/office/drawing/2014/main" id="{00000000-0008-0000-2600-0000FED157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66</xdr:row>
      <xdr:rowOff>57150</xdr:rowOff>
    </xdr:from>
    <xdr:ext cx="4048125" cy="2876550"/>
    <xdr:graphicFrame macro="">
      <xdr:nvGraphicFramePr>
        <xdr:cNvPr id="1681696220" name="Chart 90">
          <a:extLst>
            <a:ext uri="{FF2B5EF4-FFF2-40B4-BE49-F238E27FC236}">
              <a16:creationId xmlns:a16="http://schemas.microsoft.com/office/drawing/2014/main" id="{00000000-0008-0000-2600-0000DCA53C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38100</xdr:colOff>
      <xdr:row>40</xdr:row>
      <xdr:rowOff>66675</xdr:rowOff>
    </xdr:from>
    <xdr:ext cx="5000625" cy="2876550"/>
    <xdr:graphicFrame macro="">
      <xdr:nvGraphicFramePr>
        <xdr:cNvPr id="407666173" name="Chart 92">
          <a:extLst>
            <a:ext uri="{FF2B5EF4-FFF2-40B4-BE49-F238E27FC236}">
              <a16:creationId xmlns:a16="http://schemas.microsoft.com/office/drawing/2014/main" id="{00000000-0008-0000-2700-0000FD7D4C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19050</xdr:colOff>
      <xdr:row>66</xdr:row>
      <xdr:rowOff>85725</xdr:rowOff>
    </xdr:from>
    <xdr:ext cx="3914775" cy="2857500"/>
    <xdr:graphicFrame macro="">
      <xdr:nvGraphicFramePr>
        <xdr:cNvPr id="2028109318" name="Chart 93">
          <a:extLst>
            <a:ext uri="{FF2B5EF4-FFF2-40B4-BE49-F238E27FC236}">
              <a16:creationId xmlns:a16="http://schemas.microsoft.com/office/drawing/2014/main" id="{00000000-0008-0000-2700-0000067EE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6.xml><?xml version="1.0" encoding="utf-8"?>
<xdr:wsDr xmlns:xdr="http://schemas.openxmlformats.org/drawingml/2006/spreadsheetDrawing" xmlns:a="http://schemas.openxmlformats.org/drawingml/2006/main">
  <xdr:oneCellAnchor>
    <xdr:from>
      <xdr:col>4</xdr:col>
      <xdr:colOff>1172845</xdr:colOff>
      <xdr:row>39</xdr:row>
      <xdr:rowOff>165100</xdr:rowOff>
    </xdr:from>
    <xdr:ext cx="4324350" cy="3724275"/>
    <xdr:graphicFrame macro="">
      <xdr:nvGraphicFramePr>
        <xdr:cNvPr id="2005000489" name="Chart 96">
          <a:extLst>
            <a:ext uri="{FF2B5EF4-FFF2-40B4-BE49-F238E27FC236}">
              <a16:creationId xmlns:a16="http://schemas.microsoft.com/office/drawing/2014/main" id="{00000000-0008-0000-2800-000029E18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27305</xdr:colOff>
      <xdr:row>62</xdr:row>
      <xdr:rowOff>8255</xdr:rowOff>
    </xdr:from>
    <xdr:ext cx="4238625" cy="3095625"/>
    <xdr:graphicFrame macro="">
      <xdr:nvGraphicFramePr>
        <xdr:cNvPr id="2086855583" name="Chart 97">
          <a:extLst>
            <a:ext uri="{FF2B5EF4-FFF2-40B4-BE49-F238E27FC236}">
              <a16:creationId xmlns:a16="http://schemas.microsoft.com/office/drawing/2014/main" id="{00000000-0008-0000-2800-00009FE362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7.xml><?xml version="1.0" encoding="utf-8"?>
<xdr:wsDr xmlns:xdr="http://schemas.openxmlformats.org/drawingml/2006/spreadsheetDrawing" xmlns:a="http://schemas.openxmlformats.org/drawingml/2006/main">
  <xdr:oneCellAnchor>
    <xdr:from>
      <xdr:col>4</xdr:col>
      <xdr:colOff>586740</xdr:colOff>
      <xdr:row>21</xdr:row>
      <xdr:rowOff>8255</xdr:rowOff>
    </xdr:from>
    <xdr:ext cx="4333875" cy="3200400"/>
    <xdr:graphicFrame macro="">
      <xdr:nvGraphicFramePr>
        <xdr:cNvPr id="1223036535" name="Chart 99">
          <a:extLst>
            <a:ext uri="{FF2B5EF4-FFF2-40B4-BE49-F238E27FC236}">
              <a16:creationId xmlns:a16="http://schemas.microsoft.com/office/drawing/2014/main" id="{00000000-0008-0000-2900-0000770EE6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8255</xdr:colOff>
      <xdr:row>46</xdr:row>
      <xdr:rowOff>27305</xdr:rowOff>
    </xdr:from>
    <xdr:ext cx="4352925" cy="3267075"/>
    <xdr:graphicFrame macro="">
      <xdr:nvGraphicFramePr>
        <xdr:cNvPr id="1403478208" name="Chart 100">
          <a:extLst>
            <a:ext uri="{FF2B5EF4-FFF2-40B4-BE49-F238E27FC236}">
              <a16:creationId xmlns:a16="http://schemas.microsoft.com/office/drawing/2014/main" id="{00000000-0008-0000-2900-0000C060A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8.xml><?xml version="1.0" encoding="utf-8"?>
<xdr:wsDr xmlns:xdr="http://schemas.openxmlformats.org/drawingml/2006/spreadsheetDrawing" xmlns:a="http://schemas.openxmlformats.org/drawingml/2006/main">
  <xdr:twoCellAnchor>
    <xdr:from>
      <xdr:col>0</xdr:col>
      <xdr:colOff>1543049</xdr:colOff>
      <xdr:row>19</xdr:row>
      <xdr:rowOff>180975</xdr:rowOff>
    </xdr:from>
    <xdr:to>
      <xdr:col>25</xdr:col>
      <xdr:colOff>733424</xdr:colOff>
      <xdr:row>34</xdr:row>
      <xdr:rowOff>104775</xdr:rowOff>
    </xdr:to>
    <xdr:graphicFrame macro="">
      <xdr:nvGraphicFramePr>
        <xdr:cNvPr id="4" name="Chart 3">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280987</xdr:colOff>
      <xdr:row>40</xdr:row>
      <xdr:rowOff>19050</xdr:rowOff>
    </xdr:from>
    <xdr:to>
      <xdr:col>22</xdr:col>
      <xdr:colOff>119062</xdr:colOff>
      <xdr:row>54</xdr:row>
      <xdr:rowOff>28575</xdr:rowOff>
    </xdr:to>
    <xdr:graphicFrame macro="">
      <xdr:nvGraphicFramePr>
        <xdr:cNvPr id="5" name="Chart 4">
          <a:extLst>
            <a:ext uri="{FF2B5EF4-FFF2-40B4-BE49-F238E27FC236}">
              <a16:creationId xmlns:a16="http://schemas.microsoft.com/office/drawing/2014/main" id="{00000000-0008-0000-2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oneCellAnchor>
    <xdr:from>
      <xdr:col>0</xdr:col>
      <xdr:colOff>1615440</xdr:colOff>
      <xdr:row>45</xdr:row>
      <xdr:rowOff>0</xdr:rowOff>
    </xdr:from>
    <xdr:ext cx="4010025" cy="3114675"/>
    <xdr:graphicFrame macro="">
      <xdr:nvGraphicFramePr>
        <xdr:cNvPr id="1157782404" name="Chart 104">
          <a:extLst>
            <a:ext uri="{FF2B5EF4-FFF2-40B4-BE49-F238E27FC236}">
              <a16:creationId xmlns:a16="http://schemas.microsoft.com/office/drawing/2014/main" id="{00000000-0008-0000-2B00-0000845B02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12</xdr:col>
      <xdr:colOff>57150</xdr:colOff>
      <xdr:row>62</xdr:row>
      <xdr:rowOff>57150</xdr:rowOff>
    </xdr:from>
    <xdr:ext cx="4810125" cy="3600450"/>
    <xdr:graphicFrame macro="">
      <xdr:nvGraphicFramePr>
        <xdr:cNvPr id="964740999" name="Chart 105">
          <a:extLst>
            <a:ext uri="{FF2B5EF4-FFF2-40B4-BE49-F238E27FC236}">
              <a16:creationId xmlns:a16="http://schemas.microsoft.com/office/drawing/2014/main" id="{00000000-0008-0000-2B00-000087C780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72</xdr:row>
      <xdr:rowOff>38100</xdr:rowOff>
    </xdr:from>
    <xdr:ext cx="4667250" cy="2876550"/>
    <xdr:graphicFrame macro="">
      <xdr:nvGraphicFramePr>
        <xdr:cNvPr id="472865377" name="Chart 4">
          <a:extLst>
            <a:ext uri="{FF2B5EF4-FFF2-40B4-BE49-F238E27FC236}">
              <a16:creationId xmlns:a16="http://schemas.microsoft.com/office/drawing/2014/main" id="{00000000-0008-0000-0600-0000615A2F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0.xml><?xml version="1.0" encoding="utf-8"?>
<xdr:wsDr xmlns:xdr="http://schemas.openxmlformats.org/drawingml/2006/spreadsheetDrawing" xmlns:a="http://schemas.openxmlformats.org/drawingml/2006/main">
  <xdr:oneCellAnchor>
    <xdr:from>
      <xdr:col>5</xdr:col>
      <xdr:colOff>19050</xdr:colOff>
      <xdr:row>81</xdr:row>
      <xdr:rowOff>28575</xdr:rowOff>
    </xdr:from>
    <xdr:ext cx="3962400" cy="3076575"/>
    <xdr:graphicFrame macro="">
      <xdr:nvGraphicFramePr>
        <xdr:cNvPr id="1188233406" name="Chart 109">
          <a:extLst>
            <a:ext uri="{FF2B5EF4-FFF2-40B4-BE49-F238E27FC236}">
              <a16:creationId xmlns:a16="http://schemas.microsoft.com/office/drawing/2014/main" id="{00000000-0008-0000-2C00-0000BE00D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748030</xdr:colOff>
      <xdr:row>98</xdr:row>
      <xdr:rowOff>1</xdr:rowOff>
    </xdr:from>
    <xdr:ext cx="4490720" cy="4229099"/>
    <xdr:graphicFrame macro="">
      <xdr:nvGraphicFramePr>
        <xdr:cNvPr id="295905692" name="Chart 110">
          <a:extLst>
            <a:ext uri="{FF2B5EF4-FFF2-40B4-BE49-F238E27FC236}">
              <a16:creationId xmlns:a16="http://schemas.microsoft.com/office/drawing/2014/main" id="{00000000-0008-0000-2C00-00009C29A3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1.xml><?xml version="1.0" encoding="utf-8"?>
<xdr:wsDr xmlns:xdr="http://schemas.openxmlformats.org/drawingml/2006/spreadsheetDrawing" xmlns:a="http://schemas.openxmlformats.org/drawingml/2006/main">
  <xdr:twoCellAnchor>
    <xdr:from>
      <xdr:col>2</xdr:col>
      <xdr:colOff>346135</xdr:colOff>
      <xdr:row>2</xdr:row>
      <xdr:rowOff>120546</xdr:rowOff>
    </xdr:from>
    <xdr:to>
      <xdr:col>40</xdr:col>
      <xdr:colOff>311726</xdr:colOff>
      <xdr:row>49</xdr:row>
      <xdr:rowOff>138546</xdr:rowOff>
    </xdr:to>
    <xdr:graphicFrame macro="">
      <xdr:nvGraphicFramePr>
        <xdr:cNvPr id="3" name="Chart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2</xdr:col>
      <xdr:colOff>466725</xdr:colOff>
      <xdr:row>34</xdr:row>
      <xdr:rowOff>95250</xdr:rowOff>
    </xdr:from>
    <xdr:ext cx="4191000" cy="3124200"/>
    <xdr:graphicFrame macro="">
      <xdr:nvGraphicFramePr>
        <xdr:cNvPr id="1328579057" name="Chart 111">
          <a:extLst>
            <a:ext uri="{FF2B5EF4-FFF2-40B4-BE49-F238E27FC236}">
              <a16:creationId xmlns:a16="http://schemas.microsoft.com/office/drawing/2014/main" id="{00000000-0008-0000-2E00-0000F18130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3.xml><?xml version="1.0" encoding="utf-8"?>
<xdr:wsDr xmlns:xdr="http://schemas.openxmlformats.org/drawingml/2006/spreadsheetDrawing" xmlns:a="http://schemas.openxmlformats.org/drawingml/2006/main">
  <xdr:oneCellAnchor>
    <xdr:from>
      <xdr:col>8</xdr:col>
      <xdr:colOff>260350</xdr:colOff>
      <xdr:row>180</xdr:row>
      <xdr:rowOff>107951</xdr:rowOff>
    </xdr:from>
    <xdr:ext cx="5556250" cy="4641849"/>
    <xdr:graphicFrame macro="">
      <xdr:nvGraphicFramePr>
        <xdr:cNvPr id="2097064443" name="Chart 116">
          <a:extLst>
            <a:ext uri="{FF2B5EF4-FFF2-40B4-BE49-F238E27FC236}">
              <a16:creationId xmlns:a16="http://schemas.microsoft.com/office/drawing/2014/main" id="{00000000-0008-0000-2F00-0000FBA9F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15875</xdr:colOff>
      <xdr:row>353</xdr:row>
      <xdr:rowOff>31750</xdr:rowOff>
    </xdr:from>
    <xdr:ext cx="8448675" cy="1314450"/>
    <xdr:sp macro="" textlink="">
      <xdr:nvSpPr>
        <xdr:cNvPr id="4" name="Shape 4">
          <a:extLst>
            <a:ext uri="{FF2B5EF4-FFF2-40B4-BE49-F238E27FC236}">
              <a16:creationId xmlns:a16="http://schemas.microsoft.com/office/drawing/2014/main" id="{00000000-0008-0000-2F00-000004000000}"/>
            </a:ext>
          </a:extLst>
        </xdr:cNvPr>
        <xdr:cNvSpPr txBox="1"/>
      </xdr:nvSpPr>
      <xdr:spPr>
        <a:xfrm>
          <a:off x="7769225" y="7080250"/>
          <a:ext cx="8448675" cy="13144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“Differentials subtract Chinese visits abroad to a particular country from Chinese visits hosted; they measure whether PLA officers are visiting a particular country more than they are hosting officials from that country.  They measure which country is trying harder to improve the relationship (by sending more officials than it hosts). Positive numbers indicate the foreign country is trying harder; negative numbers indicate China is trying harder. Differentials are not relevant for organizations, since each organization has its own rules for deciding who will host meetings.”</a:t>
          </a:r>
          <a:endParaRPr sz="1400"/>
        </a:p>
        <a:p>
          <a:pPr marL="0" lvl="0" indent="0" algn="l" rtl="0">
            <a:spcBef>
              <a:spcPts val="0"/>
            </a:spcBef>
            <a:spcAft>
              <a:spcPts val="0"/>
            </a:spcAft>
            <a:buNone/>
          </a:pPr>
          <a:endParaRPr sz="1100"/>
        </a:p>
      </xdr:txBody>
    </xdr:sp>
    <xdr:clientData fLocksWithSheet="0"/>
  </xdr:oneCellAnchor>
</xdr:wsDr>
</file>

<file path=xl/drawings/drawing44.xml><?xml version="1.0" encoding="utf-8"?>
<xdr:wsDr xmlns:xdr="http://schemas.openxmlformats.org/drawingml/2006/spreadsheetDrawing" xmlns:a="http://schemas.openxmlformats.org/drawingml/2006/main">
  <xdr:oneCellAnchor>
    <xdr:from>
      <xdr:col>8</xdr:col>
      <xdr:colOff>0</xdr:colOff>
      <xdr:row>8</xdr:row>
      <xdr:rowOff>3175</xdr:rowOff>
    </xdr:from>
    <xdr:ext cx="4254500" cy="2994025"/>
    <xdr:graphicFrame macro="">
      <xdr:nvGraphicFramePr>
        <xdr:cNvPr id="1944512686" name="Chart 117">
          <a:extLst>
            <a:ext uri="{FF2B5EF4-FFF2-40B4-BE49-F238E27FC236}">
              <a16:creationId xmlns:a16="http://schemas.microsoft.com/office/drawing/2014/main" id="{00000000-0008-0000-3000-0000AEE8E6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22860</xdr:colOff>
      <xdr:row>166</xdr:row>
      <xdr:rowOff>13335</xdr:rowOff>
    </xdr:from>
    <xdr:ext cx="4219575" cy="2762250"/>
    <xdr:sp macro="" textlink="">
      <xdr:nvSpPr>
        <xdr:cNvPr id="6" name="Shape 6">
          <a:extLst>
            <a:ext uri="{FF2B5EF4-FFF2-40B4-BE49-F238E27FC236}">
              <a16:creationId xmlns:a16="http://schemas.microsoft.com/office/drawing/2014/main" id="{00000000-0008-0000-3000-000006000000}"/>
            </a:ext>
          </a:extLst>
        </xdr:cNvPr>
        <xdr:cNvSpPr txBox="1"/>
      </xdr:nvSpPr>
      <xdr:spPr>
        <a:xfrm>
          <a:off x="8430260" y="5518785"/>
          <a:ext cx="4219575" cy="27622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“Differentials subtract Chinese visits abroad to a particular country from Chinese visits hosted; they measure whether PLA officers are visiting a particular country more than they are hosting officials from that country.  They measure which country is trying harder to improve the relationship (by sending more officials than it hosts). Positive numbers indicate the foreign country is trying harder; negative numbers indicate China is trying harder. Differentials are not relevant for organizations, since each organization has its own rules for deciding who will host meetings.”</a:t>
          </a:r>
          <a:endParaRPr sz="1400"/>
        </a:p>
        <a:p>
          <a:pPr marL="0" marR="0" lvl="0" indent="0" algn="l" rtl="0">
            <a:lnSpc>
              <a:spcPct val="100000"/>
            </a:lnSpc>
            <a:spcBef>
              <a:spcPts val="0"/>
            </a:spcBef>
            <a:spcAft>
              <a:spcPts val="0"/>
            </a:spcAft>
            <a:buSzPts val="1100"/>
            <a:buFont typeface="Arial"/>
            <a:buNone/>
          </a:pPr>
          <a:endParaRPr sz="1100">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"Weighted differentials give each visit a score based on the seniority of the official visiting, then subtract the weighted score of Chinese military visits abroad to a particular country from the weighted score of visits that China hosts.  They measure which country is trying harder to improve the relationship (by sending more, and more senior, officials than it hosts)."</a:t>
          </a:r>
          <a:endParaRPr sz="1100">
            <a:solidFill>
              <a:schemeClr val="dk1"/>
            </a:solidFill>
            <a:latin typeface="Calibri"/>
            <a:ea typeface="Calibri"/>
            <a:cs typeface="Calibri"/>
            <a:sym typeface="Calibri"/>
          </a:endParaRPr>
        </a:p>
        <a:p>
          <a:pPr marL="0" lvl="0" indent="0" algn="l" rtl="0">
            <a:spcBef>
              <a:spcPts val="0"/>
            </a:spcBef>
            <a:spcAft>
              <a:spcPts val="0"/>
            </a:spcAft>
            <a:buNone/>
          </a:pPr>
          <a:endParaRPr sz="1100"/>
        </a:p>
      </xdr:txBody>
    </xdr:sp>
    <xdr:clientData fLocksWithSheet="0"/>
  </xdr:oneCellAnchor>
</xdr:wsDr>
</file>

<file path=xl/drawings/drawing45.xml><?xml version="1.0" encoding="utf-8"?>
<xdr:wsDr xmlns:xdr="http://schemas.openxmlformats.org/drawingml/2006/spreadsheetDrawing" xmlns:a="http://schemas.openxmlformats.org/drawingml/2006/main">
  <xdr:twoCellAnchor>
    <xdr:from>
      <xdr:col>20</xdr:col>
      <xdr:colOff>595312</xdr:colOff>
      <xdr:row>10</xdr:row>
      <xdr:rowOff>47625</xdr:rowOff>
    </xdr:from>
    <xdr:to>
      <xdr:col>28</xdr:col>
      <xdr:colOff>290512</xdr:colOff>
      <xdr:row>24</xdr:row>
      <xdr:rowOff>123825</xdr:rowOff>
    </xdr:to>
    <xdr:graphicFrame macro="">
      <xdr:nvGraphicFramePr>
        <xdr:cNvPr id="2" name="Chart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8</xdr:col>
      <xdr:colOff>387350</xdr:colOff>
      <xdr:row>6</xdr:row>
      <xdr:rowOff>21590</xdr:rowOff>
    </xdr:from>
    <xdr:ext cx="5181600" cy="3838575"/>
    <xdr:graphicFrame macro="">
      <xdr:nvGraphicFramePr>
        <xdr:cNvPr id="601406672" name="Chart 119">
          <a:extLst>
            <a:ext uri="{FF2B5EF4-FFF2-40B4-BE49-F238E27FC236}">
              <a16:creationId xmlns:a16="http://schemas.microsoft.com/office/drawing/2014/main" id="{00000000-0008-0000-3900-0000D0BCD8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0</xdr:colOff>
      <xdr:row>37</xdr:row>
      <xdr:rowOff>133350</xdr:rowOff>
    </xdr:from>
    <xdr:ext cx="5238750" cy="3381375"/>
    <xdr:graphicFrame macro="">
      <xdr:nvGraphicFramePr>
        <xdr:cNvPr id="1799989382" name="Chart 120">
          <a:extLst>
            <a:ext uri="{FF2B5EF4-FFF2-40B4-BE49-F238E27FC236}">
              <a16:creationId xmlns:a16="http://schemas.microsoft.com/office/drawing/2014/main" id="{00000000-0008-0000-3900-000086A849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7</xdr:col>
      <xdr:colOff>9525</xdr:colOff>
      <xdr:row>69</xdr:row>
      <xdr:rowOff>19050</xdr:rowOff>
    </xdr:from>
    <xdr:ext cx="5219700" cy="3209925"/>
    <xdr:graphicFrame macro="">
      <xdr:nvGraphicFramePr>
        <xdr:cNvPr id="107124532" name="Chart 121">
          <a:extLst>
            <a:ext uri="{FF2B5EF4-FFF2-40B4-BE49-F238E27FC236}">
              <a16:creationId xmlns:a16="http://schemas.microsoft.com/office/drawing/2014/main" id="{00000000-0008-0000-3900-0000349762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xdr:col>
      <xdr:colOff>0</xdr:colOff>
      <xdr:row>98</xdr:row>
      <xdr:rowOff>171450</xdr:rowOff>
    </xdr:from>
    <xdr:ext cx="5267325" cy="3581400"/>
    <xdr:graphicFrame macro="">
      <xdr:nvGraphicFramePr>
        <xdr:cNvPr id="1080111884" name="Chart 122">
          <a:extLst>
            <a:ext uri="{FF2B5EF4-FFF2-40B4-BE49-F238E27FC236}">
              <a16:creationId xmlns:a16="http://schemas.microsoft.com/office/drawing/2014/main" id="{00000000-0008-0000-3900-00000C336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7</xdr:col>
      <xdr:colOff>0</xdr:colOff>
      <xdr:row>130</xdr:row>
      <xdr:rowOff>0</xdr:rowOff>
    </xdr:from>
    <xdr:ext cx="5219700" cy="3505200"/>
    <xdr:graphicFrame macro="">
      <xdr:nvGraphicFramePr>
        <xdr:cNvPr id="1102222619" name="Chart 123">
          <a:extLst>
            <a:ext uri="{FF2B5EF4-FFF2-40B4-BE49-F238E27FC236}">
              <a16:creationId xmlns:a16="http://schemas.microsoft.com/office/drawing/2014/main" id="{00000000-0008-0000-3900-00001B95B2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7</xdr:col>
      <xdr:colOff>0</xdr:colOff>
      <xdr:row>160</xdr:row>
      <xdr:rowOff>0</xdr:rowOff>
    </xdr:from>
    <xdr:ext cx="4924425" cy="3800475"/>
    <xdr:graphicFrame macro="">
      <xdr:nvGraphicFramePr>
        <xdr:cNvPr id="2078342927" name="Chart 124">
          <a:extLst>
            <a:ext uri="{FF2B5EF4-FFF2-40B4-BE49-F238E27FC236}">
              <a16:creationId xmlns:a16="http://schemas.microsoft.com/office/drawing/2014/main" id="{00000000-0008-0000-3900-00000FFFE0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7</xdr:col>
      <xdr:colOff>0</xdr:colOff>
      <xdr:row>190</xdr:row>
      <xdr:rowOff>0</xdr:rowOff>
    </xdr:from>
    <xdr:ext cx="4953000" cy="3200400"/>
    <xdr:graphicFrame macro="">
      <xdr:nvGraphicFramePr>
        <xdr:cNvPr id="948211505" name="Chart 125">
          <a:extLst>
            <a:ext uri="{FF2B5EF4-FFF2-40B4-BE49-F238E27FC236}">
              <a16:creationId xmlns:a16="http://schemas.microsoft.com/office/drawing/2014/main" id="{00000000-0008-0000-3900-0000318F84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7</xdr:col>
      <xdr:colOff>0</xdr:colOff>
      <xdr:row>222</xdr:row>
      <xdr:rowOff>0</xdr:rowOff>
    </xdr:from>
    <xdr:ext cx="4886325" cy="3743325"/>
    <xdr:graphicFrame macro="">
      <xdr:nvGraphicFramePr>
        <xdr:cNvPr id="361939837" name="Chart 126">
          <a:extLst>
            <a:ext uri="{FF2B5EF4-FFF2-40B4-BE49-F238E27FC236}">
              <a16:creationId xmlns:a16="http://schemas.microsoft.com/office/drawing/2014/main" id="{00000000-0008-0000-3900-00007DC392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7</xdr:col>
      <xdr:colOff>0</xdr:colOff>
      <xdr:row>255</xdr:row>
      <xdr:rowOff>171450</xdr:rowOff>
    </xdr:from>
    <xdr:ext cx="4924425" cy="3571875"/>
    <xdr:graphicFrame macro="">
      <xdr:nvGraphicFramePr>
        <xdr:cNvPr id="1252475595" name="Chart 127">
          <a:extLst>
            <a:ext uri="{FF2B5EF4-FFF2-40B4-BE49-F238E27FC236}">
              <a16:creationId xmlns:a16="http://schemas.microsoft.com/office/drawing/2014/main" id="{00000000-0008-0000-3900-0000CB42A7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7</xdr:col>
      <xdr:colOff>0</xdr:colOff>
      <xdr:row>289</xdr:row>
      <xdr:rowOff>57150</xdr:rowOff>
    </xdr:from>
    <xdr:ext cx="4914900" cy="3400425"/>
    <xdr:graphicFrame macro="">
      <xdr:nvGraphicFramePr>
        <xdr:cNvPr id="1403837803" name="Chart 128">
          <a:extLst>
            <a:ext uri="{FF2B5EF4-FFF2-40B4-BE49-F238E27FC236}">
              <a16:creationId xmlns:a16="http://schemas.microsoft.com/office/drawing/2014/main" id="{00000000-0008-0000-3900-00006BDDAC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7</xdr:col>
      <xdr:colOff>9525</xdr:colOff>
      <xdr:row>327</xdr:row>
      <xdr:rowOff>19050</xdr:rowOff>
    </xdr:from>
    <xdr:ext cx="4933950" cy="3114675"/>
    <xdr:graphicFrame macro="">
      <xdr:nvGraphicFramePr>
        <xdr:cNvPr id="1242921961" name="Chart 129">
          <a:extLst>
            <a:ext uri="{FF2B5EF4-FFF2-40B4-BE49-F238E27FC236}">
              <a16:creationId xmlns:a16="http://schemas.microsoft.com/office/drawing/2014/main" id="{00000000-0008-0000-3900-0000E97B15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7</xdr:col>
      <xdr:colOff>0</xdr:colOff>
      <xdr:row>364</xdr:row>
      <xdr:rowOff>28575</xdr:rowOff>
    </xdr:from>
    <xdr:ext cx="4972050" cy="3267075"/>
    <xdr:graphicFrame macro="">
      <xdr:nvGraphicFramePr>
        <xdr:cNvPr id="1568829721" name="Chart 130">
          <a:extLst>
            <a:ext uri="{FF2B5EF4-FFF2-40B4-BE49-F238E27FC236}">
              <a16:creationId xmlns:a16="http://schemas.microsoft.com/office/drawing/2014/main" id="{00000000-0008-0000-3900-0000197182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7</xdr:col>
      <xdr:colOff>0</xdr:colOff>
      <xdr:row>432</xdr:row>
      <xdr:rowOff>0</xdr:rowOff>
    </xdr:from>
    <xdr:ext cx="4991100" cy="3476625"/>
    <xdr:graphicFrame macro="">
      <xdr:nvGraphicFramePr>
        <xdr:cNvPr id="2084055732" name="Chart 131">
          <a:extLst>
            <a:ext uri="{FF2B5EF4-FFF2-40B4-BE49-F238E27FC236}">
              <a16:creationId xmlns:a16="http://schemas.microsoft.com/office/drawing/2014/main" id="{00000000-0008-0000-3900-0000B42A38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7</xdr:col>
      <xdr:colOff>9525</xdr:colOff>
      <xdr:row>464</xdr:row>
      <xdr:rowOff>152400</xdr:rowOff>
    </xdr:from>
    <xdr:ext cx="4953000" cy="3400425"/>
    <xdr:graphicFrame macro="">
      <xdr:nvGraphicFramePr>
        <xdr:cNvPr id="540727226" name="Chart 132">
          <a:extLst>
            <a:ext uri="{FF2B5EF4-FFF2-40B4-BE49-F238E27FC236}">
              <a16:creationId xmlns:a16="http://schemas.microsoft.com/office/drawing/2014/main" id="{00000000-0008-0000-3900-0000BAD73A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7</xdr:col>
      <xdr:colOff>0</xdr:colOff>
      <xdr:row>497</xdr:row>
      <xdr:rowOff>152400</xdr:rowOff>
    </xdr:from>
    <xdr:ext cx="4991100" cy="3648075"/>
    <xdr:graphicFrame macro="">
      <xdr:nvGraphicFramePr>
        <xdr:cNvPr id="623874022" name="Chart 133">
          <a:extLst>
            <a:ext uri="{FF2B5EF4-FFF2-40B4-BE49-F238E27FC236}">
              <a16:creationId xmlns:a16="http://schemas.microsoft.com/office/drawing/2014/main" id="{00000000-0008-0000-3900-0000E68F2F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7</xdr:col>
      <xdr:colOff>0</xdr:colOff>
      <xdr:row>527</xdr:row>
      <xdr:rowOff>152400</xdr:rowOff>
    </xdr:from>
    <xdr:ext cx="5010150" cy="4057650"/>
    <xdr:graphicFrame macro="">
      <xdr:nvGraphicFramePr>
        <xdr:cNvPr id="324244710" name="Chart 134">
          <a:extLst>
            <a:ext uri="{FF2B5EF4-FFF2-40B4-BE49-F238E27FC236}">
              <a16:creationId xmlns:a16="http://schemas.microsoft.com/office/drawing/2014/main" id="{00000000-0008-0000-3900-0000E69453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7</xdr:col>
      <xdr:colOff>0</xdr:colOff>
      <xdr:row>558</xdr:row>
      <xdr:rowOff>0</xdr:rowOff>
    </xdr:from>
    <xdr:ext cx="4972050" cy="3352800"/>
    <xdr:graphicFrame macro="">
      <xdr:nvGraphicFramePr>
        <xdr:cNvPr id="578440028" name="Chart 135">
          <a:extLst>
            <a:ext uri="{FF2B5EF4-FFF2-40B4-BE49-F238E27FC236}">
              <a16:creationId xmlns:a16="http://schemas.microsoft.com/office/drawing/2014/main" id="{00000000-0008-0000-3900-00005C4B7A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7</xdr:col>
      <xdr:colOff>0</xdr:colOff>
      <xdr:row>590</xdr:row>
      <xdr:rowOff>0</xdr:rowOff>
    </xdr:from>
    <xdr:ext cx="4962525" cy="3495675"/>
    <xdr:graphicFrame macro="">
      <xdr:nvGraphicFramePr>
        <xdr:cNvPr id="829009558" name="Chart 136">
          <a:extLst>
            <a:ext uri="{FF2B5EF4-FFF2-40B4-BE49-F238E27FC236}">
              <a16:creationId xmlns:a16="http://schemas.microsoft.com/office/drawing/2014/main" id="{00000000-0008-0000-3900-000096AE69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twoCellAnchor>
    <xdr:from>
      <xdr:col>13</xdr:col>
      <xdr:colOff>276224</xdr:colOff>
      <xdr:row>621</xdr:row>
      <xdr:rowOff>95250</xdr:rowOff>
    </xdr:from>
    <xdr:to>
      <xdr:col>22</xdr:col>
      <xdr:colOff>219074</xdr:colOff>
      <xdr:row>638</xdr:row>
      <xdr:rowOff>114300</xdr:rowOff>
    </xdr:to>
    <xdr:graphicFrame macro="">
      <xdr:nvGraphicFramePr>
        <xdr:cNvPr id="3" name="Chart 2">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104774</xdr:colOff>
      <xdr:row>655</xdr:row>
      <xdr:rowOff>19050</xdr:rowOff>
    </xdr:from>
    <xdr:to>
      <xdr:col>22</xdr:col>
      <xdr:colOff>9524</xdr:colOff>
      <xdr:row>671</xdr:row>
      <xdr:rowOff>57150</xdr:rowOff>
    </xdr:to>
    <xdr:graphicFrame macro="">
      <xdr:nvGraphicFramePr>
        <xdr:cNvPr id="8" name="Chart 7">
          <a:extLst>
            <a:ext uri="{FF2B5EF4-FFF2-40B4-BE49-F238E27FC236}">
              <a16:creationId xmlns:a16="http://schemas.microsoft.com/office/drawing/2014/main" id="{00000000-0008-0000-3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323850</xdr:colOff>
      <xdr:row>685</xdr:row>
      <xdr:rowOff>180975</xdr:rowOff>
    </xdr:from>
    <xdr:to>
      <xdr:col>21</xdr:col>
      <xdr:colOff>247650</xdr:colOff>
      <xdr:row>700</xdr:row>
      <xdr:rowOff>66675</xdr:rowOff>
    </xdr:to>
    <xdr:graphicFrame macro="">
      <xdr:nvGraphicFramePr>
        <xdr:cNvPr id="9" name="Chart 8">
          <a:extLst>
            <a:ext uri="{FF2B5EF4-FFF2-40B4-BE49-F238E27FC236}">
              <a16:creationId xmlns:a16="http://schemas.microsoft.com/office/drawing/2014/main" id="{00000000-0008-0000-3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571500</xdr:colOff>
      <xdr:row>721</xdr:row>
      <xdr:rowOff>9525</xdr:rowOff>
    </xdr:from>
    <xdr:to>
      <xdr:col>21</xdr:col>
      <xdr:colOff>495300</xdr:colOff>
      <xdr:row>735</xdr:row>
      <xdr:rowOff>85725</xdr:rowOff>
    </xdr:to>
    <xdr:graphicFrame macro="">
      <xdr:nvGraphicFramePr>
        <xdr:cNvPr id="10" name="Chart 9">
          <a:extLst>
            <a:ext uri="{FF2B5EF4-FFF2-40B4-BE49-F238E27FC236}">
              <a16:creationId xmlns:a16="http://schemas.microsoft.com/office/drawing/2014/main" id="{00000000-0008-0000-3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2540</xdr:colOff>
      <xdr:row>392</xdr:row>
      <xdr:rowOff>186690</xdr:rowOff>
    </xdr:from>
    <xdr:to>
      <xdr:col>16</xdr:col>
      <xdr:colOff>209550</xdr:colOff>
      <xdr:row>411</xdr:row>
      <xdr:rowOff>19050</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422275</xdr:colOff>
      <xdr:row>32</xdr:row>
      <xdr:rowOff>81280</xdr:rowOff>
    </xdr:from>
    <xdr:ext cx="4975225" cy="3303270"/>
    <xdr:graphicFrame macro="">
      <xdr:nvGraphicFramePr>
        <xdr:cNvPr id="1555280438" name="Chart 137">
          <a:extLst>
            <a:ext uri="{FF2B5EF4-FFF2-40B4-BE49-F238E27FC236}">
              <a16:creationId xmlns:a16="http://schemas.microsoft.com/office/drawing/2014/main" id="{00000000-0008-0000-3A00-000036B2B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8.xml><?xml version="1.0" encoding="utf-8"?>
<xdr:wsDr xmlns:xdr="http://schemas.openxmlformats.org/drawingml/2006/spreadsheetDrawing" xmlns:a="http://schemas.openxmlformats.org/drawingml/2006/main">
  <xdr:oneCellAnchor>
    <xdr:from>
      <xdr:col>0</xdr:col>
      <xdr:colOff>144145</xdr:colOff>
      <xdr:row>34</xdr:row>
      <xdr:rowOff>144144</xdr:rowOff>
    </xdr:from>
    <xdr:ext cx="5024755" cy="3170555"/>
    <xdr:graphicFrame macro="">
      <xdr:nvGraphicFramePr>
        <xdr:cNvPr id="242933658" name="Chart 138">
          <a:extLst>
            <a:ext uri="{FF2B5EF4-FFF2-40B4-BE49-F238E27FC236}">
              <a16:creationId xmlns:a16="http://schemas.microsoft.com/office/drawing/2014/main" id="{00000000-0008-0000-3B00-00009ADF7A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6</xdr:col>
      <xdr:colOff>600075</xdr:colOff>
      <xdr:row>35</xdr:row>
      <xdr:rowOff>14287</xdr:rowOff>
    </xdr:from>
    <xdr:to>
      <xdr:col>11</xdr:col>
      <xdr:colOff>581025</xdr:colOff>
      <xdr:row>52</xdr:row>
      <xdr:rowOff>9525</xdr:rowOff>
    </xdr:to>
    <xdr:graphicFrame macro="">
      <xdr:nvGraphicFramePr>
        <xdr:cNvPr id="2" name="Chart 1">
          <a:extLst>
            <a:ext uri="{FF2B5EF4-FFF2-40B4-BE49-F238E27FC236}">
              <a16:creationId xmlns:a16="http://schemas.microsoft.com/office/drawing/2014/main" id="{F5172F5F-9641-07FB-D110-E0BFF3F85B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oneCellAnchor>
    <xdr:from>
      <xdr:col>2</xdr:col>
      <xdr:colOff>457200</xdr:colOff>
      <xdr:row>11</xdr:row>
      <xdr:rowOff>133350</xdr:rowOff>
    </xdr:from>
    <xdr:ext cx="4295775" cy="3886200"/>
    <xdr:graphicFrame macro="">
      <xdr:nvGraphicFramePr>
        <xdr:cNvPr id="1510964517" name="Chart 139">
          <a:extLst>
            <a:ext uri="{FF2B5EF4-FFF2-40B4-BE49-F238E27FC236}">
              <a16:creationId xmlns:a16="http://schemas.microsoft.com/office/drawing/2014/main" id="{00000000-0008-0000-3C00-0000257D0F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705485</xdr:colOff>
      <xdr:row>111</xdr:row>
      <xdr:rowOff>190500</xdr:rowOff>
    </xdr:from>
    <xdr:ext cx="7294245" cy="4197350"/>
    <xdr:graphicFrame macro="">
      <xdr:nvGraphicFramePr>
        <xdr:cNvPr id="726626876" name="Chart 141">
          <a:extLst>
            <a:ext uri="{FF2B5EF4-FFF2-40B4-BE49-F238E27FC236}">
              <a16:creationId xmlns:a16="http://schemas.microsoft.com/office/drawing/2014/main" id="{00000000-0008-0000-3C00-00003C724F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12066</xdr:colOff>
      <xdr:row>92</xdr:row>
      <xdr:rowOff>2541</xdr:rowOff>
    </xdr:from>
    <xdr:ext cx="6379210" cy="2997834"/>
    <xdr:graphicFrame macro="">
      <xdr:nvGraphicFramePr>
        <xdr:cNvPr id="263167784" name="Chart 142">
          <a:extLst>
            <a:ext uri="{FF2B5EF4-FFF2-40B4-BE49-F238E27FC236}">
              <a16:creationId xmlns:a16="http://schemas.microsoft.com/office/drawing/2014/main" id="{00000000-0008-0000-3C00-0000289FAF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twoCellAnchor>
    <xdr:from>
      <xdr:col>9</xdr:col>
      <xdr:colOff>28575</xdr:colOff>
      <xdr:row>68</xdr:row>
      <xdr:rowOff>195262</xdr:rowOff>
    </xdr:from>
    <xdr:to>
      <xdr:col>21</xdr:col>
      <xdr:colOff>161925</xdr:colOff>
      <xdr:row>85</xdr:row>
      <xdr:rowOff>47625</xdr:rowOff>
    </xdr:to>
    <xdr:graphicFrame macro="">
      <xdr:nvGraphicFramePr>
        <xdr:cNvPr id="2" name="Chart 1">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304800</xdr:colOff>
      <xdr:row>68</xdr:row>
      <xdr:rowOff>142875</xdr:rowOff>
    </xdr:from>
    <xdr:to>
      <xdr:col>8</xdr:col>
      <xdr:colOff>590550</xdr:colOff>
      <xdr:row>82</xdr:row>
      <xdr:rowOff>85725</xdr:rowOff>
    </xdr:to>
    <xdr:graphicFrame macro="">
      <xdr:nvGraphicFramePr>
        <xdr:cNvPr id="3" name="Chart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42</xdr:row>
      <xdr:rowOff>57150</xdr:rowOff>
    </xdr:from>
    <xdr:ext cx="4810125" cy="2971800"/>
    <xdr:graphicFrame macro="">
      <xdr:nvGraphicFramePr>
        <xdr:cNvPr id="518682829" name="Chart 6">
          <a:extLst>
            <a:ext uri="{FF2B5EF4-FFF2-40B4-BE49-F238E27FC236}">
              <a16:creationId xmlns:a16="http://schemas.microsoft.com/office/drawing/2014/main" id="{00000000-0008-0000-0700-0000CD78EA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32</xdr:row>
      <xdr:rowOff>114300</xdr:rowOff>
    </xdr:from>
    <xdr:ext cx="5667375" cy="3143250"/>
    <xdr:graphicFrame macro="">
      <xdr:nvGraphicFramePr>
        <xdr:cNvPr id="1137727858" name="Chart 143">
          <a:extLst>
            <a:ext uri="{FF2B5EF4-FFF2-40B4-BE49-F238E27FC236}">
              <a16:creationId xmlns:a16="http://schemas.microsoft.com/office/drawing/2014/main" id="{00000000-0008-0000-3D00-00007259D0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1.xml><?xml version="1.0" encoding="utf-8"?>
<xdr:wsDr xmlns:xdr="http://schemas.openxmlformats.org/drawingml/2006/spreadsheetDrawing" xmlns:a="http://schemas.openxmlformats.org/drawingml/2006/main">
  <xdr:oneCellAnchor>
    <xdr:from>
      <xdr:col>1</xdr:col>
      <xdr:colOff>1091565</xdr:colOff>
      <xdr:row>15</xdr:row>
      <xdr:rowOff>4445</xdr:rowOff>
    </xdr:from>
    <xdr:ext cx="6629400" cy="2886075"/>
    <xdr:graphicFrame macro="">
      <xdr:nvGraphicFramePr>
        <xdr:cNvPr id="720658915" name="Chart 144">
          <a:extLst>
            <a:ext uri="{FF2B5EF4-FFF2-40B4-BE49-F238E27FC236}">
              <a16:creationId xmlns:a16="http://schemas.microsoft.com/office/drawing/2014/main" id="{00000000-0008-0000-3E00-0000E361F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twoCellAnchor>
    <xdr:from>
      <xdr:col>2</xdr:col>
      <xdr:colOff>190500</xdr:colOff>
      <xdr:row>70</xdr:row>
      <xdr:rowOff>142874</xdr:rowOff>
    </xdr:from>
    <xdr:to>
      <xdr:col>21</xdr:col>
      <xdr:colOff>180975</xdr:colOff>
      <xdr:row>85</xdr:row>
      <xdr:rowOff>85724</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1276349</xdr:colOff>
      <xdr:row>14</xdr:row>
      <xdr:rowOff>190499</xdr:rowOff>
    </xdr:from>
    <xdr:ext cx="7172325" cy="3448051"/>
    <xdr:graphicFrame macro="">
      <xdr:nvGraphicFramePr>
        <xdr:cNvPr id="2" name="Chart 1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504825</xdr:colOff>
      <xdr:row>25</xdr:row>
      <xdr:rowOff>38100</xdr:rowOff>
    </xdr:from>
    <xdr:ext cx="4305300" cy="2867025"/>
    <xdr:graphicFrame macro="">
      <xdr:nvGraphicFramePr>
        <xdr:cNvPr id="1887137707" name="Chart 15">
          <a:extLst>
            <a:ext uri="{FF2B5EF4-FFF2-40B4-BE49-F238E27FC236}">
              <a16:creationId xmlns:a16="http://schemas.microsoft.com/office/drawing/2014/main" id="{00000000-0008-0000-0C00-0000AB6F7B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247650</xdr:colOff>
      <xdr:row>76</xdr:row>
      <xdr:rowOff>180975</xdr:rowOff>
    </xdr:from>
    <xdr:ext cx="4657725" cy="3105150"/>
    <xdr:graphicFrame macro="">
      <xdr:nvGraphicFramePr>
        <xdr:cNvPr id="1941849402" name="Chart 18">
          <a:extLst>
            <a:ext uri="{FF2B5EF4-FFF2-40B4-BE49-F238E27FC236}">
              <a16:creationId xmlns:a16="http://schemas.microsoft.com/office/drawing/2014/main" id="{00000000-0008-0000-0D00-00003A45BE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persons/person.xml><?xml version="1.0" encoding="utf-8"?>
<personList xmlns="http://schemas.microsoft.com/office/spreadsheetml/2018/threadedcomments" xmlns:x="http://schemas.openxmlformats.org/spreadsheetml/2006/main">
  <person displayName="Matt Kuhlman" id="{C0DA4D43-90A6-4110-978F-1FFA1018DA7C}" userId="baaa88dcf701d893"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aunders, Phillip " refreshedDate="45798.596310532404" refreshedVersion="8" recordCount="3066" xr:uid="{00000000-000A-0000-FFFF-FFFF02000000}">
  <cacheSource type="worksheet">
    <worksheetSource ref="A1:Z3067" sheet="PLA Military Diplomacy DB v500"/>
  </cacheSource>
  <cacheFields count="26">
    <cacheField name="Activity Category" numFmtId="0">
      <sharedItems count="3">
        <s v="Naval Port Call"/>
        <s v="Senior Level Visit"/>
        <s v="Military Exercise"/>
      </sharedItems>
    </cacheField>
    <cacheField name="Geographic Region" numFmtId="0">
      <sharedItems count="12">
        <s v="South Asia"/>
        <s v="Southeast Asia"/>
        <s v="North America"/>
        <s v="Russia"/>
        <s v="Northeast Asia"/>
        <s v="Oceania"/>
        <s v="Central Asia"/>
        <s v="Africa"/>
        <s v="Europe"/>
        <s v="Middle East"/>
        <s v="South America"/>
        <s v="N/A"/>
      </sharedItems>
    </cacheField>
    <cacheField name="Region (MND FAO)" numFmtId="0">
      <sharedItems/>
    </cacheField>
    <cacheField name="PRC Relationship Category" numFmtId="0">
      <sharedItems/>
    </cacheField>
    <cacheField name="U.S. Collective Defense Status" numFmtId="0">
      <sharedItems/>
    </cacheField>
    <cacheField name="US CCMD AOR" numFmtId="0">
      <sharedItems/>
    </cacheField>
    <cacheField name="Partner Country" numFmtId="0">
      <sharedItems count="173">
        <s v="Bangladesh"/>
        <s v="Myanmar"/>
        <s v="Pakistan"/>
        <s v="Sri Lanka"/>
        <s v="United States"/>
        <s v="Thailand"/>
        <s v="India"/>
        <s v="Russia"/>
        <s v="Indonesia"/>
        <s v="North Korea"/>
        <s v="Malaysia"/>
        <s v="Philippines"/>
        <s v="Australia"/>
        <s v="New Zealand"/>
        <s v="SCO"/>
        <s v="South Africa"/>
        <s v="Tanzania"/>
        <s v="Canada"/>
        <s v="Germany"/>
        <s v="Hong Kong"/>
        <s v="Italy"/>
        <s v="United Kingdom"/>
        <s v="France"/>
        <s v="Vietnam"/>
        <s v="Egypt"/>
        <s v="South Korea"/>
        <s v="Ukraine"/>
        <s v="Morocco"/>
        <s v="Congo"/>
        <s v="Greece"/>
        <s v="Kazakhstan"/>
        <s v="Kyrgyzstan"/>
        <s v="Nepal"/>
        <s v="Romania"/>
        <s v="Belarus"/>
        <s v="Croatia"/>
        <s v="Nigeria"/>
        <s v="Norway"/>
        <s v="Turkey"/>
        <s v="Singapore"/>
        <s v="Slovakia"/>
        <s v="Antigua and Barbuda"/>
        <s v="Bolivia"/>
        <s v="Brazil"/>
        <s v="Brunei"/>
        <s v="Colombia"/>
        <s v="Equatorial Guinea"/>
        <s v="Kenya"/>
        <s v="Portugal"/>
        <s v="Cuba"/>
        <s v="East Timor"/>
        <s v="Ecuador"/>
        <s v="Laos"/>
        <s v="Mongolia"/>
        <s v="Peru"/>
        <s v="Turkmenistan"/>
        <s v="Venezuela"/>
        <s v="Azerbaijan"/>
        <s v="Czech Republic"/>
        <s v="Poland"/>
        <s v="Tajikistan"/>
        <s v="Zambia"/>
        <s v="Argentina"/>
        <s v="Armenia"/>
        <s v="Benin"/>
        <s v="Cameroon"/>
        <s v="Chile"/>
        <s v="Gabon"/>
        <s v="Belgium"/>
        <s v="Namibia"/>
        <s v="Spain"/>
        <s v="Eritrea"/>
        <s v="Kuwait"/>
        <s v="Uzbekistan"/>
        <s v="Sudan"/>
        <s v="Trinidad and Tobago"/>
        <s v="Algeria"/>
        <s v="Mexico"/>
        <s v="Switzerland"/>
        <s v="Bulgaria"/>
        <s v="Guinea"/>
        <s v="Finland"/>
        <s v="Hungary"/>
        <s v="Japan"/>
        <s v="Mozambique"/>
        <s v="Tunisia"/>
        <s v="Zimbabwe"/>
        <s v="Ghana"/>
        <s v="Guyana"/>
        <s v="Iran"/>
        <s v="Sierra Leone"/>
        <s v="Suriname"/>
        <s v="Sweden"/>
        <s v="Botswana"/>
        <s v="Cambodia"/>
        <s v="Ethiopia"/>
        <s v="Togo"/>
        <s v="Uganda"/>
        <s v="Cyprus"/>
        <s v="Macedonia"/>
        <s v="Israel"/>
        <s v="Jordan"/>
        <s v="Syria"/>
        <s v="Barbados"/>
        <s v="Niger"/>
        <s v="Angola"/>
        <s v="United Arab Emirates"/>
        <s v="Uruguay"/>
        <s v="Austria"/>
        <s v="Guinea-Bissau"/>
        <s v="Lebanon"/>
        <s v="Lithuania"/>
        <s v="Serbia"/>
        <s v="Albania"/>
        <s v="Lesotho"/>
        <s v="Liberia"/>
        <s v="Denmark"/>
        <s v="Netherlands"/>
        <s v="Comoros"/>
        <s v="Djibouti"/>
        <s v="Vanuatu"/>
        <s v="Mali"/>
        <s v="Papua New Guinea"/>
        <s v="Afghanistan"/>
        <s v="Bosnia-Herzegovina"/>
        <s v="Central African Republic"/>
        <s v="Moldova"/>
        <s v="DR Congo"/>
        <s v="Fiji"/>
        <s v="Rwanda"/>
        <s v="Burundi"/>
        <s v="Qatar"/>
        <s v="Cape Verde"/>
        <s v="Chad"/>
        <s v="Estonia"/>
        <s v="Yemen"/>
        <s v="WPNS"/>
        <s v="IISS"/>
        <s v="Grenada"/>
        <s v="Seychelles"/>
        <s v="Ivory Coast"/>
        <s v="Madagascar"/>
        <s v="Saudi Arabia"/>
        <s v="Malawi"/>
        <s v="Tonga"/>
        <s v="Jamaica"/>
        <s v="Bahrain"/>
        <s v="Oman"/>
        <s v="Malta"/>
        <s v="Maldives"/>
        <s v="French Polynesia"/>
        <s v="NATO"/>
        <s v="Senegal"/>
        <s v="ASEAN"/>
        <s v="Slovenia"/>
        <s v="Montenegro"/>
        <s v="Costa Rica"/>
        <s v="Latvia"/>
        <s v="European Union"/>
        <s v="CELAC"/>
        <s v="Mauritania"/>
        <s v="N/A"/>
        <s v="Mauritius"/>
        <s v="United Nations"/>
        <s v="IONS"/>
        <s v="African Union"/>
        <s v="Dominica"/>
        <s v="Dominican Republic"/>
        <s v="Somalia"/>
        <s v="Timor-Leste"/>
        <s v="Pakistan " u="1"/>
        <s v="France " u="1"/>
        <s v="Kiribati" u="1"/>
      </sharedItems>
    </cacheField>
    <cacheField name="Year" numFmtId="0">
      <sharedItems containsSemiMixedTypes="0" containsString="0" containsNumber="1" containsInteger="1" minValue="1985" maxValue="2024" count="34">
        <n v="1985"/>
        <n v="1989"/>
        <n v="1990"/>
        <n v="1993"/>
        <n v="1994"/>
        <n v="1995"/>
        <n v="1996"/>
        <n v="1997"/>
        <n v="1998"/>
        <n v="2000"/>
        <n v="2001"/>
        <n v="2002"/>
        <n v="2003"/>
        <n v="2004"/>
        <n v="2005"/>
        <n v="2006"/>
        <n v="2007"/>
        <n v="2008"/>
        <n v="2009"/>
        <n v="2010"/>
        <n v="2011"/>
        <n v="2012"/>
        <n v="2013"/>
        <n v="2014"/>
        <n v="2015"/>
        <n v="2016"/>
        <n v="2017"/>
        <n v="2018"/>
        <n v="2019"/>
        <n v="2020"/>
        <n v="2021"/>
        <n v="2022"/>
        <n v="2023" u="1"/>
        <n v="2024" u="1"/>
      </sharedItems>
    </cacheField>
    <cacheField name="Month" numFmtId="0">
      <sharedItems containsString="0" containsBlank="1" containsNumber="1" containsInteger="1" minValue="1" maxValue="12"/>
    </cacheField>
    <cacheField name="Activity Type" numFmtId="0">
      <sharedItems count="17">
        <s v="Port Call - Friendly Visit"/>
        <s v="ML - Abroad"/>
        <s v="ML - Hosted"/>
        <s v="BL - Hosted"/>
        <s v="BL - Abroad"/>
        <s v="Military Exercise - Bilateral"/>
        <s v="Military Exercise - Multilateral"/>
        <s v="ML - Margins"/>
        <s v="Port Call - Friendly Visit "/>
        <s v="Port Call - Replenish/Overhaul"/>
        <s v="Port Call - Friendly Visit and Drills"/>
        <s v="Port Call - Replenish/Overhaul and Drills"/>
        <s v="Port Call - HADR/Friendly"/>
        <s v="Port Call - Replenish/Overhaul and Friendly Visit"/>
        <s v="Port Call - NEO"/>
        <s v="BL - Virtual"/>
        <s v="ML - Virtual"/>
      </sharedItems>
    </cacheField>
    <cacheField name="Person" numFmtId="0">
      <sharedItems containsBlank="1"/>
    </cacheField>
    <cacheField name="Trip Count - Abroad" numFmtId="0">
      <sharedItems containsNonDate="0" containsString="0" containsBlank="1"/>
    </cacheField>
    <cacheField name="Position" numFmtId="0">
      <sharedItems containsBlank="1"/>
    </cacheField>
    <cacheField name="Position Weight" numFmtId="0">
      <sharedItems containsBlank="1" containsMixedTypes="1" containsNumber="1" containsInteger="1" minValue="5" maxValue="10"/>
    </cacheField>
    <cacheField name="Visit Type " numFmtId="0">
      <sharedItems containsBlank="1" count="5">
        <m/>
        <s v="Abroad"/>
        <s v="Hosted"/>
        <s v=" "/>
        <s v="Virtual"/>
      </sharedItems>
    </cacheField>
    <cacheField name="Visit Counterpart" numFmtId="0">
      <sharedItems containsBlank="1"/>
    </cacheField>
    <cacheField name="MilEx Type" numFmtId="0">
      <sharedItems containsBlank="1" count="12">
        <m/>
        <s v="Anti-terrorism"/>
        <s v="MOOTW"/>
        <s v="Combat"/>
        <s v="Anti-piracy"/>
        <s v="Combat Support"/>
        <s v="Competition"/>
        <s v="Strategic CPX"/>
        <s v=" "/>
        <s v="Patrol"/>
        <s v="Anti-terrorism or combat?" u="1"/>
        <s v="Anti-piracy or anti-terrorism" u="1"/>
      </sharedItems>
    </cacheField>
    <cacheField name="MilEx Name" numFmtId="0">
      <sharedItems containsBlank="1"/>
    </cacheField>
    <cacheField name="MilEx Service" numFmtId="0">
      <sharedItems containsBlank="1" count="10">
        <m/>
        <s v="Army"/>
        <s v="Navy"/>
        <s v="Joint"/>
        <s v="PAP"/>
        <s v="Air Force"/>
        <s v=" "/>
        <s v="Coast Guard "/>
        <s v="Coast Guard"/>
        <s v="drill in XJ border region; combat cross-border smuggling and terrorist activities " u="1"/>
      </sharedItems>
    </cacheField>
    <cacheField name="MilEx Details" numFmtId="0">
      <sharedItems containsBlank="1"/>
    </cacheField>
    <cacheField name="ETF or NETF" numFmtId="0">
      <sharedItems containsBlank="1"/>
    </cacheField>
    <cacheField name="Port Call Voyage Identifier" numFmtId="0">
      <sharedItems containsBlank="1" containsMixedTypes="1" containsNumber="1" containsInteger="1" minValue="1985" maxValue="1985"/>
    </cacheField>
    <cacheField name="Associated Fleet" numFmtId="0">
      <sharedItems containsBlank="1"/>
    </cacheField>
    <cacheField name="Port Call Details" numFmtId="0">
      <sharedItems containsBlank="1"/>
    </cacheField>
    <cacheField name="Source" numFmtId="0">
      <sharedItems containsBlank="1"/>
    </cacheField>
    <cacheField name="Comment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aunders, Phillip " refreshedDate="45798.596317129632" createdVersion="8" refreshedVersion="8" minRefreshableVersion="3" recordCount="3379" xr:uid="{D2733D8E-24CC-410B-AB04-26A7CC1641CC}">
  <cacheSource type="worksheet">
    <worksheetSource ref="A1:X3953" sheet="PLA Military Diplomacy DB v500"/>
  </cacheSource>
  <cacheFields count="24">
    <cacheField name="Activity Category" numFmtId="0">
      <sharedItems containsBlank="1"/>
    </cacheField>
    <cacheField name="Geographic Region" numFmtId="0">
      <sharedItems containsBlank="1"/>
    </cacheField>
    <cacheField name="Region (MND FAO)" numFmtId="0">
      <sharedItems containsBlank="1"/>
    </cacheField>
    <cacheField name="PRC Relationship Category" numFmtId="0">
      <sharedItems containsBlank="1"/>
    </cacheField>
    <cacheField name="U.S. Collective Defense Status" numFmtId="0">
      <sharedItems containsBlank="1"/>
    </cacheField>
    <cacheField name="US CCMD AOR" numFmtId="0">
      <sharedItems containsBlank="1"/>
    </cacheField>
    <cacheField name="Partner Country" numFmtId="0">
      <sharedItems containsBlank="1"/>
    </cacheField>
    <cacheField name="Year" numFmtId="0">
      <sharedItems containsString="0" containsBlank="1" containsNumber="1" containsInteger="1" minValue="1985" maxValue="2024" count="35">
        <n v="1985"/>
        <n v="1989"/>
        <n v="1990"/>
        <n v="1993"/>
        <n v="1994"/>
        <n v="1995"/>
        <n v="1996"/>
        <n v="1997"/>
        <n v="1998"/>
        <n v="2000"/>
        <n v="2001"/>
        <n v="2002"/>
        <n v="2003"/>
        <n v="2004"/>
        <n v="2005"/>
        <n v="2006"/>
        <n v="2007"/>
        <n v="2008"/>
        <n v="2009"/>
        <n v="2010"/>
        <n v="2011"/>
        <n v="2012"/>
        <n v="2013"/>
        <n v="2014"/>
        <n v="2015"/>
        <n v="2016"/>
        <n v="2017"/>
        <n v="2018"/>
        <n v="2019"/>
        <n v="2020"/>
        <n v="2021"/>
        <n v="2022"/>
        <n v="2023"/>
        <n v="2024"/>
        <m/>
      </sharedItems>
    </cacheField>
    <cacheField name="Month" numFmtId="0">
      <sharedItems containsString="0" containsBlank="1" containsNumber="1" containsInteger="1" minValue="1" maxValue="12"/>
    </cacheField>
    <cacheField name="Activity Type" numFmtId="0">
      <sharedItems containsBlank="1" count="20">
        <s v="Port Call - Friendly Visit"/>
        <s v="ML - Abroad"/>
        <s v="ML - Hosted"/>
        <s v="BL - Hosted"/>
        <s v="BL - Abroad"/>
        <s v="Military Exercise - Bilateral"/>
        <s v="Military Exercise - Multilateral"/>
        <s v="ML - Margins"/>
        <s v="Port Call - Friendly Visit "/>
        <s v="Port Call - Replenish/Overhaul"/>
        <s v="Port Call - Friendly Visit and Drills"/>
        <s v="Port Call - Replenish/Overhaul and Drills"/>
        <s v="Port Call - HADR/Friendly"/>
        <s v="Port Call - Replenish/Overhaul and Friendly Visit"/>
        <s v="Port Call - NEO"/>
        <s v="BL - Virtual"/>
        <s v="ML - Virtual"/>
        <m/>
        <s v="BL Hosted" u="1"/>
        <s v="ML Margins" u="1"/>
      </sharedItems>
    </cacheField>
    <cacheField name="Person" numFmtId="0">
      <sharedItems containsBlank="1"/>
    </cacheField>
    <cacheField name="Trip Count - Abroad" numFmtId="0">
      <sharedItems containsNonDate="0" containsString="0" containsBlank="1"/>
    </cacheField>
    <cacheField name="Position" numFmtId="0">
      <sharedItems containsBlank="1"/>
    </cacheField>
    <cacheField name="Position Weight" numFmtId="0">
      <sharedItems containsBlank="1" containsMixedTypes="1" containsNumber="1" containsInteger="1" minValue="5" maxValue="10"/>
    </cacheField>
    <cacheField name="Visit Type " numFmtId="0">
      <sharedItems containsBlank="1"/>
    </cacheField>
    <cacheField name="Visit Counterpart" numFmtId="0">
      <sharedItems containsBlank="1" longText="1"/>
    </cacheField>
    <cacheField name="MilEx Type" numFmtId="0">
      <sharedItems containsBlank="1"/>
    </cacheField>
    <cacheField name="MilEx Name" numFmtId="0">
      <sharedItems containsBlank="1"/>
    </cacheField>
    <cacheField name="MilEx Service" numFmtId="0">
      <sharedItems containsBlank="1"/>
    </cacheField>
    <cacheField name="MilEx Details" numFmtId="0">
      <sharedItems containsBlank="1" longText="1"/>
    </cacheField>
    <cacheField name="ETF or NETF" numFmtId="0">
      <sharedItems containsBlank="1"/>
    </cacheField>
    <cacheField name="Port Call Voyage Identifier" numFmtId="0">
      <sharedItems containsBlank="1" containsMixedTypes="1" containsNumber="1" containsInteger="1" minValue="1985" maxValue="1985"/>
    </cacheField>
    <cacheField name="Associated Fleet" numFmtId="0">
      <sharedItems containsBlank="1"/>
    </cacheField>
    <cacheField name="Port Call Detail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aunders, Phillip " refreshedDate="45798.596328819447" createdVersion="8" refreshedVersion="8" minRefreshableVersion="3" recordCount="3379" xr:uid="{78FEB34D-7762-4929-B18C-F1402CE3C616}">
  <cacheSource type="worksheet">
    <worksheetSource ref="A1:Z3954" sheet="PLA Military Diplomacy DB v500"/>
  </cacheSource>
  <cacheFields count="26">
    <cacheField name="Activity Category" numFmtId="0">
      <sharedItems containsBlank="1" count="5">
        <s v="Naval Port Call"/>
        <s v="Senior Level Visit"/>
        <s v="Military Exercise"/>
        <m/>
        <s v="Senior Level Visit " u="1"/>
      </sharedItems>
    </cacheField>
    <cacheField name="Geographic Region" numFmtId="0">
      <sharedItems containsBlank="1" count="13">
        <s v="South Asia"/>
        <s v="Southeast Asia"/>
        <s v="North America"/>
        <s v="Russia"/>
        <s v="Northeast Asia"/>
        <s v="Oceania"/>
        <s v="Central Asia"/>
        <s v="Africa"/>
        <s v="Europe"/>
        <s v="Middle East"/>
        <s v="South America"/>
        <s v="N/A"/>
        <m/>
      </sharedItems>
    </cacheField>
    <cacheField name="Region (MND FAO)" numFmtId="0">
      <sharedItems containsBlank="1"/>
    </cacheField>
    <cacheField name="PRC Relationship Category" numFmtId="0">
      <sharedItems containsBlank="1"/>
    </cacheField>
    <cacheField name="U.S. Collective Defense Status" numFmtId="0">
      <sharedItems containsBlank="1" count="8">
        <s v="None"/>
        <s v="Major Non-NATO Ally"/>
        <s v="N/A"/>
        <s v="Bilateral Defense Treaty"/>
        <s v="ANZUS Treaty"/>
        <s v="NATO"/>
        <s v="Bilateral Defense Treaty "/>
        <m/>
      </sharedItems>
    </cacheField>
    <cacheField name="US CCMD AOR" numFmtId="0">
      <sharedItems containsBlank="1"/>
    </cacheField>
    <cacheField name="Partner Country" numFmtId="0">
      <sharedItems containsBlank="1" count="175">
        <s v="Bangladesh"/>
        <s v="Myanmar"/>
        <s v="Pakistan"/>
        <s v="Sri Lanka"/>
        <s v="United States"/>
        <s v="Thailand"/>
        <s v="India"/>
        <s v="Russia"/>
        <s v="Indonesia"/>
        <s v="North Korea"/>
        <s v="Malaysia"/>
        <s v="Philippines"/>
        <s v="Australia"/>
        <s v="New Zealand"/>
        <s v="SCO"/>
        <s v="South Africa"/>
        <s v="Tanzania"/>
        <s v="Canada"/>
        <s v="Germany"/>
        <s v="Hong Kong"/>
        <s v="Italy"/>
        <s v="United Kingdom"/>
        <s v="France"/>
        <s v="Vietnam"/>
        <s v="Egypt"/>
        <s v="South Korea"/>
        <s v="Ukraine"/>
        <s v="Morocco"/>
        <s v="Congo"/>
        <s v="Greece"/>
        <s v="Kazakhstan"/>
        <s v="Kyrgyzstan"/>
        <s v="Nepal"/>
        <s v="Romania"/>
        <s v="Belarus"/>
        <s v="Croatia"/>
        <s v="Nigeria"/>
        <s v="Norway"/>
        <s v="Turkey"/>
        <s v="Singapore"/>
        <s v="Slovakia"/>
        <s v="Antigua and Barbuda"/>
        <s v="Bolivia"/>
        <s v="Brazil"/>
        <s v="Brunei"/>
        <s v="Colombia"/>
        <s v="Equatorial Guinea"/>
        <s v="Kenya"/>
        <s v="Portugal"/>
        <s v="Cuba"/>
        <s v="East Timor"/>
        <s v="Ecuador"/>
        <s v="Laos"/>
        <s v="Mongolia"/>
        <s v="Peru"/>
        <s v="Turkmenistan"/>
        <s v="Venezuela"/>
        <s v="Azerbaijan"/>
        <s v="Czech Republic"/>
        <s v="Poland"/>
        <s v="Tajikistan"/>
        <s v="Zambia"/>
        <s v="Argentina"/>
        <s v="Armenia"/>
        <s v="Benin"/>
        <s v="Cameroon"/>
        <s v="Chile"/>
        <s v="Gabon"/>
        <s v="Belgium"/>
        <s v="Namibia"/>
        <s v="Spain"/>
        <s v="Eritrea"/>
        <s v="Kuwait"/>
        <s v="Uzbekistan"/>
        <s v="Sudan"/>
        <s v="Trinidad and Tobago"/>
        <s v="Algeria"/>
        <s v="Mexico"/>
        <s v="Switzerland"/>
        <s v="Bulgaria"/>
        <s v="Guinea"/>
        <s v="Finland"/>
        <s v="Hungary"/>
        <s v="Japan"/>
        <s v="Mozambique"/>
        <s v="Tunisia"/>
        <s v="Zimbabwe"/>
        <s v="Ghana"/>
        <s v="Guyana"/>
        <s v="Iran"/>
        <s v="Sierra Leone"/>
        <s v="Suriname"/>
        <s v="Sweden"/>
        <s v="Botswana"/>
        <s v="Cambodia"/>
        <s v="Ethiopia"/>
        <s v="Togo"/>
        <s v="Uganda"/>
        <s v="Cyprus"/>
        <s v="Macedonia"/>
        <s v="Israel"/>
        <s v="Jordan"/>
        <s v="Syria"/>
        <s v="Barbados"/>
        <s v="Niger"/>
        <s v="Angola"/>
        <s v="United Arab Emirates"/>
        <s v="Uruguay"/>
        <s v="Austria"/>
        <s v="Guinea-Bissau"/>
        <s v="Lebanon"/>
        <s v="Lithuania"/>
        <s v="Serbia"/>
        <s v="Albania"/>
        <s v="Lesotho"/>
        <s v="Liberia"/>
        <s v="Denmark"/>
        <s v="Netherlands"/>
        <s v="Comoros"/>
        <s v="Djibouti"/>
        <s v="Vanuatu"/>
        <s v="Mali"/>
        <s v="Papua New Guinea"/>
        <s v="Afghanistan"/>
        <s v="Bosnia-Herzegovina"/>
        <s v="Central African Republic"/>
        <s v="Moldova"/>
        <s v="DR Congo"/>
        <s v="Fiji"/>
        <s v="Rwanda"/>
        <s v="Burundi"/>
        <s v="Qatar"/>
        <s v="Cape Verde"/>
        <s v="Chad"/>
        <s v="Estonia"/>
        <s v="Yemen"/>
        <s v="WPNS"/>
        <s v="IISS"/>
        <s v="Grenada"/>
        <s v="Seychelles"/>
        <s v="Ivory Coast"/>
        <s v="Madagascar"/>
        <s v="Saudi Arabia"/>
        <s v="Malawi"/>
        <s v="Tonga"/>
        <s v="Jamaica"/>
        <s v="Bahrain"/>
        <s v="Oman"/>
        <s v="Malta"/>
        <s v="Maldives"/>
        <s v="French Polynesia"/>
        <s v="NATO"/>
        <s v="Senegal"/>
        <s v="ASEAN"/>
        <s v="Slovenia"/>
        <s v="Montenegro"/>
        <s v="Costa Rica"/>
        <s v="Latvia"/>
        <s v="European Union"/>
        <s v="CELAC"/>
        <s v="Mauritania"/>
        <s v="N/A"/>
        <s v="Mauritius"/>
        <s v="United Nations"/>
        <s v="IONS"/>
        <s v="African Union"/>
        <s v="Dominica"/>
        <s v="Dominican Republic"/>
        <s v="Somalia"/>
        <s v="Timor-Leste"/>
        <s v="Kiribati"/>
        <m/>
        <s v="Pakistan " u="1"/>
        <s v="France " u="1"/>
        <s v="Nepal " u="1"/>
      </sharedItems>
    </cacheField>
    <cacheField name="Year" numFmtId="0">
      <sharedItems containsString="0" containsBlank="1" containsNumber="1" containsInteger="1" minValue="1985" maxValue="2024" count="35">
        <n v="1985"/>
        <n v="1989"/>
        <n v="1990"/>
        <n v="1993"/>
        <n v="1994"/>
        <n v="1995"/>
        <n v="1996"/>
        <n v="1997"/>
        <n v="1998"/>
        <n v="2000"/>
        <n v="2001"/>
        <n v="2002"/>
        <n v="2003"/>
        <n v="2004"/>
        <n v="2005"/>
        <n v="2006"/>
        <n v="2007"/>
        <n v="2008"/>
        <n v="2009"/>
        <n v="2010"/>
        <n v="2011"/>
        <n v="2012"/>
        <n v="2013"/>
        <n v="2014"/>
        <n v="2015"/>
        <n v="2016"/>
        <n v="2017"/>
        <n v="2018"/>
        <n v="2019"/>
        <n v="2020"/>
        <n v="2021"/>
        <n v="2022"/>
        <n v="2023"/>
        <n v="2024"/>
        <m/>
      </sharedItems>
    </cacheField>
    <cacheField name="Month" numFmtId="0">
      <sharedItems containsString="0" containsBlank="1" containsNumber="1" containsInteger="1" minValue="1" maxValue="12"/>
    </cacheField>
    <cacheField name="Activity Type" numFmtId="0">
      <sharedItems containsBlank="1"/>
    </cacheField>
    <cacheField name="Person" numFmtId="0">
      <sharedItems containsBlank="1"/>
    </cacheField>
    <cacheField name="Trip Count - Abroad" numFmtId="0">
      <sharedItems containsNonDate="0" containsString="0" containsBlank="1"/>
    </cacheField>
    <cacheField name="Position" numFmtId="0">
      <sharedItems containsBlank="1"/>
    </cacheField>
    <cacheField name="Position Weight" numFmtId="0">
      <sharedItems containsBlank="1" containsMixedTypes="1" containsNumber="1" containsInteger="1" minValue="5" maxValue="10"/>
    </cacheField>
    <cacheField name="Visit Type " numFmtId="0">
      <sharedItems containsBlank="1" count="5">
        <m/>
        <s v="Abroad"/>
        <s v="Hosted"/>
        <s v=" "/>
        <s v="Virtual"/>
      </sharedItems>
    </cacheField>
    <cacheField name="Visit Counterpart" numFmtId="0">
      <sharedItems containsBlank="1" longText="1"/>
    </cacheField>
    <cacheField name="MilEx Type" numFmtId="0">
      <sharedItems containsBlank="1" count="12">
        <m/>
        <s v="Anti-terrorism"/>
        <s v="MOOTW"/>
        <s v="Combat"/>
        <s v="Anti-piracy"/>
        <s v="Combat Support"/>
        <s v="Competition"/>
        <s v="Strategic CPX"/>
        <s v=" "/>
        <s v="Patrol"/>
        <s v="Anti-piracy or anti-terrorism" u="1"/>
        <s v="Anti-terrorism or combat?" u="1"/>
      </sharedItems>
    </cacheField>
    <cacheField name="MilEx Name" numFmtId="0">
      <sharedItems containsBlank="1"/>
    </cacheField>
    <cacheField name="MilEx Service" numFmtId="0">
      <sharedItems containsBlank="1"/>
    </cacheField>
    <cacheField name="MilEx Details" numFmtId="0">
      <sharedItems containsBlank="1" longText="1"/>
    </cacheField>
    <cacheField name="ETF or NETF" numFmtId="0">
      <sharedItems containsBlank="1"/>
    </cacheField>
    <cacheField name="Port Call Voyage Identifier" numFmtId="0">
      <sharedItems containsBlank="1" containsMixedTypes="1" containsNumber="1" containsInteger="1" minValue="1985" maxValue="1985" count="138">
        <s v="1985-11  DD132 Hefei"/>
        <n v="1985"/>
        <s v="1989-03 Zhenghe"/>
        <s v="1990-03 Zhenghe"/>
        <s v="1993-10 Zhenghe"/>
        <s v="1994-05 DD166 Zhuhai"/>
        <s v="1995-08 DD166 Zhuhai"/>
        <s v="1995-08 FFG541 Huaibei"/>
        <s v="1996-07 DD112 Harbin"/>
        <s v="1997-02 DDG113 Qingdao"/>
        <s v="1997-02 DD112 Harbin"/>
        <s v="1998-04 DDG113 Qingdao"/>
        <m/>
        <s v="2002-07 DD167 Shenzhen"/>
        <s v="2000-08 DDG113 Qingdao"/>
        <s v="2002-08 DDG113 Qingdao"/>
        <s v="2001-05 DD112 Harbin"/>
        <s v="2001-08 DD167 Shenzhen"/>
        <s v="2001-09 FF564 Yichang"/>
        <s v="2001-11 FF565 Yulin"/>
        <s v="2002-05 DDG113 Qingdao"/>
        <s v="2002-05 FF521 Jiaxing"/>
        <s v="2002-10 DD167 Shenzhen"/>
        <s v="2003-10 DD167 Shenzhen"/>
        <s v="2003-11 FF564 Yichang"/>
        <s v="2004-05 Unknown "/>
        <s v="2005-11  DD167 Shenzhen "/>
        <s v="NETF"/>
        <s v="2006-08 DDG113 Qingdao"/>
        <s v="ETF-01 "/>
        <s v="ETF-02"/>
        <s v="ETF-03"/>
        <s v="2009-11 Zhenghe "/>
        <s v="ETF-04"/>
        <s v="ETF-05"/>
        <s v="ETF-06"/>
        <s v="2009-10 Zhenghe "/>
        <s v="2010-11 Peace Ark "/>
        <s v="ETF-07"/>
        <s v="ETF-08"/>
        <s v="ETF-09"/>
        <s v="2011-10 Peace Ark "/>
        <s v="ETF-10 "/>
        <s v="ETF-10"/>
        <s v="ETF-11"/>
        <s v="ETF-11 "/>
        <s v="ETF-12"/>
        <s v="ETF-12 "/>
        <s v="ETF-13"/>
        <s v="ETF-13 "/>
        <s v="2013-04 Zhenghe "/>
        <s v="ETF-14 "/>
        <s v="2013-06 Harmonious Mission"/>
        <s v="ETF-14"/>
        <s v="2013-08 DDG113 Qingdao"/>
        <s v="2013-08 Zhenghe "/>
        <s v="2013-09 DDG170 Lanzhou"/>
        <s v="ETF-15"/>
        <s v="2013-11  Medical Mission "/>
        <s v="ETF-16"/>
        <s v="2014-04 Zhenghe "/>
        <s v="ETF-16 "/>
        <s v="2014-07 Harmonious Mission "/>
        <s v="ETF-17"/>
        <s v="2014-09 SSK329"/>
        <s v="ETF-18"/>
        <s v="ETF-19"/>
        <s v="2015-04 Zhu Kezhen "/>
        <s v="2015-05 Zhu Kezhen "/>
        <s v="ETF-20"/>
        <s v="ETF-19 "/>
        <s v="2015-10 Harmonious Mission "/>
        <s v="2015-10  Zhenghe"/>
        <s v="ETF-21"/>
        <s v="2015-11 Harmonious Mission "/>
        <s v="2015-11  Harmonious Mission "/>
        <s v="2015-12 Harmonious Mission "/>
        <s v="ETF-22"/>
        <s v="ETF-23"/>
        <s v="ETF-24"/>
        <s v="2016-10 Zhenghe "/>
        <s v="2016-11 Zhenghe "/>
        <s v="2016-11 DDG546 Yancheng"/>
        <s v="2016-12 Zhenghe "/>
        <s v="2016-12"/>
        <s v="2017-05 DDG150 Changchun"/>
        <s v="ETF-25"/>
        <s v="ETF-25 "/>
        <s v="2017-08 Peace Ark"/>
        <s v="2017-08 DDG174 Hefei"/>
        <s v="2017-08 DDG150 Changchun"/>
        <s v="ETF-26"/>
        <s v="2017-09 DDG150 Changchun"/>
        <s v="2017-09 Peace Ark"/>
        <s v="2017-10 Peace Ark"/>
        <s v="2017-10 DDG150 Changchun"/>
        <s v="2017-10 TS83 Qi Jiguang"/>
        <s v="2017-11 FFG571 Yuncheng"/>
        <s v="2017-11 Peace Ark"/>
        <s v="2017-11 TS83 Qi Jiguang"/>
        <s v="2017-11 DDG150 Changchun"/>
        <s v="2017-12 Peace Ark"/>
        <s v="ETF-27"/>
        <s v="ETF-29"/>
        <s v="ETF-28"/>
        <s v="2018-7 Peace Ark"/>
        <s v="2018-7 Qian Weichang"/>
        <s v="2018-8 Peace Ark"/>
        <s v="2018-8 Qian Weichang"/>
        <s v="ETF-30"/>
        <s v="2018-9 Peace Ark"/>
        <s v="2018-10 Peace Ark"/>
        <s v="2018-11 Peace Ark"/>
        <s v="2018-12 Peace Ark"/>
        <s v="ETF-31"/>
        <s v="ETF-32"/>
        <s v="Training Ship Qi Jiguang"/>
        <s v="ETF-33"/>
        <s v=" "/>
        <s v="Mission Harmony-2022"/>
        <s v="Bangladesh International Fleet Review"/>
        <s v="ETF-43"/>
        <s v="ETF-43 "/>
        <s v="2023-7 Peace Ark "/>
        <s v="2023-9 Peace Ark "/>
        <s v="ETF-44"/>
        <s v="ETF-45"/>
        <s v="83 task unit"/>
        <s v="ETF-46"/>
        <s v="Jiaozuo and Honghu"/>
        <s v="Longhushang landing ship"/>
        <s v="Harmonious Mission 2024 Peace Ark"/>
        <s v="Peace Ark - Harmonious Mission 2024"/>
        <s v="He Fei DDG, Wuzhishan LPD, Qilianshan LPD"/>
        <s v="Training Ship Po Lang"/>
        <s v="Training ship Qi Jiguang (Hull 83) and amphibious dock landing ship Jinggangshan (Hull 999)"/>
        <s v="Hainan Naval Task Force"/>
        <s v="Changsha DDG and amphibious warfare ship Jinggangshan – docked in Da Nang"/>
      </sharedItems>
    </cacheField>
    <cacheField name="Associated Fleet" numFmtId="0">
      <sharedItems containsBlank="1"/>
    </cacheField>
    <cacheField name="Port Call Details" numFmtId="0">
      <sharedItems containsBlank="1" longText="1"/>
    </cacheField>
    <cacheField name="Source" numFmtId="0">
      <sharedItems containsBlank="1" longText="1"/>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aunders, Phillip " refreshedDate="45798.597701620369" createdVersion="8" refreshedVersion="8" minRefreshableVersion="3" recordCount="3379" xr:uid="{9A0A628C-E405-4AEB-AC57-4BF02DC0BCA0}">
  <cacheSource type="worksheet">
    <worksheetSource ref="A1:Z3953" sheet="PLA Military Diplomacy DB v500"/>
  </cacheSource>
  <cacheFields count="26">
    <cacheField name="Activity Category" numFmtId="0">
      <sharedItems containsBlank="1" count="5">
        <s v="Naval Port Call"/>
        <s v="Senior Level Visit"/>
        <s v="Military Exercise"/>
        <m/>
        <s v="Senior Level Visit " u="1"/>
      </sharedItems>
    </cacheField>
    <cacheField name="Geographic Region" numFmtId="0">
      <sharedItems containsBlank="1" count="13">
        <s v="South Asia"/>
        <s v="Southeast Asia"/>
        <s v="North America"/>
        <s v="Russia"/>
        <s v="Northeast Asia"/>
        <s v="Oceania"/>
        <s v="Central Asia"/>
        <s v="Africa"/>
        <s v="Europe"/>
        <s v="Middle East"/>
        <s v="South America"/>
        <s v="N/A"/>
        <m/>
      </sharedItems>
    </cacheField>
    <cacheField name="Region (MND FAO)" numFmtId="0">
      <sharedItems containsBlank="1"/>
    </cacheField>
    <cacheField name="PRC Relationship Category" numFmtId="0">
      <sharedItems containsBlank="1"/>
    </cacheField>
    <cacheField name="U.S. Collective Defense Status" numFmtId="0">
      <sharedItems containsBlank="1"/>
    </cacheField>
    <cacheField name="US CCMD AOR" numFmtId="0">
      <sharedItems containsBlank="1" count="9">
        <s v="INDOPACOM"/>
        <s v="CENTCOM"/>
        <s v="NORTHCOM"/>
        <s v="EUCOM"/>
        <s v="AFRICOM"/>
        <s v="SOUTHCOM"/>
        <s v="N/A"/>
        <m/>
        <s v="PACOM" u="1"/>
      </sharedItems>
    </cacheField>
    <cacheField name="Partner Country" numFmtId="0">
      <sharedItems containsBlank="1" count="175">
        <s v="Bangladesh"/>
        <s v="Myanmar"/>
        <s v="Pakistan"/>
        <s v="Sri Lanka"/>
        <s v="United States"/>
        <s v="Thailand"/>
        <s v="India"/>
        <s v="Russia"/>
        <s v="Indonesia"/>
        <s v="North Korea"/>
        <s v="Malaysia"/>
        <s v="Philippines"/>
        <s v="Australia"/>
        <s v="New Zealand"/>
        <s v="SCO"/>
        <s v="South Africa"/>
        <s v="Tanzania"/>
        <s v="Canada"/>
        <s v="Germany"/>
        <s v="Hong Kong"/>
        <s v="Italy"/>
        <s v="United Kingdom"/>
        <s v="France"/>
        <s v="Vietnam"/>
        <s v="Egypt"/>
        <s v="South Korea"/>
        <s v="Ukraine"/>
        <s v="Morocco"/>
        <s v="Congo"/>
        <s v="Greece"/>
        <s v="Kazakhstan"/>
        <s v="Kyrgyzstan"/>
        <s v="Nepal"/>
        <s v="Romania"/>
        <s v="Belarus"/>
        <s v="Croatia"/>
        <s v="Nigeria"/>
        <s v="Norway"/>
        <s v="Turkey"/>
        <s v="Singapore"/>
        <s v="Slovakia"/>
        <s v="Antigua and Barbuda"/>
        <s v="Bolivia"/>
        <s v="Brazil"/>
        <s v="Brunei"/>
        <s v="Colombia"/>
        <s v="Equatorial Guinea"/>
        <s v="Kenya"/>
        <s v="Portugal"/>
        <s v="Cuba"/>
        <s v="East Timor"/>
        <s v="Ecuador"/>
        <s v="Laos"/>
        <s v="Mongolia"/>
        <s v="Peru"/>
        <s v="Turkmenistan"/>
        <s v="Venezuela"/>
        <s v="Azerbaijan"/>
        <s v="Czech Republic"/>
        <s v="Poland"/>
        <s v="Tajikistan"/>
        <s v="Zambia"/>
        <s v="Argentina"/>
        <s v="Armenia"/>
        <s v="Benin"/>
        <s v="Cameroon"/>
        <s v="Chile"/>
        <s v="Gabon"/>
        <s v="Belgium"/>
        <s v="Namibia"/>
        <s v="Spain"/>
        <s v="Eritrea"/>
        <s v="Kuwait"/>
        <s v="Uzbekistan"/>
        <s v="Sudan"/>
        <s v="Trinidad and Tobago"/>
        <s v="Algeria"/>
        <s v="Mexico"/>
        <s v="Switzerland"/>
        <s v="Bulgaria"/>
        <s v="Guinea"/>
        <s v="Finland"/>
        <s v="Hungary"/>
        <s v="Japan"/>
        <s v="Mozambique"/>
        <s v="Tunisia"/>
        <s v="Zimbabwe"/>
        <s v="Ghana"/>
        <s v="Guyana"/>
        <s v="Iran"/>
        <s v="Sierra Leone"/>
        <s v="Suriname"/>
        <s v="Sweden"/>
        <s v="Botswana"/>
        <s v="Cambodia"/>
        <s v="Ethiopia"/>
        <s v="Togo"/>
        <s v="Uganda"/>
        <s v="Cyprus"/>
        <s v="Macedonia"/>
        <s v="Israel"/>
        <s v="Jordan"/>
        <s v="Syria"/>
        <s v="Barbados"/>
        <s v="Niger"/>
        <s v="Angola"/>
        <s v="United Arab Emirates"/>
        <s v="Uruguay"/>
        <s v="Austria"/>
        <s v="Guinea-Bissau"/>
        <s v="Lebanon"/>
        <s v="Lithuania"/>
        <s v="Serbia"/>
        <s v="Albania"/>
        <s v="Lesotho"/>
        <s v="Liberia"/>
        <s v="Denmark"/>
        <s v="Netherlands"/>
        <s v="Comoros"/>
        <s v="Djibouti"/>
        <s v="Vanuatu"/>
        <s v="Mali"/>
        <s v="Papua New Guinea"/>
        <s v="Afghanistan"/>
        <s v="Bosnia-Herzegovina"/>
        <s v="Central African Republic"/>
        <s v="Moldova"/>
        <s v="DR Congo"/>
        <s v="Fiji"/>
        <s v="Rwanda"/>
        <s v="Burundi"/>
        <s v="Qatar"/>
        <s v="Cape Verde"/>
        <s v="Chad"/>
        <s v="Estonia"/>
        <s v="Yemen"/>
        <s v="WPNS"/>
        <s v="IISS"/>
        <s v="Grenada"/>
        <s v="Seychelles"/>
        <s v="Ivory Coast"/>
        <s v="Madagascar"/>
        <s v="Saudi Arabia"/>
        <s v="Malawi"/>
        <s v="Tonga"/>
        <s v="Jamaica"/>
        <s v="Bahrain"/>
        <s v="Oman"/>
        <s v="Malta"/>
        <s v="Maldives"/>
        <s v="French Polynesia"/>
        <s v="NATO"/>
        <s v="Senegal"/>
        <s v="ASEAN"/>
        <s v="Slovenia"/>
        <s v="Montenegro"/>
        <s v="Costa Rica"/>
        <s v="Latvia"/>
        <s v="European Union"/>
        <s v="CELAC"/>
        <s v="Mauritania"/>
        <s v="N/A"/>
        <s v="Mauritius"/>
        <s v="United Nations"/>
        <s v="IONS"/>
        <s v="African Union"/>
        <s v="Dominica"/>
        <s v="Dominican Republic"/>
        <s v="Somalia"/>
        <s v="Timor-Leste"/>
        <s v="Kiribati"/>
        <m/>
        <s v="Pakistan " u="1"/>
        <s v="France " u="1"/>
        <s v="Nepal " u="1"/>
      </sharedItems>
    </cacheField>
    <cacheField name="Year" numFmtId="0">
      <sharedItems containsString="0" containsBlank="1" containsNumber="1" containsInteger="1" minValue="1985" maxValue="2024" count="35">
        <n v="1985"/>
        <n v="1989"/>
        <n v="1990"/>
        <n v="1993"/>
        <n v="1994"/>
        <n v="1995"/>
        <n v="1996"/>
        <n v="1997"/>
        <n v="1998"/>
        <n v="2000"/>
        <n v="2001"/>
        <n v="2002"/>
        <n v="2003"/>
        <n v="2004"/>
        <n v="2005"/>
        <n v="2006"/>
        <n v="2007"/>
        <n v="2008"/>
        <n v="2009"/>
        <n v="2010"/>
        <n v="2011"/>
        <n v="2012"/>
        <n v="2013"/>
        <n v="2014"/>
        <n v="2015"/>
        <n v="2016"/>
        <n v="2017"/>
        <n v="2018"/>
        <n v="2019"/>
        <n v="2020"/>
        <n v="2021"/>
        <n v="2022"/>
        <n v="2023"/>
        <n v="2024"/>
        <m/>
      </sharedItems>
    </cacheField>
    <cacheField name="Month" numFmtId="0">
      <sharedItems containsString="0" containsBlank="1" containsNumber="1" containsInteger="1" minValue="1" maxValue="12"/>
    </cacheField>
    <cacheField name="Activity Type" numFmtId="0">
      <sharedItems containsBlank="1" count="20">
        <s v="Port Call - Friendly Visit"/>
        <s v="ML - Abroad"/>
        <s v="ML - Hosted"/>
        <s v="BL - Hosted"/>
        <s v="BL - Abroad"/>
        <s v="Military Exercise - Bilateral"/>
        <s v="Military Exercise - Multilateral"/>
        <s v="ML - Margins"/>
        <s v="Port Call - Friendly Visit "/>
        <s v="Port Call - Replenish/Overhaul"/>
        <s v="Port Call - Friendly Visit and Drills"/>
        <s v="Port Call - Replenish/Overhaul and Drills"/>
        <s v="Port Call - HADR/Friendly"/>
        <s v="Port Call - Replenish/Overhaul and Friendly Visit"/>
        <s v="Port Call - NEO"/>
        <s v="BL - Virtual"/>
        <s v="ML - Virtual"/>
        <m/>
        <s v="BL Hosted" u="1"/>
        <s v="ML Margins" u="1"/>
      </sharedItems>
    </cacheField>
    <cacheField name="Person" numFmtId="0">
      <sharedItems containsBlank="1"/>
    </cacheField>
    <cacheField name="Trip Count - Abroad" numFmtId="0">
      <sharedItems containsNonDate="0" containsString="0" containsBlank="1"/>
    </cacheField>
    <cacheField name="Position" numFmtId="0">
      <sharedItems containsBlank="1"/>
    </cacheField>
    <cacheField name="Position Weight" numFmtId="0">
      <sharedItems containsBlank="1" containsMixedTypes="1" containsNumber="1" containsInteger="1" minValue="5" maxValue="10"/>
    </cacheField>
    <cacheField name="Visit Type " numFmtId="0">
      <sharedItems containsBlank="1" count="5">
        <m/>
        <s v="Abroad"/>
        <s v="Hosted"/>
        <s v=" "/>
        <s v="Virtual"/>
      </sharedItems>
    </cacheField>
    <cacheField name="Visit Counterpart" numFmtId="0">
      <sharedItems containsBlank="1" longText="1"/>
    </cacheField>
    <cacheField name="MilEx Type" numFmtId="0">
      <sharedItems containsBlank="1" count="12">
        <m/>
        <s v="Anti-terrorism"/>
        <s v="MOOTW"/>
        <s v="Combat"/>
        <s v="Anti-piracy"/>
        <s v="Combat Support"/>
        <s v="Competition"/>
        <s v="Strategic CPX"/>
        <s v=" "/>
        <s v="Patrol"/>
        <s v="Anti-piracy or anti-terrorism" u="1"/>
        <s v="Anti-terrorism or combat?" u="1"/>
      </sharedItems>
    </cacheField>
    <cacheField name="MilEx Name" numFmtId="0">
      <sharedItems containsBlank="1"/>
    </cacheField>
    <cacheField name="MilEx Service" numFmtId="0">
      <sharedItems containsBlank="1" count="10">
        <m/>
        <s v="Army"/>
        <s v="Navy"/>
        <s v="Joint"/>
        <s v="PAP"/>
        <s v="Air Force"/>
        <s v=" "/>
        <s v="Coast Guard "/>
        <s v="Coast Guard"/>
        <s v="drill in XJ border region; combat cross-border smuggling and terrorist activities "/>
      </sharedItems>
    </cacheField>
    <cacheField name="MilEx Details" numFmtId="0">
      <sharedItems containsBlank="1" longText="1"/>
    </cacheField>
    <cacheField name="ETF or NETF" numFmtId="0">
      <sharedItems containsBlank="1" count="3">
        <s v="NETF"/>
        <m/>
        <s v="ETF"/>
      </sharedItems>
    </cacheField>
    <cacheField name="Port Call Voyage Identifier" numFmtId="0">
      <sharedItems containsBlank="1" containsMixedTypes="1" containsNumber="1" containsInteger="1" minValue="1985" maxValue="1985"/>
    </cacheField>
    <cacheField name="Associated Fleet" numFmtId="0">
      <sharedItems containsBlank="1"/>
    </cacheField>
    <cacheField name="Port Call Details" numFmtId="0">
      <sharedItems containsBlank="1" longText="1"/>
    </cacheField>
    <cacheField name="Source" numFmtId="0">
      <sharedItems containsBlank="1" longText="1"/>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66">
  <r>
    <x v="0"/>
    <x v="0"/>
    <s v="Asia"/>
    <s v="No Specific Relationship"/>
    <s v="None"/>
    <s v="INDOPACOM"/>
    <x v="0"/>
    <x v="0"/>
    <n v="11"/>
    <x v="0"/>
    <m/>
    <m/>
    <m/>
    <m/>
    <x v="0"/>
    <m/>
    <x v="0"/>
    <m/>
    <x v="0"/>
    <m/>
    <s v="NETF"/>
    <s v="1985-11  DD132 Hefei"/>
    <s v="East Sea Fleet"/>
    <s v="Hefei-132 and Fengcang-615"/>
    <m/>
    <m/>
  </r>
  <r>
    <x v="0"/>
    <x v="1"/>
    <s v="Asia"/>
    <s v="No Specific Relationship"/>
    <s v="None"/>
    <s v="INDOPACOM"/>
    <x v="1"/>
    <x v="0"/>
    <n v="11"/>
    <x v="0"/>
    <m/>
    <m/>
    <m/>
    <m/>
    <x v="0"/>
    <m/>
    <x v="0"/>
    <m/>
    <x v="0"/>
    <m/>
    <s v="NETF"/>
    <n v="1985"/>
    <s v="Unknown"/>
    <s v="???"/>
    <m/>
    <m/>
  </r>
  <r>
    <x v="0"/>
    <x v="0"/>
    <s v="Asia"/>
    <s v="No Specific Relationship"/>
    <s v="Major Non-NATO Ally"/>
    <s v="CENTCOM"/>
    <x v="2"/>
    <x v="0"/>
    <n v="11"/>
    <x v="0"/>
    <m/>
    <m/>
    <m/>
    <m/>
    <x v="0"/>
    <m/>
    <x v="0"/>
    <m/>
    <x v="0"/>
    <m/>
    <s v="NETF"/>
    <s v="1985-11  DD132 Hefei"/>
    <s v="East Sea Fleet"/>
    <s v="Hefei-132 and Fengcang-615"/>
    <m/>
    <m/>
  </r>
  <r>
    <x v="0"/>
    <x v="0"/>
    <s v="Asia"/>
    <s v="No Specific Relationship"/>
    <s v="None"/>
    <s v="INDOPACOM"/>
    <x v="3"/>
    <x v="0"/>
    <n v="11"/>
    <x v="0"/>
    <m/>
    <m/>
    <m/>
    <m/>
    <x v="0"/>
    <m/>
    <x v="0"/>
    <m/>
    <x v="0"/>
    <m/>
    <s v="NETF"/>
    <s v="1985-11  DD132 Hefei"/>
    <s v="East Sea Fleet"/>
    <s v="Hefei-132 and Fengcang-615"/>
    <m/>
    <m/>
  </r>
  <r>
    <x v="0"/>
    <x v="2"/>
    <s v="America and Oceania"/>
    <s v="No Specific Relationship"/>
    <s v="N/A"/>
    <s v="NORTHCOM"/>
    <x v="4"/>
    <x v="1"/>
    <n v="3"/>
    <x v="0"/>
    <m/>
    <m/>
    <m/>
    <m/>
    <x v="0"/>
    <m/>
    <x v="0"/>
    <m/>
    <x v="0"/>
    <m/>
    <s v="NETF"/>
    <s v="1989-03 Zhenghe"/>
    <s v="North Sea Fleet"/>
    <s v="Zhenghe training ship"/>
    <m/>
    <m/>
  </r>
  <r>
    <x v="0"/>
    <x v="1"/>
    <s v="Asia"/>
    <s v="No Specific Relationship"/>
    <s v="Bilateral Defense Treaty"/>
    <s v="INDOPACOM"/>
    <x v="5"/>
    <x v="2"/>
    <n v="3"/>
    <x v="0"/>
    <m/>
    <m/>
    <m/>
    <m/>
    <x v="0"/>
    <m/>
    <x v="0"/>
    <m/>
    <x v="0"/>
    <m/>
    <s v="NETF"/>
    <s v="1990-03 Zhenghe"/>
    <s v="North Sea Fleet"/>
    <s v="Zhenghe training ship"/>
    <m/>
    <m/>
  </r>
  <r>
    <x v="0"/>
    <x v="0"/>
    <s v="Asia"/>
    <s v="No Specific Relationship"/>
    <s v="None"/>
    <s v="INDOPACOM"/>
    <x v="0"/>
    <x v="3"/>
    <n v="10"/>
    <x v="0"/>
    <m/>
    <m/>
    <m/>
    <m/>
    <x v="0"/>
    <m/>
    <x v="0"/>
    <m/>
    <x v="0"/>
    <m/>
    <s v="NETF"/>
    <s v="1993-10 Zhenghe"/>
    <s v="North Sea Fleet"/>
    <s v="Zhenghe training ship"/>
    <m/>
    <m/>
  </r>
  <r>
    <x v="0"/>
    <x v="0"/>
    <s v="Asia"/>
    <s v="No Specific Relationship"/>
    <s v="None"/>
    <s v="INDOPACOM"/>
    <x v="6"/>
    <x v="3"/>
    <n v="10"/>
    <x v="0"/>
    <m/>
    <m/>
    <m/>
    <m/>
    <x v="0"/>
    <m/>
    <x v="0"/>
    <m/>
    <x v="0"/>
    <m/>
    <s v="NETF"/>
    <s v="1993-10 Zhenghe"/>
    <s v="North Sea Fleet"/>
    <s v="Zhenghe training ship"/>
    <m/>
    <m/>
  </r>
  <r>
    <x v="0"/>
    <x v="0"/>
    <s v="Asia"/>
    <s v="No Specific Relationship"/>
    <s v="Major Non-NATO Ally"/>
    <s v="CENTCOM"/>
    <x v="2"/>
    <x v="3"/>
    <n v="10"/>
    <x v="0"/>
    <m/>
    <m/>
    <m/>
    <m/>
    <x v="0"/>
    <m/>
    <x v="0"/>
    <m/>
    <x v="0"/>
    <m/>
    <s v="NETF"/>
    <s v="1993-10 Zhenghe"/>
    <s v="North Sea Fleet"/>
    <s v="Zhenghe training ship"/>
    <m/>
    <m/>
  </r>
  <r>
    <x v="0"/>
    <x v="1"/>
    <s v="Asia"/>
    <s v="No Specific Relationship"/>
    <s v="Bilateral Defense Treaty"/>
    <s v="INDOPACOM"/>
    <x v="5"/>
    <x v="3"/>
    <n v="10"/>
    <x v="0"/>
    <m/>
    <m/>
    <m/>
    <m/>
    <x v="0"/>
    <m/>
    <x v="0"/>
    <m/>
    <x v="0"/>
    <m/>
    <s v="NETF"/>
    <s v="1993-10 Zhenghe"/>
    <s v="North Sea Fleet"/>
    <s v="Zhenghe training ship"/>
    <m/>
    <m/>
  </r>
  <r>
    <x v="0"/>
    <x v="3"/>
    <s v="Europe and Central Asia"/>
    <s v="No Specific Relationship"/>
    <s v="None"/>
    <s v="EUCOM"/>
    <x v="7"/>
    <x v="4"/>
    <n v="5"/>
    <x v="0"/>
    <m/>
    <m/>
    <m/>
    <m/>
    <x v="0"/>
    <m/>
    <x v="0"/>
    <m/>
    <x v="0"/>
    <m/>
    <s v="NETF"/>
    <s v="1994-05 DD166 Zhuhai"/>
    <s v="All"/>
    <s v="Dajiang Sub Tender Changxingdao 121, Luda-II destroyer Zhuhai 166, and Jiangwei frigate Huainan 540"/>
    <m/>
    <m/>
  </r>
  <r>
    <x v="0"/>
    <x v="1"/>
    <s v="Asia"/>
    <s v="No Specific Relationship"/>
    <s v="None"/>
    <s v="INDOPACOM"/>
    <x v="8"/>
    <x v="5"/>
    <n v="8"/>
    <x v="0"/>
    <m/>
    <m/>
    <m/>
    <m/>
    <x v="0"/>
    <m/>
    <x v="0"/>
    <m/>
    <x v="0"/>
    <m/>
    <s v="NETF"/>
    <s v="1995-08 DD166 Zhuhai"/>
    <s v="All"/>
    <s v="Luda-II destroyer Zhuhai 166, Jiangwei frigate Huainan 540, and one replenishment ship"/>
    <m/>
    <m/>
  </r>
  <r>
    <x v="0"/>
    <x v="3"/>
    <s v="Europe and Central Asia"/>
    <s v="No Specific Relationship"/>
    <s v="None"/>
    <s v="EUCOM"/>
    <x v="7"/>
    <x v="5"/>
    <n v="8"/>
    <x v="0"/>
    <m/>
    <m/>
    <m/>
    <m/>
    <x v="0"/>
    <m/>
    <x v="0"/>
    <m/>
    <x v="0"/>
    <m/>
    <s v="NETF"/>
    <s v="1995-08 FFG541 Huaibei"/>
    <s v="East Sea Fleet"/>
    <s v="Jiangwei frigate Huaibei 541"/>
    <m/>
    <m/>
  </r>
  <r>
    <x v="0"/>
    <x v="4"/>
    <s v="Asia"/>
    <s v="Bilateral Defense Treaty"/>
    <s v="None"/>
    <s v="INDOPACOM"/>
    <x v="9"/>
    <x v="6"/>
    <n v="7"/>
    <x v="0"/>
    <m/>
    <m/>
    <m/>
    <m/>
    <x v="0"/>
    <m/>
    <x v="0"/>
    <m/>
    <x v="0"/>
    <m/>
    <s v="NETF"/>
    <s v="1996-07 DD112 Harbin"/>
    <s v="North Sea Fleet"/>
    <s v="Luhu destroyer Harbin 112 and Luda destroyer Xining 108"/>
    <m/>
    <m/>
  </r>
  <r>
    <x v="0"/>
    <x v="3"/>
    <s v="Europe and Central Asia"/>
    <s v="Strategic Partnership of Coordination [战略协作伙伴关系]"/>
    <s v="None"/>
    <s v="EUCOM"/>
    <x v="7"/>
    <x v="6"/>
    <n v="7"/>
    <x v="0"/>
    <m/>
    <m/>
    <m/>
    <m/>
    <x v="0"/>
    <m/>
    <x v="0"/>
    <m/>
    <x v="0"/>
    <m/>
    <s v="NETF"/>
    <s v="1996-07 DD112 Harbin"/>
    <s v="North Sea Fleet"/>
    <s v="Luhu destroyer Harbin 112"/>
    <m/>
    <m/>
  </r>
  <r>
    <x v="0"/>
    <x v="1"/>
    <s v="Asia"/>
    <s v="No Specific Relationship"/>
    <s v="None"/>
    <s v="INDOPACOM"/>
    <x v="10"/>
    <x v="7"/>
    <n v="2"/>
    <x v="0"/>
    <m/>
    <m/>
    <m/>
    <m/>
    <x v="0"/>
    <m/>
    <x v="0"/>
    <m/>
    <x v="0"/>
    <m/>
    <s v="NETF"/>
    <s v="1997-02 DDG113 Qingdao"/>
    <s v="North Sea Fleet"/>
    <s v="Luhu destroyer Qingdao 113, Jiangwei frigate Tongqing 542"/>
    <m/>
    <m/>
  </r>
  <r>
    <x v="0"/>
    <x v="1"/>
    <s v="Asia"/>
    <s v="No Specific Relationship"/>
    <s v="Bilateral Defense Treaty"/>
    <s v="INDOPACOM"/>
    <x v="11"/>
    <x v="7"/>
    <n v="2"/>
    <x v="0"/>
    <m/>
    <m/>
    <m/>
    <m/>
    <x v="0"/>
    <m/>
    <x v="0"/>
    <m/>
    <x v="0"/>
    <m/>
    <s v="NETF"/>
    <s v="1997-02 DDG113 Qingdao"/>
    <s v="North Sea Fleet"/>
    <s v="Luhu destroyer Qingdao 113, Jiangwei frigate Tongqing 542"/>
    <m/>
    <m/>
  </r>
  <r>
    <x v="0"/>
    <x v="1"/>
    <s v="Asia"/>
    <s v="No Specific Relationship"/>
    <s v="Bilateral Defense Treaty"/>
    <s v="INDOPACOM"/>
    <x v="5"/>
    <x v="7"/>
    <n v="2"/>
    <x v="0"/>
    <m/>
    <m/>
    <m/>
    <m/>
    <x v="0"/>
    <m/>
    <x v="0"/>
    <m/>
    <x v="0"/>
    <m/>
    <s v="NETF"/>
    <s v="1997-02 DDG113 Qingdao"/>
    <s v="North Sea Fleet"/>
    <s v="Luhu destroyer Qingdao 113, Jiangwei frigate Tongqing 542"/>
    <m/>
    <m/>
  </r>
  <r>
    <x v="0"/>
    <x v="2"/>
    <s v="America and Oceania"/>
    <s v="No Specific Relationship"/>
    <s v="N/A"/>
    <s v="NORTHCOM"/>
    <x v="4"/>
    <x v="7"/>
    <n v="2"/>
    <x v="0"/>
    <m/>
    <m/>
    <m/>
    <m/>
    <x v="0"/>
    <m/>
    <x v="0"/>
    <m/>
    <x v="0"/>
    <m/>
    <s v="NETF"/>
    <s v="1997-02 DD112 Harbin"/>
    <s v="All"/>
    <s v="Luhu destroyer Harbin 112, Luda-II destroyer Zhuhai 166, Replenishment ship Nancang 953"/>
    <m/>
    <m/>
  </r>
  <r>
    <x v="0"/>
    <x v="5"/>
    <s v="America and Oceania"/>
    <s v="No Specific Relationship"/>
    <s v="ANZUS Treaty"/>
    <s v="INDOPACOM"/>
    <x v="12"/>
    <x v="8"/>
    <n v="4"/>
    <x v="0"/>
    <m/>
    <m/>
    <m/>
    <m/>
    <x v="0"/>
    <m/>
    <x v="0"/>
    <m/>
    <x v="0"/>
    <m/>
    <s v="NETF"/>
    <s v="1998-04 DDG113 Qingdao"/>
    <s v="North Sea Fleet"/>
    <s v="Luhu destroyer Qingdao 113, Training Ship Shichang 82, Replenishment ship Nancang 953 (PI - Qingdao only)"/>
    <m/>
    <m/>
  </r>
  <r>
    <x v="0"/>
    <x v="5"/>
    <s v="America and Oceania"/>
    <s v="No Specific Relationship"/>
    <s v="ANZUS Treaty"/>
    <s v="INDOPACOM"/>
    <x v="13"/>
    <x v="8"/>
    <n v="4"/>
    <x v="0"/>
    <m/>
    <m/>
    <m/>
    <m/>
    <x v="0"/>
    <m/>
    <x v="0"/>
    <m/>
    <x v="0"/>
    <m/>
    <s v="NETF"/>
    <s v="1998-04 DDG113 Qingdao"/>
    <s v="North Sea Fleet"/>
    <s v="Luhu destroyer Qingdao 113, Training Ship Shichang 82, Replenishment ship Nancang 953 (PI - Qingdao only)"/>
    <m/>
    <m/>
  </r>
  <r>
    <x v="0"/>
    <x v="1"/>
    <s v="Asia"/>
    <s v="No Specific Relationship"/>
    <s v="Bilateral Defense Treaty"/>
    <s v="INDOPACOM"/>
    <x v="11"/>
    <x v="8"/>
    <n v="4"/>
    <x v="0"/>
    <m/>
    <m/>
    <m/>
    <m/>
    <x v="0"/>
    <m/>
    <x v="0"/>
    <m/>
    <x v="0"/>
    <m/>
    <s v="NETF"/>
    <s v="1998-04 DDG113 Qingdao"/>
    <s v="North Sea Fleet"/>
    <s v="Luhu destroyer Qingdao 113, Training Ship Shichang 82, Replenishment ship Nancang 953 (PI - Qingdao only)"/>
    <m/>
    <m/>
  </r>
  <r>
    <x v="1"/>
    <x v="6"/>
    <s v="Europe and Central Asia"/>
    <s v="Member"/>
    <s v="None"/>
    <s v="CENTCOM"/>
    <x v="14"/>
    <x v="9"/>
    <n v="3"/>
    <x v="1"/>
    <s v="Chi Haotian"/>
    <m/>
    <s v="Defense Minister; CMC Member"/>
    <n v="8"/>
    <x v="1"/>
    <s v="Shanghai Five Ministers' of Defense Summit in Astana; Other countries: Kazakhstan, Kyrgyzstan, Tajikistan, Russia"/>
    <x v="0"/>
    <m/>
    <x v="0"/>
    <m/>
    <m/>
    <m/>
    <m/>
    <m/>
    <s v="http://globalsummitryproject.com.s197331.gridserver.com/archive/shanghai_cooperation_organization1/ipripak.org/factfiles/ff85.pdf"/>
    <m/>
  </r>
  <r>
    <x v="0"/>
    <x v="1"/>
    <s v="Asia"/>
    <s v="Strategic Cooperative Partnership [战略合作伙伴关系]"/>
    <s v="None"/>
    <s v="INDOPACOM"/>
    <x v="10"/>
    <x v="9"/>
    <n v="7"/>
    <x v="0"/>
    <m/>
    <m/>
    <m/>
    <m/>
    <x v="0"/>
    <m/>
    <x v="0"/>
    <m/>
    <x v="0"/>
    <m/>
    <s v="NETF"/>
    <s v="2002-07 DD167 Shenzhen"/>
    <s v="South Sea Fleet"/>
    <s v="Luhai destroyer Shenzhen 167, Replenishment ship Nancang 953"/>
    <m/>
    <m/>
  </r>
  <r>
    <x v="0"/>
    <x v="7"/>
    <s v="West Asia and Africa"/>
    <s v="No Specific Relationship"/>
    <s v="None"/>
    <s v="AFRICOM"/>
    <x v="15"/>
    <x v="9"/>
    <n v="7"/>
    <x v="0"/>
    <m/>
    <m/>
    <m/>
    <m/>
    <x v="0"/>
    <m/>
    <x v="0"/>
    <m/>
    <x v="0"/>
    <m/>
    <s v="NETF"/>
    <s v="2002-07 DD167 Shenzhen"/>
    <s v="South Sea Fleet"/>
    <s v="Luhai destroyer Shenzhen 167, Replenishment ship Nancang 953"/>
    <m/>
    <m/>
  </r>
  <r>
    <x v="0"/>
    <x v="7"/>
    <s v="West Asia and Africa"/>
    <s v="No Specific Relationship"/>
    <s v="None"/>
    <s v="AFRICOM"/>
    <x v="16"/>
    <x v="9"/>
    <n v="7"/>
    <x v="0"/>
    <m/>
    <m/>
    <m/>
    <m/>
    <x v="0"/>
    <m/>
    <x v="0"/>
    <m/>
    <x v="0"/>
    <m/>
    <s v="NETF"/>
    <s v="2002-07 DD167 Shenzhen"/>
    <s v="South Sea Fleet"/>
    <s v="Luhai destroyer Shenzhen 167, Replenishment ship Nancang 953"/>
    <m/>
    <m/>
  </r>
  <r>
    <x v="0"/>
    <x v="2"/>
    <s v="America and Oceania"/>
    <s v="Comprehensive Partnership [全面伙伴关系]"/>
    <s v="NATO"/>
    <s v="NORTHCOM"/>
    <x v="17"/>
    <x v="9"/>
    <n v="8"/>
    <x v="0"/>
    <m/>
    <m/>
    <m/>
    <m/>
    <x v="0"/>
    <m/>
    <x v="0"/>
    <m/>
    <x v="0"/>
    <m/>
    <s v="NETF"/>
    <s v="2000-08 DDG113 Qingdao"/>
    <s v="North Sea Fleet"/>
    <s v="Luhu destroyer Qingdao 113, replenishment ship Taicang 575"/>
    <m/>
    <m/>
  </r>
  <r>
    <x v="0"/>
    <x v="2"/>
    <s v="America and Oceania"/>
    <s v="No Specific Relationship"/>
    <s v="N/A"/>
    <s v="NORTHCOM"/>
    <x v="4"/>
    <x v="9"/>
    <n v="8"/>
    <x v="0"/>
    <m/>
    <m/>
    <m/>
    <m/>
    <x v="0"/>
    <m/>
    <x v="0"/>
    <m/>
    <x v="0"/>
    <m/>
    <s v="NETF"/>
    <s v="2002-08 DDG113 Qingdao"/>
    <s v="North Sea Fleet"/>
    <s v="Luhu destroyer Qingdao 113, replenishment ship Taicang 575"/>
    <m/>
    <m/>
  </r>
  <r>
    <x v="0"/>
    <x v="0"/>
    <s v="Asia"/>
    <s v="No Specific Relationship"/>
    <s v="None"/>
    <s v="INDOPACOM"/>
    <x v="6"/>
    <x v="10"/>
    <n v="5"/>
    <x v="0"/>
    <m/>
    <m/>
    <m/>
    <m/>
    <x v="0"/>
    <m/>
    <x v="0"/>
    <m/>
    <x v="0"/>
    <m/>
    <s v="NETF"/>
    <s v="2001-05 DD112 Harbin"/>
    <s v="North Sea Fleet"/>
    <s v="Luhu destroyer Harbin 112, replenishment ship Taicang 575"/>
    <m/>
    <m/>
  </r>
  <r>
    <x v="0"/>
    <x v="0"/>
    <s v="Asia"/>
    <s v="Strategic Partnership [战略伙伴关系]"/>
    <s v="Major Non-NATO Ally"/>
    <s v="CENTCOM"/>
    <x v="2"/>
    <x v="10"/>
    <n v="5"/>
    <x v="0"/>
    <m/>
    <m/>
    <m/>
    <m/>
    <x v="0"/>
    <m/>
    <x v="0"/>
    <m/>
    <x v="0"/>
    <m/>
    <s v="NETF"/>
    <s v="2001-05 DD112 Harbin"/>
    <s v="North Sea Fleet"/>
    <s v="Luhu destroyer Harbin 112, replenishment ship Taicang 575"/>
    <m/>
    <m/>
  </r>
  <r>
    <x v="1"/>
    <x v="6"/>
    <s v="Europe and Central Asia"/>
    <s v="Member"/>
    <s v="None"/>
    <s v="CENTCOM"/>
    <x v="14"/>
    <x v="10"/>
    <n v="6"/>
    <x v="2"/>
    <s v="Chi Haotian"/>
    <m/>
    <s v="Defense Minister; CMC Member"/>
    <n v="8"/>
    <x v="2"/>
    <s v="First official meeting of the SCO Ministers' of Defense in Shanghai; Other countries: Kazakhstan, Kyrgyztan, Russia, Tajikistan, Uzbekistan"/>
    <x v="0"/>
    <m/>
    <x v="0"/>
    <m/>
    <m/>
    <m/>
    <m/>
    <m/>
    <s v="http://globalsummitryproject.com.s197331.gridserver.com/archive/shanghai_cooperation_organization1/ipripak.org/factfiles/ff85.pdf"/>
    <m/>
  </r>
  <r>
    <x v="0"/>
    <x v="8"/>
    <s v="Europe and Central Asia"/>
    <s v="No Specific Relationship"/>
    <s v="NATO"/>
    <s v="EUCOM"/>
    <x v="18"/>
    <x v="10"/>
    <n v="8"/>
    <x v="0"/>
    <m/>
    <m/>
    <m/>
    <m/>
    <x v="0"/>
    <m/>
    <x v="0"/>
    <m/>
    <x v="0"/>
    <m/>
    <s v="NETF"/>
    <s v="2001-08 DD167 Shenzhen"/>
    <s v="South Sea Fleet"/>
    <s v="Luhai destroyer Shenzhen 167, replenishment ship Fengcang 615"/>
    <m/>
    <m/>
  </r>
  <r>
    <x v="0"/>
    <x v="4"/>
    <s v="Asia"/>
    <s v="N/A"/>
    <s v="None"/>
    <s v="INDOPACOM"/>
    <x v="19"/>
    <x v="10"/>
    <n v="8"/>
    <x v="0"/>
    <m/>
    <m/>
    <m/>
    <m/>
    <x v="0"/>
    <m/>
    <x v="0"/>
    <m/>
    <x v="0"/>
    <m/>
    <s v="NETF"/>
    <s v="2001-08 DD167 Shenzhen"/>
    <s v="South Sea Fleet"/>
    <s v="Luhai destroyer Shenzhen 167, replenishment ship Fengcang 615"/>
    <m/>
    <m/>
  </r>
  <r>
    <x v="0"/>
    <x v="8"/>
    <s v="Europe and Central Asia"/>
    <s v="No Specific Relationship"/>
    <s v="NATO"/>
    <s v="EUCOM"/>
    <x v="20"/>
    <x v="10"/>
    <n v="8"/>
    <x v="0"/>
    <m/>
    <m/>
    <m/>
    <m/>
    <x v="0"/>
    <m/>
    <x v="0"/>
    <m/>
    <x v="0"/>
    <m/>
    <s v="NETF"/>
    <s v="2001-08 DD167 Shenzhen"/>
    <s v="South Sea Fleet"/>
    <s v="Luhai destroyer Shenzhen 167, replenishment ship Fengcang 615"/>
    <m/>
    <m/>
  </r>
  <r>
    <x v="0"/>
    <x v="8"/>
    <s v="Europe and Central Asia"/>
    <s v="No Specific Relationship"/>
    <s v="NATO"/>
    <s v="EUCOM"/>
    <x v="21"/>
    <x v="10"/>
    <n v="8"/>
    <x v="0"/>
    <m/>
    <m/>
    <m/>
    <m/>
    <x v="0"/>
    <m/>
    <x v="0"/>
    <m/>
    <x v="0"/>
    <m/>
    <s v="NETF"/>
    <s v="2001-08 DD167 Shenzhen"/>
    <s v="South Sea Fleet"/>
    <s v="Luhai destroyer Shenzhen 167, replenishment ship Fengcang 615"/>
    <m/>
    <m/>
  </r>
  <r>
    <x v="0"/>
    <x v="5"/>
    <s v="America and Oceania"/>
    <s v="No Specific Relationship"/>
    <s v="ANZUS Treaty"/>
    <s v="INDOPACOM"/>
    <x v="12"/>
    <x v="10"/>
    <n v="9"/>
    <x v="0"/>
    <m/>
    <m/>
    <m/>
    <m/>
    <x v="0"/>
    <m/>
    <x v="0"/>
    <m/>
    <x v="0"/>
    <m/>
    <s v="NETF"/>
    <s v="2001-09 FF564 Yichang"/>
    <s v="South Sea Fleet"/>
    <s v="Jiangwei frigate Yichang 564, replenishment ship Taicang 575"/>
    <m/>
    <m/>
  </r>
  <r>
    <x v="0"/>
    <x v="8"/>
    <s v="Europe "/>
    <s v="No Specific Relationship"/>
    <s v="NATO"/>
    <s v="EUCOM"/>
    <x v="22"/>
    <x v="10"/>
    <n v="9"/>
    <x v="0"/>
    <m/>
    <m/>
    <m/>
    <m/>
    <x v="0"/>
    <m/>
    <x v="0"/>
    <m/>
    <x v="0"/>
    <m/>
    <s v="NETF"/>
    <m/>
    <m/>
    <m/>
    <s v="https://csis-website-prod.s3.amazonaws.com/s3fs-public/legacy_files/files/media/csis/pubs/080507-gill-chinaeuroperelations-web.pdf"/>
    <m/>
  </r>
  <r>
    <x v="0"/>
    <x v="5"/>
    <s v="America and Oceania"/>
    <s v="No Specific Relationship"/>
    <s v="ANZUS Treaty"/>
    <s v="INDOPACOM"/>
    <x v="13"/>
    <x v="10"/>
    <n v="9"/>
    <x v="0"/>
    <m/>
    <m/>
    <m/>
    <m/>
    <x v="0"/>
    <m/>
    <x v="0"/>
    <m/>
    <x v="0"/>
    <m/>
    <s v="NETF"/>
    <s v="2001-09 FF564 Yichang"/>
    <s v="South Sea Fleet"/>
    <s v="Jiangwei frigate Yichang 564, replenishment ship Taicang 575"/>
    <m/>
    <m/>
  </r>
  <r>
    <x v="0"/>
    <x v="1"/>
    <s v="Asia"/>
    <s v="No Specific Relationship"/>
    <s v="None"/>
    <s v="INDOPACOM"/>
    <x v="23"/>
    <x v="10"/>
    <n v="11"/>
    <x v="0"/>
    <m/>
    <m/>
    <m/>
    <m/>
    <x v="0"/>
    <m/>
    <x v="0"/>
    <m/>
    <x v="0"/>
    <m/>
    <s v="NETF"/>
    <s v="2001-11 FF565 Yulin"/>
    <s v="South Sea Fleet"/>
    <s v="Jiangwei frigate Yulin 565"/>
    <m/>
    <m/>
  </r>
  <r>
    <x v="1"/>
    <x v="9"/>
    <s v="West Asia and Africa"/>
    <s v="Strategic Cooperative Partnership [战略合作伙伴关系]"/>
    <s v="Major Non-NATO Ally"/>
    <s v="CENTCOM"/>
    <x v="24"/>
    <x v="11"/>
    <n v="1"/>
    <x v="3"/>
    <s v="Xiong Guangkai"/>
    <m/>
    <s v="GSD DCGS"/>
    <n v="6"/>
    <x v="2"/>
    <s v="Major General"/>
    <x v="0"/>
    <m/>
    <x v="0"/>
    <m/>
    <m/>
    <m/>
    <m/>
    <m/>
    <s v="CPP20020131000073"/>
    <m/>
  </r>
  <r>
    <x v="1"/>
    <x v="1"/>
    <s v="Asia"/>
    <s v="No Specific Relationship"/>
    <s v="None"/>
    <s v="INDOPACOM"/>
    <x v="8"/>
    <x v="11"/>
    <n v="1"/>
    <x v="3"/>
    <s v="Chi Haotian"/>
    <m/>
    <s v="Defense Minister; CMC Member"/>
    <n v="8"/>
    <x v="2"/>
    <s v="Navy Chief of Staff"/>
    <x v="0"/>
    <m/>
    <x v="0"/>
    <m/>
    <m/>
    <m/>
    <m/>
    <m/>
    <s v="CPP20020128000121"/>
    <m/>
  </r>
  <r>
    <x v="1"/>
    <x v="0"/>
    <s v="Asia"/>
    <s v="Strategic Partnership [战略伙伴关系]"/>
    <s v="Major Non-NATO Ally"/>
    <s v="CENTCOM"/>
    <x v="2"/>
    <x v="11"/>
    <n v="1"/>
    <x v="3"/>
    <s v="Zhang Wannian"/>
    <m/>
    <s v="CMC Vice Chairman"/>
    <n v="10"/>
    <x v="2"/>
    <s v="CJCS General Muhammad Aziz Khan"/>
    <x v="0"/>
    <m/>
    <x v="0"/>
    <m/>
    <m/>
    <m/>
    <m/>
    <m/>
    <s v="CPP20020115000109; Xinhua 1-15-2002"/>
    <m/>
  </r>
  <r>
    <x v="1"/>
    <x v="4"/>
    <s v="Asia"/>
    <s v="Full-Scale Cooperative Partnership [全面合作伙伴关系]"/>
    <s v="Bilateral Defense Treaty"/>
    <s v="INDOPACOM"/>
    <x v="25"/>
    <x v="11"/>
    <n v="1"/>
    <x v="3"/>
    <s v="Fu Quanyou"/>
    <m/>
    <s v="GSD Commander; CMC Member"/>
    <n v="8"/>
    <x v="2"/>
    <s v="Air Chief of Staff"/>
    <x v="0"/>
    <m/>
    <x v="0"/>
    <m/>
    <m/>
    <m/>
    <m/>
    <m/>
    <s v="CPP20020123000106"/>
    <m/>
  </r>
  <r>
    <x v="1"/>
    <x v="1"/>
    <s v="Asia"/>
    <s v="No Specific Relationship"/>
    <s v="Bilateral Defense Treaty"/>
    <s v="INDOPACOM"/>
    <x v="5"/>
    <x v="11"/>
    <n v="1"/>
    <x v="3"/>
    <s v="Chi Haotian"/>
    <m/>
    <s v="Defense Minister; CMC Member"/>
    <n v="8"/>
    <x v="2"/>
    <s v="Chairman on Military Affairs"/>
    <x v="0"/>
    <m/>
    <x v="0"/>
    <m/>
    <m/>
    <m/>
    <m/>
    <m/>
    <s v="CPP20020123000127"/>
    <m/>
  </r>
  <r>
    <x v="1"/>
    <x v="8"/>
    <s v="Europe and Central Asia"/>
    <s v="No Specific Relationship"/>
    <s v="None"/>
    <s v="EUCOM"/>
    <x v="26"/>
    <x v="11"/>
    <n v="1"/>
    <x v="3"/>
    <s v="Chi Haotian"/>
    <m/>
    <s v="Defense Minister; CMC Member"/>
    <n v="8"/>
    <x v="2"/>
    <s v="Foreign Minister"/>
    <x v="0"/>
    <m/>
    <x v="0"/>
    <m/>
    <m/>
    <m/>
    <m/>
    <m/>
    <s v="CPP20020128000117"/>
    <m/>
  </r>
  <r>
    <x v="1"/>
    <x v="2"/>
    <s v="America and Oceania"/>
    <s v="No Specific Relationship"/>
    <s v="N/A"/>
    <s v="NORTHCOM"/>
    <x v="4"/>
    <x v="11"/>
    <n v="1"/>
    <x v="3"/>
    <s v="Chi Haotian"/>
    <m/>
    <s v="Defense Minister; CMC Member"/>
    <n v="8"/>
    <x v="2"/>
    <s v="Delegation"/>
    <x v="0"/>
    <m/>
    <x v="0"/>
    <m/>
    <m/>
    <m/>
    <m/>
    <m/>
    <s v="CPP20020107000110"/>
    <m/>
  </r>
  <r>
    <x v="1"/>
    <x v="7"/>
    <s v="West Asia and Africa"/>
    <s v="No Specific Relationship"/>
    <s v="Major Non-NATO Ally"/>
    <s v="AFRICOM"/>
    <x v="27"/>
    <x v="11"/>
    <n v="2"/>
    <x v="3"/>
    <s v="Chi Haotian"/>
    <m/>
    <s v="Defense Minister; CMC Member"/>
    <n v="8"/>
    <x v="2"/>
    <s v="King of Morocco "/>
    <x v="0"/>
    <m/>
    <x v="0"/>
    <m/>
    <m/>
    <m/>
    <m/>
    <m/>
    <s v="CPP20020206000109"/>
    <m/>
  </r>
  <r>
    <x v="1"/>
    <x v="7"/>
    <s v="West Asia and Africa"/>
    <s v="No Specific Relationship"/>
    <s v="None"/>
    <s v="AFRICOM"/>
    <x v="28"/>
    <x v="11"/>
    <n v="3"/>
    <x v="3"/>
    <s v="Xiong Guangkai"/>
    <m/>
    <s v="GSD DCGS"/>
    <n v="6"/>
    <x v="2"/>
    <s v="Defense Minister"/>
    <x v="0"/>
    <m/>
    <x v="0"/>
    <m/>
    <m/>
    <m/>
    <m/>
    <m/>
    <s v="CPP20020325000058"/>
    <m/>
  </r>
  <r>
    <x v="1"/>
    <x v="8"/>
    <s v="Europe and Central Asia"/>
    <s v="No Specific Relationship"/>
    <s v="NATO"/>
    <s v="EUCOM"/>
    <x v="22"/>
    <x v="11"/>
    <n v="3"/>
    <x v="3"/>
    <s v="Chi Haotian"/>
    <m/>
    <s v="Defense Minister; CMC Member"/>
    <n v="8"/>
    <x v="2"/>
    <s v="Chief of Staff of Air Force"/>
    <x v="0"/>
    <m/>
    <x v="0"/>
    <m/>
    <m/>
    <m/>
    <m/>
    <m/>
    <s v="CPP20020313000100"/>
    <m/>
  </r>
  <r>
    <x v="1"/>
    <x v="8"/>
    <s v="Europe and Central Asia"/>
    <s v="No Specific Relationship"/>
    <s v="NATO"/>
    <s v="EUCOM"/>
    <x v="18"/>
    <x v="11"/>
    <n v="3"/>
    <x v="4"/>
    <s v="Chi Haotian"/>
    <m/>
    <s v="Defense Minister; CMC Member"/>
    <n v="8"/>
    <x v="1"/>
    <s v="Parliamentary Speaker"/>
    <x v="0"/>
    <m/>
    <x v="0"/>
    <m/>
    <m/>
    <m/>
    <m/>
    <m/>
    <s v="CPP20020321000168"/>
    <m/>
  </r>
  <r>
    <x v="1"/>
    <x v="8"/>
    <s v="Europe and Central Asia"/>
    <s v="No Specific Relationship"/>
    <s v="NATO"/>
    <s v="EUCOM"/>
    <x v="29"/>
    <x v="11"/>
    <n v="3"/>
    <x v="4"/>
    <s v="Chi Haotian"/>
    <m/>
    <s v="Defense Minister; CMC Member"/>
    <n v="8"/>
    <x v="1"/>
    <s v="President"/>
    <x v="0"/>
    <m/>
    <x v="0"/>
    <m/>
    <m/>
    <m/>
    <m/>
    <m/>
    <s v="CPP20020327000250"/>
    <m/>
  </r>
  <r>
    <x v="1"/>
    <x v="8"/>
    <s v="Europe and Central Asia"/>
    <s v="No Specific Relationship"/>
    <s v="NATO"/>
    <s v="EUCOM"/>
    <x v="20"/>
    <x v="11"/>
    <n v="3"/>
    <x v="3"/>
    <s v="Fu Quanyou"/>
    <m/>
    <s v="GSD Commander; CMC Member"/>
    <n v="8"/>
    <x v="2"/>
    <s v="Chief of Naval Staff"/>
    <x v="0"/>
    <m/>
    <x v="0"/>
    <m/>
    <m/>
    <m/>
    <m/>
    <m/>
    <s v="CPP20020408000070"/>
    <m/>
  </r>
  <r>
    <x v="1"/>
    <x v="6"/>
    <s v="Europe and Central Asia"/>
    <s v="Comprehensive Cooperative Partnership [全面合作伙伴关系]"/>
    <s v="None"/>
    <s v="CENTCOM"/>
    <x v="30"/>
    <x v="11"/>
    <n v="3"/>
    <x v="4"/>
    <s v="Xiong Guangkai"/>
    <m/>
    <s v="GSD DCGS"/>
    <n v="6"/>
    <x v="1"/>
    <s v="President"/>
    <x v="0"/>
    <m/>
    <x v="0"/>
    <m/>
    <m/>
    <m/>
    <m/>
    <m/>
    <s v="CPP20020318000099"/>
    <m/>
  </r>
  <r>
    <x v="1"/>
    <x v="6"/>
    <s v="Europe and Central Asia"/>
    <s v="No Specific Relationship"/>
    <s v="None"/>
    <s v="CENTCOM"/>
    <x v="31"/>
    <x v="11"/>
    <n v="3"/>
    <x v="4"/>
    <s v="Xiong Guangkai"/>
    <m/>
    <s v="GSD DCGS"/>
    <n v="6"/>
    <x v="1"/>
    <s v="President"/>
    <x v="0"/>
    <m/>
    <x v="0"/>
    <m/>
    <m/>
    <m/>
    <m/>
    <m/>
    <s v="CPP20020318000104"/>
    <m/>
  </r>
  <r>
    <x v="1"/>
    <x v="0"/>
    <s v="Asia"/>
    <s v="Good-Neighborly Partnership [世代友好的睦邻伙伴关系]"/>
    <s v="None"/>
    <s v="INDOPACOM"/>
    <x v="32"/>
    <x v="11"/>
    <n v="3"/>
    <x v="3"/>
    <s v="Fu Quanyou"/>
    <m/>
    <s v="GSD Commander; CMC Member"/>
    <n v="8"/>
    <x v="2"/>
    <s v="Chief of General Staff"/>
    <x v="0"/>
    <m/>
    <x v="0"/>
    <m/>
    <m/>
    <m/>
    <m/>
    <m/>
    <s v="CPP20020326000158"/>
    <s v="Recoded as South Asia"/>
  </r>
  <r>
    <x v="1"/>
    <x v="0"/>
    <s v="Asia"/>
    <s v="Strategic Partnership [战略伙伴关系]"/>
    <s v="Major Non-NATO Ally"/>
    <s v="CENTCOM"/>
    <x v="2"/>
    <x v="11"/>
    <n v="3"/>
    <x v="4"/>
    <s v="Xiong Guangkai"/>
    <m/>
    <s v="GSD DCGS"/>
    <n v="6"/>
    <x v="1"/>
    <s v="President"/>
    <x v="0"/>
    <m/>
    <x v="0"/>
    <m/>
    <m/>
    <m/>
    <m/>
    <m/>
    <s v="CPP20020307000205"/>
    <m/>
  </r>
  <r>
    <x v="1"/>
    <x v="8"/>
    <s v="Europe and Central Asia"/>
    <s v="No Specific Relationship"/>
    <s v="NATO"/>
    <s v="EUCOM"/>
    <x v="33"/>
    <x v="11"/>
    <n v="3"/>
    <x v="4"/>
    <s v="Chi Haotian"/>
    <m/>
    <s v="Defense Minister; CMC Member"/>
    <n v="8"/>
    <x v="1"/>
    <s v="President"/>
    <x v="0"/>
    <m/>
    <x v="0"/>
    <m/>
    <m/>
    <m/>
    <m/>
    <m/>
    <s v="CPP20020325000136"/>
    <m/>
  </r>
  <r>
    <x v="1"/>
    <x v="8"/>
    <s v="Europe and Central Asia"/>
    <s v="No Specific Relationship"/>
    <s v="NATO"/>
    <s v="EUCOM"/>
    <x v="21"/>
    <x v="11"/>
    <n v="3"/>
    <x v="3"/>
    <s v="Fu Quanyou"/>
    <m/>
    <s v="GSD Commander; CMC Member"/>
    <n v="8"/>
    <x v="2"/>
    <s v="Chief of General Staff"/>
    <x v="0"/>
    <m/>
    <x v="0"/>
    <m/>
    <m/>
    <m/>
    <m/>
    <m/>
    <s v="CPP20020325000143"/>
    <m/>
  </r>
  <r>
    <x v="1"/>
    <x v="8"/>
    <s v="Europe and Central Asia"/>
    <s v="Comprehensive Cooperative Partnership [全面合作伙伴关系]"/>
    <s v="None"/>
    <s v="EUCOM"/>
    <x v="34"/>
    <x v="11"/>
    <n v="4"/>
    <x v="3"/>
    <s v="Cao Gangchuan"/>
    <m/>
    <s v="GAD Director; CMC Member"/>
    <n v="8"/>
    <x v="2"/>
    <s v="Defense Minister"/>
    <x v="0"/>
    <m/>
    <x v="0"/>
    <m/>
    <m/>
    <m/>
    <m/>
    <m/>
    <s v="CPP20020422000148; Xinhua 4-22-2002"/>
    <s v="RECODED to reflect Cao's position"/>
  </r>
  <r>
    <x v="1"/>
    <x v="8"/>
    <s v="Europe and Central Asia"/>
    <s v="No Specific Relationship"/>
    <s v="NATO"/>
    <s v="EUCOM"/>
    <x v="35"/>
    <x v="11"/>
    <n v="4"/>
    <x v="4"/>
    <s v="Chi Haotian"/>
    <m/>
    <s v="Defense Minister; CMC Member"/>
    <n v="8"/>
    <x v="1"/>
    <s v="President"/>
    <x v="0"/>
    <m/>
    <x v="0"/>
    <m/>
    <m/>
    <m/>
    <m/>
    <m/>
    <s v="CPP20020403000205"/>
    <m/>
  </r>
  <r>
    <x v="1"/>
    <x v="7"/>
    <s v="West Asia and Africa"/>
    <s v="No Specific Relationship"/>
    <s v="None"/>
    <s v="AFRICOM"/>
    <x v="36"/>
    <x v="11"/>
    <n v="4"/>
    <x v="3"/>
    <s v="Chi Haotian"/>
    <m/>
    <s v="Defense Minister; CMC Member"/>
    <n v="8"/>
    <x v="2"/>
    <s v="Defense Minister"/>
    <x v="0"/>
    <m/>
    <x v="0"/>
    <m/>
    <m/>
    <m/>
    <m/>
    <m/>
    <s v="CPP20020423000110"/>
    <m/>
  </r>
  <r>
    <x v="1"/>
    <x v="8"/>
    <s v="Europe and Central Asia"/>
    <s v="No Specific Relationship"/>
    <s v="NATO"/>
    <s v="EUCOM"/>
    <x v="37"/>
    <x v="11"/>
    <n v="4"/>
    <x v="4"/>
    <s v="Chi Haotian"/>
    <m/>
    <s v="Defense Minister; CMC Member"/>
    <n v="8"/>
    <x v="1"/>
    <s v="King of Norway; Chainman of Parliament Defense Committee; and Minister of Defense"/>
    <x v="0"/>
    <m/>
    <x v="0"/>
    <m/>
    <m/>
    <m/>
    <m/>
    <m/>
    <s v="CPP20020408000192; Xinhua 4-08-2002"/>
    <m/>
  </r>
  <r>
    <x v="1"/>
    <x v="1"/>
    <s v="Asia"/>
    <s v="No Specific Relationship"/>
    <s v="Bilateral Defense Treaty"/>
    <s v="INDOPACOM"/>
    <x v="11"/>
    <x v="11"/>
    <n v="4"/>
    <x v="3"/>
    <s v="Chi Haotian"/>
    <m/>
    <s v="Defense Minister; CMC Member"/>
    <n v="8"/>
    <x v="2"/>
    <s v="Secretary of Defense"/>
    <x v="0"/>
    <m/>
    <x v="0"/>
    <m/>
    <m/>
    <m/>
    <m/>
    <m/>
    <s v="CPP20020417000132"/>
    <m/>
  </r>
  <r>
    <x v="1"/>
    <x v="4"/>
    <s v="Asia"/>
    <s v="Full-Scale Cooperative Partnership [全面合作伙伴关系]"/>
    <s v="Bilateral Defense Treaty"/>
    <s v="INDOPACOM"/>
    <x v="25"/>
    <x v="11"/>
    <n v="4"/>
    <x v="3"/>
    <s v="Chi Haotian"/>
    <m/>
    <s v="Defense Minister; CMC Member"/>
    <n v="8"/>
    <x v="2"/>
    <s v="Delegation"/>
    <x v="0"/>
    <m/>
    <x v="0"/>
    <m/>
    <m/>
    <m/>
    <m/>
    <m/>
    <s v="CPP20020423000083"/>
    <m/>
  </r>
  <r>
    <x v="1"/>
    <x v="8"/>
    <s v="Europe and Central Asia"/>
    <s v="No Specific Relationship"/>
    <s v="NATO"/>
    <s v="EUCOM"/>
    <x v="38"/>
    <x v="11"/>
    <n v="4"/>
    <x v="3"/>
    <s v="Chi Haotian"/>
    <m/>
    <s v="Defense Minister; CMC Member"/>
    <n v="8"/>
    <x v="2"/>
    <s v="Commander of War College"/>
    <x v="0"/>
    <m/>
    <x v="0"/>
    <m/>
    <m/>
    <m/>
    <m/>
    <m/>
    <s v="CPP20020422000084"/>
    <m/>
  </r>
  <r>
    <x v="1"/>
    <x v="8"/>
    <s v="Europe and Central Asia"/>
    <s v="Comprehensive Cooperative Partnership [全面合作伙伴关系]"/>
    <s v="None"/>
    <s v="EUCOM"/>
    <x v="34"/>
    <x v="11"/>
    <n v="5"/>
    <x v="4"/>
    <s v="Fu Quanyou"/>
    <m/>
    <s v="GSD Commander; CMC Member"/>
    <n v="8"/>
    <x v="1"/>
    <s v="President"/>
    <x v="0"/>
    <m/>
    <x v="0"/>
    <m/>
    <m/>
    <m/>
    <m/>
    <m/>
    <s v="CPP20020528000249"/>
    <m/>
  </r>
  <r>
    <x v="0"/>
    <x v="9"/>
    <s v="West Asia and Africa"/>
    <s v="Strategic Cooperative Partnership [战略合作伙伴关系]"/>
    <s v="Major Non-NATO Ally"/>
    <s v="CENTCOM"/>
    <x v="24"/>
    <x v="11"/>
    <n v="5"/>
    <x v="0"/>
    <m/>
    <m/>
    <m/>
    <m/>
    <x v="0"/>
    <m/>
    <x v="0"/>
    <m/>
    <x v="0"/>
    <m/>
    <s v="NETF"/>
    <s v="2002-05 DDG113 Qingdao"/>
    <s v="North Sea Fleet"/>
    <s v="Luhu destroyer Qingdao 113, replenishment ship Taicang 575"/>
    <s v="CPP20021010000233"/>
    <m/>
  </r>
  <r>
    <x v="1"/>
    <x v="8"/>
    <s v="Europe and Central Asia"/>
    <s v="No Specific Relationship"/>
    <s v="NATO"/>
    <s v="EUCOM"/>
    <x v="29"/>
    <x v="11"/>
    <n v="5"/>
    <x v="3"/>
    <s v="Fu Quanyou"/>
    <m/>
    <s v="GSD Commander; CMC Member"/>
    <n v="8"/>
    <x v="2"/>
    <s v="Chief of Army"/>
    <x v="0"/>
    <m/>
    <x v="0"/>
    <m/>
    <m/>
    <m/>
    <m/>
    <m/>
    <s v="CPP20020514000096"/>
    <m/>
  </r>
  <r>
    <x v="0"/>
    <x v="8"/>
    <s v="Europe and Central Asia"/>
    <s v="No Specific Relationship"/>
    <s v="NATO"/>
    <s v="EUCOM"/>
    <x v="29"/>
    <x v="11"/>
    <n v="5"/>
    <x v="0"/>
    <m/>
    <m/>
    <m/>
    <m/>
    <x v="0"/>
    <m/>
    <x v="0"/>
    <m/>
    <x v="0"/>
    <m/>
    <s v="NETF"/>
    <s v="2002-05 DDG113 Qingdao"/>
    <s v="North Sea Fleet"/>
    <s v="Luhu destroyer Qingdao 113, replenishment ship Taicang 575"/>
    <s v="CPP20021010000233"/>
    <m/>
  </r>
  <r>
    <x v="1"/>
    <x v="6"/>
    <s v="Europe and Central Asia"/>
    <s v="Member"/>
    <s v="None"/>
    <s v="CENTCOM"/>
    <x v="14"/>
    <x v="11"/>
    <n v="5"/>
    <x v="2"/>
    <s v="Chi Haotian"/>
    <m/>
    <s v="Defense Minister; CMC Member"/>
    <n v="8"/>
    <x v="2"/>
    <s v="Second official meeting of the SCO Ministers' of Defense in Shanghai; Other countries: Kazakhstan, Kyrgyztan, Russia, Tajikistan, Uzbekistan"/>
    <x v="0"/>
    <m/>
    <x v="0"/>
    <m/>
    <m/>
    <m/>
    <m/>
    <m/>
    <s v="http://globalsummitryproject.com.s197331.gridserver.com/archive/shanghai_cooperation_organization1/ipripak.org/factfiles/ff85.pdf"/>
    <m/>
  </r>
  <r>
    <x v="0"/>
    <x v="1"/>
    <s v="Asia"/>
    <s v="No Specific Relationship"/>
    <s v="None"/>
    <s v="INDOPACOM"/>
    <x v="39"/>
    <x v="11"/>
    <n v="5"/>
    <x v="0"/>
    <m/>
    <m/>
    <m/>
    <m/>
    <x v="0"/>
    <m/>
    <x v="0"/>
    <m/>
    <x v="0"/>
    <m/>
    <s v="NETF"/>
    <s v="2002-05 DDG113 Qingdao"/>
    <s v="North Sea Fleet"/>
    <s v="Luhu destroyer Qingdao 113, replenishment ship Taicang 575"/>
    <s v="CPP20021010000233"/>
    <m/>
  </r>
  <r>
    <x v="1"/>
    <x v="8"/>
    <s v="Europe and Central Asia"/>
    <s v="No Specific Relationship"/>
    <s v="NATO"/>
    <s v="EUCOM"/>
    <x v="40"/>
    <x v="11"/>
    <n v="5"/>
    <x v="4"/>
    <s v="Fu Quanyou"/>
    <m/>
    <s v="GSD Commander; CMC Member"/>
    <n v="8"/>
    <x v="1"/>
    <s v="President"/>
    <x v="0"/>
    <m/>
    <x v="0"/>
    <m/>
    <m/>
    <m/>
    <m/>
    <m/>
    <s v="CPP20020521000214"/>
    <m/>
  </r>
  <r>
    <x v="0"/>
    <x v="4"/>
    <s v="Asia"/>
    <s v="Full-Scale Cooperative Partnership [全面合作伙伴关系]"/>
    <s v="Bilateral Defense Treaty"/>
    <s v="INDOPACOM"/>
    <x v="25"/>
    <x v="11"/>
    <n v="5"/>
    <x v="0"/>
    <m/>
    <m/>
    <m/>
    <m/>
    <x v="0"/>
    <m/>
    <x v="0"/>
    <m/>
    <x v="0"/>
    <m/>
    <s v="NETF"/>
    <s v="2002-05 FF521 Jiaxing"/>
    <s v="East Sea Fleet"/>
    <s v="Jiangwei frigate Jiaxing 521, Jiangwei frigate Lianyungang 522"/>
    <m/>
    <m/>
  </r>
  <r>
    <x v="0"/>
    <x v="8"/>
    <s v="Europe and Central Asia"/>
    <s v="No Specific Relationship"/>
    <s v="NATO"/>
    <s v="EUCOM"/>
    <x v="38"/>
    <x v="11"/>
    <n v="5"/>
    <x v="0"/>
    <m/>
    <m/>
    <m/>
    <m/>
    <x v="0"/>
    <m/>
    <x v="0"/>
    <m/>
    <x v="0"/>
    <m/>
    <s v="NETF"/>
    <s v="2002-05 DDG113 Qingdao"/>
    <s v="North Sea Fleet"/>
    <s v="Luhu destroyer Qingdao 113, replenishment ship Taicang 575"/>
    <s v="CPP20021010000233"/>
    <m/>
  </r>
  <r>
    <x v="0"/>
    <x v="8"/>
    <s v="Europe and Central Asia"/>
    <s v="No Specific Relationship"/>
    <s v="None"/>
    <s v="EUCOM"/>
    <x v="26"/>
    <x v="11"/>
    <n v="5"/>
    <x v="0"/>
    <m/>
    <m/>
    <m/>
    <m/>
    <x v="0"/>
    <m/>
    <x v="0"/>
    <m/>
    <x v="0"/>
    <m/>
    <s v="NETF"/>
    <s v="2002-05 DDG113 Qingdao"/>
    <s v="North Sea Fleet"/>
    <s v="Luhu destroyer Qingdao 113, replenishment ship Taicang 575"/>
    <s v="CPP20021010000233"/>
    <m/>
  </r>
  <r>
    <x v="1"/>
    <x v="10"/>
    <s v="America and Oceania"/>
    <s v="No Specific Relationship"/>
    <s v="None"/>
    <s v="SOUTHCOM"/>
    <x v="41"/>
    <x v="11"/>
    <n v="6"/>
    <x v="3"/>
    <s v="Fu Quanyou"/>
    <m/>
    <s v="GSD Commander; CMC Member"/>
    <n v="8"/>
    <x v="2"/>
    <s v="Commander of Defense Force"/>
    <x v="0"/>
    <m/>
    <x v="0"/>
    <m/>
    <m/>
    <m/>
    <m/>
    <m/>
    <s v="CPP20020620000095"/>
    <m/>
  </r>
  <r>
    <x v="1"/>
    <x v="0"/>
    <s v="Asia"/>
    <s v="No Specific Relationship"/>
    <s v="None"/>
    <s v="INDOPACOM"/>
    <x v="0"/>
    <x v="11"/>
    <n v="6"/>
    <x v="3"/>
    <s v="Chi Haotian"/>
    <m/>
    <s v="Defense Minister; CMC Member"/>
    <n v="8"/>
    <x v="2"/>
    <s v="Chief of Army Staff"/>
    <x v="0"/>
    <m/>
    <x v="0"/>
    <m/>
    <m/>
    <m/>
    <m/>
    <m/>
    <s v="CPP20020602000061"/>
    <m/>
  </r>
  <r>
    <x v="1"/>
    <x v="10"/>
    <s v="America and Oceania"/>
    <s v="No Specific Relationship"/>
    <s v="None"/>
    <s v="SOUTHCOM"/>
    <x v="42"/>
    <x v="11"/>
    <n v="6"/>
    <x v="3"/>
    <s v="Fu Quanyou"/>
    <m/>
    <s v="GSD Commander; CMC Member"/>
    <n v="8"/>
    <x v="2"/>
    <s v="Army Commander"/>
    <x v="0"/>
    <m/>
    <x v="0"/>
    <m/>
    <m/>
    <m/>
    <m/>
    <m/>
    <s v="CPP20020621000098"/>
    <m/>
  </r>
  <r>
    <x v="1"/>
    <x v="10"/>
    <s v="America and Oceania"/>
    <s v="Strategic Partnership [战略伙伴关系]"/>
    <s v="None"/>
    <s v="SOUTHCOM"/>
    <x v="43"/>
    <x v="11"/>
    <n v="6"/>
    <x v="3"/>
    <s v="Fu Quanyou"/>
    <m/>
    <s v="GSD Commander; CMC Member"/>
    <n v="8"/>
    <x v="2"/>
    <s v="Chief of Army "/>
    <x v="0"/>
    <m/>
    <x v="0"/>
    <m/>
    <m/>
    <m/>
    <m/>
    <m/>
    <s v="CPP20020610000039"/>
    <m/>
  </r>
  <r>
    <x v="0"/>
    <x v="10"/>
    <s v="America and Oceania"/>
    <s v="Strategic Partnership [战略伙伴关系]"/>
    <s v="None"/>
    <s v="SOUTHCOM"/>
    <x v="43"/>
    <x v="11"/>
    <n v="6"/>
    <x v="0"/>
    <m/>
    <m/>
    <m/>
    <m/>
    <x v="0"/>
    <m/>
    <x v="0"/>
    <m/>
    <x v="0"/>
    <m/>
    <s v="NETF"/>
    <s v="2002-05 DDG113 Qingdao"/>
    <s v="North Sea Fleet"/>
    <s v="Luhu destroyer Qingdao 113, replenishment ship Taicang 575"/>
    <s v="CPP20021010000233"/>
    <m/>
  </r>
  <r>
    <x v="1"/>
    <x v="1"/>
    <s v="Asia"/>
    <s v="No Specific Relationship"/>
    <s v="None"/>
    <s v="INDOPACOM"/>
    <x v="44"/>
    <x v="11"/>
    <n v="6"/>
    <x v="3"/>
    <s v="Zhang Wannian"/>
    <m/>
    <s v="CMC Vice Chairman"/>
    <n v="10"/>
    <x v="2"/>
    <s v="Commander of Armed Forces"/>
    <x v="0"/>
    <m/>
    <x v="0"/>
    <m/>
    <m/>
    <m/>
    <m/>
    <m/>
    <s v="CPP20020621000104; Xinhua 6-21-2002"/>
    <m/>
  </r>
  <r>
    <x v="1"/>
    <x v="10"/>
    <s v="America and Oceania"/>
    <s v="No Specific Relationship"/>
    <s v="None"/>
    <s v="SOUTHCOM"/>
    <x v="45"/>
    <x v="11"/>
    <n v="6"/>
    <x v="3"/>
    <s v="Chi Haotian"/>
    <m/>
    <s v="Defense Minister; CMC Member"/>
    <n v="8"/>
    <x v="2"/>
    <s v="Commander in Chief"/>
    <x v="0"/>
    <m/>
    <x v="0"/>
    <m/>
    <m/>
    <m/>
    <m/>
    <m/>
    <s v="CPP20020623000024"/>
    <m/>
  </r>
  <r>
    <x v="1"/>
    <x v="7"/>
    <s v="West Asia and Africa"/>
    <s v="No Specific Relationship"/>
    <s v="None"/>
    <s v="AFRICOM"/>
    <x v="46"/>
    <x v="11"/>
    <n v="6"/>
    <x v="3"/>
    <s v="Fu Quanyou"/>
    <m/>
    <s v="GSD Commander; CMC Member"/>
    <n v="8"/>
    <x v="2"/>
    <s v="Defense Minister"/>
    <x v="0"/>
    <m/>
    <x v="0"/>
    <m/>
    <m/>
    <m/>
    <m/>
    <m/>
    <s v="CPP20020614000103"/>
    <m/>
  </r>
  <r>
    <x v="1"/>
    <x v="8"/>
    <s v="Europe and Central Asia"/>
    <s v="No Specific Relationship"/>
    <s v="NATO"/>
    <s v="EUCOM"/>
    <x v="22"/>
    <x v="11"/>
    <n v="6"/>
    <x v="4"/>
    <s v="Cao Gangchuan"/>
    <m/>
    <s v="GAD Director; CMC Member"/>
    <n v="8"/>
    <x v="1"/>
    <s v="Defense Minister"/>
    <x v="0"/>
    <m/>
    <x v="0"/>
    <m/>
    <m/>
    <m/>
    <m/>
    <m/>
    <s v="CPP20020608000021; Xinhua 6-8-2002"/>
    <m/>
  </r>
  <r>
    <x v="1"/>
    <x v="8"/>
    <s v="Europe and Central Asia"/>
    <s v="No Specific Relationship"/>
    <s v="NATO"/>
    <s v="EUCOM"/>
    <x v="18"/>
    <x v="11"/>
    <n v="6"/>
    <x v="3"/>
    <s v="Chi Haotian"/>
    <m/>
    <s v="Defense Minister; CMC Member"/>
    <n v="8"/>
    <x v="2"/>
    <s v="Navy Inspector"/>
    <x v="0"/>
    <m/>
    <x v="0"/>
    <m/>
    <m/>
    <m/>
    <m/>
    <m/>
    <s v="CPP20020611000111"/>
    <m/>
  </r>
  <r>
    <x v="1"/>
    <x v="8"/>
    <s v="Europe and Central Asia"/>
    <s v="No Specific Relationship"/>
    <s v="NATO"/>
    <s v="EUCOM"/>
    <x v="20"/>
    <x v="11"/>
    <n v="6"/>
    <x v="4"/>
    <s v="Cao Gangchuan"/>
    <m/>
    <s v="GAD Director; CMC Member"/>
    <n v="8"/>
    <x v="1"/>
    <s v="Defense Minister"/>
    <x v="0"/>
    <m/>
    <x v="0"/>
    <m/>
    <m/>
    <m/>
    <m/>
    <m/>
    <s v="CPP20020608000021; Xinhua 6-8-2002"/>
    <m/>
  </r>
  <r>
    <x v="1"/>
    <x v="7"/>
    <s v="West Asia and Africa"/>
    <s v="No Specific Relationship"/>
    <s v="None"/>
    <s v="AFRICOM"/>
    <x v="47"/>
    <x v="11"/>
    <n v="6"/>
    <x v="3"/>
    <s v="Chi Haotian"/>
    <m/>
    <s v="Defense Minister; CMC Member"/>
    <n v="8"/>
    <x v="2"/>
    <s v="Chief of Staff  "/>
    <x v="0"/>
    <m/>
    <x v="0"/>
    <m/>
    <m/>
    <m/>
    <m/>
    <m/>
    <s v="CPP20020627000109"/>
    <m/>
  </r>
  <r>
    <x v="0"/>
    <x v="8"/>
    <s v="Europe and Central Asia"/>
    <s v="No Specific Relationship"/>
    <s v="NATO"/>
    <s v="EUCOM"/>
    <x v="48"/>
    <x v="11"/>
    <n v="6"/>
    <x v="0"/>
    <m/>
    <m/>
    <m/>
    <m/>
    <x v="0"/>
    <m/>
    <x v="0"/>
    <m/>
    <x v="0"/>
    <m/>
    <s v="NETF"/>
    <s v="2002-05 DDG113 Qingdao"/>
    <s v="North Sea Fleet"/>
    <s v="Luhu destroyer Qingdao 113, replenishment ship Taicang 575"/>
    <s v="CPP20021010000233"/>
    <m/>
  </r>
  <r>
    <x v="1"/>
    <x v="3"/>
    <s v="Europe and Central Asia"/>
    <s v="Strategic Partnership of Coordination [战略协作伙伴关系]"/>
    <s v="None"/>
    <s v="EUCOM"/>
    <x v="7"/>
    <x v="11"/>
    <n v="6"/>
    <x v="3"/>
    <s v="Chi Haotian"/>
    <m/>
    <s v="Defense Minister; CMC Member"/>
    <n v="8"/>
    <x v="2"/>
    <s v="Defense Minister"/>
    <x v="0"/>
    <m/>
    <x v="0"/>
    <m/>
    <m/>
    <m/>
    <m/>
    <m/>
    <s v="CPP20020601000085"/>
    <m/>
  </r>
  <r>
    <x v="1"/>
    <x v="7"/>
    <s v="West Asia and Africa"/>
    <s v="No Specific Relationship"/>
    <s v="None"/>
    <s v="AFRICOM"/>
    <x v="15"/>
    <x v="11"/>
    <n v="6"/>
    <x v="4"/>
    <s v="Cao Gangchuan"/>
    <m/>
    <s v="GAD Director; CMC Member"/>
    <n v="8"/>
    <x v="1"/>
    <s v="Defense Minister"/>
    <x v="0"/>
    <m/>
    <x v="0"/>
    <m/>
    <m/>
    <m/>
    <m/>
    <m/>
    <s v="CPP20020608000021; Xinhua 6-8-2002"/>
    <m/>
  </r>
  <r>
    <x v="1"/>
    <x v="4"/>
    <s v="Asia"/>
    <s v="Full-Scale Cooperative Partnership [全面合作伙伴关系]"/>
    <s v="Bilateral Defense Treaty"/>
    <s v="INDOPACOM"/>
    <x v="25"/>
    <x v="11"/>
    <n v="6"/>
    <x v="3"/>
    <s v="Chi Haotian"/>
    <m/>
    <s v="Defense Minister; CMC Member"/>
    <n v="8"/>
    <x v="2"/>
    <s v="Defense Minister"/>
    <x v="0"/>
    <m/>
    <x v="0"/>
    <m/>
    <m/>
    <m/>
    <m/>
    <m/>
    <s v="CPP20020602000062"/>
    <m/>
  </r>
  <r>
    <x v="1"/>
    <x v="0"/>
    <s v="Asia"/>
    <s v="No Specific Relationship"/>
    <s v="None"/>
    <s v="INDOPACOM"/>
    <x v="3"/>
    <x v="11"/>
    <n v="6"/>
    <x v="3"/>
    <s v="Chi Haotian"/>
    <m/>
    <s v="Defense Minister; CMC Member"/>
    <n v="8"/>
    <x v="2"/>
    <s v="Defense Minister"/>
    <x v="0"/>
    <m/>
    <x v="0"/>
    <m/>
    <m/>
    <m/>
    <m/>
    <m/>
    <s v="CPP20020611000116"/>
    <m/>
  </r>
  <r>
    <x v="1"/>
    <x v="1"/>
    <s v="Asia"/>
    <s v="No Specific Relationship"/>
    <s v="Bilateral Defense Treaty"/>
    <s v="INDOPACOM"/>
    <x v="5"/>
    <x v="11"/>
    <n v="6"/>
    <x v="3"/>
    <s v="Fu Quanyou"/>
    <m/>
    <s v="GSD Commander; CMC Member"/>
    <n v="8"/>
    <x v="2"/>
    <s v="Army Commander"/>
    <x v="0"/>
    <m/>
    <x v="0"/>
    <m/>
    <m/>
    <m/>
    <m/>
    <m/>
    <s v="CPP20020625000204"/>
    <m/>
  </r>
  <r>
    <x v="1"/>
    <x v="8"/>
    <s v="Europe and Central Asia"/>
    <s v="No Specific Relationship"/>
    <s v="None"/>
    <s v="EUCOM"/>
    <x v="26"/>
    <x v="11"/>
    <n v="6"/>
    <x v="4"/>
    <s v="Fu Quanyou"/>
    <m/>
    <s v="GSD Commander; CMC Member"/>
    <n v="8"/>
    <x v="1"/>
    <s v="President"/>
    <x v="0"/>
    <m/>
    <x v="0"/>
    <m/>
    <m/>
    <m/>
    <m/>
    <m/>
    <s v="CPP20020603000168"/>
    <m/>
  </r>
  <r>
    <x v="1"/>
    <x v="2"/>
    <s v="America and Oceania"/>
    <s v="No Specific Relationship"/>
    <s v="N/A"/>
    <s v="NORTHCOM"/>
    <x v="4"/>
    <x v="11"/>
    <n v="6"/>
    <x v="3"/>
    <s v="Chi Haotian"/>
    <m/>
    <s v="Defense Minister; CMC Member"/>
    <n v="8"/>
    <x v="2"/>
    <s v="Delegation"/>
    <x v="0"/>
    <m/>
    <x v="0"/>
    <m/>
    <m/>
    <m/>
    <m/>
    <m/>
    <s v="CPP20020624000222"/>
    <m/>
  </r>
  <r>
    <x v="1"/>
    <x v="10"/>
    <s v="America and Oceania"/>
    <s v="No Specific Relationship"/>
    <s v="None"/>
    <s v="SOUTHCOM"/>
    <x v="49"/>
    <x v="11"/>
    <n v="7"/>
    <x v="3"/>
    <s v="Fu Quanyou"/>
    <m/>
    <s v="GSD Commander; CMC Member"/>
    <n v="8"/>
    <x v="2"/>
    <s v="General of Armed Forces"/>
    <x v="0"/>
    <m/>
    <x v="0"/>
    <m/>
    <m/>
    <m/>
    <m/>
    <m/>
    <s v="CPP20020715000072"/>
    <m/>
  </r>
  <r>
    <x v="1"/>
    <x v="10"/>
    <s v="America and Oceania"/>
    <s v="No Specific Relationship"/>
    <s v="None"/>
    <s v="SOUTHCOM"/>
    <x v="49"/>
    <x v="11"/>
    <n v="7"/>
    <x v="3"/>
    <s v="Lei Mingqiu"/>
    <m/>
    <s v="Nanjing MR Political Commissar"/>
    <n v="6"/>
    <x v="2"/>
    <s v="Director of Armed Forces"/>
    <x v="0"/>
    <m/>
    <x v="0"/>
    <m/>
    <m/>
    <m/>
    <m/>
    <m/>
    <s v="CPP20020723000047"/>
    <m/>
  </r>
  <r>
    <x v="1"/>
    <x v="1"/>
    <s v="Asia"/>
    <s v="No Specific Relationship"/>
    <s v="None"/>
    <s v="INDOPACOM"/>
    <x v="50"/>
    <x v="11"/>
    <n v="7"/>
    <x v="3"/>
    <s v="Chi Haotian"/>
    <m/>
    <s v="Defense Minister; CMC Member"/>
    <n v="8"/>
    <x v="2"/>
    <s v="Commander of Armed Forces"/>
    <x v="0"/>
    <m/>
    <x v="0"/>
    <m/>
    <m/>
    <m/>
    <m/>
    <m/>
    <s v="CPP20020702000138"/>
    <m/>
  </r>
  <r>
    <x v="0"/>
    <x v="10"/>
    <s v="America and Oceania"/>
    <s v="No Specific Relationship"/>
    <s v="None"/>
    <s v="SOUTHCOM"/>
    <x v="51"/>
    <x v="11"/>
    <n v="7"/>
    <x v="0"/>
    <m/>
    <m/>
    <m/>
    <m/>
    <x v="0"/>
    <m/>
    <x v="0"/>
    <m/>
    <x v="0"/>
    <m/>
    <s v="NETF"/>
    <s v="2002-05 DDG113 Qingdao"/>
    <s v="North Sea Fleet"/>
    <s v="Luhu destroyer Qingdao 113, replenishment ship Taicang 575"/>
    <s v="CPP20021010000233"/>
    <m/>
  </r>
  <r>
    <x v="1"/>
    <x v="1"/>
    <s v="Asia"/>
    <s v="No Specific Relationship"/>
    <s v="None"/>
    <s v="INDOPACOM"/>
    <x v="52"/>
    <x v="11"/>
    <n v="7"/>
    <x v="3"/>
    <s v="Chi Haotian"/>
    <m/>
    <s v="Defense Minister; CMC Member"/>
    <n v="8"/>
    <x v="2"/>
    <s v="Delegation"/>
    <x v="0"/>
    <m/>
    <x v="0"/>
    <m/>
    <m/>
    <m/>
    <m/>
    <m/>
    <s v="CPP20020718000193"/>
    <m/>
  </r>
  <r>
    <x v="1"/>
    <x v="4"/>
    <s v="Asia"/>
    <s v="No Specific Relationship"/>
    <s v="None"/>
    <s v="INDOPACOM"/>
    <x v="53"/>
    <x v="11"/>
    <n v="7"/>
    <x v="4"/>
    <s v="Zhang Wentai"/>
    <m/>
    <s v="GLD Political Commissar"/>
    <n v="6"/>
    <x v="1"/>
    <s v="President"/>
    <x v="0"/>
    <m/>
    <x v="0"/>
    <m/>
    <m/>
    <m/>
    <m/>
    <m/>
    <s v="CPP20020725000110"/>
    <m/>
  </r>
  <r>
    <x v="0"/>
    <x v="10"/>
    <s v="America and Oceania"/>
    <s v="No Specific Relationship"/>
    <s v="None"/>
    <s v="SOUTHCOM"/>
    <x v="54"/>
    <x v="11"/>
    <n v="7"/>
    <x v="0"/>
    <m/>
    <m/>
    <m/>
    <m/>
    <x v="0"/>
    <m/>
    <x v="0"/>
    <m/>
    <x v="0"/>
    <m/>
    <s v="NETF"/>
    <s v="2002-05 DDG113 Qingdao"/>
    <s v="North Sea Fleet"/>
    <s v="Luhu destroyer Qingdao 113, replenishment ship Taicang 575"/>
    <s v="CPP20021010000233"/>
    <m/>
  </r>
  <r>
    <x v="1"/>
    <x v="3"/>
    <s v="Europe and Central Asia"/>
    <s v="Strategic Partnership of Coordination [战略协作伙伴关系]"/>
    <s v="None"/>
    <s v="EUCOM"/>
    <x v="7"/>
    <x v="11"/>
    <n v="7"/>
    <x v="3"/>
    <s v="Chi Haotian"/>
    <m/>
    <s v="Defense Minister; CMC Member"/>
    <n v="8"/>
    <x v="2"/>
    <s v="Security Council Secretary"/>
    <x v="0"/>
    <m/>
    <x v="0"/>
    <m/>
    <m/>
    <m/>
    <m/>
    <m/>
    <s v="JPP20020717000049"/>
    <m/>
  </r>
  <r>
    <x v="1"/>
    <x v="4"/>
    <s v="Asia"/>
    <s v="Full-Scale Cooperative Partnership [全面合作伙伴关系]"/>
    <s v="Bilateral Defense Treaty"/>
    <s v="INDOPACOM"/>
    <x v="25"/>
    <x v="11"/>
    <n v="7"/>
    <x v="4"/>
    <s v="Zhang Wentai"/>
    <m/>
    <s v="GLD Political Commissar"/>
    <n v="6"/>
    <x v="1"/>
    <s v="Defense Minister"/>
    <x v="0"/>
    <m/>
    <x v="0"/>
    <m/>
    <m/>
    <m/>
    <m/>
    <m/>
    <s v="KPP20020723000056"/>
    <m/>
  </r>
  <r>
    <x v="1"/>
    <x v="6"/>
    <s v="Europe and Central Asia"/>
    <s v="No Specific Relationship"/>
    <s v="None"/>
    <s v="CENTCOM"/>
    <x v="55"/>
    <x v="11"/>
    <n v="7"/>
    <x v="3"/>
    <s v="Chi Haotian"/>
    <m/>
    <s v="Defense Minister; CMC Member"/>
    <n v="8"/>
    <x v="2"/>
    <s v="Lieutenant General"/>
    <x v="0"/>
    <m/>
    <x v="0"/>
    <m/>
    <m/>
    <m/>
    <m/>
    <m/>
    <s v="CPP20020705000083"/>
    <m/>
  </r>
  <r>
    <x v="1"/>
    <x v="2"/>
    <s v="America and Oceania"/>
    <s v="No Specific Relationship"/>
    <s v="N/A"/>
    <s v="NORTHCOM"/>
    <x v="4"/>
    <x v="11"/>
    <n v="7"/>
    <x v="3"/>
    <s v="Chi Haotian"/>
    <m/>
    <s v="Defense Minister; CMC Member"/>
    <n v="8"/>
    <x v="2"/>
    <s v="Ex-Official "/>
    <x v="0"/>
    <m/>
    <x v="0"/>
    <m/>
    <m/>
    <m/>
    <m/>
    <m/>
    <s v="CPP20020701000135"/>
    <m/>
  </r>
  <r>
    <x v="1"/>
    <x v="10"/>
    <s v="America and Oceania"/>
    <s v="Strategic Development Partnership [战略发展伙伴关系]"/>
    <s v="None"/>
    <s v="SOUTHCOM"/>
    <x v="56"/>
    <x v="11"/>
    <n v="7"/>
    <x v="3"/>
    <s v="Xiong Guangkai"/>
    <m/>
    <s v="GSD DCGS"/>
    <n v="6"/>
    <x v="2"/>
    <s v="Major General"/>
    <x v="0"/>
    <m/>
    <x v="0"/>
    <m/>
    <m/>
    <m/>
    <m/>
    <m/>
    <s v="CPP20020709000157"/>
    <m/>
  </r>
  <r>
    <x v="1"/>
    <x v="8"/>
    <s v="Europe and Central Asia"/>
    <s v="No Specific Relationship"/>
    <s v="None"/>
    <s v="EUCOM"/>
    <x v="57"/>
    <x v="11"/>
    <n v="8"/>
    <x v="4"/>
    <s v="Chi Haotian"/>
    <m/>
    <s v="Defense Minister; CMC Member"/>
    <n v="8"/>
    <x v="1"/>
    <s v="Vice Defense Minister"/>
    <x v="0"/>
    <m/>
    <x v="0"/>
    <m/>
    <m/>
    <m/>
    <m/>
    <m/>
    <s v="CPP20020807000130"/>
    <m/>
  </r>
  <r>
    <x v="1"/>
    <x v="0"/>
    <s v="Asia"/>
    <s v="No Specific Relationship"/>
    <s v="None"/>
    <s v="INDOPACOM"/>
    <x v="0"/>
    <x v="11"/>
    <n v="8"/>
    <x v="3"/>
    <s v="Fu Quanyou"/>
    <m/>
    <s v="GSD Commander; CMC Member"/>
    <n v="8"/>
    <x v="2"/>
    <s v="Chief of Air Staff"/>
    <x v="0"/>
    <m/>
    <x v="0"/>
    <m/>
    <m/>
    <m/>
    <m/>
    <m/>
    <s v="CPP20020821000148"/>
    <m/>
  </r>
  <r>
    <x v="1"/>
    <x v="8"/>
    <s v="Europe and Central Asia"/>
    <s v="No Specific Relationship"/>
    <s v="NATO"/>
    <s v="EUCOM"/>
    <x v="58"/>
    <x v="11"/>
    <n v="8"/>
    <x v="4"/>
    <s v="Lei Mingqiu"/>
    <m/>
    <s v="Nanjing MR Political Commissar"/>
    <n v="6"/>
    <x v="1"/>
    <s v="Chief of General Staff"/>
    <x v="0"/>
    <m/>
    <x v="0"/>
    <m/>
    <m/>
    <m/>
    <m/>
    <m/>
    <s v="CPP20020816000076"/>
    <m/>
  </r>
  <r>
    <x v="1"/>
    <x v="6"/>
    <s v="Europe and Central Asia"/>
    <s v="Comprehensive Cooperative Partnership [全面合作伙伴关系]"/>
    <s v="None"/>
    <s v="CENTCOM"/>
    <x v="30"/>
    <x v="11"/>
    <n v="8"/>
    <x v="4"/>
    <s v="Zheng Shouzeng"/>
    <m/>
    <s v="Lanzhou MR Politcal Commander"/>
    <n v="6"/>
    <x v="1"/>
    <s v="Defense Minister"/>
    <x v="0"/>
    <m/>
    <x v="0"/>
    <m/>
    <m/>
    <m/>
    <m/>
    <m/>
    <s v="CPP20020822000155"/>
    <m/>
  </r>
  <r>
    <x v="1"/>
    <x v="8"/>
    <s v="Europe and Central Asia"/>
    <s v="No Specific Relationship"/>
    <s v="NATO"/>
    <s v="EUCOM"/>
    <x v="59"/>
    <x v="11"/>
    <n v="8"/>
    <x v="3"/>
    <s v="Chi Haotian"/>
    <m/>
    <s v="Defense Minister; CMC Member"/>
    <n v="8"/>
    <x v="2"/>
    <s v="Chief of General Staff"/>
    <x v="0"/>
    <m/>
    <x v="0"/>
    <m/>
    <m/>
    <m/>
    <m/>
    <m/>
    <s v="CPP20020826000111"/>
    <m/>
  </r>
  <r>
    <x v="1"/>
    <x v="8"/>
    <s v="Europe and Central Asia"/>
    <s v="No Specific Relationship"/>
    <s v="NATO"/>
    <s v="EUCOM"/>
    <x v="59"/>
    <x v="11"/>
    <n v="8"/>
    <x v="4"/>
    <s v="Lei Mingqiu"/>
    <m/>
    <s v="Nanjing MR Political Commissar"/>
    <n v="6"/>
    <x v="1"/>
    <s v="Chief of General Staff"/>
    <x v="0"/>
    <m/>
    <x v="0"/>
    <m/>
    <m/>
    <m/>
    <m/>
    <m/>
    <s v="CPP20020811000001"/>
    <m/>
  </r>
  <r>
    <x v="1"/>
    <x v="4"/>
    <s v="Asia"/>
    <s v="Full-Scale Cooperative Partnership [全面合作伙伴关系]"/>
    <s v="Bilateral Defense Treaty"/>
    <s v="INDOPACOM"/>
    <x v="25"/>
    <x v="11"/>
    <n v="8"/>
    <x v="3"/>
    <s v="Chi Haotian"/>
    <m/>
    <s v="Defense Minister; CMC Member"/>
    <n v="8"/>
    <x v="2"/>
    <s v="Vice Minister of Defense"/>
    <x v="0"/>
    <m/>
    <x v="0"/>
    <m/>
    <m/>
    <m/>
    <m/>
    <m/>
    <s v="CPP20020827000087"/>
    <m/>
  </r>
  <r>
    <x v="1"/>
    <x v="6"/>
    <s v="Europe and Central Asia"/>
    <s v="No Specific Relationship"/>
    <s v="None"/>
    <s v="CENTCOM"/>
    <x v="60"/>
    <x v="11"/>
    <n v="8"/>
    <x v="4"/>
    <s v="Chi Haotian"/>
    <m/>
    <s v="Defense Minister; CMC Member"/>
    <n v="8"/>
    <x v="1"/>
    <s v="Defense Minister"/>
    <x v="0"/>
    <m/>
    <x v="0"/>
    <m/>
    <m/>
    <m/>
    <m/>
    <m/>
    <s v="CPP20020815000138"/>
    <m/>
  </r>
  <r>
    <x v="1"/>
    <x v="7"/>
    <s v="West Asia and Africa"/>
    <s v="No Specific Relationship"/>
    <s v="None"/>
    <s v="AFRICOM"/>
    <x v="16"/>
    <x v="11"/>
    <n v="8"/>
    <x v="3"/>
    <s v="Chi Haotian"/>
    <m/>
    <s v="Defense Minister; CMC Member"/>
    <n v="8"/>
    <x v="2"/>
    <s v="Commander of Defense Force"/>
    <x v="0"/>
    <m/>
    <x v="0"/>
    <m/>
    <m/>
    <m/>
    <m/>
    <m/>
    <s v="CPP20020821000118"/>
    <m/>
  </r>
  <r>
    <x v="1"/>
    <x v="2"/>
    <s v="America and Oceania"/>
    <s v="No Specific Relationship"/>
    <s v="N/A"/>
    <s v="NORTHCOM"/>
    <x v="4"/>
    <x v="11"/>
    <n v="8"/>
    <x v="3"/>
    <s v="Chi Haotian"/>
    <m/>
    <s v="Defense Minister; CMC Member"/>
    <n v="8"/>
    <x v="2"/>
    <s v="NDU CAPSTONE Delegation led by General (ret.) Robert Sennewald"/>
    <x v="0"/>
    <m/>
    <x v="0"/>
    <m/>
    <m/>
    <m/>
    <m/>
    <m/>
    <s v="CPP20020802000124"/>
    <m/>
  </r>
  <r>
    <x v="1"/>
    <x v="7"/>
    <s v="West Asia and Africa"/>
    <s v="No Specific Relationship"/>
    <s v="None"/>
    <s v="AFRICOM"/>
    <x v="61"/>
    <x v="11"/>
    <n v="8"/>
    <x v="3"/>
    <s v="Fu Quanyou"/>
    <m/>
    <s v="GSD Commander; CMC Member"/>
    <n v="8"/>
    <x v="2"/>
    <s v="Army Commander"/>
    <x v="0"/>
    <m/>
    <x v="0"/>
    <m/>
    <m/>
    <m/>
    <m/>
    <m/>
    <s v="CPP20020807000105"/>
    <m/>
  </r>
  <r>
    <x v="1"/>
    <x v="10"/>
    <s v="America and Oceania"/>
    <s v="Comprehensive Partnership [全面伙伴关系]"/>
    <s v="Major Non-NATO Ally"/>
    <s v="SOUTHCOM"/>
    <x v="62"/>
    <x v="11"/>
    <n v="9"/>
    <x v="3"/>
    <s v="Chi Haotian"/>
    <m/>
    <s v="Defense Minister; CMC Member"/>
    <n v="8"/>
    <x v="2"/>
    <s v="Chief of Staff"/>
    <x v="0"/>
    <m/>
    <x v="0"/>
    <m/>
    <m/>
    <m/>
    <m/>
    <m/>
    <s v="CPP20020903000148"/>
    <m/>
  </r>
  <r>
    <x v="1"/>
    <x v="8"/>
    <s v="Europe and Central Asia"/>
    <s v="No Specific Relationship"/>
    <s v="None"/>
    <s v="EUCOM"/>
    <x v="63"/>
    <x v="11"/>
    <n v="9"/>
    <x v="3"/>
    <s v="Zhang Wannian"/>
    <m/>
    <s v="CMC Vice Chairman"/>
    <n v="10"/>
    <x v="2"/>
    <s v="Chief of General Staff and Vice-Minister of Defense"/>
    <x v="0"/>
    <m/>
    <x v="0"/>
    <m/>
    <m/>
    <m/>
    <m/>
    <m/>
    <s v="CPP20020912000130; Xinhua 9-12-2002"/>
    <m/>
  </r>
  <r>
    <x v="1"/>
    <x v="7"/>
    <s v="West Asia and Africa"/>
    <s v="No Specific Relationship"/>
    <s v="None"/>
    <s v="AFRICOM"/>
    <x v="64"/>
    <x v="11"/>
    <n v="9"/>
    <x v="4"/>
    <s v="Jiang Futang"/>
    <m/>
    <s v="Shenyang MR Political Commissar"/>
    <n v="6"/>
    <x v="1"/>
    <s v="Defense Minister"/>
    <x v="0"/>
    <m/>
    <x v="0"/>
    <m/>
    <m/>
    <m/>
    <m/>
    <m/>
    <s v="CPP20020909000069"/>
    <m/>
  </r>
  <r>
    <x v="1"/>
    <x v="7"/>
    <s v="West Asia and Africa"/>
    <s v="Friendly Cooperative Relationship [友好合作关系]"/>
    <s v="None"/>
    <s v="AFRICOM"/>
    <x v="65"/>
    <x v="11"/>
    <n v="9"/>
    <x v="4"/>
    <s v="Jiang Futang"/>
    <m/>
    <s v="Shenyang MR Political Commissar"/>
    <n v="6"/>
    <x v="1"/>
    <s v="Defense Minister"/>
    <x v="0"/>
    <m/>
    <x v="0"/>
    <m/>
    <m/>
    <m/>
    <m/>
    <m/>
    <s v="CPP20020909000069"/>
    <m/>
  </r>
  <r>
    <x v="1"/>
    <x v="2"/>
    <s v="America and Oceania"/>
    <s v="Comprehensive Partnership [全面伙伴关系]"/>
    <s v="NATO"/>
    <s v="NORTHCOM"/>
    <x v="17"/>
    <x v="11"/>
    <n v="9"/>
    <x v="4"/>
    <s v="Chi Haotian"/>
    <m/>
    <s v="Defense Minister; CMC Member"/>
    <n v="8"/>
    <x v="1"/>
    <s v="Prime Minister"/>
    <x v="0"/>
    <m/>
    <x v="0"/>
    <m/>
    <m/>
    <m/>
    <m/>
    <m/>
    <s v="CPP20020911000059"/>
    <m/>
  </r>
  <r>
    <x v="1"/>
    <x v="10"/>
    <s v="America and Oceania"/>
    <s v="No Specific Relationship"/>
    <s v="None"/>
    <s v="SOUTHCOM"/>
    <x v="66"/>
    <x v="11"/>
    <n v="9"/>
    <x v="3"/>
    <s v="Chi Haotian"/>
    <m/>
    <s v="Defense Minister; CMC Member"/>
    <n v="8"/>
    <x v="2"/>
    <s v="Vice Minister of Defense"/>
    <x v="0"/>
    <m/>
    <x v="0"/>
    <m/>
    <m/>
    <m/>
    <m/>
    <m/>
    <s v="CPP20020905000082"/>
    <m/>
  </r>
  <r>
    <x v="1"/>
    <x v="7"/>
    <s v="West Asia and Africa"/>
    <s v="No Specific Relationship"/>
    <s v="None"/>
    <s v="AFRICOM"/>
    <x v="67"/>
    <x v="11"/>
    <n v="9"/>
    <x v="4"/>
    <s v="Jiang Futang"/>
    <m/>
    <s v="Shenyang MR Political Commissar"/>
    <n v="6"/>
    <x v="1"/>
    <s v="Defense Minister"/>
    <x v="0"/>
    <m/>
    <x v="0"/>
    <m/>
    <m/>
    <m/>
    <m/>
    <m/>
    <s v="CPP20020909000069"/>
    <m/>
  </r>
  <r>
    <x v="1"/>
    <x v="1"/>
    <s v="Asia"/>
    <s v="No Specific Relationship"/>
    <s v="None"/>
    <s v="INDOPACOM"/>
    <x v="8"/>
    <x v="11"/>
    <n v="9"/>
    <x v="4"/>
    <s v="Chi Haotian"/>
    <m/>
    <s v="Defense Minister; CMC Member"/>
    <n v="8"/>
    <x v="1"/>
    <s v="President"/>
    <x v="0"/>
    <m/>
    <x v="0"/>
    <m/>
    <m/>
    <m/>
    <m/>
    <m/>
    <s v="CPP20020919000110"/>
    <m/>
  </r>
  <r>
    <x v="1"/>
    <x v="1"/>
    <s v="Asia"/>
    <s v="No Specific Relationship"/>
    <s v="Bilateral Defense Treaty"/>
    <s v="INDOPACOM"/>
    <x v="11"/>
    <x v="11"/>
    <n v="9"/>
    <x v="3"/>
    <s v="Chi Haotian"/>
    <m/>
    <s v="Defense Minister; CMC Member"/>
    <n v="8"/>
    <x v="2"/>
    <s v="President"/>
    <x v="0"/>
    <m/>
    <x v="0"/>
    <m/>
    <m/>
    <m/>
    <m/>
    <m/>
    <s v="CPP20020928000069"/>
    <m/>
  </r>
  <r>
    <x v="1"/>
    <x v="5"/>
    <s v="America and Oceania"/>
    <s v="No Specific Relationship"/>
    <s v="ANZUS Treaty"/>
    <s v="INDOPACOM"/>
    <x v="12"/>
    <x v="11"/>
    <n v="10"/>
    <x v="3"/>
    <s v="Xiong Guangkai"/>
    <m/>
    <s v="GSD DCGS"/>
    <n v="6"/>
    <x v="2"/>
    <s v="Defense College Delegation led by Commander Jim Molan, President"/>
    <x v="0"/>
    <m/>
    <x v="0"/>
    <m/>
    <m/>
    <m/>
    <m/>
    <m/>
    <s v="CPP20021016000213"/>
    <m/>
  </r>
  <r>
    <x v="1"/>
    <x v="8"/>
    <s v="Europe and Central Asia"/>
    <s v="No Specific Relationship"/>
    <s v="NATO"/>
    <s v="EUCOM"/>
    <x v="68"/>
    <x v="11"/>
    <n v="10"/>
    <x v="3"/>
    <s v="Chi Haotian"/>
    <m/>
    <s v="Defense Minister; CMC Member"/>
    <n v="8"/>
    <x v="2"/>
    <s v="Defense Minister"/>
    <x v="0"/>
    <m/>
    <x v="0"/>
    <m/>
    <m/>
    <m/>
    <m/>
    <m/>
    <s v="CPP20021028000122"/>
    <m/>
  </r>
  <r>
    <x v="1"/>
    <x v="8"/>
    <s v="Europe and Central Asia"/>
    <s v="No Specific Relationship"/>
    <s v="NATO"/>
    <s v="EUCOM"/>
    <x v="35"/>
    <x v="11"/>
    <n v="10"/>
    <x v="3"/>
    <s v="Chi Haotian"/>
    <m/>
    <s v="Defense Minister; CMC Member"/>
    <n v="8"/>
    <x v="2"/>
    <s v="Parliamentary Speaker"/>
    <x v="0"/>
    <m/>
    <x v="0"/>
    <m/>
    <m/>
    <m/>
    <m/>
    <m/>
    <s v="CPP20021025000087"/>
    <m/>
  </r>
  <r>
    <x v="1"/>
    <x v="8"/>
    <s v="Europe and Central Asia"/>
    <s v="No Specific Relationship"/>
    <s v="NATO"/>
    <s v="EUCOM"/>
    <x v="20"/>
    <x v="11"/>
    <n v="10"/>
    <x v="3"/>
    <s v="Chi Haotian"/>
    <m/>
    <s v="Defense Minister; CMC Member"/>
    <n v="8"/>
    <x v="2"/>
    <s v="Vice Minister of Defense"/>
    <x v="0"/>
    <m/>
    <x v="0"/>
    <m/>
    <m/>
    <m/>
    <m/>
    <m/>
    <s v="CPP20021031000122"/>
    <m/>
  </r>
  <r>
    <x v="2"/>
    <x v="6"/>
    <s v="Europe and Central Asia"/>
    <s v="No Specific Relationship"/>
    <s v="None"/>
    <s v="CENTCOM"/>
    <x v="31"/>
    <x v="11"/>
    <n v="10"/>
    <x v="5"/>
    <m/>
    <m/>
    <m/>
    <m/>
    <x v="0"/>
    <m/>
    <x v="1"/>
    <s v="Exercise-01"/>
    <x v="1"/>
    <m/>
    <m/>
    <m/>
    <m/>
    <m/>
    <s v="CPP20021010000274; de Haas Journal of Slavic Military Studies 29:3 (2016)"/>
    <s v="Under SCO auspices, but coded as Kyrgyzstan because it is a BL exercise."/>
  </r>
  <r>
    <x v="1"/>
    <x v="0"/>
    <s v="Asia"/>
    <s v="Strategic Partnership [战略伙伴关系]"/>
    <s v="Major Non-NATO Ally"/>
    <s v="CENTCOM"/>
    <x v="2"/>
    <x v="11"/>
    <n v="10"/>
    <x v="3"/>
    <s v="Fu Quanyou"/>
    <m/>
    <s v="GSD Commander; CMC Member"/>
    <n v="8"/>
    <x v="2"/>
    <s v="Lieutenant General"/>
    <x v="0"/>
    <m/>
    <x v="0"/>
    <m/>
    <m/>
    <m/>
    <m/>
    <m/>
    <s v="CPP20021029000133"/>
    <m/>
  </r>
  <r>
    <x v="1"/>
    <x v="8"/>
    <s v="Europe and Central Asia"/>
    <s v="No Specific Relationship"/>
    <s v="NATO"/>
    <s v="EUCOM"/>
    <x v="33"/>
    <x v="11"/>
    <n v="10"/>
    <x v="3"/>
    <s v="Fu Quanyou"/>
    <m/>
    <s v="GSD Commander; CMC Member"/>
    <n v="8"/>
    <x v="2"/>
    <s v="General Inspector of Armed Forces"/>
    <x v="0"/>
    <m/>
    <x v="0"/>
    <m/>
    <m/>
    <m/>
    <m/>
    <m/>
    <s v="CPP20021015000073"/>
    <m/>
  </r>
  <r>
    <x v="1"/>
    <x v="4"/>
    <s v="Asia"/>
    <s v="Full-Scale Cooperative Partnership [全面合作伙伴关系]"/>
    <s v="Bilateral Defense Treaty"/>
    <s v="INDOPACOM"/>
    <x v="25"/>
    <x v="11"/>
    <n v="10"/>
    <x v="3"/>
    <s v="Fu Quanyou"/>
    <m/>
    <s v="GSD Commander; CMC Member"/>
    <n v="8"/>
    <x v="2"/>
    <s v="Defense Minister"/>
    <x v="0"/>
    <m/>
    <x v="0"/>
    <m/>
    <m/>
    <m/>
    <m/>
    <m/>
    <s v="CPP20021002000148"/>
    <m/>
  </r>
  <r>
    <x v="1"/>
    <x v="8"/>
    <s v="Europe and Central Asia"/>
    <s v="No Specific Relationship"/>
    <s v="NATO"/>
    <s v="EUCOM"/>
    <x v="21"/>
    <x v="11"/>
    <n v="10"/>
    <x v="3"/>
    <s v="Xiong Guangkai"/>
    <m/>
    <s v="GSD DCGS"/>
    <n v="6"/>
    <x v="2"/>
    <s v="Delegation from Royal College of Defense Studies led by LTG Sir Christopher Wallace"/>
    <x v="0"/>
    <m/>
    <x v="0"/>
    <m/>
    <m/>
    <m/>
    <m/>
    <m/>
    <s v="CPP20021017000141"/>
    <m/>
  </r>
  <r>
    <x v="1"/>
    <x v="2"/>
    <s v="America and Oceania"/>
    <s v="No Specific Relationship"/>
    <s v="N/A"/>
    <s v="NORTHCOM"/>
    <x v="4"/>
    <x v="11"/>
    <n v="10"/>
    <x v="3"/>
    <s v="Chi Haotian"/>
    <m/>
    <s v="Defense Minister; CMC Member"/>
    <n v="8"/>
    <x v="2"/>
    <s v="NDU President"/>
    <x v="0"/>
    <m/>
    <x v="0"/>
    <m/>
    <m/>
    <m/>
    <m/>
    <m/>
    <s v="CPP20021009000121"/>
    <m/>
  </r>
  <r>
    <x v="1"/>
    <x v="1"/>
    <s v="Asia"/>
    <s v="No Specific Relationship"/>
    <s v="None"/>
    <s v="INDOPACOM"/>
    <x v="23"/>
    <x v="11"/>
    <n v="10"/>
    <x v="3"/>
    <s v="Zhang Wannian"/>
    <m/>
    <s v="CMC Vice Chairman"/>
    <n v="10"/>
    <x v="2"/>
    <s v="Director of Vietnam Military GPD Le Van Dung"/>
    <x v="0"/>
    <m/>
    <x v="0"/>
    <m/>
    <m/>
    <m/>
    <m/>
    <m/>
    <s v="CPP20021016000203; Xinhua 10-16-2002"/>
    <m/>
  </r>
  <r>
    <x v="1"/>
    <x v="10"/>
    <s v="America and Oceania"/>
    <s v="No Specific Relationship"/>
    <s v="None"/>
    <s v="SOUTHCOM"/>
    <x v="66"/>
    <x v="11"/>
    <n v="11"/>
    <x v="3"/>
    <s v="Chi Haotian"/>
    <m/>
    <s v="Defense Minister; CMC Member"/>
    <n v="8"/>
    <x v="2"/>
    <s v="Director of Armed Forces"/>
    <x v="0"/>
    <m/>
    <x v="0"/>
    <m/>
    <m/>
    <m/>
    <m/>
    <m/>
    <s v="CPP20021106000098"/>
    <m/>
  </r>
  <r>
    <x v="1"/>
    <x v="8"/>
    <s v="Europe and Central Asia"/>
    <s v="No Specific Relationship"/>
    <s v="NATO"/>
    <s v="EUCOM"/>
    <x v="35"/>
    <x v="11"/>
    <n v="11"/>
    <x v="3"/>
    <s v="Xiong Guangkai"/>
    <m/>
    <s v="GSD DCGS"/>
    <n v="6"/>
    <x v="2"/>
    <s v="Commander of Air Force"/>
    <x v="0"/>
    <m/>
    <x v="0"/>
    <m/>
    <m/>
    <m/>
    <m/>
    <m/>
    <s v="CPP20021121000151"/>
    <m/>
  </r>
  <r>
    <x v="1"/>
    <x v="0"/>
    <s v="Asia"/>
    <s v="No Specific Relationship"/>
    <s v="None"/>
    <s v="INDOPACOM"/>
    <x v="6"/>
    <x v="11"/>
    <n v="11"/>
    <x v="3"/>
    <s v="Liang Guanglie"/>
    <m/>
    <s v="GSD Commander; CMC Member"/>
    <n v="8"/>
    <x v="2"/>
    <s v="Commander in Chief"/>
    <x v="0"/>
    <m/>
    <x v="0"/>
    <m/>
    <m/>
    <m/>
    <m/>
    <m/>
    <s v="CPP20021125000151"/>
    <m/>
  </r>
  <r>
    <x v="1"/>
    <x v="7"/>
    <s v="West Asia and Africa"/>
    <s v="No Specific Relationship"/>
    <s v="None"/>
    <s v="AFRICOM"/>
    <x v="69"/>
    <x v="11"/>
    <n v="11"/>
    <x v="3"/>
    <s v="Liang Guanglie"/>
    <m/>
    <s v="GSD Commander; CMC Member"/>
    <n v="8"/>
    <x v="2"/>
    <s v="Chief of General Staff"/>
    <x v="0"/>
    <m/>
    <x v="0"/>
    <m/>
    <m/>
    <m/>
    <m/>
    <m/>
    <s v="CPP20021129000065"/>
    <m/>
  </r>
  <r>
    <x v="1"/>
    <x v="4"/>
    <s v="Asia"/>
    <s v="Bilateral Defense Treaty"/>
    <s v="None"/>
    <s v="INDOPACOM"/>
    <x v="9"/>
    <x v="11"/>
    <n v="11"/>
    <x v="3"/>
    <s v="Chi Haotian"/>
    <m/>
    <s v="Defense Minister; CMC Member"/>
    <n v="8"/>
    <x v="2"/>
    <s v="KPA military foreign affairs delegation led by Sin Tong-Kun"/>
    <x v="0"/>
    <m/>
    <x v="0"/>
    <m/>
    <m/>
    <m/>
    <m/>
    <m/>
    <s v="KPP20021122000044"/>
    <m/>
  </r>
  <r>
    <x v="1"/>
    <x v="0"/>
    <s v="Asia"/>
    <s v="Strategic Partnership [战略伙伴关系]"/>
    <s v="Major Non-NATO Ally"/>
    <s v="CENTCOM"/>
    <x v="2"/>
    <x v="11"/>
    <n v="11"/>
    <x v="3"/>
    <s v="Liang Guanglie"/>
    <m/>
    <s v="GSD Commander; CMC Member"/>
    <n v="8"/>
    <x v="2"/>
    <s v="Chief of General Staff"/>
    <x v="0"/>
    <m/>
    <x v="0"/>
    <m/>
    <m/>
    <m/>
    <m/>
    <m/>
    <s v="CPP20021223000048"/>
    <m/>
  </r>
  <r>
    <x v="1"/>
    <x v="1"/>
    <s v="Asia"/>
    <s v="No Specific Relationship"/>
    <s v="None"/>
    <s v="INDOPACOM"/>
    <x v="39"/>
    <x v="11"/>
    <n v="11"/>
    <x v="3"/>
    <s v="Chi Haotian"/>
    <m/>
    <s v="Defense Minister; CMC Member"/>
    <n v="8"/>
    <x v="2"/>
    <s v="Chief of Air Force"/>
    <x v="0"/>
    <m/>
    <x v="0"/>
    <m/>
    <m/>
    <m/>
    <m/>
    <m/>
    <s v="CPP20021106000121"/>
    <m/>
  </r>
  <r>
    <x v="1"/>
    <x v="7"/>
    <s v="West Asia and Africa"/>
    <s v="No Specific Relationship"/>
    <s v="None"/>
    <s v="AFRICOM"/>
    <x v="15"/>
    <x v="11"/>
    <n v="11"/>
    <x v="3"/>
    <s v="Xiong Guangkai"/>
    <m/>
    <s v="GSD DCGS"/>
    <n v="6"/>
    <x v="2"/>
    <s v="Vice Admiral"/>
    <x v="0"/>
    <m/>
    <x v="0"/>
    <m/>
    <m/>
    <m/>
    <m/>
    <m/>
    <s v="CPP20021119000057"/>
    <m/>
  </r>
  <r>
    <x v="1"/>
    <x v="8"/>
    <s v="Europe and Central Asia"/>
    <s v="No Specific Relationship"/>
    <s v="NATO"/>
    <s v="EUCOM"/>
    <x v="70"/>
    <x v="11"/>
    <n v="11"/>
    <x v="3"/>
    <s v="Xiong Guangkai"/>
    <m/>
    <s v="GSD DCGS"/>
    <n v="6"/>
    <x v="2"/>
    <s v="Admiral Chief"/>
    <x v="0"/>
    <m/>
    <x v="0"/>
    <m/>
    <m/>
    <m/>
    <m/>
    <m/>
    <s v="CPP20021121000151"/>
    <m/>
  </r>
  <r>
    <x v="1"/>
    <x v="2"/>
    <s v="America and Oceania"/>
    <s v="No Specific Relationship"/>
    <s v="N/A"/>
    <s v="NORTHCOM"/>
    <x v="4"/>
    <x v="11"/>
    <n v="11"/>
    <x v="3"/>
    <s v="Chi Haotian"/>
    <m/>
    <s v="Defense Minister; CMC Member"/>
    <n v="8"/>
    <x v="2"/>
    <s v="Former Official"/>
    <x v="0"/>
    <m/>
    <x v="0"/>
    <m/>
    <m/>
    <m/>
    <m/>
    <m/>
    <s v="CPP20021122000080"/>
    <m/>
  </r>
  <r>
    <x v="1"/>
    <x v="7"/>
    <s v="West Asia and Africa"/>
    <s v="Comprehensive Strategic Cooperative Partnership [全面战略合作伙伴关系]"/>
    <s v="None"/>
    <s v="AFRICOM"/>
    <x v="71"/>
    <x v="11"/>
    <n v="12"/>
    <x v="3"/>
    <s v="Chi Haotian"/>
    <m/>
    <s v="Defense Minister; CMC Member"/>
    <n v="8"/>
    <x v="2"/>
    <s v="Defense Minister"/>
    <x v="0"/>
    <m/>
    <x v="0"/>
    <m/>
    <m/>
    <m/>
    <m/>
    <m/>
    <s v="CPP20021225000074"/>
    <m/>
  </r>
  <r>
    <x v="1"/>
    <x v="9"/>
    <s v="West Asia and Africa"/>
    <s v="No Specific Relationship"/>
    <s v="Major Non-NATO Ally"/>
    <s v="CENTCOM"/>
    <x v="72"/>
    <x v="11"/>
    <n v="12"/>
    <x v="3"/>
    <s v="Cao Gangchuan"/>
    <m/>
    <s v="CMC Vice Chairman; Defense Minister"/>
    <n v="10"/>
    <x v="2"/>
    <s v="COGS Alimohammad Al-Mumen"/>
    <x v="0"/>
    <m/>
    <x v="0"/>
    <m/>
    <m/>
    <m/>
    <m/>
    <m/>
    <s v="CPP20021220000085; Xinhua 12-20-2002"/>
    <m/>
  </r>
  <r>
    <x v="1"/>
    <x v="1"/>
    <s v="Asia"/>
    <s v="No Specific Relationship"/>
    <s v="None"/>
    <s v="INDOPACOM"/>
    <x v="52"/>
    <x v="11"/>
    <n v="12"/>
    <x v="3"/>
    <s v="Chi Haotian"/>
    <m/>
    <s v="Defense Minister; CMC Member"/>
    <n v="8"/>
    <x v="2"/>
    <s v="Defense Minister"/>
    <x v="0"/>
    <m/>
    <x v="0"/>
    <m/>
    <m/>
    <m/>
    <m/>
    <m/>
    <s v="CPP20021217000063"/>
    <m/>
  </r>
  <r>
    <x v="1"/>
    <x v="4"/>
    <s v="Asia"/>
    <s v="No Specific Relationship"/>
    <s v="None"/>
    <s v="INDOPACOM"/>
    <x v="53"/>
    <x v="11"/>
    <n v="12"/>
    <x v="3"/>
    <s v="Chi Haotian"/>
    <m/>
    <s v="Defense Minister; CMC Member"/>
    <n v="8"/>
    <x v="2"/>
    <s v="Defense Minister"/>
    <x v="0"/>
    <m/>
    <x v="0"/>
    <m/>
    <m/>
    <m/>
    <m/>
    <m/>
    <s v="CPP20021219000120"/>
    <m/>
  </r>
  <r>
    <x v="1"/>
    <x v="1"/>
    <s v="Asia"/>
    <s v="No Specific Relationship"/>
    <s v="None"/>
    <s v="INDOPACOM"/>
    <x v="1"/>
    <x v="11"/>
    <n v="12"/>
    <x v="3"/>
    <s v="Cao Gangchuan"/>
    <m/>
    <s v="CMC Vice Chairman; Defense Minister"/>
    <n v="10"/>
    <x v="2"/>
    <s v="COGS Thura Shwe Mann"/>
    <x v="0"/>
    <m/>
    <x v="0"/>
    <m/>
    <m/>
    <m/>
    <m/>
    <m/>
    <s v="CPP20021205000123; Xinhua 12-5-2002"/>
    <m/>
  </r>
  <r>
    <x v="1"/>
    <x v="7"/>
    <s v="West Asia and Africa"/>
    <s v="No Specific Relationship"/>
    <s v="None"/>
    <s v="AFRICOM"/>
    <x v="36"/>
    <x v="11"/>
    <n v="12"/>
    <x v="3"/>
    <s v="Chi Haotian"/>
    <m/>
    <s v="Defense Minister; CMC Member"/>
    <n v="8"/>
    <x v="2"/>
    <s v="Defense Minister"/>
    <x v="0"/>
    <m/>
    <x v="0"/>
    <m/>
    <m/>
    <m/>
    <m/>
    <m/>
    <s v="CPP20021226000094"/>
    <m/>
  </r>
  <r>
    <x v="1"/>
    <x v="8"/>
    <s v="Europe and Central Asia"/>
    <s v="No Specific Relationship"/>
    <s v="NATO"/>
    <s v="EUCOM"/>
    <x v="33"/>
    <x v="11"/>
    <n v="12"/>
    <x v="3"/>
    <s v="Cao Gangchuan"/>
    <m/>
    <s v="CMC Vice Chairman; Defense Minister"/>
    <n v="10"/>
    <x v="2"/>
    <s v="COGS Mihail Popescu"/>
    <x v="0"/>
    <m/>
    <x v="0"/>
    <m/>
    <m/>
    <m/>
    <m/>
    <m/>
    <s v="CPP20021210000061; Xinhua 12-10-2002"/>
    <m/>
  </r>
  <r>
    <x v="1"/>
    <x v="3"/>
    <s v="Europe and Central Asia"/>
    <s v="Strategic Partnership of Coordination [战略协作伙伴关系]"/>
    <s v="None"/>
    <s v="EUCOM"/>
    <x v="7"/>
    <x v="11"/>
    <n v="12"/>
    <x v="3"/>
    <s v="Chi Haotian"/>
    <m/>
    <s v="Defense Minister; CMC Member"/>
    <n v="8"/>
    <x v="2"/>
    <s v="Chief of General Staff"/>
    <x v="0"/>
    <m/>
    <x v="0"/>
    <m/>
    <m/>
    <m/>
    <m/>
    <m/>
    <s v="CPP20021217000127"/>
    <m/>
  </r>
  <r>
    <x v="1"/>
    <x v="6"/>
    <s v="Europe and Central Asia"/>
    <s v="No Specific Relationship"/>
    <s v="None"/>
    <s v="CENTCOM"/>
    <x v="55"/>
    <x v="11"/>
    <n v="12"/>
    <x v="3"/>
    <s v="Chi Haotian"/>
    <m/>
    <s v="Defense Minister; CMC Member"/>
    <n v="8"/>
    <x v="2"/>
    <s v="Vice Premier"/>
    <x v="0"/>
    <m/>
    <x v="0"/>
    <m/>
    <m/>
    <m/>
    <m/>
    <m/>
    <s v="CPP20021220000186"/>
    <m/>
  </r>
  <r>
    <x v="1"/>
    <x v="2"/>
    <s v="America and Oceania"/>
    <s v="No Specific Relationship"/>
    <s v="N/A"/>
    <s v="NORTHCOM"/>
    <x v="4"/>
    <x v="11"/>
    <n v="12"/>
    <x v="3"/>
    <s v="Liang Guanglie"/>
    <m/>
    <s v="GSD Commander; CMC Member"/>
    <n v="8"/>
    <x v="2"/>
    <s v="Deputy Secretary of State"/>
    <x v="0"/>
    <m/>
    <x v="0"/>
    <m/>
    <m/>
    <m/>
    <m/>
    <m/>
    <s v="CPP20021211000135"/>
    <m/>
  </r>
  <r>
    <x v="1"/>
    <x v="2"/>
    <s v="America and Oceania"/>
    <s v="No Specific Relationship"/>
    <s v="N/A"/>
    <s v="NORTHCOM"/>
    <x v="4"/>
    <x v="11"/>
    <n v="12"/>
    <x v="4"/>
    <s v="Xiong Guangkai"/>
    <m/>
    <s v="GSD DCGS"/>
    <n v="6"/>
    <x v="1"/>
    <s v="Admiral"/>
    <x v="0"/>
    <m/>
    <x v="0"/>
    <m/>
    <m/>
    <m/>
    <m/>
    <m/>
    <s v="CPP20021205000029"/>
    <m/>
  </r>
  <r>
    <x v="1"/>
    <x v="6"/>
    <s v="Europe and Central Asia"/>
    <s v="No Specific Relationship"/>
    <s v="None"/>
    <s v="CENTCOM"/>
    <x v="73"/>
    <x v="11"/>
    <n v="12"/>
    <x v="4"/>
    <s v="Chi Haotian"/>
    <m/>
    <s v="Defense Minister; CMC Member"/>
    <n v="8"/>
    <x v="1"/>
    <s v="Defense Minister"/>
    <x v="0"/>
    <m/>
    <x v="0"/>
    <m/>
    <m/>
    <m/>
    <m/>
    <m/>
    <s v="CPP20021224000019"/>
    <m/>
  </r>
  <r>
    <x v="0"/>
    <x v="8"/>
    <s v="Europe "/>
    <s v="No Specific Relationship"/>
    <s v="NATO"/>
    <s v="EUCOM"/>
    <x v="22"/>
    <x v="11"/>
    <m/>
    <x v="0"/>
    <m/>
    <m/>
    <m/>
    <m/>
    <x v="0"/>
    <m/>
    <x v="0"/>
    <m/>
    <x v="0"/>
    <m/>
    <s v="NETF"/>
    <m/>
    <m/>
    <m/>
    <m/>
    <m/>
  </r>
  <r>
    <x v="1"/>
    <x v="8"/>
    <s v="Europe and Central Asia"/>
    <s v="No Specific Relationship"/>
    <s v="NATO"/>
    <s v="EUCOM"/>
    <x v="20"/>
    <x v="12"/>
    <n v="1"/>
    <x v="3"/>
    <s v="Liang Guanglie"/>
    <m/>
    <s v="GSD Commander; CMC Member"/>
    <n v="8"/>
    <x v="2"/>
    <s v="Army Chief of Staff"/>
    <x v="0"/>
    <m/>
    <x v="0"/>
    <m/>
    <m/>
    <m/>
    <m/>
    <m/>
    <s v="Defense White Paper Appendix"/>
    <m/>
  </r>
  <r>
    <x v="1"/>
    <x v="10"/>
    <s v="America and Oceania"/>
    <s v="Comprehensive Partnership [全面伙伴关系]"/>
    <s v="Major Non-NATO Ally"/>
    <s v="SOUTHCOM"/>
    <x v="62"/>
    <x v="12"/>
    <n v="2"/>
    <x v="4"/>
    <s v="Xiong Guangkai"/>
    <m/>
    <s v="GSD DCGS"/>
    <n v="6"/>
    <x v="1"/>
    <m/>
    <x v="0"/>
    <m/>
    <x v="0"/>
    <m/>
    <m/>
    <m/>
    <m/>
    <m/>
    <s v="Defense White Paper Appendix"/>
    <m/>
  </r>
  <r>
    <x v="1"/>
    <x v="10"/>
    <s v="America and Oceania"/>
    <s v="Strategic Partnership [战略伙伴关系]"/>
    <s v="None"/>
    <s v="SOUTHCOM"/>
    <x v="43"/>
    <x v="12"/>
    <n v="2"/>
    <x v="4"/>
    <s v="Xiong Guangkai"/>
    <m/>
    <s v="GSD DCGS"/>
    <n v="6"/>
    <x v="1"/>
    <m/>
    <x v="0"/>
    <m/>
    <x v="0"/>
    <m/>
    <m/>
    <m/>
    <m/>
    <m/>
    <s v="Defense White Paper Appendix"/>
    <m/>
  </r>
  <r>
    <x v="1"/>
    <x v="10"/>
    <s v="America and Oceania"/>
    <s v="No Specific Relationship"/>
    <s v="None"/>
    <s v="SOUTHCOM"/>
    <x v="66"/>
    <x v="12"/>
    <n v="2"/>
    <x v="4"/>
    <s v="Xiong Guangkai"/>
    <m/>
    <s v="GSD DCGS"/>
    <n v="6"/>
    <x v="1"/>
    <m/>
    <x v="0"/>
    <m/>
    <x v="0"/>
    <m/>
    <m/>
    <m/>
    <m/>
    <m/>
    <s v="Defense White Paper Appendix"/>
    <m/>
  </r>
  <r>
    <x v="1"/>
    <x v="9"/>
    <s v="West Asia and Africa"/>
    <s v="Strategic Cooperative Partnership [战略合作伙伴关系]"/>
    <s v="Major Non-NATO Ally"/>
    <s v="CENTCOM"/>
    <x v="24"/>
    <x v="12"/>
    <n v="2"/>
    <x v="4"/>
    <s v="Liu Shunyao"/>
    <m/>
    <s v="PLAAF Commander"/>
    <n v="8"/>
    <x v="1"/>
    <m/>
    <x v="0"/>
    <m/>
    <x v="0"/>
    <m/>
    <m/>
    <m/>
    <m/>
    <m/>
    <s v="Defense White Paper Appendix"/>
    <m/>
  </r>
  <r>
    <x v="1"/>
    <x v="7"/>
    <s v="West Asia and Africa"/>
    <s v="No Specific Relationship"/>
    <s v="None"/>
    <s v="AFRICOM"/>
    <x v="74"/>
    <x v="12"/>
    <n v="2"/>
    <x v="4"/>
    <s v="Liu Shunyao"/>
    <m/>
    <s v="PLAAF Commander"/>
    <n v="8"/>
    <x v="1"/>
    <m/>
    <x v="0"/>
    <m/>
    <x v="0"/>
    <m/>
    <m/>
    <m/>
    <m/>
    <m/>
    <s v="Defense White Paper Appendix"/>
    <m/>
  </r>
  <r>
    <x v="1"/>
    <x v="10"/>
    <s v="America and Oceania"/>
    <s v="No Specific Relationship"/>
    <s v="None"/>
    <s v="SOUTHCOM"/>
    <x v="49"/>
    <x v="12"/>
    <n v="3"/>
    <x v="4"/>
    <s v="Xiong Guangkai"/>
    <m/>
    <s v="GSD DCGS"/>
    <n v="6"/>
    <x v="1"/>
    <m/>
    <x v="0"/>
    <m/>
    <x v="0"/>
    <m/>
    <m/>
    <m/>
    <m/>
    <m/>
    <s v="Defense White Paper Appendix"/>
    <m/>
  </r>
  <r>
    <x v="1"/>
    <x v="4"/>
    <s v="Asia"/>
    <s v="Comprehensive Cooperative Partnership [全面合作伙伴关系]"/>
    <s v="Bilateral Defense Treaty"/>
    <s v="INDOPACOM"/>
    <x v="25"/>
    <x v="12"/>
    <n v="3"/>
    <x v="4"/>
    <s v="Xiong Guangkai"/>
    <m/>
    <s v="GSD DCGS"/>
    <n v="6"/>
    <x v="1"/>
    <m/>
    <x v="0"/>
    <m/>
    <x v="0"/>
    <m/>
    <m/>
    <m/>
    <m/>
    <m/>
    <s v="Defense White Paper Appendix"/>
    <m/>
  </r>
  <r>
    <x v="1"/>
    <x v="10"/>
    <s v="America and Oceania"/>
    <s v="No Specific Relationship"/>
    <s v="None"/>
    <s v="SOUTHCOM"/>
    <x v="75"/>
    <x v="12"/>
    <n v="3"/>
    <x v="4"/>
    <s v="Xiong Guangkai"/>
    <m/>
    <s v="GSD DCGS"/>
    <n v="6"/>
    <x v="1"/>
    <m/>
    <x v="0"/>
    <m/>
    <x v="0"/>
    <m/>
    <m/>
    <m/>
    <m/>
    <m/>
    <s v="Defense White Paper Appendix"/>
    <m/>
  </r>
  <r>
    <x v="1"/>
    <x v="7"/>
    <s v="West Asia and Africa"/>
    <s v="No Specific Relationship"/>
    <s v="None"/>
    <s v="AFRICOM"/>
    <x v="76"/>
    <x v="12"/>
    <n v="4"/>
    <x v="4"/>
    <s v="Liu Yongzhi"/>
    <m/>
    <s v="PLAN Political Commissar"/>
    <n v="6"/>
    <x v="1"/>
    <m/>
    <x v="0"/>
    <m/>
    <x v="0"/>
    <m/>
    <m/>
    <m/>
    <m/>
    <m/>
    <s v="Defense White Paper Appendix"/>
    <m/>
  </r>
  <r>
    <x v="1"/>
    <x v="8"/>
    <s v="Europe and Central Asia"/>
    <s v="Comprehensive Cooperative Partnership [全面合作伙伴关系]"/>
    <s v="None"/>
    <s v="EUCOM"/>
    <x v="34"/>
    <x v="12"/>
    <n v="4"/>
    <x v="3"/>
    <s v="Li Jinai"/>
    <m/>
    <s v="GAD Director; CMC Member"/>
    <n v="8"/>
    <x v="2"/>
    <s v="COGS "/>
    <x v="0"/>
    <m/>
    <x v="0"/>
    <m/>
    <m/>
    <m/>
    <m/>
    <m/>
    <s v="Defense White Paper Appendix"/>
    <m/>
  </r>
  <r>
    <x v="1"/>
    <x v="0"/>
    <s v="Asia"/>
    <s v="Comprehensive Cooperative Partnership [全面合作伙伴关系]"/>
    <s v="None"/>
    <s v="INDOPACOM"/>
    <x v="6"/>
    <x v="12"/>
    <n v="4"/>
    <x v="3"/>
    <s v="Cao Gangchuan"/>
    <m/>
    <s v="CMC Vice Chairman; Defense Minister"/>
    <n v="10"/>
    <x v="2"/>
    <s v="Defense Minister"/>
    <x v="0"/>
    <m/>
    <x v="0"/>
    <m/>
    <m/>
    <m/>
    <m/>
    <m/>
    <s v="Defense White Paper Appendix"/>
    <s v="Cao was defense minister at time of this visit"/>
  </r>
  <r>
    <x v="1"/>
    <x v="2"/>
    <s v="America and Oceania"/>
    <s v="Strategic Cooperative Partnership [战略合作伙伴关系]"/>
    <s v="None"/>
    <s v="NORTHCOM"/>
    <x v="77"/>
    <x v="12"/>
    <n v="4"/>
    <x v="4"/>
    <s v="Liu Yongzhi"/>
    <m/>
    <s v="PLAN Political Commissar"/>
    <n v="6"/>
    <x v="1"/>
    <m/>
    <x v="0"/>
    <m/>
    <x v="0"/>
    <m/>
    <m/>
    <m/>
    <m/>
    <m/>
    <s v="Defense White Paper Appendix"/>
    <m/>
  </r>
  <r>
    <x v="1"/>
    <x v="4"/>
    <s v="Asia"/>
    <s v="No Specific Relationship"/>
    <s v="None"/>
    <s v="INDOPACOM"/>
    <x v="53"/>
    <x v="12"/>
    <n v="4"/>
    <x v="3"/>
    <s v="Xiong Guangkai"/>
    <m/>
    <s v="GSD DCGS"/>
    <n v="6"/>
    <x v="2"/>
    <s v="Chief of General Department of Border"/>
    <x v="0"/>
    <m/>
    <x v="0"/>
    <m/>
    <m/>
    <m/>
    <m/>
    <m/>
    <s v="Defense White Paper Appendix"/>
    <m/>
  </r>
  <r>
    <x v="1"/>
    <x v="4"/>
    <s v="Asia"/>
    <s v="Bilateral Defense Treaty"/>
    <s v="None"/>
    <s v="INDOPACOM"/>
    <x v="9"/>
    <x v="12"/>
    <n v="4"/>
    <x v="3"/>
    <s v="Guo Boxiong"/>
    <m/>
    <s v="CMC Vice Chairman"/>
    <n v="10"/>
    <x v="2"/>
    <s v="First Vice-Chairman of DPRK National Defense Commission "/>
    <x v="0"/>
    <m/>
    <x v="0"/>
    <m/>
    <m/>
    <m/>
    <m/>
    <m/>
    <s v="Defense White Paper Appendix"/>
    <m/>
  </r>
  <r>
    <x v="1"/>
    <x v="8"/>
    <s v="Europe and Central Asia"/>
    <s v="No Specific Relationship"/>
    <s v="None"/>
    <s v="EUCOM"/>
    <x v="78"/>
    <x v="12"/>
    <n v="4"/>
    <x v="3"/>
    <s v="Xiong Guangkai"/>
    <m/>
    <s v="GSD DCGS"/>
    <n v="6"/>
    <x v="2"/>
    <s v="Defense Minister"/>
    <x v="0"/>
    <m/>
    <x v="0"/>
    <m/>
    <m/>
    <m/>
    <m/>
    <m/>
    <s v="Defense White Paper Appendix"/>
    <m/>
  </r>
  <r>
    <x v="1"/>
    <x v="8"/>
    <s v="Europe and Central Asia"/>
    <s v="No Specific Relationship"/>
    <s v="NATO"/>
    <s v="EUCOM"/>
    <x v="79"/>
    <x v="12"/>
    <n v="5"/>
    <x v="3"/>
    <s v="Cao Gangchuan"/>
    <m/>
    <s v="CMC Vice Chairman; Defense Minister"/>
    <n v="10"/>
    <x v="2"/>
    <s v="Defense Minister"/>
    <x v="0"/>
    <m/>
    <x v="0"/>
    <m/>
    <m/>
    <m/>
    <m/>
    <m/>
    <s v="Defense White Paper Appendix"/>
    <m/>
  </r>
  <r>
    <x v="1"/>
    <x v="2"/>
    <s v="America and Oceania"/>
    <s v="Comprehensive Partnership [全面伙伴关系]"/>
    <s v="NATO"/>
    <s v="NORTHCOM"/>
    <x v="17"/>
    <x v="12"/>
    <n v="5"/>
    <x v="3"/>
    <s v="Cao Gangchuan"/>
    <m/>
    <s v="CMC Vice Chairman; Defense Minister"/>
    <n v="10"/>
    <x v="2"/>
    <s v="Defense Minister"/>
    <x v="0"/>
    <m/>
    <x v="0"/>
    <m/>
    <m/>
    <m/>
    <m/>
    <m/>
    <s v="Defense White Paper Appendix"/>
    <m/>
  </r>
  <r>
    <x v="1"/>
    <x v="10"/>
    <s v="America and Oceania"/>
    <s v="No Specific Relationship"/>
    <s v="None"/>
    <s v="SOUTHCOM"/>
    <x v="66"/>
    <x v="12"/>
    <n v="5"/>
    <x v="3"/>
    <s v="Cao Gangchuan"/>
    <m/>
    <s v="CMC Vice Chairman; Defense Minister"/>
    <n v="10"/>
    <x v="2"/>
    <s v="CinC Navy"/>
    <x v="0"/>
    <m/>
    <x v="0"/>
    <m/>
    <m/>
    <m/>
    <m/>
    <m/>
    <s v="Defense White Paper Appendix"/>
    <m/>
  </r>
  <r>
    <x v="1"/>
    <x v="7"/>
    <s v="West Asia and Africa"/>
    <s v="No Specific Relationship"/>
    <s v="None"/>
    <s v="AFRICOM"/>
    <x v="28"/>
    <x v="12"/>
    <n v="5"/>
    <x v="3"/>
    <s v="Cao Gangchuan"/>
    <m/>
    <s v="CMC Vice Chairman; Defense Minister"/>
    <n v="10"/>
    <x v="2"/>
    <s v="Minister Delegate in the Presidency in Charge of National Defense"/>
    <x v="0"/>
    <m/>
    <x v="0"/>
    <m/>
    <m/>
    <m/>
    <m/>
    <m/>
    <s v="Defense White Paper Appendix"/>
    <m/>
  </r>
  <r>
    <x v="1"/>
    <x v="8"/>
    <s v="Europe and Central Asia"/>
    <s v="Comprehensive Partnership [全面伙伴关系]"/>
    <s v="NATO"/>
    <s v="EUCOM"/>
    <x v="22"/>
    <x v="12"/>
    <n v="5"/>
    <x v="3"/>
    <s v="Cao Gangchuan"/>
    <m/>
    <s v="CMC Vice Chairman; Defense Minister"/>
    <n v="10"/>
    <x v="2"/>
    <s v="Defense Minister"/>
    <x v="0"/>
    <m/>
    <x v="0"/>
    <m/>
    <m/>
    <m/>
    <m/>
    <m/>
    <s v="Defense White Paper Appendix"/>
    <m/>
  </r>
  <r>
    <x v="1"/>
    <x v="8"/>
    <s v="Europe and Central Asia"/>
    <s v="Comprehensive Partnership [全面伙伴关系]"/>
    <s v="NATO"/>
    <s v="EUCOM"/>
    <x v="22"/>
    <x v="12"/>
    <n v="5"/>
    <x v="4"/>
    <s v="Xiong Guangkai"/>
    <m/>
    <s v="GSD DCGS"/>
    <n v="6"/>
    <x v="1"/>
    <m/>
    <x v="0"/>
    <m/>
    <x v="0"/>
    <m/>
    <m/>
    <m/>
    <m/>
    <m/>
    <s v="Defense White Paper Appendix"/>
    <m/>
  </r>
  <r>
    <x v="1"/>
    <x v="6"/>
    <s v="Europe and Central Asia"/>
    <s v="Comprehensive Cooperative Partnership [全面合作伙伴关系]"/>
    <s v="None"/>
    <s v="CENTCOM"/>
    <x v="30"/>
    <x v="12"/>
    <n v="5"/>
    <x v="3"/>
    <s v="Cao Gangchuan"/>
    <m/>
    <s v="CMC Vice Chairman; Defense Minister"/>
    <n v="10"/>
    <x v="2"/>
    <m/>
    <x v="0"/>
    <m/>
    <x v="0"/>
    <m/>
    <m/>
    <m/>
    <m/>
    <m/>
    <s v="Defense White Paper Appendix"/>
    <m/>
  </r>
  <r>
    <x v="1"/>
    <x v="6"/>
    <s v="Europe and Central Asia"/>
    <s v="No Specific Relationship"/>
    <s v="None"/>
    <s v="CENTCOM"/>
    <x v="31"/>
    <x v="12"/>
    <n v="5"/>
    <x v="3"/>
    <s v="Cao Gangchuan"/>
    <m/>
    <s v="CMC Vice Chairman; Defense Minister"/>
    <n v="10"/>
    <x v="2"/>
    <m/>
    <x v="0"/>
    <m/>
    <x v="0"/>
    <m/>
    <m/>
    <m/>
    <m/>
    <m/>
    <s v="Defense White Paper Appendix"/>
    <m/>
  </r>
  <r>
    <x v="1"/>
    <x v="7"/>
    <s v="West Asia and Africa"/>
    <s v="No Specific Relationship"/>
    <s v="Major Non-NATO Ally"/>
    <s v="AFRICOM"/>
    <x v="27"/>
    <x v="12"/>
    <n v="5"/>
    <x v="4"/>
    <s v="Liang Guanglie"/>
    <m/>
    <s v="GSD Commander; CMC Member"/>
    <n v="8"/>
    <x v="1"/>
    <m/>
    <x v="0"/>
    <m/>
    <x v="0"/>
    <m/>
    <m/>
    <m/>
    <m/>
    <m/>
    <s v="Defense White Paper Appendix"/>
    <m/>
  </r>
  <r>
    <x v="1"/>
    <x v="3"/>
    <s v="Europe and Central Asia"/>
    <s v="Strategic Partnership of Coordination [战略协作伙伴关系]"/>
    <s v="None"/>
    <s v="EUCOM"/>
    <x v="7"/>
    <x v="12"/>
    <n v="5"/>
    <x v="3"/>
    <s v="Cao Gangchuan"/>
    <m/>
    <s v="CMC Vice Chairman; Defense Minister"/>
    <n v="10"/>
    <x v="2"/>
    <s v="Russian Ambassador to China"/>
    <x v="0"/>
    <m/>
    <x v="0"/>
    <m/>
    <m/>
    <m/>
    <m/>
    <m/>
    <s v="Defense White Paper Appendix"/>
    <m/>
  </r>
  <r>
    <x v="1"/>
    <x v="3"/>
    <s v="Europe and Central Asia"/>
    <s v="Strategic Partnership of Coordination [战略协作伙伴关系]"/>
    <s v="None"/>
    <s v="EUCOM"/>
    <x v="7"/>
    <x v="12"/>
    <n v="5"/>
    <x v="4"/>
    <s v="Cao Gangchuan"/>
    <m/>
    <s v="CMC Vice Chairman; Defense Minister"/>
    <n v="8"/>
    <x v="1"/>
    <m/>
    <x v="0"/>
    <m/>
    <x v="0"/>
    <m/>
    <m/>
    <m/>
    <m/>
    <m/>
    <s v="Defense White Paper Appendix"/>
    <m/>
  </r>
  <r>
    <x v="1"/>
    <x v="6"/>
    <s v="Europe and Central Asia"/>
    <s v="Member"/>
    <s v="None"/>
    <s v="CENTCOM"/>
    <x v="14"/>
    <x v="12"/>
    <n v="5"/>
    <x v="1"/>
    <s v="Cao Gangchuan"/>
    <m/>
    <s v="CMC Vice Chairman; Defense Minister"/>
    <n v="8"/>
    <x v="2"/>
    <s v="Third official meeting of the SCO Ministers' of Defense in Moscow; Other countries: Kazakhstan, Kyrgyztan, Russia, Tajikistan, Uzbekistan"/>
    <x v="0"/>
    <m/>
    <x v="0"/>
    <m/>
    <m/>
    <m/>
    <m/>
    <m/>
    <s v="http://cc.pacforum.org/2003/10/russian-chinese-oil-politik/"/>
    <m/>
  </r>
  <r>
    <x v="1"/>
    <x v="7"/>
    <s v="West Asia and Africa"/>
    <s v="No Specific Relationship"/>
    <s v="None"/>
    <s v="AFRICOM"/>
    <x v="15"/>
    <x v="12"/>
    <n v="5"/>
    <x v="4"/>
    <s v="Liang Guanglie"/>
    <m/>
    <s v="GSD Commander; CMC Member"/>
    <n v="8"/>
    <x v="1"/>
    <m/>
    <x v="0"/>
    <m/>
    <x v="0"/>
    <m/>
    <m/>
    <m/>
    <m/>
    <m/>
    <s v="Defense White Paper Appendix"/>
    <m/>
  </r>
  <r>
    <x v="1"/>
    <x v="6"/>
    <s v="Europe and Central Asia"/>
    <s v="No Specific Relationship"/>
    <s v="None"/>
    <s v="CENTCOM"/>
    <x v="60"/>
    <x v="12"/>
    <n v="5"/>
    <x v="3"/>
    <s v="Cao Gangchuan"/>
    <m/>
    <s v="CMC Vice Chairman; Defense Minister"/>
    <n v="10"/>
    <x v="2"/>
    <m/>
    <x v="0"/>
    <m/>
    <x v="0"/>
    <m/>
    <m/>
    <m/>
    <m/>
    <m/>
    <s v="Defense White Paper Appendix"/>
    <m/>
  </r>
  <r>
    <x v="1"/>
    <x v="7"/>
    <s v="West Asia and Africa"/>
    <s v="No Specific Relationship"/>
    <s v="None"/>
    <s v="AFRICOM"/>
    <x v="16"/>
    <x v="12"/>
    <n v="5"/>
    <x v="4"/>
    <s v="Liang Guanglie"/>
    <m/>
    <s v="GSD Commander; CMC Member"/>
    <n v="8"/>
    <x v="1"/>
    <m/>
    <x v="0"/>
    <m/>
    <x v="0"/>
    <m/>
    <m/>
    <m/>
    <m/>
    <m/>
    <s v="Defense White Paper Appendix"/>
    <m/>
  </r>
  <r>
    <x v="1"/>
    <x v="2"/>
    <s v="America and Oceania"/>
    <s v="No Specific Relationship"/>
    <s v="N/A"/>
    <s v="NORTHCOM"/>
    <x v="4"/>
    <x v="12"/>
    <n v="5"/>
    <x v="4"/>
    <s v="Xu Caihou"/>
    <m/>
    <s v="GPD Director; CMC Member"/>
    <n v="8"/>
    <x v="1"/>
    <m/>
    <x v="0"/>
    <m/>
    <x v="0"/>
    <m/>
    <m/>
    <m/>
    <m/>
    <m/>
    <s v="Defense White Paper Appendix"/>
    <m/>
  </r>
  <r>
    <x v="1"/>
    <x v="7"/>
    <s v="West Asia and Africa"/>
    <s v="No Specific Relationship"/>
    <s v="None"/>
    <s v="AFRICOM"/>
    <x v="61"/>
    <x v="12"/>
    <n v="5"/>
    <x v="3"/>
    <s v="Cao Gangchuan"/>
    <m/>
    <s v="CMC Vice Chairman; Defense Minister"/>
    <n v="10"/>
    <x v="2"/>
    <s v="Permanent Secretary of Ministry of Defense"/>
    <x v="0"/>
    <m/>
    <x v="0"/>
    <m/>
    <m/>
    <m/>
    <m/>
    <m/>
    <s v="Defense White Paper Appendix"/>
    <m/>
  </r>
  <r>
    <x v="1"/>
    <x v="7"/>
    <s v="West Asia and Africa"/>
    <s v="No Specific Relationship"/>
    <s v="None"/>
    <s v="AFRICOM"/>
    <x v="80"/>
    <x v="12"/>
    <n v="7"/>
    <x v="3"/>
    <s v="Liang Guanglie"/>
    <m/>
    <s v="GSD Commander; CMC Member"/>
    <n v="8"/>
    <x v="2"/>
    <s v="COGS Guinean Armed Forces"/>
    <x v="0"/>
    <m/>
    <x v="0"/>
    <m/>
    <m/>
    <m/>
    <m/>
    <m/>
    <s v="Defense White Paper Appendix"/>
    <m/>
  </r>
  <r>
    <x v="1"/>
    <x v="8"/>
    <s v="Europe and Central Asia"/>
    <s v="No Specific Relationship"/>
    <s v="NATO"/>
    <s v="EUCOM"/>
    <x v="58"/>
    <x v="12"/>
    <n v="8"/>
    <x v="4"/>
    <s v="Chi Wanchun"/>
    <m/>
    <s v="GAD Political Commissar"/>
    <n v="6"/>
    <x v="1"/>
    <m/>
    <x v="0"/>
    <m/>
    <x v="0"/>
    <m/>
    <m/>
    <m/>
    <m/>
    <m/>
    <s v="Defense White Paper Appendix"/>
    <m/>
  </r>
  <r>
    <x v="1"/>
    <x v="9"/>
    <s v="West Asia and Africa"/>
    <s v="Strategic Cooperative Partnership [战略合作伙伴关系]"/>
    <s v="Major Non-NATO Ally"/>
    <s v="CENTCOM"/>
    <x v="24"/>
    <x v="12"/>
    <n v="8"/>
    <x v="4"/>
    <s v="Liu Yongzhi"/>
    <m/>
    <s v="AMS Political Commissar"/>
    <n v="6"/>
    <x v="1"/>
    <m/>
    <x v="0"/>
    <m/>
    <x v="0"/>
    <m/>
    <m/>
    <m/>
    <m/>
    <m/>
    <s v="Defense White Paper Appendix"/>
    <m/>
  </r>
  <r>
    <x v="1"/>
    <x v="1"/>
    <s v="Asia"/>
    <s v="No Specific Relationship"/>
    <s v="None"/>
    <s v="INDOPACOM"/>
    <x v="1"/>
    <x v="12"/>
    <n v="8"/>
    <x v="3"/>
    <s v="Cao Gangchuan"/>
    <m/>
    <s v="CMC Vice Chairman; Defense Minister"/>
    <n v="10"/>
    <x v="2"/>
    <s v="Vice Chairman of State Peace and Development Council, Deputy CinC Defense Services, CinC Army"/>
    <x v="0"/>
    <m/>
    <x v="0"/>
    <m/>
    <m/>
    <m/>
    <m/>
    <m/>
    <s v="Defense White Paper Appendix"/>
    <m/>
  </r>
  <r>
    <x v="1"/>
    <x v="4"/>
    <s v="Asia"/>
    <s v="Bilateral Defense Treaty"/>
    <s v="None"/>
    <s v="INDOPACOM"/>
    <x v="9"/>
    <x v="12"/>
    <n v="8"/>
    <x v="4"/>
    <s v="Xu Caihou"/>
    <m/>
    <s v="GPD Director; CMC Member"/>
    <n v="8"/>
    <x v="1"/>
    <s v="Vice Chairman of DPRK Defense Commission"/>
    <x v="0"/>
    <m/>
    <x v="0"/>
    <m/>
    <m/>
    <m/>
    <m/>
    <m/>
    <s v="Defense White Paper Appendix"/>
    <m/>
  </r>
  <r>
    <x v="1"/>
    <x v="10"/>
    <s v="America and Oceania"/>
    <s v="No Specific Relationship"/>
    <s v="None"/>
    <s v="SOUTHCOM"/>
    <x v="54"/>
    <x v="12"/>
    <n v="8"/>
    <x v="3"/>
    <s v="Liang Guanglie"/>
    <m/>
    <s v="GSD Commander; CMC Member"/>
    <n v="8"/>
    <x v="2"/>
    <s v="Chairman JCS"/>
    <x v="0"/>
    <m/>
    <x v="0"/>
    <m/>
    <m/>
    <m/>
    <m/>
    <m/>
    <s v="Defense White Paper Appendix"/>
    <m/>
  </r>
  <r>
    <x v="1"/>
    <x v="8"/>
    <s v="Europe and Central Asia"/>
    <s v="No Specific Relationship"/>
    <s v="NATO"/>
    <s v="EUCOM"/>
    <x v="59"/>
    <x v="12"/>
    <n v="8"/>
    <x v="4"/>
    <s v="Chi Wanchun"/>
    <m/>
    <s v="GAD Political Commissar"/>
    <n v="6"/>
    <x v="1"/>
    <m/>
    <x v="0"/>
    <m/>
    <x v="0"/>
    <m/>
    <m/>
    <m/>
    <m/>
    <m/>
    <s v="Defense White Paper Appendix"/>
    <m/>
  </r>
  <r>
    <x v="2"/>
    <x v="6"/>
    <s v="Europe and Central Asia"/>
    <s v="Member"/>
    <s v="None"/>
    <s v="CENTCOM"/>
    <x v="14"/>
    <x v="12"/>
    <n v="8"/>
    <x v="6"/>
    <m/>
    <m/>
    <m/>
    <m/>
    <x v="0"/>
    <m/>
    <x v="1"/>
    <s v="Coalition 2003"/>
    <x v="1"/>
    <s v="Exercise took place on August 6-10 in the Semipalatinsk Region in Kazakhstan and on August 11-12 in China's Xinjiang region.  NOTE: PLA sends observers to Kazakhstan and only deploys forces during the Xinjiang phase. More than 1300 troops, aircraft, artil"/>
    <m/>
    <m/>
    <m/>
    <m/>
    <s v="de Haas Journal of Slavic Military Studies 29:3 (2016)"/>
    <m/>
  </r>
  <r>
    <x v="1"/>
    <x v="8"/>
    <s v="Europe and Central Asia"/>
    <s v="No Specific Relationship"/>
    <s v="NATO"/>
    <s v="EUCOM"/>
    <x v="40"/>
    <x v="12"/>
    <n v="8"/>
    <x v="4"/>
    <s v="Chi Wanchun"/>
    <m/>
    <s v="GAD Political Commissar"/>
    <n v="6"/>
    <x v="1"/>
    <m/>
    <x v="0"/>
    <m/>
    <x v="0"/>
    <m/>
    <m/>
    <m/>
    <m/>
    <m/>
    <s v="Defense White Paper Appendix"/>
    <m/>
  </r>
  <r>
    <x v="1"/>
    <x v="5"/>
    <s v="America and Oceania"/>
    <s v="No Specific Relationship"/>
    <s v="ANZUS Treaty"/>
    <s v="INDOPACOM"/>
    <x v="12"/>
    <x v="12"/>
    <n v="9"/>
    <x v="3"/>
    <s v="Xiong Guangkai"/>
    <m/>
    <s v="GSD DCGS"/>
    <n v="6"/>
    <x v="2"/>
    <s v="Defense Minister"/>
    <x v="0"/>
    <m/>
    <x v="0"/>
    <m/>
    <m/>
    <m/>
    <m/>
    <m/>
    <s v="https://dlib.eastview.com/browse/doc/14643704"/>
    <m/>
  </r>
  <r>
    <x v="1"/>
    <x v="8"/>
    <s v="Europe and Central Asia"/>
    <s v="Comprehensive Cooperative Partnership [全面合作伙伴关系]"/>
    <s v="None"/>
    <s v="EUCOM"/>
    <x v="34"/>
    <x v="12"/>
    <n v="9"/>
    <x v="4"/>
    <s v="Xu Caihou"/>
    <m/>
    <s v="GPD Director; CMC Member"/>
    <n v="8"/>
    <x v="1"/>
    <m/>
    <x v="0"/>
    <m/>
    <x v="0"/>
    <m/>
    <m/>
    <m/>
    <m/>
    <m/>
    <s v="Defense White Paper Appendix"/>
    <m/>
  </r>
  <r>
    <x v="1"/>
    <x v="1"/>
    <s v="Asia"/>
    <s v="No Specific Relationship"/>
    <s v="None"/>
    <s v="INDOPACOM"/>
    <x v="44"/>
    <x v="12"/>
    <n v="9"/>
    <x v="4"/>
    <s v="Liang Guanglie"/>
    <m/>
    <s v="GSD Commander; CMC Member"/>
    <n v="8"/>
    <x v="1"/>
    <m/>
    <x v="0"/>
    <m/>
    <x v="0"/>
    <m/>
    <m/>
    <m/>
    <m/>
    <m/>
    <s v="Defense White Paper Appendix"/>
    <m/>
  </r>
  <r>
    <x v="1"/>
    <x v="8"/>
    <s v="Europe and Central Asia"/>
    <s v="No Specific Relationship"/>
    <s v="NATO"/>
    <s v="EUCOM"/>
    <x v="35"/>
    <x v="12"/>
    <n v="9"/>
    <x v="3"/>
    <s v="Cao Gangchuan"/>
    <m/>
    <s v="CMC Vice Chairman; Defense Minister"/>
    <n v="10"/>
    <x v="2"/>
    <s v="Vice-Premier and concurrent Defense Minister"/>
    <x v="0"/>
    <m/>
    <x v="0"/>
    <m/>
    <m/>
    <m/>
    <m/>
    <m/>
    <s v="Defense White Paper Appendix"/>
    <m/>
  </r>
  <r>
    <x v="1"/>
    <x v="8"/>
    <s v="Europe and Central Asia"/>
    <s v="No Specific Relationship"/>
    <s v="None"/>
    <s v="EUCOM"/>
    <x v="81"/>
    <x v="12"/>
    <n v="9"/>
    <x v="4"/>
    <s v="Xiong Guangkai"/>
    <m/>
    <s v="GSD DCGS"/>
    <n v="6"/>
    <x v="1"/>
    <m/>
    <x v="0"/>
    <m/>
    <x v="0"/>
    <m/>
    <m/>
    <m/>
    <m/>
    <m/>
    <s v="Defense White Paper Appendix"/>
    <m/>
  </r>
  <r>
    <x v="1"/>
    <x v="8"/>
    <s v="Europe and Central Asia"/>
    <s v="Comprehensive Partnership [全面伙伴关系]"/>
    <s v="NATO"/>
    <s v="EUCOM"/>
    <x v="22"/>
    <x v="12"/>
    <n v="9"/>
    <x v="3"/>
    <s v="Liang Guanglie"/>
    <m/>
    <s v="GSD Commander; CMC Member"/>
    <n v="8"/>
    <x v="2"/>
    <s v="Chief of Staff Armed Forces"/>
    <x v="0"/>
    <m/>
    <x v="0"/>
    <m/>
    <m/>
    <m/>
    <m/>
    <m/>
    <s v="Defense White Paper Appendix"/>
    <m/>
  </r>
  <r>
    <x v="1"/>
    <x v="8"/>
    <s v="Europe and Central Asia"/>
    <s v="No Specific Relationship"/>
    <s v="NATO"/>
    <s v="EUCOM"/>
    <x v="29"/>
    <x v="12"/>
    <n v="9"/>
    <x v="4"/>
    <s v="Xiong Guangkai"/>
    <m/>
    <s v="GSD DCGS"/>
    <n v="6"/>
    <x v="1"/>
    <m/>
    <x v="0"/>
    <m/>
    <x v="0"/>
    <m/>
    <m/>
    <m/>
    <m/>
    <m/>
    <s v="Defense White Paper Appendix"/>
    <m/>
  </r>
  <r>
    <x v="1"/>
    <x v="8"/>
    <s v="Europe and Central Asia"/>
    <s v="No Specific Relationship"/>
    <s v="NATO"/>
    <s v="EUCOM"/>
    <x v="82"/>
    <x v="12"/>
    <n v="9"/>
    <x v="4"/>
    <s v="Xu Caihou"/>
    <m/>
    <s v="GPD Director; CMC Member"/>
    <n v="8"/>
    <x v="1"/>
    <m/>
    <x v="0"/>
    <m/>
    <x v="0"/>
    <m/>
    <m/>
    <m/>
    <m/>
    <m/>
    <s v="Defense White Paper Appendix"/>
    <m/>
  </r>
  <r>
    <x v="1"/>
    <x v="8"/>
    <s v="Europe and Central Asia"/>
    <s v="No Specific Relationship"/>
    <s v="NATO"/>
    <s v="EUCOM"/>
    <x v="20"/>
    <x v="12"/>
    <n v="9"/>
    <x v="3"/>
    <s v="Cao Gangchuan"/>
    <m/>
    <s v="CMC Vice Chairman; Defense Minister"/>
    <n v="10"/>
    <x v="2"/>
    <s v="Vice Defense Minister"/>
    <x v="0"/>
    <m/>
    <x v="0"/>
    <m/>
    <m/>
    <m/>
    <m/>
    <m/>
    <s v="Defense White Paper Appendix"/>
    <m/>
  </r>
  <r>
    <x v="1"/>
    <x v="4"/>
    <s v="Asia"/>
    <s v="Partnership of Friendship and Cooperation for Peace and Development [致力于和平发展的友好合作关系]"/>
    <s v="Bilateral Defense Treaty"/>
    <s v="INDOPACOM"/>
    <x v="83"/>
    <x v="12"/>
    <n v="9"/>
    <x v="3"/>
    <s v="Cao Gangchuan"/>
    <m/>
    <s v="CMC Vice Chairman; Defense Minister"/>
    <n v="10"/>
    <x v="2"/>
    <s v="Director-General of JDA"/>
    <x v="0"/>
    <m/>
    <x v="0"/>
    <m/>
    <m/>
    <m/>
    <m/>
    <m/>
    <s v="Defense White Paper Appendix"/>
    <m/>
  </r>
  <r>
    <x v="1"/>
    <x v="1"/>
    <s v="Asia"/>
    <s v="Strategic Cooperative Partnership [战略合作伙伴关系]"/>
    <s v="None"/>
    <s v="INDOPACOM"/>
    <x v="10"/>
    <x v="12"/>
    <n v="9"/>
    <x v="4"/>
    <s v="Liang Guanglie"/>
    <m/>
    <s v="GSD Commander; CMC Member"/>
    <n v="8"/>
    <x v="1"/>
    <m/>
    <x v="0"/>
    <m/>
    <x v="0"/>
    <m/>
    <m/>
    <m/>
    <m/>
    <m/>
    <s v="Defense White Paper Appendix"/>
    <m/>
  </r>
  <r>
    <x v="1"/>
    <x v="2"/>
    <s v="America and Oceania"/>
    <s v="Strategic Cooperative Partnership [战略合作伙伴关系]"/>
    <s v="None"/>
    <s v="NORTHCOM"/>
    <x v="77"/>
    <x v="12"/>
    <n v="9"/>
    <x v="4"/>
    <s v="Xu Caihou"/>
    <m/>
    <s v="GPD Director; CMC Member"/>
    <n v="8"/>
    <x v="1"/>
    <m/>
    <x v="0"/>
    <m/>
    <x v="0"/>
    <m/>
    <m/>
    <m/>
    <m/>
    <m/>
    <s v="Defense White Paper Appendix"/>
    <m/>
  </r>
  <r>
    <x v="1"/>
    <x v="7"/>
    <s v="West Asia and Africa"/>
    <s v="No Specific Relationship"/>
    <s v="None"/>
    <s v="AFRICOM"/>
    <x v="84"/>
    <x v="12"/>
    <n v="9"/>
    <x v="3"/>
    <s v="Cao Gangchuan"/>
    <m/>
    <s v="CMC Vice Chairman; Defense Minister"/>
    <n v="10"/>
    <x v="2"/>
    <s v="Minster of Veterans Affairs"/>
    <x v="0"/>
    <m/>
    <x v="0"/>
    <m/>
    <m/>
    <m/>
    <m/>
    <m/>
    <s v="Defense White Paper Appendix"/>
    <m/>
  </r>
  <r>
    <x v="1"/>
    <x v="0"/>
    <s v="Asia"/>
    <s v="Strategic Partnership [战略伙伴关系]"/>
    <s v="Major Non-NATO Ally"/>
    <s v="CENTCOM"/>
    <x v="2"/>
    <x v="12"/>
    <n v="9"/>
    <x v="4"/>
    <s v="Liang Guanglie"/>
    <m/>
    <s v="GSD Commander; CMC Member"/>
    <n v="8"/>
    <x v="1"/>
    <m/>
    <x v="0"/>
    <m/>
    <x v="0"/>
    <m/>
    <m/>
    <m/>
    <m/>
    <m/>
    <s v="Defense White Paper Appendix"/>
    <m/>
  </r>
  <r>
    <x v="1"/>
    <x v="7"/>
    <s v="West Asia and Africa"/>
    <s v="No Specific Relationship"/>
    <s v="None"/>
    <s v="AFRICOM"/>
    <x v="16"/>
    <x v="12"/>
    <n v="9"/>
    <x v="3"/>
    <s v="Cao Gangchuan"/>
    <m/>
    <s v="CMC Vice Chairman; Defense Minister"/>
    <n v="10"/>
    <x v="2"/>
    <s v="Defense Minister"/>
    <x v="0"/>
    <m/>
    <x v="0"/>
    <m/>
    <m/>
    <m/>
    <m/>
    <m/>
    <s v="Defense White Paper Appendix"/>
    <m/>
  </r>
  <r>
    <x v="1"/>
    <x v="7"/>
    <s v="West Asia and Africa"/>
    <s v="No Specific Relationship"/>
    <s v="Major Non-NATO Ally"/>
    <s v="AFRICOM"/>
    <x v="85"/>
    <x v="12"/>
    <n v="9"/>
    <x v="4"/>
    <s v="Zhang Wentai"/>
    <m/>
    <s v="GLD Political Commissar"/>
    <n v="6"/>
    <x v="1"/>
    <m/>
    <x v="0"/>
    <m/>
    <x v="0"/>
    <m/>
    <m/>
    <m/>
    <m/>
    <m/>
    <s v="Defense White Paper Appendix"/>
    <m/>
  </r>
  <r>
    <x v="1"/>
    <x v="7"/>
    <s v="West Asia and Africa"/>
    <s v="No Specific Relationship"/>
    <s v="None"/>
    <s v="AFRICOM"/>
    <x v="61"/>
    <x v="12"/>
    <n v="9"/>
    <x v="4"/>
    <s v="Zhang Wentai"/>
    <m/>
    <s v="GLD Political Commissar"/>
    <n v="6"/>
    <x v="1"/>
    <m/>
    <x v="0"/>
    <m/>
    <x v="0"/>
    <m/>
    <m/>
    <m/>
    <m/>
    <m/>
    <s v="Defense White Paper Appendix"/>
    <m/>
  </r>
  <r>
    <x v="1"/>
    <x v="7"/>
    <s v="West Asia and Africa"/>
    <s v="No Specific Relationship"/>
    <s v="None"/>
    <s v="AFRICOM"/>
    <x v="86"/>
    <x v="12"/>
    <n v="9"/>
    <x v="4"/>
    <s v="Zhang Wentai"/>
    <m/>
    <s v="GLD Political Commissar"/>
    <n v="6"/>
    <x v="1"/>
    <m/>
    <x v="0"/>
    <m/>
    <x v="0"/>
    <m/>
    <m/>
    <m/>
    <m/>
    <m/>
    <s v="Defense White Paper Appendix"/>
    <m/>
  </r>
  <r>
    <x v="0"/>
    <x v="1"/>
    <s v="Asia"/>
    <s v="No Specific Relationship"/>
    <s v="None"/>
    <s v="INDOPACOM"/>
    <x v="44"/>
    <x v="12"/>
    <n v="10"/>
    <x v="0"/>
    <m/>
    <m/>
    <m/>
    <m/>
    <x v="0"/>
    <m/>
    <x v="0"/>
    <m/>
    <x v="0"/>
    <m/>
    <s v="NETF"/>
    <s v="2002-10 DD167 Shenzhen"/>
    <s v="South Sea Fleet"/>
    <s v="Luhai destroyer Shenzhen 167, replenishment ship Qinghaihu 885"/>
    <m/>
    <m/>
  </r>
  <r>
    <x v="1"/>
    <x v="9"/>
    <s v="West Asia and Africa"/>
    <s v="Strategic Cooperative Partnership [战略合作伙伴关系]"/>
    <s v="Major Non-NATO Ally"/>
    <s v="CENTCOM"/>
    <x v="24"/>
    <x v="12"/>
    <n v="10"/>
    <x v="3"/>
    <s v="Liang Guanglie"/>
    <m/>
    <s v="GSD Commander; CMC Member"/>
    <n v="8"/>
    <x v="2"/>
    <s v="Commander Air Defense Force"/>
    <x v="0"/>
    <m/>
    <x v="0"/>
    <m/>
    <m/>
    <m/>
    <m/>
    <m/>
    <s v="Defense White Paper Appendix"/>
    <m/>
  </r>
  <r>
    <x v="1"/>
    <x v="8"/>
    <s v="Europe and Central Asia"/>
    <s v="No Specific Relationship"/>
    <s v="NATO"/>
    <s v="EUCOM"/>
    <x v="18"/>
    <x v="12"/>
    <n v="10"/>
    <x v="3"/>
    <s v="Liang Guanglie"/>
    <m/>
    <s v="GSD Commander; CMC Member"/>
    <n v="8"/>
    <x v="2"/>
    <s v="General Inspector of Armed Forces"/>
    <x v="0"/>
    <m/>
    <x v="0"/>
    <m/>
    <m/>
    <m/>
    <m/>
    <m/>
    <s v="Defense White Paper Appendix"/>
    <m/>
  </r>
  <r>
    <x v="1"/>
    <x v="7"/>
    <s v="West Asia and Africa"/>
    <s v="No Specific Relationship"/>
    <s v="None"/>
    <s v="AFRICOM"/>
    <x v="87"/>
    <x v="12"/>
    <n v="10"/>
    <x v="3"/>
    <s v="Cao Gangchuan"/>
    <m/>
    <s v="CMC Vice Chairman; Defense Minister"/>
    <n v="10"/>
    <x v="2"/>
    <s v="Defense Minister"/>
    <x v="0"/>
    <m/>
    <x v="0"/>
    <m/>
    <m/>
    <m/>
    <m/>
    <m/>
    <s v="Defense White Paper Appendix"/>
    <m/>
  </r>
  <r>
    <x v="1"/>
    <x v="8"/>
    <s v="Europe and Central Asia"/>
    <s v="No Specific Relationship"/>
    <s v="NATO"/>
    <s v="EUCOM"/>
    <x v="29"/>
    <x v="12"/>
    <n v="10"/>
    <x v="3"/>
    <s v="Liang Guanglie"/>
    <m/>
    <s v="GSD Commander; CMC Member"/>
    <n v="8"/>
    <x v="2"/>
    <s v="Chief of National Defense General Staff"/>
    <x v="0"/>
    <m/>
    <x v="0"/>
    <m/>
    <m/>
    <m/>
    <m/>
    <m/>
    <s v="Defense White Paper Appendix"/>
    <m/>
  </r>
  <r>
    <x v="1"/>
    <x v="10"/>
    <s v="America and Oceania"/>
    <s v="No Specific Relationship"/>
    <s v="None"/>
    <s v="SOUTHCOM"/>
    <x v="88"/>
    <x v="12"/>
    <n v="10"/>
    <x v="3"/>
    <s v="Cao Gangchuan"/>
    <m/>
    <s v="CMC Vice Chairman; Defense Minister"/>
    <n v="10"/>
    <x v="2"/>
    <s v="Chief of Staff National Defense Forces"/>
    <x v="0"/>
    <m/>
    <x v="0"/>
    <m/>
    <m/>
    <m/>
    <m/>
    <m/>
    <s v="Defense White Paper Appendix"/>
    <m/>
  </r>
  <r>
    <x v="1"/>
    <x v="9"/>
    <s v="West Asia and Africa"/>
    <s v="No Specific Relationship"/>
    <s v="None"/>
    <s v="CENTCOM"/>
    <x v="89"/>
    <x v="12"/>
    <n v="10"/>
    <x v="3"/>
    <s v="Qian Shugen"/>
    <m/>
    <s v="GSD DCGS"/>
    <n v="8"/>
    <x v="2"/>
    <s v="Commander Mobilization Force IRGC"/>
    <x v="0"/>
    <m/>
    <x v="0"/>
    <m/>
    <m/>
    <m/>
    <m/>
    <m/>
    <s v="https://dlib.eastview.com/browse/doc/14631790"/>
    <m/>
  </r>
  <r>
    <x v="1"/>
    <x v="4"/>
    <s v="Asia"/>
    <s v="No Specific Relationship"/>
    <s v="None"/>
    <s v="INDOPACOM"/>
    <x v="53"/>
    <x v="12"/>
    <n v="10"/>
    <x v="3"/>
    <s v="Liang Guanglie"/>
    <m/>
    <s v="GSD Commander; CMC Member"/>
    <n v="8"/>
    <x v="2"/>
    <s v="COGS "/>
    <x v="0"/>
    <m/>
    <x v="0"/>
    <m/>
    <m/>
    <m/>
    <m/>
    <m/>
    <s v="Defense White Paper Appendix"/>
    <m/>
  </r>
  <r>
    <x v="1"/>
    <x v="0"/>
    <s v="Asia"/>
    <s v="Strategic Partnership [战略伙伴关系]"/>
    <s v="Major Non-NATO Ally"/>
    <s v="CENTCOM"/>
    <x v="2"/>
    <x v="12"/>
    <n v="10"/>
    <x v="3"/>
    <s v="Cao Gangchuan"/>
    <m/>
    <s v="CMC Vice Chairman; Defense Minister"/>
    <n v="10"/>
    <x v="2"/>
    <s v="Air Force Chief of Staff"/>
    <x v="0"/>
    <m/>
    <x v="0"/>
    <m/>
    <m/>
    <m/>
    <m/>
    <m/>
    <s v="Defense White Paper Appendix"/>
    <m/>
  </r>
  <r>
    <x v="2"/>
    <x v="0"/>
    <s v="Asia"/>
    <s v="Strategic Partnership [战略伙伴关系]"/>
    <s v="Major Non-NATO Ally"/>
    <s v="CENTCOM"/>
    <x v="2"/>
    <x v="12"/>
    <n v="10"/>
    <x v="5"/>
    <m/>
    <m/>
    <m/>
    <m/>
    <x v="0"/>
    <m/>
    <x v="2"/>
    <s v="Unknown"/>
    <x v="2"/>
    <s v="SAREX"/>
    <m/>
    <m/>
    <m/>
    <m/>
    <s v="Defense White Paper Appendix"/>
    <m/>
  </r>
  <r>
    <x v="1"/>
    <x v="8"/>
    <s v="Europe and Central Asia"/>
    <s v="No Specific Relationship"/>
    <s v="NATO"/>
    <s v="EUCOM"/>
    <x v="33"/>
    <x v="12"/>
    <n v="10"/>
    <x v="3"/>
    <s v="Cao Gangchuan"/>
    <m/>
    <s v="CMC Vice Chairman; Defense Minister"/>
    <n v="10"/>
    <x v="2"/>
    <s v="Defense Minister"/>
    <x v="0"/>
    <m/>
    <x v="0"/>
    <m/>
    <m/>
    <m/>
    <m/>
    <m/>
    <s v="Defense White Paper Appendix"/>
    <m/>
  </r>
  <r>
    <x v="1"/>
    <x v="7"/>
    <s v="West Asia and Africa"/>
    <s v="No Specific Relationship"/>
    <s v="None"/>
    <s v="AFRICOM"/>
    <x v="90"/>
    <x v="12"/>
    <n v="10"/>
    <x v="3"/>
    <s v="Guo Boxiong"/>
    <m/>
    <s v="CMC Vice Chairman"/>
    <n v="10"/>
    <x v="2"/>
    <s v="Vice Defense Minister"/>
    <x v="0"/>
    <m/>
    <x v="0"/>
    <m/>
    <m/>
    <m/>
    <m/>
    <m/>
    <s v="Defense White Paper Appendix"/>
    <m/>
  </r>
  <r>
    <x v="0"/>
    <x v="1"/>
    <s v="Asia"/>
    <s v="No Specific Relationship"/>
    <s v="None"/>
    <s v="INDOPACOM"/>
    <x v="39"/>
    <x v="12"/>
    <n v="10"/>
    <x v="0"/>
    <m/>
    <m/>
    <m/>
    <m/>
    <x v="0"/>
    <m/>
    <x v="0"/>
    <m/>
    <x v="0"/>
    <m/>
    <s v="NETF"/>
    <s v="2003-10 DD167 Shenzhen"/>
    <s v="South Sea Fleet"/>
    <s v="Luhai destroyer Shenzhen 167, replenishment ship Qinghaihu 885"/>
    <m/>
    <m/>
  </r>
  <r>
    <x v="1"/>
    <x v="10"/>
    <s v="America and Oceania"/>
    <s v="No Specific Relationship"/>
    <s v="None"/>
    <s v="SOUTHCOM"/>
    <x v="91"/>
    <x v="12"/>
    <n v="10"/>
    <x v="3"/>
    <s v="Cao Gangchuan"/>
    <m/>
    <s v="CMC Vice Chairman; Defense Minister"/>
    <n v="10"/>
    <x v="2"/>
    <s v="Commander National Defense Forces"/>
    <x v="0"/>
    <m/>
    <x v="0"/>
    <m/>
    <m/>
    <m/>
    <m/>
    <m/>
    <s v="Defense White Paper Appendix"/>
    <m/>
  </r>
  <r>
    <x v="1"/>
    <x v="8"/>
    <s v="Europe and Central Asia"/>
    <s v="No Specific Relationship"/>
    <s v="None"/>
    <s v="EUCOM"/>
    <x v="92"/>
    <x v="12"/>
    <n v="10"/>
    <x v="3"/>
    <s v="Liang Guanglie"/>
    <m/>
    <s v="GSD Commander; CMC Member"/>
    <n v="8"/>
    <x v="2"/>
    <s v="Deputy CinC Armed Forces "/>
    <x v="0"/>
    <m/>
    <x v="0"/>
    <m/>
    <m/>
    <m/>
    <m/>
    <m/>
    <s v="Defense White Paper Appendix"/>
    <m/>
  </r>
  <r>
    <x v="1"/>
    <x v="2"/>
    <s v="America and Oceania"/>
    <s v="No Specific Relationship"/>
    <s v="N/A"/>
    <s v="NORTHCOM"/>
    <x v="4"/>
    <x v="12"/>
    <n v="10"/>
    <x v="4"/>
    <s v="Cao Gangchuan"/>
    <m/>
    <s v="CMC Vice Chairman; Defense Minister"/>
    <n v="10"/>
    <x v="1"/>
    <s v="SecDef"/>
    <x v="0"/>
    <m/>
    <x v="0"/>
    <m/>
    <m/>
    <m/>
    <m/>
    <m/>
    <s v="Defense White Paper Appendix"/>
    <m/>
  </r>
  <r>
    <x v="0"/>
    <x v="2"/>
    <s v="America and Oceania"/>
    <s v="No Specific Relationship"/>
    <s v="None"/>
    <s v="NORTHCOM"/>
    <x v="4"/>
    <x v="12"/>
    <n v="10"/>
    <x v="0"/>
    <m/>
    <m/>
    <m/>
    <m/>
    <x v="0"/>
    <m/>
    <x v="0"/>
    <m/>
    <x v="0"/>
    <m/>
    <s v="NETF"/>
    <s v="2002-10 DD167 Shenzhen"/>
    <s v="South Sea Fleet"/>
    <s v="Luhai destroyer Shenzhen 167, replenishment ship Qinghaihu 885"/>
    <m/>
    <m/>
  </r>
  <r>
    <x v="1"/>
    <x v="1"/>
    <s v="Asia"/>
    <s v="No Specific Relationship"/>
    <s v="None"/>
    <s v="INDOPACOM"/>
    <x v="23"/>
    <x v="12"/>
    <n v="10"/>
    <x v="3"/>
    <s v="Liang Guanglie"/>
    <m/>
    <s v="GSD Commander; CMC Member"/>
    <n v="8"/>
    <x v="2"/>
    <s v="COGS"/>
    <x v="0"/>
    <m/>
    <x v="0"/>
    <m/>
    <m/>
    <m/>
    <m/>
    <m/>
    <s v="Defense White Paper Appendix"/>
    <m/>
  </r>
  <r>
    <x v="1"/>
    <x v="8"/>
    <s v="Europe and Central Asia"/>
    <s v="Comprehensive Cooperative Partnership [全面合作伙伴关系]"/>
    <s v="None"/>
    <s v="EUCOM"/>
    <x v="34"/>
    <x v="12"/>
    <n v="11"/>
    <x v="3"/>
    <s v="Cao Gangchuan"/>
    <m/>
    <s v="CMC Vice Chairman; Defense Minister"/>
    <n v="10"/>
    <x v="2"/>
    <s v="State Affairs Secretary of NSC"/>
    <x v="0"/>
    <m/>
    <x v="0"/>
    <m/>
    <m/>
    <m/>
    <m/>
    <m/>
    <s v="Defense White Paper Appendix"/>
    <m/>
  </r>
  <r>
    <x v="1"/>
    <x v="7"/>
    <s v="West Asia and Africa"/>
    <s v="No Specific Relationship"/>
    <s v="None"/>
    <s v="AFRICOM"/>
    <x v="93"/>
    <x v="12"/>
    <n v="11"/>
    <x v="4"/>
    <s v="Lei Mingqiu"/>
    <m/>
    <s v="Nanjing MR Political Commissar"/>
    <n v="6"/>
    <x v="1"/>
    <m/>
    <x v="0"/>
    <m/>
    <x v="0"/>
    <m/>
    <m/>
    <m/>
    <m/>
    <m/>
    <s v="Defense White Paper Appendix"/>
    <m/>
  </r>
  <r>
    <x v="1"/>
    <x v="10"/>
    <s v="America and Oceania"/>
    <s v="Strategic Partnership [战略伙伴关系]"/>
    <s v="None"/>
    <s v="SOUTHCOM"/>
    <x v="43"/>
    <x v="12"/>
    <n v="11"/>
    <x v="3"/>
    <s v="Cao Gangchuan"/>
    <m/>
    <s v="CMC Vice Chairman; Defense Minister"/>
    <n v="10"/>
    <x v="2"/>
    <s v="Defense Minister"/>
    <x v="0"/>
    <m/>
    <x v="0"/>
    <m/>
    <m/>
    <m/>
    <m/>
    <m/>
    <s v="Defense White Paper Appendix"/>
    <m/>
  </r>
  <r>
    <x v="1"/>
    <x v="1"/>
    <s v="Asia"/>
    <s v="No Specific Relationship"/>
    <s v="None"/>
    <s v="INDOPACOM"/>
    <x v="94"/>
    <x v="12"/>
    <n v="11"/>
    <x v="3"/>
    <s v="Liang Guanglie"/>
    <m/>
    <s v="GSD Commander; CMC Member"/>
    <n v="8"/>
    <x v="2"/>
    <s v="Deputy CinC Armed Forces"/>
    <x v="0"/>
    <m/>
    <x v="0"/>
    <m/>
    <m/>
    <m/>
    <m/>
    <m/>
    <s v="Defense White Paper Appendix"/>
    <m/>
  </r>
  <r>
    <x v="1"/>
    <x v="2"/>
    <s v="America and Oceania"/>
    <s v="Comprehensive Partnership [全面伙伴关系]"/>
    <s v="NATO"/>
    <s v="NORTHCOM"/>
    <x v="17"/>
    <x v="12"/>
    <n v="11"/>
    <x v="4"/>
    <s v="Zhu Wenquan"/>
    <m/>
    <s v="Nanjing MR Commander"/>
    <n v="6"/>
    <x v="1"/>
    <m/>
    <x v="0"/>
    <m/>
    <x v="0"/>
    <m/>
    <m/>
    <m/>
    <m/>
    <m/>
    <s v="Defense White Paper Appendix"/>
    <m/>
  </r>
  <r>
    <x v="1"/>
    <x v="8"/>
    <s v="Europe and Central Asia"/>
    <s v="No Specific Relationship"/>
    <s v="NATO"/>
    <s v="EUCOM"/>
    <x v="35"/>
    <x v="12"/>
    <n v="11"/>
    <x v="4"/>
    <s v="Liu Yongzhi"/>
    <m/>
    <s v="Lanzhou MR Political Commissar"/>
    <n v="6"/>
    <x v="1"/>
    <m/>
    <x v="0"/>
    <m/>
    <x v="0"/>
    <m/>
    <m/>
    <m/>
    <m/>
    <m/>
    <s v="Defense White Paper Appendix"/>
    <m/>
  </r>
  <r>
    <x v="1"/>
    <x v="9"/>
    <s v="West Asia and Africa"/>
    <s v="Strategic Cooperative Partnership [战略合作伙伴关系]"/>
    <s v="Major Non-NATO Ally"/>
    <s v="CENTCOM"/>
    <x v="24"/>
    <x v="12"/>
    <n v="11"/>
    <x v="4"/>
    <s v="Xu Caihou"/>
    <m/>
    <s v="GPD Director; CMC Member"/>
    <n v="8"/>
    <x v="1"/>
    <m/>
    <x v="0"/>
    <m/>
    <x v="0"/>
    <m/>
    <m/>
    <m/>
    <m/>
    <m/>
    <s v="Defense White Paper Appendix"/>
    <m/>
  </r>
  <r>
    <x v="1"/>
    <x v="7"/>
    <s v="West Asia and Africa"/>
    <s v="No Specific Relationship"/>
    <s v="None"/>
    <s v="AFRICOM"/>
    <x v="95"/>
    <x v="12"/>
    <n v="11"/>
    <x v="4"/>
    <s v="Lei Mingqiu"/>
    <m/>
    <s v="Nanjing MR Political Commissar"/>
    <n v="6"/>
    <x v="1"/>
    <m/>
    <x v="0"/>
    <m/>
    <x v="0"/>
    <m/>
    <m/>
    <m/>
    <m/>
    <m/>
    <s v="Defense White Paper Appendix"/>
    <m/>
  </r>
  <r>
    <x v="1"/>
    <x v="8"/>
    <s v="Europe and Central Asia"/>
    <s v="No Specific Relationship"/>
    <s v="NATO"/>
    <s v="EUCOM"/>
    <x v="29"/>
    <x v="12"/>
    <n v="11"/>
    <x v="4"/>
    <s v="Deng Changyou"/>
    <m/>
    <s v="PLAAF Political Commissar"/>
    <n v="6"/>
    <x v="1"/>
    <m/>
    <x v="0"/>
    <m/>
    <x v="0"/>
    <m/>
    <m/>
    <m/>
    <m/>
    <m/>
    <s v="Defense White Paper Appendix"/>
    <m/>
  </r>
  <r>
    <x v="2"/>
    <x v="0"/>
    <s v="Asia"/>
    <s v="Comprehensive Cooperative Partnership [全面合作伙伴关系]"/>
    <s v="None"/>
    <s v="INDOPACOM"/>
    <x v="6"/>
    <x v="12"/>
    <n v="11"/>
    <x v="5"/>
    <m/>
    <m/>
    <m/>
    <m/>
    <x v="0"/>
    <m/>
    <x v="2"/>
    <s v="Unknown"/>
    <x v="2"/>
    <s v="SAREX"/>
    <m/>
    <m/>
    <m/>
    <m/>
    <s v="Defense White Paper Appendix"/>
    <m/>
  </r>
  <r>
    <x v="1"/>
    <x v="8"/>
    <s v="Europe and Central Asia"/>
    <s v="No Specific Relationship"/>
    <s v="NATO"/>
    <s v="EUCOM"/>
    <x v="20"/>
    <x v="12"/>
    <n v="11"/>
    <x v="3"/>
    <s v="Xiong Guangkai"/>
    <m/>
    <s v="GSD DCGS"/>
    <n v="6"/>
    <x v="2"/>
    <s v="Deputy Defense Chief of Staff"/>
    <x v="0"/>
    <m/>
    <x v="0"/>
    <m/>
    <m/>
    <m/>
    <m/>
    <m/>
    <s v="Defense White Paper Appendix"/>
    <m/>
  </r>
  <r>
    <x v="1"/>
    <x v="6"/>
    <s v="Europe and Central Asia"/>
    <s v="No Specific Relationship"/>
    <s v="None"/>
    <s v="CENTCOM"/>
    <x v="31"/>
    <x v="12"/>
    <n v="11"/>
    <x v="3"/>
    <s v="Cao Gangchuan"/>
    <m/>
    <s v="CMC Vice Chairman; Defense Minister"/>
    <n v="10"/>
    <x v="2"/>
    <s v="Defense Minister"/>
    <x v="0"/>
    <m/>
    <x v="0"/>
    <m/>
    <m/>
    <m/>
    <m/>
    <m/>
    <s v="Defense White Paper Appendix"/>
    <m/>
  </r>
  <r>
    <x v="1"/>
    <x v="5"/>
    <s v="America and Oceania"/>
    <s v="No Specific Relationship"/>
    <s v="ANZUS Treaty"/>
    <s v="INDOPACOM"/>
    <x v="13"/>
    <x v="12"/>
    <n v="11"/>
    <x v="3"/>
    <s v="Cao Gangchuan"/>
    <m/>
    <s v="CMC Vice Chairman; Defense Minister"/>
    <n v="10"/>
    <x v="2"/>
    <s v="Commander National Defense Forces"/>
    <x v="0"/>
    <m/>
    <x v="0"/>
    <m/>
    <m/>
    <m/>
    <m/>
    <m/>
    <s v="Defense White Paper Appendix"/>
    <m/>
  </r>
  <r>
    <x v="0"/>
    <x v="5"/>
    <s v="America and Oceania"/>
    <s v="No Specific Relationship"/>
    <s v="ANZUS Treaty"/>
    <s v="INDOPACOM"/>
    <x v="13"/>
    <x v="12"/>
    <n v="11"/>
    <x v="0"/>
    <m/>
    <m/>
    <m/>
    <m/>
    <x v="0"/>
    <m/>
    <x v="0"/>
    <m/>
    <x v="0"/>
    <m/>
    <s v="NETF"/>
    <s v="2003-11 FF564 Yichang"/>
    <s v="South Sea Fleet"/>
    <s v="Jiangwei frigate Yichang 564, replenishment ship Taicang 575"/>
    <m/>
    <m/>
  </r>
  <r>
    <x v="1"/>
    <x v="4"/>
    <s v="Asia"/>
    <s v="Bilateral Defense Treaty"/>
    <s v="None"/>
    <s v="INDOPACOM"/>
    <x v="9"/>
    <x v="12"/>
    <n v="11"/>
    <x v="3"/>
    <s v="Cao Gangchuan"/>
    <m/>
    <s v="CMC Vice Chairman; Defense Minister"/>
    <n v="10"/>
    <x v="2"/>
    <s v="Vice Minister People's Armed Forces DPRK"/>
    <x v="0"/>
    <m/>
    <x v="0"/>
    <m/>
    <m/>
    <m/>
    <m/>
    <m/>
    <s v="Defense White Paper Appendix"/>
    <m/>
  </r>
  <r>
    <x v="1"/>
    <x v="8"/>
    <s v="Europe and Central Asia"/>
    <s v="No Specific Relationship"/>
    <s v="NATO"/>
    <s v="EUCOM"/>
    <x v="48"/>
    <x v="12"/>
    <n v="11"/>
    <x v="4"/>
    <s v="Xu Caihou"/>
    <m/>
    <s v="GPD Director; CMC Member"/>
    <n v="8"/>
    <x v="1"/>
    <m/>
    <x v="0"/>
    <m/>
    <x v="0"/>
    <m/>
    <m/>
    <m/>
    <m/>
    <m/>
    <s v="Defense White Paper Appendix"/>
    <m/>
  </r>
  <r>
    <x v="1"/>
    <x v="8"/>
    <s v="Europe and Central Asia"/>
    <s v="No Specific Relationship"/>
    <s v="NATO"/>
    <s v="EUCOM"/>
    <x v="33"/>
    <x v="12"/>
    <n v="11"/>
    <x v="4"/>
    <s v="Liu Yongzhi"/>
    <m/>
    <s v="Lanzhou MR Political Commissar"/>
    <n v="6"/>
    <x v="1"/>
    <m/>
    <x v="0"/>
    <m/>
    <x v="0"/>
    <m/>
    <m/>
    <m/>
    <m/>
    <m/>
    <s v="Defense White Paper Appendix"/>
    <m/>
  </r>
  <r>
    <x v="1"/>
    <x v="3"/>
    <s v="Europe and Central Asia"/>
    <s v="Strategic Partnership of Coordination [战略协作伙伴关系]"/>
    <s v="None"/>
    <s v="EUCOM"/>
    <x v="7"/>
    <x v="12"/>
    <n v="11"/>
    <x v="3"/>
    <s v="Cao Gangchuan"/>
    <m/>
    <s v="CMC Vice Chairman; Defense Minister"/>
    <n v="10"/>
    <x v="2"/>
    <s v="First Deputy Director FSB"/>
    <x v="0"/>
    <m/>
    <x v="0"/>
    <m/>
    <m/>
    <m/>
    <m/>
    <m/>
    <s v="Defense White Paper Appendix"/>
    <m/>
  </r>
  <r>
    <x v="1"/>
    <x v="3"/>
    <s v="Europe and Central Asia"/>
    <s v="Strategic Partnership of Coordination [战略协作伙伴关系]"/>
    <s v="None"/>
    <s v="EUCOM"/>
    <x v="7"/>
    <x v="12"/>
    <n v="11"/>
    <x v="4"/>
    <s v="Deng Changyou"/>
    <m/>
    <s v="PLAAF Political Commissar"/>
    <n v="6"/>
    <x v="1"/>
    <m/>
    <x v="0"/>
    <m/>
    <x v="0"/>
    <m/>
    <m/>
    <m/>
    <m/>
    <m/>
    <s v="Defense White Paper Appendix"/>
    <m/>
  </r>
  <r>
    <x v="1"/>
    <x v="4"/>
    <s v="Asia"/>
    <s v="Comprehensive Cooperative Partnership [全面合作伙伴关系]"/>
    <s v="Bilateral Defense Treaty"/>
    <s v="INDOPACOM"/>
    <x v="25"/>
    <x v="12"/>
    <n v="11"/>
    <x v="3"/>
    <s v="Cao Gangchuan"/>
    <m/>
    <s v="CMC Vice Chairman; Defense Minister"/>
    <n v="10"/>
    <x v="2"/>
    <s v="Chairman JCS"/>
    <x v="0"/>
    <m/>
    <x v="0"/>
    <m/>
    <m/>
    <m/>
    <m/>
    <m/>
    <s v="Defense White Paper Appendix"/>
    <m/>
  </r>
  <r>
    <x v="1"/>
    <x v="8"/>
    <s v="Europe and Central Asia"/>
    <s v="No Specific Relationship"/>
    <s v="NATO"/>
    <s v="EUCOM"/>
    <x v="70"/>
    <x v="12"/>
    <n v="11"/>
    <x v="4"/>
    <s v="Xu Caihou"/>
    <m/>
    <s v="GPD Director; CMC Member"/>
    <n v="8"/>
    <x v="1"/>
    <m/>
    <x v="0"/>
    <m/>
    <x v="0"/>
    <m/>
    <m/>
    <m/>
    <m/>
    <m/>
    <s v="Defense White Paper Appendix"/>
    <m/>
  </r>
  <r>
    <x v="1"/>
    <x v="7"/>
    <s v="West Asia and Africa"/>
    <s v="No Specific Relationship"/>
    <s v="None"/>
    <s v="AFRICOM"/>
    <x v="16"/>
    <x v="12"/>
    <n v="11"/>
    <x v="4"/>
    <s v="Xu Caihou"/>
    <m/>
    <s v="GPD Director; CMC Member"/>
    <n v="8"/>
    <x v="1"/>
    <m/>
    <x v="0"/>
    <m/>
    <x v="0"/>
    <m/>
    <m/>
    <m/>
    <m/>
    <m/>
    <s v="Defense White Paper Appendix"/>
    <m/>
  </r>
  <r>
    <x v="1"/>
    <x v="1"/>
    <s v="Asia"/>
    <s v="No Specific Relationship"/>
    <s v="Bilateral Defense Treaty"/>
    <s v="INDOPACOM"/>
    <x v="5"/>
    <x v="12"/>
    <n v="11"/>
    <x v="3"/>
    <s v="Cao Gangchuan"/>
    <m/>
    <s v="CMC Vice Chairman; Defense Minister"/>
    <n v="10"/>
    <x v="2"/>
    <s v="CinC Army"/>
    <x v="0"/>
    <m/>
    <x v="0"/>
    <m/>
    <m/>
    <m/>
    <m/>
    <m/>
    <s v="Defense White Paper Appendix"/>
    <m/>
  </r>
  <r>
    <x v="1"/>
    <x v="7"/>
    <s v="West Asia and Africa"/>
    <s v="Comprehensive Strategic Cooperative Partnership [全面战略合作伙伴关系]"/>
    <s v="None"/>
    <s v="AFRICOM"/>
    <x v="96"/>
    <x v="12"/>
    <n v="11"/>
    <x v="3"/>
    <s v="Cao Gangchuan"/>
    <m/>
    <s v="CMC Vice Chairman; Defense Minister"/>
    <n v="10"/>
    <x v="2"/>
    <s v="Defense Minister"/>
    <x v="0"/>
    <m/>
    <x v="0"/>
    <m/>
    <m/>
    <m/>
    <m/>
    <m/>
    <s v="Defense White Paper Appendix"/>
    <m/>
  </r>
  <r>
    <x v="1"/>
    <x v="7"/>
    <s v="West Asia and Africa"/>
    <s v="No Specific Relationship"/>
    <s v="None"/>
    <s v="AFRICOM"/>
    <x v="97"/>
    <x v="12"/>
    <n v="11"/>
    <x v="4"/>
    <s v="Lei Mingqiu"/>
    <m/>
    <s v="Nanjing MR Political Commissar"/>
    <n v="6"/>
    <x v="1"/>
    <m/>
    <x v="0"/>
    <m/>
    <x v="0"/>
    <m/>
    <m/>
    <m/>
    <m/>
    <m/>
    <s v="Defense White Paper Appendix"/>
    <m/>
  </r>
  <r>
    <x v="1"/>
    <x v="8"/>
    <s v="Europe and Central Asia"/>
    <s v="No Specific Relationship"/>
    <s v="NATO"/>
    <s v="EUCOM"/>
    <x v="21"/>
    <x v="12"/>
    <n v="11"/>
    <x v="4"/>
    <s v="Xu Caihou"/>
    <m/>
    <s v="GPD Director; CMC Member"/>
    <n v="8"/>
    <x v="1"/>
    <m/>
    <x v="0"/>
    <m/>
    <x v="0"/>
    <m/>
    <m/>
    <m/>
    <m/>
    <m/>
    <s v="Defense White Paper Appendix"/>
    <m/>
  </r>
  <r>
    <x v="1"/>
    <x v="2"/>
    <s v="America and Oceania"/>
    <s v="No Specific Relationship"/>
    <s v="N/A"/>
    <s v="NORTHCOM"/>
    <x v="4"/>
    <x v="12"/>
    <n v="11"/>
    <x v="4"/>
    <s v="Zhu Wenquan"/>
    <m/>
    <s v="Nanjing MR Commander"/>
    <n v="6"/>
    <x v="1"/>
    <m/>
    <x v="0"/>
    <m/>
    <x v="0"/>
    <m/>
    <m/>
    <m/>
    <m/>
    <m/>
    <s v="Defense White Paper Appendix"/>
    <m/>
  </r>
  <r>
    <x v="1"/>
    <x v="5"/>
    <s v="America and Oceania"/>
    <s v="No Specific Relationship"/>
    <s v="ANZUS Treaty"/>
    <s v="INDOPACOM"/>
    <x v="12"/>
    <x v="12"/>
    <n v="12"/>
    <x v="4"/>
    <s v="Xiong Guangkai"/>
    <m/>
    <s v="GSD DCGS"/>
    <n v="6"/>
    <x v="1"/>
    <m/>
    <x v="0"/>
    <m/>
    <x v="0"/>
    <m/>
    <m/>
    <m/>
    <m/>
    <m/>
    <s v="Defense White Paper Appendix"/>
    <m/>
  </r>
  <r>
    <x v="1"/>
    <x v="0"/>
    <s v="Asia"/>
    <s v="No Specific Relationship"/>
    <s v="None"/>
    <s v="INDOPACOM"/>
    <x v="0"/>
    <x v="12"/>
    <n v="12"/>
    <x v="4"/>
    <s v="Xiong Guangkai"/>
    <m/>
    <s v="GSD DCGS"/>
    <n v="6"/>
    <x v="1"/>
    <m/>
    <x v="0"/>
    <m/>
    <x v="0"/>
    <m/>
    <m/>
    <m/>
    <m/>
    <m/>
    <s v="Defense White Paper Appendix"/>
    <m/>
  </r>
  <r>
    <x v="1"/>
    <x v="10"/>
    <s v="America and Oceania"/>
    <s v="No Specific Relationship"/>
    <s v="None"/>
    <s v="SOUTHCOM"/>
    <x v="49"/>
    <x v="12"/>
    <n v="12"/>
    <x v="4"/>
    <s v="Jiang Futang"/>
    <m/>
    <s v="Shenyang MR Political Commissar"/>
    <n v="6"/>
    <x v="1"/>
    <m/>
    <x v="0"/>
    <m/>
    <x v="0"/>
    <m/>
    <m/>
    <m/>
    <m/>
    <m/>
    <s v="Defense White Paper Appendix"/>
    <m/>
  </r>
  <r>
    <x v="1"/>
    <x v="8"/>
    <s v="Europe and Central Asia"/>
    <s v="No Specific Relationship"/>
    <s v="None"/>
    <s v="EUCOM"/>
    <x v="98"/>
    <x v="12"/>
    <n v="12"/>
    <x v="4"/>
    <s v="Xiong Guangkai"/>
    <m/>
    <s v="GSD DCGS"/>
    <n v="6"/>
    <x v="1"/>
    <m/>
    <x v="0"/>
    <m/>
    <x v="0"/>
    <m/>
    <m/>
    <m/>
    <m/>
    <m/>
    <s v="Defense White Paper Appendix"/>
    <m/>
  </r>
  <r>
    <x v="1"/>
    <x v="9"/>
    <s v="West Asia and Africa"/>
    <s v="Strategic Cooperative Partnership [战略合作伙伴关系]"/>
    <s v="Major Non-NATO Ally"/>
    <s v="CENTCOM"/>
    <x v="24"/>
    <x v="12"/>
    <n v="12"/>
    <x v="3"/>
    <s v="Xiong Guangkai"/>
    <m/>
    <s v="GSD DCGS"/>
    <n v="8"/>
    <x v="2"/>
    <s v="CinC Air Force"/>
    <x v="0"/>
    <m/>
    <x v="0"/>
    <m/>
    <m/>
    <m/>
    <m/>
    <m/>
    <s v="Defense White Paper Appendix"/>
    <m/>
  </r>
  <r>
    <x v="1"/>
    <x v="8"/>
    <s v="Europe and Central Asia"/>
    <s v="No Specific Relationship"/>
    <s v="NATO"/>
    <s v="EUCOM"/>
    <x v="82"/>
    <x v="12"/>
    <n v="12"/>
    <x v="4"/>
    <s v="Liu Yongzhi"/>
    <m/>
    <s v="PLA NDU Political Commissar"/>
    <n v="6"/>
    <x v="1"/>
    <m/>
    <x v="0"/>
    <m/>
    <x v="0"/>
    <m/>
    <m/>
    <m/>
    <m/>
    <m/>
    <s v="Defense White Paper Appendix"/>
    <m/>
  </r>
  <r>
    <x v="1"/>
    <x v="0"/>
    <s v="Asia"/>
    <s v="Comprehensive Cooperative Partnership [全面合作伙伴关系]"/>
    <s v="None"/>
    <s v="INDOPACOM"/>
    <x v="6"/>
    <x v="12"/>
    <n v="12"/>
    <x v="4"/>
    <s v="Xiong Guangkai"/>
    <m/>
    <s v="GSD DCGS"/>
    <n v="6"/>
    <x v="1"/>
    <m/>
    <x v="0"/>
    <m/>
    <x v="0"/>
    <m/>
    <m/>
    <m/>
    <m/>
    <m/>
    <s v="Defense White Paper Appendix"/>
    <m/>
  </r>
  <r>
    <x v="1"/>
    <x v="8"/>
    <s v="Europe and Central Asia"/>
    <s v="No Specific Relationship"/>
    <s v="NATO"/>
    <s v="EUCOM"/>
    <x v="20"/>
    <x v="12"/>
    <n v="12"/>
    <x v="4"/>
    <s v="Liu Yongzhi"/>
    <m/>
    <s v="PLA NDU Political Commissar"/>
    <n v="6"/>
    <x v="1"/>
    <m/>
    <x v="0"/>
    <m/>
    <x v="0"/>
    <m/>
    <m/>
    <m/>
    <m/>
    <m/>
    <s v="Defense White Paper Appendix"/>
    <m/>
  </r>
  <r>
    <x v="1"/>
    <x v="7"/>
    <s v="West Asia and Africa"/>
    <s v="No Specific Relationship"/>
    <s v="None"/>
    <s v="AFRICOM"/>
    <x v="47"/>
    <x v="12"/>
    <n v="12"/>
    <x v="4"/>
    <s v="Xiong Guangkai"/>
    <m/>
    <s v="GSD DCGS"/>
    <n v="6"/>
    <x v="1"/>
    <m/>
    <x v="0"/>
    <m/>
    <x v="0"/>
    <m/>
    <m/>
    <m/>
    <m/>
    <m/>
    <s v="Defense White Paper Appendix"/>
    <m/>
  </r>
  <r>
    <x v="1"/>
    <x v="9"/>
    <s v="West Asia and Africa"/>
    <s v="No Specific Relationship"/>
    <s v="Major Non-NATO Ally"/>
    <s v="CENTCOM"/>
    <x v="72"/>
    <x v="12"/>
    <n v="12"/>
    <x v="3"/>
    <s v="Cao Gangchuan"/>
    <m/>
    <s v="CMC Vice Chairman; Defense Minister"/>
    <n v="10"/>
    <x v="2"/>
    <s v="Defense Minister"/>
    <x v="0"/>
    <m/>
    <x v="0"/>
    <m/>
    <m/>
    <m/>
    <m/>
    <m/>
    <s v="Defense White Paper Appendix"/>
    <m/>
  </r>
  <r>
    <x v="1"/>
    <x v="1"/>
    <s v="Asia"/>
    <s v="No Specific Relationship"/>
    <s v="None"/>
    <s v="INDOPACOM"/>
    <x v="1"/>
    <x v="12"/>
    <n v="12"/>
    <x v="4"/>
    <s v="Xiong Guangkai"/>
    <m/>
    <s v="GSD DCGS"/>
    <n v="6"/>
    <x v="1"/>
    <m/>
    <x v="0"/>
    <m/>
    <x v="0"/>
    <m/>
    <m/>
    <m/>
    <m/>
    <m/>
    <s v="Defense White Paper Appendix"/>
    <m/>
  </r>
  <r>
    <x v="1"/>
    <x v="5"/>
    <s v="America and Oceania"/>
    <s v="No Specific Relationship"/>
    <s v="ANZUS Treaty"/>
    <s v="INDOPACOM"/>
    <x v="13"/>
    <x v="12"/>
    <n v="12"/>
    <x v="4"/>
    <s v="Xiong Guangkai"/>
    <m/>
    <s v="GSD DCGS"/>
    <n v="6"/>
    <x v="1"/>
    <m/>
    <x v="0"/>
    <m/>
    <x v="0"/>
    <m/>
    <m/>
    <m/>
    <m/>
    <m/>
    <s v="Defense White Paper Appendix"/>
    <m/>
  </r>
  <r>
    <x v="1"/>
    <x v="1"/>
    <s v="Asia"/>
    <s v="No Specific Relationship"/>
    <s v="Bilateral Defense Treaty"/>
    <s v="INDOPACOM"/>
    <x v="11"/>
    <x v="12"/>
    <n v="12"/>
    <x v="4"/>
    <s v="Chen Bingde"/>
    <m/>
    <s v="Jinan MR Commander"/>
    <n v="6"/>
    <x v="1"/>
    <m/>
    <x v="0"/>
    <m/>
    <x v="0"/>
    <m/>
    <m/>
    <m/>
    <m/>
    <m/>
    <s v="Defense White Paper Appendix"/>
    <m/>
  </r>
  <r>
    <x v="1"/>
    <x v="3"/>
    <s v="Europe and Central Asia"/>
    <s v="Strategic Partnership of Coordination [战略协作伙伴关系]"/>
    <s v="None"/>
    <s v="EUCOM"/>
    <x v="7"/>
    <x v="12"/>
    <n v="12"/>
    <x v="4"/>
    <s v="Cao Gangchuan"/>
    <m/>
    <s v="CMC Vice Chairman; Defense Minister"/>
    <n v="10"/>
    <x v="1"/>
    <s v="Defense Minister"/>
    <x v="0"/>
    <m/>
    <x v="0"/>
    <m/>
    <m/>
    <m/>
    <m/>
    <m/>
    <s v="Defense White Paper Appendix"/>
    <m/>
  </r>
  <r>
    <x v="1"/>
    <x v="1"/>
    <s v="Asia"/>
    <s v="No Specific Relationship"/>
    <s v="None"/>
    <s v="INDOPACOM"/>
    <x v="39"/>
    <x v="12"/>
    <n v="12"/>
    <x v="4"/>
    <s v="Xiong Guangkai"/>
    <m/>
    <s v="GSD DCGS"/>
    <n v="6"/>
    <x v="1"/>
    <m/>
    <x v="0"/>
    <m/>
    <x v="0"/>
    <m/>
    <m/>
    <m/>
    <m/>
    <m/>
    <s v="Defense White Paper Appendix"/>
    <m/>
  </r>
  <r>
    <x v="1"/>
    <x v="7"/>
    <s v="West Asia and Africa"/>
    <s v="No Specific Relationship"/>
    <s v="None"/>
    <s v="AFRICOM"/>
    <x v="74"/>
    <x v="12"/>
    <n v="12"/>
    <x v="3"/>
    <s v="Cao Gangchuan"/>
    <m/>
    <s v="CMC Vice Chairman; Defense Minister"/>
    <n v="10"/>
    <x v="2"/>
    <s v="Defense Minister"/>
    <x v="0"/>
    <m/>
    <x v="0"/>
    <m/>
    <m/>
    <m/>
    <m/>
    <m/>
    <s v="Defense White Paper Appendix"/>
    <m/>
  </r>
  <r>
    <x v="1"/>
    <x v="1"/>
    <s v="Asia"/>
    <s v="No Specific Relationship"/>
    <s v="Bilateral Defense Treaty"/>
    <s v="INDOPACOM"/>
    <x v="5"/>
    <x v="12"/>
    <n v="12"/>
    <x v="4"/>
    <s v="Chen Bingde"/>
    <m/>
    <s v="Jinan MR Commander"/>
    <n v="6"/>
    <x v="1"/>
    <m/>
    <x v="0"/>
    <m/>
    <x v="0"/>
    <m/>
    <m/>
    <m/>
    <m/>
    <m/>
    <s v="Defense White Paper Appendix"/>
    <m/>
  </r>
  <r>
    <x v="1"/>
    <x v="2"/>
    <s v="America and Oceania"/>
    <s v="No Specific Relationship"/>
    <s v="N/A"/>
    <s v="NORTHCOM"/>
    <x v="4"/>
    <x v="13"/>
    <n v="1"/>
    <x v="3"/>
    <s v="Guo Boxiong"/>
    <m/>
    <s v="CMC Vice Chairman"/>
    <n v="10"/>
    <x v="2"/>
    <s v="Chairman JCS"/>
    <x v="0"/>
    <m/>
    <x v="0"/>
    <m/>
    <m/>
    <m/>
    <m/>
    <m/>
    <s v="Defense White Paper Appendix"/>
    <m/>
  </r>
  <r>
    <x v="1"/>
    <x v="9"/>
    <s v="West Asia and Africa"/>
    <s v="Strategic Cooperative Partnership [战略合作伙伴关系]"/>
    <s v="Major Non-NATO Ally"/>
    <s v="CENTCOM"/>
    <x v="24"/>
    <x v="13"/>
    <n v="2"/>
    <x v="4"/>
    <s v="Xiong Guangkai"/>
    <m/>
    <s v="GSD DCGS"/>
    <n v="8"/>
    <x v="1"/>
    <m/>
    <x v="0"/>
    <m/>
    <x v="0"/>
    <m/>
    <m/>
    <m/>
    <m/>
    <m/>
    <s v="Defense White Paper Appendix"/>
    <s v="DCOGS trip"/>
  </r>
  <r>
    <x v="1"/>
    <x v="8"/>
    <s v="Europe and Central Asia"/>
    <s v="No Specific Relationship"/>
    <s v="None"/>
    <s v="EUCOM"/>
    <x v="99"/>
    <x v="13"/>
    <n v="2"/>
    <x v="3"/>
    <s v="Cao Gangchuan"/>
    <m/>
    <s v="CMC Vice Chairman; Defense Minister"/>
    <n v="10"/>
    <x v="2"/>
    <s v="Defense Minister"/>
    <x v="0"/>
    <m/>
    <x v="0"/>
    <m/>
    <m/>
    <m/>
    <m/>
    <m/>
    <s v="Defense White Paper Appendix"/>
    <m/>
  </r>
  <r>
    <x v="1"/>
    <x v="1"/>
    <s v="Asia"/>
    <s v="No Specific Relationship"/>
    <s v="None"/>
    <s v="INDOPACOM"/>
    <x v="23"/>
    <x v="13"/>
    <n v="2"/>
    <x v="4"/>
    <s v="Xiong Guangkai"/>
    <m/>
    <s v="GSD DCGS"/>
    <n v="8"/>
    <x v="1"/>
    <m/>
    <x v="0"/>
    <m/>
    <x v="0"/>
    <m/>
    <m/>
    <m/>
    <m/>
    <m/>
    <s v="Defense White Paper Appendix"/>
    <s v="DCOGS trip"/>
  </r>
  <r>
    <x v="1"/>
    <x v="7"/>
    <s v="West Asia and Africa"/>
    <s v="No Specific Relationship"/>
    <s v="None"/>
    <s v="AFRICOM"/>
    <x v="86"/>
    <x v="13"/>
    <n v="2"/>
    <x v="4"/>
    <s v="Xiong Guangkai"/>
    <m/>
    <s v="GSD DCGS"/>
    <n v="8"/>
    <x v="1"/>
    <m/>
    <x v="0"/>
    <m/>
    <x v="0"/>
    <m/>
    <m/>
    <m/>
    <m/>
    <m/>
    <s v="Defense White Paper Appendix"/>
    <s v="DCOGS trip"/>
  </r>
  <r>
    <x v="1"/>
    <x v="5"/>
    <s v="America and Oceania"/>
    <s v="No Specific Relationship"/>
    <s v="ANZUS Treaty"/>
    <s v="INDOPACOM"/>
    <x v="12"/>
    <x v="13"/>
    <n v="3"/>
    <x v="3"/>
    <s v="Ge Zhenfeng"/>
    <m/>
    <s v="GSD DCGS"/>
    <n v="6"/>
    <x v="2"/>
    <s v="Commander of the Australian Theater"/>
    <x v="0"/>
    <m/>
    <x v="0"/>
    <m/>
    <m/>
    <m/>
    <m/>
    <m/>
    <s v="Defense White Paper Appendix"/>
    <m/>
  </r>
  <r>
    <x v="2"/>
    <x v="8"/>
    <s v="Europe and Central Asia"/>
    <s v="Comprehensive Partnership [全面伙伴关系]"/>
    <s v="NATO"/>
    <s v="EUCOM"/>
    <x v="22"/>
    <x v="13"/>
    <n v="3"/>
    <x v="5"/>
    <m/>
    <m/>
    <m/>
    <m/>
    <x v="0"/>
    <m/>
    <x v="2"/>
    <s v="Unknown"/>
    <x v="2"/>
    <s v="SAREX"/>
    <m/>
    <m/>
    <m/>
    <m/>
    <s v="Defense White Paper Appendix"/>
    <m/>
  </r>
  <r>
    <x v="1"/>
    <x v="0"/>
    <s v="Asia"/>
    <s v="Comprehensive Cooperative Partnership [全面合作伙伴关系]"/>
    <s v="None"/>
    <s v="INDOPACOM"/>
    <x v="6"/>
    <x v="13"/>
    <n v="3"/>
    <x v="4"/>
    <s v="Cao Gangchuan"/>
    <m/>
    <s v="CMC Vice Chairman; Defense Minister"/>
    <n v="10"/>
    <x v="1"/>
    <m/>
    <x v="0"/>
    <m/>
    <x v="0"/>
    <m/>
    <m/>
    <m/>
    <m/>
    <m/>
    <s v="Defense White Paper Appendix"/>
    <m/>
  </r>
  <r>
    <x v="1"/>
    <x v="4"/>
    <s v="Asia"/>
    <s v="Partnership of Friendship and Cooperation for Peace and Development [致力于和平发展的友好合作关系]"/>
    <s v="Bilateral Defense Treaty"/>
    <s v="INDOPACOM"/>
    <x v="83"/>
    <x v="13"/>
    <n v="3"/>
    <x v="3"/>
    <s v="Cao Gangchuan"/>
    <m/>
    <s v="CMC Vice Chairman; Defense Minister"/>
    <n v="10"/>
    <x v="2"/>
    <s v="Delegation of middle ranking officers from Sasakawa China-Japan Foundation"/>
    <x v="0"/>
    <m/>
    <x v="0"/>
    <m/>
    <m/>
    <m/>
    <m/>
    <m/>
    <s v="Defense White Paper Appendix"/>
    <m/>
  </r>
  <r>
    <x v="1"/>
    <x v="0"/>
    <s v="Asia"/>
    <s v="Strategic Partnership [战略伙伴关系]"/>
    <s v="Major Non-NATO Ally"/>
    <s v="CENTCOM"/>
    <x v="2"/>
    <x v="13"/>
    <n v="3"/>
    <x v="4"/>
    <s v="Cao Gangchuan"/>
    <m/>
    <s v="CMC Vice Chairman; Defense Minister"/>
    <n v="10"/>
    <x v="1"/>
    <s v="Defense Minister"/>
    <x v="0"/>
    <m/>
    <x v="0"/>
    <m/>
    <m/>
    <m/>
    <m/>
    <m/>
    <s v="Defense White Paper Appendix"/>
    <m/>
  </r>
  <r>
    <x v="1"/>
    <x v="3"/>
    <s v="Europe and Central Asia"/>
    <s v="Strategic Partnership of Coordination [战略协作伙伴关系]"/>
    <s v="None"/>
    <s v="EUCOM"/>
    <x v="7"/>
    <x v="13"/>
    <n v="3"/>
    <x v="3"/>
    <s v="Liang Guanglie"/>
    <m/>
    <s v="GSD Commander; CMC Member"/>
    <n v="8"/>
    <x v="2"/>
    <s v="First Deputy Chief of Staff Russian Armed Forces"/>
    <x v="0"/>
    <m/>
    <x v="0"/>
    <m/>
    <m/>
    <m/>
    <m/>
    <m/>
    <s v="Defense White Paper Appendix"/>
    <m/>
  </r>
  <r>
    <x v="1"/>
    <x v="1"/>
    <s v="Asia"/>
    <s v="No Specific Relationship"/>
    <s v="Bilateral Defense Treaty"/>
    <s v="INDOPACOM"/>
    <x v="5"/>
    <x v="13"/>
    <n v="3"/>
    <x v="4"/>
    <s v="Cao Gangchuan"/>
    <m/>
    <s v="CMC Vice Chairman; Defense Minister"/>
    <n v="10"/>
    <x v="1"/>
    <m/>
    <x v="0"/>
    <m/>
    <x v="0"/>
    <m/>
    <m/>
    <m/>
    <m/>
    <m/>
    <s v="Defense White Paper Appendix"/>
    <m/>
  </r>
  <r>
    <x v="1"/>
    <x v="7"/>
    <s v="West Asia and Africa"/>
    <s v="No Specific Relationship"/>
    <s v="None"/>
    <s v="AFRICOM"/>
    <x v="86"/>
    <x v="13"/>
    <n v="3"/>
    <x v="3"/>
    <s v="Cao Gangchuan"/>
    <m/>
    <s v="CMC Vice Chairman; Defense Minister"/>
    <n v="10"/>
    <x v="2"/>
    <s v="Commander Defense Forces "/>
    <x v="0"/>
    <m/>
    <x v="0"/>
    <m/>
    <m/>
    <m/>
    <m/>
    <m/>
    <s v="Defense White Paper Appendix"/>
    <m/>
  </r>
  <r>
    <x v="1"/>
    <x v="8"/>
    <s v="Europe and Central Asia"/>
    <s v="No Specific Relationship"/>
    <s v="NATO"/>
    <s v="EUCOM"/>
    <x v="58"/>
    <x v="13"/>
    <n v="4"/>
    <x v="4"/>
    <s v="Li Jinai"/>
    <m/>
    <s v="GPD Deputy Director"/>
    <n v="8"/>
    <x v="1"/>
    <m/>
    <x v="0"/>
    <m/>
    <x v="0"/>
    <m/>
    <m/>
    <m/>
    <m/>
    <m/>
    <s v="Defense White Paper Appendix"/>
    <s v="Updated positions with DWP"/>
  </r>
  <r>
    <x v="1"/>
    <x v="9"/>
    <s v="West Asia and Africa"/>
    <s v="Strategic Cooperative Partnership [战略合作伙伴关系]"/>
    <s v="Major Non-NATO Ally"/>
    <s v="CENTCOM"/>
    <x v="24"/>
    <x v="13"/>
    <n v="4"/>
    <x v="4"/>
    <s v="Liu Dongdong"/>
    <m/>
    <s v="Jinan MR Political Commissar"/>
    <n v="6"/>
    <x v="1"/>
    <m/>
    <x v="0"/>
    <m/>
    <x v="0"/>
    <m/>
    <m/>
    <m/>
    <m/>
    <m/>
    <s v="Defense White Paper Appendix"/>
    <m/>
  </r>
  <r>
    <x v="1"/>
    <x v="8"/>
    <s v="Europe and Central Asia"/>
    <s v="No Specific Relationship"/>
    <s v="None"/>
    <s v="EUCOM"/>
    <x v="81"/>
    <x v="13"/>
    <n v="4"/>
    <x v="3"/>
    <s v="Cao Gangchuan"/>
    <m/>
    <s v="CMC Vice Chairman; Defense Minister"/>
    <n v="10"/>
    <x v="2"/>
    <s v="CinC National Defense Forces"/>
    <x v="0"/>
    <m/>
    <x v="0"/>
    <m/>
    <m/>
    <m/>
    <m/>
    <m/>
    <s v="Defense White Paper Appendix"/>
    <m/>
  </r>
  <r>
    <x v="1"/>
    <x v="9"/>
    <s v="West Asia and Africa"/>
    <s v="No Specific Relationship"/>
    <s v="Major Non-NATO Ally"/>
    <s v="CENTCOM"/>
    <x v="100"/>
    <x v="13"/>
    <n v="4"/>
    <x v="4"/>
    <s v="Pei Huailiang"/>
    <m/>
    <s v="PLA NDU President"/>
    <n v="6"/>
    <x v="1"/>
    <m/>
    <x v="0"/>
    <m/>
    <x v="0"/>
    <m/>
    <m/>
    <m/>
    <m/>
    <m/>
    <s v="Defense White Paper Appendix"/>
    <m/>
  </r>
  <r>
    <x v="1"/>
    <x v="4"/>
    <s v="Asia"/>
    <s v="Partnership of Friendship and Cooperation for Peace and Development [致力于和平发展的友好合作关系]"/>
    <s v="Bilateral Defense Treaty"/>
    <s v="INDOPACOM"/>
    <x v="83"/>
    <x v="13"/>
    <n v="4"/>
    <x v="3"/>
    <s v="Cao Gangchuan"/>
    <m/>
    <s v="CMC Vice Chairman; Defense Minister"/>
    <n v="10"/>
    <x v="2"/>
    <s v="JADSF Chief of Staff"/>
    <x v="0"/>
    <m/>
    <x v="0"/>
    <m/>
    <m/>
    <m/>
    <m/>
    <m/>
    <s v="Defense White Paper Appendix"/>
    <m/>
  </r>
  <r>
    <x v="1"/>
    <x v="9"/>
    <s v="West Asia and Africa"/>
    <s v="No Specific Relationship"/>
    <s v="Major Non-NATO Ally"/>
    <s v="CENTCOM"/>
    <x v="101"/>
    <x v="13"/>
    <n v="4"/>
    <x v="4"/>
    <s v="Pei Huailiang"/>
    <m/>
    <s v="PLA NDU President"/>
    <n v="6"/>
    <x v="1"/>
    <m/>
    <x v="0"/>
    <m/>
    <x v="0"/>
    <m/>
    <m/>
    <m/>
    <m/>
    <m/>
    <s v="Defense White Paper Appendix"/>
    <m/>
  </r>
  <r>
    <x v="1"/>
    <x v="6"/>
    <s v="Europe and Central Asia"/>
    <s v="Comprehensive Cooperative Partnership [全面合作伙伴关系]"/>
    <s v="None"/>
    <s v="CENTCOM"/>
    <x v="30"/>
    <x v="13"/>
    <n v="4"/>
    <x v="3"/>
    <s v="Cao Gangchuan"/>
    <m/>
    <s v="CMC Vice Chairman; Defense Minister"/>
    <n v="10"/>
    <x v="2"/>
    <s v="Defense Minister"/>
    <x v="0"/>
    <m/>
    <x v="0"/>
    <m/>
    <m/>
    <m/>
    <m/>
    <m/>
    <s v="Defense White Paper Appendix"/>
    <m/>
  </r>
  <r>
    <x v="1"/>
    <x v="8"/>
    <s v="Europe and Central Asia"/>
    <s v="No Specific Relationship"/>
    <s v="NATO"/>
    <s v="EUCOM"/>
    <x v="37"/>
    <x v="13"/>
    <n v="4"/>
    <x v="3"/>
    <s v="Cao Gangchuan"/>
    <m/>
    <s v="CMC Vice Chairman; Defense Minister"/>
    <n v="10"/>
    <x v="2"/>
    <s v="Defense Minister"/>
    <x v="0"/>
    <m/>
    <x v="0"/>
    <m/>
    <m/>
    <m/>
    <m/>
    <m/>
    <s v="Defense White Paper Appendix"/>
    <m/>
  </r>
  <r>
    <x v="1"/>
    <x v="1"/>
    <s v="Asia"/>
    <s v="No Specific Relationship"/>
    <s v="Bilateral Defense Treaty"/>
    <s v="INDOPACOM"/>
    <x v="11"/>
    <x v="13"/>
    <n v="4"/>
    <x v="3"/>
    <s v="Liang Guanglie"/>
    <m/>
    <s v="GSD Commander; CMC Member"/>
    <n v="8"/>
    <x v="2"/>
    <s v="Commander, Air Force"/>
    <x v="0"/>
    <m/>
    <x v="0"/>
    <m/>
    <m/>
    <m/>
    <m/>
    <m/>
    <s v="Defense White Paper Appendix"/>
    <m/>
  </r>
  <r>
    <x v="1"/>
    <x v="3"/>
    <s v="Europe and Central Asia"/>
    <s v="Strategic Partnership of Coordination [战略协作伙伴关系]"/>
    <s v="None"/>
    <s v="EUCOM"/>
    <x v="7"/>
    <x v="13"/>
    <n v="4"/>
    <x v="3"/>
    <s v="Cao Gangchuan"/>
    <m/>
    <s v="CMC Vice Chairman; Defense Minister"/>
    <n v="10"/>
    <x v="2"/>
    <s v="Defense Minister"/>
    <x v="0"/>
    <m/>
    <x v="0"/>
    <m/>
    <m/>
    <m/>
    <m/>
    <m/>
    <s v="Defense White Paper Appendix"/>
    <m/>
  </r>
  <r>
    <x v="1"/>
    <x v="4"/>
    <s v="Asia"/>
    <s v="Comprehensive Cooperative Partnership [全面合作伙伴关系]"/>
    <s v="Bilateral Defense Treaty"/>
    <s v="INDOPACOM"/>
    <x v="25"/>
    <x v="13"/>
    <n v="4"/>
    <x v="3"/>
    <s v="Xiong Guangkai"/>
    <m/>
    <s v="GSD DCGS"/>
    <n v="6"/>
    <x v="2"/>
    <s v="ROK NDU President"/>
    <x v="0"/>
    <m/>
    <x v="0"/>
    <m/>
    <m/>
    <m/>
    <m/>
    <m/>
    <s v="Defense White Paper Appendix"/>
    <m/>
  </r>
  <r>
    <x v="1"/>
    <x v="9"/>
    <s v="West Asia and Africa"/>
    <s v="No Specific Relationship"/>
    <s v="None"/>
    <s v="CENTCOM"/>
    <x v="102"/>
    <x v="13"/>
    <n v="4"/>
    <x v="4"/>
    <s v="Liu Dongdong"/>
    <m/>
    <s v="Jinan MR Political Commissar"/>
    <n v="6"/>
    <x v="1"/>
    <m/>
    <x v="0"/>
    <m/>
    <x v="0"/>
    <m/>
    <m/>
    <m/>
    <m/>
    <m/>
    <s v="Defense White Paper Appendix"/>
    <m/>
  </r>
  <r>
    <x v="1"/>
    <x v="8"/>
    <s v="Europe and Central Asia"/>
    <s v="No Specific Relationship"/>
    <s v="None"/>
    <s v="EUCOM"/>
    <x v="26"/>
    <x v="13"/>
    <n v="4"/>
    <x v="4"/>
    <s v="Pei Huailiang"/>
    <m/>
    <s v="PLA NDU President"/>
    <n v="6"/>
    <x v="1"/>
    <m/>
    <x v="0"/>
    <m/>
    <x v="0"/>
    <m/>
    <m/>
    <m/>
    <m/>
    <m/>
    <s v="Defense White Paper Appendix"/>
    <m/>
  </r>
  <r>
    <x v="1"/>
    <x v="10"/>
    <s v="America and Oceania"/>
    <s v="No Specific Relationship"/>
    <s v="None"/>
    <s v="SOUTHCOM"/>
    <x v="103"/>
    <x v="13"/>
    <n v="5"/>
    <x v="3"/>
    <s v="Cao Gangchuan"/>
    <m/>
    <s v="CMC Vice Chairman; Defense Minister"/>
    <n v="10"/>
    <x v="2"/>
    <s v="Chief of Staff National Defense Forces"/>
    <x v="0"/>
    <m/>
    <x v="0"/>
    <m/>
    <m/>
    <m/>
    <m/>
    <m/>
    <s v="Defense White Paper Appendix"/>
    <m/>
  </r>
  <r>
    <x v="1"/>
    <x v="10"/>
    <s v="America and Oceania"/>
    <s v="Comprehensive Strategic Partnership [全面战略伙伴关系]"/>
    <s v="None"/>
    <s v="SOUTHCOM"/>
    <x v="43"/>
    <x v="13"/>
    <n v="5"/>
    <x v="3"/>
    <s v="Cao Gangchuan"/>
    <m/>
    <s v="CMC Vice Chairman; Defense Minister"/>
    <n v="10"/>
    <x v="2"/>
    <s v="Air Force Commander "/>
    <x v="0"/>
    <m/>
    <x v="0"/>
    <m/>
    <m/>
    <m/>
    <m/>
    <m/>
    <s v="Defense White Paper Appendix"/>
    <m/>
  </r>
  <r>
    <x v="1"/>
    <x v="1"/>
    <s v="Asia"/>
    <s v="No Specific Relationship"/>
    <s v="None"/>
    <s v="INDOPACOM"/>
    <x v="94"/>
    <x v="13"/>
    <n v="5"/>
    <x v="3"/>
    <s v="Cao Gangchuan"/>
    <m/>
    <s v="CMC Vice Chairman; Defense Minister"/>
    <n v="10"/>
    <x v="2"/>
    <s v="Director General of General Logistics and Finance"/>
    <x v="0"/>
    <m/>
    <x v="0"/>
    <m/>
    <m/>
    <m/>
    <m/>
    <m/>
    <s v="Defense White Paper Appendix"/>
    <m/>
  </r>
  <r>
    <x v="1"/>
    <x v="2"/>
    <s v="America and Oceania"/>
    <s v="Comprehensive Partnership [全面伙伴关系]"/>
    <s v="NATO"/>
    <s v="NORTHCOM"/>
    <x v="17"/>
    <x v="13"/>
    <n v="5"/>
    <x v="4"/>
    <s v="Wen Zongren"/>
    <m/>
    <s v="AMS Political Commissar"/>
    <n v="6"/>
    <x v="1"/>
    <m/>
    <x v="0"/>
    <m/>
    <x v="0"/>
    <m/>
    <m/>
    <m/>
    <m/>
    <m/>
    <s v="Defense White Paper Appendix"/>
    <m/>
  </r>
  <r>
    <x v="1"/>
    <x v="10"/>
    <s v="America and Oceania"/>
    <s v="Comprehensive Partnership [全面伙伴关系]"/>
    <s v="None"/>
    <s v="SOUTHCOM"/>
    <x v="66"/>
    <x v="13"/>
    <n v="5"/>
    <x v="3"/>
    <s v="Cao Gangchuan"/>
    <m/>
    <s v="CMC Vice Chairman; Defense Minister"/>
    <n v="10"/>
    <x v="2"/>
    <s v="Defense Minister"/>
    <x v="0"/>
    <m/>
    <x v="0"/>
    <m/>
    <m/>
    <m/>
    <m/>
    <m/>
    <s v="Defense White Paper Appendix"/>
    <m/>
  </r>
  <r>
    <x v="1"/>
    <x v="10"/>
    <s v="America and Oceania"/>
    <s v="No Specific Relationship"/>
    <s v="None"/>
    <s v="SOUTHCOM"/>
    <x v="49"/>
    <x v="13"/>
    <n v="5"/>
    <x v="4"/>
    <s v="Chi Wanchun"/>
    <m/>
    <s v="GAD Political Commissar"/>
    <n v="6"/>
    <x v="1"/>
    <m/>
    <x v="0"/>
    <m/>
    <x v="0"/>
    <m/>
    <m/>
    <m/>
    <m/>
    <m/>
    <s v="Defense White Paper Appendix"/>
    <m/>
  </r>
  <r>
    <x v="1"/>
    <x v="8"/>
    <s v="Europe and Central Asia"/>
    <s v="Comprehensive Partnership [全面伙伴关系]"/>
    <s v="NATO"/>
    <s v="EUCOM"/>
    <x v="22"/>
    <x v="13"/>
    <n v="5"/>
    <x v="4"/>
    <s v="Liang Guanglie"/>
    <m/>
    <s v="GSD Commander; CMC Member"/>
    <n v="8"/>
    <x v="1"/>
    <m/>
    <x v="0"/>
    <m/>
    <x v="0"/>
    <m/>
    <m/>
    <m/>
    <m/>
    <m/>
    <s v="Defense White Paper Appendix"/>
    <m/>
  </r>
  <r>
    <x v="1"/>
    <x v="8"/>
    <s v="Europe and Central Asia"/>
    <s v="No Specific Relationship"/>
    <s v="NATO"/>
    <s v="EUCOM"/>
    <x v="29"/>
    <x v="13"/>
    <n v="5"/>
    <x v="3"/>
    <s v="Cao Gangchuan"/>
    <m/>
    <s v="CMC Vice Chairman; Defense Minister"/>
    <n v="10"/>
    <x v="2"/>
    <s v="Chief of Staff, Air Force"/>
    <x v="0"/>
    <m/>
    <x v="0"/>
    <m/>
    <m/>
    <m/>
    <m/>
    <m/>
    <s v="Defense White Paper Appendix"/>
    <m/>
  </r>
  <r>
    <x v="0"/>
    <x v="4"/>
    <s v="Asia"/>
    <s v="N/A"/>
    <s v="None"/>
    <s v="INDOPACOM"/>
    <x v="19"/>
    <x v="13"/>
    <n v="5"/>
    <x v="0"/>
    <m/>
    <m/>
    <m/>
    <m/>
    <x v="0"/>
    <m/>
    <x v="0"/>
    <m/>
    <x v="0"/>
    <m/>
    <s v="NETF"/>
    <s v="2004-05 Unknown "/>
    <s v="Unknown"/>
    <s v="8 vessels"/>
    <m/>
    <m/>
  </r>
  <r>
    <x v="1"/>
    <x v="8"/>
    <s v="Europe and Central Asia"/>
    <s v="No Specific Relationship"/>
    <s v="NATO"/>
    <s v="EUCOM"/>
    <x v="82"/>
    <x v="13"/>
    <n v="5"/>
    <x v="3"/>
    <s v="Cao Gangchuan"/>
    <m/>
    <s v="CMC Vice Chairman; Defense Minister"/>
    <n v="10"/>
    <x v="2"/>
    <s v="State Affairs Secretary"/>
    <x v="0"/>
    <m/>
    <x v="0"/>
    <m/>
    <m/>
    <m/>
    <m/>
    <m/>
    <s v="Defense White Paper Appendix"/>
    <m/>
  </r>
  <r>
    <x v="1"/>
    <x v="4"/>
    <s v="Asia"/>
    <s v="Partnership of Friendship and Cooperation for Peace and Development [致力于和平发展的友好合作关系]"/>
    <s v="Bilateral Defense Treaty"/>
    <s v="INDOPACOM"/>
    <x v="83"/>
    <x v="13"/>
    <n v="5"/>
    <x v="3"/>
    <s v="Cao Gangchuan"/>
    <m/>
    <s v="CMC Vice Chairman; Defense Minister"/>
    <n v="10"/>
    <x v="2"/>
    <s v="former Chairman JCS"/>
    <x v="0"/>
    <m/>
    <x v="0"/>
    <m/>
    <m/>
    <m/>
    <m/>
    <m/>
    <s v="Defense White Paper Appendix"/>
    <m/>
  </r>
  <r>
    <x v="1"/>
    <x v="1"/>
    <s v="Asia"/>
    <s v="No Specific Relationship"/>
    <s v="None"/>
    <s v="INDOPACOM"/>
    <x v="52"/>
    <x v="13"/>
    <n v="5"/>
    <x v="3"/>
    <s v="Cao Gangchuan"/>
    <m/>
    <s v="CMC Vice Chairman; Defense Minister"/>
    <n v="10"/>
    <x v="2"/>
    <s v="Chief, GPD "/>
    <x v="0"/>
    <m/>
    <x v="0"/>
    <m/>
    <m/>
    <m/>
    <m/>
    <m/>
    <s v="Defense White Paper Appendix"/>
    <m/>
  </r>
  <r>
    <x v="1"/>
    <x v="7"/>
    <s v="West Asia and Africa"/>
    <s v="No Specific Relationship"/>
    <s v="None"/>
    <s v="AFRICOM"/>
    <x v="69"/>
    <x v="13"/>
    <n v="5"/>
    <x v="3"/>
    <s v="Cao Gangchuan"/>
    <m/>
    <s v="CMC Vice Chairman; Defense Minister"/>
    <n v="10"/>
    <x v="2"/>
    <s v="Defense Minister"/>
    <x v="0"/>
    <m/>
    <x v="0"/>
    <m/>
    <m/>
    <m/>
    <m/>
    <m/>
    <s v="Defense White Paper Appendix"/>
    <m/>
  </r>
  <r>
    <x v="1"/>
    <x v="7"/>
    <s v="West Asia and Africa"/>
    <s v="No Specific Relationship"/>
    <s v="None"/>
    <s v="AFRICOM"/>
    <x v="69"/>
    <x v="13"/>
    <n v="5"/>
    <x v="4"/>
    <s v="Xiong Guangkai"/>
    <m/>
    <s v="GSD DCGS"/>
    <n v="6"/>
    <x v="1"/>
    <m/>
    <x v="0"/>
    <m/>
    <x v="0"/>
    <m/>
    <m/>
    <m/>
    <m/>
    <m/>
    <s v="Defense White Paper Appendix"/>
    <m/>
  </r>
  <r>
    <x v="1"/>
    <x v="7"/>
    <s v="West Asia and Africa"/>
    <s v="No Specific Relationship"/>
    <s v="None"/>
    <s v="AFRICOM"/>
    <x v="104"/>
    <x v="13"/>
    <n v="5"/>
    <x v="3"/>
    <s v="Cao Gangchuan"/>
    <m/>
    <s v="CMC Vice Chairman; Defense Minister"/>
    <n v="10"/>
    <x v="2"/>
    <s v="COGS"/>
    <x v="0"/>
    <m/>
    <x v="0"/>
    <m/>
    <m/>
    <m/>
    <m/>
    <m/>
    <s v="Defense White Paper Appendix"/>
    <m/>
  </r>
  <r>
    <x v="1"/>
    <x v="7"/>
    <s v="West Asia and Africa"/>
    <s v="No Specific Relationship"/>
    <s v="None"/>
    <s v="AFRICOM"/>
    <x v="36"/>
    <x v="13"/>
    <n v="5"/>
    <x v="3"/>
    <s v="Cao Gangchuan"/>
    <m/>
    <s v="CMC Vice Chairman; Defense Minister"/>
    <n v="10"/>
    <x v="2"/>
    <s v="Defense Minister"/>
    <x v="0"/>
    <m/>
    <x v="0"/>
    <m/>
    <m/>
    <m/>
    <m/>
    <m/>
    <s v="Defense White Paper Appendix"/>
    <m/>
  </r>
  <r>
    <x v="1"/>
    <x v="4"/>
    <s v="Asia"/>
    <s v="Bilateral Defense Treaty"/>
    <s v="None"/>
    <s v="INDOPACOM"/>
    <x v="9"/>
    <x v="13"/>
    <n v="5"/>
    <x v="3"/>
    <s v="Cao Gangchuan"/>
    <m/>
    <s v="CMC Vice Chairman; Defense Minister"/>
    <n v="10"/>
    <x v="2"/>
    <s v="Defense Minister"/>
    <x v="0"/>
    <m/>
    <x v="0"/>
    <m/>
    <m/>
    <m/>
    <m/>
    <m/>
    <s v="Defense White Paper Appendix"/>
    <m/>
  </r>
  <r>
    <x v="1"/>
    <x v="0"/>
    <s v="Asia"/>
    <s v="Strategic Partnership [战略伙伴关系]"/>
    <s v="Major Non-NATO Ally"/>
    <s v="CENTCOM"/>
    <x v="2"/>
    <x v="13"/>
    <n v="5"/>
    <x v="3"/>
    <s v="Cao Gangchuan"/>
    <m/>
    <s v="CMC Vice Chairman; Defense Minister"/>
    <n v="10"/>
    <x v="2"/>
    <s v="Chief of Naval Staff, Pakistan"/>
    <x v="0"/>
    <m/>
    <x v="0"/>
    <m/>
    <m/>
    <m/>
    <m/>
    <m/>
    <s v="Defense White Paper Appendix"/>
    <m/>
  </r>
  <r>
    <x v="1"/>
    <x v="0"/>
    <s v="Asia"/>
    <s v="Strategic Partnership [战略伙伴关系]"/>
    <s v="Major Non-NATO Ally"/>
    <s v="CENTCOM"/>
    <x v="2"/>
    <x v="13"/>
    <n v="5"/>
    <x v="3"/>
    <s v="Cao Gangchuan"/>
    <m/>
    <s v="CMC Vice Chairman; Defense Minister"/>
    <n v="10"/>
    <x v="2"/>
    <s v="Commandant Pakistan National Defense College"/>
    <x v="0"/>
    <m/>
    <x v="0"/>
    <m/>
    <m/>
    <m/>
    <m/>
    <m/>
    <s v="Defense White Paper Appendix"/>
    <m/>
  </r>
  <r>
    <x v="1"/>
    <x v="8"/>
    <s v="Europe and Central Asia"/>
    <s v="No Specific Relationship"/>
    <s v="NATO"/>
    <s v="EUCOM"/>
    <x v="59"/>
    <x v="13"/>
    <n v="5"/>
    <x v="4"/>
    <s v="Li Jinai"/>
    <m/>
    <s v="GPD Deputy Director"/>
    <n v="8"/>
    <x v="1"/>
    <m/>
    <x v="0"/>
    <m/>
    <x v="0"/>
    <m/>
    <m/>
    <m/>
    <m/>
    <m/>
    <s v="Defense White Paper Appendix"/>
    <s v="Updated positions with DWP"/>
  </r>
  <r>
    <x v="1"/>
    <x v="8"/>
    <s v="Europe and Central Asia"/>
    <s v="Comprehensive Friendly Cooperative Partnership [全面友好合作伙伴关系]"/>
    <s v="NATO"/>
    <s v="EUCOM"/>
    <x v="33"/>
    <x v="13"/>
    <n v="5"/>
    <x v="4"/>
    <s v="Liang Guanglie"/>
    <m/>
    <s v="GSD Commander; CMC Member"/>
    <n v="8"/>
    <x v="1"/>
    <m/>
    <x v="0"/>
    <m/>
    <x v="0"/>
    <m/>
    <m/>
    <m/>
    <m/>
    <m/>
    <s v="Defense White Paper Appendix"/>
    <m/>
  </r>
  <r>
    <x v="1"/>
    <x v="3"/>
    <s v="Europe and Central Asia"/>
    <s v="Strategic Partnership of Coordination [战略协作伙伴关系]"/>
    <s v="None"/>
    <s v="EUCOM"/>
    <x v="7"/>
    <x v="13"/>
    <n v="5"/>
    <x v="4"/>
    <s v="Liang Guanglie"/>
    <m/>
    <s v="GSD Commander; CMC Member"/>
    <n v="8"/>
    <x v="1"/>
    <m/>
    <x v="0"/>
    <m/>
    <x v="0"/>
    <m/>
    <m/>
    <m/>
    <m/>
    <m/>
    <s v="Defense White Paper Appendix"/>
    <m/>
  </r>
  <r>
    <x v="1"/>
    <x v="8"/>
    <s v="Europe and Central Asia"/>
    <s v="No Specific Relationship"/>
    <s v="NATO"/>
    <s v="EUCOM"/>
    <x v="40"/>
    <x v="13"/>
    <n v="5"/>
    <x v="4"/>
    <s v="Li Jinai"/>
    <m/>
    <s v="GPD Deputy Director"/>
    <n v="8"/>
    <x v="1"/>
    <m/>
    <x v="0"/>
    <m/>
    <x v="0"/>
    <m/>
    <m/>
    <m/>
    <m/>
    <m/>
    <s v="Defense White Paper Appendix"/>
    <s v="Updated positions with DWP"/>
  </r>
  <r>
    <x v="1"/>
    <x v="7"/>
    <s v="West Asia and Africa"/>
    <s v="No Specific Relationship"/>
    <s v="None"/>
    <s v="AFRICOM"/>
    <x v="16"/>
    <x v="13"/>
    <n v="5"/>
    <x v="4"/>
    <s v="Xiong Guangkai"/>
    <m/>
    <s v="GSD DCGS"/>
    <n v="6"/>
    <x v="1"/>
    <m/>
    <x v="0"/>
    <m/>
    <x v="0"/>
    <m/>
    <m/>
    <m/>
    <m/>
    <m/>
    <s v="Defense White Paper Appendix"/>
    <m/>
  </r>
  <r>
    <x v="1"/>
    <x v="8"/>
    <s v="Europe and Central Asia"/>
    <s v="Comprehensive Strategic Partnership [全面战略伙伴关系]"/>
    <s v="NATO"/>
    <s v="EUCOM"/>
    <x v="21"/>
    <x v="13"/>
    <n v="5"/>
    <x v="4"/>
    <s v="Liang Guanglie"/>
    <m/>
    <s v="GSD Commander; CMC Member"/>
    <n v="8"/>
    <x v="1"/>
    <m/>
    <x v="0"/>
    <m/>
    <x v="0"/>
    <m/>
    <m/>
    <m/>
    <m/>
    <m/>
    <s v="Defense White Paper Appendix"/>
    <m/>
  </r>
  <r>
    <x v="1"/>
    <x v="0"/>
    <s v="Asia"/>
    <s v="Good-Neighborly Partnership [世代友好的睦邻伙伴关系]"/>
    <s v="None"/>
    <s v="INDOPACOM"/>
    <x v="32"/>
    <x v="13"/>
    <n v="6"/>
    <x v="3"/>
    <s v="Liang Guanglie"/>
    <m/>
    <s v="GSD Commander; CMC Member"/>
    <n v="8"/>
    <x v="2"/>
    <s v="Army Chief of Staff"/>
    <x v="0"/>
    <m/>
    <x v="0"/>
    <m/>
    <m/>
    <m/>
    <m/>
    <m/>
    <s v="Defense White Paper Appendix"/>
    <s v="Recoded as South Asia"/>
  </r>
  <r>
    <x v="1"/>
    <x v="4"/>
    <s v="Asia"/>
    <s v="Bilateral Defense Treaty"/>
    <s v="None"/>
    <s v="INDOPACOM"/>
    <x v="9"/>
    <x v="13"/>
    <n v="6"/>
    <x v="4"/>
    <s v="Li Yu"/>
    <m/>
    <s v="GSD Assistant Commander"/>
    <n v="5"/>
    <x v="1"/>
    <m/>
    <x v="0"/>
    <m/>
    <x v="0"/>
    <m/>
    <m/>
    <m/>
    <m/>
    <m/>
    <s v="Defense White Paper Appendix"/>
    <m/>
  </r>
  <r>
    <x v="1"/>
    <x v="8"/>
    <s v="Europe and Central Asia"/>
    <s v="Comprehensive Friendly Cooperative Partnership [全面友好合作伙伴关系]"/>
    <s v="NATO"/>
    <s v="EUCOM"/>
    <x v="33"/>
    <x v="13"/>
    <n v="6"/>
    <x v="3"/>
    <s v="Liang Guanglie"/>
    <m/>
    <s v="GSD Commander; CMC Member"/>
    <n v="8"/>
    <x v="2"/>
    <s v="State Affairs Secretary and concurrent Chief of General Ordnance Department"/>
    <x v="0"/>
    <m/>
    <x v="0"/>
    <m/>
    <m/>
    <m/>
    <m/>
    <m/>
    <s v="Defense White Paper Appendix"/>
    <m/>
  </r>
  <r>
    <x v="2"/>
    <x v="8"/>
    <s v="Europe and Central Asia"/>
    <s v="Comprehensive Strategic Partnership [全面战略伙伴关系]"/>
    <s v="NATO"/>
    <s v="EUCOM"/>
    <x v="21"/>
    <x v="13"/>
    <n v="6"/>
    <x v="5"/>
    <m/>
    <m/>
    <m/>
    <m/>
    <x v="0"/>
    <m/>
    <x v="2"/>
    <s v="Unknown"/>
    <x v="2"/>
    <s v="SAREX"/>
    <m/>
    <m/>
    <m/>
    <m/>
    <s v="Defense White Paper Appendix"/>
    <m/>
  </r>
  <r>
    <x v="1"/>
    <x v="10"/>
    <s v="America and Oceania"/>
    <s v="No Specific Relationship"/>
    <s v="None"/>
    <s v="SOUTHCOM"/>
    <x v="49"/>
    <x v="13"/>
    <n v="7"/>
    <x v="4"/>
    <s v="Zhang Wentai"/>
    <m/>
    <s v="GLD Political Commissar"/>
    <n v="6"/>
    <x v="1"/>
    <m/>
    <x v="0"/>
    <m/>
    <x v="0"/>
    <m/>
    <m/>
    <m/>
    <m/>
    <m/>
    <s v="Defense White Paper Appendix"/>
    <m/>
  </r>
  <r>
    <x v="1"/>
    <x v="9"/>
    <s v="West Asia and Africa"/>
    <s v="Strategic Cooperative Partnership [战略合作伙伴关系]"/>
    <s v="Major Non-NATO Ally"/>
    <s v="CENTCOM"/>
    <x v="24"/>
    <x v="13"/>
    <n v="7"/>
    <x v="4"/>
    <s v="Guo Boxiong"/>
    <m/>
    <s v="CMC Vice Chairman"/>
    <n v="10"/>
    <x v="1"/>
    <s v="Defense Minister"/>
    <x v="0"/>
    <m/>
    <x v="0"/>
    <m/>
    <m/>
    <m/>
    <m/>
    <m/>
    <s v="Defense White Paper Appendix"/>
    <m/>
  </r>
  <r>
    <x v="1"/>
    <x v="8"/>
    <s v="Europe and Central Asia"/>
    <s v="No Specific Relationship"/>
    <s v="NATO"/>
    <s v="EUCOM"/>
    <x v="18"/>
    <x v="13"/>
    <n v="7"/>
    <x v="3"/>
    <s v="Liang Guanglie"/>
    <m/>
    <s v="GSD Commander; CMC Member"/>
    <n v="8"/>
    <x v="2"/>
    <s v="Deputy General Inspector Armed Forces"/>
    <x v="0"/>
    <m/>
    <x v="0"/>
    <m/>
    <m/>
    <m/>
    <m/>
    <m/>
    <s v="Defense White Paper Appendix"/>
    <m/>
  </r>
  <r>
    <x v="1"/>
    <x v="8"/>
    <s v="Europe and Central Asia"/>
    <s v="No Specific Relationship"/>
    <s v="NATO"/>
    <s v="EUCOM"/>
    <x v="37"/>
    <x v="13"/>
    <n v="7"/>
    <x v="4"/>
    <s v="Xiong Guangkai"/>
    <m/>
    <s v="GSD DCGS"/>
    <n v="6"/>
    <x v="1"/>
    <m/>
    <x v="0"/>
    <m/>
    <x v="0"/>
    <m/>
    <m/>
    <m/>
    <m/>
    <m/>
    <s v="Defense White Paper Appendix"/>
    <m/>
  </r>
  <r>
    <x v="1"/>
    <x v="8"/>
    <s v="Europe and Central Asia"/>
    <s v="No Specific Relationship"/>
    <s v="NATO"/>
    <s v="EUCOM"/>
    <x v="59"/>
    <x v="13"/>
    <n v="7"/>
    <x v="4"/>
    <s v="Zhao Keming"/>
    <m/>
    <s v="PLA NDU Political Commissar"/>
    <n v="6"/>
    <x v="1"/>
    <m/>
    <x v="0"/>
    <m/>
    <x v="0"/>
    <m/>
    <m/>
    <m/>
    <m/>
    <m/>
    <s v="Defense White Paper Appendix"/>
    <m/>
  </r>
  <r>
    <x v="1"/>
    <x v="3"/>
    <s v="Europe and Central Asia"/>
    <s v="Strategic Partnership of Coordination [战略协作伙伴关系]"/>
    <s v="None"/>
    <s v="EUCOM"/>
    <x v="7"/>
    <x v="13"/>
    <n v="7"/>
    <x v="4"/>
    <s v="Guo Boxiong"/>
    <m/>
    <s v="CMC Vice Chairman"/>
    <n v="10"/>
    <x v="1"/>
    <s v="Defense Minister"/>
    <x v="0"/>
    <m/>
    <x v="0"/>
    <m/>
    <m/>
    <m/>
    <m/>
    <m/>
    <s v="Defense White Paper Appendix"/>
    <m/>
  </r>
  <r>
    <x v="1"/>
    <x v="6"/>
    <s v="Europe and Central Asia"/>
    <s v="Member"/>
    <s v="None"/>
    <s v="CENTCOM"/>
    <x v="14"/>
    <x v="13"/>
    <n v="7"/>
    <x v="2"/>
    <s v="Xiong Guangkai"/>
    <m/>
    <s v="GSD DCGS"/>
    <n v="8"/>
    <x v="2"/>
    <s v="first defense security seminar of the Shanghai Cooperation Organization"/>
    <x v="0"/>
    <m/>
    <x v="0"/>
    <m/>
    <m/>
    <m/>
    <m/>
    <m/>
    <s v="https://dlib.eastview.com/browse/doc/14666368"/>
    <m/>
  </r>
  <r>
    <x v="1"/>
    <x v="7"/>
    <s v="West Asia and Africa"/>
    <s v="Strategic Partnership [战略伙伴关系]"/>
    <s v="None"/>
    <s v="AFRICOM"/>
    <x v="15"/>
    <x v="13"/>
    <n v="7"/>
    <x v="4"/>
    <s v="Guo Boxiong"/>
    <m/>
    <s v="CMC Vice Chairman"/>
    <n v="10"/>
    <x v="1"/>
    <m/>
    <x v="0"/>
    <m/>
    <x v="0"/>
    <m/>
    <m/>
    <m/>
    <m/>
    <m/>
    <s v="Defense White Paper Appendix"/>
    <m/>
  </r>
  <r>
    <x v="1"/>
    <x v="2"/>
    <s v="America and Oceania"/>
    <s v="No Specific Relationship"/>
    <s v="N/A"/>
    <s v="NORTHCOM"/>
    <x v="4"/>
    <x v="13"/>
    <n v="7"/>
    <x v="3"/>
    <s v="Liang Guanglie"/>
    <m/>
    <s v="GSD Commander; CMC Member"/>
    <n v="8"/>
    <x v="2"/>
    <s v="PACOM Commander"/>
    <x v="0"/>
    <m/>
    <x v="0"/>
    <m/>
    <m/>
    <m/>
    <m/>
    <m/>
    <s v="Defense White Paper Appendix"/>
    <m/>
  </r>
  <r>
    <x v="1"/>
    <x v="7"/>
    <s v="West Asia and Africa"/>
    <s v="No Specific Relationship"/>
    <s v="None"/>
    <s v="AFRICOM"/>
    <x v="105"/>
    <x v="13"/>
    <n v="8"/>
    <x v="4"/>
    <s v="Li Qianyuan"/>
    <m/>
    <s v="Lanzhou MR Commander"/>
    <n v="6"/>
    <x v="1"/>
    <m/>
    <x v="0"/>
    <m/>
    <x v="0"/>
    <m/>
    <m/>
    <m/>
    <m/>
    <m/>
    <s v="Defense White Paper Appendix"/>
    <m/>
  </r>
  <r>
    <x v="1"/>
    <x v="5"/>
    <s v="America and Oceania"/>
    <s v="No Specific Relationship"/>
    <s v="ANZUS Treaty"/>
    <s v="INDOPACOM"/>
    <x v="12"/>
    <x v="13"/>
    <n v="8"/>
    <x v="3"/>
    <s v="Liang Guanglie"/>
    <m/>
    <s v="GSD Commander; CMC Member"/>
    <n v="8"/>
    <x v="2"/>
    <s v="Commander National Defense Forces"/>
    <x v="0"/>
    <m/>
    <x v="0"/>
    <m/>
    <m/>
    <m/>
    <m/>
    <m/>
    <s v="Defense White Paper Appendix"/>
    <m/>
  </r>
  <r>
    <x v="1"/>
    <x v="10"/>
    <s v="America and Oceania"/>
    <s v="Comprehensive Partnership [全面伙伴关系]"/>
    <s v="None"/>
    <s v="SOUTHCOM"/>
    <x v="66"/>
    <x v="13"/>
    <n v="8"/>
    <x v="4"/>
    <s v="Fan Changlong"/>
    <m/>
    <s v="Jinan MR Commander"/>
    <n v="6"/>
    <x v="1"/>
    <m/>
    <x v="0"/>
    <m/>
    <x v="0"/>
    <m/>
    <m/>
    <m/>
    <m/>
    <m/>
    <s v="Defense White Paper Appendix"/>
    <m/>
  </r>
  <r>
    <x v="1"/>
    <x v="10"/>
    <s v="America and Oceania"/>
    <s v="No Specific Relationship"/>
    <s v="None"/>
    <s v="SOUTHCOM"/>
    <x v="49"/>
    <x v="13"/>
    <n v="8"/>
    <x v="4"/>
    <s v="Li Yu"/>
    <m/>
    <s v="GSD Assistant Commander"/>
    <n v="5"/>
    <x v="1"/>
    <m/>
    <x v="0"/>
    <m/>
    <x v="0"/>
    <m/>
    <m/>
    <m/>
    <m/>
    <m/>
    <s v="Defense White Paper Appendix"/>
    <m/>
  </r>
  <r>
    <x v="1"/>
    <x v="2"/>
    <s v="America and Oceania"/>
    <s v="Strategic Cooperative Partnership [战略合作伙伴关系]"/>
    <s v="None"/>
    <s v="NORTHCOM"/>
    <x v="77"/>
    <x v="13"/>
    <n v="8"/>
    <x v="4"/>
    <s v="Li Yu"/>
    <m/>
    <s v="GSD Assistant Commander"/>
    <n v="5"/>
    <x v="1"/>
    <m/>
    <x v="0"/>
    <m/>
    <x v="0"/>
    <m/>
    <m/>
    <m/>
    <m/>
    <m/>
    <s v="Defense White Paper Appendix"/>
    <m/>
  </r>
  <r>
    <x v="2"/>
    <x v="0"/>
    <s v="Asia"/>
    <s v="Strategic Partnership [战略伙伴关系]"/>
    <s v="Major Non-NATO Ally"/>
    <s v="CENTCOM"/>
    <x v="2"/>
    <x v="13"/>
    <n v="8"/>
    <x v="5"/>
    <m/>
    <m/>
    <m/>
    <m/>
    <x v="0"/>
    <m/>
    <x v="1"/>
    <s v="Unknown"/>
    <x v="1"/>
    <s v="Anti-terrorism"/>
    <m/>
    <m/>
    <m/>
    <m/>
    <s v="Defense White Paper Appendix"/>
    <m/>
  </r>
  <r>
    <x v="1"/>
    <x v="7"/>
    <s v="West Asia and Africa"/>
    <s v="No Specific Relationship"/>
    <s v="None"/>
    <s v="AFRICOM"/>
    <x v="16"/>
    <x v="13"/>
    <n v="8"/>
    <x v="4"/>
    <s v="Deng Changyou"/>
    <m/>
    <s v="PLAAF Political Commissar"/>
    <n v="6"/>
    <x v="1"/>
    <m/>
    <x v="0"/>
    <m/>
    <x v="0"/>
    <m/>
    <m/>
    <m/>
    <m/>
    <m/>
    <s v="Defense White Paper Appendix"/>
    <m/>
  </r>
  <r>
    <x v="1"/>
    <x v="10"/>
    <s v="America and Oceania"/>
    <s v="No Specific Relationship"/>
    <s v="None"/>
    <s v="SOUTHCOM"/>
    <x v="75"/>
    <x v="13"/>
    <n v="8"/>
    <x v="4"/>
    <s v="Li Yu"/>
    <m/>
    <s v="GSD Assistant Commander"/>
    <n v="5"/>
    <x v="1"/>
    <m/>
    <x v="0"/>
    <m/>
    <x v="0"/>
    <m/>
    <m/>
    <m/>
    <m/>
    <m/>
    <s v="Defense White Paper Appendix"/>
    <m/>
  </r>
  <r>
    <x v="1"/>
    <x v="9"/>
    <s v="West Asia and Africa"/>
    <s v="No Specific Relationship"/>
    <s v="None"/>
    <s v="CENTCOM"/>
    <x v="106"/>
    <x v="13"/>
    <n v="8"/>
    <x v="3"/>
    <s v="Liang Guanglie"/>
    <m/>
    <s v="GSD Commander; CMC Member"/>
    <n v="8"/>
    <x v="2"/>
    <s v="Army Commander"/>
    <x v="0"/>
    <m/>
    <x v="0"/>
    <m/>
    <m/>
    <m/>
    <m/>
    <m/>
    <s v="https://dlib-eastview-com.ezproxy.princeton.edu/search/simple/doc?pager.offset=0&amp;id=14666421&amp;hl=%E9%98%BF%E8%81%94https://dlib.eastview.com/browse/doc/14666421"/>
    <m/>
  </r>
  <r>
    <x v="1"/>
    <x v="10"/>
    <s v="America and Oceania"/>
    <s v="No Specific Relationship"/>
    <s v="None"/>
    <s v="SOUTHCOM"/>
    <x v="107"/>
    <x v="13"/>
    <n v="8"/>
    <x v="4"/>
    <s v="Fan Changlong"/>
    <m/>
    <s v="Jinan MR Commander"/>
    <n v="6"/>
    <x v="1"/>
    <m/>
    <x v="0"/>
    <m/>
    <x v="0"/>
    <m/>
    <m/>
    <m/>
    <m/>
    <m/>
    <s v="Defense White Paper Appendix"/>
    <m/>
  </r>
  <r>
    <x v="1"/>
    <x v="7"/>
    <s v="West Asia and Africa"/>
    <s v="No Specific Relationship"/>
    <s v="None"/>
    <s v="AFRICOM"/>
    <x v="61"/>
    <x v="13"/>
    <n v="8"/>
    <x v="4"/>
    <s v="Li Qianyuan"/>
    <m/>
    <s v="Lanzhou MR Commander"/>
    <n v="6"/>
    <x v="1"/>
    <m/>
    <x v="0"/>
    <m/>
    <x v="0"/>
    <m/>
    <m/>
    <m/>
    <m/>
    <m/>
    <s v="Defense White Paper Appendix"/>
    <m/>
  </r>
  <r>
    <x v="1"/>
    <x v="8"/>
    <s v="Europe and Central Asia"/>
    <s v="No Specific Relationship"/>
    <s v="NATO"/>
    <s v="EUCOM"/>
    <x v="108"/>
    <x v="13"/>
    <n v="9"/>
    <x v="3"/>
    <s v="Liang Guanglie"/>
    <m/>
    <s v="GSD Commander; CMC Member"/>
    <n v="8"/>
    <x v="2"/>
    <s v="COGS Austrian Army"/>
    <x v="0"/>
    <m/>
    <x v="0"/>
    <m/>
    <m/>
    <m/>
    <m/>
    <m/>
    <s v="Defense White Paper Appendix"/>
    <m/>
  </r>
  <r>
    <x v="1"/>
    <x v="0"/>
    <s v="Asia"/>
    <s v="No Specific Relationship"/>
    <s v="None"/>
    <s v="INDOPACOM"/>
    <x v="0"/>
    <x v="13"/>
    <n v="9"/>
    <x v="3"/>
    <s v="Xiong Guangkai"/>
    <m/>
    <s v="GSD Commander; CMC Member"/>
    <n v="8"/>
    <x v="2"/>
    <s v="Army Chief of Staff"/>
    <x v="0"/>
    <m/>
    <x v="0"/>
    <m/>
    <m/>
    <m/>
    <m/>
    <m/>
    <s v="Defense White Paper Appendix"/>
    <m/>
  </r>
  <r>
    <x v="1"/>
    <x v="1"/>
    <s v="Asia"/>
    <s v="No Specific Relationship"/>
    <s v="None"/>
    <s v="INDOPACOM"/>
    <x v="44"/>
    <x v="13"/>
    <n v="9"/>
    <x v="3"/>
    <s v="Cao Gangchuan"/>
    <m/>
    <s v="CMC Vice Chairman; Defense Minister"/>
    <n v="10"/>
    <x v="2"/>
    <s v="Commander, Armed Forces"/>
    <x v="0"/>
    <m/>
    <x v="0"/>
    <m/>
    <m/>
    <m/>
    <m/>
    <m/>
    <s v="Defense White Paper Appendix"/>
    <m/>
  </r>
  <r>
    <x v="1"/>
    <x v="8"/>
    <s v="Europe and Central Asia"/>
    <s v="No Specific Relationship"/>
    <s v="NATO"/>
    <s v="EUCOM"/>
    <x v="35"/>
    <x v="13"/>
    <n v="9"/>
    <x v="4"/>
    <s v="Lei Mingqiu"/>
    <m/>
    <s v="Nanjing MR Political Commissar"/>
    <n v="6"/>
    <x v="1"/>
    <m/>
    <x v="0"/>
    <m/>
    <x v="0"/>
    <m/>
    <m/>
    <m/>
    <m/>
    <m/>
    <s v="Defense White Paper Appendix"/>
    <m/>
  </r>
  <r>
    <x v="1"/>
    <x v="10"/>
    <s v="America and Oceania"/>
    <s v="No Specific Relationship"/>
    <s v="None"/>
    <s v="SOUTHCOM"/>
    <x v="49"/>
    <x v="13"/>
    <n v="9"/>
    <x v="3"/>
    <s v="Cao Gangchuan"/>
    <m/>
    <s v="CMC Vice Chairman; Defense Minister"/>
    <n v="10"/>
    <x v="2"/>
    <s v="Commander, western army"/>
    <x v="0"/>
    <m/>
    <x v="0"/>
    <m/>
    <m/>
    <m/>
    <m/>
    <m/>
    <s v="Defense White Paper Appendix"/>
    <m/>
  </r>
  <r>
    <x v="1"/>
    <x v="9"/>
    <s v="West Asia and Africa"/>
    <s v="Strategic Cooperative Partnership [战略合作伙伴关系]"/>
    <s v="Major Non-NATO Ally"/>
    <s v="CENTCOM"/>
    <x v="24"/>
    <x v="13"/>
    <n v="9"/>
    <x v="3"/>
    <s v="Cao Gangchuan"/>
    <m/>
    <s v="CMC Vice Chairman; Defense Minister"/>
    <n v="10"/>
    <x v="2"/>
    <s v="Defense Minister"/>
    <x v="0"/>
    <m/>
    <x v="0"/>
    <m/>
    <m/>
    <m/>
    <m/>
    <m/>
    <s v="Defense White Paper Appendix"/>
    <m/>
  </r>
  <r>
    <x v="1"/>
    <x v="8"/>
    <s v="Europe and Central Asia"/>
    <s v="No Specific Relationship"/>
    <s v="NATO"/>
    <s v="EUCOM"/>
    <x v="18"/>
    <x v="13"/>
    <n v="9"/>
    <x v="4"/>
    <s v="Li Yu"/>
    <m/>
    <s v="GSD Assistant Commander"/>
    <n v="5"/>
    <x v="1"/>
    <m/>
    <x v="0"/>
    <m/>
    <x v="0"/>
    <m/>
    <m/>
    <m/>
    <m/>
    <m/>
    <s v="Defense White Paper Appendix"/>
    <m/>
  </r>
  <r>
    <x v="1"/>
    <x v="7"/>
    <s v="West Asia and Africa"/>
    <s v="No Specific Relationship"/>
    <s v="None"/>
    <s v="AFRICOM"/>
    <x v="109"/>
    <x v="13"/>
    <n v="9"/>
    <x v="3"/>
    <s v="Cao Gangchuan"/>
    <m/>
    <s v="CMC Vice Chairman; Defense Minister"/>
    <n v="10"/>
    <x v="2"/>
    <s v="Defense Minister"/>
    <x v="0"/>
    <m/>
    <x v="0"/>
    <m/>
    <m/>
    <m/>
    <m/>
    <m/>
    <s v="Defense White Paper Appendix"/>
    <m/>
  </r>
  <r>
    <x v="1"/>
    <x v="8"/>
    <s v="Europe and Central Asia"/>
    <s v="No Specific Relationship"/>
    <s v="NATO"/>
    <s v="EUCOM"/>
    <x v="82"/>
    <x v="13"/>
    <n v="9"/>
    <x v="4"/>
    <s v="Liu Yongzhi"/>
    <m/>
    <s v="Lanzhou MR Political Commissar"/>
    <n v="6"/>
    <x v="1"/>
    <m/>
    <x v="0"/>
    <m/>
    <x v="0"/>
    <m/>
    <m/>
    <m/>
    <m/>
    <m/>
    <s v="Defense White Paper Appendix"/>
    <m/>
  </r>
  <r>
    <x v="1"/>
    <x v="8"/>
    <s v="Europe and Central Asia"/>
    <s v="Comprehensive Strategic Partnership [全面战略伙伴关系]"/>
    <s v="NATO"/>
    <s v="EUCOM"/>
    <x v="20"/>
    <x v="13"/>
    <n v="9"/>
    <x v="4"/>
    <s v="Li Yu"/>
    <m/>
    <s v="GSD Assistant Commander"/>
    <n v="5"/>
    <x v="1"/>
    <m/>
    <x v="0"/>
    <m/>
    <x v="0"/>
    <m/>
    <m/>
    <m/>
    <m/>
    <m/>
    <s v="Defense White Paper Appendix"/>
    <m/>
  </r>
  <r>
    <x v="1"/>
    <x v="9"/>
    <s v="West Asia and Africa"/>
    <s v="No Specific Relationship"/>
    <s v="Major Non-NATO Ally"/>
    <s v="CENTCOM"/>
    <x v="101"/>
    <x v="13"/>
    <n v="9"/>
    <x v="3"/>
    <s v="Cao Gangchuan"/>
    <m/>
    <s v="CMC Vice Chairman; Defense Minister"/>
    <n v="10"/>
    <x v="2"/>
    <s v="Chairman JCS"/>
    <x v="0"/>
    <m/>
    <x v="0"/>
    <m/>
    <m/>
    <m/>
    <m/>
    <m/>
    <s v="Defense White Paper Appendix"/>
    <m/>
  </r>
  <r>
    <x v="1"/>
    <x v="6"/>
    <s v="Europe and Central Asia"/>
    <s v="Comprehensive Cooperative Partnership [全面合作伙伴关系]"/>
    <s v="None"/>
    <s v="CENTCOM"/>
    <x v="30"/>
    <x v="13"/>
    <n v="9"/>
    <x v="3"/>
    <s v="Cao Gangchuan"/>
    <m/>
    <s v="CMC Vice Chairman; Defense Minister"/>
    <n v="10"/>
    <x v="2"/>
    <s v="Vice Chairman, Committee of Chief of Staff and Chief of Dept of Operation Planning of Defense Ministry"/>
    <x v="0"/>
    <m/>
    <x v="0"/>
    <m/>
    <m/>
    <m/>
    <m/>
    <m/>
    <s v="Defense White Paper Appendix"/>
    <m/>
  </r>
  <r>
    <x v="1"/>
    <x v="6"/>
    <s v="Europe and Central Asia"/>
    <s v="No Specific Relationship"/>
    <s v="None"/>
    <s v="CENTCOM"/>
    <x v="31"/>
    <x v="13"/>
    <n v="9"/>
    <x v="3"/>
    <s v="Cao Gangchuan"/>
    <m/>
    <s v="CMC Vice Chairman; Defense Minister"/>
    <n v="10"/>
    <x v="2"/>
    <s v="Deputy Defense Minister"/>
    <x v="0"/>
    <m/>
    <x v="0"/>
    <m/>
    <m/>
    <m/>
    <m/>
    <m/>
    <s v="Defense White Paper Appendix"/>
    <m/>
  </r>
  <r>
    <x v="1"/>
    <x v="9"/>
    <s v="West Asia and Africa"/>
    <s v="No Specific Relationship"/>
    <s v="None"/>
    <s v="CENTCOM"/>
    <x v="110"/>
    <x v="13"/>
    <n v="9"/>
    <x v="4"/>
    <s v="Liu Zhenwu"/>
    <m/>
    <s v="Guangzhou MR Commander"/>
    <n v="6"/>
    <x v="1"/>
    <m/>
    <x v="0"/>
    <m/>
    <x v="0"/>
    <m/>
    <m/>
    <m/>
    <m/>
    <m/>
    <s v="Defense White Paper Appendix"/>
    <m/>
  </r>
  <r>
    <x v="1"/>
    <x v="8"/>
    <s v="Europe and Central Asia"/>
    <s v="Friendly Cooperative Partnership [友好合作伙伴关系]"/>
    <s v="NATO"/>
    <s v="EUCOM"/>
    <x v="111"/>
    <x v="13"/>
    <n v="9"/>
    <x v="3"/>
    <s v="Cao Gangchuan"/>
    <m/>
    <s v="CMC Vice Chairman; Defense Minister"/>
    <n v="8"/>
    <x v="2"/>
    <s v="Defense Minister"/>
    <x v="0"/>
    <m/>
    <x v="0"/>
    <m/>
    <m/>
    <m/>
    <m/>
    <m/>
    <s v="https://dlib.eastview.com/browse/doc/14386032"/>
    <m/>
  </r>
  <r>
    <x v="1"/>
    <x v="1"/>
    <s v="Asia"/>
    <s v="No Specific Relationship"/>
    <s v="Bilateral Defense Treaty"/>
    <s v="INDOPACOM"/>
    <x v="11"/>
    <x v="13"/>
    <n v="9"/>
    <x v="3"/>
    <s v="Cao Gangchuan"/>
    <m/>
    <s v="CMC Vice Chairman; Defense Minister"/>
    <n v="10"/>
    <x v="2"/>
    <s v="COGS"/>
    <x v="0"/>
    <m/>
    <x v="0"/>
    <m/>
    <m/>
    <m/>
    <m/>
    <m/>
    <s v="Defense White Paper Appendix"/>
    <m/>
  </r>
  <r>
    <x v="1"/>
    <x v="8"/>
    <s v="Europe and Central Asia"/>
    <s v="Comprehensive Friendly Cooperative Partnership [全面友好合作伙伴关系]"/>
    <s v="NATO"/>
    <s v="EUCOM"/>
    <x v="33"/>
    <x v="13"/>
    <n v="9"/>
    <x v="4"/>
    <s v="Lei Mingqiu"/>
    <m/>
    <s v="Nanjing MR Political Commissar"/>
    <n v="6"/>
    <x v="1"/>
    <m/>
    <x v="0"/>
    <m/>
    <x v="0"/>
    <m/>
    <m/>
    <m/>
    <m/>
    <m/>
    <s v="Defense White Paper Appendix"/>
    <m/>
  </r>
  <r>
    <x v="1"/>
    <x v="3"/>
    <s v="Europe and Central Asia"/>
    <s v="Strategic Partnership of Coordination [战略协作伙伴关系]"/>
    <s v="None"/>
    <s v="EUCOM"/>
    <x v="7"/>
    <x v="13"/>
    <n v="9"/>
    <x v="4"/>
    <s v="Liu Yongzhi"/>
    <m/>
    <s v="Lanzhou MR Political Commissar"/>
    <n v="6"/>
    <x v="1"/>
    <m/>
    <x v="0"/>
    <m/>
    <x v="0"/>
    <m/>
    <m/>
    <m/>
    <m/>
    <m/>
    <s v="Defense White Paper Appendix"/>
    <m/>
  </r>
  <r>
    <x v="1"/>
    <x v="8"/>
    <s v="Europe and Central Asia"/>
    <s v="No Specific Relationship"/>
    <s v="None"/>
    <s v="EUCOM"/>
    <x v="112"/>
    <x v="13"/>
    <n v="9"/>
    <x v="3"/>
    <s v="Cao Gangchuan"/>
    <m/>
    <s v="CMC Vice Chairman; Defense Minister"/>
    <n v="10"/>
    <x v="2"/>
    <s v="Defense Minister"/>
    <x v="0"/>
    <m/>
    <x v="0"/>
    <m/>
    <m/>
    <m/>
    <m/>
    <m/>
    <s v="Defense White Paper Appendix"/>
    <m/>
  </r>
  <r>
    <x v="1"/>
    <x v="8"/>
    <s v="Europe and Central Asia"/>
    <s v="No Specific Relationship"/>
    <s v="NATO"/>
    <s v="EUCOM"/>
    <x v="70"/>
    <x v="13"/>
    <n v="9"/>
    <x v="3"/>
    <s v="Wu Shengli"/>
    <m/>
    <s v="PLAN Commander "/>
    <n v="8"/>
    <x v="2"/>
    <s v="Army Chief of Staff"/>
    <x v="0"/>
    <m/>
    <x v="0"/>
    <m/>
    <m/>
    <m/>
    <m/>
    <m/>
    <s v="https://dlib.eastview.com/browse/doc/14660911"/>
    <m/>
  </r>
  <r>
    <x v="1"/>
    <x v="7"/>
    <s v="West Asia and Africa"/>
    <s v="No Specific Relationship"/>
    <s v="Major Non-NATO Ally"/>
    <s v="AFRICOM"/>
    <x v="85"/>
    <x v="13"/>
    <n v="9"/>
    <x v="3"/>
    <s v="Liang Guanglie"/>
    <m/>
    <s v="GSD Commander; CMC Member"/>
    <n v="8"/>
    <x v="2"/>
    <s v="Army Chief of Staff"/>
    <x v="0"/>
    <m/>
    <x v="0"/>
    <m/>
    <m/>
    <m/>
    <m/>
    <m/>
    <s v="https://dlib.eastview.com/browse/doc/14386034"/>
    <m/>
  </r>
  <r>
    <x v="1"/>
    <x v="8"/>
    <s v="Europe and Central Asia"/>
    <s v="Comprehensive Strategic Partnership [全面战略伙伴关系]"/>
    <s v="NATO"/>
    <s v="EUCOM"/>
    <x v="21"/>
    <x v="13"/>
    <n v="9"/>
    <x v="3"/>
    <s v="Cao Gangchuan"/>
    <m/>
    <s v="CMC Vice Chairman; Defense Minister"/>
    <n v="10"/>
    <x v="2"/>
    <s v="Defense Secretary"/>
    <x v="0"/>
    <m/>
    <x v="0"/>
    <m/>
    <m/>
    <m/>
    <m/>
    <m/>
    <s v="Defense White Paper Appendix"/>
    <m/>
  </r>
  <r>
    <x v="1"/>
    <x v="10"/>
    <s v="America and Oceania"/>
    <s v="No Specific Relationship"/>
    <s v="None"/>
    <s v="SOUTHCOM"/>
    <x v="107"/>
    <x v="13"/>
    <n v="9"/>
    <x v="3"/>
    <s v="Qiao Qingchen"/>
    <m/>
    <s v="PLAAF Commander"/>
    <n v="8"/>
    <x v="2"/>
    <s v="Commander, Air Force"/>
    <x v="0"/>
    <m/>
    <x v="0"/>
    <m/>
    <m/>
    <m/>
    <m/>
    <m/>
    <s v="Defense White Paper Appendix"/>
    <m/>
  </r>
  <r>
    <x v="1"/>
    <x v="5"/>
    <s v="America and Oceania"/>
    <s v="No Specific Relationship"/>
    <s v="ANZUS Treaty"/>
    <s v="INDOPACOM"/>
    <x v="12"/>
    <x v="13"/>
    <n v="10"/>
    <x v="4"/>
    <s v="Liang Guanglie"/>
    <m/>
    <s v="GSD Commander; CMC Member"/>
    <n v="8"/>
    <x v="1"/>
    <m/>
    <x v="0"/>
    <m/>
    <x v="0"/>
    <m/>
    <m/>
    <m/>
    <m/>
    <m/>
    <s v="Defense White Paper Appendix"/>
    <m/>
  </r>
  <r>
    <x v="2"/>
    <x v="5"/>
    <s v="America and Oceania"/>
    <s v="No Specific Relationship"/>
    <s v="ANZUS Treaty"/>
    <s v="INDOPACOM"/>
    <x v="12"/>
    <x v="13"/>
    <n v="10"/>
    <x v="5"/>
    <m/>
    <m/>
    <m/>
    <m/>
    <x v="0"/>
    <m/>
    <x v="2"/>
    <s v="Unknown"/>
    <x v="2"/>
    <s v="SAREX"/>
    <m/>
    <m/>
    <m/>
    <m/>
    <s v="Defense White Paper Appendix"/>
    <m/>
  </r>
  <r>
    <x v="1"/>
    <x v="8"/>
    <s v="Europe and Central Asia"/>
    <s v="No Specific Relationship"/>
    <s v="NATO"/>
    <s v="EUCOM"/>
    <x v="68"/>
    <x v="13"/>
    <n v="10"/>
    <x v="4"/>
    <s v="Cao Gangchuan"/>
    <m/>
    <s v="CMC Vice Chairman; Defense Minister"/>
    <n v="10"/>
    <x v="1"/>
    <m/>
    <x v="0"/>
    <m/>
    <x v="0"/>
    <m/>
    <m/>
    <m/>
    <m/>
    <m/>
    <s v="Defense White Paper Appendix"/>
    <m/>
  </r>
  <r>
    <x v="1"/>
    <x v="10"/>
    <s v="America and Oceania"/>
    <s v="Comprehensive Strategic Partnership [全面战略伙伴关系]"/>
    <s v="None"/>
    <s v="SOUTHCOM"/>
    <x v="43"/>
    <x v="13"/>
    <n v="10"/>
    <x v="4"/>
    <s v="Cao Gangchuan"/>
    <m/>
    <s v="CMC Vice Chairman; Defense Minister"/>
    <n v="10"/>
    <x v="1"/>
    <m/>
    <x v="0"/>
    <m/>
    <x v="0"/>
    <m/>
    <m/>
    <m/>
    <m/>
    <m/>
    <s v="Defense White Paper Appendix"/>
    <m/>
  </r>
  <r>
    <x v="1"/>
    <x v="1"/>
    <s v="Asia"/>
    <s v="No Specific Relationship"/>
    <s v="None"/>
    <s v="INDOPACOM"/>
    <x v="94"/>
    <x v="13"/>
    <n v="10"/>
    <x v="3"/>
    <s v="Xu Caihou"/>
    <m/>
    <s v="CMC Vice Chairman"/>
    <n v="10"/>
    <x v="2"/>
    <s v="Royal Army Chief"/>
    <x v="0"/>
    <m/>
    <x v="0"/>
    <m/>
    <m/>
    <m/>
    <m/>
    <m/>
    <s v="https://dlib.eastview.com/browse/doc/14663334"/>
    <m/>
  </r>
  <r>
    <x v="1"/>
    <x v="10"/>
    <s v="America and Oceania"/>
    <s v="Comprehensive Partnership [全面伙伴关系]"/>
    <s v="None"/>
    <s v="SOUTHCOM"/>
    <x v="66"/>
    <x v="13"/>
    <n v="10"/>
    <x v="3"/>
    <s v="Liang Guanglie"/>
    <m/>
    <s v="GSD Commander; CMC Member"/>
    <n v="8"/>
    <x v="2"/>
    <s v="CinC Army"/>
    <x v="0"/>
    <m/>
    <x v="0"/>
    <m/>
    <m/>
    <m/>
    <m/>
    <m/>
    <s v="Defense White Paper Appendix"/>
    <m/>
  </r>
  <r>
    <x v="1"/>
    <x v="8"/>
    <s v="Europe and Central Asia"/>
    <s v="No Specific Relationship"/>
    <s v="None"/>
    <s v="EUCOM"/>
    <x v="81"/>
    <x v="13"/>
    <n v="10"/>
    <x v="4"/>
    <s v="Zhu Wenquan"/>
    <m/>
    <s v="Nanjing MR Commander"/>
    <n v="6"/>
    <x v="1"/>
    <m/>
    <x v="0"/>
    <m/>
    <x v="0"/>
    <m/>
    <m/>
    <m/>
    <m/>
    <m/>
    <s v="Defense White Paper Appendix"/>
    <m/>
  </r>
  <r>
    <x v="1"/>
    <x v="8"/>
    <s v="Europe and Central Asia"/>
    <s v="Comprehensive Partnership [全面伙伴关系]"/>
    <s v="NATO"/>
    <s v="EUCOM"/>
    <x v="22"/>
    <x v="13"/>
    <n v="10"/>
    <x v="4"/>
    <s v="Cao Gangchuan"/>
    <m/>
    <s v="CMC Vice Chairman; Defense Minister"/>
    <n v="10"/>
    <x v="1"/>
    <s v="Defense Minister"/>
    <x v="0"/>
    <m/>
    <x v="0"/>
    <m/>
    <m/>
    <m/>
    <m/>
    <m/>
    <s v="Defense White Paper Appendix"/>
    <m/>
  </r>
  <r>
    <x v="1"/>
    <x v="8"/>
    <s v="Europe and Central Asia"/>
    <s v="Comprehensive Strategic Partnership [全面战略伙伴关系]"/>
    <s v="NATO"/>
    <s v="EUCOM"/>
    <x v="20"/>
    <x v="13"/>
    <n v="10"/>
    <x v="3"/>
    <s v="Cao Gangchuan"/>
    <m/>
    <s v="CMC Vice Chairman; Defense Minister"/>
    <n v="8"/>
    <x v="2"/>
    <s v="Vice Defense Minister"/>
    <x v="0"/>
    <m/>
    <x v="0"/>
    <m/>
    <m/>
    <m/>
    <m/>
    <m/>
    <s v="Defense White Paper Appendix"/>
    <s v="No corroborating reporting on this visit; assess Cao Gangchuan as likely counterpart"/>
  </r>
  <r>
    <x v="1"/>
    <x v="8"/>
    <s v="Europe and Central Asia"/>
    <s v="Comprehensive Strategic Partnership [全面战略伙伴关系]"/>
    <s v="NATO"/>
    <s v="EUCOM"/>
    <x v="20"/>
    <x v="13"/>
    <n v="10"/>
    <x v="3"/>
    <s v="Liang Guanglie"/>
    <m/>
    <s v="GSD Commander; CMC Member"/>
    <n v="8"/>
    <x v="2"/>
    <s v="Air Force Chief of Staff"/>
    <x v="0"/>
    <m/>
    <x v="0"/>
    <m/>
    <m/>
    <m/>
    <m/>
    <m/>
    <s v="Defense White Paper Appendix"/>
    <m/>
  </r>
  <r>
    <x v="1"/>
    <x v="4"/>
    <s v="Asia"/>
    <s v="Partnership of Friendship and Cooperation for Peace and Development [致力于和平发展的友好合作关系]"/>
    <s v="Bilateral Defense Treaty"/>
    <s v="INDOPACOM"/>
    <x v="83"/>
    <x v="13"/>
    <n v="10"/>
    <x v="4"/>
    <s v="Xiong Guangkai"/>
    <m/>
    <s v="GSD DCGS"/>
    <n v="6"/>
    <x v="1"/>
    <m/>
    <x v="0"/>
    <m/>
    <x v="0"/>
    <m/>
    <m/>
    <m/>
    <m/>
    <m/>
    <s v="Defense White Paper Appendix"/>
    <m/>
  </r>
  <r>
    <x v="1"/>
    <x v="9"/>
    <s v="West Asia and Africa"/>
    <s v="No Specific Relationship"/>
    <s v="None"/>
    <s v="CENTCOM"/>
    <x v="110"/>
    <x v="13"/>
    <n v="10"/>
    <x v="3"/>
    <s v="Xu Caihou"/>
    <m/>
    <s v="CMC Vice Chairman"/>
    <n v="10"/>
    <x v="2"/>
    <s v="Army Chief of Staff"/>
    <x v="0"/>
    <m/>
    <x v="0"/>
    <m/>
    <m/>
    <m/>
    <m/>
    <m/>
    <s v="Defense White Paper Appendix"/>
    <m/>
  </r>
  <r>
    <x v="1"/>
    <x v="5"/>
    <s v="America and Oceania"/>
    <s v="No Specific Relationship"/>
    <s v="ANZUS Treaty"/>
    <s v="INDOPACOM"/>
    <x v="13"/>
    <x v="13"/>
    <n v="10"/>
    <x v="4"/>
    <s v="Liang Guanglie"/>
    <m/>
    <s v="GSD Commander; CMC Member"/>
    <n v="8"/>
    <x v="1"/>
    <m/>
    <x v="0"/>
    <m/>
    <x v="0"/>
    <m/>
    <m/>
    <m/>
    <m/>
    <m/>
    <s v="Defense White Paper Appendix"/>
    <m/>
  </r>
  <r>
    <x v="1"/>
    <x v="8"/>
    <s v="Europe and Central Asia"/>
    <s v="No Specific Relationship"/>
    <s v="None"/>
    <s v="EUCOM"/>
    <x v="92"/>
    <x v="13"/>
    <n v="10"/>
    <x v="4"/>
    <s v="Zhu Wenquan"/>
    <m/>
    <s v="Nanjing MR Commander"/>
    <n v="6"/>
    <x v="1"/>
    <m/>
    <x v="0"/>
    <m/>
    <x v="0"/>
    <m/>
    <m/>
    <m/>
    <m/>
    <m/>
    <s v="Defense White Paper Appendix"/>
    <m/>
  </r>
  <r>
    <x v="1"/>
    <x v="8"/>
    <s v="Europe and Central Asia"/>
    <s v="No Specific Relationship"/>
    <s v="None"/>
    <s v="EUCOM"/>
    <x v="78"/>
    <x v="13"/>
    <n v="10"/>
    <x v="4"/>
    <s v="Cao Gangchuan"/>
    <m/>
    <s v="CMC Vice Chairman; Defense Minister"/>
    <n v="10"/>
    <x v="1"/>
    <s v="Defense Minister and VP of Swiss Confederation"/>
    <x v="0"/>
    <m/>
    <x v="0"/>
    <m/>
    <m/>
    <m/>
    <m/>
    <m/>
    <s v="Defense White Paper Appendix"/>
    <m/>
  </r>
  <r>
    <x v="1"/>
    <x v="1"/>
    <s v="Asia"/>
    <s v="No Specific Relationship"/>
    <s v="Bilateral Defense Treaty"/>
    <s v="INDOPACOM"/>
    <x v="5"/>
    <x v="13"/>
    <n v="10"/>
    <x v="4"/>
    <s v="Xiong Guangkai"/>
    <m/>
    <s v="GSD DCGS"/>
    <n v="6"/>
    <x v="1"/>
    <m/>
    <x v="0"/>
    <m/>
    <x v="0"/>
    <m/>
    <m/>
    <m/>
    <m/>
    <m/>
    <s v="Defense White Paper Appendix"/>
    <m/>
  </r>
  <r>
    <x v="1"/>
    <x v="2"/>
    <s v="America and Oceania"/>
    <s v="No Specific Relationship"/>
    <s v="N/A"/>
    <s v="NORTHCOM"/>
    <x v="4"/>
    <x v="13"/>
    <n v="10"/>
    <x v="4"/>
    <s v="Liang Guanglie"/>
    <m/>
    <s v="GSD Commander; CMC Member"/>
    <n v="8"/>
    <x v="1"/>
    <s v="Chairman JCS"/>
    <x v="0"/>
    <m/>
    <x v="0"/>
    <m/>
    <m/>
    <m/>
    <m/>
    <m/>
    <s v="Defense White Paper Appendix"/>
    <m/>
  </r>
  <r>
    <x v="1"/>
    <x v="8"/>
    <s v="Europe and Central Asia"/>
    <s v="No Specific Relationship"/>
    <s v="NATO"/>
    <s v="EUCOM"/>
    <x v="113"/>
    <x v="13"/>
    <n v="11"/>
    <x v="3"/>
    <s v="Cao Gangchuan"/>
    <m/>
    <s v="CMC Vice Chairman; Defense Minister"/>
    <n v="10"/>
    <x v="2"/>
    <s v="Defense Minister"/>
    <x v="0"/>
    <m/>
    <x v="0"/>
    <m/>
    <m/>
    <m/>
    <m/>
    <m/>
    <s v="Defense White Paper Appendix"/>
    <m/>
  </r>
  <r>
    <x v="1"/>
    <x v="5"/>
    <s v="America and Oceania"/>
    <s v="No Specific Relationship"/>
    <s v="ANZUS Treaty"/>
    <s v="INDOPACOM"/>
    <x v="12"/>
    <x v="13"/>
    <n v="11"/>
    <x v="3"/>
    <s v="Liang Guanglie"/>
    <m/>
    <s v="GSD Commander; CMC Member"/>
    <n v="8"/>
    <x v="2"/>
    <s v="Chief Commander of the ADF"/>
    <x v="0"/>
    <m/>
    <x v="0"/>
    <m/>
    <m/>
    <m/>
    <m/>
    <m/>
    <s v="Defense White Paper Appendix"/>
    <m/>
  </r>
  <r>
    <x v="1"/>
    <x v="8"/>
    <s v="Europe and Central Asia"/>
    <s v="Comprehensive Cooperative Partnership [全面合作伙伴关系]"/>
    <s v="None"/>
    <s v="EUCOM"/>
    <x v="34"/>
    <x v="13"/>
    <n v="11"/>
    <x v="3"/>
    <s v="Cao Gangchuan"/>
    <m/>
    <s v="CMC Vice Chairman; Defense Minister"/>
    <n v="10"/>
    <x v="2"/>
    <s v="Vice Defense Minister"/>
    <x v="0"/>
    <m/>
    <x v="0"/>
    <m/>
    <m/>
    <m/>
    <m/>
    <m/>
    <s v="Defense White Paper Appendix"/>
    <m/>
  </r>
  <r>
    <x v="1"/>
    <x v="10"/>
    <s v="America and Oceania"/>
    <s v="No Specific Relationship"/>
    <s v="None"/>
    <s v="SOUTHCOM"/>
    <x v="42"/>
    <x v="13"/>
    <n v="11"/>
    <x v="3"/>
    <s v="Cao Gangchuan"/>
    <m/>
    <s v="CMC Vice Chairman; Defense Minister"/>
    <n v="10"/>
    <x v="2"/>
    <s v="Defense Minister"/>
    <x v="0"/>
    <m/>
    <x v="0"/>
    <m/>
    <m/>
    <m/>
    <m/>
    <m/>
    <s v="Defense White Paper Appendix"/>
    <m/>
  </r>
  <r>
    <x v="1"/>
    <x v="1"/>
    <s v="Asia"/>
    <s v="No Specific Relationship"/>
    <s v="None"/>
    <s v="INDOPACOM"/>
    <x v="44"/>
    <x v="13"/>
    <n v="11"/>
    <x v="4"/>
    <s v="Qian Nanzhong"/>
    <m/>
    <s v="Shenyang MR Commander"/>
    <n v="6"/>
    <x v="1"/>
    <m/>
    <x v="0"/>
    <m/>
    <x v="0"/>
    <m/>
    <m/>
    <m/>
    <m/>
    <m/>
    <s v="Defense White Paper Appendix"/>
    <m/>
  </r>
  <r>
    <x v="1"/>
    <x v="2"/>
    <s v="America and Oceania"/>
    <s v="Comprehensive Partnership [全面伙伴关系]"/>
    <s v="NATO"/>
    <s v="NORTHCOM"/>
    <x v="17"/>
    <x v="13"/>
    <n v="11"/>
    <x v="3"/>
    <s v="Liang Guanglie"/>
    <m/>
    <s v="GSD Commander; CMC Member"/>
    <n v="8"/>
    <x v="2"/>
    <s v="Chief of the Defense Staff"/>
    <x v="0"/>
    <m/>
    <x v="0"/>
    <m/>
    <m/>
    <m/>
    <m/>
    <m/>
    <s v="Defense White Paper Appendix"/>
    <m/>
  </r>
  <r>
    <x v="1"/>
    <x v="10"/>
    <s v="America and Oceania"/>
    <s v="No Specific Relationship"/>
    <s v="None"/>
    <s v="SOUTHCOM"/>
    <x v="45"/>
    <x v="13"/>
    <n v="11"/>
    <x v="3"/>
    <s v="Cao Gangchuan"/>
    <m/>
    <s v="CMC Vice Chairman; Defense Minister"/>
    <n v="8"/>
    <x v="2"/>
    <s v="CinC Armed Forces"/>
    <x v="0"/>
    <m/>
    <x v="0"/>
    <m/>
    <m/>
    <m/>
    <m/>
    <m/>
    <s v="Defense White Paper Appendix"/>
    <s v="No corroborating reporting on this visit; assess Cao Gangchuan as likely counterpart"/>
  </r>
  <r>
    <x v="1"/>
    <x v="5"/>
    <s v="America and Oceania"/>
    <s v="No Specific Relationship"/>
    <s v="ANZUS Treaty"/>
    <s v="INDOPACOM"/>
    <x v="13"/>
    <x v="13"/>
    <n v="11"/>
    <x v="3"/>
    <s v="Cao Gangchuan"/>
    <m/>
    <s v="CMC Vice Chairman; Defense Minister"/>
    <n v="10"/>
    <x v="2"/>
    <s v="CinC Navy"/>
    <x v="0"/>
    <m/>
    <x v="0"/>
    <m/>
    <m/>
    <m/>
    <m/>
    <m/>
    <s v="Defense White Paper Appendix"/>
    <s v="Updated positions with DWP"/>
  </r>
  <r>
    <x v="1"/>
    <x v="1"/>
    <s v="Asia"/>
    <s v="No Specific Relationship"/>
    <s v="Bilateral Defense Treaty"/>
    <s v="INDOPACOM"/>
    <x v="11"/>
    <x v="13"/>
    <n v="11"/>
    <x v="3"/>
    <s v="Cao Gangchuan"/>
    <m/>
    <s v="CMC Vice Chairman; Defense Minister"/>
    <n v="10"/>
    <x v="2"/>
    <s v="Defense Minister"/>
    <x v="0"/>
    <m/>
    <x v="0"/>
    <m/>
    <m/>
    <m/>
    <m/>
    <m/>
    <s v="Defense White Paper Appendix"/>
    <s v="Updated positions with DWP"/>
  </r>
  <r>
    <x v="1"/>
    <x v="4"/>
    <s v="Asia"/>
    <s v="Comprehensive Cooperative Partnership [全面合作伙伴关系]"/>
    <s v="Bilateral Defense Treaty"/>
    <s v="INDOPACOM"/>
    <x v="25"/>
    <x v="13"/>
    <n v="11"/>
    <x v="4"/>
    <s v="Qian Nanzhong"/>
    <m/>
    <s v="Shenyang MR Commander"/>
    <n v="6"/>
    <x v="1"/>
    <m/>
    <x v="0"/>
    <m/>
    <x v="0"/>
    <m/>
    <m/>
    <m/>
    <m/>
    <m/>
    <s v="Defense White Paper Appendix"/>
    <m/>
  </r>
  <r>
    <x v="1"/>
    <x v="7"/>
    <s v="West Asia and Africa"/>
    <s v="No Specific Relationship"/>
    <s v="None"/>
    <s v="AFRICOM"/>
    <x v="97"/>
    <x v="13"/>
    <n v="11"/>
    <x v="4"/>
    <s v="Li Jinai"/>
    <m/>
    <s v="GPD Deputy Director"/>
    <n v="8"/>
    <x v="1"/>
    <m/>
    <x v="0"/>
    <m/>
    <x v="0"/>
    <m/>
    <m/>
    <m/>
    <m/>
    <m/>
    <s v="Defense White Paper Appendix"/>
    <s v="Updated positions with DWP"/>
  </r>
  <r>
    <x v="1"/>
    <x v="8"/>
    <s v="Europe and Central Asia"/>
    <s v="Comprehensive Strategic Partnership [全面战略伙伴关系]"/>
    <s v="NATO"/>
    <s v="EUCOM"/>
    <x v="21"/>
    <x v="13"/>
    <n v="11"/>
    <x v="3"/>
    <s v="Cao Gangchuan"/>
    <m/>
    <s v="CMC Vice Chairman; Defense Minister"/>
    <n v="10"/>
    <x v="2"/>
    <s v="First Sea Lord and Chief of Naval Staff"/>
    <x v="0"/>
    <m/>
    <x v="0"/>
    <m/>
    <m/>
    <m/>
    <m/>
    <m/>
    <s v="Defense White Paper Appendix"/>
    <m/>
  </r>
  <r>
    <x v="1"/>
    <x v="7"/>
    <s v="West Asia and Africa"/>
    <s v="No Specific Relationship"/>
    <s v="None"/>
    <s v="AFRICOM"/>
    <x v="61"/>
    <x v="13"/>
    <n v="11"/>
    <x v="4"/>
    <s v="Li Jinai"/>
    <m/>
    <s v="GPD Deputy Director"/>
    <n v="8"/>
    <x v="1"/>
    <m/>
    <x v="0"/>
    <m/>
    <x v="0"/>
    <m/>
    <m/>
    <m/>
    <m/>
    <m/>
    <s v="Defense White Paper Appendix"/>
    <s v="Updated positions with DWP"/>
  </r>
  <r>
    <x v="1"/>
    <x v="5"/>
    <s v="America and Oceania"/>
    <s v="No Specific Relationship"/>
    <s v="ANZUS Treaty"/>
    <s v="INDOPACOM"/>
    <x v="12"/>
    <x v="13"/>
    <n v="12"/>
    <x v="3"/>
    <s v="Qiao Qingchen"/>
    <m/>
    <s v="PLAAF Commander"/>
    <n v="8"/>
    <x v="2"/>
    <s v="Air Force Commander"/>
    <x v="0"/>
    <m/>
    <x v="0"/>
    <m/>
    <m/>
    <m/>
    <m/>
    <m/>
    <s v="https://dlib.eastview.com/browse/doc/14653038"/>
    <m/>
  </r>
  <r>
    <x v="1"/>
    <x v="10"/>
    <s v="America and Oceania"/>
    <s v="No Specific Relationship"/>
    <s v="None"/>
    <s v="SOUTHCOM"/>
    <x v="51"/>
    <x v="13"/>
    <n v="12"/>
    <x v="3"/>
    <s v="Xu Caihou"/>
    <m/>
    <s v="CMC Vice Chairman"/>
    <n v="10"/>
    <x v="2"/>
    <s v="Chief of Joint Command"/>
    <x v="0"/>
    <m/>
    <x v="0"/>
    <m/>
    <m/>
    <m/>
    <m/>
    <m/>
    <s v="Defense White Paper Appendix"/>
    <m/>
  </r>
  <r>
    <x v="1"/>
    <x v="0"/>
    <s v="Asia"/>
    <s v="Comprehensive Cooperative Partnership [全面合作伙伴关系]"/>
    <s v="None"/>
    <s v="INDOPACOM"/>
    <x v="6"/>
    <x v="13"/>
    <n v="12"/>
    <x v="3"/>
    <s v="Cao Gangchuan"/>
    <m/>
    <s v="CMC Vice Chairman; Defense Minister"/>
    <n v="10"/>
    <x v="2"/>
    <s v="Army Chief"/>
    <x v="0"/>
    <m/>
    <x v="0"/>
    <m/>
    <m/>
    <m/>
    <m/>
    <m/>
    <s v="Defense White Paper Appendix"/>
    <m/>
  </r>
  <r>
    <x v="1"/>
    <x v="1"/>
    <s v="Asia"/>
    <s v="No Specific Relationship"/>
    <s v="None"/>
    <s v="INDOPACOM"/>
    <x v="52"/>
    <x v="13"/>
    <n v="12"/>
    <x v="4"/>
    <s v="Li Jinai"/>
    <m/>
    <s v="GPD Deputy Director"/>
    <n v="8"/>
    <x v="1"/>
    <m/>
    <x v="0"/>
    <m/>
    <x v="0"/>
    <m/>
    <m/>
    <m/>
    <m/>
    <m/>
    <s v="Defense White Paper Appendix"/>
    <s v="Updated positions with DWP"/>
  </r>
  <r>
    <x v="1"/>
    <x v="1"/>
    <s v="Asia"/>
    <s v="No Specific Relationship"/>
    <s v="None"/>
    <s v="INDOPACOM"/>
    <x v="1"/>
    <x v="13"/>
    <n v="12"/>
    <x v="4"/>
    <s v="Xiong Guangkai"/>
    <m/>
    <s v="GSD DCGS"/>
    <n v="6"/>
    <x v="1"/>
    <m/>
    <x v="0"/>
    <m/>
    <x v="0"/>
    <m/>
    <m/>
    <m/>
    <m/>
    <m/>
    <s v="Defense White Paper Appendix"/>
    <m/>
  </r>
  <r>
    <x v="1"/>
    <x v="3"/>
    <s v="Europe and Central Asia"/>
    <s v="Strategic Partnership of Coordination [战略协作伙伴关系]"/>
    <s v="None"/>
    <s v="EUCOM"/>
    <x v="7"/>
    <x v="13"/>
    <n v="12"/>
    <x v="3"/>
    <s v="Cao Gangchuan"/>
    <m/>
    <s v="CMC Vice Chairman; Defense Minister"/>
    <n v="10"/>
    <x v="2"/>
    <s v="Defense Minister"/>
    <x v="0"/>
    <m/>
    <x v="0"/>
    <m/>
    <m/>
    <m/>
    <m/>
    <m/>
    <s v="Defense White Paper Appendix"/>
    <m/>
  </r>
  <r>
    <x v="1"/>
    <x v="1"/>
    <s v="Asia"/>
    <s v="No Specific Relationship"/>
    <s v="Bilateral Defense Treaty"/>
    <s v="INDOPACOM"/>
    <x v="5"/>
    <x v="13"/>
    <n v="12"/>
    <x v="4"/>
    <s v="Li Jinai"/>
    <m/>
    <s v="GPD Deputy Director"/>
    <n v="8"/>
    <x v="1"/>
    <m/>
    <x v="0"/>
    <m/>
    <x v="0"/>
    <m/>
    <m/>
    <m/>
    <m/>
    <m/>
    <s v="Defense White Paper Appendix"/>
    <s v="Updated positions with DWP"/>
  </r>
  <r>
    <x v="1"/>
    <x v="8"/>
    <s v="Europe and Central Asia"/>
    <s v="No Specific Relationship"/>
    <s v="NATO"/>
    <s v="EUCOM"/>
    <x v="38"/>
    <x v="13"/>
    <n v="12"/>
    <x v="3"/>
    <s v="Zhang Li"/>
    <m/>
    <s v="GSD DCGS"/>
    <n v="8"/>
    <x v="2"/>
    <s v="Defense Minister"/>
    <x v="0"/>
    <m/>
    <x v="0"/>
    <m/>
    <m/>
    <m/>
    <m/>
    <m/>
    <s v="Defense White Paper Appendix"/>
    <s v="https://dlib.eastview.com/browse/doc/14656319"/>
  </r>
  <r>
    <x v="1"/>
    <x v="1"/>
    <s v="Asia"/>
    <s v="No Specific Relationship"/>
    <s v="None"/>
    <s v="INDOPACOM"/>
    <x v="23"/>
    <x v="13"/>
    <n v="12"/>
    <x v="4"/>
    <s v="Li Jinai"/>
    <m/>
    <s v="GPD Deputy Director"/>
    <n v="8"/>
    <x v="1"/>
    <m/>
    <x v="0"/>
    <m/>
    <x v="0"/>
    <m/>
    <m/>
    <m/>
    <m/>
    <m/>
    <s v="Defense White Paper Appendix"/>
    <s v=" "/>
  </r>
  <r>
    <x v="1"/>
    <x v="10"/>
    <s v="America and Oceania"/>
    <s v="No Specific Relationship"/>
    <s v="None"/>
    <s v="SOUTHCOM"/>
    <x v="45"/>
    <x v="14"/>
    <n v="1"/>
    <x v="3"/>
    <s v="Cao Gangchuan"/>
    <m/>
    <s v="CMC Vice Chairman; Defense Minister"/>
    <n v="10"/>
    <x v="2"/>
    <s v="CinC Armed Forces"/>
    <x v="0"/>
    <m/>
    <x v="0"/>
    <m/>
    <m/>
    <m/>
    <m/>
    <m/>
    <s v="Defense White Paper Appendix"/>
    <m/>
  </r>
  <r>
    <x v="1"/>
    <x v="0"/>
    <s v="Asia"/>
    <s v="Strategic Partnership [战略伙伴关系]"/>
    <s v="Major Non-NATO Ally"/>
    <s v="CENTCOM"/>
    <x v="2"/>
    <x v="14"/>
    <n v="1"/>
    <x v="3"/>
    <s v="Cao Gangchuan"/>
    <m/>
    <s v="CMC Vice Chairman; Defense Minister"/>
    <n v="10"/>
    <x v="2"/>
    <s v="Defense Minister"/>
    <x v="0"/>
    <m/>
    <x v="0"/>
    <m/>
    <m/>
    <m/>
    <m/>
    <m/>
    <s v="Defense White Paper Appendix"/>
    <m/>
  </r>
  <r>
    <x v="1"/>
    <x v="2"/>
    <s v="America and Oceania"/>
    <s v="No Specific Relationship"/>
    <s v="N/A"/>
    <s v="NORTHCOM"/>
    <x v="4"/>
    <x v="14"/>
    <n v="1"/>
    <x v="3"/>
    <s v="Cao Gangchuan"/>
    <m/>
    <s v="CMC Vice Chairman; Defense Minister"/>
    <n v="10"/>
    <x v="2"/>
    <s v="Co-heads of US House Armed Services Committee"/>
    <x v="0"/>
    <m/>
    <x v="0"/>
    <m/>
    <m/>
    <m/>
    <m/>
    <m/>
    <s v="Defense White Paper Appendix"/>
    <m/>
  </r>
  <r>
    <x v="1"/>
    <x v="8"/>
    <s v="Europe and Central Asia"/>
    <s v="Comprehensive Strategic Partnership [全面战略伙伴关系]"/>
    <s v="NATO"/>
    <s v="EUCOM"/>
    <x v="20"/>
    <x v="14"/>
    <n v="2"/>
    <x v="3"/>
    <s v="Cao Gangchuan"/>
    <m/>
    <s v="CMC Vice Chairman; Defense Minister"/>
    <n v="10"/>
    <x v="2"/>
    <s v="Chief of Defense Staff"/>
    <x v="0"/>
    <m/>
    <x v="0"/>
    <m/>
    <m/>
    <m/>
    <m/>
    <m/>
    <s v="Defense White Paper Appendix"/>
    <m/>
  </r>
  <r>
    <x v="1"/>
    <x v="8"/>
    <s v="Europe and Central Asia"/>
    <s v="Strategic Partnership [战略伙伴关系]"/>
    <s v="None"/>
    <s v="EUCOM"/>
    <x v="34"/>
    <x v="14"/>
    <n v="3"/>
    <x v="3"/>
    <s v="Cao Gangchuan"/>
    <m/>
    <s v="CMC Vice Chairman; Defense Minister"/>
    <n v="10"/>
    <x v="2"/>
    <s v="Air Force Commander"/>
    <x v="0"/>
    <m/>
    <x v="0"/>
    <m/>
    <m/>
    <m/>
    <m/>
    <m/>
    <s v="Defense White Paper Appendix"/>
    <m/>
  </r>
  <r>
    <x v="1"/>
    <x v="10"/>
    <s v="America and Oceania"/>
    <s v="Comprehensive Strategic Partnership [全面战略伙伴关系]"/>
    <s v="None"/>
    <s v="SOUTHCOM"/>
    <x v="43"/>
    <x v="14"/>
    <n v="3"/>
    <x v="4"/>
    <s v="Qiao Qingchen"/>
    <m/>
    <s v="PLAAF Commander"/>
    <n v="6"/>
    <x v="1"/>
    <m/>
    <x v="0"/>
    <m/>
    <x v="0"/>
    <m/>
    <m/>
    <m/>
    <m/>
    <m/>
    <s v="Defense White Paper Appendix"/>
    <m/>
  </r>
  <r>
    <x v="1"/>
    <x v="10"/>
    <s v="America and Oceania"/>
    <s v="No Specific Relationship"/>
    <s v="None"/>
    <s v="SOUTHCOM"/>
    <x v="49"/>
    <x v="14"/>
    <n v="3"/>
    <x v="4"/>
    <s v="Yang Deqing"/>
    <m/>
    <s v="Guangzhou MR Political Commissar"/>
    <n v="6"/>
    <x v="1"/>
    <m/>
    <x v="0"/>
    <m/>
    <x v="0"/>
    <m/>
    <m/>
    <m/>
    <m/>
    <m/>
    <s v="Defense White Paper Appendix"/>
    <m/>
  </r>
  <r>
    <x v="1"/>
    <x v="8"/>
    <s v="Europe and Central Asia"/>
    <s v="Comprehensive Strategic Partnership [全面战略伙伴关系]"/>
    <s v="NATO"/>
    <s v="EUCOM"/>
    <x v="20"/>
    <x v="14"/>
    <n v="3"/>
    <x v="3"/>
    <s v="Cao Gangchuan"/>
    <m/>
    <s v="CMC Vice Chairman; Defense Minister"/>
    <n v="10"/>
    <x v="2"/>
    <s v="CinC Military Police"/>
    <x v="0"/>
    <m/>
    <x v="0"/>
    <m/>
    <m/>
    <m/>
    <m/>
    <m/>
    <s v="Defense White Paper Appendix"/>
    <m/>
  </r>
  <r>
    <x v="1"/>
    <x v="4"/>
    <s v="Asia"/>
    <s v="Partnership of Friendship and Cooperation for Peace and Development [致力于和平发展的友好合作关系]"/>
    <s v="Bilateral Defense Treaty"/>
    <s v="INDOPACOM"/>
    <x v="83"/>
    <x v="14"/>
    <n v="3"/>
    <x v="3"/>
    <s v="Xiong Guangkai"/>
    <m/>
    <s v="GSD DCGS"/>
    <n v="6"/>
    <x v="2"/>
    <s v="Deputy Minister of State for Defense"/>
    <x v="0"/>
    <m/>
    <x v="0"/>
    <m/>
    <m/>
    <m/>
    <m/>
    <m/>
    <s v="Defense White Paper Appendix"/>
    <m/>
  </r>
  <r>
    <x v="1"/>
    <x v="6"/>
    <s v="Europe and Central Asia"/>
    <s v="No Specific Relationship"/>
    <s v="None"/>
    <s v="CENTCOM"/>
    <x v="31"/>
    <x v="14"/>
    <n v="3"/>
    <x v="3"/>
    <s v="Xiong Guangkai"/>
    <m/>
    <s v="GSD DCGS"/>
    <n v="6"/>
    <x v="2"/>
    <s v="Defense Minister"/>
    <x v="0"/>
    <m/>
    <x v="0"/>
    <m/>
    <m/>
    <m/>
    <m/>
    <m/>
    <s v="Defense White Paper Appendix"/>
    <m/>
  </r>
  <r>
    <x v="1"/>
    <x v="7"/>
    <s v="West Asia and Africa"/>
    <s v="No Specific Relationship"/>
    <s v="None"/>
    <s v="AFRICOM"/>
    <x v="114"/>
    <x v="14"/>
    <n v="3"/>
    <x v="3"/>
    <s v="Cao Gangchuan"/>
    <m/>
    <s v="CMC Vice Chairman; Defense Minister"/>
    <n v="10"/>
    <x v="2"/>
    <s v="Chief of Defense Forces"/>
    <x v="0"/>
    <m/>
    <x v="0"/>
    <m/>
    <m/>
    <m/>
    <m/>
    <m/>
    <s v="Defense White Paper Appendix"/>
    <m/>
  </r>
  <r>
    <x v="1"/>
    <x v="7"/>
    <s v="West Asia and Africa"/>
    <s v="No Specific Relationship"/>
    <s v="None"/>
    <s v="AFRICOM"/>
    <x v="115"/>
    <x v="14"/>
    <n v="3"/>
    <x v="3"/>
    <s v="Cao Gangchuan"/>
    <m/>
    <s v="CMC Vice Chairman; Defense Minister"/>
    <n v="8"/>
    <x v="2"/>
    <s v="Defense Minister"/>
    <x v="0"/>
    <m/>
    <x v="0"/>
    <m/>
    <m/>
    <m/>
    <m/>
    <m/>
    <s v="https://dlib.eastview.com/browse/doc/14712209"/>
    <m/>
  </r>
  <r>
    <x v="1"/>
    <x v="3"/>
    <s v="Europe and Central Asia"/>
    <s v="Strategic Partnership of Coordination [战略协作伙伴关系]"/>
    <s v="None"/>
    <s v="EUCOM"/>
    <x v="7"/>
    <x v="14"/>
    <n v="3"/>
    <x v="3"/>
    <s v="Cao Gangchuan"/>
    <m/>
    <s v="CMC Vice Chairman; Defense Minister"/>
    <n v="10"/>
    <x v="2"/>
    <s v="COGS"/>
    <x v="0"/>
    <m/>
    <x v="0"/>
    <m/>
    <m/>
    <m/>
    <m/>
    <m/>
    <s v="Defense White Paper Appendix"/>
    <m/>
  </r>
  <r>
    <x v="1"/>
    <x v="4"/>
    <s v="Asia"/>
    <s v="Comprehensive Cooperative Partnership [全面合作伙伴关系]"/>
    <s v="Bilateral Defense Treaty"/>
    <s v="INDOPACOM"/>
    <x v="25"/>
    <x v="14"/>
    <n v="3"/>
    <x v="3"/>
    <s v="Cao Gangchuan"/>
    <m/>
    <s v="CMC Vice Chairman; Defense Minister"/>
    <n v="10"/>
    <x v="2"/>
    <s v="Defense Minister"/>
    <x v="0"/>
    <m/>
    <x v="0"/>
    <m/>
    <m/>
    <m/>
    <m/>
    <m/>
    <s v="Defense White Paper Appendix"/>
    <m/>
  </r>
  <r>
    <x v="1"/>
    <x v="8"/>
    <s v="Europe and Central Asia"/>
    <s v="Comprehensive Strategic Partnership [全面战略伙伴关系]"/>
    <s v="NATO"/>
    <s v="EUCOM"/>
    <x v="70"/>
    <x v="14"/>
    <n v="3"/>
    <x v="4"/>
    <s v="Qiao Qingchen"/>
    <m/>
    <s v="PLAAF Commander"/>
    <n v="6"/>
    <x v="1"/>
    <m/>
    <x v="0"/>
    <m/>
    <x v="0"/>
    <m/>
    <m/>
    <m/>
    <m/>
    <m/>
    <s v="Defense White Paper Appendix"/>
    <m/>
  </r>
  <r>
    <x v="1"/>
    <x v="8"/>
    <s v="Europe and Central Asia"/>
    <s v="No Specific Relationship"/>
    <s v="None"/>
    <s v="EUCOM"/>
    <x v="92"/>
    <x v="14"/>
    <n v="3"/>
    <x v="4"/>
    <s v="Qiao Qingchen"/>
    <m/>
    <s v="PLAAF Commander; CMC Member"/>
    <n v="8"/>
    <x v="1"/>
    <m/>
    <x v="0"/>
    <m/>
    <x v="0"/>
    <m/>
    <m/>
    <m/>
    <m/>
    <m/>
    <s v="Defense White Paper Appendix"/>
    <m/>
  </r>
  <r>
    <x v="1"/>
    <x v="10"/>
    <s v="America and Oceania"/>
    <s v="No Specific Relationship"/>
    <s v="None"/>
    <s v="SOUTHCOM"/>
    <x v="42"/>
    <x v="14"/>
    <n v="4"/>
    <x v="4"/>
    <s v="Sun Dafa"/>
    <m/>
    <s v="GLD Political Commissar"/>
    <n v="6"/>
    <x v="1"/>
    <m/>
    <x v="0"/>
    <m/>
    <x v="0"/>
    <m/>
    <m/>
    <m/>
    <m/>
    <m/>
    <s v="Defense White Paper Appendix"/>
    <m/>
  </r>
  <r>
    <x v="1"/>
    <x v="10"/>
    <s v="America and Oceania"/>
    <s v="Comprehensive Strategic Partnership [全面战略伙伴关系]"/>
    <s v="None"/>
    <s v="SOUTHCOM"/>
    <x v="43"/>
    <x v="14"/>
    <n v="4"/>
    <x v="3"/>
    <s v="Cao Gangchuan"/>
    <m/>
    <s v="CMC Vice Chairman; Defense Minister"/>
    <n v="10"/>
    <x v="2"/>
    <s v="Army Commander"/>
    <x v="0"/>
    <m/>
    <x v="0"/>
    <m/>
    <m/>
    <m/>
    <m/>
    <m/>
    <s v="Defense White Paper Appendix"/>
    <m/>
  </r>
  <r>
    <x v="1"/>
    <x v="10"/>
    <s v="America and Oceania"/>
    <s v="No Specific Relationship"/>
    <s v="None"/>
    <s v="SOUTHCOM"/>
    <x v="49"/>
    <x v="14"/>
    <n v="4"/>
    <x v="3"/>
    <s v="Xiong Guangkai"/>
    <m/>
    <s v="GSD DCGS"/>
    <n v="8"/>
    <x v="2"/>
    <s v="DCOGS"/>
    <x v="0"/>
    <m/>
    <x v="0"/>
    <m/>
    <m/>
    <m/>
    <m/>
    <m/>
    <s v="Defense White Paper Appendix"/>
    <s v="No corroborating reporting on this visit; assess Xiong Guangkai as likely counterpart"/>
  </r>
  <r>
    <x v="1"/>
    <x v="8"/>
    <s v="Europe and Central Asia"/>
    <s v="No Specific Relationship"/>
    <s v="NATO"/>
    <s v="EUCOM"/>
    <x v="116"/>
    <x v="14"/>
    <n v="4"/>
    <x v="4"/>
    <s v="Cao Gangchuan"/>
    <m/>
    <s v="CMC Vice Chairman; Defense Minister"/>
    <n v="10"/>
    <x v="1"/>
    <m/>
    <x v="0"/>
    <m/>
    <x v="0"/>
    <m/>
    <m/>
    <m/>
    <m/>
    <m/>
    <s v="Defense White Paper Appendix"/>
    <m/>
  </r>
  <r>
    <x v="1"/>
    <x v="9"/>
    <s v="West Asia and Africa"/>
    <s v="Strategic Cooperative Partnership [战略合作伙伴关系]"/>
    <s v="Major Non-NATO Ally"/>
    <s v="CENTCOM"/>
    <x v="24"/>
    <x v="14"/>
    <n v="4"/>
    <x v="4"/>
    <s v="Cao Gangchuan"/>
    <m/>
    <s v="CMC Vice Chairman; Defense Minister"/>
    <n v="10"/>
    <x v="1"/>
    <s v="Defense Minister"/>
    <x v="0"/>
    <m/>
    <x v="0"/>
    <m/>
    <m/>
    <m/>
    <m/>
    <m/>
    <s v="Defense White Paper Appendix"/>
    <m/>
  </r>
  <r>
    <x v="1"/>
    <x v="8"/>
    <s v="Europe and Central Asia"/>
    <s v="No Specific Relationship"/>
    <s v="NATO"/>
    <s v="EUCOM"/>
    <x v="29"/>
    <x v="14"/>
    <n v="4"/>
    <x v="4"/>
    <s v="Jiang Futang"/>
    <m/>
    <s v="Shenyang MR Political Commissar"/>
    <n v="6"/>
    <x v="1"/>
    <m/>
    <x v="0"/>
    <m/>
    <x v="0"/>
    <m/>
    <m/>
    <m/>
    <m/>
    <m/>
    <s v="Defense White Paper Appendix"/>
    <m/>
  </r>
  <r>
    <x v="1"/>
    <x v="8"/>
    <s v="Europe and Central Asia"/>
    <s v="Comprehensive Strategic Partnership [全面战略伙伴关系]"/>
    <s v="NATO"/>
    <s v="EUCOM"/>
    <x v="20"/>
    <x v="14"/>
    <n v="4"/>
    <x v="3"/>
    <s v="Xu Caihou"/>
    <m/>
    <s v="CMC Vice Chairman"/>
    <n v="10"/>
    <x v="2"/>
    <s v="Chief of Naval Staff"/>
    <x v="0"/>
    <m/>
    <x v="0"/>
    <m/>
    <m/>
    <m/>
    <m/>
    <m/>
    <s v="Defense White Paper Appendix"/>
    <m/>
  </r>
  <r>
    <x v="1"/>
    <x v="8"/>
    <s v="Europe and Central Asia"/>
    <s v="No Specific Relationship"/>
    <s v="NATO"/>
    <s v="EUCOM"/>
    <x v="117"/>
    <x v="14"/>
    <n v="4"/>
    <x v="4"/>
    <s v="Cao Gangchuan"/>
    <m/>
    <s v="CMC Vice Chairman; Defense Minister"/>
    <n v="10"/>
    <x v="1"/>
    <s v="Defense Minister"/>
    <x v="0"/>
    <m/>
    <x v="0"/>
    <m/>
    <m/>
    <m/>
    <m/>
    <m/>
    <s v="Defense White Paper Appendix"/>
    <m/>
  </r>
  <r>
    <x v="1"/>
    <x v="4"/>
    <s v="Asia"/>
    <s v="Bilateral Defense Treaty"/>
    <s v="None"/>
    <s v="INDOPACOM"/>
    <x v="9"/>
    <x v="14"/>
    <n v="4"/>
    <x v="3"/>
    <s v="Guo Boxiong"/>
    <m/>
    <s v="CMC Vice Chairman"/>
    <n v="10"/>
    <x v="2"/>
    <s v="Director of Army"/>
    <x v="0"/>
    <m/>
    <x v="0"/>
    <m/>
    <m/>
    <m/>
    <m/>
    <m/>
    <s v="Defense White Paper Appendix"/>
    <m/>
  </r>
  <r>
    <x v="1"/>
    <x v="0"/>
    <s v="Asia"/>
    <s v="Strategic Partnership [战略伙伴关系]"/>
    <s v="Major Non-NATO Ally"/>
    <s v="CENTCOM"/>
    <x v="2"/>
    <x v="14"/>
    <n v="4"/>
    <x v="3"/>
    <s v="Cao Gangchuan"/>
    <m/>
    <s v="CMC Vice Chairman; Defense Minister"/>
    <n v="10"/>
    <x v="2"/>
    <s v="Deputy Chief of Army Staff"/>
    <x v="0"/>
    <m/>
    <x v="0"/>
    <m/>
    <m/>
    <m/>
    <m/>
    <m/>
    <s v="Defense White Paper Appendix"/>
    <m/>
  </r>
  <r>
    <x v="1"/>
    <x v="8"/>
    <s v="Europe and Central Asia"/>
    <s v="No Specific Relationship"/>
    <s v="NATO"/>
    <s v="EUCOM"/>
    <x v="40"/>
    <x v="14"/>
    <n v="4"/>
    <x v="4"/>
    <s v="Jiang Futang"/>
    <m/>
    <s v="Shenyang MR Political Commissar"/>
    <n v="6"/>
    <x v="1"/>
    <m/>
    <x v="0"/>
    <m/>
    <x v="0"/>
    <m/>
    <m/>
    <m/>
    <m/>
    <m/>
    <s v="Defense White Paper Appendix"/>
    <m/>
  </r>
  <r>
    <x v="1"/>
    <x v="7"/>
    <s v="West Asia and Africa"/>
    <s v="No Specific Relationship"/>
    <s v="None"/>
    <s v="AFRICOM"/>
    <x v="16"/>
    <x v="14"/>
    <n v="4"/>
    <x v="4"/>
    <s v="Cao Gangchuan"/>
    <m/>
    <s v="CMC Vice Chairman; Defense Minister"/>
    <n v="10"/>
    <x v="1"/>
    <s v="Defense Minister"/>
    <x v="0"/>
    <m/>
    <x v="0"/>
    <m/>
    <m/>
    <m/>
    <m/>
    <m/>
    <s v="Defense White Paper Appendix"/>
    <m/>
  </r>
  <r>
    <x v="1"/>
    <x v="8"/>
    <s v="Europe and Central Asia"/>
    <s v="No Specific Relationship"/>
    <s v="NATO"/>
    <s v="EUCOM"/>
    <x v="38"/>
    <x v="14"/>
    <n v="4"/>
    <x v="3"/>
    <s v="Liang Guanglie"/>
    <m/>
    <s v="GSD Commander; CMC Member"/>
    <n v="8"/>
    <x v="2"/>
    <s v="Air Force Commander"/>
    <x v="0"/>
    <m/>
    <x v="0"/>
    <m/>
    <m/>
    <m/>
    <m/>
    <m/>
    <s v="Defense White Paper Appendix"/>
    <m/>
  </r>
  <r>
    <x v="1"/>
    <x v="2"/>
    <s v="America and Oceania"/>
    <s v="No Specific Relationship"/>
    <s v="N/A"/>
    <s v="NORTHCOM"/>
    <x v="4"/>
    <x v="14"/>
    <n v="4"/>
    <x v="4"/>
    <s v="Xiong Guangkai"/>
    <m/>
    <s v="GSD DCGS"/>
    <n v="6"/>
    <x v="1"/>
    <m/>
    <x v="0"/>
    <m/>
    <x v="0"/>
    <m/>
    <m/>
    <m/>
    <m/>
    <m/>
    <s v="Defense White Paper Appendix"/>
    <m/>
  </r>
  <r>
    <x v="1"/>
    <x v="10"/>
    <s v="America and Oceania"/>
    <s v="No Specific Relationship"/>
    <s v="None"/>
    <s v="SOUTHCOM"/>
    <x v="107"/>
    <x v="14"/>
    <n v="4"/>
    <x v="4"/>
    <s v="Sun Dafa"/>
    <m/>
    <s v="GLD Political Commissar"/>
    <n v="6"/>
    <x v="1"/>
    <m/>
    <x v="0"/>
    <m/>
    <x v="0"/>
    <m/>
    <m/>
    <m/>
    <m/>
    <m/>
    <s v="Defense White Paper Appendix"/>
    <m/>
  </r>
  <r>
    <x v="1"/>
    <x v="7"/>
    <s v="West Asia and Africa"/>
    <s v="No Specific Relationship"/>
    <s v="None"/>
    <s v="AFRICOM"/>
    <x v="76"/>
    <x v="14"/>
    <n v="5"/>
    <x v="3"/>
    <s v="Cao Gangchuan"/>
    <m/>
    <s v="CMC Vice Chairman; Defense Minister"/>
    <n v="10"/>
    <x v="2"/>
    <s v="Navy Commander"/>
    <x v="0"/>
    <m/>
    <x v="0"/>
    <m/>
    <m/>
    <m/>
    <m/>
    <m/>
    <s v="Defense White Paper Appendix"/>
    <m/>
  </r>
  <r>
    <x v="1"/>
    <x v="7"/>
    <s v="West Asia and Africa"/>
    <s v="No Specific Relationship"/>
    <s v="None"/>
    <s v="AFRICOM"/>
    <x v="105"/>
    <x v="14"/>
    <n v="5"/>
    <x v="3"/>
    <s v="Cao Gangchuan"/>
    <m/>
    <s v="CMC Vice Chairman; Defense Minister"/>
    <n v="10"/>
    <x v="2"/>
    <s v="COGS"/>
    <x v="0"/>
    <m/>
    <x v="0"/>
    <m/>
    <m/>
    <m/>
    <m/>
    <m/>
    <s v="Defense White Paper Appendix"/>
    <m/>
  </r>
  <r>
    <x v="1"/>
    <x v="5"/>
    <s v="America and Oceania"/>
    <s v="No Specific Relationship"/>
    <s v="ANZUS Treaty"/>
    <s v="INDOPACOM"/>
    <x v="12"/>
    <x v="14"/>
    <n v="5"/>
    <x v="3"/>
    <s v="Cao Gangchuan"/>
    <m/>
    <s v="CMC Vice Chairman; Defense Minister"/>
    <n v="10"/>
    <x v="2"/>
    <s v="Defense Minister"/>
    <x v="0"/>
    <m/>
    <x v="0"/>
    <m/>
    <m/>
    <m/>
    <m/>
    <m/>
    <s v="Defense White Paper Appendix"/>
    <m/>
  </r>
  <r>
    <x v="1"/>
    <x v="0"/>
    <s v="Asia"/>
    <s v="Comprehensive Cooperative Partnership [全面合作伙伴关系]"/>
    <s v="None"/>
    <s v="INDOPACOM"/>
    <x v="0"/>
    <x v="14"/>
    <n v="5"/>
    <x v="4"/>
    <s v="Liang Guanglie"/>
    <m/>
    <s v="GSD Commander; CMC Member"/>
    <n v="8"/>
    <x v="1"/>
    <m/>
    <x v="0"/>
    <m/>
    <x v="0"/>
    <m/>
    <m/>
    <m/>
    <m/>
    <m/>
    <s v="Defense White Paper Appendix"/>
    <m/>
  </r>
  <r>
    <x v="1"/>
    <x v="8"/>
    <s v="Europe and Central Asia"/>
    <s v="Strategic Partnership [战略伙伴关系]"/>
    <s v="None"/>
    <s v="EUCOM"/>
    <x v="34"/>
    <x v="14"/>
    <n v="5"/>
    <x v="3"/>
    <s v="Cao Gangchuan"/>
    <m/>
    <s v="CMC Vice Chairman; Defense Minister"/>
    <n v="10"/>
    <x v="2"/>
    <s v="Defense Minister"/>
    <x v="0"/>
    <m/>
    <x v="0"/>
    <m/>
    <m/>
    <m/>
    <m/>
    <m/>
    <s v="Defense White Paper Appendix"/>
    <m/>
  </r>
  <r>
    <x v="1"/>
    <x v="8"/>
    <s v="Europe and Central Asia"/>
    <s v="No Specific Relationship"/>
    <s v="NATO"/>
    <s v="EUCOM"/>
    <x v="68"/>
    <x v="14"/>
    <n v="5"/>
    <x v="3"/>
    <s v="Cao Gangchuan"/>
    <m/>
    <s v="CMC Vice Chairman; Defense Minister"/>
    <n v="10"/>
    <x v="2"/>
    <s v="Chief of Defense Staff"/>
    <x v="0"/>
    <m/>
    <x v="0"/>
    <m/>
    <m/>
    <m/>
    <m/>
    <m/>
    <s v="Defense White Paper Appendix"/>
    <m/>
  </r>
  <r>
    <x v="1"/>
    <x v="7"/>
    <s v="West Asia and Africa"/>
    <s v="Friendly Cooperative Partnership [友好合作伙伴关系]"/>
    <s v="None"/>
    <s v="AFRICOM"/>
    <x v="118"/>
    <x v="14"/>
    <n v="5"/>
    <x v="3"/>
    <s v="Cao Gangchuan"/>
    <m/>
    <s v="CMC Vice Chairman; Defense Minister"/>
    <n v="10"/>
    <x v="2"/>
    <s v="Chief of Staff Armed Forces"/>
    <x v="0"/>
    <m/>
    <x v="0"/>
    <m/>
    <m/>
    <m/>
    <m/>
    <m/>
    <s v="Defense White Paper Appendix"/>
    <m/>
  </r>
  <r>
    <x v="1"/>
    <x v="8"/>
    <s v="Europe and Central Asia"/>
    <s v="Comprehensive Cooperative Partnership [全面合作伙伴关系]"/>
    <s v="NATO"/>
    <s v="EUCOM"/>
    <x v="35"/>
    <x v="14"/>
    <n v="5"/>
    <x v="4"/>
    <s v="Fan Changlong"/>
    <m/>
    <s v="Jinan MR Commander"/>
    <n v="6"/>
    <x v="1"/>
    <m/>
    <x v="0"/>
    <m/>
    <x v="0"/>
    <m/>
    <m/>
    <m/>
    <m/>
    <m/>
    <s v="Defense White Paper Appendix"/>
    <m/>
  </r>
  <r>
    <x v="1"/>
    <x v="9"/>
    <s v="West Asia and Africa"/>
    <s v="No Specific Relationship"/>
    <s v="None"/>
    <s v="CENTCOM"/>
    <x v="119"/>
    <x v="14"/>
    <n v="5"/>
    <x v="3"/>
    <s v="Cao Gangchuan"/>
    <m/>
    <s v="CMC Vice Chairman; Defense Minister"/>
    <n v="10"/>
    <x v="2"/>
    <s v="Chief of Staff Armed Forces"/>
    <x v="0"/>
    <m/>
    <x v="0"/>
    <m/>
    <m/>
    <m/>
    <m/>
    <m/>
    <s v="Defense White Paper Appendix"/>
    <m/>
  </r>
  <r>
    <x v="1"/>
    <x v="8"/>
    <s v="Europe and Central Asia"/>
    <s v="No Specific Relationship"/>
    <s v="None"/>
    <s v="EUCOM"/>
    <x v="81"/>
    <x v="14"/>
    <n v="5"/>
    <x v="3"/>
    <s v="Cao Gangchuan"/>
    <m/>
    <s v="CMC Vice Chairman; Defense Minister"/>
    <n v="10"/>
    <x v="2"/>
    <s v="COGS"/>
    <x v="0"/>
    <m/>
    <x v="0"/>
    <m/>
    <m/>
    <m/>
    <m/>
    <m/>
    <s v="Defense White Paper Appendix"/>
    <m/>
  </r>
  <r>
    <x v="1"/>
    <x v="8"/>
    <s v="Europe and Central Asia"/>
    <s v="No Specific Relationship"/>
    <s v="None"/>
    <s v="EUCOM"/>
    <x v="81"/>
    <x v="14"/>
    <n v="5"/>
    <x v="4"/>
    <s v="Xiong Guangkai"/>
    <m/>
    <s v="GSD DCGS"/>
    <n v="6"/>
    <x v="1"/>
    <m/>
    <x v="0"/>
    <m/>
    <x v="0"/>
    <m/>
    <m/>
    <m/>
    <m/>
    <m/>
    <s v="Defense White Paper Appendix"/>
    <m/>
  </r>
  <r>
    <x v="1"/>
    <x v="8"/>
    <s v="Europe and Central Asia"/>
    <s v="Comprehensive Partnership [全面伙伴关系]"/>
    <s v="NATO"/>
    <s v="EUCOM"/>
    <x v="22"/>
    <x v="14"/>
    <n v="5"/>
    <x v="4"/>
    <s v="Xiong Guangkai"/>
    <m/>
    <s v="GSD DCGS"/>
    <n v="6"/>
    <x v="1"/>
    <m/>
    <x v="0"/>
    <m/>
    <x v="0"/>
    <m/>
    <m/>
    <m/>
    <m/>
    <m/>
    <s v="Defense White Paper Appendix"/>
    <m/>
  </r>
  <r>
    <x v="1"/>
    <x v="7"/>
    <s v="West Asia and Africa"/>
    <s v="No Specific Relationship"/>
    <s v="None"/>
    <s v="AFRICOM"/>
    <x v="67"/>
    <x v="14"/>
    <n v="5"/>
    <x v="3"/>
    <s v="Cao Gangchuan"/>
    <m/>
    <s v="CMC Vice Chairman; Defense Minister"/>
    <n v="10"/>
    <x v="2"/>
    <s v="Secretary-General of Defense Ministry"/>
    <x v="0"/>
    <m/>
    <x v="0"/>
    <m/>
    <m/>
    <m/>
    <m/>
    <m/>
    <s v="Defense White Paper Appendix"/>
    <m/>
  </r>
  <r>
    <x v="1"/>
    <x v="8"/>
    <s v="Europe and Central Asia"/>
    <s v="No Specific Relationship"/>
    <s v="NATO"/>
    <s v="EUCOM"/>
    <x v="18"/>
    <x v="14"/>
    <n v="5"/>
    <x v="4"/>
    <s v="Liang Guanglie"/>
    <m/>
    <s v="GSD Commander; CMC Member"/>
    <n v="8"/>
    <x v="1"/>
    <m/>
    <x v="0"/>
    <m/>
    <x v="0"/>
    <m/>
    <m/>
    <m/>
    <m/>
    <m/>
    <s v="Defense White Paper Appendix"/>
    <m/>
  </r>
  <r>
    <x v="1"/>
    <x v="8"/>
    <s v="Europe and Central Asia"/>
    <s v="No Specific Relationship"/>
    <s v="NATO"/>
    <s v="EUCOM"/>
    <x v="29"/>
    <x v="14"/>
    <n v="5"/>
    <x v="3"/>
    <s v="Cao Gangchuan"/>
    <m/>
    <s v="CMC Vice Chairman; Defense Minister"/>
    <n v="10"/>
    <x v="2"/>
    <s v="Defense Minister"/>
    <x v="0"/>
    <m/>
    <x v="0"/>
    <m/>
    <m/>
    <m/>
    <m/>
    <m/>
    <s v="Defense White Paper Appendix"/>
    <m/>
  </r>
  <r>
    <x v="1"/>
    <x v="10"/>
    <s v="America and Oceania"/>
    <s v="No Specific Relationship"/>
    <s v="None"/>
    <s v="SOUTHCOM"/>
    <x v="88"/>
    <x v="14"/>
    <n v="5"/>
    <x v="3"/>
    <s v="Xu Caihou"/>
    <m/>
    <s v="CMC Vice Chairman"/>
    <n v="10"/>
    <x v="2"/>
    <s v="Chief of the Defense Staff"/>
    <x v="0"/>
    <m/>
    <x v="0"/>
    <m/>
    <m/>
    <m/>
    <m/>
    <m/>
    <s v="Defense White Paper Appendix"/>
    <m/>
  </r>
  <r>
    <x v="1"/>
    <x v="8"/>
    <s v="Europe and Central Asia"/>
    <s v="No Specific Relationship"/>
    <s v="NATO"/>
    <s v="EUCOM"/>
    <x v="82"/>
    <x v="14"/>
    <n v="5"/>
    <x v="3"/>
    <s v="Cao Gangchuan"/>
    <m/>
    <s v="CMC Vice Chairman; Defense Minister"/>
    <n v="10"/>
    <x v="2"/>
    <s v="Defense Minister"/>
    <x v="0"/>
    <m/>
    <x v="0"/>
    <m/>
    <m/>
    <m/>
    <m/>
    <m/>
    <s v="Defense White Paper Appendix"/>
    <m/>
  </r>
  <r>
    <x v="1"/>
    <x v="0"/>
    <s v="Asia"/>
    <s v="Strategic Partnership for Peace and Prosperity [战略伙伴关系]"/>
    <s v="None"/>
    <s v="INDOPACOM"/>
    <x v="6"/>
    <x v="14"/>
    <n v="5"/>
    <x v="4"/>
    <s v="Liang Guanglie"/>
    <m/>
    <s v="GSD Commander; CMC Member"/>
    <n v="8"/>
    <x v="1"/>
    <s v="Defense Minister"/>
    <x v="0"/>
    <m/>
    <x v="0"/>
    <m/>
    <m/>
    <m/>
    <m/>
    <m/>
    <s v="Defense White Paper Appendix"/>
    <m/>
  </r>
  <r>
    <x v="1"/>
    <x v="8"/>
    <s v="Europe and Central Asia"/>
    <s v="Comprehensive Strategic Partnership [全面战略伙伴关系]"/>
    <s v="NATO"/>
    <s v="EUCOM"/>
    <x v="20"/>
    <x v="14"/>
    <n v="5"/>
    <x v="3"/>
    <s v="Cao Gangchuan"/>
    <m/>
    <s v="CMC Vice Chairman; Defense Minister"/>
    <n v="10"/>
    <x v="2"/>
    <s v="Chief of Italian Army"/>
    <x v="0"/>
    <m/>
    <x v="0"/>
    <m/>
    <m/>
    <m/>
    <m/>
    <m/>
    <s v="Defense White Paper Appendix"/>
    <m/>
  </r>
  <r>
    <x v="1"/>
    <x v="8"/>
    <s v="Europe and Central Asia"/>
    <s v="Comprehensive Strategic Partnership [全面战略伙伴关系]"/>
    <s v="NATO"/>
    <s v="EUCOM"/>
    <x v="20"/>
    <x v="14"/>
    <n v="5"/>
    <x v="4"/>
    <s v="Chen Bingde"/>
    <m/>
    <s v="GAD Director; CMC Member"/>
    <n v="8"/>
    <x v="1"/>
    <m/>
    <x v="0"/>
    <m/>
    <x v="0"/>
    <m/>
    <m/>
    <m/>
    <m/>
    <m/>
    <s v="Defense White Paper Appendix"/>
    <m/>
  </r>
  <r>
    <x v="1"/>
    <x v="6"/>
    <s v="Europe and Central Asia"/>
    <s v="Strategic Partnership [战略伙伴关系]"/>
    <s v="None"/>
    <s v="CENTCOM"/>
    <x v="30"/>
    <x v="14"/>
    <n v="5"/>
    <x v="3"/>
    <s v="Cao Gangchuan"/>
    <m/>
    <s v="CMC Vice Chairman; Defense Minister"/>
    <n v="10"/>
    <x v="2"/>
    <s v="Deputy Defense Minister"/>
    <x v="0"/>
    <m/>
    <x v="0"/>
    <m/>
    <m/>
    <m/>
    <m/>
    <m/>
    <s v="Defense White Paper Appendix"/>
    <m/>
  </r>
  <r>
    <x v="1"/>
    <x v="6"/>
    <s v="Europe and Central Asia"/>
    <s v="No Specific Relationship"/>
    <s v="None"/>
    <s v="CENTCOM"/>
    <x v="31"/>
    <x v="14"/>
    <n v="5"/>
    <x v="3"/>
    <s v="Cao Gangchuan"/>
    <m/>
    <s v="CMC Vice Chairman; Defense Minister"/>
    <n v="10"/>
    <x v="2"/>
    <s v="Defense Minister"/>
    <x v="0"/>
    <m/>
    <x v="0"/>
    <m/>
    <m/>
    <m/>
    <m/>
    <m/>
    <s v="Defense White Paper Appendix"/>
    <m/>
  </r>
  <r>
    <x v="1"/>
    <x v="7"/>
    <s v="West Asia and Africa"/>
    <s v="No Specific Relationship"/>
    <s v="None"/>
    <s v="AFRICOM"/>
    <x v="84"/>
    <x v="14"/>
    <n v="5"/>
    <x v="3"/>
    <s v="Cao Gangchuan"/>
    <m/>
    <s v="CMC Vice Chairman; Defense Minister"/>
    <n v="10"/>
    <x v="2"/>
    <s v="Defense Minister"/>
    <x v="0"/>
    <m/>
    <x v="0"/>
    <m/>
    <m/>
    <m/>
    <m/>
    <m/>
    <s v="Defense White Paper Appendix"/>
    <m/>
  </r>
  <r>
    <x v="1"/>
    <x v="10"/>
    <s v="America and Oceania"/>
    <s v="Comprehensive Partnership [全面伙伴关系]"/>
    <s v="None"/>
    <s v="SOUTHCOM"/>
    <x v="54"/>
    <x v="14"/>
    <n v="5"/>
    <x v="3"/>
    <s v="Cao Gangchuan"/>
    <m/>
    <s v="CMC Vice Chairman; Defense Minister"/>
    <n v="10"/>
    <x v="2"/>
    <s v="Defense Minister"/>
    <x v="0"/>
    <m/>
    <x v="0"/>
    <m/>
    <m/>
    <m/>
    <m/>
    <m/>
    <s v="Defense White Paper Appendix"/>
    <m/>
  </r>
  <r>
    <x v="1"/>
    <x v="8"/>
    <s v="Europe and Central Asia"/>
    <s v="Comprehensive Friendly Cooperative Partnership [全面友好合作伙伴关系]"/>
    <s v="NATO"/>
    <s v="EUCOM"/>
    <x v="33"/>
    <x v="14"/>
    <n v="5"/>
    <x v="3"/>
    <s v="Xu Caihou"/>
    <m/>
    <s v="CMC Vice Chairman"/>
    <n v="10"/>
    <x v="2"/>
    <s v="Chief of Land Forces"/>
    <x v="0"/>
    <m/>
    <x v="0"/>
    <m/>
    <m/>
    <m/>
    <m/>
    <m/>
    <s v="Defense White Paper Appendix"/>
    <m/>
  </r>
  <r>
    <x v="1"/>
    <x v="3"/>
    <s v="Europe and Central Asia"/>
    <s v="Strategic Partnership of Coordination [战略协作伙伴关系]"/>
    <s v="None"/>
    <s v="EUCOM"/>
    <x v="7"/>
    <x v="14"/>
    <n v="5"/>
    <x v="3"/>
    <s v="Cao Gangchuan"/>
    <m/>
    <s v="CMC Vice Chairman; Defense Minister"/>
    <n v="10"/>
    <x v="2"/>
    <s v="Defense Minister"/>
    <x v="0"/>
    <m/>
    <x v="0"/>
    <m/>
    <m/>
    <m/>
    <m/>
    <m/>
    <s v="Defense White Paper Appendix"/>
    <m/>
  </r>
  <r>
    <x v="1"/>
    <x v="3"/>
    <s v="Europe and Central Asia"/>
    <s v="Strategic Partnership of Coordination [战略协作伙伴关系]"/>
    <s v="None"/>
    <s v="EUCOM"/>
    <x v="7"/>
    <x v="14"/>
    <n v="5"/>
    <x v="4"/>
    <s v="Fan Changlong"/>
    <m/>
    <s v="Jinan MR Commander"/>
    <n v="6"/>
    <x v="1"/>
    <m/>
    <x v="0"/>
    <m/>
    <x v="0"/>
    <m/>
    <m/>
    <m/>
    <m/>
    <m/>
    <s v="Defense White Paper Appendix"/>
    <m/>
  </r>
  <r>
    <x v="1"/>
    <x v="7"/>
    <s v="West Asia and Africa"/>
    <s v="Strategic Partnership [战略伙伴关系]"/>
    <s v="None"/>
    <s v="AFRICOM"/>
    <x v="15"/>
    <x v="14"/>
    <n v="5"/>
    <x v="3"/>
    <s v="Cao Gangchuan"/>
    <m/>
    <s v="CMC Vice Chairman; Defense Minister"/>
    <n v="10"/>
    <x v="2"/>
    <s v="Secretary of Defense"/>
    <x v="0"/>
    <m/>
    <x v="0"/>
    <m/>
    <m/>
    <m/>
    <m/>
    <m/>
    <s v="Defense White Paper Appendix"/>
    <m/>
  </r>
  <r>
    <x v="1"/>
    <x v="4"/>
    <s v="Asia"/>
    <s v="Comprehensive Cooperative Partnership [全面合作伙伴关系]"/>
    <s v="Bilateral Defense Treaty"/>
    <s v="INDOPACOM"/>
    <x v="25"/>
    <x v="14"/>
    <n v="5"/>
    <x v="3"/>
    <s v="Cao Gangchuan"/>
    <m/>
    <s v="CMC Vice Chairman; Defense Minister"/>
    <n v="10"/>
    <x v="2"/>
    <s v="COGS ROKAF"/>
    <x v="0"/>
    <m/>
    <x v="0"/>
    <m/>
    <m/>
    <m/>
    <m/>
    <m/>
    <s v="Defense White Paper Appendix"/>
    <m/>
  </r>
  <r>
    <x v="1"/>
    <x v="7"/>
    <s v="West Asia and Africa"/>
    <s v="No Specific Relationship"/>
    <s v="None"/>
    <s v="AFRICOM"/>
    <x v="74"/>
    <x v="14"/>
    <n v="5"/>
    <x v="3"/>
    <s v="Cao Gangchuan"/>
    <m/>
    <s v="CMC Vice Chairman; Defense Minister"/>
    <n v="10"/>
    <x v="2"/>
    <s v="COGS "/>
    <x v="0"/>
    <m/>
    <x v="0"/>
    <m/>
    <m/>
    <m/>
    <m/>
    <m/>
    <s v="Defense White Paper Appendix"/>
    <m/>
  </r>
  <r>
    <x v="1"/>
    <x v="6"/>
    <s v="Europe and Central Asia"/>
    <s v="No Specific Relationship"/>
    <s v="None"/>
    <s v="CENTCOM"/>
    <x v="60"/>
    <x v="14"/>
    <n v="5"/>
    <x v="3"/>
    <s v="Cao Gangchuan"/>
    <m/>
    <s v="CMC Vice Chairman; Defense Minister"/>
    <n v="10"/>
    <x v="2"/>
    <s v="Defense Minister"/>
    <x v="0"/>
    <m/>
    <x v="0"/>
    <m/>
    <m/>
    <m/>
    <m/>
    <m/>
    <s v="Defense White Paper Appendix"/>
    <m/>
  </r>
  <r>
    <x v="1"/>
    <x v="1"/>
    <s v="Asia"/>
    <s v="No Specific Relationship"/>
    <s v="Bilateral Defense Treaty"/>
    <s v="INDOPACOM"/>
    <x v="5"/>
    <x v="14"/>
    <n v="5"/>
    <x v="3"/>
    <s v="Cao Gangchuan"/>
    <m/>
    <s v="CMC Vice Chairman; Defense Minister"/>
    <n v="10"/>
    <x v="2"/>
    <s v="CinC Army"/>
    <x v="0"/>
    <m/>
    <x v="0"/>
    <m/>
    <m/>
    <m/>
    <m/>
    <m/>
    <s v="Defense White Paper Appendix"/>
    <m/>
  </r>
  <r>
    <x v="1"/>
    <x v="8"/>
    <s v="Europe and Central Asia"/>
    <s v="No Specific Relationship"/>
    <s v="NATO"/>
    <s v="EUCOM"/>
    <x v="38"/>
    <x v="14"/>
    <n v="5"/>
    <x v="3"/>
    <s v="Cao Gangchuan"/>
    <m/>
    <s v="CMC Vice Chairman; Defense Minister"/>
    <n v="10"/>
    <x v="2"/>
    <s v="Gendarmerie Commander"/>
    <x v="0"/>
    <m/>
    <x v="0"/>
    <m/>
    <m/>
    <m/>
    <m/>
    <m/>
    <s v="Defense White Paper Appendix"/>
    <m/>
  </r>
  <r>
    <x v="1"/>
    <x v="8"/>
    <s v="Europe and Central Asia"/>
    <s v="No Specific Relationship"/>
    <s v="NATO"/>
    <s v="EUCOM"/>
    <x v="38"/>
    <x v="14"/>
    <n v="5"/>
    <x v="4"/>
    <s v="Liang Guanglie"/>
    <m/>
    <s v="GSD Commander; CMC Member"/>
    <n v="8"/>
    <x v="1"/>
    <s v="Defense Minister"/>
    <x v="0"/>
    <m/>
    <x v="0"/>
    <m/>
    <m/>
    <m/>
    <m/>
    <m/>
    <s v="Defense White Paper Appendix"/>
    <m/>
  </r>
  <r>
    <x v="1"/>
    <x v="8"/>
    <s v="Europe and Central Asia"/>
    <s v="Comprehensive Strategic Partnership [全面战略伙伴关系]"/>
    <s v="NATO"/>
    <s v="EUCOM"/>
    <x v="21"/>
    <x v="14"/>
    <n v="5"/>
    <x v="4"/>
    <s v="Chen Bingde"/>
    <m/>
    <s v="GAD Director; CMC Member"/>
    <n v="8"/>
    <x v="1"/>
    <m/>
    <x v="0"/>
    <m/>
    <x v="0"/>
    <m/>
    <m/>
    <m/>
    <m/>
    <m/>
    <s v="Defense White Paper Appendix"/>
    <m/>
  </r>
  <r>
    <x v="1"/>
    <x v="6"/>
    <s v="Europe and Central Asia"/>
    <s v="No Specific Relationship"/>
    <s v="None"/>
    <s v="CENTCOM"/>
    <x v="73"/>
    <x v="14"/>
    <n v="5"/>
    <x v="3"/>
    <s v="Cao Gangchuan"/>
    <m/>
    <s v="CMC Vice Chairman; Defense Minister"/>
    <n v="10"/>
    <x v="2"/>
    <s v="Deputy Defense Minister"/>
    <x v="0"/>
    <m/>
    <x v="0"/>
    <m/>
    <m/>
    <m/>
    <m/>
    <m/>
    <s v="Defense White Paper Appendix"/>
    <m/>
  </r>
  <r>
    <x v="1"/>
    <x v="10"/>
    <s v="America and Oceania"/>
    <s v="No Specific Relationship"/>
    <s v="None"/>
    <s v="SOUTHCOM"/>
    <x v="49"/>
    <x v="14"/>
    <n v="6"/>
    <x v="4"/>
    <s v="Li Jinai"/>
    <m/>
    <s v="GPD Deputy Director"/>
    <n v="8"/>
    <x v="1"/>
    <m/>
    <x v="0"/>
    <m/>
    <x v="0"/>
    <m/>
    <m/>
    <m/>
    <m/>
    <m/>
    <s v="Defense White Paper Appendix"/>
    <s v="Updated positions with DWP"/>
  </r>
  <r>
    <x v="1"/>
    <x v="9"/>
    <s v="West Asia and Africa"/>
    <s v="Strategic Cooperative Partnership [战略合作伙伴关系]"/>
    <s v="Major Non-NATO Ally"/>
    <s v="CENTCOM"/>
    <x v="24"/>
    <x v="14"/>
    <n v="6"/>
    <x v="4"/>
    <s v="Fu Tinggui"/>
    <m/>
    <s v="Beijing MR Political Commissar"/>
    <n v="6"/>
    <x v="1"/>
    <m/>
    <x v="0"/>
    <m/>
    <x v="0"/>
    <m/>
    <m/>
    <m/>
    <m/>
    <m/>
    <s v="Defense White Paper Appendix"/>
    <m/>
  </r>
  <r>
    <x v="1"/>
    <x v="8"/>
    <s v="Europe and Central Asia"/>
    <s v="Comprehensive Partnership [全面伙伴关系]"/>
    <s v="NATO"/>
    <s v="EUCOM"/>
    <x v="22"/>
    <x v="14"/>
    <n v="6"/>
    <x v="4"/>
    <s v="Xiong Guangkai"/>
    <m/>
    <s v="GSD DCGS"/>
    <n v="6"/>
    <x v="1"/>
    <m/>
    <x v="0"/>
    <m/>
    <x v="0"/>
    <m/>
    <m/>
    <m/>
    <m/>
    <m/>
    <s v="Defense White Paper Appendix"/>
    <m/>
  </r>
  <r>
    <x v="1"/>
    <x v="8"/>
    <s v="Europe and Central Asia"/>
    <s v="No Specific Relationship"/>
    <s v="NATO"/>
    <s v="EUCOM"/>
    <x v="18"/>
    <x v="14"/>
    <n v="6"/>
    <x v="4"/>
    <s v="Zheng Shenxia"/>
    <m/>
    <s v="AMS President"/>
    <n v="6"/>
    <x v="1"/>
    <m/>
    <x v="0"/>
    <m/>
    <x v="0"/>
    <m/>
    <m/>
    <m/>
    <m/>
    <m/>
    <s v="Defense White Paper Appendix"/>
    <m/>
  </r>
  <r>
    <x v="1"/>
    <x v="7"/>
    <s v="West Asia and Africa"/>
    <s v="No Specific Relationship"/>
    <s v="None"/>
    <s v="AFRICOM"/>
    <x v="47"/>
    <x v="14"/>
    <n v="6"/>
    <x v="4"/>
    <m/>
    <m/>
    <s v="GLD Deputy Director"/>
    <n v="8"/>
    <x v="1"/>
    <m/>
    <x v="0"/>
    <m/>
    <x v="0"/>
    <m/>
    <m/>
    <m/>
    <m/>
    <m/>
    <s v="Defense White Paper Appendix"/>
    <s v="Updated positions with DWP"/>
  </r>
  <r>
    <x v="1"/>
    <x v="2"/>
    <s v="America and Oceania"/>
    <s v="Strategic Cooperative Partnership [战略合作伙伴关系]"/>
    <s v="None"/>
    <s v="NORTHCOM"/>
    <x v="77"/>
    <x v="14"/>
    <n v="6"/>
    <x v="4"/>
    <s v="Li Jinai"/>
    <m/>
    <s v="GPD Deputy Director"/>
    <n v="8"/>
    <x v="1"/>
    <m/>
    <x v="0"/>
    <m/>
    <x v="0"/>
    <m/>
    <m/>
    <m/>
    <m/>
    <m/>
    <s v="Defense White Paper Appendix"/>
    <s v="Updated positions with DWP"/>
  </r>
  <r>
    <x v="1"/>
    <x v="1"/>
    <s v="Asia"/>
    <s v="Strategic Cooperative Partnership [战略合作伙伴关系]"/>
    <s v="Bilateral Defense Treaty"/>
    <s v="INDOPACOM"/>
    <x v="11"/>
    <x v="14"/>
    <n v="6"/>
    <x v="4"/>
    <m/>
    <m/>
    <s v="GLD Deputy Director"/>
    <n v="8"/>
    <x v="1"/>
    <m/>
    <x v="0"/>
    <m/>
    <x v="0"/>
    <m/>
    <m/>
    <m/>
    <m/>
    <m/>
    <s v="Defense White Paper Appendix"/>
    <s v="Updated positions with DWP"/>
  </r>
  <r>
    <x v="1"/>
    <x v="3"/>
    <s v="Europe and Central Asia"/>
    <s v="Strategic Partnership of Coordination [战略协作伙伴关系]"/>
    <s v="None"/>
    <s v="EUCOM"/>
    <x v="7"/>
    <x v="14"/>
    <n v="6"/>
    <x v="4"/>
    <s v="Xiong Guangkai"/>
    <m/>
    <s v="GSD DCGS"/>
    <n v="8"/>
    <x v="1"/>
    <m/>
    <x v="0"/>
    <m/>
    <x v="0"/>
    <m/>
    <m/>
    <m/>
    <m/>
    <m/>
    <s v="Defense White Paper Appendix"/>
    <s v="Updated positions with DWP"/>
  </r>
  <r>
    <x v="1"/>
    <x v="9"/>
    <s v="West Asia and Africa"/>
    <s v="No Specific Relationship"/>
    <s v="None"/>
    <s v="CENTCOM"/>
    <x v="102"/>
    <x v="14"/>
    <n v="6"/>
    <x v="4"/>
    <s v="Fu Tinggui"/>
    <m/>
    <s v="Beijing MR Political Commissar"/>
    <n v="6"/>
    <x v="1"/>
    <m/>
    <x v="0"/>
    <m/>
    <x v="0"/>
    <m/>
    <m/>
    <m/>
    <m/>
    <m/>
    <s v="Defense White Paper Appendix"/>
    <m/>
  </r>
  <r>
    <x v="1"/>
    <x v="6"/>
    <s v="Europe and Central Asia"/>
    <s v="No Specific Relationship"/>
    <s v="None"/>
    <s v="CENTCOM"/>
    <x v="60"/>
    <x v="14"/>
    <n v="6"/>
    <x v="3"/>
    <s v="He Yong"/>
    <m/>
    <s v="Member of Secretariat "/>
    <n v="6"/>
    <x v="2"/>
    <s v="Commander, National Guard"/>
    <x v="0"/>
    <m/>
    <x v="0"/>
    <m/>
    <m/>
    <m/>
    <m/>
    <m/>
    <s v="Defense White Paper Appendix"/>
    <m/>
  </r>
  <r>
    <x v="1"/>
    <x v="7"/>
    <s v="West Asia and Africa"/>
    <s v="No Specific Relationship"/>
    <s v="None"/>
    <s v="AFRICOM"/>
    <x v="16"/>
    <x v="14"/>
    <n v="6"/>
    <x v="4"/>
    <m/>
    <m/>
    <s v="GLD Deputy Director"/>
    <n v="8"/>
    <x v="1"/>
    <m/>
    <x v="0"/>
    <m/>
    <x v="0"/>
    <m/>
    <m/>
    <m/>
    <m/>
    <m/>
    <s v="Defense White Paper Appendix"/>
    <s v="Updated positions with DWP"/>
  </r>
  <r>
    <x v="1"/>
    <x v="8"/>
    <s v="Europe and Central Asia"/>
    <s v="No Specific Relationship"/>
    <s v="None"/>
    <s v="EUCOM"/>
    <x v="26"/>
    <x v="14"/>
    <n v="6"/>
    <x v="4"/>
    <s v="Zheng Shenxia"/>
    <m/>
    <s v="AMS President"/>
    <n v="6"/>
    <x v="1"/>
    <m/>
    <x v="0"/>
    <m/>
    <x v="0"/>
    <m/>
    <m/>
    <m/>
    <m/>
    <m/>
    <s v="Defense White Paper Appendix"/>
    <m/>
  </r>
  <r>
    <x v="1"/>
    <x v="8"/>
    <s v="Europe and Central Asia"/>
    <s v="Comprehensive Strategic Partnership [全面战略伙伴关系]"/>
    <s v="NATO"/>
    <s v="EUCOM"/>
    <x v="21"/>
    <x v="14"/>
    <n v="6"/>
    <x v="3"/>
    <s v="Xu Qiliang"/>
    <m/>
    <s v="GSD DCGS"/>
    <n v="6"/>
    <x v="2"/>
    <s v="Director, Royal College of Defense Studies"/>
    <x v="0"/>
    <m/>
    <x v="0"/>
    <m/>
    <m/>
    <m/>
    <m/>
    <m/>
    <s v="https://dlib.eastview.com/browse/doc/14694891"/>
    <m/>
  </r>
  <r>
    <x v="1"/>
    <x v="2"/>
    <s v="America and Oceania"/>
    <s v="No Specific Relationship"/>
    <s v="N/A"/>
    <s v="NORTHCOM"/>
    <x v="4"/>
    <x v="14"/>
    <n v="6"/>
    <x v="3"/>
    <s v="Xu Qiliang"/>
    <m/>
    <s v="GSD DCGS"/>
    <n v="6"/>
    <x v="2"/>
    <s v="Superintendent USMA West Point"/>
    <x v="0"/>
    <m/>
    <x v="0"/>
    <m/>
    <m/>
    <m/>
    <m/>
    <m/>
    <s v="https://dlib.eastview.com/browse/doc/14696449"/>
    <m/>
  </r>
  <r>
    <x v="1"/>
    <x v="0"/>
    <s v="Asia"/>
    <s v="Comprehensive Cooperative Partnership [全面合作伙伴关系]"/>
    <s v="None"/>
    <s v="INDOPACOM"/>
    <x v="0"/>
    <x v="14"/>
    <n v="7"/>
    <x v="3"/>
    <s v="Zhang Dingfa"/>
    <m/>
    <s v="PLAN Commander "/>
    <n v="8"/>
    <x v="2"/>
    <s v="Chief of Naval Staff"/>
    <x v="0"/>
    <m/>
    <x v="0"/>
    <m/>
    <m/>
    <m/>
    <m/>
    <m/>
    <s v="Defense White Paper Appendix"/>
    <s v="No corroborating reporting on this visit; assess PLAN commander as likely counterpart"/>
  </r>
  <r>
    <x v="1"/>
    <x v="8"/>
    <s v="Europe and Central Asia"/>
    <s v="No Specific Relationship"/>
    <s v="NATO"/>
    <s v="EUCOM"/>
    <x v="79"/>
    <x v="14"/>
    <n v="7"/>
    <x v="4"/>
    <s v="Li Jinai"/>
    <m/>
    <s v="GPD Deputy Director"/>
    <n v="8"/>
    <x v="1"/>
    <m/>
    <x v="0"/>
    <m/>
    <x v="0"/>
    <m/>
    <m/>
    <m/>
    <m/>
    <m/>
    <s v="Defense White Paper Appendix"/>
    <s v="Updated positions with DWP"/>
  </r>
  <r>
    <x v="1"/>
    <x v="8"/>
    <s v="Europe and Central Asia"/>
    <s v="Comprehensive Friendly Cooperative Partnership [全面友好合作伙伴关系]"/>
    <s v="NATO"/>
    <s v="EUCOM"/>
    <x v="33"/>
    <x v="14"/>
    <n v="7"/>
    <x v="3"/>
    <s v="Liang Guanglie"/>
    <m/>
    <s v="GSD Commander; CMC Member"/>
    <n v="8"/>
    <x v="2"/>
    <s v="COGS"/>
    <x v="0"/>
    <m/>
    <x v="0"/>
    <m/>
    <m/>
    <m/>
    <m/>
    <m/>
    <s v="Defense White Paper Appendix"/>
    <m/>
  </r>
  <r>
    <x v="1"/>
    <x v="8"/>
    <s v="Europe and Central Asia"/>
    <s v="No Specific Relationship"/>
    <s v="None"/>
    <s v="EUCOM"/>
    <x v="78"/>
    <x v="14"/>
    <n v="7"/>
    <x v="4"/>
    <s v="Li Jinai"/>
    <m/>
    <s v="GPD Deputy Director"/>
    <n v="8"/>
    <x v="1"/>
    <m/>
    <x v="0"/>
    <m/>
    <x v="0"/>
    <m/>
    <m/>
    <m/>
    <m/>
    <m/>
    <s v="Defense White Paper Appendix"/>
    <s v="Updated positions with DWP"/>
  </r>
  <r>
    <x v="1"/>
    <x v="1"/>
    <s v="Asia"/>
    <s v="No Specific Relationship"/>
    <s v="Bilateral Defense Treaty"/>
    <s v="INDOPACOM"/>
    <x v="5"/>
    <x v="14"/>
    <n v="7"/>
    <x v="3"/>
    <s v="Cao Gangchuan"/>
    <m/>
    <s v="CMC Vice Chairman; Defense Minister"/>
    <n v="8"/>
    <x v="2"/>
    <s v="Assistant Defense Minister"/>
    <x v="0"/>
    <m/>
    <x v="0"/>
    <m/>
    <m/>
    <m/>
    <m/>
    <m/>
    <s v="https://dlib.eastview.com/browse/doc/14675628"/>
    <m/>
  </r>
  <r>
    <x v="1"/>
    <x v="2"/>
    <s v="America and Oceania"/>
    <s v="No Specific Relationship"/>
    <s v="N/A"/>
    <s v="NORTHCOM"/>
    <x v="4"/>
    <x v="14"/>
    <n v="7"/>
    <x v="4"/>
    <s v="Liu Zhenwu"/>
    <m/>
    <s v="Guangzhou MR Commander"/>
    <n v="6"/>
    <x v="1"/>
    <m/>
    <x v="0"/>
    <m/>
    <x v="0"/>
    <m/>
    <m/>
    <m/>
    <m/>
    <m/>
    <s v="Defense White Paper Appendix"/>
    <m/>
  </r>
  <r>
    <x v="1"/>
    <x v="5"/>
    <s v="America and Oceania"/>
    <s v="No Specific Relationship"/>
    <s v="None"/>
    <s v="INDOPACOM"/>
    <x v="120"/>
    <x v="14"/>
    <n v="7"/>
    <x v="3"/>
    <s v="Cao Gangchuan"/>
    <m/>
    <s v="CMC Vice Chairman; Defense Minister"/>
    <n v="10"/>
    <x v="2"/>
    <s v="Minister of Home Affairs"/>
    <x v="0"/>
    <m/>
    <x v="0"/>
    <m/>
    <m/>
    <m/>
    <m/>
    <m/>
    <s v="Defense White Paper Appendix"/>
    <m/>
  </r>
  <r>
    <x v="1"/>
    <x v="1"/>
    <s v="Asia"/>
    <s v="No Specific Relationship"/>
    <s v="None"/>
    <s v="INDOPACOM"/>
    <x v="23"/>
    <x v="14"/>
    <n v="7"/>
    <x v="3"/>
    <s v="Liang Guanglie"/>
    <m/>
    <s v="GSD Commander; CMC Member"/>
    <n v="8"/>
    <x v="2"/>
    <s v="Deputy Defense Minister"/>
    <x v="0"/>
    <m/>
    <x v="0"/>
    <m/>
    <m/>
    <m/>
    <m/>
    <m/>
    <s v="https://dlib.eastview.com/browse/doc/14698980"/>
    <m/>
  </r>
  <r>
    <x v="1"/>
    <x v="7"/>
    <s v="West Asia and Africa"/>
    <s v="No Specific Relationship"/>
    <s v="None"/>
    <s v="AFRICOM"/>
    <x v="61"/>
    <x v="14"/>
    <n v="7"/>
    <x v="3"/>
    <s v="Cao Gangchuan"/>
    <m/>
    <s v="CMC Vice Chairman; Defense Minister"/>
    <n v="8"/>
    <x v="2"/>
    <s v="Defense Minister"/>
    <x v="0"/>
    <m/>
    <x v="0"/>
    <m/>
    <m/>
    <m/>
    <m/>
    <m/>
    <s v="https://dlib.eastview.com/browse/doc/14680808"/>
    <m/>
  </r>
  <r>
    <x v="1"/>
    <x v="7"/>
    <s v="West Asia and Africa"/>
    <s v="Comprehensive Strategic Cooperative Partnership [全面战略合作伙伴关系]"/>
    <s v="None"/>
    <s v="AFRICOM"/>
    <x v="71"/>
    <x v="14"/>
    <n v="8"/>
    <x v="4"/>
    <s v="Zhu Wenquan"/>
    <m/>
    <s v="Nanjing MR Commander"/>
    <n v="6"/>
    <x v="1"/>
    <m/>
    <x v="0"/>
    <m/>
    <x v="0"/>
    <m/>
    <m/>
    <m/>
    <m/>
    <m/>
    <s v="Defense White Paper Appendix"/>
    <m/>
  </r>
  <r>
    <x v="1"/>
    <x v="7"/>
    <s v="West Asia and Africa"/>
    <s v="No Specific Relationship"/>
    <s v="None"/>
    <s v="AFRICOM"/>
    <x v="95"/>
    <x v="14"/>
    <n v="8"/>
    <x v="4"/>
    <s v="Zhu Wenquan"/>
    <m/>
    <s v="Nanjing MR Commander"/>
    <n v="6"/>
    <x v="1"/>
    <m/>
    <x v="0"/>
    <m/>
    <x v="0"/>
    <m/>
    <m/>
    <m/>
    <m/>
    <m/>
    <s v="Defense White Paper Appendix"/>
    <m/>
  </r>
  <r>
    <x v="1"/>
    <x v="9"/>
    <s v="West Asia and Africa"/>
    <s v="No Specific Relationship"/>
    <s v="None"/>
    <s v="CENTCOM"/>
    <x v="89"/>
    <x v="14"/>
    <n v="8"/>
    <x v="4"/>
    <s v="Zhu Wenquan"/>
    <m/>
    <s v="Nanjing MR Commander"/>
    <n v="6"/>
    <x v="1"/>
    <m/>
    <x v="0"/>
    <m/>
    <x v="0"/>
    <m/>
    <m/>
    <m/>
    <m/>
    <m/>
    <s v="Defense White Paper Appendix"/>
    <m/>
  </r>
  <r>
    <x v="1"/>
    <x v="7"/>
    <s v="West Asia and Africa"/>
    <s v="No Specific Relationship"/>
    <s v="None"/>
    <s v="AFRICOM"/>
    <x v="121"/>
    <x v="14"/>
    <n v="8"/>
    <x v="3"/>
    <s v="Cao Gangchuan"/>
    <m/>
    <s v="CMC Vice Chairman; Defense Minister"/>
    <n v="10"/>
    <x v="2"/>
    <s v="Minister of Defense and Retired Servicemen"/>
    <x v="0"/>
    <m/>
    <x v="0"/>
    <m/>
    <m/>
    <m/>
    <m/>
    <m/>
    <s v="Defense White Paper Appendix"/>
    <m/>
  </r>
  <r>
    <x v="2"/>
    <x v="3"/>
    <s v="Europe and Central Asia"/>
    <s v="Strategic Partnership of Coordination [战略协作伙伴关系]"/>
    <s v="None"/>
    <s v="EUCOM"/>
    <x v="7"/>
    <x v="14"/>
    <n v="8"/>
    <x v="5"/>
    <m/>
    <m/>
    <m/>
    <m/>
    <x v="0"/>
    <m/>
    <x v="3"/>
    <s v="Peace Mission 2005"/>
    <x v="3"/>
    <s v="Army, Navy, Air Force, SOF; nominal anti-terrorism focus.  August 18–25"/>
    <m/>
    <m/>
    <m/>
    <m/>
    <s v="Defense White Paper Appendix"/>
    <s v="Under SCO auspices, but coded as Russia because it is a BL exercise."/>
  </r>
  <r>
    <x v="1"/>
    <x v="10"/>
    <s v="America and Oceania"/>
    <s v="Strategic Partnership [战略伙伴关系]"/>
    <s v="Major Non-NATO Ally"/>
    <s v="SOUTHCOM"/>
    <x v="62"/>
    <x v="14"/>
    <n v="9"/>
    <x v="4"/>
    <s v="Li Jinai"/>
    <m/>
    <s v="GPD Director; CMC Member"/>
    <n v="8"/>
    <x v="1"/>
    <m/>
    <x v="0"/>
    <m/>
    <x v="0"/>
    <m/>
    <m/>
    <m/>
    <m/>
    <m/>
    <s v="Defense White Paper Appendix"/>
    <m/>
  </r>
  <r>
    <x v="1"/>
    <x v="5"/>
    <s v="America and Oceania"/>
    <s v="No Specific Relationship"/>
    <s v="ANZUS Treaty"/>
    <s v="INDOPACOM"/>
    <x v="12"/>
    <x v="14"/>
    <n v="9"/>
    <x v="3"/>
    <s v="Cao Gangchuan"/>
    <m/>
    <s v="CMC Vice Chairman; Defense Minister"/>
    <n v="10"/>
    <x v="2"/>
    <s v="Navy Commander"/>
    <x v="0"/>
    <m/>
    <x v="0"/>
    <m/>
    <m/>
    <m/>
    <m/>
    <m/>
    <s v="Defense White Paper Appendix"/>
    <m/>
  </r>
  <r>
    <x v="1"/>
    <x v="8"/>
    <s v="Europe and Central Asia"/>
    <s v="No Specific Relationship"/>
    <s v="NATO"/>
    <s v="EUCOM"/>
    <x v="79"/>
    <x v="14"/>
    <n v="9"/>
    <x v="4"/>
    <m/>
    <m/>
    <s v="GLD Deputy Director"/>
    <n v="8"/>
    <x v="1"/>
    <m/>
    <x v="0"/>
    <m/>
    <x v="0"/>
    <m/>
    <m/>
    <m/>
    <m/>
    <m/>
    <s v="Defense White Paper Appendix"/>
    <s v="Updated positions with DWP"/>
  </r>
  <r>
    <x v="1"/>
    <x v="10"/>
    <s v="America and Oceania"/>
    <s v="Comprehensive Partnership [全面伙伴关系]"/>
    <s v="None"/>
    <s v="SOUTHCOM"/>
    <x v="66"/>
    <x v="14"/>
    <n v="9"/>
    <x v="4"/>
    <s v="Xiong Guangkai"/>
    <m/>
    <s v="GSD DCGS"/>
    <n v="6"/>
    <x v="1"/>
    <m/>
    <x v="0"/>
    <m/>
    <x v="0"/>
    <m/>
    <m/>
    <m/>
    <m/>
    <m/>
    <s v="Defense White Paper Appendix"/>
    <m/>
  </r>
  <r>
    <x v="1"/>
    <x v="10"/>
    <s v="America and Oceania"/>
    <s v="No Specific Relationship"/>
    <s v="None"/>
    <s v="SOUTHCOM"/>
    <x v="45"/>
    <x v="14"/>
    <n v="9"/>
    <x v="4"/>
    <s v="Xiong Guangkai"/>
    <m/>
    <s v="GSD DCGS"/>
    <n v="6"/>
    <x v="1"/>
    <m/>
    <x v="0"/>
    <m/>
    <x v="0"/>
    <m/>
    <m/>
    <m/>
    <m/>
    <m/>
    <s v="Defense White Paper Appendix"/>
    <m/>
  </r>
  <r>
    <x v="1"/>
    <x v="8"/>
    <s v="Europe and Central Asia"/>
    <s v="No Specific Relationship"/>
    <s v="NATO"/>
    <s v="EUCOM"/>
    <x v="58"/>
    <x v="14"/>
    <n v="9"/>
    <x v="4"/>
    <m/>
    <m/>
    <s v="GLD Deputy Director"/>
    <n v="8"/>
    <x v="1"/>
    <m/>
    <x v="0"/>
    <m/>
    <x v="0"/>
    <m/>
    <m/>
    <m/>
    <m/>
    <m/>
    <s v="Defense White Paper Appendix"/>
    <s v="Updated positions with DWP"/>
  </r>
  <r>
    <x v="1"/>
    <x v="8"/>
    <s v="Europe and Central Asia"/>
    <s v="No Specific Relationship"/>
    <s v="NATO"/>
    <s v="EUCOM"/>
    <x v="116"/>
    <x v="14"/>
    <n v="9"/>
    <x v="4"/>
    <s v="Xiong Guangkai"/>
    <m/>
    <s v="GSD DCGS"/>
    <n v="6"/>
    <x v="1"/>
    <m/>
    <x v="0"/>
    <m/>
    <x v="0"/>
    <m/>
    <m/>
    <m/>
    <m/>
    <m/>
    <s v="Defense White Paper Appendix"/>
    <m/>
  </r>
  <r>
    <x v="1"/>
    <x v="8"/>
    <s v="Europe and Central Asia"/>
    <s v="No Specific Relationship"/>
    <s v="NATO"/>
    <s v="EUCOM"/>
    <x v="82"/>
    <x v="14"/>
    <n v="9"/>
    <x v="4"/>
    <s v="Xiong Guangkai"/>
    <m/>
    <s v="GSD DCGS"/>
    <n v="6"/>
    <x v="1"/>
    <m/>
    <x v="0"/>
    <m/>
    <x v="0"/>
    <m/>
    <m/>
    <m/>
    <m/>
    <m/>
    <s v="Defense White Paper Appendix"/>
    <m/>
  </r>
  <r>
    <x v="1"/>
    <x v="8"/>
    <s v="Europe and Central Asia"/>
    <s v="Comprehensive Strategic Partnership [全面战略伙伴关系]"/>
    <s v="NATO"/>
    <s v="EUCOM"/>
    <x v="20"/>
    <x v="14"/>
    <n v="9"/>
    <x v="3"/>
    <s v="Cao Gangchuan"/>
    <m/>
    <s v="CMC Vice Chairman; Defense Minister"/>
    <n v="10"/>
    <x v="2"/>
    <s v="Deputy Defense Minister"/>
    <x v="0"/>
    <m/>
    <x v="0"/>
    <m/>
    <m/>
    <m/>
    <m/>
    <m/>
    <s v="Defense White Paper Appendix"/>
    <m/>
  </r>
  <r>
    <x v="1"/>
    <x v="6"/>
    <s v="Europe and Central Asia"/>
    <s v="Strategic Partnership [战略伙伴关系]"/>
    <s v="None"/>
    <s v="CENTCOM"/>
    <x v="30"/>
    <x v="14"/>
    <n v="9"/>
    <x v="4"/>
    <s v="Cao Gangchuan"/>
    <m/>
    <s v="CMC Vice Chairman; Defense Minister"/>
    <n v="10"/>
    <x v="1"/>
    <s v="Defense Minister"/>
    <x v="0"/>
    <m/>
    <x v="0"/>
    <m/>
    <m/>
    <m/>
    <m/>
    <m/>
    <s v="Defense White Paper Appendix"/>
    <m/>
  </r>
  <r>
    <x v="1"/>
    <x v="1"/>
    <s v="Asia"/>
    <s v="Strategic Cooperative Partnership [战略合作伙伴关系]"/>
    <s v="None"/>
    <s v="INDOPACOM"/>
    <x v="10"/>
    <x v="14"/>
    <n v="9"/>
    <x v="3"/>
    <s v="Cao Gangchuan"/>
    <m/>
    <s v="CMC Vice Chairman; Defense Minister"/>
    <n v="10"/>
    <x v="2"/>
    <s v="Deputy Prime Minister and Defense Minister"/>
    <x v="0"/>
    <m/>
    <x v="0"/>
    <m/>
    <m/>
    <m/>
    <m/>
    <m/>
    <s v="Defense White Paper Appendix"/>
    <m/>
  </r>
  <r>
    <x v="1"/>
    <x v="5"/>
    <s v="America and Oceania"/>
    <s v="No Specific Relationship"/>
    <s v="ANZUS Treaty"/>
    <s v="INDOPACOM"/>
    <x v="13"/>
    <x v="14"/>
    <n v="9"/>
    <x v="4"/>
    <s v="Xiong Guangkai"/>
    <m/>
    <s v="GSD DCGS"/>
    <n v="6"/>
    <x v="1"/>
    <m/>
    <x v="0"/>
    <m/>
    <x v="0"/>
    <m/>
    <m/>
    <m/>
    <m/>
    <m/>
    <s v="Defense White Paper Appendix"/>
    <m/>
  </r>
  <r>
    <x v="1"/>
    <x v="0"/>
    <s v="Asia"/>
    <s v="Strategic Partnership [战略伙伴关系]"/>
    <s v="Major Non-NATO Ally"/>
    <s v="CENTCOM"/>
    <x v="2"/>
    <x v="14"/>
    <n v="9"/>
    <x v="3"/>
    <s v="Guo Boxiong"/>
    <m/>
    <s v="CMC Vice Chairman"/>
    <n v="10"/>
    <x v="2"/>
    <s v="Chairman JCS"/>
    <x v="0"/>
    <m/>
    <x v="0"/>
    <m/>
    <m/>
    <m/>
    <m/>
    <m/>
    <s v="Defense White Paper Appendix"/>
    <m/>
  </r>
  <r>
    <x v="1"/>
    <x v="1"/>
    <s v="America and Oceania"/>
    <s v="No Specific Relationship"/>
    <s v="None"/>
    <s v="INDOPACOM"/>
    <x v="122"/>
    <x v="14"/>
    <n v="9"/>
    <x v="3"/>
    <s v="Cao Gangchuan"/>
    <m/>
    <s v="CMC Vice Chairman; Defense Minister"/>
    <n v="10"/>
    <x v="2"/>
    <s v="Defense Minister"/>
    <x v="0"/>
    <m/>
    <x v="0"/>
    <m/>
    <m/>
    <m/>
    <m/>
    <m/>
    <s v="Defense White Paper Appendix"/>
    <m/>
  </r>
  <r>
    <x v="1"/>
    <x v="8"/>
    <s v="Europe and Central Asia"/>
    <s v="No Specific Relationship"/>
    <s v="NATO"/>
    <s v="EUCOM"/>
    <x v="59"/>
    <x v="14"/>
    <n v="9"/>
    <x v="4"/>
    <m/>
    <m/>
    <s v="GLD Deputy Director"/>
    <n v="8"/>
    <x v="1"/>
    <m/>
    <x v="0"/>
    <m/>
    <x v="0"/>
    <m/>
    <m/>
    <m/>
    <m/>
    <m/>
    <s v="Defense White Paper Appendix"/>
    <s v="Updated positions with DWP"/>
  </r>
  <r>
    <x v="1"/>
    <x v="8"/>
    <s v="Europe and Central Asia"/>
    <s v="Comprehensive Friendly Cooperative Partnership [全面友好合作伙伴关系]"/>
    <s v="NATO"/>
    <s v="EUCOM"/>
    <x v="33"/>
    <x v="14"/>
    <n v="9"/>
    <x v="3"/>
    <s v="Cao Gangchuan"/>
    <m/>
    <s v="CMC Vice Chairman; Defense Minister"/>
    <n v="10"/>
    <x v="2"/>
    <s v="Secretary of State of Ministry of Defense"/>
    <x v="0"/>
    <m/>
    <x v="0"/>
    <m/>
    <m/>
    <m/>
    <m/>
    <m/>
    <s v="Defense White Paper Appendix"/>
    <m/>
  </r>
  <r>
    <x v="1"/>
    <x v="3"/>
    <s v="Europe and Central Asia"/>
    <s v="Strategic Partnership of Coordination [战略协作伙伴关系]"/>
    <s v="None"/>
    <s v="EUCOM"/>
    <x v="7"/>
    <x v="14"/>
    <n v="9"/>
    <x v="4"/>
    <s v="Cao Gangchuan"/>
    <m/>
    <s v="CMC Vice Chairman; Defense Minister"/>
    <n v="10"/>
    <x v="1"/>
    <s v="Defense Minister"/>
    <x v="0"/>
    <m/>
    <x v="0"/>
    <m/>
    <m/>
    <m/>
    <m/>
    <m/>
    <s v="Defense White Paper Appendix"/>
    <m/>
  </r>
  <r>
    <x v="1"/>
    <x v="0"/>
    <s v="Asia"/>
    <s v="Comprehensive Cooperative Partnership [全面合作伙伴关系]"/>
    <s v="None"/>
    <s v="INDOPACOM"/>
    <x v="3"/>
    <x v="14"/>
    <n v="9"/>
    <x v="3"/>
    <s v="Cao Gangchuan"/>
    <m/>
    <s v="CMC Vice Chairman; Defense Minister"/>
    <n v="10"/>
    <x v="2"/>
    <s v="President and Defense Minister"/>
    <x v="0"/>
    <m/>
    <x v="0"/>
    <m/>
    <m/>
    <m/>
    <m/>
    <m/>
    <s v="Defense White Paper Appendix"/>
    <m/>
  </r>
  <r>
    <x v="1"/>
    <x v="6"/>
    <s v="Europe and Central Asia"/>
    <s v="No Specific Relationship"/>
    <s v="None"/>
    <s v="CENTCOM"/>
    <x v="60"/>
    <x v="14"/>
    <n v="9"/>
    <x v="4"/>
    <s v="Cao Gangchuan"/>
    <m/>
    <s v="CMC Vice Chairman; Defense Minister"/>
    <n v="10"/>
    <x v="1"/>
    <s v="Defense Minister"/>
    <x v="0"/>
    <m/>
    <x v="0"/>
    <m/>
    <m/>
    <m/>
    <m/>
    <m/>
    <s v="Defense White Paper Appendix"/>
    <m/>
  </r>
  <r>
    <x v="1"/>
    <x v="7"/>
    <s v="West Asia and Africa"/>
    <s v="No Specific Relationship"/>
    <s v="None"/>
    <s v="AFRICOM"/>
    <x v="16"/>
    <x v="14"/>
    <n v="9"/>
    <x v="3"/>
    <s v="Cao Gangchuan"/>
    <m/>
    <s v="CMC Vice Chairman; Defense Minister"/>
    <n v="10"/>
    <x v="2"/>
    <s v="Chief of People's Defense Force"/>
    <x v="0"/>
    <m/>
    <x v="0"/>
    <m/>
    <m/>
    <m/>
    <m/>
    <m/>
    <s v="Defense White Paper Appendix"/>
    <m/>
  </r>
  <r>
    <x v="1"/>
    <x v="2"/>
    <s v="America and Oceania"/>
    <s v="No Specific Relationship"/>
    <s v="N/A"/>
    <s v="NORTHCOM"/>
    <x v="4"/>
    <x v="14"/>
    <n v="9"/>
    <x v="3"/>
    <s v="Guo Boxiong"/>
    <m/>
    <s v="CMC Vice Chairman"/>
    <n v="10"/>
    <x v="2"/>
    <s v="PACOM Commander"/>
    <x v="0"/>
    <m/>
    <x v="0"/>
    <m/>
    <m/>
    <m/>
    <m/>
    <m/>
    <s v="Defense White Paper Appendix"/>
    <m/>
  </r>
  <r>
    <x v="2"/>
    <x v="2"/>
    <s v="America and Oceania"/>
    <s v="No Specific Relationship"/>
    <s v="N/A"/>
    <s v="NORTHCOM"/>
    <x v="4"/>
    <x v="14"/>
    <n v="9"/>
    <x v="5"/>
    <m/>
    <m/>
    <m/>
    <m/>
    <x v="0"/>
    <m/>
    <x v="2"/>
    <s v="Unknown"/>
    <x v="2"/>
    <s v="SAREX"/>
    <m/>
    <m/>
    <m/>
    <m/>
    <s v="Defense White Paper Appendix"/>
    <m/>
  </r>
  <r>
    <x v="1"/>
    <x v="10"/>
    <s v="America and Oceania"/>
    <s v="Strategic Development Partnership [战略发展伙伴关系]"/>
    <s v="None"/>
    <s v="SOUTHCOM"/>
    <x v="56"/>
    <x v="14"/>
    <n v="9"/>
    <x v="4"/>
    <s v="Li Jinai"/>
    <m/>
    <s v="GPD Director; CMC Member"/>
    <n v="8"/>
    <x v="1"/>
    <m/>
    <x v="0"/>
    <m/>
    <x v="0"/>
    <m/>
    <m/>
    <m/>
    <m/>
    <m/>
    <s v="Defense White Paper Appendix"/>
    <m/>
  </r>
  <r>
    <x v="1"/>
    <x v="0"/>
    <s v="Europe and Central Asia"/>
    <s v="Comprehensive Cooperative Partnership [全面合作伙伴关系]"/>
    <s v="Major Non-NATO Ally"/>
    <s v="CENTCOM"/>
    <x v="123"/>
    <x v="14"/>
    <n v="10"/>
    <x v="3"/>
    <s v="Cao Gangchuan"/>
    <m/>
    <s v="CMC Vice Chairman; Defense Minister"/>
    <n v="10"/>
    <x v="2"/>
    <s v="Deputy Defense Minister"/>
    <x v="0"/>
    <m/>
    <x v="0"/>
    <m/>
    <m/>
    <m/>
    <m/>
    <m/>
    <s v="Defense White Paper Appendix"/>
    <m/>
  </r>
  <r>
    <x v="1"/>
    <x v="10"/>
    <s v="America and Oceania"/>
    <s v="Strategic Partnership [战略伙伴关系]"/>
    <s v="Major Non-NATO Ally"/>
    <s v="SOUTHCOM"/>
    <x v="62"/>
    <x v="14"/>
    <n v="10"/>
    <x v="4"/>
    <s v="Liang Guanglie"/>
    <m/>
    <s v="GSD Commander; CMC Member"/>
    <n v="8"/>
    <x v="1"/>
    <m/>
    <x v="0"/>
    <m/>
    <x v="0"/>
    <m/>
    <m/>
    <m/>
    <m/>
    <m/>
    <s v="Defense White Paper Appendix"/>
    <m/>
  </r>
  <r>
    <x v="1"/>
    <x v="5"/>
    <s v="America and Oceania"/>
    <s v="No Specific Relationship"/>
    <s v="ANZUS Treaty"/>
    <s v="INDOPACOM"/>
    <x v="12"/>
    <x v="14"/>
    <n v="10"/>
    <x v="3"/>
    <s v="Liang Guanglie"/>
    <m/>
    <s v="GSD Commander; CMC Member"/>
    <n v="8"/>
    <x v="2"/>
    <s v="Deputy Chief ADF"/>
    <x v="0"/>
    <m/>
    <x v="0"/>
    <m/>
    <m/>
    <m/>
    <m/>
    <m/>
    <s v="https://dlib.eastview.com/browse/doc/14690844"/>
    <m/>
  </r>
  <r>
    <x v="1"/>
    <x v="8"/>
    <s v="Europe and Central Asia"/>
    <s v="No Specific Relationship"/>
    <s v="NATO"/>
    <s v="EUCOM"/>
    <x v="68"/>
    <x v="14"/>
    <n v="10"/>
    <x v="3"/>
    <s v="Cao Gangchuan"/>
    <m/>
    <s v="CMC Vice Chairman; Defense Minister"/>
    <n v="10"/>
    <x v="2"/>
    <s v="Defense Minister"/>
    <x v="0"/>
    <m/>
    <x v="0"/>
    <m/>
    <m/>
    <m/>
    <m/>
    <m/>
    <s v="Defense White Paper Appendix"/>
    <m/>
  </r>
  <r>
    <x v="1"/>
    <x v="10"/>
    <s v="America and Oceania"/>
    <s v="No Specific Relationship"/>
    <s v="None"/>
    <s v="SOUTHCOM"/>
    <x v="42"/>
    <x v="14"/>
    <n v="10"/>
    <x v="3"/>
    <s v="Cao Gangchuan"/>
    <m/>
    <s v="CMC Vice Chairman; Defense Minister"/>
    <n v="10"/>
    <x v="2"/>
    <s v="CinC Armed Forces"/>
    <x v="0"/>
    <m/>
    <x v="0"/>
    <m/>
    <m/>
    <m/>
    <m/>
    <m/>
    <s v="Defense White Paper Appendix"/>
    <m/>
  </r>
  <r>
    <x v="1"/>
    <x v="1"/>
    <s v="Asia"/>
    <s v="No Specific Relationship"/>
    <s v="None"/>
    <s v="INDOPACOM"/>
    <x v="44"/>
    <x v="14"/>
    <n v="10"/>
    <x v="3"/>
    <s v="Cao Gangchuan"/>
    <m/>
    <s v="CMC Vice Chairman; Defense Minister"/>
    <n v="10"/>
    <x v="2"/>
    <s v="Deputy Defense Minister"/>
    <x v="0"/>
    <m/>
    <x v="0"/>
    <m/>
    <m/>
    <m/>
    <m/>
    <m/>
    <s v="Defense White Paper Appendix"/>
    <m/>
  </r>
  <r>
    <x v="1"/>
    <x v="10"/>
    <s v="America and Oceania"/>
    <s v="Comprehensive Partnership [全面伙伴关系]"/>
    <s v="None"/>
    <s v="SOUTHCOM"/>
    <x v="66"/>
    <x v="14"/>
    <n v="10"/>
    <x v="3"/>
    <s v="Cao Gangchuan"/>
    <m/>
    <s v="CMC Vice Chairman; Defense Minister"/>
    <n v="10"/>
    <x v="2"/>
    <s v="CinC Air Force"/>
    <x v="0"/>
    <m/>
    <x v="0"/>
    <m/>
    <m/>
    <m/>
    <m/>
    <m/>
    <s v="Defense White Paper Appendix"/>
    <m/>
  </r>
  <r>
    <x v="1"/>
    <x v="10"/>
    <s v="America and Oceania"/>
    <s v="No Specific Relationship"/>
    <s v="None"/>
    <s v="SOUTHCOM"/>
    <x v="49"/>
    <x v="14"/>
    <n v="10"/>
    <x v="4"/>
    <s v="Liang Guanglie"/>
    <m/>
    <s v="GSD Commander; CMC Member"/>
    <n v="8"/>
    <x v="1"/>
    <m/>
    <x v="0"/>
    <m/>
    <x v="0"/>
    <m/>
    <m/>
    <m/>
    <m/>
    <m/>
    <s v="Defense White Paper Appendix"/>
    <m/>
  </r>
  <r>
    <x v="1"/>
    <x v="8"/>
    <s v="Europe and Central Asia"/>
    <s v="No Specific Relationship"/>
    <s v="NATO"/>
    <s v="EUCOM"/>
    <x v="116"/>
    <x v="14"/>
    <n v="10"/>
    <x v="3"/>
    <s v="Cao Gangchuan"/>
    <m/>
    <s v="CMC Vice Chairman; Defense Minister"/>
    <n v="10"/>
    <x v="2"/>
    <s v="Chief of Defense"/>
    <x v="0"/>
    <m/>
    <x v="0"/>
    <m/>
    <m/>
    <m/>
    <m/>
    <m/>
    <s v="Defense White Paper Appendix"/>
    <m/>
  </r>
  <r>
    <x v="1"/>
    <x v="8"/>
    <s v="Europe and Central Asia"/>
    <s v="No Specific Relationship"/>
    <s v="None"/>
    <s v="EUCOM"/>
    <x v="81"/>
    <x v="14"/>
    <n v="10"/>
    <x v="3"/>
    <s v="Cao Gangchuan"/>
    <m/>
    <s v="CMC Vice Chairman; Defense Minister"/>
    <n v="10"/>
    <x v="2"/>
    <s v="Defense Minister"/>
    <x v="0"/>
    <m/>
    <x v="0"/>
    <m/>
    <m/>
    <m/>
    <m/>
    <m/>
    <s v="Defense White Paper Appendix"/>
    <m/>
  </r>
  <r>
    <x v="1"/>
    <x v="0"/>
    <s v="Asia"/>
    <s v="Good-Neighborly Partnership [世代友好的睦邻伙伴关系]"/>
    <s v="None"/>
    <s v="INDOPACOM"/>
    <x v="32"/>
    <x v="14"/>
    <n v="10"/>
    <x v="3"/>
    <s v="Liang Guanglie"/>
    <m/>
    <s v="GSD Commander; CMC Member"/>
    <n v="8"/>
    <x v="2"/>
    <s v="COGS"/>
    <x v="0"/>
    <m/>
    <x v="0"/>
    <m/>
    <m/>
    <m/>
    <m/>
    <m/>
    <s v="https://dlib.eastview.com/browse/doc/14702697"/>
    <s v="Recoded as South Asia"/>
  </r>
  <r>
    <x v="1"/>
    <x v="7"/>
    <s v="West Asia and Africa"/>
    <s v="No Specific Relationship"/>
    <s v="None"/>
    <s v="AFRICOM"/>
    <x v="74"/>
    <x v="14"/>
    <n v="10"/>
    <x v="4"/>
    <s v="Xu Caihou"/>
    <m/>
    <s v="CMC Vice Chairman"/>
    <n v="10"/>
    <x v="1"/>
    <m/>
    <x v="0"/>
    <m/>
    <x v="0"/>
    <m/>
    <m/>
    <m/>
    <m/>
    <m/>
    <s v="Defense White Paper Appendix"/>
    <m/>
  </r>
  <r>
    <x v="1"/>
    <x v="6"/>
    <s v="Europe and Central Asia"/>
    <s v="No Specific Relationship"/>
    <s v="None"/>
    <s v="CENTCOM"/>
    <x v="60"/>
    <x v="14"/>
    <n v="10"/>
    <x v="3"/>
    <s v="Chen Bingde"/>
    <m/>
    <s v="GAD Director; CMC Member"/>
    <n v="8"/>
    <x v="2"/>
    <s v="First Deputy Defense Minister"/>
    <x v="0"/>
    <m/>
    <x v="0"/>
    <m/>
    <m/>
    <m/>
    <m/>
    <m/>
    <s v="Defense White Paper Appendix"/>
    <m/>
  </r>
  <r>
    <x v="1"/>
    <x v="8"/>
    <s v="Europe and Central Asia"/>
    <s v="No Specific Relationship"/>
    <s v="NATO"/>
    <s v="EUCOM"/>
    <x v="38"/>
    <x v="14"/>
    <n v="10"/>
    <x v="4"/>
    <s v="Xu Caihou"/>
    <m/>
    <s v="CMC Vice Chairman"/>
    <n v="10"/>
    <x v="1"/>
    <m/>
    <x v="0"/>
    <m/>
    <x v="0"/>
    <m/>
    <m/>
    <m/>
    <m/>
    <m/>
    <s v="Defense White Paper Appendix"/>
    <m/>
  </r>
  <r>
    <x v="1"/>
    <x v="2"/>
    <s v="America and Oceania"/>
    <s v="No Specific Relationship"/>
    <s v="N/A"/>
    <s v="NORTHCOM"/>
    <x v="4"/>
    <x v="14"/>
    <n v="10"/>
    <x v="3"/>
    <s v="Cao Gangchuan"/>
    <m/>
    <s v="CMC Vice Chairman; Defense Minister"/>
    <n v="10"/>
    <x v="2"/>
    <s v="Secretary of Defense"/>
    <x v="0"/>
    <m/>
    <x v="0"/>
    <m/>
    <m/>
    <m/>
    <m/>
    <m/>
    <s v="Defense White Paper Appendix"/>
    <m/>
  </r>
  <r>
    <x v="1"/>
    <x v="10"/>
    <s v="America and Oceania"/>
    <s v="No Specific Relationship"/>
    <s v="None"/>
    <s v="SOUTHCOM"/>
    <x v="107"/>
    <x v="14"/>
    <n v="10"/>
    <x v="4"/>
    <s v="Liang Guanglie"/>
    <m/>
    <s v="GSD Commander; CMC Member"/>
    <n v="8"/>
    <x v="1"/>
    <m/>
    <x v="0"/>
    <m/>
    <x v="0"/>
    <m/>
    <m/>
    <m/>
    <m/>
    <m/>
    <s v="Defense White Paper Appendix"/>
    <m/>
  </r>
  <r>
    <x v="1"/>
    <x v="1"/>
    <s v="Asia"/>
    <s v="No Specific Relationship"/>
    <s v="None"/>
    <s v="INDOPACOM"/>
    <x v="23"/>
    <x v="14"/>
    <n v="10"/>
    <x v="4"/>
    <s v="Pei Huailiang"/>
    <m/>
    <s v="PLA NDU President"/>
    <n v="6"/>
    <x v="1"/>
    <m/>
    <x v="0"/>
    <m/>
    <x v="0"/>
    <m/>
    <m/>
    <m/>
    <m/>
    <m/>
    <s v="Defense White Paper Appendix"/>
    <m/>
  </r>
  <r>
    <x v="1"/>
    <x v="7"/>
    <s v="West Asia and Africa"/>
    <s v="No Specific Relationship"/>
    <s v="None"/>
    <s v="AFRICOM"/>
    <x v="76"/>
    <x v="14"/>
    <n v="11"/>
    <x v="4"/>
    <s v="Jing Zhiyuan"/>
    <m/>
    <s v="PLASAF Commander; CMC Member"/>
    <n v="8"/>
    <x v="1"/>
    <m/>
    <x v="0"/>
    <m/>
    <x v="0"/>
    <m/>
    <m/>
    <m/>
    <m/>
    <m/>
    <s v="Defense White Paper Appendix"/>
    <m/>
  </r>
  <r>
    <x v="1"/>
    <x v="5"/>
    <s v="America and Oceania"/>
    <s v="No Specific Relationship"/>
    <s v="ANZUS Treaty"/>
    <s v="INDOPACOM"/>
    <x v="12"/>
    <x v="14"/>
    <n v="11"/>
    <x v="4"/>
    <s v="Xiong Guangkai"/>
    <m/>
    <s v="GSD DCGS"/>
    <n v="6"/>
    <x v="1"/>
    <m/>
    <x v="0"/>
    <m/>
    <x v="0"/>
    <m/>
    <m/>
    <m/>
    <m/>
    <m/>
    <s v="Defense White Paper Appendix"/>
    <m/>
  </r>
  <r>
    <x v="1"/>
    <x v="8"/>
    <s v="Europe and Central Asia"/>
    <s v="No Specific Relationship"/>
    <s v="NATO"/>
    <s v="EUCOM"/>
    <x v="108"/>
    <x v="14"/>
    <n v="11"/>
    <x v="3"/>
    <s v="Cao Gangchuan"/>
    <m/>
    <s v="CMC Vice Chairman; Defense Minister"/>
    <n v="10"/>
    <x v="2"/>
    <s v="Defense Minister"/>
    <x v="0"/>
    <m/>
    <x v="0"/>
    <m/>
    <m/>
    <m/>
    <m/>
    <m/>
    <s v="Defense White Paper Appendix"/>
    <m/>
  </r>
  <r>
    <x v="1"/>
    <x v="8"/>
    <s v="Europe and Central Asia"/>
    <s v="Strategic Partnership [战略伙伴关系]"/>
    <s v="None"/>
    <s v="EUCOM"/>
    <x v="34"/>
    <x v="14"/>
    <n v="11"/>
    <x v="4"/>
    <s v="Li Qianyuan"/>
    <m/>
    <s v="Lanzhou MR Commander"/>
    <n v="6"/>
    <x v="1"/>
    <m/>
    <x v="0"/>
    <m/>
    <x v="0"/>
    <m/>
    <m/>
    <m/>
    <m/>
    <m/>
    <s v="Defense White Paper Appendix"/>
    <m/>
  </r>
  <r>
    <x v="1"/>
    <x v="8"/>
    <s v="Europe and Central Asia"/>
    <s v="No Specific Relationship"/>
    <s v="None"/>
    <s v="EUCOM"/>
    <x v="124"/>
    <x v="14"/>
    <n v="11"/>
    <x v="3"/>
    <s v="Cao Gangchuan"/>
    <m/>
    <s v="CMC Vice Chairman; Defense Minister"/>
    <n v="10"/>
    <x v="2"/>
    <s v="First Deputy Defense Minister"/>
    <x v="0"/>
    <m/>
    <x v="0"/>
    <m/>
    <m/>
    <m/>
    <m/>
    <m/>
    <s v="Defense White Paper Appendix"/>
    <m/>
  </r>
  <r>
    <x v="1"/>
    <x v="8"/>
    <s v="Europe and Central Asia"/>
    <s v="No Specific Relationship"/>
    <s v="NATO"/>
    <s v="EUCOM"/>
    <x v="79"/>
    <x v="14"/>
    <n v="11"/>
    <x v="3"/>
    <s v="Cao Gangchuan"/>
    <m/>
    <s v="CMC Vice Chairman; Defense Minister"/>
    <n v="10"/>
    <x v="2"/>
    <s v="COGS"/>
    <x v="0"/>
    <m/>
    <x v="0"/>
    <m/>
    <m/>
    <m/>
    <m/>
    <m/>
    <s v="Defense White Paper Appendix"/>
    <m/>
  </r>
  <r>
    <x v="1"/>
    <x v="7"/>
    <s v="West Asia and Africa"/>
    <s v="No Specific Relationship"/>
    <s v="None"/>
    <s v="AFRICOM"/>
    <x v="125"/>
    <x v="14"/>
    <n v="11"/>
    <x v="3"/>
    <s v="Cao Gangchuan"/>
    <m/>
    <s v="CMC Vice Chairman; Defense Minister"/>
    <n v="10"/>
    <x v="2"/>
    <s v="COGS"/>
    <x v="0"/>
    <m/>
    <x v="0"/>
    <m/>
    <m/>
    <m/>
    <m/>
    <m/>
    <s v="Defense White Paper Appendix"/>
    <m/>
  </r>
  <r>
    <x v="1"/>
    <x v="8"/>
    <s v="Europe and Central Asia"/>
    <s v="Comprehensive Cooperative Partnership [全面合作伙伴关系]"/>
    <s v="NATO"/>
    <s v="EUCOM"/>
    <x v="35"/>
    <x v="14"/>
    <n v="11"/>
    <x v="3"/>
    <s v="Cao Gangchuan"/>
    <m/>
    <s v="CMC Vice Chairman; Defense Minister"/>
    <n v="10"/>
    <x v="2"/>
    <s v="COGS"/>
    <x v="0"/>
    <m/>
    <x v="0"/>
    <m/>
    <m/>
    <m/>
    <m/>
    <m/>
    <s v="Defense White Paper Appendix"/>
    <m/>
  </r>
  <r>
    <x v="1"/>
    <x v="8"/>
    <s v="Europe and Central Asia"/>
    <s v="No Specific Relationship"/>
    <s v="NATO"/>
    <s v="EUCOM"/>
    <x v="29"/>
    <x v="14"/>
    <n v="11"/>
    <x v="4"/>
    <s v="Xiong Guangkai"/>
    <m/>
    <s v="GSD DCGS"/>
    <n v="6"/>
    <x v="1"/>
    <m/>
    <x v="0"/>
    <m/>
    <x v="0"/>
    <m/>
    <m/>
    <m/>
    <m/>
    <m/>
    <s v="Defense White Paper Appendix"/>
    <m/>
  </r>
  <r>
    <x v="1"/>
    <x v="8"/>
    <s v="Europe and Central Asia"/>
    <s v="No Specific Relationship"/>
    <s v="NATO"/>
    <s v="EUCOM"/>
    <x v="82"/>
    <x v="14"/>
    <n v="11"/>
    <x v="4"/>
    <s v="Li Qianyuan"/>
    <m/>
    <s v="Lanzhou MR Commander"/>
    <n v="6"/>
    <x v="1"/>
    <m/>
    <x v="0"/>
    <m/>
    <x v="0"/>
    <m/>
    <m/>
    <m/>
    <m/>
    <m/>
    <s v="Defense White Paper Appendix"/>
    <m/>
  </r>
  <r>
    <x v="0"/>
    <x v="0"/>
    <s v="Asia"/>
    <s v="Strategic Partnership for Peace and Prosperity [战略伙伴关系]"/>
    <s v="None"/>
    <s v="INDOPACOM"/>
    <x v="6"/>
    <x v="14"/>
    <n v="11"/>
    <x v="0"/>
    <m/>
    <m/>
    <m/>
    <m/>
    <x v="0"/>
    <m/>
    <x v="0"/>
    <m/>
    <x v="0"/>
    <m/>
    <s v="NETF"/>
    <s v="2005-11  DD167 Shenzhen "/>
    <s v="South Sea Fleet"/>
    <s v="Luhai destroyer Shenzhen 167, replenishment ship Weishanhu 887"/>
    <m/>
    <m/>
  </r>
  <r>
    <x v="1"/>
    <x v="6"/>
    <s v="Europe and Central Asia"/>
    <s v="No Specific Relationship"/>
    <s v="None"/>
    <s v="CENTCOM"/>
    <x v="31"/>
    <x v="14"/>
    <n v="11"/>
    <x v="3"/>
    <s v="Xiong Guangkai"/>
    <m/>
    <s v="GSD DCGS"/>
    <n v="6"/>
    <x v="2"/>
    <s v="Commander National Guard"/>
    <x v="0"/>
    <m/>
    <x v="0"/>
    <m/>
    <m/>
    <m/>
    <m/>
    <m/>
    <s v="Defense White Paper Appendix"/>
    <m/>
  </r>
  <r>
    <x v="1"/>
    <x v="8"/>
    <s v="Europe and Central Asia"/>
    <s v="Friendly Cooperative Partnership [友好合作伙伴关系]"/>
    <s v="None"/>
    <s v="EUCOM"/>
    <x v="126"/>
    <x v="14"/>
    <n v="11"/>
    <x v="3"/>
    <s v="Cao Gangchuan"/>
    <m/>
    <s v="CMC Vice Chairman; Defense Minister"/>
    <n v="10"/>
    <x v="2"/>
    <s v="Defense Minister"/>
    <x v="0"/>
    <m/>
    <x v="0"/>
    <m/>
    <m/>
    <m/>
    <m/>
    <m/>
    <s v="Defense White Paper Appendix"/>
    <m/>
  </r>
  <r>
    <x v="0"/>
    <x v="0"/>
    <s v="Asia"/>
    <s v="Strategic Partnership [战略伙伴关系]"/>
    <s v="Major Non-NATO Ally"/>
    <s v="CENTCOM"/>
    <x v="2"/>
    <x v="14"/>
    <n v="11"/>
    <x v="0"/>
    <m/>
    <m/>
    <m/>
    <m/>
    <x v="0"/>
    <m/>
    <x v="0"/>
    <m/>
    <x v="0"/>
    <m/>
    <s v="NETF"/>
    <s v="NETF"/>
    <m/>
    <m/>
    <m/>
    <m/>
  </r>
  <r>
    <x v="0"/>
    <x v="0"/>
    <s v="Asia"/>
    <s v="Strategic Partnership [战略伙伴关系]"/>
    <s v="Major Non-NATO Ally"/>
    <s v="CENTCOM"/>
    <x v="2"/>
    <x v="14"/>
    <n v="11"/>
    <x v="0"/>
    <m/>
    <m/>
    <m/>
    <m/>
    <x v="0"/>
    <m/>
    <x v="0"/>
    <m/>
    <x v="0"/>
    <m/>
    <s v="NETF"/>
    <s v="2005-11  DD167 Shenzhen "/>
    <s v="South Sea Fleet"/>
    <s v="Luhai destroyer Shenzhen 167, replenishment ship Weishanhu 887"/>
    <m/>
    <m/>
  </r>
  <r>
    <x v="2"/>
    <x v="0"/>
    <s v="Asia"/>
    <s v="Strategic Partnership [战略伙伴关系]"/>
    <s v="Major Non-NATO Ally"/>
    <s v="CENTCOM"/>
    <x v="2"/>
    <x v="14"/>
    <n v="11"/>
    <x v="5"/>
    <m/>
    <m/>
    <m/>
    <m/>
    <x v="0"/>
    <m/>
    <x v="2"/>
    <s v="Unknown"/>
    <x v="2"/>
    <s v="SAREX"/>
    <m/>
    <m/>
    <m/>
    <m/>
    <s v="Defense White Paper Appendix"/>
    <m/>
  </r>
  <r>
    <x v="1"/>
    <x v="1"/>
    <s v="Asia"/>
    <s v="No Specific Relationship"/>
    <s v="None"/>
    <s v="INDOPACOM"/>
    <x v="39"/>
    <x v="14"/>
    <n v="11"/>
    <x v="3"/>
    <s v="Cao Gangchuan"/>
    <m/>
    <s v="CMC Vice Chairman; Defense Minister"/>
    <n v="10"/>
    <x v="2"/>
    <s v="Defense Minister"/>
    <x v="0"/>
    <m/>
    <x v="0"/>
    <m/>
    <m/>
    <m/>
    <m/>
    <m/>
    <s v="Defense White Paper Appendix"/>
    <m/>
  </r>
  <r>
    <x v="1"/>
    <x v="7"/>
    <s v="West Asia and Africa"/>
    <s v="No Specific Relationship"/>
    <s v="None"/>
    <s v="AFRICOM"/>
    <x v="74"/>
    <x v="14"/>
    <n v="11"/>
    <x v="3"/>
    <s v="Xu Caihou"/>
    <m/>
    <s v="CMC Vice Chairman"/>
    <n v="10"/>
    <x v="2"/>
    <s v="DCOGS"/>
    <x v="0"/>
    <m/>
    <x v="0"/>
    <m/>
    <m/>
    <m/>
    <m/>
    <m/>
    <s v="Defense White Paper Appendix"/>
    <m/>
  </r>
  <r>
    <x v="1"/>
    <x v="9"/>
    <s v="West Asia and Africa"/>
    <s v="No Specific Relationship"/>
    <s v="None"/>
    <s v="CENTCOM"/>
    <x v="102"/>
    <x v="14"/>
    <n v="11"/>
    <x v="3"/>
    <s v="Cao Gangchuan"/>
    <m/>
    <s v="CMC Vice Chairman; Defense Minister"/>
    <n v="8"/>
    <x v="2"/>
    <s v="Deputy Commander Armed Forces and Defense Minister"/>
    <x v="0"/>
    <m/>
    <x v="0"/>
    <m/>
    <m/>
    <m/>
    <m/>
    <m/>
    <s v="Defense White Paper Appendix"/>
    <s v="No corroborating reporting on this visit; assess Cao Gangchuan as likely counterpart"/>
  </r>
  <r>
    <x v="0"/>
    <x v="1"/>
    <s v="Asia"/>
    <s v="No Specific Relationship"/>
    <s v="Bilateral Defense Treaty"/>
    <s v="INDOPACOM"/>
    <x v="5"/>
    <x v="14"/>
    <n v="11"/>
    <x v="0"/>
    <m/>
    <m/>
    <m/>
    <m/>
    <x v="0"/>
    <m/>
    <x v="0"/>
    <m/>
    <x v="0"/>
    <m/>
    <s v="NETF"/>
    <s v="2005-11  DD167 Shenzhen "/>
    <s v="South Sea Fleet"/>
    <s v="Luhai destroyer Shenzhen 167, replenishment ship Weishanhu 887"/>
    <m/>
    <m/>
  </r>
  <r>
    <x v="1"/>
    <x v="7"/>
    <s v="West Asia and Africa"/>
    <s v="Comprehensive Strategic Cooperative Partnership [全面战略合作伙伴关系]"/>
    <s v="None"/>
    <s v="AFRICOM"/>
    <x v="96"/>
    <x v="14"/>
    <n v="11"/>
    <x v="3"/>
    <s v="Cao Gangchuan"/>
    <m/>
    <s v="CMC Vice Chairman; Defense Minister"/>
    <n v="10"/>
    <x v="2"/>
    <s v="Minister Delegate in the Presidency in Charge of Defense and Veterans"/>
    <x v="0"/>
    <m/>
    <x v="0"/>
    <m/>
    <m/>
    <m/>
    <m/>
    <m/>
    <s v="Defense White Paper Appendix"/>
    <m/>
  </r>
  <r>
    <x v="1"/>
    <x v="7"/>
    <s v="West Asia and Africa"/>
    <s v="No Specific Relationship"/>
    <s v="Major Non-NATO Ally"/>
    <s v="AFRICOM"/>
    <x v="85"/>
    <x v="14"/>
    <n v="11"/>
    <x v="4"/>
    <s v="Jing Zhiyuan"/>
    <m/>
    <s v="PLASAF Commander; CMC Member"/>
    <n v="8"/>
    <x v="1"/>
    <m/>
    <x v="0"/>
    <m/>
    <x v="0"/>
    <m/>
    <m/>
    <m/>
    <m/>
    <m/>
    <s v="Defense White Paper Appendix"/>
    <m/>
  </r>
  <r>
    <x v="1"/>
    <x v="10"/>
    <s v="America and Oceania"/>
    <s v="No Specific Relationship"/>
    <s v="None"/>
    <s v="SOUTHCOM"/>
    <x v="41"/>
    <x v="14"/>
    <n v="12"/>
    <x v="3"/>
    <s v="Xiong Guangkai"/>
    <m/>
    <s v="GSD DCGS"/>
    <n v="6"/>
    <x v="2"/>
    <s v="Deputy Chief of Defense Force"/>
    <x v="0"/>
    <m/>
    <x v="0"/>
    <m/>
    <m/>
    <m/>
    <m/>
    <m/>
    <s v="Defense White Paper Appendix"/>
    <m/>
  </r>
  <r>
    <x v="1"/>
    <x v="7"/>
    <s v="West Asia and Africa"/>
    <s v="No Specific Relationship"/>
    <s v="None"/>
    <s v="AFRICOM"/>
    <x v="28"/>
    <x v="14"/>
    <n v="12"/>
    <x v="3"/>
    <s v="Liang Guanglie"/>
    <m/>
    <s v="GSD Commander; CMC Member"/>
    <n v="8"/>
    <x v="2"/>
    <s v="COGS"/>
    <x v="0"/>
    <m/>
    <x v="0"/>
    <m/>
    <m/>
    <m/>
    <m/>
    <m/>
    <s v="Defense White Paper Appendix"/>
    <m/>
  </r>
  <r>
    <x v="1"/>
    <x v="7"/>
    <s v="West Asia and Africa"/>
    <s v="Comprehensive Strategic Partnership [全面战略伙伴关系]"/>
    <s v="None"/>
    <s v="AFRICOM"/>
    <x v="127"/>
    <x v="14"/>
    <n v="12"/>
    <x v="3"/>
    <s v="Liang Guanglie"/>
    <m/>
    <s v="GSD Commander; CMC Member"/>
    <n v="8"/>
    <x v="2"/>
    <s v="COGS"/>
    <x v="0"/>
    <m/>
    <x v="0"/>
    <m/>
    <m/>
    <m/>
    <m/>
    <m/>
    <s v="Defense White Paper Appendix"/>
    <m/>
  </r>
  <r>
    <x v="1"/>
    <x v="5"/>
    <s v="America and Oceania"/>
    <s v="No Specific Relationship"/>
    <s v="None"/>
    <s v="INDOPACOM"/>
    <x v="128"/>
    <x v="14"/>
    <n v="12"/>
    <x v="3"/>
    <s v="Cao Gangchuan"/>
    <m/>
    <s v="CMC Vice Chairman; Defense Minister"/>
    <n v="10"/>
    <x v="2"/>
    <s v="Commander Armed Forces"/>
    <x v="0"/>
    <m/>
    <x v="0"/>
    <m/>
    <m/>
    <m/>
    <m/>
    <m/>
    <s v="Defense White Paper Appendix"/>
    <s v="Coded as Oceania instead of Southeast Asia"/>
  </r>
  <r>
    <x v="2"/>
    <x v="0"/>
    <s v="Asia"/>
    <s v="Strategic Partnership for Peace and Prosperity [战略伙伴关系]"/>
    <s v="None"/>
    <s v="INDOPACOM"/>
    <x v="6"/>
    <x v="14"/>
    <n v="12"/>
    <x v="5"/>
    <m/>
    <m/>
    <m/>
    <m/>
    <x v="0"/>
    <m/>
    <x v="2"/>
    <s v="Unknown"/>
    <x v="2"/>
    <s v="SAREX"/>
    <m/>
    <m/>
    <m/>
    <m/>
    <s v="Defense White Paper Appendix"/>
    <m/>
  </r>
  <r>
    <x v="1"/>
    <x v="7"/>
    <s v="West Asia and Africa"/>
    <s v="No Specific Relationship"/>
    <s v="None"/>
    <s v="AFRICOM"/>
    <x v="69"/>
    <x v="14"/>
    <n v="12"/>
    <x v="3"/>
    <s v="Cao Gangchuan"/>
    <m/>
    <s v="CMC Vice Chairman; Defense Minister"/>
    <n v="10"/>
    <x v="2"/>
    <s v="Defense Minister"/>
    <x v="0"/>
    <m/>
    <x v="0"/>
    <m/>
    <m/>
    <m/>
    <m/>
    <m/>
    <s v="Defense White Paper Appendix"/>
    <m/>
  </r>
  <r>
    <x v="1"/>
    <x v="7"/>
    <s v="West Asia and Africa"/>
    <s v="No Specific Relationship"/>
    <s v="None"/>
    <s v="AFRICOM"/>
    <x v="74"/>
    <x v="14"/>
    <n v="12"/>
    <x v="3"/>
    <s v="Liang Guanglie"/>
    <m/>
    <s v="GSD Commander; CMC Member"/>
    <n v="8"/>
    <x v="2"/>
    <s v="Air Force Commander"/>
    <x v="0"/>
    <m/>
    <x v="0"/>
    <m/>
    <m/>
    <m/>
    <m/>
    <m/>
    <s v="Defense White Paper Appendix"/>
    <m/>
  </r>
  <r>
    <x v="2"/>
    <x v="1"/>
    <s v="Asia"/>
    <s v="No Specific Relationship"/>
    <s v="Bilateral Defense Treaty"/>
    <s v="INDOPACOM"/>
    <x v="5"/>
    <x v="14"/>
    <n v="12"/>
    <x v="5"/>
    <m/>
    <m/>
    <m/>
    <m/>
    <x v="0"/>
    <m/>
    <x v="2"/>
    <s v="Unknown"/>
    <x v="2"/>
    <s v="SAREX"/>
    <m/>
    <m/>
    <m/>
    <m/>
    <s v="Defense White Paper Appendix"/>
    <m/>
  </r>
  <r>
    <x v="1"/>
    <x v="6"/>
    <s v="Europe and Central Asia"/>
    <s v="No Specific Relationship"/>
    <s v="None"/>
    <s v="CENTCOM"/>
    <x v="73"/>
    <x v="14"/>
    <n v="12"/>
    <x v="3"/>
    <s v="Cao Gangchuan"/>
    <m/>
    <s v="CMC Vice Chairman; Defense Minister"/>
    <n v="10"/>
    <x v="2"/>
    <s v="Defense Minister"/>
    <x v="0"/>
    <m/>
    <x v="0"/>
    <m/>
    <m/>
    <m/>
    <m/>
    <m/>
    <s v="Defense White Paper Appendix"/>
    <m/>
  </r>
  <r>
    <x v="1"/>
    <x v="8"/>
    <s v="Europe and Central Asia"/>
    <s v="Comprehensive Strategic Partnership [全面战略伙伴关系]"/>
    <s v="NATO"/>
    <s v="EUCOM"/>
    <x v="48"/>
    <x v="15"/>
    <n v="1"/>
    <x v="3"/>
    <s v="Cao Gangchuan"/>
    <m/>
    <s v="CMC Vice Chairman; Defense Minister"/>
    <n v="8"/>
    <x v="2"/>
    <s v="Defense Minister"/>
    <x v="0"/>
    <m/>
    <x v="0"/>
    <m/>
    <m/>
    <m/>
    <m/>
    <m/>
    <s v="http://www.chinavitae.com/vip/index.php?mode=show&amp;id=4545"/>
    <s v="Changed from Zeng Qinghong"/>
  </r>
  <r>
    <x v="1"/>
    <x v="1"/>
    <s v="Asia"/>
    <s v="No Specific Relationship"/>
    <s v="None"/>
    <s v="INDOPACOM"/>
    <x v="50"/>
    <x v="15"/>
    <n v="2"/>
    <x v="3"/>
    <s v="Cao Gangchuan"/>
    <m/>
    <s v="CMC Vice Chairman; Defense Minister"/>
    <n v="8"/>
    <x v="2"/>
    <s v="Defense Minster"/>
    <x v="0"/>
    <m/>
    <x v="0"/>
    <m/>
    <m/>
    <m/>
    <m/>
    <m/>
    <s v="https://dlib.eastview.com/browse/doc/14704768"/>
    <m/>
  </r>
  <r>
    <x v="1"/>
    <x v="8"/>
    <s v="Europe and Central Asia"/>
    <s v="No Specific Relationship"/>
    <s v="None"/>
    <s v="EUCOM"/>
    <x v="78"/>
    <x v="15"/>
    <n v="2"/>
    <x v="3"/>
    <s v="Cao Gangchuan"/>
    <m/>
    <s v="CMC Vice Chairman; Defense Minister"/>
    <n v="8"/>
    <x v="2"/>
    <s v="Defense Minster"/>
    <x v="0"/>
    <m/>
    <x v="0"/>
    <m/>
    <m/>
    <m/>
    <m/>
    <m/>
    <s v="https://dlib.eastview.com/browse/doc/14711056"/>
    <m/>
  </r>
  <r>
    <x v="1"/>
    <x v="10"/>
    <s v="America and Oceania"/>
    <s v="Strategic Partnership [战略伙伴关系]"/>
    <s v="Major Non-NATO Ally"/>
    <s v="SOUTHCOM"/>
    <x v="62"/>
    <x v="15"/>
    <n v="3"/>
    <x v="4"/>
    <s v="Ma Xiaotian"/>
    <m/>
    <s v="GSD DCGS"/>
    <n v="6"/>
    <x v="1"/>
    <m/>
    <x v="0"/>
    <m/>
    <x v="0"/>
    <m/>
    <m/>
    <m/>
    <m/>
    <m/>
    <s v="Defense White Paper Appendix"/>
    <m/>
  </r>
  <r>
    <x v="1"/>
    <x v="10"/>
    <s v="America and Oceania"/>
    <s v="No Specific Relationship"/>
    <s v="None"/>
    <s v="SOUTHCOM"/>
    <x v="49"/>
    <x v="15"/>
    <n v="3"/>
    <x v="4"/>
    <s v="Peng Xiaofeng"/>
    <m/>
    <s v="PLASAF Political Commissar"/>
    <n v="6"/>
    <x v="1"/>
    <m/>
    <x v="0"/>
    <m/>
    <x v="0"/>
    <m/>
    <m/>
    <m/>
    <m/>
    <m/>
    <s v="Defense White Paper Appendix"/>
    <m/>
  </r>
  <r>
    <x v="1"/>
    <x v="10"/>
    <s v="America and Oceania"/>
    <s v="No Specific Relationship"/>
    <s v="None"/>
    <s v="SOUTHCOM"/>
    <x v="51"/>
    <x v="15"/>
    <n v="3"/>
    <x v="3"/>
    <s v="Cao Gangchuan"/>
    <m/>
    <s v="CMC Vice Chairman; Defense Minister"/>
    <n v="10"/>
    <x v="2"/>
    <s v="Ecuador"/>
    <x v="0"/>
    <m/>
    <x v="0"/>
    <m/>
    <m/>
    <m/>
    <m/>
    <m/>
    <s v="Defense White Paper Appendix"/>
    <m/>
  </r>
  <r>
    <x v="1"/>
    <x v="6"/>
    <s v="Europe and Central Asia"/>
    <s v="No Specific Relationship"/>
    <s v="None"/>
    <s v="CENTCOM"/>
    <x v="31"/>
    <x v="15"/>
    <n v="3"/>
    <x v="3"/>
    <s v="Cao Gangchuan"/>
    <m/>
    <s v="CMC Vice Chairman; Defense Minister"/>
    <n v="10"/>
    <x v="2"/>
    <s v="Commander Border Forces"/>
    <x v="0"/>
    <m/>
    <x v="0"/>
    <m/>
    <m/>
    <m/>
    <m/>
    <m/>
    <s v="Defense White Paper Appendix"/>
    <m/>
  </r>
  <r>
    <x v="1"/>
    <x v="2"/>
    <s v="America and Oceania"/>
    <s v="Strategic Cooperative Partnership [战略合作伙伴关系]"/>
    <s v="None"/>
    <s v="NORTHCOM"/>
    <x v="77"/>
    <x v="15"/>
    <n v="3"/>
    <x v="4"/>
    <s v="Ma Xiaotian"/>
    <m/>
    <s v="GSD DCGS"/>
    <n v="6"/>
    <x v="1"/>
    <m/>
    <x v="0"/>
    <m/>
    <x v="0"/>
    <m/>
    <m/>
    <m/>
    <m/>
    <m/>
    <s v="Defense White Paper Appendix"/>
    <m/>
  </r>
  <r>
    <x v="1"/>
    <x v="3"/>
    <s v="Europe and Central Asia"/>
    <s v="Strategic Partnership of Coordination [战略协作伙伴关系]"/>
    <s v="None"/>
    <s v="EUCOM"/>
    <x v="7"/>
    <x v="15"/>
    <n v="3"/>
    <x v="3"/>
    <s v="Ge Zhenfeng"/>
    <m/>
    <s v="GSD DCGS"/>
    <n v="8"/>
    <x v="2"/>
    <s v="Army Commander"/>
    <x v="0"/>
    <m/>
    <x v="0"/>
    <m/>
    <m/>
    <m/>
    <m/>
    <m/>
    <s v="https://dlib.eastview.com/browse/doc/14712481"/>
    <m/>
  </r>
  <r>
    <x v="1"/>
    <x v="7"/>
    <s v="West Asia and Africa"/>
    <s v="No Specific Relationship"/>
    <s v="None"/>
    <s v="AFRICOM"/>
    <x v="129"/>
    <x v="15"/>
    <n v="3"/>
    <x v="3"/>
    <s v="Cao Gangchuan"/>
    <m/>
    <s v="CMC Vice Chairman; Defense Minister"/>
    <n v="10"/>
    <x v="2"/>
    <s v="Defense Minister"/>
    <x v="0"/>
    <m/>
    <x v="0"/>
    <m/>
    <m/>
    <m/>
    <m/>
    <m/>
    <s v="Defense White Paper Appendix"/>
    <m/>
  </r>
  <r>
    <x v="2"/>
    <x v="6"/>
    <s v="Europe and Central Asia"/>
    <s v="Member"/>
    <s v="None"/>
    <s v="CENTCOM"/>
    <x v="14"/>
    <x v="15"/>
    <n v="3"/>
    <x v="6"/>
    <m/>
    <m/>
    <m/>
    <m/>
    <x v="0"/>
    <m/>
    <x v="1"/>
    <s v="East-Antiterror-2006"/>
    <x v="1"/>
    <s v="Special forces anti-terrorism exercise in Uzbekistan; Other countries: Russia, China, Kazakhstan; Krygyzstan; Tajikistan; Uzbekistan; "/>
    <m/>
    <m/>
    <m/>
    <m/>
    <s v="https://jamestown.org/program/uzbekistan-hosts-sco-anti-terrorist-drill/; de Haas Journal of Slavic Military Studies 29:3 (2016)"/>
    <m/>
  </r>
  <r>
    <x v="1"/>
    <x v="7"/>
    <s v="West Asia and Africa"/>
    <s v="No Specific Relationship"/>
    <s v="None"/>
    <s v="AFRICOM"/>
    <x v="74"/>
    <x v="15"/>
    <n v="3"/>
    <x v="3"/>
    <s v="Cao Gangchuan"/>
    <m/>
    <s v="CMC Vice Chairman; Defense Minister"/>
    <n v="10"/>
    <x v="2"/>
    <s v="Defense Minister"/>
    <x v="0"/>
    <m/>
    <x v="0"/>
    <m/>
    <m/>
    <m/>
    <m/>
    <m/>
    <s v="Defense White Paper Appendix"/>
    <m/>
  </r>
  <r>
    <x v="1"/>
    <x v="10"/>
    <s v="America and Oceania"/>
    <s v="Strategic Partnership [战略伙伴关系]"/>
    <s v="Major Non-NATO Ally"/>
    <s v="SOUTHCOM"/>
    <x v="62"/>
    <x v="15"/>
    <n v="4"/>
    <x v="4"/>
    <s v="Deng Changyou"/>
    <m/>
    <s v="PLAAF Political Commissar"/>
    <n v="6"/>
    <x v="1"/>
    <m/>
    <x v="0"/>
    <m/>
    <x v="0"/>
    <m/>
    <m/>
    <m/>
    <m/>
    <m/>
    <s v="Defense White Paper Appendix"/>
    <m/>
  </r>
  <r>
    <x v="1"/>
    <x v="8"/>
    <s v="Europe and Central Asia"/>
    <s v="Strategic Partnership [战略伙伴关系]"/>
    <s v="None"/>
    <s v="EUCOM"/>
    <x v="34"/>
    <x v="15"/>
    <n v="4"/>
    <x v="3"/>
    <s v="Li Yu"/>
    <m/>
    <s v="GSD Assistant Commander"/>
    <n v="5"/>
    <x v="2"/>
    <s v="COGS"/>
    <x v="0"/>
    <m/>
    <x v="0"/>
    <m/>
    <m/>
    <m/>
    <m/>
    <m/>
    <s v="Defense White Paper Appendix"/>
    <m/>
  </r>
  <r>
    <x v="1"/>
    <x v="7"/>
    <s v="West Asia and Africa"/>
    <s v="Friendly Cooperative Relationship [友好合作关系]"/>
    <s v="None"/>
    <s v="AFRICOM"/>
    <x v="65"/>
    <x v="15"/>
    <n v="4"/>
    <x v="4"/>
    <s v="Ma Xiaotian"/>
    <m/>
    <s v="GSD DCGS"/>
    <n v="6"/>
    <x v="1"/>
    <m/>
    <x v="0"/>
    <m/>
    <x v="0"/>
    <m/>
    <m/>
    <m/>
    <m/>
    <m/>
    <s v="Defense White Paper Appendix"/>
    <m/>
  </r>
  <r>
    <x v="1"/>
    <x v="10"/>
    <s v="America and Oceania"/>
    <s v="Comprehensive Partnership [全面伙伴关系]"/>
    <s v="None"/>
    <s v="SOUTHCOM"/>
    <x v="66"/>
    <x v="15"/>
    <n v="4"/>
    <x v="4"/>
    <s v="Li Yu"/>
    <m/>
    <s v="GSD Assistant Commander"/>
    <n v="5"/>
    <x v="1"/>
    <m/>
    <x v="0"/>
    <m/>
    <x v="0"/>
    <m/>
    <m/>
    <m/>
    <m/>
    <m/>
    <s v="Defense White Paper Appendix"/>
    <m/>
  </r>
  <r>
    <x v="1"/>
    <x v="8"/>
    <s v="Europe and Central Asia"/>
    <s v="No Specific Relationship"/>
    <s v="NATO"/>
    <s v="EUCOM"/>
    <x v="82"/>
    <x v="15"/>
    <n v="4"/>
    <x v="4"/>
    <s v="Zhu Qi"/>
    <m/>
    <s v="Beijing MR Commander"/>
    <n v="6"/>
    <x v="1"/>
    <m/>
    <x v="0"/>
    <m/>
    <x v="0"/>
    <m/>
    <m/>
    <m/>
    <m/>
    <m/>
    <s v="Defense White Paper Appendix"/>
    <m/>
  </r>
  <r>
    <x v="1"/>
    <x v="6"/>
    <s v="Europe and Central Asia"/>
    <s v="Strategic Partnership [战略伙伴关系]"/>
    <s v="None"/>
    <s v="CENTCOM"/>
    <x v="30"/>
    <x v="15"/>
    <n v="4"/>
    <x v="7"/>
    <s v="Cao Gangchuan"/>
    <m/>
    <s v="CMC Vice Chairman; Defense Minister"/>
    <n v="10"/>
    <x v="2"/>
    <s v="Deputy Defense Minister"/>
    <x v="0"/>
    <m/>
    <x v="0"/>
    <m/>
    <m/>
    <m/>
    <m/>
    <m/>
    <s v="Defense White Paper Appendix"/>
    <s v="SCO Defense Ministers' Sidelines"/>
  </r>
  <r>
    <x v="1"/>
    <x v="6"/>
    <s v="Europe and Central Asia"/>
    <s v="No Specific Relationship"/>
    <s v="None"/>
    <s v="CENTCOM"/>
    <x v="31"/>
    <x v="15"/>
    <n v="4"/>
    <x v="7"/>
    <s v="Cao Gangchuan"/>
    <m/>
    <s v="CMC Vice Chairman; Defense Minister"/>
    <n v="10"/>
    <x v="2"/>
    <s v="Defense Minister"/>
    <x v="0"/>
    <m/>
    <x v="0"/>
    <m/>
    <m/>
    <m/>
    <m/>
    <m/>
    <s v="Defense White Paper Appendix"/>
    <s v="SCO Defense Ministers' Sidelines"/>
  </r>
  <r>
    <x v="1"/>
    <x v="1"/>
    <s v="Asia"/>
    <s v="Strategic Cooperative Partnership [战略合作伙伴关系]"/>
    <s v="None"/>
    <s v="INDOPACOM"/>
    <x v="10"/>
    <x v="15"/>
    <n v="4"/>
    <x v="4"/>
    <s v="Cao Gangchuan"/>
    <m/>
    <s v="CMC Vice Chairman; Defense Minister"/>
    <n v="10"/>
    <x v="1"/>
    <m/>
    <x v="0"/>
    <m/>
    <x v="0"/>
    <m/>
    <m/>
    <m/>
    <m/>
    <m/>
    <s v="Defense White Paper Appendix"/>
    <m/>
  </r>
  <r>
    <x v="1"/>
    <x v="2"/>
    <s v="America and Oceania"/>
    <s v="Strategic Cooperative Partnership [战略合作伙伴关系]"/>
    <s v="None"/>
    <s v="NORTHCOM"/>
    <x v="77"/>
    <x v="15"/>
    <n v="4"/>
    <x v="4"/>
    <s v="Li Yu"/>
    <m/>
    <s v="GSD Assistant Commander"/>
    <n v="5"/>
    <x v="1"/>
    <m/>
    <x v="0"/>
    <m/>
    <x v="0"/>
    <m/>
    <m/>
    <m/>
    <m/>
    <m/>
    <s v="Defense White Paper Appendix"/>
    <m/>
  </r>
  <r>
    <x v="1"/>
    <x v="4"/>
    <s v="Asia"/>
    <s v="Bilateral Defense Treaty"/>
    <s v="None"/>
    <s v="INDOPACOM"/>
    <x v="9"/>
    <x v="15"/>
    <n v="4"/>
    <x v="4"/>
    <s v="Cao Gangchuan"/>
    <m/>
    <s v="CMC Vice Chairman; Defense Minister"/>
    <n v="10"/>
    <x v="1"/>
    <m/>
    <x v="0"/>
    <m/>
    <x v="0"/>
    <m/>
    <m/>
    <m/>
    <m/>
    <m/>
    <s v="Defense White Paper Appendix"/>
    <m/>
  </r>
  <r>
    <x v="1"/>
    <x v="10"/>
    <s v="America and Oceania"/>
    <s v="Comprehensive Partnership [全面伙伴关系]"/>
    <s v="None"/>
    <s v="SOUTHCOM"/>
    <x v="54"/>
    <x v="15"/>
    <n v="4"/>
    <x v="4"/>
    <s v="Deng Changyou"/>
    <m/>
    <s v="PLAAF Political Commissar"/>
    <n v="6"/>
    <x v="1"/>
    <m/>
    <x v="0"/>
    <m/>
    <x v="0"/>
    <m/>
    <m/>
    <m/>
    <m/>
    <m/>
    <s v="Defense White Paper Appendix"/>
    <m/>
  </r>
  <r>
    <x v="1"/>
    <x v="8"/>
    <s v="Europe and Central Asia"/>
    <s v="Comprehensive Friendly Cooperative Partnership [全面友好合作伙伴关系]"/>
    <s v="NATO"/>
    <s v="EUCOM"/>
    <x v="33"/>
    <x v="15"/>
    <n v="4"/>
    <x v="4"/>
    <s v="Zhu Qi"/>
    <m/>
    <s v="Beijing MR Commander"/>
    <n v="6"/>
    <x v="1"/>
    <m/>
    <x v="0"/>
    <m/>
    <x v="0"/>
    <m/>
    <m/>
    <m/>
    <m/>
    <m/>
    <s v="Defense White Paper Appendix"/>
    <m/>
  </r>
  <r>
    <x v="1"/>
    <x v="3"/>
    <s v="Europe and Central Asia"/>
    <s v="Strategic Partnership of Coordination [战略协作伙伴关系]"/>
    <s v="None"/>
    <s v="EUCOM"/>
    <x v="7"/>
    <x v="15"/>
    <n v="4"/>
    <x v="7"/>
    <s v="Cao Gangchuan"/>
    <m/>
    <s v="CMC Vice Chairman; Defense Minister"/>
    <n v="10"/>
    <x v="2"/>
    <s v="Defense Minister"/>
    <x v="0"/>
    <m/>
    <x v="0"/>
    <m/>
    <m/>
    <m/>
    <m/>
    <m/>
    <s v="Defense White Paper Appendix"/>
    <m/>
  </r>
  <r>
    <x v="1"/>
    <x v="6"/>
    <s v="Europe and Central Asia"/>
    <s v="Member"/>
    <s v="None"/>
    <s v="CENTCOM"/>
    <x v="14"/>
    <x v="15"/>
    <n v="4"/>
    <x v="2"/>
    <s v="Cao Gangchuan"/>
    <m/>
    <s v="CMC Vice Chairman; Defense Minister"/>
    <n v="10"/>
    <x v="2"/>
    <s v="Fourth official meeting of the SCO Ministers' of Defense in Shanghai; Other countries: Kazakhstan, Kyrgyztan, Russia, Tajikistan, Uzbekistan"/>
    <x v="0"/>
    <m/>
    <x v="0"/>
    <m/>
    <m/>
    <m/>
    <m/>
    <m/>
    <s v="http://www.chinaconsulatesf.org/eng/xw/t249533.htm#:~:text=On%20April%2026%2C%202006%2C%20Premier,SCO)%20Defense%20Ministers'%20Meeting."/>
    <m/>
  </r>
  <r>
    <x v="1"/>
    <x v="1"/>
    <s v="Asia"/>
    <s v="No Specific Relationship"/>
    <s v="None"/>
    <s v="INDOPACOM"/>
    <x v="39"/>
    <x v="15"/>
    <n v="4"/>
    <x v="4"/>
    <s v="Cao Gangchuan"/>
    <m/>
    <s v="CMC Vice Chairman; Defense Minister"/>
    <n v="10"/>
    <x v="1"/>
    <m/>
    <x v="0"/>
    <m/>
    <x v="0"/>
    <m/>
    <m/>
    <m/>
    <m/>
    <m/>
    <s v="Defense White Paper Appendix"/>
    <m/>
  </r>
  <r>
    <x v="1"/>
    <x v="4"/>
    <s v="Asia"/>
    <s v="Comprehensive Cooperative Partnership [全面合作伙伴关系]"/>
    <s v="Bilateral Defense Treaty"/>
    <s v="INDOPACOM"/>
    <x v="25"/>
    <x v="15"/>
    <n v="4"/>
    <x v="4"/>
    <s v="Cao Gangchuan"/>
    <m/>
    <s v="CMC Vice Chairman; Defense Minister"/>
    <n v="10"/>
    <x v="1"/>
    <m/>
    <x v="0"/>
    <m/>
    <x v="0"/>
    <m/>
    <m/>
    <m/>
    <m/>
    <m/>
    <s v="Defense White Paper Appendix"/>
    <m/>
  </r>
  <r>
    <x v="1"/>
    <x v="9"/>
    <s v="West Asia and Africa"/>
    <s v="No Specific Relationship"/>
    <s v="None"/>
    <s v="CENTCOM"/>
    <x v="102"/>
    <x v="15"/>
    <n v="4"/>
    <x v="4"/>
    <s v="Ma Xiaotian"/>
    <m/>
    <s v="GSD DCGS"/>
    <n v="6"/>
    <x v="1"/>
    <m/>
    <x v="0"/>
    <m/>
    <x v="0"/>
    <m/>
    <m/>
    <m/>
    <m/>
    <m/>
    <s v="Defense White Paper Appendix"/>
    <m/>
  </r>
  <r>
    <x v="1"/>
    <x v="6"/>
    <s v="Europe and Central Asia"/>
    <s v="No Specific Relationship"/>
    <s v="None"/>
    <s v="CENTCOM"/>
    <x v="60"/>
    <x v="15"/>
    <n v="4"/>
    <x v="7"/>
    <s v="Cao Gangchuan"/>
    <m/>
    <s v="CMC Vice Chairman; Defense Minister"/>
    <n v="10"/>
    <x v="2"/>
    <s v="Defense Minister"/>
    <x v="0"/>
    <m/>
    <x v="0"/>
    <m/>
    <m/>
    <m/>
    <m/>
    <m/>
    <s v="Defense White Paper Appendix"/>
    <m/>
  </r>
  <r>
    <x v="1"/>
    <x v="2"/>
    <s v="America and Oceania"/>
    <s v="No Specific Relationship"/>
    <s v="N/A"/>
    <s v="NORTHCOM"/>
    <x v="4"/>
    <x v="15"/>
    <n v="4"/>
    <x v="3"/>
    <s v="Liang Guanglie"/>
    <m/>
    <s v="GSD Commander; CMC Member"/>
    <n v="8"/>
    <x v="2"/>
    <s v="US NDU President"/>
    <x v="0"/>
    <m/>
    <x v="0"/>
    <m/>
    <m/>
    <m/>
    <m/>
    <m/>
    <s v="https://dlib.eastview.com/browse/doc/14686566"/>
    <m/>
  </r>
  <r>
    <x v="1"/>
    <x v="6"/>
    <s v="Europe and Central Asia"/>
    <s v="No Specific Relationship"/>
    <s v="None"/>
    <s v="CENTCOM"/>
    <x v="73"/>
    <x v="15"/>
    <n v="4"/>
    <x v="7"/>
    <s v="Cao Gangchuan"/>
    <m/>
    <s v="CMC Vice Chairman; Defense Minister"/>
    <n v="10"/>
    <x v="2"/>
    <s v="Defense Minister"/>
    <x v="0"/>
    <m/>
    <x v="0"/>
    <m/>
    <m/>
    <m/>
    <m/>
    <m/>
    <s v="Defense White Paper Appendix"/>
    <m/>
  </r>
  <r>
    <x v="1"/>
    <x v="1"/>
    <s v="Asia"/>
    <s v="No Specific Relationship"/>
    <s v="None"/>
    <s v="INDOPACOM"/>
    <x v="23"/>
    <x v="15"/>
    <n v="4"/>
    <x v="4"/>
    <s v="Cao Gangchuan"/>
    <m/>
    <s v="CMC Vice Chairman; Defense Minister"/>
    <n v="10"/>
    <x v="1"/>
    <m/>
    <x v="0"/>
    <m/>
    <x v="0"/>
    <m/>
    <m/>
    <m/>
    <m/>
    <m/>
    <s v="Defense White Paper Appendix"/>
    <m/>
  </r>
  <r>
    <x v="1"/>
    <x v="0"/>
    <s v="Europe and Central Asia"/>
    <s v="Comprehensive Cooperative Partnership [全面合作伙伴关系]"/>
    <s v="Major Non-NATO Ally"/>
    <s v="CENTCOM"/>
    <x v="123"/>
    <x v="15"/>
    <n v="5"/>
    <x v="3"/>
    <s v="Cao Gangchuan"/>
    <m/>
    <s v="CMC Vice Chairman; Defense Minister"/>
    <n v="10"/>
    <x v="2"/>
    <s v="Defense Minister"/>
    <x v="0"/>
    <m/>
    <x v="0"/>
    <m/>
    <m/>
    <m/>
    <m/>
    <m/>
    <s v="Defense White Paper Appendix"/>
    <m/>
  </r>
  <r>
    <x v="1"/>
    <x v="0"/>
    <s v="Asia"/>
    <s v="Comprehensive Cooperative Partnership [全面合作伙伴关系]"/>
    <s v="None"/>
    <s v="INDOPACOM"/>
    <x v="0"/>
    <x v="15"/>
    <n v="5"/>
    <x v="3"/>
    <s v="Cao Gangchuan"/>
    <m/>
    <s v="CMC Vice Chairman; Defense Minister"/>
    <n v="10"/>
    <x v="2"/>
    <s v="Army Chief of Staff"/>
    <x v="0"/>
    <m/>
    <x v="0"/>
    <m/>
    <m/>
    <m/>
    <m/>
    <m/>
    <s v="Defense White Paper Appendix"/>
    <m/>
  </r>
  <r>
    <x v="1"/>
    <x v="7"/>
    <s v="West Asia and Africa"/>
    <s v="No Specific Relationship"/>
    <s v="None"/>
    <s v="AFRICOM"/>
    <x v="130"/>
    <x v="15"/>
    <n v="5"/>
    <x v="3"/>
    <s v="Cao Gangchuan"/>
    <m/>
    <s v="CMC Vice Chairman; Defense Minister"/>
    <n v="10"/>
    <x v="2"/>
    <s v="Defense Minister"/>
    <x v="0"/>
    <m/>
    <x v="0"/>
    <m/>
    <m/>
    <m/>
    <m/>
    <m/>
    <s v="Defense White Paper Appendix"/>
    <m/>
  </r>
  <r>
    <x v="1"/>
    <x v="8"/>
    <s v="Europe and Central Asia"/>
    <s v="No Specific Relationship"/>
    <s v="NATO"/>
    <s v="EUCOM"/>
    <x v="116"/>
    <x v="15"/>
    <n v="5"/>
    <x v="4"/>
    <s v="Liang Guanglie"/>
    <m/>
    <s v="GSD Commander; CMC Member"/>
    <n v="8"/>
    <x v="1"/>
    <m/>
    <x v="0"/>
    <m/>
    <x v="0"/>
    <m/>
    <m/>
    <m/>
    <m/>
    <m/>
    <s v="Defense White Paper Appendix"/>
    <m/>
  </r>
  <r>
    <x v="1"/>
    <x v="7"/>
    <s v="West Asia and Africa"/>
    <s v="Comprehensive Strategic Cooperative Partnership [全面战略合作伙伴关系]"/>
    <s v="None"/>
    <s v="AFRICOM"/>
    <x v="71"/>
    <x v="15"/>
    <n v="5"/>
    <x v="3"/>
    <s v="Cao Gangchuan"/>
    <m/>
    <s v="CMC Vice Chairman; Defense Minister"/>
    <n v="10"/>
    <x v="2"/>
    <s v="Defense Minister"/>
    <x v="0"/>
    <m/>
    <x v="0"/>
    <m/>
    <m/>
    <m/>
    <m/>
    <m/>
    <s v="Defense White Paper Appendix"/>
    <m/>
  </r>
  <r>
    <x v="1"/>
    <x v="0"/>
    <s v="Asia"/>
    <s v="Strategic Partnership for Peace and Prosperity [战略伙伴关系]"/>
    <s v="None"/>
    <s v="INDOPACOM"/>
    <x v="6"/>
    <x v="15"/>
    <n v="5"/>
    <x v="3"/>
    <s v="Cao Gangchuan"/>
    <m/>
    <s v="CMC Vice Chairman; Defense Minister"/>
    <n v="10"/>
    <x v="2"/>
    <s v="Defense Minister"/>
    <x v="0"/>
    <m/>
    <x v="0"/>
    <m/>
    <m/>
    <m/>
    <m/>
    <m/>
    <s v="Defense White Paper Appendix"/>
    <m/>
  </r>
  <r>
    <x v="1"/>
    <x v="1"/>
    <s v="Asia"/>
    <s v="Strategic Partnership [战略伙伴关系]"/>
    <s v="None"/>
    <s v="INDOPACOM"/>
    <x v="8"/>
    <x v="15"/>
    <n v="5"/>
    <x v="4"/>
    <s v="Li Yu"/>
    <m/>
    <s v="GSD Assistant Commander"/>
    <n v="5"/>
    <x v="1"/>
    <m/>
    <x v="0"/>
    <m/>
    <x v="0"/>
    <m/>
    <m/>
    <m/>
    <m/>
    <m/>
    <s v="Defense White Paper Appendix"/>
    <m/>
  </r>
  <r>
    <x v="1"/>
    <x v="7"/>
    <s v="West Asia and Africa"/>
    <s v="No Specific Relationship"/>
    <s v="None"/>
    <s v="AFRICOM"/>
    <x v="47"/>
    <x v="15"/>
    <n v="5"/>
    <x v="3"/>
    <s v="Cao Gangchuan"/>
    <m/>
    <s v="CMC Vice Chairman; Defense Minister"/>
    <n v="10"/>
    <x v="2"/>
    <s v="Minister of State for Defense"/>
    <x v="0"/>
    <m/>
    <x v="0"/>
    <m/>
    <m/>
    <m/>
    <m/>
    <m/>
    <s v="Defense White Paper Appendix"/>
    <m/>
  </r>
  <r>
    <x v="1"/>
    <x v="1"/>
    <s v="Asia"/>
    <s v="Strategic Cooperative Partnership [战略合作伙伴关系]"/>
    <s v="None"/>
    <s v="INDOPACOM"/>
    <x v="10"/>
    <x v="15"/>
    <n v="5"/>
    <x v="3"/>
    <s v="Liang Guanglie"/>
    <m/>
    <s v="GSD Commander; CMC Member"/>
    <n v="8"/>
    <x v="2"/>
    <s v="Commander Armed Forces"/>
    <x v="0"/>
    <m/>
    <x v="0"/>
    <m/>
    <m/>
    <m/>
    <m/>
    <m/>
    <s v="Defense White Paper Appendix"/>
    <m/>
  </r>
  <r>
    <x v="1"/>
    <x v="8"/>
    <s v="Europe and Central Asia"/>
    <s v="No Specific Relationship"/>
    <s v="NATO"/>
    <s v="EUCOM"/>
    <x v="37"/>
    <x v="15"/>
    <n v="5"/>
    <x v="4"/>
    <s v="Liang Guanglie"/>
    <m/>
    <s v="GSD Commander; CMC Member"/>
    <n v="8"/>
    <x v="1"/>
    <m/>
    <x v="0"/>
    <m/>
    <x v="0"/>
    <m/>
    <m/>
    <m/>
    <m/>
    <m/>
    <s v="Defense White Paper Appendix"/>
    <m/>
  </r>
  <r>
    <x v="1"/>
    <x v="0"/>
    <s v="Asia"/>
    <s v="Strategic Partnership [战略伙伴关系]"/>
    <s v="Major Non-NATO Ally"/>
    <s v="CENTCOM"/>
    <x v="2"/>
    <x v="15"/>
    <n v="5"/>
    <x v="3"/>
    <s v="Cao Gangchuan"/>
    <m/>
    <s v="CMC Vice Chairman; Defense Minister"/>
    <n v="10"/>
    <x v="2"/>
    <s v="Navy Chief of Staff"/>
    <x v="0"/>
    <m/>
    <x v="0"/>
    <m/>
    <m/>
    <m/>
    <m/>
    <m/>
    <s v="Defense White Paper Appendix"/>
    <m/>
  </r>
  <r>
    <x v="1"/>
    <x v="1"/>
    <s v="Asia"/>
    <s v="Strategic Cooperative Partnership [战略合作伙伴关系]"/>
    <s v="Bilateral Defense Treaty"/>
    <s v="INDOPACOM"/>
    <x v="11"/>
    <x v="15"/>
    <n v="5"/>
    <x v="3"/>
    <s v="Cao Gangchuan"/>
    <m/>
    <s v="CMC Vice Chairman; Defense Minister"/>
    <n v="10"/>
    <x v="2"/>
    <s v="COGS"/>
    <x v="0"/>
    <m/>
    <x v="0"/>
    <m/>
    <m/>
    <m/>
    <m/>
    <m/>
    <s v="Defense White Paper Appendix"/>
    <m/>
  </r>
  <r>
    <x v="1"/>
    <x v="3"/>
    <s v="Europe and Central Asia"/>
    <s v="Strategic Partnership of Coordination [战略协作伙伴关系]"/>
    <s v="None"/>
    <s v="EUCOM"/>
    <x v="7"/>
    <x v="15"/>
    <n v="5"/>
    <x v="4"/>
    <s v="Liang Guanglie"/>
    <m/>
    <s v="GSD Commander; CMC Member"/>
    <n v="8"/>
    <x v="1"/>
    <m/>
    <x v="0"/>
    <m/>
    <x v="0"/>
    <m/>
    <m/>
    <m/>
    <m/>
    <m/>
    <s v="Defense White Paper Appendix"/>
    <m/>
  </r>
  <r>
    <x v="1"/>
    <x v="1"/>
    <s v="Asia"/>
    <s v="No Specific Relationship"/>
    <s v="None"/>
    <s v="INDOPACOM"/>
    <x v="39"/>
    <x v="15"/>
    <n v="5"/>
    <x v="3"/>
    <s v="Cao Gangchuan"/>
    <m/>
    <s v="CMC Vice Chairman; Defense Minister"/>
    <n v="10"/>
    <x v="2"/>
    <s v="COGS"/>
    <x v="0"/>
    <m/>
    <x v="0"/>
    <m/>
    <m/>
    <m/>
    <m/>
    <m/>
    <s v="Defense White Paper Appendix"/>
    <m/>
  </r>
  <r>
    <x v="1"/>
    <x v="8"/>
    <s v="Europe and Central Asia"/>
    <s v="No Specific Relationship"/>
    <s v="NATO"/>
    <s v="EUCOM"/>
    <x v="40"/>
    <x v="15"/>
    <n v="5"/>
    <x v="4"/>
    <s v="Yu Linxiang"/>
    <m/>
    <s v="Lanzhou MR Political Commissar"/>
    <n v="6"/>
    <x v="1"/>
    <m/>
    <x v="0"/>
    <m/>
    <x v="0"/>
    <m/>
    <m/>
    <m/>
    <m/>
    <m/>
    <s v="Defense White Paper Appendix"/>
    <m/>
  </r>
  <r>
    <x v="1"/>
    <x v="4"/>
    <s v="Asia"/>
    <s v="Comprehensive Cooperative Partnership [全面合作伙伴关系]"/>
    <s v="Bilateral Defense Treaty"/>
    <s v="INDOPACOM"/>
    <x v="25"/>
    <x v="15"/>
    <n v="5"/>
    <x v="3"/>
    <s v="Cao Gangchuan"/>
    <m/>
    <s v="CMC Vice Chairman; Defense Minister"/>
    <n v="10"/>
    <x v="2"/>
    <s v="Navy Chief of Staff"/>
    <x v="0"/>
    <m/>
    <x v="0"/>
    <m/>
    <m/>
    <m/>
    <m/>
    <m/>
    <s v="Defense White Paper Appendix"/>
    <m/>
  </r>
  <r>
    <x v="1"/>
    <x v="8"/>
    <s v="Europe and Central Asia"/>
    <s v="Comprehensive Strategic Partnership [全面战略伙伴关系]"/>
    <s v="NATO"/>
    <s v="EUCOM"/>
    <x v="70"/>
    <x v="15"/>
    <n v="5"/>
    <x v="3"/>
    <s v="Ma Xiaotian"/>
    <m/>
    <s v="GSD DCGS"/>
    <n v="6"/>
    <x v="2"/>
    <s v="Chief of Air Staff"/>
    <x v="0"/>
    <m/>
    <x v="0"/>
    <m/>
    <m/>
    <m/>
    <m/>
    <m/>
    <s v="Defense White Paper Appendix"/>
    <m/>
  </r>
  <r>
    <x v="1"/>
    <x v="1"/>
    <s v="Asia"/>
    <s v="No Specific Relationship"/>
    <s v="Bilateral Defense Treaty"/>
    <s v="INDOPACOM"/>
    <x v="5"/>
    <x v="15"/>
    <n v="5"/>
    <x v="3"/>
    <s v="Cao Gangchuan"/>
    <m/>
    <s v="CMC Vice Chairman; Defense Minister"/>
    <n v="10"/>
    <x v="2"/>
    <s v="Supreme Commander Armed Forces"/>
    <x v="0"/>
    <m/>
    <x v="0"/>
    <m/>
    <m/>
    <m/>
    <m/>
    <m/>
    <s v="Defense White Paper Appendix"/>
    <m/>
  </r>
  <r>
    <x v="1"/>
    <x v="2"/>
    <s v="America and Oceania"/>
    <s v="No Specific Relationship"/>
    <s v="N/A"/>
    <s v="NORTHCOM"/>
    <x v="4"/>
    <x v="15"/>
    <n v="5"/>
    <x v="3"/>
    <s v="Cao Gangchuan"/>
    <m/>
    <s v="CMC Vice Chairman; Defense Minister"/>
    <n v="10"/>
    <x v="2"/>
    <s v="PACOM Commander"/>
    <x v="0"/>
    <m/>
    <x v="0"/>
    <m/>
    <m/>
    <m/>
    <m/>
    <m/>
    <s v="Defense White Paper Appendix"/>
    <m/>
  </r>
  <r>
    <x v="1"/>
    <x v="8"/>
    <s v="Europe and Central Asia"/>
    <s v="No Specific Relationship"/>
    <s v="NATO"/>
    <s v="EUCOM"/>
    <x v="108"/>
    <x v="15"/>
    <n v="6"/>
    <x v="4"/>
    <s v="Chen Bingde"/>
    <m/>
    <s v="GAD Director; CMC Member"/>
    <n v="8"/>
    <x v="1"/>
    <m/>
    <x v="0"/>
    <m/>
    <x v="0"/>
    <m/>
    <m/>
    <m/>
    <m/>
    <m/>
    <s v="Defense White Paper Appendix"/>
    <m/>
  </r>
  <r>
    <x v="1"/>
    <x v="10"/>
    <s v="America and Oceania"/>
    <s v="Comprehensive Partnership [全面伙伴关系]"/>
    <s v="None"/>
    <s v="SOUTHCOM"/>
    <x v="66"/>
    <x v="15"/>
    <n v="6"/>
    <x v="3"/>
    <s v="Liang Guanglie"/>
    <m/>
    <s v="Defense Minister; CMC Member"/>
    <n v="8"/>
    <x v="2"/>
    <s v="Chief of Navy"/>
    <x v="0"/>
    <m/>
    <x v="0"/>
    <m/>
    <m/>
    <m/>
    <m/>
    <m/>
    <s v="Defense White Paper Appendix"/>
    <m/>
  </r>
  <r>
    <x v="1"/>
    <x v="9"/>
    <s v="West Asia and Africa"/>
    <s v="Strategic Cooperative Partnership [战略合作伙伴关系]"/>
    <s v="Major Non-NATO Ally"/>
    <s v="CENTCOM"/>
    <x v="24"/>
    <x v="15"/>
    <n v="6"/>
    <x v="4"/>
    <s v="Zhao Keming"/>
    <m/>
    <s v="PLA NDU Political Commissar"/>
    <n v="6"/>
    <x v="1"/>
    <m/>
    <x v="0"/>
    <m/>
    <x v="0"/>
    <m/>
    <m/>
    <m/>
    <m/>
    <m/>
    <s v="Defense White Paper Appendix"/>
    <m/>
  </r>
  <r>
    <x v="1"/>
    <x v="7"/>
    <s v="West Asia and Africa"/>
    <s v="No Specific Relationship"/>
    <s v="None"/>
    <s v="AFRICOM"/>
    <x v="80"/>
    <x v="15"/>
    <n v="6"/>
    <x v="3"/>
    <s v="Cao Gangchuan"/>
    <m/>
    <s v="CMC Vice Chairman; Defense Minister"/>
    <n v="10"/>
    <x v="2"/>
    <s v="Chief of General Office, Ministry of Defense"/>
    <x v="0"/>
    <m/>
    <x v="0"/>
    <m/>
    <m/>
    <m/>
    <m/>
    <m/>
    <s v="Defense White Paper Appendix"/>
    <m/>
  </r>
  <r>
    <x v="1"/>
    <x v="7"/>
    <s v="West Asia and Africa"/>
    <s v="No Specific Relationship"/>
    <s v="None"/>
    <s v="AFRICOM"/>
    <x v="109"/>
    <x v="15"/>
    <n v="6"/>
    <x v="3"/>
    <s v="Cao Gangchuan"/>
    <m/>
    <s v="CMC Vice Chairman; Defense Minister"/>
    <n v="10"/>
    <x v="2"/>
    <s v="Chief of Staff Armed Forces"/>
    <x v="0"/>
    <m/>
    <x v="0"/>
    <m/>
    <m/>
    <m/>
    <m/>
    <m/>
    <s v="Defense White Paper Appendix"/>
    <m/>
  </r>
  <r>
    <x v="1"/>
    <x v="1"/>
    <s v="Asia"/>
    <s v="Strategic Cooperative Partnership [战略合作伙伴关系]"/>
    <s v="None"/>
    <s v="INDOPACOM"/>
    <x v="10"/>
    <x v="15"/>
    <n v="6"/>
    <x v="3"/>
    <s v="Ma Xiaotian"/>
    <m/>
    <s v="GSD DCGS"/>
    <n v="6"/>
    <x v="2"/>
    <s v="Navy Commander"/>
    <x v="0"/>
    <m/>
    <x v="0"/>
    <m/>
    <m/>
    <m/>
    <m/>
    <m/>
    <s v="Defense White Paper Appendix"/>
    <m/>
  </r>
  <r>
    <x v="1"/>
    <x v="4"/>
    <s v="Asia"/>
    <s v="Bilateral Defense Treaty"/>
    <s v="None"/>
    <s v="INDOPACOM"/>
    <x v="9"/>
    <x v="15"/>
    <n v="6"/>
    <x v="3"/>
    <s v="Liang Guanglie"/>
    <m/>
    <s v="GSD Commander; CMC Member"/>
    <n v="8"/>
    <x v="2"/>
    <s v="KPA army commander"/>
    <x v="0"/>
    <m/>
    <x v="0"/>
    <m/>
    <m/>
    <m/>
    <m/>
    <m/>
    <s v="Defense White Paper Appendix"/>
    <m/>
  </r>
  <r>
    <x v="1"/>
    <x v="9"/>
    <s v="West Asia and Africa"/>
    <s v="No Specific Relationship"/>
    <s v="None"/>
    <s v="CENTCOM"/>
    <x v="131"/>
    <x v="15"/>
    <n v="6"/>
    <x v="3"/>
    <s v="Liang Guanglie"/>
    <m/>
    <s v="GSD Commander; CMC Member"/>
    <n v="8"/>
    <x v="2"/>
    <s v="COGS"/>
    <x v="0"/>
    <m/>
    <x v="0"/>
    <m/>
    <m/>
    <m/>
    <m/>
    <m/>
    <s v="Defense White Paper Appendix"/>
    <m/>
  </r>
  <r>
    <x v="1"/>
    <x v="7"/>
    <s v="West Asia and Africa"/>
    <s v="Strategic Partnership [战略伙伴关系]"/>
    <s v="None"/>
    <s v="AFRICOM"/>
    <x v="15"/>
    <x v="15"/>
    <n v="6"/>
    <x v="4"/>
    <s v="Chen Bingde"/>
    <m/>
    <s v="GAD Director; CMC Member"/>
    <n v="8"/>
    <x v="1"/>
    <m/>
    <x v="0"/>
    <m/>
    <x v="0"/>
    <m/>
    <m/>
    <m/>
    <m/>
    <m/>
    <s v="Defense White Paper Appendix"/>
    <m/>
  </r>
  <r>
    <x v="1"/>
    <x v="7"/>
    <s v="West Asia and Africa"/>
    <s v="No Specific Relationship"/>
    <s v="None"/>
    <s v="AFRICOM"/>
    <x v="16"/>
    <x v="15"/>
    <n v="6"/>
    <x v="4"/>
    <m/>
    <m/>
    <s v="GLD Deputy Director"/>
    <n v="8"/>
    <x v="1"/>
    <m/>
    <x v="0"/>
    <m/>
    <x v="0"/>
    <m/>
    <m/>
    <m/>
    <m/>
    <m/>
    <s v="Defense White Paper Appendix"/>
    <s v="Updated positions with DWP"/>
  </r>
  <r>
    <x v="1"/>
    <x v="8"/>
    <s v="Europe and Central Asia"/>
    <s v="No Specific Relationship"/>
    <s v="NATO"/>
    <s v="EUCOM"/>
    <x v="38"/>
    <x v="15"/>
    <n v="6"/>
    <x v="4"/>
    <s v="Zhao Keming"/>
    <m/>
    <s v="PLA NDU Political Commissar"/>
    <n v="6"/>
    <x v="1"/>
    <m/>
    <x v="0"/>
    <m/>
    <x v="0"/>
    <m/>
    <m/>
    <m/>
    <m/>
    <m/>
    <s v="Defense White Paper Appendix"/>
    <m/>
  </r>
  <r>
    <x v="1"/>
    <x v="6"/>
    <s v="Europe and Central Asia"/>
    <s v="No Specific Relationship"/>
    <s v="None"/>
    <s v="CENTCOM"/>
    <x v="55"/>
    <x v="15"/>
    <n v="6"/>
    <x v="3"/>
    <s v="Ma Xiaotian"/>
    <m/>
    <s v="GSD DCGS"/>
    <n v="6"/>
    <x v="2"/>
    <s v="First Deputy Defense Minister"/>
    <x v="0"/>
    <m/>
    <x v="0"/>
    <m/>
    <m/>
    <m/>
    <m/>
    <m/>
    <s v="Defense White Paper Appendix"/>
    <m/>
  </r>
  <r>
    <x v="1"/>
    <x v="7"/>
    <s v="West Asia and Africa"/>
    <s v="No Specific Relationship"/>
    <s v="None"/>
    <s v="AFRICOM"/>
    <x v="61"/>
    <x v="15"/>
    <n v="6"/>
    <x v="4"/>
    <m/>
    <m/>
    <s v="GLD Deputy Director"/>
    <n v="8"/>
    <x v="1"/>
    <m/>
    <x v="0"/>
    <m/>
    <x v="0"/>
    <m/>
    <m/>
    <m/>
    <m/>
    <m/>
    <s v="Defense White Paper Appendix"/>
    <s v="Updated positions with DWP"/>
  </r>
  <r>
    <x v="1"/>
    <x v="5"/>
    <s v="America and Oceania"/>
    <s v="No Specific Relationship"/>
    <s v="ANZUS Treaty"/>
    <s v="INDOPACOM"/>
    <x v="12"/>
    <x v="15"/>
    <n v="7"/>
    <x v="3"/>
    <s v="Ge Zhenfeng"/>
    <m/>
    <s v="GSD DCGS"/>
    <n v="6"/>
    <x v="2"/>
    <s v="Chief of Special Operations"/>
    <x v="0"/>
    <m/>
    <x v="0"/>
    <m/>
    <m/>
    <m/>
    <m/>
    <m/>
    <s v="https://dlib.eastview.com/browse/doc/14707183"/>
    <m/>
  </r>
  <r>
    <x v="1"/>
    <x v="8"/>
    <s v="Europe and Central Asia"/>
    <s v="Comprehensive Partnership [全面伙伴关系]"/>
    <s v="NATO"/>
    <s v="EUCOM"/>
    <x v="22"/>
    <x v="15"/>
    <n v="7"/>
    <x v="4"/>
    <s v="Guo Boxiong"/>
    <m/>
    <s v="CMC Vice Chairman"/>
    <n v="10"/>
    <x v="1"/>
    <m/>
    <x v="0"/>
    <m/>
    <x v="0"/>
    <m/>
    <m/>
    <m/>
    <m/>
    <m/>
    <s v="Defense White Paper Appendix"/>
    <m/>
  </r>
  <r>
    <x v="1"/>
    <x v="1"/>
    <s v="Asia"/>
    <s v="Strategic Partnership [战略伙伴关系]"/>
    <s v="None"/>
    <s v="INDOPACOM"/>
    <x v="8"/>
    <x v="15"/>
    <n v="7"/>
    <x v="3"/>
    <s v="Ma Xiaotian"/>
    <m/>
    <s v="GSD DCGS"/>
    <n v="6"/>
    <x v="2"/>
    <s v="Chief of Army Staff"/>
    <x v="0"/>
    <m/>
    <x v="0"/>
    <m/>
    <m/>
    <m/>
    <m/>
    <m/>
    <s v="Defense White Paper Appendix"/>
    <m/>
  </r>
  <r>
    <x v="1"/>
    <x v="8"/>
    <s v="Europe and Central Asia"/>
    <s v="No Specific Relationship"/>
    <s v="None"/>
    <s v="EUCOM"/>
    <x v="78"/>
    <x v="15"/>
    <n v="7"/>
    <x v="3"/>
    <s v="Liang Guanglie"/>
    <m/>
    <s v="GSD Commander; CMC Member"/>
    <n v="8"/>
    <x v="2"/>
    <s v="Chief of Armed Forces"/>
    <x v="0"/>
    <m/>
    <x v="0"/>
    <m/>
    <m/>
    <m/>
    <m/>
    <m/>
    <s v="Defense White Paper Appendix"/>
    <m/>
  </r>
  <r>
    <x v="1"/>
    <x v="1"/>
    <s v="Asia"/>
    <s v="No Specific Relationship"/>
    <s v="Bilateral Defense Treaty"/>
    <s v="INDOPACOM"/>
    <x v="5"/>
    <x v="15"/>
    <n v="7"/>
    <x v="3"/>
    <s v="Ma Xiaotian"/>
    <m/>
    <s v="GSD DCGS"/>
    <n v="6"/>
    <x v="2"/>
    <s v="Air Force Commander"/>
    <x v="0"/>
    <m/>
    <x v="0"/>
    <m/>
    <m/>
    <m/>
    <m/>
    <m/>
    <s v="Defense White Paper Appendix"/>
    <m/>
  </r>
  <r>
    <x v="1"/>
    <x v="7"/>
    <s v="West Asia and Africa"/>
    <s v="Strategic Partnership [战略伙伴关系]"/>
    <s v="None"/>
    <s v="AFRICOM"/>
    <x v="76"/>
    <x v="15"/>
    <n v="8"/>
    <x v="3"/>
    <s v="Xu Caihou"/>
    <m/>
    <s v="CMC Vice Chairman"/>
    <n v="10"/>
    <x v="2"/>
    <s v="Chief of Staff"/>
    <x v="0"/>
    <m/>
    <x v="0"/>
    <m/>
    <m/>
    <m/>
    <m/>
    <m/>
    <s v="Defense White Paper Appendix"/>
    <m/>
  </r>
  <r>
    <x v="1"/>
    <x v="7"/>
    <s v="West Asia and Africa"/>
    <s v="Friendly Cooperative Relationship [友好合作关系]"/>
    <s v="None"/>
    <s v="AFRICOM"/>
    <x v="64"/>
    <x v="15"/>
    <n v="8"/>
    <x v="4"/>
    <s v="Qi Zhengxiang"/>
    <m/>
    <s v="Jinan MR Political Commissar"/>
    <n v="6"/>
    <x v="1"/>
    <m/>
    <x v="0"/>
    <m/>
    <x v="0"/>
    <m/>
    <m/>
    <m/>
    <m/>
    <m/>
    <s v="Defense White Paper Appendix"/>
    <m/>
  </r>
  <r>
    <x v="0"/>
    <x v="2"/>
    <s v="America and Oceania"/>
    <s v="Strategic Partnership [战略伙伴关系]"/>
    <s v="NATO"/>
    <s v="NORTHCOM"/>
    <x v="17"/>
    <x v="15"/>
    <n v="8"/>
    <x v="0"/>
    <m/>
    <m/>
    <m/>
    <m/>
    <x v="0"/>
    <m/>
    <x v="0"/>
    <m/>
    <x v="0"/>
    <m/>
    <s v="NETF"/>
    <s v="2006-08 DDG113 Qingdao"/>
    <s v="North Sea Fleet"/>
    <s v="Luhu destroyer Qingdao 113, replenishment ship Hongzehu 881"/>
    <m/>
    <m/>
  </r>
  <r>
    <x v="1"/>
    <x v="10"/>
    <s v="America and Oceania"/>
    <s v="Comprehensive Partnership [全面伙伴关系]"/>
    <s v="None"/>
    <s v="SOUTHCOM"/>
    <x v="66"/>
    <x v="15"/>
    <n v="8"/>
    <x v="3"/>
    <s v="Xu Caihou"/>
    <m/>
    <s v="CMC Vice Chairman"/>
    <n v="10"/>
    <x v="2"/>
    <s v="Chief of Defense Staff"/>
    <x v="0"/>
    <m/>
    <x v="0"/>
    <m/>
    <m/>
    <m/>
    <m/>
    <m/>
    <s v="Defense White Paper Appendix"/>
    <m/>
  </r>
  <r>
    <x v="1"/>
    <x v="9"/>
    <s v="West Asia and Africa"/>
    <s v="Strategic Cooperative Partnership [战略合作伙伴关系]"/>
    <s v="Major Non-NATO Ally"/>
    <s v="CENTCOM"/>
    <x v="24"/>
    <x v="15"/>
    <n v="8"/>
    <x v="4"/>
    <s v="Ma Xiaotian"/>
    <m/>
    <s v="GSD DCGS"/>
    <n v="6"/>
    <x v="1"/>
    <m/>
    <x v="0"/>
    <m/>
    <x v="0"/>
    <m/>
    <m/>
    <m/>
    <m/>
    <m/>
    <s v="Defense White Paper Appendix"/>
    <m/>
  </r>
  <r>
    <x v="1"/>
    <x v="8"/>
    <s v="Europe and Central Asia"/>
    <s v="No Specific Relationship"/>
    <s v="None"/>
    <s v="EUCOM"/>
    <x v="81"/>
    <x v="15"/>
    <n v="8"/>
    <x v="4"/>
    <m/>
    <m/>
    <s v="GLD Deputy Director"/>
    <n v="8"/>
    <x v="1"/>
    <m/>
    <x v="0"/>
    <m/>
    <x v="0"/>
    <m/>
    <m/>
    <m/>
    <m/>
    <m/>
    <s v="Defense White Paper Appendix"/>
    <m/>
  </r>
  <r>
    <x v="1"/>
    <x v="8"/>
    <s v="Europe and Central Asia"/>
    <s v="No Specific Relationship"/>
    <s v="NATO"/>
    <s v="EUCOM"/>
    <x v="18"/>
    <x v="15"/>
    <n v="8"/>
    <x v="4"/>
    <s v="Ma Xiaotian"/>
    <m/>
    <s v="GSD DCGS"/>
    <n v="6"/>
    <x v="1"/>
    <m/>
    <x v="0"/>
    <m/>
    <x v="0"/>
    <m/>
    <m/>
    <m/>
    <m/>
    <m/>
    <s v="Defense White Paper Appendix"/>
    <m/>
  </r>
  <r>
    <x v="2"/>
    <x v="6"/>
    <s v="Europe and Central Asia"/>
    <s v="Strategic Partnership [战略伙伴关系]"/>
    <s v="None"/>
    <s v="CENTCOM"/>
    <x v="30"/>
    <x v="15"/>
    <n v="8"/>
    <x v="5"/>
    <m/>
    <m/>
    <m/>
    <m/>
    <x v="0"/>
    <m/>
    <x v="1"/>
    <s v="Tianshan-1"/>
    <x v="4"/>
    <s v="First PAP cooperation with foreign security forces"/>
    <m/>
    <m/>
    <m/>
    <m/>
    <s v="https://www.jstor.org/stable/pdf/resrep11945.11.pdf?refreqid=excelsior%3A4fac441d45c51d61db50c8bc19c2628f"/>
    <m/>
  </r>
  <r>
    <x v="1"/>
    <x v="0"/>
    <s v="Asia"/>
    <s v="Strategic Partnership [战略伙伴关系]"/>
    <s v="Major Non-NATO Ally"/>
    <s v="CENTCOM"/>
    <x v="2"/>
    <x v="15"/>
    <n v="8"/>
    <x v="4"/>
    <s v="Li Yu"/>
    <m/>
    <s v="GSD Assistant Commander"/>
    <n v="5"/>
    <x v="1"/>
    <m/>
    <x v="0"/>
    <m/>
    <x v="0"/>
    <m/>
    <m/>
    <m/>
    <m/>
    <m/>
    <s v="Defense White Paper Appendix"/>
    <m/>
  </r>
  <r>
    <x v="0"/>
    <x v="1"/>
    <s v="Asia"/>
    <s v="Strategic Cooperative Partnership [战略合作伙伴关系]"/>
    <s v="Bilateral Defense Treaty"/>
    <s v="INDOPACOM"/>
    <x v="11"/>
    <x v="15"/>
    <n v="8"/>
    <x v="0"/>
    <m/>
    <m/>
    <m/>
    <m/>
    <x v="0"/>
    <m/>
    <x v="0"/>
    <m/>
    <x v="0"/>
    <m/>
    <s v="NETF"/>
    <s v="2006-08 DDG113 Qingdao"/>
    <s v="North Sea Fleet"/>
    <s v="Luhu destroyer Qingdao 113, replenishment ship Hongzehu 881"/>
    <m/>
    <m/>
  </r>
  <r>
    <x v="1"/>
    <x v="8"/>
    <s v="Europe and Central Asia"/>
    <s v="No Specific Relationship"/>
    <s v="None"/>
    <s v="EUCOM"/>
    <x v="92"/>
    <x v="15"/>
    <n v="8"/>
    <x v="4"/>
    <m/>
    <m/>
    <s v="GLD Deputy Director"/>
    <n v="8"/>
    <x v="1"/>
    <m/>
    <x v="0"/>
    <m/>
    <x v="0"/>
    <m/>
    <m/>
    <m/>
    <m/>
    <m/>
    <s v="Defense White Paper Appendix"/>
    <m/>
  </r>
  <r>
    <x v="1"/>
    <x v="7"/>
    <s v="West Asia and Africa"/>
    <s v="No Specific Relationship"/>
    <s v="None"/>
    <s v="AFRICOM"/>
    <x v="16"/>
    <x v="15"/>
    <n v="8"/>
    <x v="4"/>
    <s v="Qi Zhengxiang"/>
    <m/>
    <s v="Jinan MR Political Commissar"/>
    <n v="6"/>
    <x v="1"/>
    <m/>
    <x v="0"/>
    <m/>
    <x v="0"/>
    <m/>
    <m/>
    <m/>
    <m/>
    <m/>
    <s v="Defense White Paper Appendix"/>
    <m/>
  </r>
  <r>
    <x v="1"/>
    <x v="1"/>
    <s v="Asia"/>
    <s v="No Specific Relationship"/>
    <s v="Bilateral Defense Treaty"/>
    <s v="INDOPACOM"/>
    <x v="5"/>
    <x v="15"/>
    <n v="8"/>
    <x v="4"/>
    <s v="Li Yu"/>
    <m/>
    <s v="GSD Assistant Commander"/>
    <n v="5"/>
    <x v="1"/>
    <m/>
    <x v="0"/>
    <m/>
    <x v="0"/>
    <m/>
    <m/>
    <m/>
    <m/>
    <m/>
    <s v="Defense White Paper Appendix"/>
    <m/>
  </r>
  <r>
    <x v="1"/>
    <x v="7"/>
    <s v="West Asia and Africa"/>
    <s v="Comprehensive Strategic Cooperative Partnership [全面战略合作伙伴关系]"/>
    <s v="None"/>
    <s v="AFRICOM"/>
    <x v="96"/>
    <x v="15"/>
    <n v="8"/>
    <x v="4"/>
    <s v="Qi Zhengxiang"/>
    <m/>
    <s v="Jinan MR Political Commissar"/>
    <n v="6"/>
    <x v="1"/>
    <m/>
    <x v="0"/>
    <m/>
    <x v="0"/>
    <m/>
    <m/>
    <m/>
    <m/>
    <m/>
    <s v="Defense White Paper Appendix"/>
    <m/>
  </r>
  <r>
    <x v="1"/>
    <x v="2"/>
    <s v="America and Oceania"/>
    <s v="No Specific Relationship"/>
    <s v="N/A"/>
    <s v="NORTHCOM"/>
    <x v="4"/>
    <x v="15"/>
    <n v="8"/>
    <x v="3"/>
    <s v="UNK"/>
    <m/>
    <s v="North Sea Fleet Commander"/>
    <n v="6"/>
    <x v="2"/>
    <s v="PACOM Commander visit to Harbin"/>
    <x v="0"/>
    <m/>
    <x v="0"/>
    <m/>
    <m/>
    <m/>
    <m/>
    <m/>
    <s v="https://www.npr.org/templates/story/story.php?storyId=6135356 "/>
    <s v="No counterpart identified; assess North Sea Fleet Commander given Harbin location"/>
  </r>
  <r>
    <x v="0"/>
    <x v="2"/>
    <s v="America and Oceania"/>
    <s v="No Specific Relationship"/>
    <s v="N/A"/>
    <s v="NORTHCOM"/>
    <x v="4"/>
    <x v="15"/>
    <n v="8"/>
    <x v="0"/>
    <m/>
    <m/>
    <m/>
    <m/>
    <x v="0"/>
    <m/>
    <x v="0"/>
    <m/>
    <x v="0"/>
    <m/>
    <s v="NETF"/>
    <s v="2006-08 DDG113 Qingdao"/>
    <s v="North Sea Fleet"/>
    <s v="Luhu destroyer Qingdao 113, replenishment ship Hongzehu 881"/>
    <m/>
    <m/>
  </r>
  <r>
    <x v="1"/>
    <x v="5"/>
    <s v="America and Oceania"/>
    <s v="No Specific Relationship"/>
    <s v="ANZUS Treaty"/>
    <s v="INDOPACOM"/>
    <x v="12"/>
    <x v="15"/>
    <n v="9"/>
    <x v="4"/>
    <s v="Xu Caihou"/>
    <m/>
    <s v="CMC Vice Chairman"/>
    <n v="10"/>
    <x v="1"/>
    <m/>
    <x v="0"/>
    <m/>
    <x v="0"/>
    <m/>
    <m/>
    <m/>
    <m/>
    <m/>
    <s v="Defense White Paper Appendix"/>
    <m/>
  </r>
  <r>
    <x v="1"/>
    <x v="8"/>
    <s v="Europe and Central Asia"/>
    <s v="Strategic Partnership [战略伙伴关系]"/>
    <s v="None"/>
    <s v="EUCOM"/>
    <x v="34"/>
    <x v="15"/>
    <n v="9"/>
    <x v="4"/>
    <s v="Cao Gangchuan"/>
    <m/>
    <s v="CMC Vice Chairman; Defense Minister"/>
    <n v="10"/>
    <x v="1"/>
    <m/>
    <x v="0"/>
    <m/>
    <x v="0"/>
    <m/>
    <m/>
    <m/>
    <m/>
    <m/>
    <s v="Defense White Paper Appendix"/>
    <m/>
  </r>
  <r>
    <x v="1"/>
    <x v="10"/>
    <s v="America and Oceania"/>
    <s v="No Specific Relationship"/>
    <s v="None"/>
    <s v="SOUTHCOM"/>
    <x v="42"/>
    <x v="15"/>
    <n v="9"/>
    <x v="3"/>
    <s v="Cao Gangchuan"/>
    <m/>
    <s v="CMC Vice Chairman; Defense Minister"/>
    <n v="10"/>
    <x v="2"/>
    <s v="Defense Minister"/>
    <x v="0"/>
    <m/>
    <x v="0"/>
    <m/>
    <m/>
    <m/>
    <m/>
    <m/>
    <s v="Defense White Paper Appendix"/>
    <m/>
  </r>
  <r>
    <x v="1"/>
    <x v="10"/>
    <s v="America and Oceania"/>
    <s v="Comprehensive Strategic Partnership [全面战略伙伴关系]"/>
    <s v="None"/>
    <s v="SOUTHCOM"/>
    <x v="43"/>
    <x v="15"/>
    <n v="9"/>
    <x v="4"/>
    <s v="Sun Dafa"/>
    <m/>
    <s v="GLD Political Commissar"/>
    <n v="6"/>
    <x v="1"/>
    <m/>
    <x v="0"/>
    <m/>
    <x v="0"/>
    <m/>
    <m/>
    <m/>
    <m/>
    <m/>
    <s v="Defense White Paper Appendix"/>
    <m/>
  </r>
  <r>
    <x v="1"/>
    <x v="8"/>
    <s v="Europe and Central Asia"/>
    <s v="No Specific Relationship"/>
    <s v="NATO"/>
    <s v="EUCOM"/>
    <x v="79"/>
    <x v="15"/>
    <n v="9"/>
    <x v="4"/>
    <s v="Cao Gangchuan"/>
    <m/>
    <s v="CMC Vice Chairman; Defense Minister"/>
    <n v="10"/>
    <x v="1"/>
    <m/>
    <x v="0"/>
    <m/>
    <x v="0"/>
    <m/>
    <m/>
    <m/>
    <m/>
    <m/>
    <s v="Defense White Paper Appendix"/>
    <m/>
  </r>
  <r>
    <x v="1"/>
    <x v="7"/>
    <s v="West Asia and Africa"/>
    <s v="No Specific Relationship"/>
    <s v="None"/>
    <s v="AFRICOM"/>
    <x v="132"/>
    <x v="15"/>
    <n v="9"/>
    <x v="3"/>
    <s v="Guo Boxiong"/>
    <m/>
    <s v="CMC Vice Chairman"/>
    <n v="10"/>
    <x v="2"/>
    <s v="Chief of Staff Armed Forces"/>
    <x v="0"/>
    <m/>
    <x v="0"/>
    <m/>
    <m/>
    <m/>
    <m/>
    <m/>
    <s v="Defense White Paper Appendix"/>
    <m/>
  </r>
  <r>
    <x v="1"/>
    <x v="10"/>
    <s v="America and Oceania"/>
    <s v="Comprehensive Partnership [全面伙伴关系]"/>
    <s v="None"/>
    <s v="SOUTHCOM"/>
    <x v="66"/>
    <x v="15"/>
    <n v="9"/>
    <x v="4"/>
    <s v="Sun Dafa"/>
    <m/>
    <s v="GLD Political Commissar"/>
    <n v="6"/>
    <x v="1"/>
    <m/>
    <x v="0"/>
    <m/>
    <x v="0"/>
    <m/>
    <m/>
    <m/>
    <m/>
    <m/>
    <s v="Defense White Paper Appendix"/>
    <m/>
  </r>
  <r>
    <x v="1"/>
    <x v="10"/>
    <s v="America and Oceania"/>
    <s v="No Specific Relationship"/>
    <s v="None"/>
    <s v="SOUTHCOM"/>
    <x v="45"/>
    <x v="15"/>
    <n v="9"/>
    <x v="4"/>
    <s v="Li Qianyuan"/>
    <m/>
    <s v="Lanzhou MR Commander"/>
    <n v="6"/>
    <x v="1"/>
    <m/>
    <x v="0"/>
    <m/>
    <x v="0"/>
    <m/>
    <m/>
    <m/>
    <m/>
    <m/>
    <s v="Defense White Paper Appendix"/>
    <m/>
  </r>
  <r>
    <x v="1"/>
    <x v="9"/>
    <s v="West Asia and Africa"/>
    <s v="Strategic Cooperative Partnership [战略合作伙伴关系]"/>
    <s v="Major Non-NATO Ally"/>
    <s v="CENTCOM"/>
    <x v="24"/>
    <x v="15"/>
    <n v="9"/>
    <x v="4"/>
    <s v="Zheng Shenxia"/>
    <m/>
    <s v="AMS President"/>
    <n v="6"/>
    <x v="1"/>
    <m/>
    <x v="0"/>
    <m/>
    <x v="0"/>
    <m/>
    <m/>
    <m/>
    <m/>
    <m/>
    <s v="Defense White Paper Appendix"/>
    <m/>
  </r>
  <r>
    <x v="1"/>
    <x v="8"/>
    <s v="Europe and Central Asia"/>
    <s v="No Specific Relationship"/>
    <s v="None"/>
    <s v="EUCOM"/>
    <x v="81"/>
    <x v="15"/>
    <n v="9"/>
    <x v="4"/>
    <s v="Li Jinai"/>
    <m/>
    <s v="GPD Director; CMC Member"/>
    <n v="8"/>
    <x v="1"/>
    <m/>
    <x v="0"/>
    <m/>
    <x v="0"/>
    <m/>
    <m/>
    <m/>
    <m/>
    <m/>
    <s v="Defense White Paper Appendix"/>
    <m/>
  </r>
  <r>
    <x v="1"/>
    <x v="7"/>
    <s v="West Asia and Africa"/>
    <s v="No Specific Relationship"/>
    <s v="None"/>
    <s v="AFRICOM"/>
    <x v="67"/>
    <x v="15"/>
    <n v="9"/>
    <x v="3"/>
    <s v="Cao Gangchuan"/>
    <m/>
    <s v="CMC Vice Chairman; Defense Minister"/>
    <n v="10"/>
    <x v="2"/>
    <s v="Minister of State for Defense"/>
    <x v="0"/>
    <m/>
    <x v="0"/>
    <m/>
    <m/>
    <m/>
    <m/>
    <m/>
    <s v="Defense White Paper Appendix"/>
    <m/>
  </r>
  <r>
    <x v="1"/>
    <x v="8"/>
    <s v="Europe and Central Asia"/>
    <s v="Comprehensive Strategic Partnership [全面战略伙伴关系]"/>
    <s v="NATO"/>
    <s v="EUCOM"/>
    <x v="29"/>
    <x v="15"/>
    <n v="9"/>
    <x v="4"/>
    <s v="Li Jinai"/>
    <m/>
    <s v="GPD Director; CMC Member"/>
    <n v="8"/>
    <x v="1"/>
    <m/>
    <x v="0"/>
    <m/>
    <x v="0"/>
    <m/>
    <m/>
    <m/>
    <m/>
    <m/>
    <s v="Defense White Paper Appendix"/>
    <m/>
  </r>
  <r>
    <x v="1"/>
    <x v="8"/>
    <s v="Europe and Central Asia"/>
    <s v="No Specific Relationship"/>
    <s v="NATO"/>
    <s v="EUCOM"/>
    <x v="82"/>
    <x v="15"/>
    <n v="9"/>
    <x v="4"/>
    <s v="Cao Gangchuan"/>
    <m/>
    <s v="CMC Vice Chairman; Defense Minister"/>
    <n v="10"/>
    <x v="1"/>
    <m/>
    <x v="0"/>
    <m/>
    <x v="0"/>
    <m/>
    <m/>
    <m/>
    <m/>
    <m/>
    <s v="Defense White Paper Appendix"/>
    <m/>
  </r>
  <r>
    <x v="1"/>
    <x v="7"/>
    <s v="West Asia and Africa"/>
    <s v="No Specific Relationship"/>
    <s v="None"/>
    <s v="AFRICOM"/>
    <x v="115"/>
    <x v="15"/>
    <n v="9"/>
    <x v="3"/>
    <s v="Cao Gangchuan"/>
    <m/>
    <s v="CMC Vice Chairman; Defense Minister"/>
    <n v="6"/>
    <x v="2"/>
    <s v="Defense Minister"/>
    <x v="0"/>
    <m/>
    <x v="0"/>
    <m/>
    <m/>
    <m/>
    <m/>
    <m/>
    <s v="https://dlib.eastview.com/browse/doc/14711783"/>
    <m/>
  </r>
  <r>
    <x v="1"/>
    <x v="2"/>
    <s v="America and Oceania"/>
    <s v="Strategic Cooperative Partnership [战略合作伙伴关系]"/>
    <s v="None"/>
    <s v="NORTHCOM"/>
    <x v="77"/>
    <x v="15"/>
    <n v="9"/>
    <x v="4"/>
    <s v="Huang Xianzhong"/>
    <m/>
    <s v="Shenyang MR Political Commissar"/>
    <n v="6"/>
    <x v="1"/>
    <m/>
    <x v="0"/>
    <m/>
    <x v="0"/>
    <m/>
    <m/>
    <m/>
    <m/>
    <m/>
    <s v="Defense White Paper Appendix"/>
    <m/>
  </r>
  <r>
    <x v="1"/>
    <x v="5"/>
    <s v="America and Oceania"/>
    <s v="No Specific Relationship"/>
    <s v="ANZUS Treaty"/>
    <s v="INDOPACOM"/>
    <x v="13"/>
    <x v="15"/>
    <n v="9"/>
    <x v="4"/>
    <s v="Xu Caihou"/>
    <m/>
    <s v="CMC Vice Chairman"/>
    <n v="10"/>
    <x v="1"/>
    <m/>
    <x v="0"/>
    <m/>
    <x v="0"/>
    <m/>
    <m/>
    <m/>
    <m/>
    <m/>
    <s v="Defense White Paper Appendix"/>
    <m/>
  </r>
  <r>
    <x v="1"/>
    <x v="10"/>
    <s v="America and Oceania"/>
    <s v="Comprehensive Partnership [全面伙伴关系]"/>
    <s v="None"/>
    <s v="SOUTHCOM"/>
    <x v="54"/>
    <x v="15"/>
    <n v="9"/>
    <x v="3"/>
    <s v="Liang Guanglie"/>
    <m/>
    <s v="GSD Commander; CMC Member"/>
    <n v="8"/>
    <x v="2"/>
    <s v="Air Force Commander"/>
    <x v="0"/>
    <m/>
    <x v="0"/>
    <m/>
    <m/>
    <m/>
    <m/>
    <m/>
    <s v="Defense White Paper Appendix"/>
    <m/>
  </r>
  <r>
    <x v="1"/>
    <x v="8"/>
    <s v="Europe and Central Asia"/>
    <s v="Comprehensive Friendly Cooperative Partnership [全面友好合作伙伴关系]"/>
    <s v="NATO"/>
    <s v="EUCOM"/>
    <x v="33"/>
    <x v="15"/>
    <n v="9"/>
    <x v="4"/>
    <s v="Cao Gangchuan"/>
    <m/>
    <s v="CMC Vice Chairman; Defense Minister"/>
    <n v="10"/>
    <x v="1"/>
    <m/>
    <x v="0"/>
    <m/>
    <x v="0"/>
    <m/>
    <m/>
    <m/>
    <m/>
    <m/>
    <s v="Defense White Paper Appendix"/>
    <m/>
  </r>
  <r>
    <x v="1"/>
    <x v="7"/>
    <s v="West Asia and Africa"/>
    <s v="Strategic Partnership [战略伙伴关系]"/>
    <s v="None"/>
    <s v="AFRICOM"/>
    <x v="15"/>
    <x v="15"/>
    <n v="9"/>
    <x v="4"/>
    <s v="Zheng Shenxia"/>
    <m/>
    <s v="AMS President"/>
    <n v="6"/>
    <x v="1"/>
    <m/>
    <x v="0"/>
    <m/>
    <x v="0"/>
    <m/>
    <m/>
    <m/>
    <m/>
    <m/>
    <s v="Defense White Paper Appendix"/>
    <m/>
  </r>
  <r>
    <x v="2"/>
    <x v="6"/>
    <s v="Europe and Central Asia"/>
    <s v="No Specific Relationship"/>
    <s v="None"/>
    <s v="CENTCOM"/>
    <x v="60"/>
    <x v="15"/>
    <n v="9"/>
    <x v="5"/>
    <m/>
    <m/>
    <m/>
    <m/>
    <x v="0"/>
    <m/>
    <x v="1"/>
    <s v="Coordination-2006"/>
    <x v="1"/>
    <s v="First joint anti-terrorism military exercise; in Tajikistan; 450 troops; TJ artillery, infantry, airborne; PLA reinforced company of 150+ troops"/>
    <m/>
    <m/>
    <m/>
    <m/>
    <s v="Defense White Paper Appendix; de Haas Journal of Slavic Military Studies 29:3 (2016)"/>
    <s v="Miscoded as 2005 exercise in previous DB"/>
  </r>
  <r>
    <x v="1"/>
    <x v="6"/>
    <s v="Europe and Central Asia"/>
    <s v="No Specific Relationship"/>
    <s v="None"/>
    <s v="CENTCOM"/>
    <x v="60"/>
    <x v="15"/>
    <n v="9"/>
    <x v="4"/>
    <s v="Ma Xiaotian"/>
    <m/>
    <s v="GSD DCGS"/>
    <n v="6"/>
    <x v="1"/>
    <m/>
    <x v="0"/>
    <m/>
    <x v="0"/>
    <m/>
    <m/>
    <m/>
    <m/>
    <m/>
    <s v="Defense White Paper Appendix"/>
    <m/>
  </r>
  <r>
    <x v="1"/>
    <x v="10"/>
    <s v="America and Oceania"/>
    <s v="No Specific Relationship"/>
    <s v="None"/>
    <s v="SOUTHCOM"/>
    <x v="107"/>
    <x v="15"/>
    <n v="9"/>
    <x v="3"/>
    <s v="Liang Guanglie"/>
    <m/>
    <s v="Defense Minister; CMC Member"/>
    <n v="8"/>
    <x v="2"/>
    <s v="Commander of Army and Navy"/>
    <x v="0"/>
    <m/>
    <x v="0"/>
    <m/>
    <m/>
    <m/>
    <m/>
    <m/>
    <s v="Defense White Paper Appendix"/>
    <m/>
  </r>
  <r>
    <x v="1"/>
    <x v="0"/>
    <s v="Europe and Central Asia"/>
    <s v="Comprehensive Cooperative Partnership [全面合作伙伴关系]"/>
    <s v="Major Non-NATO Ally"/>
    <s v="CENTCOM"/>
    <x v="123"/>
    <x v="15"/>
    <n v="10"/>
    <x v="3"/>
    <s v="Cao Gangchuan"/>
    <m/>
    <s v="CMC Vice Chairman; Defense Minister"/>
    <n v="10"/>
    <x v="2"/>
    <s v="Defense Minister"/>
    <x v="0"/>
    <m/>
    <x v="0"/>
    <m/>
    <m/>
    <m/>
    <m/>
    <m/>
    <s v="Defense White Paper Appendix"/>
    <m/>
  </r>
  <r>
    <x v="1"/>
    <x v="7"/>
    <s v="West Asia and Africa"/>
    <s v="Strategic Partnership [战略伙伴关系]"/>
    <s v="None"/>
    <s v="AFRICOM"/>
    <x v="76"/>
    <x v="15"/>
    <n v="10"/>
    <x v="4"/>
    <s v="Chi Wanchun"/>
    <m/>
    <s v="GAD Political Commissar"/>
    <n v="6"/>
    <x v="1"/>
    <m/>
    <x v="0"/>
    <m/>
    <x v="0"/>
    <m/>
    <m/>
    <m/>
    <m/>
    <m/>
    <s v="Defense White Paper Appendix"/>
    <m/>
  </r>
  <r>
    <x v="1"/>
    <x v="5"/>
    <s v="America and Oceania"/>
    <s v="No Specific Relationship"/>
    <s v="ANZUS Treaty"/>
    <s v="INDOPACOM"/>
    <x v="12"/>
    <x v="15"/>
    <n v="10"/>
    <x v="3"/>
    <s v="Cao Gangchuan"/>
    <m/>
    <s v="CMC Vice Chairman; Defense Minister"/>
    <n v="10"/>
    <x v="2"/>
    <s v="Chief of Army"/>
    <x v="0"/>
    <m/>
    <x v="0"/>
    <m/>
    <m/>
    <m/>
    <m/>
    <m/>
    <s v="Defense White Paper Appendix"/>
    <m/>
  </r>
  <r>
    <x v="1"/>
    <x v="1"/>
    <s v="Asia"/>
    <s v="Comprehensive Cooperative Partnership [全面合作伙伴关系]"/>
    <s v="None"/>
    <s v="INDOPACOM"/>
    <x v="94"/>
    <x v="15"/>
    <n v="10"/>
    <x v="4"/>
    <s v="Liang Guanglie"/>
    <m/>
    <s v="GSD Commander; CMC Member"/>
    <n v="8"/>
    <x v="1"/>
    <m/>
    <x v="0"/>
    <m/>
    <x v="0"/>
    <m/>
    <m/>
    <m/>
    <m/>
    <m/>
    <s v="Defense White Paper Appendix"/>
    <m/>
  </r>
  <r>
    <x v="1"/>
    <x v="7"/>
    <s v="West Asia and Africa"/>
    <s v="No Specific Relationship"/>
    <s v="None"/>
    <s v="AFRICOM"/>
    <x v="133"/>
    <x v="15"/>
    <n v="10"/>
    <x v="3"/>
    <s v="Cao Gangchuan"/>
    <m/>
    <s v="CMC Vice Chairman; Defense Minister"/>
    <n v="10"/>
    <x v="2"/>
    <s v="Defense Minister"/>
    <x v="0"/>
    <m/>
    <x v="0"/>
    <m/>
    <m/>
    <m/>
    <m/>
    <m/>
    <s v="Defense White Paper Appendix"/>
    <m/>
  </r>
  <r>
    <x v="1"/>
    <x v="8"/>
    <s v="Europe and Central Asia"/>
    <s v="No Specific Relationship"/>
    <s v="NATO"/>
    <s v="EUCOM"/>
    <x v="134"/>
    <x v="15"/>
    <n v="10"/>
    <x v="3"/>
    <s v="Zhang Li"/>
    <m/>
    <s v="GSD DCGS"/>
    <n v="8"/>
    <x v="2"/>
    <s v="Defense Minister"/>
    <x v="0"/>
    <m/>
    <x v="0"/>
    <m/>
    <m/>
    <m/>
    <m/>
    <m/>
    <s v="https://dlib.eastview.com/browse/doc/14697011"/>
    <m/>
  </r>
  <r>
    <x v="1"/>
    <x v="8"/>
    <s v="Europe and Central Asia"/>
    <s v="No Specific Relationship"/>
    <s v="NATO"/>
    <s v="EUCOM"/>
    <x v="18"/>
    <x v="15"/>
    <n v="10"/>
    <x v="3"/>
    <s v="Cao Gangchuan"/>
    <m/>
    <s v="CMC Vice Chairman; Defense Minister"/>
    <n v="10"/>
    <x v="2"/>
    <s v="Inspector General of Armed Forces"/>
    <x v="0"/>
    <m/>
    <x v="0"/>
    <m/>
    <m/>
    <m/>
    <m/>
    <m/>
    <s v="Defense White Paper Appendix"/>
    <m/>
  </r>
  <r>
    <x v="1"/>
    <x v="0"/>
    <s v="Asia"/>
    <s v="Strategic Partnership for Peace and Prosperity [战略伙伴关系]"/>
    <s v="None"/>
    <s v="INDOPACOM"/>
    <x v="6"/>
    <x v="15"/>
    <n v="10"/>
    <x v="4"/>
    <s v="Qiao Qingchen"/>
    <m/>
    <s v="PLAAF Commander; CMC Member"/>
    <n v="8"/>
    <x v="1"/>
    <m/>
    <x v="0"/>
    <m/>
    <x v="0"/>
    <m/>
    <m/>
    <m/>
    <m/>
    <m/>
    <s v="Defense White Paper Appendix"/>
    <m/>
  </r>
  <r>
    <x v="1"/>
    <x v="7"/>
    <s v="West Asia and Africa"/>
    <s v="No Specific Relationship"/>
    <s v="None"/>
    <s v="AFRICOM"/>
    <x v="47"/>
    <x v="15"/>
    <n v="10"/>
    <x v="3"/>
    <s v="Cao Gangchuan"/>
    <m/>
    <s v="CMC Vice Chairman; Defense Minister"/>
    <n v="8"/>
    <x v="2"/>
    <s v="COGS"/>
    <x v="0"/>
    <m/>
    <x v="0"/>
    <m/>
    <m/>
    <m/>
    <m/>
    <m/>
    <s v="https://dlib.eastview.com/browse/doc/14715624"/>
    <m/>
  </r>
  <r>
    <x v="1"/>
    <x v="1"/>
    <s v="Asia"/>
    <s v="Comprehensive Cooperative Partnership [全面合作伙伴关系]"/>
    <s v="None"/>
    <s v="INDOPACOM"/>
    <x v="52"/>
    <x v="15"/>
    <n v="10"/>
    <x v="4"/>
    <s v="Liang Guanglie"/>
    <m/>
    <s v="GSD Commander; CMC Member"/>
    <n v="8"/>
    <x v="1"/>
    <m/>
    <x v="0"/>
    <m/>
    <x v="0"/>
    <m/>
    <m/>
    <m/>
    <m/>
    <m/>
    <s v="Defense White Paper Appendix"/>
    <m/>
  </r>
  <r>
    <x v="1"/>
    <x v="1"/>
    <s v="Asia"/>
    <s v="No Specific Relationship"/>
    <s v="None"/>
    <s v="INDOPACOM"/>
    <x v="1"/>
    <x v="15"/>
    <n v="10"/>
    <x v="4"/>
    <s v="Liang Guanglie"/>
    <m/>
    <s v="GSD Commander; CMC Member"/>
    <n v="8"/>
    <x v="1"/>
    <m/>
    <x v="0"/>
    <m/>
    <x v="0"/>
    <m/>
    <m/>
    <m/>
    <m/>
    <m/>
    <s v="Defense White Paper Appendix"/>
    <m/>
  </r>
  <r>
    <x v="1"/>
    <x v="7"/>
    <s v="West Asia and Africa"/>
    <s v="No Specific Relationship"/>
    <s v="None"/>
    <s v="AFRICOM"/>
    <x v="69"/>
    <x v="15"/>
    <n v="10"/>
    <x v="4"/>
    <s v="Chi Wanchun"/>
    <m/>
    <s v="GAD Political Commissar"/>
    <n v="6"/>
    <x v="1"/>
    <m/>
    <x v="0"/>
    <m/>
    <x v="0"/>
    <m/>
    <m/>
    <m/>
    <m/>
    <m/>
    <s v="Defense White Paper Appendix"/>
    <m/>
  </r>
  <r>
    <x v="1"/>
    <x v="5"/>
    <s v="America and Oceania"/>
    <s v="No Specific Relationship"/>
    <s v="ANZUS Treaty"/>
    <s v="INDOPACOM"/>
    <x v="13"/>
    <x v="15"/>
    <n v="10"/>
    <x v="3"/>
    <s v="Cao Gangchuan"/>
    <m/>
    <s v="CMC Vice Chairman; Defense Minister"/>
    <n v="6"/>
    <x v="2"/>
    <s v="Chief of Defense Forces"/>
    <x v="0"/>
    <m/>
    <x v="0"/>
    <m/>
    <m/>
    <m/>
    <m/>
    <m/>
    <s v="https://dlib.eastview.com/browse/doc/14688205"/>
    <m/>
  </r>
  <r>
    <x v="1"/>
    <x v="0"/>
    <s v="Asia"/>
    <s v="Strategic Partnership [战略伙伴关系]"/>
    <s v="Major Non-NATO Ally"/>
    <s v="CENTCOM"/>
    <x v="2"/>
    <x v="15"/>
    <n v="10"/>
    <x v="4"/>
    <s v="Qiao Qingchen"/>
    <m/>
    <s v="PLAAF Commander; CMC Member"/>
    <n v="8"/>
    <x v="1"/>
    <m/>
    <x v="0"/>
    <m/>
    <x v="0"/>
    <m/>
    <m/>
    <m/>
    <m/>
    <m/>
    <s v="Defense White Paper Appendix"/>
    <m/>
  </r>
  <r>
    <x v="1"/>
    <x v="3"/>
    <s v="Europe and Central Asia"/>
    <s v="Strategic Partnership of Coordination [战略协作伙伴关系]"/>
    <s v="None"/>
    <s v="EUCOM"/>
    <x v="7"/>
    <x v="15"/>
    <n v="10"/>
    <x v="4"/>
    <s v="Li Yu"/>
    <m/>
    <s v="GSD Assistant Commander"/>
    <n v="5"/>
    <x v="1"/>
    <m/>
    <x v="0"/>
    <m/>
    <x v="0"/>
    <m/>
    <m/>
    <m/>
    <m/>
    <m/>
    <s v="Defense White Paper Appendix"/>
    <m/>
  </r>
  <r>
    <x v="1"/>
    <x v="1"/>
    <s v="Asia"/>
    <s v="No Specific Relationship"/>
    <s v="Bilateral Defense Treaty"/>
    <s v="INDOPACOM"/>
    <x v="5"/>
    <x v="15"/>
    <n v="10"/>
    <x v="4"/>
    <s v="Liang Guanglie"/>
    <m/>
    <s v="GSD Commander; CMC Member"/>
    <n v="8"/>
    <x v="1"/>
    <m/>
    <x v="0"/>
    <m/>
    <x v="0"/>
    <m/>
    <m/>
    <m/>
    <m/>
    <m/>
    <s v="Defense White Paper Appendix"/>
    <m/>
  </r>
  <r>
    <x v="1"/>
    <x v="8"/>
    <s v="Europe and Central Asia"/>
    <s v="No Specific Relationship"/>
    <s v="NATO"/>
    <s v="EUCOM"/>
    <x v="38"/>
    <x v="15"/>
    <n v="10"/>
    <x v="4"/>
    <s v="Qiao Qingchen"/>
    <m/>
    <s v="PLAAF Commander; CMC Member"/>
    <n v="8"/>
    <x v="1"/>
    <m/>
    <x v="0"/>
    <m/>
    <x v="0"/>
    <m/>
    <m/>
    <m/>
    <m/>
    <m/>
    <s v="Defense White Paper Appendix"/>
    <m/>
  </r>
  <r>
    <x v="1"/>
    <x v="1"/>
    <s v="Asia"/>
    <s v="No Specific Relationship"/>
    <s v="None"/>
    <s v="INDOPACOM"/>
    <x v="23"/>
    <x v="15"/>
    <n v="10"/>
    <x v="3"/>
    <s v="Cao Gangchuan"/>
    <m/>
    <s v="CMC Vice Chairman; Defense Minister"/>
    <n v="10"/>
    <x v="2"/>
    <s v="Chief of General Political Department"/>
    <x v="0"/>
    <m/>
    <x v="0"/>
    <m/>
    <m/>
    <m/>
    <m/>
    <m/>
    <s v="Defense White Paper Appendix"/>
    <m/>
  </r>
  <r>
    <x v="1"/>
    <x v="9"/>
    <s v="West Asia and Africa"/>
    <s v="Strategic Cooperative Partnership [战略合作伙伴关系]"/>
    <s v="Major Non-NATO Ally"/>
    <s v="CENTCOM"/>
    <x v="24"/>
    <x v="15"/>
    <n v="11"/>
    <x v="4"/>
    <s v="Li Jinai"/>
    <m/>
    <s v="GPD Deputy Director"/>
    <n v="8"/>
    <x v="1"/>
    <m/>
    <x v="0"/>
    <m/>
    <x v="0"/>
    <m/>
    <m/>
    <m/>
    <m/>
    <m/>
    <s v="Defense White Paper Appendix"/>
    <m/>
  </r>
  <r>
    <x v="1"/>
    <x v="5"/>
    <s v="America and Oceania"/>
    <s v="No Specific Relationship"/>
    <s v="ANZUS Treaty"/>
    <s v="INDOPACOM"/>
    <x v="13"/>
    <x v="15"/>
    <n v="11"/>
    <x v="3"/>
    <s v="Cao Gangchuan"/>
    <m/>
    <s v="CMC Vice Chairman; Defense Minister"/>
    <n v="10"/>
    <x v="2"/>
    <s v="Defense Minister"/>
    <x v="0"/>
    <m/>
    <x v="0"/>
    <m/>
    <m/>
    <m/>
    <m/>
    <m/>
    <s v="Defense White Paper Appendix"/>
    <m/>
  </r>
  <r>
    <x v="1"/>
    <x v="8"/>
    <s v="Europe and Central Asia"/>
    <s v="Comprehensive Friendly Cooperative Partnership [全面友好合作伙伴关系]"/>
    <s v="NATO"/>
    <s v="EUCOM"/>
    <x v="33"/>
    <x v="15"/>
    <n v="11"/>
    <x v="3"/>
    <s v="Xu Caihou"/>
    <m/>
    <s v="CMC Vice Chairman"/>
    <n v="10"/>
    <x v="2"/>
    <s v="DCOGS"/>
    <x v="0"/>
    <m/>
    <x v="0"/>
    <m/>
    <m/>
    <m/>
    <m/>
    <m/>
    <s v="Defense White Paper Appendix"/>
    <m/>
  </r>
  <r>
    <x v="1"/>
    <x v="8"/>
    <s v="Europe and Central Asia"/>
    <s v="No Specific Relationship"/>
    <s v="NATO"/>
    <s v="EUCOM"/>
    <x v="40"/>
    <x v="15"/>
    <n v="11"/>
    <x v="3"/>
    <s v="Cao Gangchuan"/>
    <m/>
    <s v="CMC Vice Chairman; Defense Minister"/>
    <n v="10"/>
    <x v="2"/>
    <s v="COGS"/>
    <x v="0"/>
    <m/>
    <x v="0"/>
    <m/>
    <m/>
    <m/>
    <m/>
    <m/>
    <s v="Defense White Paper Appendix"/>
    <m/>
  </r>
  <r>
    <x v="1"/>
    <x v="7"/>
    <s v="West Asia and Africa"/>
    <s v="No Specific Relationship"/>
    <s v="Major Non-NATO Ally"/>
    <s v="AFRICOM"/>
    <x v="85"/>
    <x v="15"/>
    <n v="11"/>
    <x v="4"/>
    <s v="Ma Xiaotian"/>
    <m/>
    <s v="GSD DCGS"/>
    <n v="6"/>
    <x v="1"/>
    <m/>
    <x v="0"/>
    <m/>
    <x v="0"/>
    <m/>
    <m/>
    <m/>
    <m/>
    <m/>
    <s v="Defense White Paper Appendix"/>
    <m/>
  </r>
  <r>
    <x v="1"/>
    <x v="7"/>
    <s v="West Asia and Africa"/>
    <s v="No Specific Relationship"/>
    <s v="None"/>
    <s v="AFRICOM"/>
    <x v="97"/>
    <x v="15"/>
    <n v="11"/>
    <x v="4"/>
    <s v="Li Jinai"/>
    <m/>
    <s v="GPD Deputy Director"/>
    <n v="8"/>
    <x v="1"/>
    <m/>
    <x v="0"/>
    <m/>
    <x v="0"/>
    <m/>
    <m/>
    <m/>
    <m/>
    <m/>
    <s v="Defense White Paper Appendix"/>
    <m/>
  </r>
  <r>
    <x v="2"/>
    <x v="2"/>
    <s v="America and Oceania"/>
    <s v="No Specific Relationship"/>
    <s v="N/A"/>
    <s v="NORTHCOM"/>
    <x v="4"/>
    <x v="15"/>
    <n v="11"/>
    <x v="5"/>
    <m/>
    <m/>
    <m/>
    <m/>
    <x v="0"/>
    <m/>
    <x v="2"/>
    <s v="Unknown"/>
    <x v="2"/>
    <s v="SAREX"/>
    <m/>
    <m/>
    <m/>
    <m/>
    <s v="Defense White Paper Appendix"/>
    <m/>
  </r>
  <r>
    <x v="1"/>
    <x v="9"/>
    <s v="West Asia and Africa"/>
    <s v="No Specific Relationship"/>
    <s v="None"/>
    <s v="CENTCOM"/>
    <x v="135"/>
    <x v="15"/>
    <n v="11"/>
    <x v="4"/>
    <s v="Ma Xiaotian"/>
    <m/>
    <s v="GSD DCGS"/>
    <n v="6"/>
    <x v="1"/>
    <m/>
    <x v="0"/>
    <m/>
    <x v="0"/>
    <m/>
    <m/>
    <m/>
    <m/>
    <m/>
    <s v="Defense White Paper Appendix"/>
    <m/>
  </r>
  <r>
    <x v="1"/>
    <x v="10"/>
    <s v="America and Oceania"/>
    <s v="Strategic Partnership [战略伙伴关系]"/>
    <s v="Major Non-NATO Ally"/>
    <s v="SOUTHCOM"/>
    <x v="62"/>
    <x v="15"/>
    <n v="12"/>
    <x v="4"/>
    <s v="Jing Zhiyuan"/>
    <m/>
    <s v="PLASAF Commander; CMC Member"/>
    <n v="8"/>
    <x v="1"/>
    <m/>
    <x v="0"/>
    <m/>
    <x v="0"/>
    <m/>
    <m/>
    <m/>
    <m/>
    <m/>
    <s v="Defense White Paper Appendix"/>
    <m/>
  </r>
  <r>
    <x v="1"/>
    <x v="8"/>
    <s v="Europe and Central Asia"/>
    <s v="Strategic Partnership [战略伙伴关系]"/>
    <s v="None"/>
    <s v="EUCOM"/>
    <x v="34"/>
    <x v="15"/>
    <n v="12"/>
    <x v="4"/>
    <s v="Fu Tinggui"/>
    <m/>
    <s v="Beijing MR Political Commissar"/>
    <n v="6"/>
    <x v="1"/>
    <m/>
    <x v="0"/>
    <m/>
    <x v="0"/>
    <m/>
    <m/>
    <m/>
    <m/>
    <m/>
    <s v="Defense White Paper Appendix"/>
    <m/>
  </r>
  <r>
    <x v="1"/>
    <x v="7"/>
    <s v="West Asia and Africa"/>
    <s v="Friendly Cooperative Relationship [友好合作关系]"/>
    <s v="None"/>
    <s v="AFRICOM"/>
    <x v="64"/>
    <x v="15"/>
    <n v="12"/>
    <x v="3"/>
    <s v="Cao Gangchuan"/>
    <m/>
    <s v="CMC Vice Chairman; Defense Minister"/>
    <n v="8"/>
    <x v="2"/>
    <s v="COGS"/>
    <x v="0"/>
    <m/>
    <x v="0"/>
    <m/>
    <m/>
    <m/>
    <m/>
    <m/>
    <s v="https://dlib.eastview.com/browse/doc/14714804"/>
    <m/>
  </r>
  <r>
    <x v="1"/>
    <x v="10"/>
    <s v="America and Oceania"/>
    <s v="Comprehensive Partnership [全面伙伴关系]"/>
    <s v="None"/>
    <s v="SOUTHCOM"/>
    <x v="66"/>
    <x v="15"/>
    <n v="12"/>
    <x v="4"/>
    <s v="Jing Zhiyuan"/>
    <m/>
    <s v="PLASAF Commander; CMC Member"/>
    <n v="8"/>
    <x v="1"/>
    <m/>
    <x v="0"/>
    <m/>
    <x v="0"/>
    <m/>
    <m/>
    <m/>
    <m/>
    <m/>
    <s v="Defense White Paper Appendix"/>
    <m/>
  </r>
  <r>
    <x v="1"/>
    <x v="10"/>
    <s v="America and Oceania"/>
    <s v="No Specific Relationship"/>
    <s v="None"/>
    <s v="SOUTHCOM"/>
    <x v="49"/>
    <x v="15"/>
    <n v="12"/>
    <x v="4"/>
    <s v="Zhao Keming"/>
    <m/>
    <s v="PLA NDU Political Commissar"/>
    <n v="6"/>
    <x v="1"/>
    <m/>
    <x v="0"/>
    <m/>
    <x v="0"/>
    <m/>
    <m/>
    <m/>
    <m/>
    <m/>
    <s v="Defense White Paper Appendix"/>
    <m/>
  </r>
  <r>
    <x v="1"/>
    <x v="0"/>
    <s v="Asia"/>
    <s v="Strategic Partnership for Peace and Prosperity [战略伙伴关系]"/>
    <s v="None"/>
    <s v="INDOPACOM"/>
    <x v="6"/>
    <x v="15"/>
    <n v="12"/>
    <x v="4"/>
    <s v="Zhang Haiyang"/>
    <m/>
    <s v="Chengdu MR Political Commissar"/>
    <n v="6"/>
    <x v="1"/>
    <m/>
    <x v="0"/>
    <m/>
    <x v="0"/>
    <m/>
    <m/>
    <m/>
    <m/>
    <m/>
    <s v="Defense White Paper Appendix"/>
    <m/>
  </r>
  <r>
    <x v="1"/>
    <x v="4"/>
    <s v="Asia"/>
    <s v="Partnership of Friendship and Cooperation for Peace and Development [致力于和平发展的友好合作关系]"/>
    <s v="Bilateral Defense Treaty"/>
    <s v="INDOPACOM"/>
    <x v="83"/>
    <x v="15"/>
    <n v="12"/>
    <x v="4"/>
    <s v="Li Yu"/>
    <m/>
    <s v="GSD Assistant Commander"/>
    <n v="5"/>
    <x v="1"/>
    <m/>
    <x v="0"/>
    <m/>
    <x v="0"/>
    <m/>
    <m/>
    <m/>
    <m/>
    <m/>
    <s v="https://web.archive.org/web/20120322070501/http://news.163.com/09/1231/17/5RSLONPS000120GU.html"/>
    <m/>
  </r>
  <r>
    <x v="2"/>
    <x v="0"/>
    <s v="Asia"/>
    <s v="Strategic Partnership [战略伙伴关系]"/>
    <s v="Major Non-NATO Ally"/>
    <s v="CENTCOM"/>
    <x v="2"/>
    <x v="15"/>
    <n v="12"/>
    <x v="5"/>
    <m/>
    <m/>
    <m/>
    <m/>
    <x v="0"/>
    <m/>
    <x v="1"/>
    <s v="Unknown"/>
    <x v="1"/>
    <s v="Anti-terrorism"/>
    <m/>
    <m/>
    <m/>
    <m/>
    <s v="Defense White Paper Appendix"/>
    <m/>
  </r>
  <r>
    <x v="1"/>
    <x v="8"/>
    <s v="Europe and Central Asia"/>
    <s v="No Specific Relationship"/>
    <s v="NATO"/>
    <s v="EUCOM"/>
    <x v="59"/>
    <x v="15"/>
    <n v="12"/>
    <x v="4"/>
    <s v="Fu Tinggui"/>
    <m/>
    <s v="Beijing MR Political Commissar"/>
    <n v="6"/>
    <x v="1"/>
    <m/>
    <x v="0"/>
    <m/>
    <x v="0"/>
    <m/>
    <m/>
    <m/>
    <m/>
    <m/>
    <s v="Defense White Paper Appendix"/>
    <m/>
  </r>
  <r>
    <x v="1"/>
    <x v="7"/>
    <s v="West Asia and Africa"/>
    <s v="Strategic Partnership [战略伙伴关系]"/>
    <s v="None"/>
    <s v="AFRICOM"/>
    <x v="15"/>
    <x v="15"/>
    <n v="12"/>
    <x v="4"/>
    <s v="Li Yu"/>
    <m/>
    <s v="GSD Assistant Commander"/>
    <n v="5"/>
    <x v="1"/>
    <m/>
    <x v="0"/>
    <m/>
    <x v="0"/>
    <m/>
    <m/>
    <m/>
    <m/>
    <m/>
    <s v="Defense White Paper Appendix"/>
    <m/>
  </r>
  <r>
    <x v="1"/>
    <x v="8"/>
    <s v="Europe and Central Asia"/>
    <s v="No Specific Relationship"/>
    <s v="None"/>
    <s v="EUCOM"/>
    <x v="92"/>
    <x v="15"/>
    <n v="12"/>
    <x v="3"/>
    <s v="Cao Gangchuan"/>
    <m/>
    <s v="CMC Vice Chairman; Defense Minister"/>
    <n v="8"/>
    <x v="2"/>
    <s v="Chief of Air Staff"/>
    <x v="0"/>
    <m/>
    <x v="0"/>
    <m/>
    <m/>
    <m/>
    <m/>
    <m/>
    <s v="https://dlib.eastview.com/browse/doc/14713441"/>
    <m/>
  </r>
  <r>
    <x v="1"/>
    <x v="1"/>
    <s v="Asia"/>
    <s v="No Specific Relationship"/>
    <s v="Bilateral Defense Treaty"/>
    <s v="INDOPACOM"/>
    <x v="5"/>
    <x v="15"/>
    <n v="12"/>
    <x v="4"/>
    <s v="Li Yu"/>
    <m/>
    <s v="GSD Assistant Commander"/>
    <n v="5"/>
    <x v="1"/>
    <m/>
    <x v="0"/>
    <m/>
    <x v="0"/>
    <m/>
    <m/>
    <m/>
    <m/>
    <m/>
    <s v="Defense White Paper Appendix"/>
    <m/>
  </r>
  <r>
    <x v="1"/>
    <x v="1"/>
    <s v="Asia"/>
    <s v="No Specific Relationship"/>
    <s v="None"/>
    <s v="INDOPACOM"/>
    <x v="23"/>
    <x v="15"/>
    <n v="12"/>
    <x v="4"/>
    <s v="Zhang Haiyang"/>
    <m/>
    <s v="Chengdu MR Political Commissar"/>
    <n v="6"/>
    <x v="1"/>
    <m/>
    <x v="0"/>
    <m/>
    <x v="0"/>
    <m/>
    <m/>
    <m/>
    <m/>
    <m/>
    <s v="Defense White Paper Appendix"/>
    <m/>
  </r>
  <r>
    <x v="1"/>
    <x v="8"/>
    <s v="Europe and Central Asia"/>
    <s v="No Specific Relationship"/>
    <s v="NATO"/>
    <s v="EUCOM"/>
    <x v="58"/>
    <x v="16"/>
    <n v="1"/>
    <x v="3"/>
    <s v="Cao Gangchuan"/>
    <m/>
    <s v="CMC Vice Chairman; Defense Minister"/>
    <n v="10"/>
    <x v="2"/>
    <s v="COGS"/>
    <x v="0"/>
    <m/>
    <x v="0"/>
    <m/>
    <m/>
    <m/>
    <m/>
    <m/>
    <s v="Defense White Paper Appendix"/>
    <m/>
  </r>
  <r>
    <x v="1"/>
    <x v="4"/>
    <s v="Asia"/>
    <s v="Comprehensive Cooperative Partnership [全面合作伙伴关系]"/>
    <s v="Bilateral Defense Treaty"/>
    <s v="INDOPACOM"/>
    <x v="25"/>
    <x v="16"/>
    <n v="1"/>
    <x v="4"/>
    <s v="Ma Xiaotian"/>
    <m/>
    <s v="GSD DCGS"/>
    <n v="6"/>
    <x v="1"/>
    <m/>
    <x v="0"/>
    <m/>
    <x v="0"/>
    <m/>
    <m/>
    <m/>
    <m/>
    <m/>
    <s v="Defense White Paper Appendix"/>
    <m/>
  </r>
  <r>
    <x v="1"/>
    <x v="1"/>
    <s v="Asia"/>
    <s v="Strategic Partnership [战略伙伴关系]"/>
    <s v="Bilateral Defense Treaty"/>
    <s v="INDOPACOM"/>
    <x v="5"/>
    <x v="16"/>
    <n v="1"/>
    <x v="3"/>
    <s v="Cao Gangchuan"/>
    <m/>
    <s v="CMC Vice Chairman; Defense Minister"/>
    <n v="10"/>
    <x v="2"/>
    <s v="Defense Minister"/>
    <x v="0"/>
    <m/>
    <x v="0"/>
    <m/>
    <m/>
    <m/>
    <m/>
    <m/>
    <s v="Defense White Paper Appendix"/>
    <m/>
  </r>
  <r>
    <x v="1"/>
    <x v="2"/>
    <s v="America and Oceania"/>
    <s v="No Specific Relationship"/>
    <s v="N/A"/>
    <s v="NORTHCOM"/>
    <x v="4"/>
    <x v="16"/>
    <n v="1"/>
    <x v="4"/>
    <s v="Ma Xiaotian"/>
    <m/>
    <s v="GSD DCGS"/>
    <n v="6"/>
    <x v="1"/>
    <m/>
    <x v="0"/>
    <m/>
    <x v="0"/>
    <m/>
    <m/>
    <m/>
    <m/>
    <m/>
    <s v="Defense White Paper Appendix"/>
    <m/>
  </r>
  <r>
    <x v="1"/>
    <x v="1"/>
    <s v="Asia"/>
    <s v="Strategic Partnership [战略伙伴关系]"/>
    <s v="None"/>
    <s v="INDOPACOM"/>
    <x v="8"/>
    <x v="16"/>
    <n v="2"/>
    <x v="3"/>
    <s v="Zhang Li"/>
    <m/>
    <s v="GLD Deputy Director"/>
    <n v="6"/>
    <x v="2"/>
    <s v="Chief of Staff Navy"/>
    <x v="0"/>
    <m/>
    <x v="0"/>
    <m/>
    <m/>
    <m/>
    <m/>
    <m/>
    <s v="Defense White Paper Appendix"/>
    <m/>
  </r>
  <r>
    <x v="1"/>
    <x v="4"/>
    <s v="Asia"/>
    <s v="Partnership of Friendship and Cooperation for Peace and Development [致力于和平发展的友好合作关系]"/>
    <s v="Bilateral Defense Treaty"/>
    <s v="INDOPACOM"/>
    <x v="83"/>
    <x v="16"/>
    <n v="2"/>
    <x v="3"/>
    <s v="Cao Gangchuan"/>
    <m/>
    <s v="CMC Vice Chairman; Defense Minister"/>
    <n v="10"/>
    <x v="2"/>
    <s v="Former director-general of JDA"/>
    <x v="0"/>
    <m/>
    <x v="0"/>
    <m/>
    <m/>
    <m/>
    <m/>
    <m/>
    <s v="Defense White Paper Appendix"/>
    <m/>
  </r>
  <r>
    <x v="1"/>
    <x v="1"/>
    <s v="Asia"/>
    <s v="No Specific Relationship"/>
    <s v="None"/>
    <s v="INDOPACOM"/>
    <x v="39"/>
    <x v="16"/>
    <n v="2"/>
    <x v="3"/>
    <s v="Liang Guanglie"/>
    <m/>
    <s v="Defense Minister; CMC Member"/>
    <n v="8"/>
    <x v="2"/>
    <s v="COGS Army"/>
    <x v="0"/>
    <m/>
    <x v="0"/>
    <m/>
    <m/>
    <m/>
    <m/>
    <m/>
    <s v="Defense White Paper Appendix"/>
    <m/>
  </r>
  <r>
    <x v="1"/>
    <x v="10"/>
    <s v="America and Oceania"/>
    <s v="Strategic Partnership [战略伙伴关系]"/>
    <s v="Major Non-NATO Ally"/>
    <s v="SOUTHCOM"/>
    <x v="62"/>
    <x v="16"/>
    <n v="3"/>
    <x v="4"/>
    <s v="Zhang Li"/>
    <m/>
    <s v="GLD Deputy Director"/>
    <n v="6"/>
    <x v="1"/>
    <m/>
    <x v="0"/>
    <m/>
    <x v="0"/>
    <m/>
    <m/>
    <m/>
    <m/>
    <m/>
    <s v="Defense White Paper Appendix"/>
    <m/>
  </r>
  <r>
    <x v="1"/>
    <x v="10"/>
    <s v="America and Oceania"/>
    <s v="No Specific Relationship"/>
    <s v="None"/>
    <s v="SOUTHCOM"/>
    <x v="49"/>
    <x v="16"/>
    <n v="3"/>
    <x v="4"/>
    <s v="Zhao Keshi"/>
    <m/>
    <s v="Nanjing MR Commander"/>
    <n v="6"/>
    <x v="1"/>
    <m/>
    <x v="0"/>
    <m/>
    <x v="0"/>
    <m/>
    <m/>
    <m/>
    <m/>
    <m/>
    <s v="Defense White Paper Appendix"/>
    <m/>
  </r>
  <r>
    <x v="1"/>
    <x v="10"/>
    <s v="America and Oceania"/>
    <s v="No Specific Relationship"/>
    <s v="None"/>
    <s v="SOUTHCOM"/>
    <x v="51"/>
    <x v="16"/>
    <n v="3"/>
    <x v="4"/>
    <s v="Zhang Li"/>
    <m/>
    <s v="GLD Deputy Director"/>
    <n v="6"/>
    <x v="1"/>
    <m/>
    <x v="0"/>
    <m/>
    <x v="0"/>
    <m/>
    <m/>
    <m/>
    <m/>
    <m/>
    <s v="Defense White Paper Appendix"/>
    <m/>
  </r>
  <r>
    <x v="1"/>
    <x v="8"/>
    <s v="Europe and Central Asia"/>
    <s v="Comprehensive Partnership [全面伙伴关系]"/>
    <s v="NATO"/>
    <s v="EUCOM"/>
    <x v="22"/>
    <x v="16"/>
    <n v="3"/>
    <x v="3"/>
    <s v="Cao Gangchuan"/>
    <m/>
    <s v="CMC Vice Chairman; Defense Minister"/>
    <n v="10"/>
    <x v="2"/>
    <s v="Defense Minister"/>
    <x v="0"/>
    <m/>
    <x v="0"/>
    <m/>
    <m/>
    <m/>
    <m/>
    <m/>
    <s v="Defense White Paper Appendix"/>
    <m/>
  </r>
  <r>
    <x v="1"/>
    <x v="9"/>
    <s v="West Asia and Africa"/>
    <s v="No Specific Relationship"/>
    <s v="Major Non-NATO Ally"/>
    <s v="CENTCOM"/>
    <x v="101"/>
    <x v="16"/>
    <n v="3"/>
    <x v="3"/>
    <s v="Qiao Qingchen"/>
    <m/>
    <s v="PLAAF Commander; CMC Member"/>
    <n v="8"/>
    <x v="2"/>
    <s v="Air Force Commander"/>
    <x v="0"/>
    <m/>
    <x v="0"/>
    <m/>
    <m/>
    <m/>
    <m/>
    <m/>
    <s v="Defense White Paper Appendix"/>
    <m/>
  </r>
  <r>
    <x v="1"/>
    <x v="1"/>
    <s v="Asia"/>
    <s v="Comprehensive Cooperative Partnership [全面合作伙伴关系]"/>
    <s v="None"/>
    <s v="INDOPACOM"/>
    <x v="52"/>
    <x v="16"/>
    <n v="3"/>
    <x v="3"/>
    <s v="Cao Gangchuan"/>
    <m/>
    <s v="CMC Vice Chairman; Defense Minister"/>
    <n v="10"/>
    <x v="2"/>
    <s v="Defense Minister"/>
    <x v="0"/>
    <m/>
    <x v="0"/>
    <m/>
    <m/>
    <m/>
    <m/>
    <m/>
    <s v="Defense White Paper Appendix"/>
    <m/>
  </r>
  <r>
    <x v="2"/>
    <x v="0"/>
    <s v="Asia"/>
    <s v="Strategic Partnership [战略伙伴关系]"/>
    <s v="Major Non-NATO Ally"/>
    <s v="CENTCOM"/>
    <x v="2"/>
    <x v="16"/>
    <n v="3"/>
    <x v="6"/>
    <m/>
    <m/>
    <m/>
    <m/>
    <x v="0"/>
    <m/>
    <x v="2"/>
    <s v="Aman"/>
    <x v="2"/>
    <s v="Maritime in Arabian Sea; Pakistan and 10 other countries"/>
    <m/>
    <m/>
    <m/>
    <m/>
    <s v="Defense White Paper Appendix"/>
    <m/>
  </r>
  <r>
    <x v="1"/>
    <x v="1"/>
    <s v="Asia"/>
    <s v="Strategic Cooperative Partnership [战略合作伙伴关系]"/>
    <s v="Bilateral Defense Treaty"/>
    <s v="INDOPACOM"/>
    <x v="11"/>
    <x v="16"/>
    <n v="3"/>
    <x v="3"/>
    <s v="Liao Xilong"/>
    <m/>
    <s v="GLD Director; CMC Member"/>
    <n v="8"/>
    <x v="2"/>
    <s v="Deputy Chief of Staff"/>
    <x v="0"/>
    <m/>
    <x v="0"/>
    <m/>
    <m/>
    <m/>
    <m/>
    <m/>
    <s v="Defense White Paper Appendix"/>
    <m/>
  </r>
  <r>
    <x v="1"/>
    <x v="3"/>
    <s v="Europe and Central Asia"/>
    <s v="Strategic Partnership of Coordination [战略协作伙伴关系]"/>
    <s v="None"/>
    <s v="EUCOM"/>
    <x v="7"/>
    <x v="16"/>
    <n v="3"/>
    <x v="3"/>
    <s v="Cao Gangchuan"/>
    <m/>
    <s v="CMC Vice Chairman; Defense Minister"/>
    <n v="10"/>
    <x v="2"/>
    <s v="COGS"/>
    <x v="0"/>
    <m/>
    <x v="0"/>
    <m/>
    <m/>
    <m/>
    <m/>
    <m/>
    <s v="Defense White Paper Appendix"/>
    <m/>
  </r>
  <r>
    <x v="1"/>
    <x v="2"/>
    <s v="America and Oceania"/>
    <s v="No Specific Relationship"/>
    <s v="N/A"/>
    <s v="NORTHCOM"/>
    <x v="4"/>
    <x v="16"/>
    <n v="3"/>
    <x v="3"/>
    <s v="Guo Boxiong"/>
    <m/>
    <s v="CMC Vice Chairman"/>
    <n v="10"/>
    <x v="2"/>
    <m/>
    <x v="0"/>
    <m/>
    <x v="0"/>
    <m/>
    <m/>
    <m/>
    <m/>
    <m/>
    <s v="Defense White Paper Appendix"/>
    <m/>
  </r>
  <r>
    <x v="1"/>
    <x v="10"/>
    <s v="America and Oceania"/>
    <s v="Strategic Development Partnership [战略发展伙伴关系]"/>
    <s v="None"/>
    <s v="SOUTHCOM"/>
    <x v="56"/>
    <x v="16"/>
    <n v="3"/>
    <x v="4"/>
    <s v="Zhang Li"/>
    <m/>
    <s v="GLD Deputy Director"/>
    <n v="6"/>
    <x v="1"/>
    <m/>
    <x v="0"/>
    <m/>
    <x v="0"/>
    <m/>
    <m/>
    <m/>
    <m/>
    <m/>
    <s v="Defense White Paper Appendix"/>
    <m/>
  </r>
  <r>
    <x v="1"/>
    <x v="7"/>
    <s v="West Asia and Africa"/>
    <s v="No Specific Relationship"/>
    <s v="None"/>
    <s v="AFRICOM"/>
    <x v="86"/>
    <x v="16"/>
    <n v="3"/>
    <x v="3"/>
    <s v="Zhang Li"/>
    <m/>
    <s v="GLD Deputy Director"/>
    <n v="6"/>
    <x v="2"/>
    <s v="Chief of Staff of Defense Force"/>
    <x v="0"/>
    <m/>
    <x v="0"/>
    <m/>
    <m/>
    <m/>
    <m/>
    <m/>
    <s v="Defense White Paper Appendix"/>
    <m/>
  </r>
  <r>
    <x v="1"/>
    <x v="8"/>
    <s v="Europe and Central Asia"/>
    <s v="Strategic Partnership [战略伙伴关系]"/>
    <s v="None"/>
    <s v="EUCOM"/>
    <x v="34"/>
    <x v="16"/>
    <n v="4"/>
    <x v="3"/>
    <s v="Cao Gangchuan"/>
    <m/>
    <s v="CMC Vice Chairman; Defense Minister"/>
    <n v="8"/>
    <x v="2"/>
    <s v="Defense Minister"/>
    <x v="0"/>
    <m/>
    <x v="0"/>
    <m/>
    <m/>
    <m/>
    <m/>
    <m/>
    <s v="https://dlib.eastview.com/browse/doc/24491764"/>
    <m/>
  </r>
  <r>
    <x v="1"/>
    <x v="8"/>
    <s v="Europe and Central Asia"/>
    <s v="No Specific Relationship"/>
    <s v="NATO"/>
    <s v="EUCOM"/>
    <x v="68"/>
    <x v="16"/>
    <n v="4"/>
    <x v="4"/>
    <s v="Zhang Li"/>
    <m/>
    <s v="GLD Deputy Director"/>
    <n v="6"/>
    <x v="1"/>
    <m/>
    <x v="0"/>
    <m/>
    <x v="0"/>
    <m/>
    <m/>
    <m/>
    <m/>
    <m/>
    <s v="Defense White Paper Appendix"/>
    <m/>
  </r>
  <r>
    <x v="1"/>
    <x v="10"/>
    <s v="America and Oceania"/>
    <s v="No Specific Relationship"/>
    <s v="None"/>
    <s v="SOUTHCOM"/>
    <x v="42"/>
    <x v="16"/>
    <n v="4"/>
    <x v="3"/>
    <s v="Cao Gangchuan"/>
    <m/>
    <s v="CMC Vice Chairman; Defense Minister"/>
    <n v="10"/>
    <x v="2"/>
    <s v="Chief of the Armed Forces"/>
    <x v="0"/>
    <m/>
    <x v="0"/>
    <m/>
    <m/>
    <m/>
    <m/>
    <m/>
    <s v="Defense White Paper Appendix"/>
    <m/>
  </r>
  <r>
    <x v="1"/>
    <x v="1"/>
    <s v="Asia"/>
    <s v="Comprehensive Cooperative Partnership [全面合作伙伴关系]"/>
    <s v="None"/>
    <s v="INDOPACOM"/>
    <x v="94"/>
    <x v="16"/>
    <n v="4"/>
    <x v="3"/>
    <s v="Cao Gangchuan"/>
    <m/>
    <s v="CMC Vice Chairman; Defense Minister"/>
    <n v="10"/>
    <x v="2"/>
    <s v="Secretary of Defense"/>
    <x v="0"/>
    <m/>
    <x v="0"/>
    <m/>
    <m/>
    <m/>
    <m/>
    <m/>
    <s v="Defense White Paper Appendix"/>
    <m/>
  </r>
  <r>
    <x v="1"/>
    <x v="8"/>
    <s v="Europe and Central Asia"/>
    <s v="Comprehensive Partnership [全面伙伴关系]"/>
    <s v="NATO"/>
    <s v="EUCOM"/>
    <x v="22"/>
    <x v="16"/>
    <n v="4"/>
    <x v="4"/>
    <s v="Wu Shengli"/>
    <m/>
    <s v="PLAN Commander; CMC Member"/>
    <n v="8"/>
    <x v="1"/>
    <m/>
    <x v="0"/>
    <m/>
    <x v="0"/>
    <m/>
    <m/>
    <m/>
    <m/>
    <m/>
    <s v="Defense White Paper Appendix"/>
    <m/>
  </r>
  <r>
    <x v="1"/>
    <x v="7"/>
    <s v="West Asia and Africa"/>
    <s v="No Specific Relationship"/>
    <s v="None"/>
    <s v="AFRICOM"/>
    <x v="67"/>
    <x v="16"/>
    <n v="4"/>
    <x v="3"/>
    <s v="Cao Gangchuan"/>
    <m/>
    <s v="CMC Vice Chairman; Defense Minister"/>
    <n v="10"/>
    <x v="2"/>
    <s v="Defense Minister"/>
    <x v="0"/>
    <m/>
    <x v="0"/>
    <m/>
    <m/>
    <m/>
    <m/>
    <m/>
    <s v="Defense White Paper Appendix"/>
    <m/>
  </r>
  <r>
    <x v="1"/>
    <x v="8"/>
    <s v="Europe and Central Asia"/>
    <s v="No Specific Relationship"/>
    <s v="NATO"/>
    <s v="EUCOM"/>
    <x v="18"/>
    <x v="16"/>
    <n v="4"/>
    <x v="3"/>
    <s v="Cao Gangchuan"/>
    <m/>
    <s v="CMC Vice Chairman; Defense Minister"/>
    <n v="10"/>
    <x v="2"/>
    <s v="Defense Minister"/>
    <x v="0"/>
    <m/>
    <x v="0"/>
    <m/>
    <m/>
    <m/>
    <m/>
    <m/>
    <s v="Defense White Paper Appendix"/>
    <m/>
  </r>
  <r>
    <x v="1"/>
    <x v="1"/>
    <s v="Asia"/>
    <s v="Strategic Partnership [战略伙伴关系]"/>
    <s v="None"/>
    <s v="INDOPACOM"/>
    <x v="8"/>
    <x v="16"/>
    <n v="4"/>
    <x v="3"/>
    <s v="Zhang Li"/>
    <m/>
    <s v="GLD Deputy Director"/>
    <n v="6"/>
    <x v="2"/>
    <s v="General Secretary of Defense Ministry"/>
    <x v="0"/>
    <m/>
    <x v="0"/>
    <m/>
    <m/>
    <m/>
    <m/>
    <m/>
    <s v="Defense White Paper Appendix"/>
    <m/>
  </r>
  <r>
    <x v="1"/>
    <x v="7"/>
    <s v="West Asia and Africa"/>
    <s v="No Specific Relationship"/>
    <s v="Major Non-NATO Ally"/>
    <s v="AFRICOM"/>
    <x v="27"/>
    <x v="16"/>
    <n v="4"/>
    <x v="4"/>
    <s v="Zhang Li"/>
    <m/>
    <s v="GLD Deputy Director"/>
    <n v="6"/>
    <x v="1"/>
    <m/>
    <x v="0"/>
    <m/>
    <x v="0"/>
    <m/>
    <m/>
    <m/>
    <m/>
    <m/>
    <s v="Defense White Paper Appendix"/>
    <m/>
  </r>
  <r>
    <x v="1"/>
    <x v="7"/>
    <s v="West Asia and Africa"/>
    <s v="No Specific Relationship"/>
    <s v="None"/>
    <s v="AFRICOM"/>
    <x v="84"/>
    <x v="16"/>
    <n v="4"/>
    <x v="4"/>
    <s v="Deng Changyou"/>
    <m/>
    <s v="PLAAF Political Commissar"/>
    <n v="6"/>
    <x v="1"/>
    <m/>
    <x v="0"/>
    <m/>
    <x v="0"/>
    <m/>
    <m/>
    <m/>
    <m/>
    <m/>
    <s v="Defense White Paper Appendix"/>
    <m/>
  </r>
  <r>
    <x v="1"/>
    <x v="7"/>
    <s v="West Asia and Africa"/>
    <s v="Strategic Partnership [战略伙伴关系]"/>
    <s v="None"/>
    <s v="AFRICOM"/>
    <x v="36"/>
    <x v="16"/>
    <n v="4"/>
    <x v="3"/>
    <s v="Cao Gangchuan"/>
    <m/>
    <s v="CMC Vice Chairman; Defense Minister"/>
    <n v="10"/>
    <x v="2"/>
    <s v="Defense Minister"/>
    <x v="0"/>
    <m/>
    <x v="0"/>
    <m/>
    <m/>
    <m/>
    <m/>
    <m/>
    <s v="Defense White Paper Appendix"/>
    <m/>
  </r>
  <r>
    <x v="1"/>
    <x v="0"/>
    <s v="Asia"/>
    <s v="Strategic Partnership [战略伙伴关系]"/>
    <s v="Major Non-NATO Ally"/>
    <s v="CENTCOM"/>
    <x v="2"/>
    <x v="16"/>
    <n v="4"/>
    <x v="3"/>
    <s v="Cao Gangchuan"/>
    <m/>
    <s v="CMC Vice Chairman; Defense Minister"/>
    <n v="10"/>
    <x v="2"/>
    <s v="Chairman JCS"/>
    <x v="0"/>
    <m/>
    <x v="0"/>
    <m/>
    <m/>
    <m/>
    <m/>
    <m/>
    <s v="Defense White Paper Appendix"/>
    <m/>
  </r>
  <r>
    <x v="1"/>
    <x v="4"/>
    <s v="Asia"/>
    <s v="Comprehensive Cooperative Partnership [全面合作伙伴关系]"/>
    <s v="Bilateral Defense Treaty"/>
    <s v="INDOPACOM"/>
    <x v="25"/>
    <x v="16"/>
    <n v="4"/>
    <x v="3"/>
    <s v="Liang Guanglie"/>
    <m/>
    <s v="Defense Minister; CMC Member"/>
    <n v="8"/>
    <x v="2"/>
    <s v="Defense Minister"/>
    <x v="0"/>
    <m/>
    <x v="0"/>
    <m/>
    <m/>
    <m/>
    <m/>
    <m/>
    <s v="Defense White Paper Appendix"/>
    <m/>
  </r>
  <r>
    <x v="1"/>
    <x v="7"/>
    <s v="West Asia and Africa"/>
    <s v="No Specific Relationship"/>
    <s v="None"/>
    <s v="AFRICOM"/>
    <x v="74"/>
    <x v="16"/>
    <n v="4"/>
    <x v="3"/>
    <s v="Liang Guanglie"/>
    <m/>
    <s v="Defense Minister; CMC Member"/>
    <n v="8"/>
    <x v="2"/>
    <s v="Chief of the Joint Staff"/>
    <x v="0"/>
    <m/>
    <x v="0"/>
    <m/>
    <m/>
    <m/>
    <m/>
    <m/>
    <s v="Defense White Paper Appendix"/>
    <m/>
  </r>
  <r>
    <x v="1"/>
    <x v="8"/>
    <s v="Europe and Central Asia"/>
    <s v="No Specific Relationship"/>
    <s v="None"/>
    <s v="EUCOM"/>
    <x v="78"/>
    <x v="16"/>
    <n v="4"/>
    <x v="3"/>
    <s v="Qiao Qingchen"/>
    <m/>
    <s v="PLAAF Commander; CMC Member"/>
    <n v="8"/>
    <x v="2"/>
    <s v="Air Force Commander"/>
    <x v="0"/>
    <m/>
    <x v="0"/>
    <m/>
    <m/>
    <m/>
    <m/>
    <m/>
    <s v="https://dlib.eastview.com/browse/doc/24536821"/>
    <m/>
  </r>
  <r>
    <x v="1"/>
    <x v="8"/>
    <s v="Europe and Central Asia"/>
    <s v="Comprehensive Strategic Partnership [全面战略伙伴关系]"/>
    <s v="NATO"/>
    <s v="EUCOM"/>
    <x v="21"/>
    <x v="16"/>
    <n v="4"/>
    <x v="4"/>
    <s v="Cao Gangchuan"/>
    <m/>
    <s v="CMC Vice Chairman; Defense Minister"/>
    <n v="8"/>
    <x v="2"/>
    <s v="COGS"/>
    <x v="0"/>
    <m/>
    <x v="0"/>
    <m/>
    <m/>
    <m/>
    <m/>
    <m/>
    <s v="Defense White Paper Appendix"/>
    <m/>
  </r>
  <r>
    <x v="1"/>
    <x v="2"/>
    <s v="America and Oceania"/>
    <s v="No Specific Relationship"/>
    <s v="N/A"/>
    <s v="NORTHCOM"/>
    <x v="4"/>
    <x v="16"/>
    <n v="4"/>
    <x v="4"/>
    <s v="Wu Shengli"/>
    <m/>
    <s v="PLAN Commander; CMC Member"/>
    <n v="8"/>
    <x v="2"/>
    <s v="Chief of Staff Air Force"/>
    <x v="0"/>
    <m/>
    <x v="0"/>
    <m/>
    <m/>
    <m/>
    <m/>
    <m/>
    <s v="Defense White Paper Appendix"/>
    <m/>
  </r>
  <r>
    <x v="1"/>
    <x v="7"/>
    <s v="West Asia and Africa"/>
    <s v="No Specific Relationship"/>
    <s v="None"/>
    <s v="AFRICOM"/>
    <x v="61"/>
    <x v="16"/>
    <n v="4"/>
    <x v="4"/>
    <s v="Deng Changyou"/>
    <m/>
    <s v="PLAAF Political Commissar"/>
    <n v="6"/>
    <x v="1"/>
    <m/>
    <x v="0"/>
    <m/>
    <x v="0"/>
    <m/>
    <m/>
    <m/>
    <m/>
    <m/>
    <s v="Defense White Paper Appendix"/>
    <m/>
  </r>
  <r>
    <x v="1"/>
    <x v="7"/>
    <s v="West Asia and Africa"/>
    <s v="No Specific Relationship"/>
    <s v="None"/>
    <s v="AFRICOM"/>
    <x v="86"/>
    <x v="16"/>
    <n v="4"/>
    <x v="4"/>
    <s v="Deng Changyou"/>
    <m/>
    <s v="PLAAF Political Commissar"/>
    <n v="6"/>
    <x v="1"/>
    <m/>
    <x v="0"/>
    <m/>
    <x v="0"/>
    <m/>
    <m/>
    <m/>
    <m/>
    <m/>
    <s v="Defense White Paper Appendix"/>
    <m/>
  </r>
  <r>
    <x v="1"/>
    <x v="10"/>
    <s v="America and Oceania"/>
    <s v="Strategic Partnership [战略伙伴关系]"/>
    <s v="Major Non-NATO Ally"/>
    <s v="SOUTHCOM"/>
    <x v="62"/>
    <x v="16"/>
    <n v="5"/>
    <x v="4"/>
    <s v="Cao Gangchuan"/>
    <m/>
    <s v="CMC Vice Chairman; Defense Minister"/>
    <n v="10"/>
    <x v="1"/>
    <s v="Defense Minister"/>
    <x v="0"/>
    <m/>
    <x v="0"/>
    <m/>
    <m/>
    <m/>
    <m/>
    <m/>
    <s v="Defense White Paper Appendix"/>
    <m/>
  </r>
  <r>
    <x v="1"/>
    <x v="10"/>
    <s v="America and Oceania"/>
    <s v="Strategic Partnership [战略伙伴关系]"/>
    <s v="Major Non-NATO Ally"/>
    <s v="SOUTHCOM"/>
    <x v="62"/>
    <x v="16"/>
    <n v="5"/>
    <x v="3"/>
    <s v="Cao Gangchuan"/>
    <m/>
    <s v="CMC Vice Chairman; Defense Minister"/>
    <n v="10"/>
    <x v="2"/>
    <s v="Defense Minister"/>
    <x v="0"/>
    <m/>
    <x v="0"/>
    <m/>
    <m/>
    <m/>
    <m/>
    <m/>
    <s v="Defense White Paper Appendix"/>
    <m/>
  </r>
  <r>
    <x v="1"/>
    <x v="5"/>
    <s v="America and Oceania"/>
    <s v="No Specific Relationship"/>
    <s v="ANZUS Treaty"/>
    <s v="INDOPACOM"/>
    <x v="12"/>
    <x v="16"/>
    <n v="5"/>
    <x v="4"/>
    <s v="Zhang Yang"/>
    <m/>
    <s v="Guangzhou MR Political Commissar"/>
    <n v="6"/>
    <x v="1"/>
    <m/>
    <x v="0"/>
    <m/>
    <x v="0"/>
    <m/>
    <m/>
    <m/>
    <m/>
    <m/>
    <s v="Defense White Paper Appendix"/>
    <m/>
  </r>
  <r>
    <x v="1"/>
    <x v="8"/>
    <s v="Europe and Central Asia"/>
    <s v="No Specific Relationship"/>
    <s v="None"/>
    <s v="EUCOM"/>
    <x v="57"/>
    <x v="16"/>
    <n v="5"/>
    <x v="3"/>
    <s v="Cao Gangchuan"/>
    <m/>
    <s v="CMC Vice Chairman; Defense Minister"/>
    <n v="10"/>
    <x v="2"/>
    <s v="COGS"/>
    <x v="0"/>
    <m/>
    <x v="0"/>
    <m/>
    <m/>
    <m/>
    <m/>
    <m/>
    <s v="Defense White Paper Appendix"/>
    <m/>
  </r>
  <r>
    <x v="1"/>
    <x v="0"/>
    <s v="Asia"/>
    <s v="Comprehensive Cooperative Partnership [全面合作伙伴关系]"/>
    <s v="None"/>
    <s v="INDOPACOM"/>
    <x v="0"/>
    <x v="16"/>
    <n v="5"/>
    <x v="3"/>
    <s v="Cao Gangchuan"/>
    <m/>
    <s v="CMC Vice Chairman; Defense Minister"/>
    <n v="10"/>
    <x v="2"/>
    <s v="Air Force Chief of Staff"/>
    <x v="0"/>
    <m/>
    <x v="0"/>
    <m/>
    <m/>
    <m/>
    <m/>
    <m/>
    <s v="Defense White Paper Appendix"/>
    <m/>
  </r>
  <r>
    <x v="1"/>
    <x v="10"/>
    <s v="America and Oceania"/>
    <s v="Comprehensive Strategic Partnership [全面战略伙伴关系]"/>
    <s v="None"/>
    <s v="SOUTHCOM"/>
    <x v="43"/>
    <x v="16"/>
    <n v="5"/>
    <x v="4"/>
    <s v="Ma Xiaotian"/>
    <m/>
    <s v="GSD DCGS"/>
    <n v="6"/>
    <x v="1"/>
    <m/>
    <x v="0"/>
    <m/>
    <x v="0"/>
    <m/>
    <m/>
    <m/>
    <m/>
    <m/>
    <s v="Defense White Paper Appendix"/>
    <m/>
  </r>
  <r>
    <x v="1"/>
    <x v="10"/>
    <s v="America and Oceania"/>
    <s v="Comprehensive Partnership [全面伙伴关系]"/>
    <s v="None"/>
    <s v="SOUTHCOM"/>
    <x v="66"/>
    <x v="16"/>
    <n v="5"/>
    <x v="4"/>
    <s v="Cao Gangchuan"/>
    <m/>
    <s v="CMC Vice Chairman; Defense Minister"/>
    <n v="10"/>
    <x v="1"/>
    <s v="Army Commander"/>
    <x v="0"/>
    <m/>
    <x v="0"/>
    <m/>
    <m/>
    <m/>
    <m/>
    <m/>
    <s v="Defense White Paper Appendix"/>
    <s v="MISCODED as hosted visit in V3.0"/>
  </r>
  <r>
    <x v="1"/>
    <x v="10"/>
    <s v="America and Oceania"/>
    <s v="No Specific Relationship"/>
    <s v="None"/>
    <s v="SOUTHCOM"/>
    <x v="49"/>
    <x v="16"/>
    <n v="5"/>
    <x v="4"/>
    <s v="Cao Gangchuan"/>
    <m/>
    <s v="CMC Vice Chairman; Defense Minister"/>
    <n v="10"/>
    <x v="1"/>
    <m/>
    <x v="0"/>
    <m/>
    <x v="0"/>
    <m/>
    <m/>
    <m/>
    <m/>
    <m/>
    <s v="Defense White Paper Appendix"/>
    <m/>
  </r>
  <r>
    <x v="1"/>
    <x v="8"/>
    <s v="Europe and Central Asia"/>
    <s v="Comprehensive Strategic Partnership [全面战略伙伴关系]"/>
    <s v="NATO"/>
    <s v="EUCOM"/>
    <x v="29"/>
    <x v="16"/>
    <n v="5"/>
    <x v="4"/>
    <s v="Cao Gangchuan"/>
    <m/>
    <s v="CMC Vice Chairman; Defense Minister"/>
    <n v="10"/>
    <x v="1"/>
    <s v="Defense Minister"/>
    <x v="0"/>
    <m/>
    <x v="0"/>
    <m/>
    <m/>
    <m/>
    <m/>
    <m/>
    <s v="Defense White Paper Appendix"/>
    <m/>
  </r>
  <r>
    <x v="1"/>
    <x v="8"/>
    <s v="Europe and Central Asia"/>
    <s v="No Specific Relationship"/>
    <s v="NATO"/>
    <s v="EUCOM"/>
    <x v="82"/>
    <x v="16"/>
    <n v="5"/>
    <x v="3"/>
    <s v="Cao Gangchuan"/>
    <m/>
    <s v="CMC Vice Chairman; Defense Minister"/>
    <n v="10"/>
    <x v="2"/>
    <s v="Defense Minister"/>
    <x v="0"/>
    <m/>
    <x v="0"/>
    <m/>
    <m/>
    <m/>
    <m/>
    <m/>
    <s v="Defense White Paper Appendix"/>
    <m/>
  </r>
  <r>
    <x v="1"/>
    <x v="0"/>
    <s v="Asia"/>
    <s v="Strategic Partnership for Peace and Prosperity [战略伙伴关系]"/>
    <s v="None"/>
    <s v="INDOPACOM"/>
    <x v="6"/>
    <x v="16"/>
    <n v="5"/>
    <x v="3"/>
    <s v="Guo Boxiong"/>
    <m/>
    <s v="CMC Vice Chairman"/>
    <n v="10"/>
    <x v="2"/>
    <s v="Army Chief of Staff"/>
    <x v="0"/>
    <m/>
    <x v="0"/>
    <m/>
    <m/>
    <m/>
    <m/>
    <m/>
    <s v="Defense White Paper Appendix"/>
    <m/>
  </r>
  <r>
    <x v="1"/>
    <x v="8"/>
    <s v="Europe and Central Asia"/>
    <s v="Comprehensive Strategic Partnership [全面战略伙伴关系]"/>
    <s v="NATO"/>
    <s v="EUCOM"/>
    <x v="20"/>
    <x v="16"/>
    <n v="5"/>
    <x v="4"/>
    <s v="Chang Wanquan"/>
    <m/>
    <s v="GAD Director; CMC Member"/>
    <n v="8"/>
    <x v="1"/>
    <m/>
    <x v="0"/>
    <m/>
    <x v="0"/>
    <m/>
    <m/>
    <m/>
    <m/>
    <m/>
    <s v="Defense White Paper Appendix"/>
    <m/>
  </r>
  <r>
    <x v="1"/>
    <x v="2"/>
    <s v="America and Oceania"/>
    <s v="Strategic Cooperative Partnership [战略合作伙伴关系]"/>
    <s v="None"/>
    <s v="NORTHCOM"/>
    <x v="77"/>
    <x v="16"/>
    <n v="5"/>
    <x v="4"/>
    <s v="Ma Xiaotian"/>
    <m/>
    <s v="GSD DCGS"/>
    <n v="6"/>
    <x v="1"/>
    <m/>
    <x v="0"/>
    <m/>
    <x v="0"/>
    <m/>
    <m/>
    <m/>
    <m/>
    <m/>
    <s v="Defense White Paper Appendix"/>
    <m/>
  </r>
  <r>
    <x v="1"/>
    <x v="4"/>
    <s v="Asia"/>
    <s v="No Specific Relationship"/>
    <s v="None"/>
    <s v="INDOPACOM"/>
    <x v="53"/>
    <x v="16"/>
    <n v="5"/>
    <x v="4"/>
    <s v="Chen Bingde"/>
    <m/>
    <s v="GSD Commander; CMC Member"/>
    <n v="8"/>
    <x v="1"/>
    <m/>
    <x v="0"/>
    <m/>
    <x v="0"/>
    <m/>
    <m/>
    <m/>
    <m/>
    <m/>
    <s v="Defense White Paper Appendix"/>
    <m/>
  </r>
  <r>
    <x v="1"/>
    <x v="7"/>
    <s v="West Asia and Africa"/>
    <s v="No Specific Relationship"/>
    <s v="Major Non-NATO Ally"/>
    <s v="AFRICOM"/>
    <x v="27"/>
    <x v="16"/>
    <n v="5"/>
    <x v="3"/>
    <s v="Cao Gangchuan"/>
    <m/>
    <s v="CMC Vice Chairman; Defense Minister"/>
    <n v="10"/>
    <x v="2"/>
    <s v="Inspector General of Armed Forces"/>
    <x v="0"/>
    <m/>
    <x v="0"/>
    <m/>
    <m/>
    <m/>
    <m/>
    <m/>
    <s v="Defense White Paper Appendix"/>
    <m/>
  </r>
  <r>
    <x v="1"/>
    <x v="7"/>
    <s v="West Asia and Africa"/>
    <s v="No Specific Relationship"/>
    <s v="None"/>
    <s v="AFRICOM"/>
    <x v="69"/>
    <x v="16"/>
    <n v="5"/>
    <x v="3"/>
    <s v="Guo Boxiong"/>
    <m/>
    <s v="CMC Vice Chairman"/>
    <n v="10"/>
    <x v="2"/>
    <s v="Chief of Defense Force"/>
    <x v="0"/>
    <m/>
    <x v="0"/>
    <m/>
    <m/>
    <m/>
    <m/>
    <m/>
    <s v="Defense White Paper Appendix"/>
    <m/>
  </r>
  <r>
    <x v="1"/>
    <x v="5"/>
    <s v="America and Oceania"/>
    <s v="No Specific Relationship"/>
    <s v="ANZUS Treaty"/>
    <s v="INDOPACOM"/>
    <x v="13"/>
    <x v="16"/>
    <n v="5"/>
    <x v="4"/>
    <s v="Zhang Yang"/>
    <m/>
    <s v="Guangzhou MR Political Commissar"/>
    <n v="6"/>
    <x v="1"/>
    <m/>
    <x v="0"/>
    <m/>
    <x v="0"/>
    <m/>
    <m/>
    <m/>
    <m/>
    <m/>
    <s v="Defense White Paper Appendix"/>
    <m/>
  </r>
  <r>
    <x v="1"/>
    <x v="1"/>
    <s v="Asia"/>
    <s v="Strategic Cooperative Partnership [战略合作伙伴关系]"/>
    <s v="Bilateral Defense Treaty"/>
    <s v="INDOPACOM"/>
    <x v="11"/>
    <x v="16"/>
    <n v="5"/>
    <x v="4"/>
    <s v="Ma Xiaotian"/>
    <m/>
    <s v="GSD DCGS"/>
    <n v="6"/>
    <x v="1"/>
    <m/>
    <x v="0"/>
    <m/>
    <x v="0"/>
    <m/>
    <m/>
    <m/>
    <m/>
    <m/>
    <s v="Defense White Paper Appendix"/>
    <m/>
  </r>
  <r>
    <x v="1"/>
    <x v="7"/>
    <s v="West Asia and Africa"/>
    <s v="No Specific Relationship"/>
    <s v="None"/>
    <s v="AFRICOM"/>
    <x v="129"/>
    <x v="16"/>
    <n v="5"/>
    <x v="4"/>
    <s v="Zhang Youxia"/>
    <m/>
    <s v="Shenyang MR Commander"/>
    <n v="6"/>
    <x v="1"/>
    <m/>
    <x v="0"/>
    <m/>
    <x v="0"/>
    <m/>
    <m/>
    <m/>
    <m/>
    <m/>
    <s v="Defense White Paper Appendix"/>
    <m/>
  </r>
  <r>
    <x v="2"/>
    <x v="6"/>
    <s v="Europe and Central Asia"/>
    <s v="Member"/>
    <s v="None"/>
    <s v="CENTCOM"/>
    <x v="14"/>
    <x v="16"/>
    <n v="5"/>
    <x v="6"/>
    <m/>
    <m/>
    <m/>
    <m/>
    <x v="0"/>
    <m/>
    <x v="1"/>
    <s v="Issyuk-Kul Antiterror-2007"/>
    <x v="1"/>
    <s v="anti-terrorism exercise in Kyrgyzstan; Countries: Russia, China, Tajikistan, Kazakhstan, Uzbekistan and Kyrgyzstan; intelligence services, special forces, and law enforcement; exercises in mountains and hostage scenarios"/>
    <m/>
    <m/>
    <m/>
    <m/>
    <s v="de Haas Journal of Slavic Military Studies 29:3 (2016)"/>
    <m/>
  </r>
  <r>
    <x v="1"/>
    <x v="8"/>
    <s v="Europe and Central Asia"/>
    <s v="No Specific Relationship"/>
    <s v="None"/>
    <s v="EUCOM"/>
    <x v="112"/>
    <x v="16"/>
    <n v="5"/>
    <x v="3"/>
    <s v="Cao Gangchuan"/>
    <m/>
    <s v="CMC Vice Chairman; Defense Minister"/>
    <n v="10"/>
    <x v="2"/>
    <s v="COGS"/>
    <x v="0"/>
    <m/>
    <x v="0"/>
    <m/>
    <m/>
    <m/>
    <m/>
    <m/>
    <s v="Defense White Paper Appendix"/>
    <m/>
  </r>
  <r>
    <x v="0"/>
    <x v="1"/>
    <s v="Asia"/>
    <s v="No Specific Relationship"/>
    <s v="None"/>
    <s v="INDOPACOM"/>
    <x v="39"/>
    <x v="16"/>
    <n v="5"/>
    <x v="0"/>
    <m/>
    <m/>
    <m/>
    <m/>
    <x v="0"/>
    <m/>
    <x v="0"/>
    <m/>
    <x v="0"/>
    <m/>
    <s v="NETF"/>
    <s v="NETF"/>
    <m/>
    <s v="PLAN Frigate IMDEX07"/>
    <s v="https://jamestown.org/program/the-chinese-navys-emerging-support-network-in-the-indian-ocean/"/>
    <m/>
  </r>
  <r>
    <x v="1"/>
    <x v="8"/>
    <s v="Europe and Central Asia"/>
    <s v="No Specific Relationship"/>
    <s v="NATO"/>
    <s v="EUCOM"/>
    <x v="40"/>
    <x v="16"/>
    <n v="5"/>
    <x v="3"/>
    <s v="Cao Gangchuan"/>
    <m/>
    <s v="CMC Vice Chairman; Defense Minister"/>
    <n v="10"/>
    <x v="2"/>
    <s v="Defense Minister"/>
    <x v="0"/>
    <m/>
    <x v="0"/>
    <m/>
    <m/>
    <m/>
    <m/>
    <m/>
    <s v="Defense White Paper Appendix"/>
    <m/>
  </r>
  <r>
    <x v="1"/>
    <x v="4"/>
    <s v="Asia"/>
    <s v="Comprehensive Cooperative Partnership [全面合作伙伴关系]"/>
    <s v="Bilateral Defense Treaty"/>
    <s v="INDOPACOM"/>
    <x v="25"/>
    <x v="16"/>
    <n v="5"/>
    <x v="4"/>
    <s v="Chen Bingde"/>
    <m/>
    <s v="GSD Commander; CMC Member"/>
    <n v="8"/>
    <x v="1"/>
    <m/>
    <x v="0"/>
    <m/>
    <x v="0"/>
    <m/>
    <m/>
    <m/>
    <m/>
    <m/>
    <s v="Defense White Paper Appendix"/>
    <m/>
  </r>
  <r>
    <x v="1"/>
    <x v="7"/>
    <s v="West Asia and Africa"/>
    <s v="No Specific Relationship"/>
    <s v="None"/>
    <s v="AFRICOM"/>
    <x v="74"/>
    <x v="16"/>
    <n v="5"/>
    <x v="4"/>
    <s v="Zhang Youxia"/>
    <m/>
    <s v="Shenyang MR Commander"/>
    <n v="6"/>
    <x v="1"/>
    <m/>
    <x v="0"/>
    <m/>
    <x v="0"/>
    <m/>
    <m/>
    <m/>
    <m/>
    <m/>
    <s v="Defense White Paper Appendix"/>
    <m/>
  </r>
  <r>
    <x v="1"/>
    <x v="8"/>
    <s v="Europe and Central Asia"/>
    <s v="No Specific Relationship"/>
    <s v="None"/>
    <s v="EUCOM"/>
    <x v="78"/>
    <x v="16"/>
    <n v="5"/>
    <x v="4"/>
    <s v="Cao Gangchuan"/>
    <m/>
    <s v="CMC Vice Chairman; Defense Minister"/>
    <n v="10"/>
    <x v="1"/>
    <m/>
    <x v="0"/>
    <m/>
    <x v="0"/>
    <m/>
    <m/>
    <m/>
    <m/>
    <m/>
    <s v="Defense White Paper Appendix"/>
    <m/>
  </r>
  <r>
    <x v="1"/>
    <x v="7"/>
    <s v="West Asia and Africa"/>
    <s v="No Specific Relationship"/>
    <s v="None"/>
    <s v="AFRICOM"/>
    <x v="16"/>
    <x v="16"/>
    <n v="5"/>
    <x v="3"/>
    <s v="Cao Gangchuan"/>
    <m/>
    <s v="CMC Vice Chairman; Defense Minister"/>
    <n v="10"/>
    <x v="2"/>
    <s v="Defense Minister"/>
    <x v="0"/>
    <m/>
    <x v="0"/>
    <m/>
    <m/>
    <m/>
    <m/>
    <m/>
    <s v="Defense White Paper Appendix"/>
    <m/>
  </r>
  <r>
    <x v="1"/>
    <x v="1"/>
    <s v="Asia"/>
    <s v="Strategic Partnership [战略伙伴关系]"/>
    <s v="Bilateral Defense Treaty"/>
    <s v="INDOPACOM"/>
    <x v="5"/>
    <x v="16"/>
    <n v="5"/>
    <x v="3"/>
    <s v="Cao Gangchuan"/>
    <m/>
    <s v="CMC Vice Chairman; Defense Minister"/>
    <n v="10"/>
    <x v="2"/>
    <s v="Army Commander"/>
    <x v="0"/>
    <m/>
    <x v="0"/>
    <m/>
    <m/>
    <m/>
    <m/>
    <m/>
    <s v="Defense White Paper Appendix"/>
    <m/>
  </r>
  <r>
    <x v="1"/>
    <x v="1"/>
    <s v="Asia"/>
    <s v="Strategic Partnership [战略伙伴关系]"/>
    <s v="Bilateral Defense Treaty"/>
    <s v="INDOPACOM"/>
    <x v="5"/>
    <x v="16"/>
    <n v="5"/>
    <x v="3"/>
    <s v="Cao Gangchuan"/>
    <m/>
    <s v="CMC Vice Chairman; Defense Minister"/>
    <n v="10"/>
    <x v="1"/>
    <m/>
    <x v="0"/>
    <m/>
    <x v="0"/>
    <m/>
    <m/>
    <m/>
    <m/>
    <m/>
    <s v="Defense White Paper Appendix"/>
    <m/>
  </r>
  <r>
    <x v="1"/>
    <x v="7"/>
    <s v="West Asia and Africa"/>
    <s v="No Specific Relationship"/>
    <s v="Major Non-NATO Ally"/>
    <s v="AFRICOM"/>
    <x v="85"/>
    <x v="16"/>
    <n v="5"/>
    <x v="3"/>
    <s v="Cao Gangchuan"/>
    <m/>
    <s v="CMC Vice Chairman; Defense Minister"/>
    <n v="10"/>
    <x v="2"/>
    <s v="Navy Chief"/>
    <x v="0"/>
    <m/>
    <x v="0"/>
    <m/>
    <m/>
    <m/>
    <m/>
    <m/>
    <s v="Defense White Paper Appendix"/>
    <m/>
  </r>
  <r>
    <x v="1"/>
    <x v="8"/>
    <s v="Europe and Central Asia"/>
    <s v="Comprehensive Strategic Partnership [全面战略伙伴关系]"/>
    <s v="NATO"/>
    <s v="EUCOM"/>
    <x v="21"/>
    <x v="16"/>
    <n v="5"/>
    <x v="3"/>
    <s v="Wu Shengli"/>
    <m/>
    <s v="PLAN Commander; CMC Member"/>
    <n v="8"/>
    <x v="1"/>
    <m/>
    <x v="0"/>
    <m/>
    <x v="0"/>
    <m/>
    <m/>
    <m/>
    <m/>
    <m/>
    <s v="Defense White Paper Appendix"/>
    <m/>
  </r>
  <r>
    <x v="1"/>
    <x v="2"/>
    <s v="America and Oceania"/>
    <s v="No Specific Relationship"/>
    <s v="N/A"/>
    <s v="NORTHCOM"/>
    <x v="4"/>
    <x v="16"/>
    <n v="5"/>
    <x v="3"/>
    <s v="Cao Gangchuan"/>
    <m/>
    <s v="CMC Vice Chairman; Defense Minister"/>
    <n v="10"/>
    <x v="1"/>
    <m/>
    <x v="0"/>
    <m/>
    <x v="0"/>
    <m/>
    <m/>
    <m/>
    <m/>
    <m/>
    <s v="Defense White Paper Appendix"/>
    <m/>
  </r>
  <r>
    <x v="1"/>
    <x v="2"/>
    <s v="America and Oceania"/>
    <s v="No Specific Relationship"/>
    <s v="N/A"/>
    <s v="NORTHCOM"/>
    <x v="4"/>
    <x v="16"/>
    <n v="5"/>
    <x v="4"/>
    <s v="Liu Chengjun"/>
    <m/>
    <s v="AMS President"/>
    <n v="6"/>
    <x v="1"/>
    <s v="Chairman JCS"/>
    <x v="0"/>
    <m/>
    <x v="0"/>
    <m/>
    <m/>
    <m/>
    <m/>
    <m/>
    <s v="Defense White Paper Appendix"/>
    <m/>
  </r>
  <r>
    <x v="1"/>
    <x v="6"/>
    <s v="Europe and Central Asia"/>
    <s v="No Specific Relationship"/>
    <s v="None"/>
    <s v="CENTCOM"/>
    <x v="73"/>
    <x v="16"/>
    <n v="5"/>
    <x v="3"/>
    <s v="Cao Gangchuan"/>
    <m/>
    <s v="CMC Vice Chairman; Defense Minister"/>
    <n v="10"/>
    <x v="2"/>
    <s v="Deputy Defense Minister"/>
    <x v="0"/>
    <m/>
    <x v="0"/>
    <m/>
    <m/>
    <m/>
    <m/>
    <m/>
    <s v="Defense White Paper Appendix"/>
    <m/>
  </r>
  <r>
    <x v="1"/>
    <x v="10"/>
    <s v="America and Oceania"/>
    <s v="Strategic Development Partnership [战略发展伙伴关系]"/>
    <s v="None"/>
    <s v="SOUTHCOM"/>
    <x v="56"/>
    <x v="16"/>
    <n v="5"/>
    <x v="4"/>
    <s v="Ma Xiaotian"/>
    <m/>
    <s v="GSD DCGS"/>
    <n v="6"/>
    <x v="1"/>
    <m/>
    <x v="0"/>
    <m/>
    <x v="0"/>
    <m/>
    <m/>
    <m/>
    <m/>
    <m/>
    <s v="Defense White Paper Appendix"/>
    <m/>
  </r>
  <r>
    <x v="1"/>
    <x v="1"/>
    <s v="Asia"/>
    <s v="No Specific Relationship"/>
    <s v="None"/>
    <s v="INDOPACOM"/>
    <x v="23"/>
    <x v="16"/>
    <n v="5"/>
    <x v="3"/>
    <s v="Cao Gangchuan"/>
    <m/>
    <s v="CMC Vice Chairman; Defense Minister"/>
    <n v="10"/>
    <x v="2"/>
    <s v="Defense Minister"/>
    <x v="0"/>
    <m/>
    <x v="0"/>
    <m/>
    <m/>
    <m/>
    <m/>
    <m/>
    <s v="Defense White Paper Appendix"/>
    <m/>
  </r>
  <r>
    <x v="1"/>
    <x v="1"/>
    <s v="Asia"/>
    <s v="No Specific Relationship"/>
    <s v="None"/>
    <s v="INDOPACOM"/>
    <x v="23"/>
    <x v="16"/>
    <n v="5"/>
    <x v="4"/>
    <s v="Chen Bingde"/>
    <m/>
    <s v="GSD Commander; CMC Member"/>
    <n v="8"/>
    <x v="1"/>
    <m/>
    <x v="0"/>
    <m/>
    <x v="0"/>
    <m/>
    <m/>
    <m/>
    <m/>
    <m/>
    <s v="Defense White Paper Appendix"/>
    <m/>
  </r>
  <r>
    <x v="2"/>
    <x v="4"/>
    <s v="N/A"/>
    <s v="Member"/>
    <s v="None"/>
    <s v="INDOPACOM"/>
    <x v="136"/>
    <x v="16"/>
    <n v="5"/>
    <x v="6"/>
    <m/>
    <m/>
    <m/>
    <m/>
    <x v="0"/>
    <m/>
    <x v="2"/>
    <s v="WPNS 2007 Maritime Exercise (MMEx)"/>
    <x v="2"/>
    <s v="Maritime; HADR; anti-piracy; WPNS 2007 attendees +7"/>
    <m/>
    <m/>
    <m/>
    <m/>
    <s v="https://www.nas.gov.sg/archivesonline/data/pdfdoc/20070516999.htm"/>
    <s v="Chinese TV coverage suggests PLAN participated."/>
  </r>
  <r>
    <x v="1"/>
    <x v="8"/>
    <s v="Europe and Central Asia"/>
    <s v="No Specific Relationship"/>
    <s v="NATO"/>
    <s v="EUCOM"/>
    <x v="79"/>
    <x v="16"/>
    <n v="6"/>
    <x v="4"/>
    <s v="Zhang Qinsheng"/>
    <m/>
    <s v="Guangzhou MR Commander"/>
    <n v="6"/>
    <x v="1"/>
    <m/>
    <x v="0"/>
    <m/>
    <x v="0"/>
    <m/>
    <m/>
    <m/>
    <m/>
    <m/>
    <s v="Defense White Paper Appendix"/>
    <m/>
  </r>
  <r>
    <x v="1"/>
    <x v="10"/>
    <s v="America and Oceania"/>
    <s v="No Specific Relationship"/>
    <s v="None"/>
    <s v="SOUTHCOM"/>
    <x v="45"/>
    <x v="16"/>
    <n v="6"/>
    <x v="4"/>
    <s v="Zhang Li"/>
    <m/>
    <s v="GLD Deputy Director"/>
    <n v="6"/>
    <x v="1"/>
    <m/>
    <x v="0"/>
    <m/>
    <x v="0"/>
    <m/>
    <m/>
    <m/>
    <m/>
    <m/>
    <s v="Defense White Paper Appendix"/>
    <m/>
  </r>
  <r>
    <x v="1"/>
    <x v="8"/>
    <s v="Europe and Central Asia"/>
    <s v="Comprehensive Strategic Partnership [全面战略伙伴关系]"/>
    <s v="NATO"/>
    <s v="EUCOM"/>
    <x v="29"/>
    <x v="16"/>
    <n v="6"/>
    <x v="4"/>
    <s v="Chi Wanchun"/>
    <m/>
    <s v="GAD Political Commissar"/>
    <n v="6"/>
    <x v="1"/>
    <m/>
    <x v="0"/>
    <m/>
    <x v="0"/>
    <m/>
    <m/>
    <m/>
    <m/>
    <m/>
    <s v="Defense White Paper Appendix"/>
    <m/>
  </r>
  <r>
    <x v="1"/>
    <x v="1"/>
    <s v="Asia"/>
    <s v="No Specific Relationship"/>
    <s v="None"/>
    <s v="INDOPACOM"/>
    <x v="137"/>
    <x v="16"/>
    <n v="6"/>
    <x v="1"/>
    <s v="Zhang Qinsheng"/>
    <m/>
    <s v="GSD DCGS"/>
    <n v="6"/>
    <x v="1"/>
    <s v="6th Shangri-La Dialogue"/>
    <x v="0"/>
    <m/>
    <x v="0"/>
    <m/>
    <m/>
    <m/>
    <m/>
    <m/>
    <s v="http://eng.chinamil.com.cn/view/2019-05/31/content_9519879.htm "/>
    <m/>
  </r>
  <r>
    <x v="1"/>
    <x v="8"/>
    <s v="Europe and Central Asia"/>
    <s v="Comprehensive Strategic Partnership [全面战略伙伴关系]"/>
    <s v="NATO"/>
    <s v="EUCOM"/>
    <x v="20"/>
    <x v="16"/>
    <n v="6"/>
    <x v="4"/>
    <s v="Chi Wanchun"/>
    <m/>
    <s v="GAD Political Commissar"/>
    <n v="6"/>
    <x v="1"/>
    <m/>
    <x v="0"/>
    <m/>
    <x v="0"/>
    <m/>
    <m/>
    <m/>
    <m/>
    <m/>
    <s v="Defense White Paper Appendix"/>
    <m/>
  </r>
  <r>
    <x v="1"/>
    <x v="6"/>
    <s v="Europe and Central Asia"/>
    <s v="No Specific Relationship"/>
    <s v="None"/>
    <s v="CENTCOM"/>
    <x v="31"/>
    <x v="16"/>
    <n v="6"/>
    <x v="4"/>
    <s v="Cao Gangchuan"/>
    <m/>
    <s v="CMC Vice Chairman; Defense Minister"/>
    <n v="10"/>
    <x v="1"/>
    <m/>
    <x v="0"/>
    <m/>
    <x v="0"/>
    <m/>
    <m/>
    <m/>
    <m/>
    <m/>
    <s v="Defense White Paper Appendix"/>
    <m/>
  </r>
  <r>
    <x v="1"/>
    <x v="7"/>
    <s v="West Asia and Africa"/>
    <s v="No Specific Relationship"/>
    <s v="None"/>
    <s v="AFRICOM"/>
    <x v="84"/>
    <x v="16"/>
    <n v="6"/>
    <x v="3"/>
    <s v="Xu Caihou"/>
    <m/>
    <s v="CMC Vice Chairman"/>
    <n v="10"/>
    <x v="2"/>
    <s v="COGS"/>
    <x v="0"/>
    <m/>
    <x v="0"/>
    <m/>
    <m/>
    <m/>
    <m/>
    <m/>
    <s v="Defense White Paper Appendix"/>
    <m/>
  </r>
  <r>
    <x v="1"/>
    <x v="5"/>
    <s v="America and Oceania"/>
    <s v="No Specific Relationship"/>
    <s v="ANZUS Treaty"/>
    <s v="INDOPACOM"/>
    <x v="13"/>
    <x v="16"/>
    <n v="6"/>
    <x v="4"/>
    <s v="Tong Shiping"/>
    <m/>
    <s v="PLA NDU Political Commissar"/>
    <n v="6"/>
    <x v="1"/>
    <m/>
    <x v="0"/>
    <m/>
    <x v="0"/>
    <m/>
    <m/>
    <m/>
    <m/>
    <m/>
    <s v="Defense White Paper Appendix"/>
    <m/>
  </r>
  <r>
    <x v="1"/>
    <x v="3"/>
    <s v="Europe and Central Asia"/>
    <s v="Strategic Partnership of Coordination [战略协作伙伴关系]"/>
    <s v="None"/>
    <s v="EUCOM"/>
    <x v="7"/>
    <x v="16"/>
    <n v="6"/>
    <x v="4"/>
    <s v="Zhang Qinsheng"/>
    <m/>
    <s v="Guangzhou MR Commander"/>
    <n v="6"/>
    <x v="1"/>
    <m/>
    <x v="0"/>
    <m/>
    <x v="0"/>
    <m/>
    <m/>
    <m/>
    <m/>
    <m/>
    <s v="Defense White Paper Appendix"/>
    <m/>
  </r>
  <r>
    <x v="1"/>
    <x v="6"/>
    <s v="Europe and Central Asia"/>
    <s v="Member"/>
    <s v="None"/>
    <s v="CENTCOM"/>
    <x v="14"/>
    <x v="16"/>
    <n v="6"/>
    <x v="1"/>
    <s v="Cao Gangchuan"/>
    <m/>
    <s v="CMC Vice Chairman; Defense Minister"/>
    <n v="10"/>
    <x v="2"/>
    <s v="Fifth official meeting of the SCO Ministers' of Defense in Bishkek; Other countries: Kazakhstan, Kyrgyztan, Russia, Tajikistan, Uzbekistan"/>
    <x v="0"/>
    <m/>
    <x v="0"/>
    <m/>
    <m/>
    <m/>
    <m/>
    <m/>
    <s v="https://www.fmprc.gov.cn/mfa_eng/wjdt_665385/2649_665393/t355665.shtml"/>
    <m/>
  </r>
  <r>
    <x v="1"/>
    <x v="1"/>
    <s v="Asia"/>
    <s v="No Specific Relationship"/>
    <s v="None"/>
    <s v="INDOPACOM"/>
    <x v="39"/>
    <x v="16"/>
    <n v="6"/>
    <x v="4"/>
    <s v="Ma Xiaotian"/>
    <m/>
    <s v="GSD DCGS"/>
    <n v="6"/>
    <x v="1"/>
    <m/>
    <x v="0"/>
    <m/>
    <x v="0"/>
    <m/>
    <m/>
    <m/>
    <m/>
    <m/>
    <s v="Defense White Paper Appendix"/>
    <m/>
  </r>
  <r>
    <x v="1"/>
    <x v="4"/>
    <s v="Asia"/>
    <s v="Comprehensive Cooperative Partnership [全面合作伙伴关系]"/>
    <s v="Bilateral Defense Treaty"/>
    <s v="INDOPACOM"/>
    <x v="25"/>
    <x v="16"/>
    <n v="6"/>
    <x v="4"/>
    <s v="Tong Shiping"/>
    <m/>
    <s v="PLA NDU Political Commissar"/>
    <n v="6"/>
    <x v="1"/>
    <m/>
    <x v="0"/>
    <m/>
    <x v="0"/>
    <m/>
    <m/>
    <m/>
    <m/>
    <m/>
    <s v="Defense White Paper Appendix"/>
    <m/>
  </r>
  <r>
    <x v="1"/>
    <x v="8"/>
    <s v="Europe and Central Asia"/>
    <s v="No Specific Relationship"/>
    <s v="NATO"/>
    <s v="EUCOM"/>
    <x v="38"/>
    <x v="16"/>
    <n v="6"/>
    <x v="3"/>
    <s v="Ma Xiaotian"/>
    <m/>
    <s v="GSD DCGS"/>
    <n v="6"/>
    <x v="1"/>
    <m/>
    <x v="0"/>
    <m/>
    <x v="0"/>
    <m/>
    <m/>
    <m/>
    <m/>
    <m/>
    <s v="Defense White Paper Appendix"/>
    <m/>
  </r>
  <r>
    <x v="1"/>
    <x v="2"/>
    <s v="America and Oceania"/>
    <s v="No Specific Relationship"/>
    <s v="N/A"/>
    <s v="NORTHCOM"/>
    <x v="4"/>
    <x v="16"/>
    <n v="6"/>
    <x v="7"/>
    <s v="Zhang Qinsheng"/>
    <m/>
    <s v="GSD DCGS"/>
    <n v="6"/>
    <x v="1"/>
    <s v="Chairman JCS"/>
    <x v="0"/>
    <m/>
    <x v="0"/>
    <m/>
    <m/>
    <m/>
    <m/>
    <m/>
    <s v="China's &quot;New&quot; Diplomacy: Tactical or Fundamental Change?, page 204"/>
    <m/>
  </r>
  <r>
    <x v="1"/>
    <x v="7"/>
    <s v="West Asia and Africa"/>
    <s v="No Specific Relationship"/>
    <s v="None"/>
    <s v="AFRICOM"/>
    <x v="61"/>
    <x v="16"/>
    <n v="6"/>
    <x v="3"/>
    <s v="Cao Gangchuan"/>
    <m/>
    <s v="CMC Vice Chairman; Defense Minister"/>
    <n v="10"/>
    <x v="2"/>
    <s v="Defense Minister"/>
    <x v="0"/>
    <m/>
    <x v="0"/>
    <m/>
    <m/>
    <m/>
    <m/>
    <m/>
    <s v="Defense White Paper Appendix"/>
    <m/>
  </r>
  <r>
    <x v="1"/>
    <x v="7"/>
    <s v="West Asia and Africa"/>
    <s v="No Specific Relationship"/>
    <s v="None"/>
    <s v="AFRICOM"/>
    <x v="86"/>
    <x v="16"/>
    <n v="6"/>
    <x v="3"/>
    <s v="Cao Gangchuan"/>
    <m/>
    <s v="CMC Vice Chairman; Defense Minister"/>
    <n v="10"/>
    <x v="2"/>
    <s v="Defense Minister"/>
    <x v="0"/>
    <m/>
    <x v="0"/>
    <m/>
    <m/>
    <m/>
    <m/>
    <m/>
    <s v="Defense White Paper Appendix"/>
    <m/>
  </r>
  <r>
    <x v="1"/>
    <x v="5"/>
    <s v="America and Oceania"/>
    <s v="No Specific Relationship"/>
    <s v="ANZUS Treaty"/>
    <s v="INDOPACOM"/>
    <x v="12"/>
    <x v="16"/>
    <n v="7"/>
    <x v="3"/>
    <s v="Cao Gangchuan"/>
    <m/>
    <s v="CMC Vice Chairman; Defense Minister"/>
    <n v="8"/>
    <x v="2"/>
    <s v="Defense Minister"/>
    <x v="0"/>
    <m/>
    <x v="0"/>
    <m/>
    <m/>
    <m/>
    <m/>
    <m/>
    <s v="https://dlib.eastview.com/browse/doc/24489731"/>
    <m/>
  </r>
  <r>
    <x v="1"/>
    <x v="8"/>
    <s v="Europe and Central Asia"/>
    <s v="No Specific Relationship"/>
    <s v="NATO"/>
    <s v="EUCOM"/>
    <x v="79"/>
    <x v="16"/>
    <n v="7"/>
    <x v="3"/>
    <s v="Chen Xiaogong "/>
    <m/>
    <s v="GSD DCGS"/>
    <n v="6"/>
    <x v="2"/>
    <s v="Navy Chief of Staff"/>
    <x v="0"/>
    <m/>
    <x v="0"/>
    <m/>
    <m/>
    <m/>
    <m/>
    <m/>
    <s v="https://dlib.eastview.com/browse/doc/24529512"/>
    <m/>
  </r>
  <r>
    <x v="1"/>
    <x v="10"/>
    <s v="America and Oceania"/>
    <s v="Comprehensive Partnership [全面伙伴关系]"/>
    <s v="None"/>
    <s v="SOUTHCOM"/>
    <x v="66"/>
    <x v="16"/>
    <n v="7"/>
    <x v="4"/>
    <s v="Hu Yanlin"/>
    <m/>
    <s v="PLAN Political Commissar"/>
    <n v="6"/>
    <x v="1"/>
    <m/>
    <x v="0"/>
    <m/>
    <x v="0"/>
    <m/>
    <m/>
    <m/>
    <m/>
    <m/>
    <s v="Defense White Paper Appendix"/>
    <m/>
  </r>
  <r>
    <x v="1"/>
    <x v="7"/>
    <s v="West Asia and Africa"/>
    <s v="Comprehensive Strategic Partnership [全面战略伙伴关系]"/>
    <s v="None"/>
    <s v="AFRICOM"/>
    <x v="127"/>
    <x v="16"/>
    <n v="7"/>
    <x v="3"/>
    <s v="Cao Gangchuan"/>
    <m/>
    <s v="CMC Vice Chairman; Defense Minister"/>
    <n v="10"/>
    <x v="2"/>
    <s v="Defense Minister"/>
    <x v="0"/>
    <m/>
    <x v="0"/>
    <m/>
    <m/>
    <m/>
    <m/>
    <m/>
    <s v="Defense White Paper Appendix"/>
    <m/>
  </r>
  <r>
    <x v="1"/>
    <x v="10"/>
    <s v="America and Oceania"/>
    <s v="No Specific Relationship"/>
    <s v="None"/>
    <s v="SOUTHCOM"/>
    <x v="51"/>
    <x v="16"/>
    <n v="7"/>
    <x v="3"/>
    <s v="Xu Caihou"/>
    <m/>
    <s v="CMC Vice Chairman"/>
    <n v="10"/>
    <x v="2"/>
    <s v="Chief of Joint Command"/>
    <x v="0"/>
    <m/>
    <x v="0"/>
    <m/>
    <m/>
    <m/>
    <m/>
    <m/>
    <s v="Defense White Paper Appendix"/>
    <m/>
  </r>
  <r>
    <x v="1"/>
    <x v="10"/>
    <s v="America and Oceania"/>
    <s v="No Specific Relationship"/>
    <s v="None"/>
    <s v="SOUTHCOM"/>
    <x v="138"/>
    <x v="16"/>
    <n v="7"/>
    <x v="3"/>
    <s v="Cao Gangchuan"/>
    <m/>
    <s v="CMC Vice Chairman; Defense Minister"/>
    <n v="10"/>
    <x v="2"/>
    <s v="Defense Minister"/>
    <x v="0"/>
    <m/>
    <x v="0"/>
    <m/>
    <m/>
    <m/>
    <m/>
    <m/>
    <s v="Defense White Paper Appendix"/>
    <m/>
  </r>
  <r>
    <x v="1"/>
    <x v="0"/>
    <s v="Asia"/>
    <s v="Strategic Partnership [战略伙伴关系]"/>
    <s v="Major Non-NATO Ally"/>
    <s v="CENTCOM"/>
    <x v="2"/>
    <x v="16"/>
    <n v="7"/>
    <x v="4"/>
    <s v="Hu Yanlin"/>
    <m/>
    <s v="PLAN Political Commissar"/>
    <n v="6"/>
    <x v="1"/>
    <m/>
    <x v="0"/>
    <m/>
    <x v="0"/>
    <m/>
    <m/>
    <m/>
    <m/>
    <m/>
    <s v="Defense White Paper Appendix"/>
    <m/>
  </r>
  <r>
    <x v="1"/>
    <x v="7"/>
    <s v="West Asia and Africa"/>
    <s v="Strategic Partnership [战略伙伴关系]"/>
    <s v="None"/>
    <s v="AFRICOM"/>
    <x v="15"/>
    <x v="16"/>
    <n v="7"/>
    <x v="3"/>
    <s v="Xu Caihou"/>
    <m/>
    <s v="CMC Vice Chairman"/>
    <n v="10"/>
    <x v="2"/>
    <s v="Air Force Commander"/>
    <x v="0"/>
    <m/>
    <x v="0"/>
    <m/>
    <m/>
    <m/>
    <m/>
    <m/>
    <s v="Defense White Paper Appendix"/>
    <m/>
  </r>
  <r>
    <x v="1"/>
    <x v="4"/>
    <s v="Asia"/>
    <s v="Comprehensive Cooperative Partnership [全面合作伙伴关系]"/>
    <s v="Bilateral Defense Treaty"/>
    <s v="INDOPACOM"/>
    <x v="25"/>
    <x v="16"/>
    <n v="7"/>
    <x v="4"/>
    <s v="Fan Changlong"/>
    <m/>
    <s v="Jinan MR Commander"/>
    <n v="6"/>
    <x v="1"/>
    <m/>
    <x v="0"/>
    <m/>
    <x v="0"/>
    <m/>
    <m/>
    <m/>
    <m/>
    <m/>
    <s v="Defense White Paper Appendix"/>
    <m/>
  </r>
  <r>
    <x v="2"/>
    <x v="1"/>
    <s v="Asia"/>
    <s v="Strategic Partnership [战略伙伴关系]"/>
    <s v="Bilateral Defense Treaty"/>
    <s v="INDOPACOM"/>
    <x v="5"/>
    <x v="16"/>
    <n v="7"/>
    <x v="5"/>
    <m/>
    <m/>
    <m/>
    <m/>
    <x v="0"/>
    <m/>
    <x v="1"/>
    <s v="Strike 2007"/>
    <x v="1"/>
    <s v="Anti-terrorism"/>
    <m/>
    <m/>
    <m/>
    <m/>
    <s v="Defense White Paper Appendix"/>
    <m/>
  </r>
  <r>
    <x v="1"/>
    <x v="0"/>
    <s v="Asia"/>
    <s v="Comprehensive Cooperative Partnership [全面合作伙伴关系]"/>
    <s v="None"/>
    <s v="INDOPACOM"/>
    <x v="0"/>
    <x v="16"/>
    <n v="8"/>
    <x v="4"/>
    <s v="Chang Wanquan"/>
    <m/>
    <s v="GAD Director; CMC Member"/>
    <n v="8"/>
    <x v="1"/>
    <m/>
    <x v="0"/>
    <m/>
    <x v="0"/>
    <m/>
    <m/>
    <m/>
    <m/>
    <m/>
    <s v="Defense White Paper Appendix"/>
    <m/>
  </r>
  <r>
    <x v="1"/>
    <x v="7"/>
    <s v="West Asia and Africa"/>
    <s v="No Specific Relationship"/>
    <s v="None"/>
    <s v="AFRICOM"/>
    <x v="93"/>
    <x v="16"/>
    <n v="8"/>
    <x v="3"/>
    <s v="Xu Caihou"/>
    <m/>
    <s v="CMC Vice Chairman"/>
    <n v="10"/>
    <x v="2"/>
    <s v="Commander Defense Force"/>
    <x v="0"/>
    <m/>
    <x v="0"/>
    <m/>
    <m/>
    <m/>
    <m/>
    <m/>
    <s v="https://dlib.eastview.com/browse/doc/24489383"/>
    <m/>
  </r>
  <r>
    <x v="1"/>
    <x v="1"/>
    <s v="Asia"/>
    <s v="No Specific Relationship"/>
    <s v="None"/>
    <s v="INDOPACOM"/>
    <x v="44"/>
    <x v="16"/>
    <n v="8"/>
    <x v="4"/>
    <s v="Chang Wanquan"/>
    <m/>
    <s v="GAD Director; CMC Member"/>
    <n v="8"/>
    <x v="1"/>
    <m/>
    <x v="0"/>
    <m/>
    <x v="0"/>
    <m/>
    <m/>
    <m/>
    <m/>
    <m/>
    <s v="Defense White Paper Appendix"/>
    <m/>
  </r>
  <r>
    <x v="1"/>
    <x v="1"/>
    <s v="Asia"/>
    <s v="Comprehensive Cooperative Partnership [全面合作伙伴关系]"/>
    <s v="None"/>
    <s v="INDOPACOM"/>
    <x v="94"/>
    <x v="16"/>
    <n v="8"/>
    <x v="4"/>
    <s v="Liu Dongdong"/>
    <m/>
    <s v="Jinan MR Political Commissar"/>
    <n v="6"/>
    <x v="1"/>
    <m/>
    <x v="0"/>
    <m/>
    <x v="0"/>
    <m/>
    <m/>
    <m/>
    <m/>
    <m/>
    <s v="Defense White Paper Appendix"/>
    <m/>
  </r>
  <r>
    <x v="1"/>
    <x v="1"/>
    <s v="Asia"/>
    <s v="Strategic Partnership [战略伙伴关系]"/>
    <s v="None"/>
    <s v="INDOPACOM"/>
    <x v="8"/>
    <x v="16"/>
    <n v="8"/>
    <x v="4"/>
    <s v="Chang Wanquan"/>
    <m/>
    <s v="GAD Director; CMC Member"/>
    <n v="8"/>
    <x v="1"/>
    <m/>
    <x v="0"/>
    <m/>
    <x v="0"/>
    <m/>
    <m/>
    <m/>
    <m/>
    <m/>
    <s v="Defense White Paper Appendix"/>
    <m/>
  </r>
  <r>
    <x v="1"/>
    <x v="1"/>
    <s v="Asia"/>
    <s v="Comprehensive Cooperative Partnership [全面合作伙伴关系]"/>
    <s v="None"/>
    <s v="INDOPACOM"/>
    <x v="52"/>
    <x v="16"/>
    <n v="8"/>
    <x v="4"/>
    <s v="Liu Dongdong"/>
    <m/>
    <s v="Jinan MR Political Commissar"/>
    <n v="6"/>
    <x v="1"/>
    <m/>
    <x v="0"/>
    <m/>
    <x v="0"/>
    <m/>
    <m/>
    <m/>
    <m/>
    <m/>
    <s v="Defense White Paper Appendix"/>
    <m/>
  </r>
  <r>
    <x v="1"/>
    <x v="7"/>
    <s v="West Asia and Africa"/>
    <s v="No Specific Relationship"/>
    <s v="None"/>
    <s v="AFRICOM"/>
    <x v="121"/>
    <x v="16"/>
    <n v="8"/>
    <x v="3"/>
    <s v="Cao Gangchuan"/>
    <m/>
    <s v="CMC Vice Chairman; Defense Minister"/>
    <n v="10"/>
    <x v="2"/>
    <s v="COGS"/>
    <x v="0"/>
    <m/>
    <x v="0"/>
    <m/>
    <m/>
    <m/>
    <m/>
    <m/>
    <s v="Defense White Paper Appendix"/>
    <m/>
  </r>
  <r>
    <x v="1"/>
    <x v="1"/>
    <s v="Asia"/>
    <s v="No Specific Relationship"/>
    <s v="None"/>
    <s v="INDOPACOM"/>
    <x v="1"/>
    <x v="16"/>
    <n v="8"/>
    <x v="4"/>
    <s v="Liu Dongdong"/>
    <m/>
    <s v="Jinan MR Political Commissar"/>
    <n v="6"/>
    <x v="1"/>
    <m/>
    <x v="0"/>
    <m/>
    <x v="0"/>
    <m/>
    <m/>
    <m/>
    <m/>
    <m/>
    <s v="Defense White Paper Appendix"/>
    <m/>
  </r>
  <r>
    <x v="1"/>
    <x v="4"/>
    <s v="Asia"/>
    <s v="Bilateral Defense Treaty"/>
    <s v="None"/>
    <s v="INDOPACOM"/>
    <x v="9"/>
    <x v="16"/>
    <n v="8"/>
    <x v="4"/>
    <s v="Zhang Li"/>
    <m/>
    <s v="GLD Deputy Director"/>
    <n v="6"/>
    <x v="1"/>
    <m/>
    <x v="0"/>
    <m/>
    <x v="0"/>
    <m/>
    <m/>
    <m/>
    <m/>
    <m/>
    <s v="Defense White Paper Appendix"/>
    <m/>
  </r>
  <r>
    <x v="1"/>
    <x v="8"/>
    <s v="Europe and Central Asia"/>
    <s v="Comprehensive Friendly Cooperative Partnership [全面友好合作伙伴关系]"/>
    <s v="NATO"/>
    <s v="EUCOM"/>
    <x v="33"/>
    <x v="16"/>
    <n v="8"/>
    <x v="4"/>
    <s v="Zhang Li"/>
    <m/>
    <s v="GLD Deputy Director"/>
    <n v="6"/>
    <x v="1"/>
    <m/>
    <x v="0"/>
    <m/>
    <x v="0"/>
    <m/>
    <m/>
    <m/>
    <m/>
    <m/>
    <s v="Defense White Paper Appendix"/>
    <m/>
  </r>
  <r>
    <x v="1"/>
    <x v="3"/>
    <s v="Europe and Central Asia"/>
    <s v="Strategic Partnership of Coordination [战略协作伙伴关系]"/>
    <s v="None"/>
    <s v="EUCOM"/>
    <x v="7"/>
    <x v="16"/>
    <n v="8"/>
    <x v="4"/>
    <s v="Zhang Li"/>
    <m/>
    <s v="GLD Deputy Director"/>
    <n v="6"/>
    <x v="1"/>
    <m/>
    <x v="0"/>
    <m/>
    <x v="0"/>
    <m/>
    <m/>
    <m/>
    <m/>
    <m/>
    <s v="Defense White Paper Appendix"/>
    <m/>
  </r>
  <r>
    <x v="2"/>
    <x v="6"/>
    <s v="Europe and Central Asia"/>
    <s v="Member"/>
    <s v="None"/>
    <s v="CENTCOM"/>
    <x v="14"/>
    <x v="16"/>
    <n v="8"/>
    <x v="6"/>
    <m/>
    <m/>
    <m/>
    <m/>
    <x v="0"/>
    <m/>
    <x v="3"/>
    <s v="Peace Mission 2007"/>
    <x v="3"/>
    <s v="Army, Navy, Air Force, SOF. Countries: Russia, Tajikistan, Kazakhstan, Uzbekistan and Kyrgyzstan.  Aug. 9 to Aug. 17."/>
    <m/>
    <m/>
    <m/>
    <m/>
    <s v="http://en.people.cn/90002/91620/index.html "/>
    <m/>
  </r>
  <r>
    <x v="1"/>
    <x v="10"/>
    <s v="America and Oceania"/>
    <s v="No Specific Relationship"/>
    <s v="None"/>
    <s v="SOUTHCOM"/>
    <x v="107"/>
    <x v="16"/>
    <n v="8"/>
    <x v="3"/>
    <s v="Cao Gangchuan"/>
    <m/>
    <s v="CMC Vice Chairman; Defense Minister"/>
    <n v="8"/>
    <x v="2"/>
    <s v="Secretary of Defense"/>
    <x v="0"/>
    <m/>
    <x v="0"/>
    <m/>
    <m/>
    <m/>
    <m/>
    <m/>
    <s v="Defense White Paper Appendix"/>
    <m/>
  </r>
  <r>
    <x v="1"/>
    <x v="10"/>
    <s v="America and Oceania"/>
    <s v="Comprehensive Strategic Partnership [全面战略伙伴关系]"/>
    <s v="None"/>
    <s v="SOUTHCOM"/>
    <x v="43"/>
    <x v="16"/>
    <n v="9"/>
    <x v="3"/>
    <s v="Ma Xiaotian"/>
    <m/>
    <s v="GSD DCGS"/>
    <n v="6"/>
    <x v="2"/>
    <s v="Army Chief of Staff"/>
    <x v="0"/>
    <m/>
    <x v="0"/>
    <m/>
    <m/>
    <m/>
    <m/>
    <m/>
    <s v="Defense White Paper Appendix"/>
    <m/>
  </r>
  <r>
    <x v="1"/>
    <x v="8"/>
    <s v="Europe and Central Asia"/>
    <s v="No Specific Relationship"/>
    <s v="NATO"/>
    <s v="EUCOM"/>
    <x v="79"/>
    <x v="16"/>
    <n v="9"/>
    <x v="3"/>
    <s v="Cao Gangchuan"/>
    <m/>
    <s v="CMC Vice Chairman; Defense Minister"/>
    <n v="10"/>
    <x v="2"/>
    <s v="Defense Minister"/>
    <x v="0"/>
    <m/>
    <x v="0"/>
    <m/>
    <m/>
    <m/>
    <m/>
    <m/>
    <s v="Defense White Paper Appendix"/>
    <m/>
  </r>
  <r>
    <x v="1"/>
    <x v="7"/>
    <s v="West Asia and Africa"/>
    <s v="No Specific Relationship"/>
    <s v="None"/>
    <s v="AFRICOM"/>
    <x v="132"/>
    <x v="16"/>
    <n v="9"/>
    <x v="3"/>
    <s v="Cao Gangchuan"/>
    <m/>
    <s v="CMC Vice Chairman; Defense Minister"/>
    <n v="10"/>
    <x v="2"/>
    <s v="Defense Minister"/>
    <x v="0"/>
    <m/>
    <x v="0"/>
    <m/>
    <m/>
    <m/>
    <m/>
    <m/>
    <s v="Defense White Paper Appendix"/>
    <m/>
  </r>
  <r>
    <x v="1"/>
    <x v="7"/>
    <s v="West Asia and Africa"/>
    <s v="No Specific Relationship"/>
    <s v="None"/>
    <s v="AFRICOM"/>
    <x v="125"/>
    <x v="16"/>
    <n v="9"/>
    <x v="3"/>
    <s v="Cao Gangchuan"/>
    <m/>
    <s v="CMC Vice Chairman; Defense Minister"/>
    <n v="8"/>
    <x v="2"/>
    <s v="COGS"/>
    <x v="0"/>
    <m/>
    <x v="0"/>
    <m/>
    <m/>
    <m/>
    <m/>
    <m/>
    <s v="Defense White Paper Appendix"/>
    <m/>
  </r>
  <r>
    <x v="1"/>
    <x v="10"/>
    <s v="America and Oceania"/>
    <s v="Comprehensive Partnership [全面伙伴关系]"/>
    <s v="None"/>
    <s v="SOUTHCOM"/>
    <x v="66"/>
    <x v="16"/>
    <n v="9"/>
    <x v="4"/>
    <s v="Xu Qiliang"/>
    <m/>
    <s v="PLAAF Commander; CMC Member"/>
    <n v="8"/>
    <x v="1"/>
    <m/>
    <x v="0"/>
    <m/>
    <x v="0"/>
    <m/>
    <m/>
    <m/>
    <m/>
    <m/>
    <s v="Defense White Paper Appendix"/>
    <m/>
  </r>
  <r>
    <x v="1"/>
    <x v="10"/>
    <s v="America and Oceania"/>
    <s v="No Specific Relationship"/>
    <s v="None"/>
    <s v="SOUTHCOM"/>
    <x v="49"/>
    <x v="16"/>
    <n v="9"/>
    <x v="4"/>
    <s v="Zhang Li"/>
    <m/>
    <s v="GLD Deputy Director"/>
    <n v="6"/>
    <x v="1"/>
    <m/>
    <x v="0"/>
    <m/>
    <x v="0"/>
    <m/>
    <m/>
    <m/>
    <m/>
    <m/>
    <s v="Defense White Paper Appendix"/>
    <m/>
  </r>
  <r>
    <x v="1"/>
    <x v="10"/>
    <s v="America and Oceania"/>
    <s v="No Specific Relationship"/>
    <s v="None"/>
    <s v="SOUTHCOM"/>
    <x v="51"/>
    <x v="16"/>
    <n v="9"/>
    <x v="4"/>
    <s v="Ma Xiaotian"/>
    <m/>
    <s v="GSD DCGS"/>
    <n v="6"/>
    <x v="1"/>
    <m/>
    <x v="0"/>
    <m/>
    <x v="0"/>
    <m/>
    <m/>
    <m/>
    <m/>
    <m/>
    <s v="Defense White Paper Appendix"/>
    <m/>
  </r>
  <r>
    <x v="1"/>
    <x v="8"/>
    <s v="Europe and Central Asia"/>
    <s v="No Specific Relationship"/>
    <s v="None"/>
    <s v="EUCOM"/>
    <x v="81"/>
    <x v="16"/>
    <n v="9"/>
    <x v="4"/>
    <s v="Xu Qiliang"/>
    <m/>
    <s v="PLAAF Commander; CMC Member"/>
    <n v="8"/>
    <x v="1"/>
    <m/>
    <x v="0"/>
    <m/>
    <x v="0"/>
    <m/>
    <m/>
    <m/>
    <m/>
    <m/>
    <s v="Defense White Paper Appendix"/>
    <m/>
  </r>
  <r>
    <x v="1"/>
    <x v="8"/>
    <s v="Europe and Central Asia"/>
    <s v="Comprehensive Partnership [全面伙伴关系]"/>
    <s v="NATO"/>
    <s v="EUCOM"/>
    <x v="22"/>
    <x v="16"/>
    <n v="9"/>
    <x v="3"/>
    <s v="Cao Gangchuan"/>
    <m/>
    <s v="CMC Vice Chairman; Defense Minister"/>
    <n v="10"/>
    <x v="2"/>
    <s v="Navy Chief of Staff"/>
    <x v="0"/>
    <m/>
    <x v="0"/>
    <m/>
    <m/>
    <m/>
    <m/>
    <m/>
    <s v="Defense White Paper Appendix"/>
    <m/>
  </r>
  <r>
    <x v="0"/>
    <x v="8"/>
    <s v="Europe and Central Asia"/>
    <s v="Comprehensive Partnership [全面伙伴关系]"/>
    <s v="NATO"/>
    <s v="EUCOM"/>
    <x v="22"/>
    <x v="16"/>
    <n v="9"/>
    <x v="0"/>
    <m/>
    <m/>
    <m/>
    <m/>
    <x v="0"/>
    <m/>
    <x v="0"/>
    <m/>
    <x v="0"/>
    <m/>
    <s v="NETF"/>
    <s v="NETF"/>
    <m/>
    <m/>
    <s v="https://csis-website-prod.s3.amazonaws.com/s3fs-public/legacy_files/files/media/csis/pubs/080507-gill-chinaeuroperelations-web.pdf"/>
    <m/>
  </r>
  <r>
    <x v="1"/>
    <x v="4"/>
    <s v="Asia"/>
    <s v="Partnership of Friendship and Cooperation for Peace and Development [致力于和平发展的友好合作关系]"/>
    <s v="Bilateral Defense Treaty"/>
    <s v="INDOPACOM"/>
    <x v="83"/>
    <x v="16"/>
    <n v="9"/>
    <x v="4"/>
    <s v="Cao Gangchuan"/>
    <m/>
    <s v="CMC Vice Chairman; Defense Minister"/>
    <n v="8"/>
    <x v="1"/>
    <m/>
    <x v="0"/>
    <m/>
    <x v="0"/>
    <m/>
    <m/>
    <m/>
    <m/>
    <m/>
    <s v="Defense White Paper Appendix"/>
    <m/>
  </r>
  <r>
    <x v="1"/>
    <x v="2"/>
    <s v="America and Oceania"/>
    <s v="Strategic Cooperative Partnership [战略合作伙伴关系]"/>
    <s v="None"/>
    <s v="NORTHCOM"/>
    <x v="77"/>
    <x v="16"/>
    <n v="9"/>
    <x v="4"/>
    <s v="Ma Xiaotian"/>
    <m/>
    <s v="GSD DCGS"/>
    <n v="6"/>
    <x v="1"/>
    <m/>
    <x v="0"/>
    <m/>
    <x v="0"/>
    <m/>
    <m/>
    <m/>
    <m/>
    <m/>
    <s v="Defense White Paper Appendix"/>
    <m/>
  </r>
  <r>
    <x v="1"/>
    <x v="1"/>
    <s v="Asia"/>
    <s v="Strategic Cooperative Partnership [战略合作伙伴关系]"/>
    <s v="Bilateral Defense Treaty"/>
    <s v="INDOPACOM"/>
    <x v="11"/>
    <x v="16"/>
    <n v="9"/>
    <x v="4"/>
    <s v="Cao Gangchuan"/>
    <m/>
    <s v="CMC Vice Chairman; Defense Minister"/>
    <n v="8"/>
    <x v="1"/>
    <m/>
    <x v="0"/>
    <m/>
    <x v="0"/>
    <m/>
    <m/>
    <m/>
    <m/>
    <m/>
    <s v="Defense White Paper Appendix"/>
    <m/>
  </r>
  <r>
    <x v="1"/>
    <x v="8"/>
    <s v="Europe and Central Asia"/>
    <s v="No Specific Relationship"/>
    <s v="NATO"/>
    <s v="EUCOM"/>
    <x v="59"/>
    <x v="16"/>
    <n v="9"/>
    <x v="4"/>
    <s v="Zhang Li"/>
    <m/>
    <s v="GLD Deputy Director"/>
    <n v="6"/>
    <x v="1"/>
    <m/>
    <x v="0"/>
    <m/>
    <x v="0"/>
    <m/>
    <m/>
    <m/>
    <m/>
    <m/>
    <s v="Defense White Paper Appendix"/>
    <m/>
  </r>
  <r>
    <x v="2"/>
    <x v="3"/>
    <s v="Europe and Central Asia"/>
    <s v="Strategic Partnership of Coordination [战略协作伙伴关系]"/>
    <s v="None"/>
    <s v="EUCOM"/>
    <x v="7"/>
    <x v="16"/>
    <n v="9"/>
    <x v="5"/>
    <m/>
    <m/>
    <m/>
    <m/>
    <x v="0"/>
    <m/>
    <x v="1"/>
    <s v="Cooperation 2007"/>
    <x v="4"/>
    <s v="Snow Leopard commando unit"/>
    <m/>
    <m/>
    <m/>
    <m/>
    <s v="https://www.jstor.org/stable/resrep11945.11?seq=1#metadata_info_tab_contents"/>
    <m/>
  </r>
  <r>
    <x v="0"/>
    <x v="3"/>
    <s v="Europe and Central Asia"/>
    <s v="Strategic Partnership of Coordination [战略协作伙伴关系]"/>
    <s v="N/A"/>
    <s v="EUCOM"/>
    <x v="7"/>
    <x v="16"/>
    <n v="9"/>
    <x v="0"/>
    <m/>
    <m/>
    <m/>
    <m/>
    <x v="0"/>
    <m/>
    <x v="0"/>
    <m/>
    <x v="0"/>
    <m/>
    <s v="NETF"/>
    <s v="NETF"/>
    <m/>
    <m/>
    <s v="https://csis-website-prod.s3.amazonaws.com/s3fs-public/legacy_files/files/media/csis/pubs/080507-gill-chinaeuroperelations-web.pdf"/>
    <m/>
  </r>
  <r>
    <x v="1"/>
    <x v="7"/>
    <s v="West Asia and Africa"/>
    <s v="No Specific Relationship"/>
    <s v="None"/>
    <s v="AFRICOM"/>
    <x v="139"/>
    <x v="16"/>
    <n v="9"/>
    <x v="3"/>
    <s v="Cao Gangchuan"/>
    <m/>
    <s v="CMC Vice Chairman; Defense Minister"/>
    <n v="10"/>
    <x v="2"/>
    <s v="Commander Defense Force"/>
    <x v="0"/>
    <m/>
    <x v="0"/>
    <m/>
    <m/>
    <m/>
    <m/>
    <m/>
    <s v="Defense White Paper Appendix"/>
    <m/>
  </r>
  <r>
    <x v="0"/>
    <x v="8"/>
    <s v="Europe and Central Asia"/>
    <s v="Comprehensive Strategic Partnership [全面战略伙伴关系]"/>
    <s v="NATO"/>
    <s v="EUCOM"/>
    <x v="70"/>
    <x v="16"/>
    <n v="9"/>
    <x v="0"/>
    <m/>
    <m/>
    <m/>
    <m/>
    <x v="0"/>
    <m/>
    <x v="0"/>
    <m/>
    <x v="0"/>
    <m/>
    <s v="NETF"/>
    <s v="NETF"/>
    <m/>
    <m/>
    <s v="https://csis-website-prod.s3.amazonaws.com/s3fs-public/legacy_files/files/media/csis/pubs/080507-gill-chinaeuroperelations-web.pdf"/>
    <m/>
  </r>
  <r>
    <x v="1"/>
    <x v="7"/>
    <s v="West Asia and Africa"/>
    <s v="No Specific Relationship"/>
    <s v="None"/>
    <s v="AFRICOM"/>
    <x v="97"/>
    <x v="16"/>
    <n v="9"/>
    <x v="3"/>
    <s v="Cao Gangchuan"/>
    <m/>
    <s v="CMC Vice Chairman; Defense Minister"/>
    <n v="8"/>
    <x v="2"/>
    <s v="Commander Defense Force"/>
    <x v="0"/>
    <m/>
    <x v="0"/>
    <m/>
    <m/>
    <m/>
    <m/>
    <m/>
    <s v="Defense White Paper Appendix"/>
    <m/>
  </r>
  <r>
    <x v="0"/>
    <x v="8"/>
    <s v="Europe and Central Asia"/>
    <s v="Comprehensive Strategic Partnership [全面战略伙伴关系]"/>
    <s v="NATO"/>
    <s v="EUCOM"/>
    <x v="21"/>
    <x v="16"/>
    <n v="9"/>
    <x v="0"/>
    <m/>
    <m/>
    <m/>
    <m/>
    <x v="0"/>
    <m/>
    <x v="0"/>
    <m/>
    <x v="0"/>
    <m/>
    <s v="NETF"/>
    <s v="NETF"/>
    <m/>
    <m/>
    <s v="https://csis-website-prod.s3.amazonaws.com/s3fs-public/legacy_files/files/media/csis/pubs/080507-gill-chinaeuroperelations-web.pdf"/>
    <m/>
  </r>
  <r>
    <x v="2"/>
    <x v="5"/>
    <s v="America and Oceania"/>
    <s v="No Specific Relationship"/>
    <s v="ANZUS Treaty"/>
    <s v="INDOPACOM"/>
    <x v="12"/>
    <x v="16"/>
    <n v="10"/>
    <x v="6"/>
    <m/>
    <m/>
    <m/>
    <m/>
    <x v="0"/>
    <m/>
    <x v="2"/>
    <s v="Joint Maritime SAREX"/>
    <x v="2"/>
    <s v="SAREX. Other countries: New Zeland "/>
    <m/>
    <m/>
    <m/>
    <m/>
    <s v="Defense White Paper Appendix"/>
    <m/>
  </r>
  <r>
    <x v="1"/>
    <x v="0"/>
    <s v="Europe and Central Asia"/>
    <s v="Comprehensive Cooperative Partnership [全面合作伙伴关系]"/>
    <s v="Major Non-NATO Ally"/>
    <s v="CENTCOM"/>
    <x v="123"/>
    <x v="16"/>
    <n v="11"/>
    <x v="3"/>
    <s v="Cao Gangchuan"/>
    <m/>
    <s v="CMC Vice Chairman; Defense Minister"/>
    <n v="8"/>
    <x v="2"/>
    <s v="COGS"/>
    <x v="0"/>
    <m/>
    <x v="0"/>
    <m/>
    <m/>
    <m/>
    <m/>
    <m/>
    <s v="Defense White Paper Appendix"/>
    <m/>
  </r>
  <r>
    <x v="1"/>
    <x v="8"/>
    <s v="Europe and Central Asia"/>
    <s v="No Specific Relationship"/>
    <s v="NATO"/>
    <s v="EUCOM"/>
    <x v="79"/>
    <x v="16"/>
    <n v="11"/>
    <x v="4"/>
    <s v="Jing Zhiyuan"/>
    <m/>
    <s v="PLASAF Commander; CMC Member"/>
    <n v="8"/>
    <x v="1"/>
    <m/>
    <x v="0"/>
    <m/>
    <x v="0"/>
    <m/>
    <m/>
    <m/>
    <m/>
    <m/>
    <s v="Defense White Paper Appendix"/>
    <m/>
  </r>
  <r>
    <x v="1"/>
    <x v="9"/>
    <s v="West Asia and Africa"/>
    <s v="Strategic Cooperative Partnership [战略合作伙伴关系]"/>
    <s v="Major Non-NATO Ally"/>
    <s v="CENTCOM"/>
    <x v="24"/>
    <x v="16"/>
    <n v="11"/>
    <x v="4"/>
    <s v="Sun Dafa"/>
    <m/>
    <s v="GLD Political Commissar"/>
    <n v="6"/>
    <x v="1"/>
    <m/>
    <x v="0"/>
    <m/>
    <x v="0"/>
    <m/>
    <m/>
    <m/>
    <m/>
    <m/>
    <s v="Defense White Paper Appendix"/>
    <m/>
  </r>
  <r>
    <x v="1"/>
    <x v="0"/>
    <s v="Asia"/>
    <s v="Strategic Partnership for Peace and Prosperity [战略伙伴关系]"/>
    <s v="None"/>
    <s v="INDOPACOM"/>
    <x v="6"/>
    <x v="16"/>
    <n v="11"/>
    <x v="3"/>
    <s v="Chen Bingde"/>
    <m/>
    <s v="GSD Commander; CMC Member"/>
    <n v="8"/>
    <x v="2"/>
    <s v="Joint Secretary of Ministry of Defense"/>
    <x v="0"/>
    <m/>
    <x v="0"/>
    <m/>
    <m/>
    <m/>
    <m/>
    <m/>
    <s v="Defense White Paper Appendix"/>
    <m/>
  </r>
  <r>
    <x v="1"/>
    <x v="1"/>
    <s v="Asia"/>
    <s v="Strategic Partnership [战略伙伴关系]"/>
    <s v="None"/>
    <s v="INDOPACOM"/>
    <x v="8"/>
    <x v="16"/>
    <n v="11"/>
    <x v="3"/>
    <s v="Cao Gangchuan"/>
    <m/>
    <s v="CMC Vice Chairman; Defense Minister"/>
    <n v="10"/>
    <x v="2"/>
    <s v="Defense Minister"/>
    <x v="0"/>
    <m/>
    <x v="0"/>
    <m/>
    <m/>
    <m/>
    <m/>
    <m/>
    <s v="Defense White Paper Appendix"/>
    <m/>
  </r>
  <r>
    <x v="1"/>
    <x v="7"/>
    <s v="West Asia and Africa"/>
    <s v="No Specific Relationship"/>
    <s v="None"/>
    <s v="AFRICOM"/>
    <x v="140"/>
    <x v="16"/>
    <n v="11"/>
    <x v="3"/>
    <s v="Cao Gangchuan"/>
    <m/>
    <s v="CMC Vice Chairman; Defense Minister"/>
    <n v="8"/>
    <x v="2"/>
    <s v="Defense Minister"/>
    <x v="0"/>
    <m/>
    <x v="0"/>
    <m/>
    <m/>
    <m/>
    <m/>
    <m/>
    <s v="Defense White Paper Appendix"/>
    <m/>
  </r>
  <r>
    <x v="0"/>
    <x v="4"/>
    <s v="Asia"/>
    <s v="Partnership of Friendship and Cooperation for Peace and Development [致力于和平发展的友好合作关系]"/>
    <s v="Bilateral Defense Treaty"/>
    <s v="INDOPACOM"/>
    <x v="83"/>
    <x v="16"/>
    <n v="11"/>
    <x v="0"/>
    <m/>
    <m/>
    <m/>
    <m/>
    <x v="0"/>
    <m/>
    <x v="0"/>
    <m/>
    <x v="0"/>
    <m/>
    <s v="NETF"/>
    <s v="NETF"/>
    <s v="South Sea Fleet"/>
    <s v="Shenzhen"/>
    <s v="http://au.china-embassy.org/eng/xw/t385273.htm"/>
    <m/>
  </r>
  <r>
    <x v="1"/>
    <x v="7"/>
    <s v="West Asia and Africa"/>
    <s v="No Specific Relationship"/>
    <s v="None"/>
    <s v="AFRICOM"/>
    <x v="47"/>
    <x v="16"/>
    <n v="11"/>
    <x v="4"/>
    <s v="Cao Gangchuan"/>
    <m/>
    <s v="CMC Vice Chairman; Defense Minister"/>
    <n v="8"/>
    <x v="1"/>
    <m/>
    <x v="0"/>
    <m/>
    <x v="0"/>
    <m/>
    <m/>
    <m/>
    <m/>
    <m/>
    <s v="Defense White Paper Appendix"/>
    <m/>
  </r>
  <r>
    <x v="1"/>
    <x v="9"/>
    <s v="West Asia and Africa"/>
    <s v="No Specific Relationship"/>
    <s v="Major Non-NATO Ally"/>
    <s v="CENTCOM"/>
    <x v="72"/>
    <x v="16"/>
    <n v="11"/>
    <x v="4"/>
    <s v="Cao Gangchuan"/>
    <m/>
    <s v="CMC Vice Chairman; Defense Minister"/>
    <n v="8"/>
    <x v="1"/>
    <m/>
    <x v="0"/>
    <m/>
    <x v="0"/>
    <m/>
    <m/>
    <m/>
    <m/>
    <m/>
    <s v="Defense White Paper Appendix"/>
    <m/>
  </r>
  <r>
    <x v="1"/>
    <x v="1"/>
    <s v="Asia"/>
    <s v="Comprehensive Cooperative Partnership [全面合作伙伴关系]"/>
    <s v="None"/>
    <s v="INDOPACOM"/>
    <x v="52"/>
    <x v="16"/>
    <n v="11"/>
    <x v="4"/>
    <s v="Li Jinai"/>
    <m/>
    <s v="GPD Director; CMC Member"/>
    <n v="8"/>
    <x v="1"/>
    <m/>
    <x v="0"/>
    <m/>
    <x v="0"/>
    <m/>
    <m/>
    <m/>
    <m/>
    <m/>
    <s v="Defense White Paper Appendix"/>
    <m/>
  </r>
  <r>
    <x v="1"/>
    <x v="10"/>
    <s v="America and Oceania"/>
    <s v="Comprehensive Partnership [全面伙伴关系]"/>
    <s v="None"/>
    <s v="SOUTHCOM"/>
    <x v="54"/>
    <x v="16"/>
    <n v="11"/>
    <x v="3"/>
    <s v="Cao Gangchuan"/>
    <m/>
    <s v="CMC Vice Chairman; Defense Minister"/>
    <n v="8"/>
    <x v="2"/>
    <s v="Defense Minister"/>
    <x v="0"/>
    <m/>
    <x v="0"/>
    <m/>
    <m/>
    <m/>
    <m/>
    <m/>
    <s v="Defense White Paper Appendix"/>
    <m/>
  </r>
  <r>
    <x v="1"/>
    <x v="4"/>
    <s v="Asia"/>
    <s v="Comprehensive Cooperative Partnership [全面合作伙伴关系]"/>
    <s v="Bilateral Defense Treaty"/>
    <s v="INDOPACOM"/>
    <x v="25"/>
    <x v="16"/>
    <n v="11"/>
    <x v="3"/>
    <s v="Cao Gangchuan"/>
    <m/>
    <s v="CMC Vice Chairman; Defense Minister"/>
    <n v="8"/>
    <x v="2"/>
    <s v="Chairman JCS"/>
    <x v="0"/>
    <m/>
    <x v="0"/>
    <m/>
    <m/>
    <m/>
    <m/>
    <m/>
    <s v="Defense White Paper Appendix"/>
    <m/>
  </r>
  <r>
    <x v="1"/>
    <x v="8"/>
    <s v="Europe and Central Asia"/>
    <s v="No Specific Relationship"/>
    <s v="None"/>
    <s v="EUCOM"/>
    <x v="92"/>
    <x v="16"/>
    <n v="11"/>
    <x v="4"/>
    <s v="Jing Zhiyuan"/>
    <m/>
    <s v="PLASAF Commander; CMC Member"/>
    <n v="8"/>
    <x v="1"/>
    <m/>
    <x v="0"/>
    <m/>
    <x v="0"/>
    <m/>
    <m/>
    <m/>
    <m/>
    <m/>
    <s v="Defense White Paper Appendix"/>
    <m/>
  </r>
  <r>
    <x v="1"/>
    <x v="9"/>
    <s v="West Asia and Africa"/>
    <s v="No Specific Relationship"/>
    <s v="None"/>
    <s v="CENTCOM"/>
    <x v="102"/>
    <x v="16"/>
    <n v="11"/>
    <x v="4"/>
    <s v="Sun Dafa"/>
    <m/>
    <s v="GLD Political Commissar"/>
    <n v="6"/>
    <x v="1"/>
    <m/>
    <x v="0"/>
    <m/>
    <x v="0"/>
    <m/>
    <m/>
    <m/>
    <m/>
    <m/>
    <s v="Defense White Paper Appendix"/>
    <m/>
  </r>
  <r>
    <x v="1"/>
    <x v="1"/>
    <s v="Asia"/>
    <s v="Strategic Partnership [战略伙伴关系]"/>
    <s v="Bilateral Defense Treaty"/>
    <s v="INDOPACOM"/>
    <x v="5"/>
    <x v="16"/>
    <n v="11"/>
    <x v="4"/>
    <s v="Cao Gangchuan"/>
    <m/>
    <s v="CMC Vice Chairman; Defense Minister"/>
    <n v="8"/>
    <x v="2"/>
    <s v="Supreme Commander Armed Forces"/>
    <x v="0"/>
    <m/>
    <x v="0"/>
    <m/>
    <m/>
    <m/>
    <m/>
    <m/>
    <s v="Defense White Paper Appendix"/>
    <m/>
  </r>
  <r>
    <x v="1"/>
    <x v="6"/>
    <s v="Europe and Central Asia"/>
    <s v="No Specific Relationship"/>
    <s v="None"/>
    <s v="CENTCOM"/>
    <x v="55"/>
    <x v="16"/>
    <n v="11"/>
    <x v="3"/>
    <s v="Cao Gangchuan"/>
    <m/>
    <s v="CMC Vice Chairman; Defense Minister"/>
    <n v="6"/>
    <x v="2"/>
    <s v="Army Commander"/>
    <x v="0"/>
    <m/>
    <x v="0"/>
    <m/>
    <m/>
    <m/>
    <m/>
    <m/>
    <s v="https://dlib.eastview.com/browse/doc/24526495"/>
    <m/>
  </r>
  <r>
    <x v="1"/>
    <x v="2"/>
    <s v="America and Oceania"/>
    <s v="No Specific Relationship"/>
    <s v="N/A"/>
    <s v="NORTHCOM"/>
    <x v="4"/>
    <x v="16"/>
    <n v="11"/>
    <x v="3"/>
    <s v="Xu Caihou"/>
    <m/>
    <s v="CMC Vice Chairman"/>
    <n v="10"/>
    <x v="2"/>
    <s v="Secretary of Defense"/>
    <x v="0"/>
    <m/>
    <x v="0"/>
    <m/>
    <m/>
    <m/>
    <m/>
    <m/>
    <s v="Defense White Paper Appendix"/>
    <m/>
  </r>
  <r>
    <x v="1"/>
    <x v="1"/>
    <s v="Asia"/>
    <s v="No Specific Relationship"/>
    <s v="None"/>
    <s v="INDOPACOM"/>
    <x v="23"/>
    <x v="16"/>
    <n v="11"/>
    <x v="4"/>
    <s v="Li Jinai"/>
    <m/>
    <s v="GPD Director; CMC Member"/>
    <n v="8"/>
    <x v="1"/>
    <m/>
    <x v="0"/>
    <m/>
    <x v="0"/>
    <m/>
    <m/>
    <m/>
    <m/>
    <m/>
    <s v="Defense White Paper Appendix"/>
    <m/>
  </r>
  <r>
    <x v="1"/>
    <x v="7"/>
    <s v="West Asia and Africa"/>
    <s v="No Specific Relationship"/>
    <s v="None"/>
    <s v="AFRICOM"/>
    <x v="87"/>
    <x v="16"/>
    <n v="12"/>
    <x v="3"/>
    <s v="Cao Gangchuan"/>
    <m/>
    <s v="CMC Vice Chairman; Defense Minister"/>
    <n v="10"/>
    <x v="2"/>
    <s v="Defense Minister"/>
    <x v="0"/>
    <m/>
    <x v="0"/>
    <m/>
    <m/>
    <m/>
    <m/>
    <m/>
    <s v="Defense White Paper Appendix"/>
    <m/>
  </r>
  <r>
    <x v="2"/>
    <x v="0"/>
    <s v="Asia"/>
    <s v="Strategic Partnership for Peace and Prosperity [战略伙伴关系]"/>
    <s v="None"/>
    <s v="INDOPACOM"/>
    <x v="6"/>
    <x v="16"/>
    <n v="12"/>
    <x v="5"/>
    <m/>
    <m/>
    <m/>
    <m/>
    <x v="0"/>
    <m/>
    <x v="1"/>
    <s v="Hand-in-Hand 2007"/>
    <x v="1"/>
    <s v="Anti-terrorism"/>
    <m/>
    <m/>
    <m/>
    <m/>
    <s v="Defense White Paper Appendix"/>
    <m/>
  </r>
  <r>
    <x v="1"/>
    <x v="9"/>
    <s v="West Asia and Africa"/>
    <s v="No Specific Relationship"/>
    <s v="Major Non-NATO Ally"/>
    <s v="CENTCOM"/>
    <x v="100"/>
    <x v="16"/>
    <n v="12"/>
    <x v="4"/>
    <s v="Ma Xiaotian"/>
    <m/>
    <s v="GSD DCGS"/>
    <n v="6"/>
    <x v="1"/>
    <m/>
    <x v="0"/>
    <m/>
    <x v="0"/>
    <m/>
    <m/>
    <m/>
    <m/>
    <m/>
    <s v="Defense White Paper Appendix"/>
    <m/>
  </r>
  <r>
    <x v="1"/>
    <x v="9"/>
    <s v="West Asia and Africa"/>
    <s v="No Specific Relationship"/>
    <s v="Major Non-NATO Ally"/>
    <s v="CENTCOM"/>
    <x v="101"/>
    <x v="16"/>
    <n v="12"/>
    <x v="4"/>
    <s v="Fu Tinggui"/>
    <m/>
    <s v="Beijing MR Political Commissar"/>
    <n v="6"/>
    <x v="1"/>
    <m/>
    <x v="0"/>
    <m/>
    <x v="0"/>
    <m/>
    <m/>
    <m/>
    <m/>
    <m/>
    <s v="Defense White Paper Appendix"/>
    <m/>
  </r>
  <r>
    <x v="1"/>
    <x v="7"/>
    <s v="West Asia and Africa"/>
    <s v="No Specific Relationship"/>
    <s v="None"/>
    <s v="AFRICOM"/>
    <x v="141"/>
    <x v="16"/>
    <n v="12"/>
    <x v="4"/>
    <s v="Fu Tinggui"/>
    <m/>
    <s v="Beijing MR Political Commissar"/>
    <n v="6"/>
    <x v="1"/>
    <m/>
    <x v="0"/>
    <m/>
    <x v="0"/>
    <m/>
    <m/>
    <m/>
    <m/>
    <m/>
    <s v="Defense White Paper Appendix"/>
    <m/>
  </r>
  <r>
    <x v="1"/>
    <x v="1"/>
    <s v="Asia"/>
    <s v="Strategic Cooperative Partnership [战略合作伙伴关系]"/>
    <s v="None"/>
    <s v="INDOPACOM"/>
    <x v="10"/>
    <x v="16"/>
    <n v="12"/>
    <x v="4"/>
    <s v="Zhang Li"/>
    <m/>
    <s v="GLD Deputy Director"/>
    <n v="6"/>
    <x v="1"/>
    <m/>
    <x v="0"/>
    <m/>
    <x v="0"/>
    <m/>
    <m/>
    <m/>
    <m/>
    <m/>
    <s v="Defense White Paper Appendix"/>
    <m/>
  </r>
  <r>
    <x v="1"/>
    <x v="7"/>
    <s v="West Asia and Africa"/>
    <s v="No Specific Relationship"/>
    <s v="Major Non-NATO Ally"/>
    <s v="AFRICOM"/>
    <x v="27"/>
    <x v="16"/>
    <n v="12"/>
    <x v="3"/>
    <s v="Chen Bingde"/>
    <m/>
    <s v="GAD Director; CMC Member"/>
    <n v="8"/>
    <x v="2"/>
    <s v="Inspector of Navy"/>
    <x v="0"/>
    <m/>
    <x v="0"/>
    <m/>
    <m/>
    <m/>
    <m/>
    <m/>
    <s v="Defense White Paper Appendix"/>
    <m/>
  </r>
  <r>
    <x v="1"/>
    <x v="8"/>
    <s v="Europe and Central Asia"/>
    <s v="Comprehensive Friendly Cooperative Partnership [全面友好合作伙伴关系]"/>
    <s v="NATO"/>
    <s v="EUCOM"/>
    <x v="33"/>
    <x v="16"/>
    <n v="12"/>
    <x v="3"/>
    <s v="Chen Bingde"/>
    <m/>
    <s v="GSD Commander; CMC Member"/>
    <n v="8"/>
    <x v="2"/>
    <s v="Army Chief of Staff"/>
    <x v="0"/>
    <m/>
    <x v="0"/>
    <m/>
    <m/>
    <m/>
    <m/>
    <m/>
    <s v="https://dlib.eastview.com/browse/doc/14723065"/>
    <m/>
  </r>
  <r>
    <x v="1"/>
    <x v="8"/>
    <s v="Europe and Central Asia"/>
    <s v="No Specific Relationship"/>
    <s v="NATO"/>
    <s v="EUCOM"/>
    <x v="38"/>
    <x v="16"/>
    <n v="12"/>
    <x v="4"/>
    <s v="Zhang Li"/>
    <m/>
    <s v="GLD Deputy Director"/>
    <n v="6"/>
    <x v="1"/>
    <m/>
    <x v="0"/>
    <m/>
    <x v="0"/>
    <m/>
    <m/>
    <m/>
    <m/>
    <m/>
    <s v="Defense White Paper Appendix"/>
    <m/>
  </r>
  <r>
    <x v="1"/>
    <x v="8"/>
    <s v="Europe and Central Asia"/>
    <s v="No Specific Relationship"/>
    <s v="None"/>
    <s v="EUCOM"/>
    <x v="26"/>
    <x v="16"/>
    <n v="12"/>
    <x v="3"/>
    <s v="Cao Gangchuan"/>
    <m/>
    <s v="CMC Vice Chairman; Defense Minister"/>
    <n v="10"/>
    <x v="2"/>
    <s v="Commander Defense Force"/>
    <x v="0"/>
    <m/>
    <x v="0"/>
    <m/>
    <m/>
    <m/>
    <m/>
    <m/>
    <s v="Defense White Paper Appendix"/>
    <m/>
  </r>
  <r>
    <x v="1"/>
    <x v="2"/>
    <s v="America and Oceania"/>
    <s v="No Specific Relationship"/>
    <s v="N/A"/>
    <s v="NORTHCOM"/>
    <x v="4"/>
    <x v="16"/>
    <n v="12"/>
    <x v="4"/>
    <s v="Jing Zhiyuan"/>
    <m/>
    <s v="PLASAF Commander; CMC Member"/>
    <n v="8"/>
    <x v="2"/>
    <s v="Chairman Armed Services Committee US House of Representatives"/>
    <x v="0"/>
    <m/>
    <x v="0"/>
    <m/>
    <m/>
    <m/>
    <m/>
    <m/>
    <s v="Defense White Paper Appendix"/>
    <m/>
  </r>
  <r>
    <x v="1"/>
    <x v="1"/>
    <s v="Asia"/>
    <s v="No Specific Relationship"/>
    <s v="None"/>
    <s v="INDOPACOM"/>
    <x v="44"/>
    <x v="17"/>
    <n v="1"/>
    <x v="4"/>
    <s v="Cao Gangchuan"/>
    <m/>
    <s v="CMC Vice Chairman; Defense Minister"/>
    <n v="8"/>
    <x v="1"/>
    <m/>
    <x v="0"/>
    <m/>
    <x v="0"/>
    <m/>
    <m/>
    <m/>
    <m/>
    <m/>
    <s v="Defense White Paper Appendix"/>
    <m/>
  </r>
  <r>
    <x v="1"/>
    <x v="1"/>
    <s v="Asia"/>
    <s v="Strategic Partnership [战略伙伴关系]"/>
    <s v="None"/>
    <s v="INDOPACOM"/>
    <x v="8"/>
    <x v="17"/>
    <n v="1"/>
    <x v="4"/>
    <s v="Cao Gangchuan"/>
    <m/>
    <s v="CMC Vice Chairman; Defense Minister"/>
    <n v="8"/>
    <x v="1"/>
    <m/>
    <x v="0"/>
    <m/>
    <x v="0"/>
    <m/>
    <m/>
    <m/>
    <m/>
    <m/>
    <s v="Defense White Paper Appendix"/>
    <m/>
  </r>
  <r>
    <x v="1"/>
    <x v="0"/>
    <s v="Asia"/>
    <s v="Good-Neighborly Partnership [世代友好的睦邻伙伴关系]"/>
    <s v="None"/>
    <s v="INDOPACOM"/>
    <x v="32"/>
    <x v="17"/>
    <n v="1"/>
    <x v="3"/>
    <s v="Cao Gangchuan"/>
    <m/>
    <s v="CMC Vice Chairman; Defense Minister"/>
    <n v="8"/>
    <x v="2"/>
    <s v="Chief of Army Staff"/>
    <x v="0"/>
    <m/>
    <x v="0"/>
    <m/>
    <m/>
    <m/>
    <m/>
    <m/>
    <s v="Defense White Paper Appendix"/>
    <s v="Recoded as South Asia"/>
  </r>
  <r>
    <x v="1"/>
    <x v="9"/>
    <s v="West Asia and Africa"/>
    <s v="No Specific Relationship"/>
    <s v="None"/>
    <s v="CENTCOM"/>
    <x v="142"/>
    <x v="17"/>
    <n v="1"/>
    <x v="4"/>
    <s v="Cao Gangchuan"/>
    <m/>
    <s v="CMC Vice Chairman; Defense Minister"/>
    <n v="8"/>
    <x v="1"/>
    <m/>
    <x v="0"/>
    <m/>
    <x v="0"/>
    <m/>
    <m/>
    <m/>
    <m/>
    <m/>
    <s v="Defense White Paper Appendix"/>
    <m/>
  </r>
  <r>
    <x v="1"/>
    <x v="1"/>
    <s v="Asia"/>
    <s v="No Specific Relationship"/>
    <s v="None"/>
    <s v="INDOPACOM"/>
    <x v="39"/>
    <x v="17"/>
    <n v="1"/>
    <x v="3"/>
    <s v="Cao Gangchuan"/>
    <m/>
    <s v="CMC Vice Chairman; Defense Minister"/>
    <n v="8"/>
    <x v="2"/>
    <s v="Permanent Secretary of Ministry of Defense"/>
    <x v="0"/>
    <m/>
    <x v="0"/>
    <m/>
    <m/>
    <m/>
    <m/>
    <m/>
    <s v="Defense White Paper Appendix"/>
    <m/>
  </r>
  <r>
    <x v="1"/>
    <x v="4"/>
    <s v="Asia"/>
    <s v="Strategic Cooperative Partnership [战略合作伙伴关系]"/>
    <s v="Bilateral Defense Treaty"/>
    <s v="INDOPACOM"/>
    <x v="25"/>
    <x v="17"/>
    <n v="1"/>
    <x v="3"/>
    <s v="Chen Xiaogong "/>
    <m/>
    <s v="GSD DCGS"/>
    <n v="6"/>
    <x v="2"/>
    <s v="Army COGS"/>
    <x v="0"/>
    <m/>
    <x v="0"/>
    <m/>
    <m/>
    <m/>
    <m/>
    <m/>
    <s v="https://dlib.eastview.com/browse/doc/18636239"/>
    <m/>
  </r>
  <r>
    <x v="1"/>
    <x v="2"/>
    <s v="America and Oceania"/>
    <s v="No Specific Relationship"/>
    <s v="N/A"/>
    <s v="NORTHCOM"/>
    <x v="4"/>
    <x v="17"/>
    <n v="1"/>
    <x v="3"/>
    <s v="Chen Bingde"/>
    <m/>
    <s v="GSD Commander; CMC Member"/>
    <n v="8"/>
    <x v="2"/>
    <s v="PACOM Commander"/>
    <x v="0"/>
    <m/>
    <x v="0"/>
    <m/>
    <m/>
    <m/>
    <m/>
    <m/>
    <s v="Defense White Paper Appendix"/>
    <m/>
  </r>
  <r>
    <x v="1"/>
    <x v="4"/>
    <s v="Asia"/>
    <s v="Mutually Beneficial Strategic Relationship [战略互惠关系]"/>
    <s v="Bilateral Defense Treaty"/>
    <s v="INDOPACOM"/>
    <x v="83"/>
    <x v="17"/>
    <n v="2"/>
    <x v="3"/>
    <s v="Cao Gangchuan"/>
    <m/>
    <s v="CMC Vice Chairman; Defense Minister"/>
    <n v="8"/>
    <x v="2"/>
    <s v="JCS"/>
    <x v="0"/>
    <m/>
    <x v="0"/>
    <m/>
    <m/>
    <m/>
    <m/>
    <m/>
    <s v="Defense White Paper Appendix"/>
    <m/>
  </r>
  <r>
    <x v="1"/>
    <x v="8"/>
    <s v="Europe and Central Asia"/>
    <s v="No Specific Relationship"/>
    <s v="None"/>
    <s v="EUCOM"/>
    <x v="78"/>
    <x v="17"/>
    <n v="2"/>
    <x v="3"/>
    <s v="Cao Gangchuan"/>
    <m/>
    <s v="CMC Vice Chairman; Defense Minister"/>
    <n v="8"/>
    <x v="2"/>
    <s v="Secretary General of Federal Department of Defense"/>
    <x v="0"/>
    <m/>
    <x v="0"/>
    <m/>
    <m/>
    <m/>
    <m/>
    <m/>
    <s v="Defense White Paper Appendix"/>
    <m/>
  </r>
  <r>
    <x v="1"/>
    <x v="8"/>
    <s v="Europe and Central Asia"/>
    <s v="Strategic Partnership [战略伙伴关系]"/>
    <s v="NATO"/>
    <s v="EUCOM"/>
    <x v="34"/>
    <x v="17"/>
    <n v="3"/>
    <x v="3"/>
    <s v="Cao Gangchuan"/>
    <m/>
    <s v="CMC Vice Chairman; Defense Minister"/>
    <n v="8"/>
    <x v="2"/>
    <s v="Defense Minister"/>
    <x v="0"/>
    <m/>
    <x v="0"/>
    <m/>
    <m/>
    <m/>
    <m/>
    <m/>
    <s v="Defense White Paper Appendix"/>
    <m/>
  </r>
  <r>
    <x v="1"/>
    <x v="7"/>
    <s v="West Asia and Africa"/>
    <s v="No Specific Relationship"/>
    <s v="None"/>
    <s v="AFRICOM"/>
    <x v="143"/>
    <x v="17"/>
    <n v="3"/>
    <x v="3"/>
    <s v="Liang Guanglie"/>
    <m/>
    <s v="Defense Minister; CMC Member"/>
    <n v="8"/>
    <x v="2"/>
    <s v="Defense Minister"/>
    <x v="0"/>
    <m/>
    <x v="0"/>
    <m/>
    <m/>
    <m/>
    <m/>
    <m/>
    <s v="Defense White Paper Appendix"/>
    <m/>
  </r>
  <r>
    <x v="1"/>
    <x v="8"/>
    <s v="Europe and Central Asia"/>
    <s v="No Specific Relationship"/>
    <s v="None"/>
    <s v="EUCOM"/>
    <x v="79"/>
    <x v="17"/>
    <n v="4"/>
    <x v="4"/>
    <s v="Wang Guosheng"/>
    <m/>
    <s v="Lanzhou MR Commander"/>
    <n v="6"/>
    <x v="1"/>
    <m/>
    <x v="0"/>
    <m/>
    <x v="0"/>
    <m/>
    <m/>
    <m/>
    <m/>
    <m/>
    <s v="Defense White Paper Appendix"/>
    <m/>
  </r>
  <r>
    <x v="1"/>
    <x v="1"/>
    <s v="Asia"/>
    <s v="Strategic Cooperative Partnership [战略合作伙伴关系]"/>
    <s v="None"/>
    <s v="INDOPACOM"/>
    <x v="10"/>
    <x v="17"/>
    <n v="4"/>
    <x v="3"/>
    <s v="Liang Guanglie"/>
    <m/>
    <s v="Defense Minister; CMC Member"/>
    <n v="8"/>
    <x v="2"/>
    <s v="Air Force Commander"/>
    <x v="0"/>
    <m/>
    <x v="0"/>
    <m/>
    <m/>
    <m/>
    <m/>
    <m/>
    <s v="Defense White Paper Appendix"/>
    <m/>
  </r>
  <r>
    <x v="1"/>
    <x v="4"/>
    <s v="Asia"/>
    <s v="Bilateral Defense Treaty"/>
    <s v="None"/>
    <s v="INDOPACOM"/>
    <x v="9"/>
    <x v="17"/>
    <n v="4"/>
    <x v="3"/>
    <s v="Liang Guanglie"/>
    <m/>
    <s v="Defense Minister; CMC Member"/>
    <n v="8"/>
    <x v="2"/>
    <s v="Chief of Air Force"/>
    <x v="0"/>
    <m/>
    <x v="0"/>
    <m/>
    <m/>
    <m/>
    <m/>
    <m/>
    <s v="Defense White Paper Appendix"/>
    <m/>
  </r>
  <r>
    <x v="1"/>
    <x v="0"/>
    <s v="Asia"/>
    <s v="Strategic Partnership [战略伙伴关系]"/>
    <s v="Major Non-NATO Ally"/>
    <s v="CENTCOM"/>
    <x v="2"/>
    <x v="17"/>
    <n v="4"/>
    <x v="3"/>
    <s v="Liang Guanglie"/>
    <m/>
    <s v="Defense Minister; CMC Member"/>
    <n v="8"/>
    <x v="2"/>
    <s v="Chief of Air Staff"/>
    <x v="0"/>
    <m/>
    <x v="0"/>
    <m/>
    <m/>
    <m/>
    <m/>
    <m/>
    <s v="Defense White Paper Appendix"/>
    <m/>
  </r>
  <r>
    <x v="1"/>
    <x v="8"/>
    <s v="Europe and Central Asia"/>
    <s v="Comprehensive Friendly Cooperative Partnership [全面友好合作伙伴关系]"/>
    <s v="NATO"/>
    <s v="EUCOM"/>
    <x v="33"/>
    <x v="17"/>
    <n v="4"/>
    <x v="4"/>
    <s v="Wang Guosheng"/>
    <m/>
    <s v="Lanzhou MR Commander"/>
    <n v="6"/>
    <x v="1"/>
    <m/>
    <x v="0"/>
    <m/>
    <x v="0"/>
    <m/>
    <m/>
    <m/>
    <m/>
    <m/>
    <s v="Defense White Paper Appendix"/>
    <m/>
  </r>
  <r>
    <x v="1"/>
    <x v="3"/>
    <s v="Europe and Central Asia"/>
    <s v="Strategic Partnership of Coordination [战略协作伙伴关系]"/>
    <s v="None"/>
    <s v="EUCOM"/>
    <x v="7"/>
    <x v="17"/>
    <n v="4"/>
    <x v="3"/>
    <s v="Liang Guanglie"/>
    <m/>
    <s v="Defense Minister; CMC Member"/>
    <n v="8"/>
    <x v="2"/>
    <s v="Chairman State Duma Defense Committee"/>
    <x v="0"/>
    <m/>
    <x v="0"/>
    <m/>
    <m/>
    <m/>
    <m/>
    <m/>
    <s v="Defense White Paper Appendix"/>
    <m/>
  </r>
  <r>
    <x v="1"/>
    <x v="4"/>
    <s v="Asia"/>
    <s v="Strategic Cooperative Partnership [战略合作伙伴关系]"/>
    <s v="Bilateral Defense Treaty"/>
    <s v="INDOPACOM"/>
    <x v="25"/>
    <x v="17"/>
    <n v="4"/>
    <x v="4"/>
    <s v="Liu Dongdong"/>
    <m/>
    <s v="Jinan MR Political Commissar"/>
    <n v="6"/>
    <x v="1"/>
    <m/>
    <x v="0"/>
    <m/>
    <x v="0"/>
    <m/>
    <m/>
    <m/>
    <m/>
    <m/>
    <s v="Defense White Paper Appendix"/>
    <m/>
  </r>
  <r>
    <x v="1"/>
    <x v="8"/>
    <s v="Europe and Central Asia"/>
    <s v="Comprehensive Strategic Partnership [全面战略伙伴关系]"/>
    <s v="NATO"/>
    <s v="EUCOM"/>
    <x v="70"/>
    <x v="17"/>
    <n v="4"/>
    <x v="3"/>
    <s v="Liang Guanglie"/>
    <m/>
    <s v="Defense Minister; CMC Member"/>
    <n v="8"/>
    <x v="2"/>
    <s v="Chief of Naval Staff"/>
    <x v="0"/>
    <m/>
    <x v="0"/>
    <m/>
    <m/>
    <m/>
    <m/>
    <m/>
    <s v="Defense White Paper Appendix"/>
    <m/>
  </r>
  <r>
    <x v="1"/>
    <x v="2"/>
    <s v="America and Oceania"/>
    <s v="No Specific Relationship"/>
    <s v="N/A"/>
    <s v="NORTHCOM"/>
    <x v="4"/>
    <x v="17"/>
    <n v="4"/>
    <x v="3"/>
    <s v="Liang Guanglie"/>
    <m/>
    <s v="Defense Minister; CMC Member"/>
    <n v="8"/>
    <x v="2"/>
    <s v="Commandant, USMC"/>
    <x v="0"/>
    <m/>
    <x v="0"/>
    <m/>
    <m/>
    <m/>
    <m/>
    <m/>
    <s v="Defense White Paper Appendix"/>
    <m/>
  </r>
  <r>
    <x v="1"/>
    <x v="10"/>
    <s v="America and Oceania"/>
    <s v="Comprehensive Partnership [全面伙伴关系]"/>
    <s v="None"/>
    <s v="SOUTHCOM"/>
    <x v="66"/>
    <x v="17"/>
    <n v="5"/>
    <x v="3"/>
    <s v="Liang Guanglie"/>
    <m/>
    <s v="Defense Minister; CMC Member"/>
    <n v="8"/>
    <x v="2"/>
    <s v="Air Force Commander"/>
    <x v="0"/>
    <m/>
    <x v="0"/>
    <m/>
    <m/>
    <m/>
    <m/>
    <m/>
    <s v="Defense White Paper Appendix"/>
    <m/>
  </r>
  <r>
    <x v="1"/>
    <x v="1"/>
    <s v="Asia"/>
    <s v="No Specific Relationship"/>
    <s v="None"/>
    <s v="INDOPACOM"/>
    <x v="137"/>
    <x v="17"/>
    <n v="5"/>
    <x v="1"/>
    <s v="Ma Xiaotian"/>
    <m/>
    <s v="GSD DCGS"/>
    <n v="6"/>
    <x v="1"/>
    <s v="7th Shangri-La Dialogue"/>
    <x v="0"/>
    <m/>
    <x v="0"/>
    <m/>
    <m/>
    <m/>
    <m/>
    <m/>
    <s v="Defense White Paper Appendix"/>
    <m/>
  </r>
  <r>
    <x v="1"/>
    <x v="1"/>
    <s v="America and Oceania"/>
    <s v="No Specific Relationship"/>
    <s v="None"/>
    <s v="INDOPACOM"/>
    <x v="122"/>
    <x v="17"/>
    <n v="5"/>
    <x v="3"/>
    <s v="Liang Guanglie"/>
    <m/>
    <s v="Defense Minister; CMC Member"/>
    <n v="8"/>
    <x v="2"/>
    <s v="Defense Minister"/>
    <x v="0"/>
    <m/>
    <x v="0"/>
    <m/>
    <m/>
    <m/>
    <m/>
    <m/>
    <s v="Defense White Paper Appendix"/>
    <m/>
  </r>
  <r>
    <x v="1"/>
    <x v="6"/>
    <s v="Europe and Central Asia"/>
    <s v="Member"/>
    <s v="None"/>
    <s v="CENTCOM"/>
    <x v="14"/>
    <x v="17"/>
    <n v="5"/>
    <x v="1"/>
    <s v="Liang Guanglie"/>
    <m/>
    <s v="Defense Minister; CMC Member"/>
    <n v="8"/>
    <x v="1"/>
    <s v="Sixth official meeting of the SCO Ministers' of Defense in Tajikistan; Other countries: Kazakhstan, Kyrgyztan, Russia, Tajikistan, Uzbekistan"/>
    <x v="0"/>
    <m/>
    <x v="0"/>
    <m/>
    <m/>
    <m/>
    <m/>
    <m/>
    <s v="https://www.fmprc.gov.cn/mfa_eng/wjdt_665385/2649_665393/t355665.shtml"/>
    <m/>
  </r>
  <r>
    <x v="1"/>
    <x v="1"/>
    <s v="Asia"/>
    <s v="No Specific Relationship"/>
    <s v="None"/>
    <s v="INDOPACOM"/>
    <x v="39"/>
    <x v="17"/>
    <n v="5"/>
    <x v="4"/>
    <s v="Ma Xiaotian"/>
    <m/>
    <s v="GSD DCGS"/>
    <n v="6"/>
    <x v="1"/>
    <s v="Defense Minister"/>
    <x v="0"/>
    <m/>
    <x v="0"/>
    <m/>
    <m/>
    <m/>
    <m/>
    <m/>
    <s v="Defense White Paper Appendix"/>
    <m/>
  </r>
  <r>
    <x v="1"/>
    <x v="10"/>
    <s v="America and Oceania"/>
    <s v="No Specific Relationship"/>
    <s v="None"/>
    <s v="SOUTHCOM"/>
    <x v="91"/>
    <x v="17"/>
    <n v="5"/>
    <x v="3"/>
    <s v="Qi Jianguo"/>
    <m/>
    <s v="GSD Assistant Commander"/>
    <n v="5"/>
    <x v="2"/>
    <s v="Defense Minister"/>
    <x v="0"/>
    <m/>
    <x v="0"/>
    <m/>
    <m/>
    <m/>
    <m/>
    <m/>
    <s v="Defense White Paper Appendix"/>
    <m/>
  </r>
  <r>
    <x v="1"/>
    <x v="6"/>
    <s v="Europe and Central Asia"/>
    <s v="No Specific Relationship"/>
    <s v="None"/>
    <s v="CENTCOM"/>
    <x v="60"/>
    <x v="17"/>
    <n v="5"/>
    <x v="4"/>
    <s v="Liang Guanglie"/>
    <m/>
    <s v="Defense Minister; CMC Member"/>
    <n v="8"/>
    <x v="1"/>
    <m/>
    <x v="0"/>
    <m/>
    <x v="0"/>
    <m/>
    <m/>
    <m/>
    <m/>
    <m/>
    <s v="Defense White Paper Appendix"/>
    <m/>
  </r>
  <r>
    <x v="1"/>
    <x v="5"/>
    <s v="America and Oceania"/>
    <s v="No Specific Relationship"/>
    <s v="None"/>
    <s v="INDOPACOM"/>
    <x v="144"/>
    <x v="17"/>
    <n v="5"/>
    <x v="3"/>
    <s v="Liang Guanglie"/>
    <m/>
    <s v="Defense Minister; CMC Member"/>
    <n v="8"/>
    <x v="2"/>
    <s v="Defense Minister"/>
    <x v="0"/>
    <m/>
    <x v="0"/>
    <m/>
    <m/>
    <m/>
    <m/>
    <m/>
    <s v="Defense White Paper Appendix"/>
    <m/>
  </r>
  <r>
    <x v="1"/>
    <x v="9"/>
    <s v="West Asia and Africa"/>
    <s v="Strategic Cooperative Partnership [战略合作伙伴关系]"/>
    <s v="Major Non-NATO Ally"/>
    <s v="CENTCOM"/>
    <x v="24"/>
    <x v="17"/>
    <n v="6"/>
    <x v="3"/>
    <s v="Liang Guanglie"/>
    <m/>
    <s v="Defense Minister; CMC Member"/>
    <n v="8"/>
    <x v="2"/>
    <s v="COGS"/>
    <x v="0"/>
    <m/>
    <x v="0"/>
    <m/>
    <m/>
    <m/>
    <m/>
    <m/>
    <s v="Defense White Paper Appendix"/>
    <m/>
  </r>
  <r>
    <x v="1"/>
    <x v="8"/>
    <s v="Europe and Central Asia"/>
    <s v="No Specific Relationship"/>
    <s v="None"/>
    <s v="EUCOM"/>
    <x v="81"/>
    <x v="17"/>
    <n v="6"/>
    <x v="3"/>
    <s v="Liang Guanglie"/>
    <m/>
    <s v="Defense Minister; CMC Member"/>
    <n v="8"/>
    <x v="2"/>
    <s v="Defense Minister"/>
    <x v="0"/>
    <m/>
    <x v="0"/>
    <m/>
    <m/>
    <m/>
    <m/>
    <m/>
    <s v="Defense White Paper Appendix"/>
    <m/>
  </r>
  <r>
    <x v="1"/>
    <x v="8"/>
    <s v="Europe and Central Asia"/>
    <s v="Comprehensive Friendly Cooperative Partnership [全面友好合作伙伴关系]"/>
    <s v="NATO"/>
    <s v="EUCOM"/>
    <x v="33"/>
    <x v="17"/>
    <n v="6"/>
    <x v="3"/>
    <s v="Liang Guanglie"/>
    <m/>
    <s v="GSD Commander; CMC Member"/>
    <n v="8"/>
    <x v="2"/>
    <s v="Defense Minister"/>
    <x v="0"/>
    <m/>
    <x v="0"/>
    <m/>
    <m/>
    <m/>
    <m/>
    <m/>
    <s v="https://dlib.eastview.com/browse/doc/17685252"/>
    <m/>
  </r>
  <r>
    <x v="1"/>
    <x v="2"/>
    <s v="America and Oceania"/>
    <s v="No Specific Relationship"/>
    <s v="N/A"/>
    <s v="NORTHCOM"/>
    <x v="4"/>
    <x v="17"/>
    <n v="6"/>
    <x v="3"/>
    <s v="Xu Caihou"/>
    <m/>
    <s v="CMC Vice Chairman"/>
    <n v="10"/>
    <x v="2"/>
    <s v="former Secretary of Defense"/>
    <x v="0"/>
    <m/>
    <x v="0"/>
    <m/>
    <m/>
    <m/>
    <m/>
    <m/>
    <s v="Defense White Paper Appendix"/>
    <m/>
  </r>
  <r>
    <x v="1"/>
    <x v="5"/>
    <s v="America and Oceania"/>
    <s v="No Specific Relationship"/>
    <s v="ANZUS Treaty"/>
    <s v="INDOPACOM"/>
    <x v="12"/>
    <x v="17"/>
    <n v="7"/>
    <x v="3"/>
    <s v="Guo Boxiong"/>
    <m/>
    <s v="CMC Vice Chairman"/>
    <n v="10"/>
    <x v="2"/>
    <s v="Commander ADF"/>
    <x v="0"/>
    <m/>
    <x v="0"/>
    <m/>
    <m/>
    <m/>
    <m/>
    <m/>
    <s v="Defense White Paper Appendix"/>
    <m/>
  </r>
  <r>
    <x v="1"/>
    <x v="8"/>
    <s v="Europe and Central Asia"/>
    <s v="No Specific Relationship"/>
    <s v="None"/>
    <s v="EUCOM"/>
    <x v="79"/>
    <x v="17"/>
    <n v="7"/>
    <x v="3"/>
    <s v="Chen Xiaogong "/>
    <m/>
    <s v="GSD Assistant Commander"/>
    <n v="6"/>
    <x v="2"/>
    <s v="Chief of Army Staff"/>
    <x v="0"/>
    <m/>
    <x v="0"/>
    <m/>
    <m/>
    <m/>
    <m/>
    <m/>
    <s v="Defense White Paper Appendix"/>
    <m/>
  </r>
  <r>
    <x v="1"/>
    <x v="10"/>
    <s v="America and Oceania"/>
    <s v="No Specific Relationship"/>
    <s v="None"/>
    <s v="SOUTHCOM"/>
    <x v="88"/>
    <x v="17"/>
    <n v="7"/>
    <x v="3"/>
    <s v="Liang Guanglie"/>
    <m/>
    <s v="Defense Minister; CMC Member"/>
    <n v="8"/>
    <x v="2"/>
    <s v="Chief of Staff Defense Force"/>
    <x v="0"/>
    <m/>
    <x v="0"/>
    <m/>
    <m/>
    <m/>
    <m/>
    <m/>
    <s v="Defense White Paper Appendix"/>
    <m/>
  </r>
  <r>
    <x v="1"/>
    <x v="5"/>
    <s v="America and Oceania"/>
    <s v="No Specific Relationship"/>
    <s v="ANZUS Treaty"/>
    <s v="INDOPACOM"/>
    <x v="13"/>
    <x v="17"/>
    <n v="7"/>
    <x v="3"/>
    <s v="Chen Bingde"/>
    <m/>
    <s v="GSD Commander; CMC Member"/>
    <n v="8"/>
    <x v="2"/>
    <s v="Army Commander"/>
    <x v="0"/>
    <m/>
    <x v="0"/>
    <m/>
    <m/>
    <m/>
    <m/>
    <m/>
    <s v="Defense White Paper Appendix"/>
    <m/>
  </r>
  <r>
    <x v="1"/>
    <x v="1"/>
    <s v="Asia"/>
    <s v="Strategic Partnership [战略伙伴关系]"/>
    <s v="Bilateral Defense Treaty"/>
    <s v="INDOPACOM"/>
    <x v="5"/>
    <x v="17"/>
    <n v="7"/>
    <x v="3"/>
    <s v="Liang Guanglie"/>
    <m/>
    <s v="Defense Minister; CMC Member"/>
    <n v="8"/>
    <x v="2"/>
    <s v="Defense Minister"/>
    <x v="0"/>
    <m/>
    <x v="0"/>
    <m/>
    <m/>
    <m/>
    <m/>
    <m/>
    <s v="Defense White Paper Appendix"/>
    <m/>
  </r>
  <r>
    <x v="2"/>
    <x v="1"/>
    <s v="Asia"/>
    <s v="Strategic Partnership [战略伙伴关系]"/>
    <s v="Bilateral Defense Treaty"/>
    <s v="INDOPACOM"/>
    <x v="5"/>
    <x v="17"/>
    <n v="7"/>
    <x v="5"/>
    <m/>
    <m/>
    <m/>
    <m/>
    <x v="0"/>
    <m/>
    <x v="1"/>
    <s v="Strike 2008"/>
    <x v="1"/>
    <s v="Anti-terrorism"/>
    <m/>
    <m/>
    <m/>
    <m/>
    <s v="Defense White Paper Appendix"/>
    <m/>
  </r>
  <r>
    <x v="1"/>
    <x v="2"/>
    <s v="America and Oceania"/>
    <s v="No Specific Relationship"/>
    <s v="N/A"/>
    <s v="NORTHCOM"/>
    <x v="4"/>
    <x v="17"/>
    <n v="7"/>
    <x v="4"/>
    <s v="Zhang Qinsheng"/>
    <m/>
    <s v="Guangzhou MR Commander"/>
    <n v="6"/>
    <x v="1"/>
    <m/>
    <x v="0"/>
    <m/>
    <x v="0"/>
    <m/>
    <m/>
    <m/>
    <m/>
    <m/>
    <s v="Defense White Paper Appendix"/>
    <m/>
  </r>
  <r>
    <x v="1"/>
    <x v="8"/>
    <s v="Europe and Central Asia"/>
    <s v="No Specific Relationship"/>
    <s v="None"/>
    <s v="EUCOM"/>
    <x v="79"/>
    <x v="17"/>
    <n v="8"/>
    <x v="3"/>
    <s v="Liang Guanglie"/>
    <m/>
    <s v="Defense Minister; CMC Member"/>
    <n v="8"/>
    <x v="2"/>
    <s v="Defense Minister"/>
    <x v="0"/>
    <m/>
    <x v="0"/>
    <m/>
    <m/>
    <m/>
    <m/>
    <m/>
    <s v="Defense White Paper Appendix"/>
    <m/>
  </r>
  <r>
    <x v="1"/>
    <x v="8"/>
    <s v="Europe and Central Asia"/>
    <s v="No Specific Relationship"/>
    <s v="NATO"/>
    <s v="EUCOM"/>
    <x v="18"/>
    <x v="17"/>
    <n v="8"/>
    <x v="3"/>
    <s v="Liang Guanglie"/>
    <m/>
    <s v="Defense Minister; CMC Member"/>
    <n v="8"/>
    <x v="2"/>
    <s v="Defense Minister"/>
    <x v="0"/>
    <m/>
    <x v="0"/>
    <m/>
    <m/>
    <m/>
    <m/>
    <m/>
    <s v="Defense White Paper Appendix"/>
    <m/>
  </r>
  <r>
    <x v="1"/>
    <x v="2"/>
    <s v="America and Oceania"/>
    <s v="Strategic Cooperative Partnership [战略合作伙伴关系]"/>
    <s v="None"/>
    <s v="NORTHCOM"/>
    <x v="77"/>
    <x v="17"/>
    <n v="8"/>
    <x v="4"/>
    <s v="Ma Xiaotian"/>
    <m/>
    <s v="GSD DCGS"/>
    <n v="6"/>
    <x v="1"/>
    <m/>
    <x v="0"/>
    <m/>
    <x v="0"/>
    <m/>
    <m/>
    <m/>
    <m/>
    <m/>
    <s v="Defense White Paper Appendix"/>
    <m/>
  </r>
  <r>
    <x v="1"/>
    <x v="4"/>
    <s v="Asia"/>
    <s v="No Specific Relationship"/>
    <s v="None"/>
    <s v="INDOPACOM"/>
    <x v="53"/>
    <x v="17"/>
    <n v="8"/>
    <x v="4"/>
    <s v="Qi Jianguo"/>
    <m/>
    <s v="GSD Assistant Commander"/>
    <n v="5"/>
    <x v="1"/>
    <m/>
    <x v="0"/>
    <m/>
    <x v="0"/>
    <m/>
    <m/>
    <m/>
    <m/>
    <m/>
    <s v="Defense White Paper Appendix"/>
    <m/>
  </r>
  <r>
    <x v="1"/>
    <x v="1"/>
    <s v="Asia"/>
    <s v="No Specific Relationship"/>
    <s v="None"/>
    <s v="INDOPACOM"/>
    <x v="1"/>
    <x v="17"/>
    <n v="8"/>
    <x v="3"/>
    <s v="Liang Guanglie"/>
    <m/>
    <s v="Defense Minister; CMC Member"/>
    <n v="8"/>
    <x v="2"/>
    <s v="Chief of Defense Industries"/>
    <x v="0"/>
    <m/>
    <x v="0"/>
    <m/>
    <m/>
    <m/>
    <m/>
    <m/>
    <s v="Defense White Paper Appendix"/>
    <m/>
  </r>
  <r>
    <x v="1"/>
    <x v="10"/>
    <s v="America and Oceania"/>
    <s v="No Specific Relationship"/>
    <s v="None"/>
    <s v="SOUTHCOM"/>
    <x v="107"/>
    <x v="17"/>
    <n v="8"/>
    <x v="4"/>
    <s v="Ma Xiaotian"/>
    <m/>
    <s v="GSD DCGS"/>
    <n v="6"/>
    <x v="1"/>
    <m/>
    <x v="0"/>
    <m/>
    <x v="0"/>
    <m/>
    <m/>
    <m/>
    <m/>
    <m/>
    <s v="Defense White Paper Appendix"/>
    <m/>
  </r>
  <r>
    <x v="1"/>
    <x v="5"/>
    <s v="America and Oceania"/>
    <s v="No Specific Relationship"/>
    <s v="ANZUS Treaty"/>
    <s v="INDOPACOM"/>
    <x v="12"/>
    <x v="17"/>
    <n v="9"/>
    <x v="4"/>
    <s v="Peng Xiaofeng"/>
    <m/>
    <s v="PLASAF Political Commissar"/>
    <n v="6"/>
    <x v="1"/>
    <m/>
    <x v="0"/>
    <m/>
    <x v="0"/>
    <m/>
    <m/>
    <m/>
    <m/>
    <m/>
    <s v="Defense White Paper Appendix"/>
    <m/>
  </r>
  <r>
    <x v="1"/>
    <x v="8"/>
    <s v="Europe and Central Asia"/>
    <s v="Strategic Partnership [战略伙伴关系]"/>
    <s v="NATO"/>
    <s v="EUCOM"/>
    <x v="34"/>
    <x v="17"/>
    <n v="9"/>
    <x v="4"/>
    <s v="Liang Guanglie"/>
    <m/>
    <s v="Defense Minister; CMC Member"/>
    <n v="8"/>
    <x v="1"/>
    <m/>
    <x v="0"/>
    <m/>
    <x v="0"/>
    <m/>
    <m/>
    <m/>
    <m/>
    <m/>
    <s v="Defense White Paper Appendix"/>
    <m/>
  </r>
  <r>
    <x v="1"/>
    <x v="10"/>
    <s v="America and Oceania"/>
    <s v="Comprehensive Strategic Partnership [全面战略伙伴关系]"/>
    <s v="None"/>
    <s v="SOUTHCOM"/>
    <x v="43"/>
    <x v="17"/>
    <n v="9"/>
    <x v="4"/>
    <s v="Ma Xiaotian"/>
    <m/>
    <s v="GSD DCGS"/>
    <n v="6"/>
    <x v="1"/>
    <m/>
    <x v="0"/>
    <m/>
    <x v="0"/>
    <m/>
    <m/>
    <m/>
    <m/>
    <m/>
    <s v="Defense White Paper Appendix"/>
    <m/>
  </r>
  <r>
    <x v="1"/>
    <x v="1"/>
    <s v="Asia"/>
    <s v="No Specific Relationship"/>
    <s v="None"/>
    <s v="INDOPACOM"/>
    <x v="44"/>
    <x v="17"/>
    <n v="9"/>
    <x v="3"/>
    <s v="Chen Bingde"/>
    <m/>
    <s v="GSD Commander; CMC Member"/>
    <n v="8"/>
    <x v="2"/>
    <s v="Commander Armed Forces"/>
    <x v="0"/>
    <m/>
    <x v="0"/>
    <m/>
    <m/>
    <m/>
    <m/>
    <m/>
    <s v="Defense White Paper Appendix"/>
    <m/>
  </r>
  <r>
    <x v="1"/>
    <x v="7"/>
    <s v="West Asia and Africa"/>
    <s v="Friendly Cooperative Relationship [友好合作关系]"/>
    <s v="None"/>
    <s v="AFRICOM"/>
    <x v="65"/>
    <x v="17"/>
    <n v="9"/>
    <x v="3"/>
    <s v="Chen Bingde"/>
    <m/>
    <s v="GSD Commander; CMC Member"/>
    <n v="8"/>
    <x v="2"/>
    <s v="COGS"/>
    <x v="0"/>
    <m/>
    <x v="0"/>
    <m/>
    <m/>
    <m/>
    <m/>
    <m/>
    <s v="Defense White Paper Appendix"/>
    <m/>
  </r>
  <r>
    <x v="1"/>
    <x v="2"/>
    <s v="America and Oceania"/>
    <s v="Strategic Partnership [战略伙伴关系]"/>
    <s v="None"/>
    <s v="NORTHCOM"/>
    <x v="17"/>
    <x v="17"/>
    <n v="9"/>
    <x v="4"/>
    <s v="Wang Xibin"/>
    <m/>
    <s v="PLA NDU President"/>
    <n v="6"/>
    <x v="1"/>
    <m/>
    <x v="0"/>
    <m/>
    <x v="0"/>
    <m/>
    <m/>
    <m/>
    <m/>
    <m/>
    <s v="Defense White Paper Appendix"/>
    <m/>
  </r>
  <r>
    <x v="1"/>
    <x v="10"/>
    <s v="America and Oceania"/>
    <s v="Comprehensive Partnership [全面伙伴关系]"/>
    <s v="None"/>
    <s v="SOUTHCOM"/>
    <x v="66"/>
    <x v="17"/>
    <n v="9"/>
    <x v="4"/>
    <s v="Xu Qiliang"/>
    <m/>
    <s v="PLAAF Commander; CMC Member"/>
    <n v="8"/>
    <x v="1"/>
    <m/>
    <x v="0"/>
    <m/>
    <x v="0"/>
    <m/>
    <m/>
    <m/>
    <m/>
    <m/>
    <s v="Defense White Paper Appendix"/>
    <m/>
  </r>
  <r>
    <x v="1"/>
    <x v="10"/>
    <s v="America and Oceania"/>
    <s v="No Specific Relationship"/>
    <s v="None"/>
    <s v="SOUTHCOM"/>
    <x v="49"/>
    <x v="17"/>
    <n v="9"/>
    <x v="4"/>
    <s v="Xu Qiliang"/>
    <m/>
    <s v="PLAAF Commander; CMC Member"/>
    <n v="8"/>
    <x v="1"/>
    <m/>
    <x v="0"/>
    <m/>
    <x v="0"/>
    <m/>
    <m/>
    <m/>
    <m/>
    <m/>
    <s v="Defense White Paper Appendix"/>
    <m/>
  </r>
  <r>
    <x v="1"/>
    <x v="8"/>
    <s v="Europe and Central Asia"/>
    <s v="No Specific Relationship"/>
    <s v="NATO"/>
    <s v="EUCOM"/>
    <x v="18"/>
    <x v="17"/>
    <n v="9"/>
    <x v="4"/>
    <s v="Liang Guanglie"/>
    <m/>
    <s v="Defense Minister; CMC Member"/>
    <n v="8"/>
    <x v="1"/>
    <s v="Defense Minister"/>
    <x v="0"/>
    <m/>
    <x v="0"/>
    <m/>
    <m/>
    <m/>
    <m/>
    <m/>
    <s v="Defense White Paper Appendix"/>
    <m/>
  </r>
  <r>
    <x v="1"/>
    <x v="8"/>
    <s v="Europe and Central Asia"/>
    <s v="No Specific Relationship"/>
    <s v="NATO"/>
    <s v="EUCOM"/>
    <x v="82"/>
    <x v="17"/>
    <n v="9"/>
    <x v="4"/>
    <s v="Liang Guanglie"/>
    <m/>
    <s v="Defense Minister; CMC Member"/>
    <n v="8"/>
    <x v="1"/>
    <m/>
    <x v="0"/>
    <m/>
    <x v="0"/>
    <m/>
    <m/>
    <m/>
    <m/>
    <m/>
    <s v="Defense White Paper Appendix"/>
    <m/>
  </r>
  <r>
    <x v="1"/>
    <x v="8"/>
    <s v="Europe and Central Asia"/>
    <s v="Comprehensive Strategic Partnership [全面战略伙伴关系]"/>
    <s v="NATO"/>
    <s v="EUCOM"/>
    <x v="20"/>
    <x v="17"/>
    <n v="9"/>
    <x v="4"/>
    <s v="Liang Guanglie"/>
    <m/>
    <s v="Defense Minister; CMC Member"/>
    <n v="8"/>
    <x v="1"/>
    <m/>
    <x v="0"/>
    <m/>
    <x v="0"/>
    <m/>
    <m/>
    <m/>
    <m/>
    <m/>
    <s v="Defense White Paper Appendix"/>
    <m/>
  </r>
  <r>
    <x v="1"/>
    <x v="4"/>
    <s v="Asia"/>
    <s v="Mutually Beneficial Strategic Relationship [战略互惠关系]"/>
    <s v="Bilateral Defense Treaty"/>
    <s v="INDOPACOM"/>
    <x v="83"/>
    <x v="17"/>
    <n v="9"/>
    <x v="4"/>
    <s v="Xu Qiliang"/>
    <m/>
    <s v="PLAAF Commander; CMC Member"/>
    <n v="8"/>
    <x v="1"/>
    <m/>
    <x v="0"/>
    <m/>
    <x v="0"/>
    <m/>
    <m/>
    <m/>
    <m/>
    <m/>
    <s v="Defense White Paper Appendix"/>
    <m/>
  </r>
  <r>
    <x v="1"/>
    <x v="7"/>
    <s v="West Asia and Africa"/>
    <s v="No Specific Relationship"/>
    <s v="None"/>
    <s v="AFRICOM"/>
    <x v="47"/>
    <x v="17"/>
    <n v="9"/>
    <x v="4"/>
    <s v="Fan Changlong"/>
    <m/>
    <s v="Jinan MR Commander"/>
    <n v="6"/>
    <x v="1"/>
    <m/>
    <x v="0"/>
    <m/>
    <x v="0"/>
    <m/>
    <m/>
    <m/>
    <m/>
    <m/>
    <s v="Defense White Paper Appendix"/>
    <m/>
  </r>
  <r>
    <x v="1"/>
    <x v="7"/>
    <s v="West Asia and Africa"/>
    <s v="No Specific Relationship"/>
    <s v="None"/>
    <s v="AFRICOM"/>
    <x v="69"/>
    <x v="17"/>
    <n v="9"/>
    <x v="4"/>
    <s v="Fan Changlong"/>
    <m/>
    <s v="Jinan MR Commander"/>
    <n v="6"/>
    <x v="1"/>
    <m/>
    <x v="0"/>
    <m/>
    <x v="0"/>
    <m/>
    <m/>
    <m/>
    <m/>
    <m/>
    <s v="Defense White Paper Appendix"/>
    <m/>
  </r>
  <r>
    <x v="1"/>
    <x v="0"/>
    <s v="Asia"/>
    <s v="Good-Neighborly Partnership [世代友好的睦邻伙伴关系]"/>
    <s v="None"/>
    <s v="INDOPACOM"/>
    <x v="32"/>
    <x v="17"/>
    <n v="9"/>
    <x v="3"/>
    <s v="Guo Boxiong"/>
    <m/>
    <s v="CMC Vice Chairman"/>
    <n v="8"/>
    <x v="2"/>
    <s v="Defense Minister"/>
    <x v="0"/>
    <m/>
    <x v="0"/>
    <m/>
    <m/>
    <m/>
    <m/>
    <m/>
    <s v="https://dlib.eastview.com/browse/doc/18952140"/>
    <s v="Recoded as South Asia"/>
  </r>
  <r>
    <x v="1"/>
    <x v="5"/>
    <s v="America and Oceania"/>
    <s v="No Specific Relationship"/>
    <s v="ANZUS Treaty"/>
    <s v="INDOPACOM"/>
    <x v="13"/>
    <x v="17"/>
    <n v="9"/>
    <x v="4"/>
    <s v="Peng Xiaofeng"/>
    <m/>
    <s v="PLASAF Political Commissar"/>
    <n v="6"/>
    <x v="1"/>
    <m/>
    <x v="0"/>
    <m/>
    <x v="0"/>
    <m/>
    <m/>
    <m/>
    <m/>
    <m/>
    <s v="Defense White Paper Appendix"/>
    <m/>
  </r>
  <r>
    <x v="1"/>
    <x v="8"/>
    <s v="Europe and Central Asia"/>
    <s v="No Specific Relationship"/>
    <s v="NATO"/>
    <s v="EUCOM"/>
    <x v="37"/>
    <x v="17"/>
    <n v="9"/>
    <x v="4"/>
    <s v="Chen Bingde"/>
    <m/>
    <s v="GSD Commander; CMC Member"/>
    <n v="8"/>
    <x v="1"/>
    <m/>
    <x v="0"/>
    <m/>
    <x v="0"/>
    <m/>
    <m/>
    <m/>
    <m/>
    <m/>
    <s v="Defense White Paper Appendix"/>
    <m/>
  </r>
  <r>
    <x v="1"/>
    <x v="0"/>
    <s v="Asia"/>
    <s v="Strategic Partnership [战略伙伴关系]"/>
    <s v="Major Non-NATO Ally"/>
    <s v="CENTCOM"/>
    <x v="2"/>
    <x v="17"/>
    <n v="9"/>
    <x v="3"/>
    <s v="Guo Boxiong"/>
    <m/>
    <s v="CMC Vice Chairman"/>
    <n v="10"/>
    <x v="2"/>
    <s v="Chief of Army Staff"/>
    <x v="0"/>
    <m/>
    <x v="0"/>
    <m/>
    <m/>
    <m/>
    <m/>
    <m/>
    <s v="Defense White Paper Appendix"/>
    <m/>
  </r>
  <r>
    <x v="1"/>
    <x v="8"/>
    <s v="Europe and Central Asia"/>
    <s v="No Specific Relationship"/>
    <s v="NATO"/>
    <s v="EUCOM"/>
    <x v="59"/>
    <x v="17"/>
    <n v="9"/>
    <x v="4"/>
    <s v="Huang Xianzhong"/>
    <m/>
    <s v="Shenyang MR Political Commissar"/>
    <n v="6"/>
    <x v="1"/>
    <m/>
    <x v="0"/>
    <m/>
    <x v="0"/>
    <m/>
    <m/>
    <m/>
    <m/>
    <m/>
    <s v="Defense White Paper Appendix"/>
    <m/>
  </r>
  <r>
    <x v="1"/>
    <x v="8"/>
    <s v="Europe and Central Asia"/>
    <s v="No Specific Relationship"/>
    <s v="None"/>
    <s v="EUCOM"/>
    <x v="112"/>
    <x v="17"/>
    <n v="9"/>
    <x v="4"/>
    <s v="Chen Bingde"/>
    <m/>
    <s v="GSD Commander; CMC Member"/>
    <n v="8"/>
    <x v="1"/>
    <s v="COGS"/>
    <x v="0"/>
    <m/>
    <x v="0"/>
    <m/>
    <m/>
    <m/>
    <m/>
    <m/>
    <s v="Defense White Paper Appendix"/>
    <m/>
  </r>
  <r>
    <x v="1"/>
    <x v="7"/>
    <s v="West Asia and Africa"/>
    <s v="Strategic Partnership [战略伙伴关系]"/>
    <s v="None"/>
    <s v="AFRICOM"/>
    <x v="15"/>
    <x v="17"/>
    <n v="9"/>
    <x v="4"/>
    <s v="Tong Shiping"/>
    <m/>
    <s v="GPD Deputy Director"/>
    <n v="6"/>
    <x v="1"/>
    <m/>
    <x v="0"/>
    <m/>
    <x v="0"/>
    <m/>
    <m/>
    <m/>
    <m/>
    <m/>
    <s v="Defense White Paper Appendix"/>
    <m/>
  </r>
  <r>
    <x v="1"/>
    <x v="8"/>
    <s v="Europe and Central Asia"/>
    <s v="No Specific Relationship"/>
    <s v="None"/>
    <s v="EUCOM"/>
    <x v="78"/>
    <x v="17"/>
    <n v="9"/>
    <x v="3"/>
    <s v="Guo Boxiong"/>
    <m/>
    <s v="CMC Vice Chairman"/>
    <n v="10"/>
    <x v="2"/>
    <s v="Defense Minister"/>
    <x v="0"/>
    <m/>
    <x v="0"/>
    <m/>
    <m/>
    <m/>
    <m/>
    <m/>
    <s v="Defense White Paper Appendix"/>
    <m/>
  </r>
  <r>
    <x v="1"/>
    <x v="7"/>
    <s v="West Asia and Africa"/>
    <s v="No Specific Relationship"/>
    <s v="None"/>
    <s v="AFRICOM"/>
    <x v="16"/>
    <x v="17"/>
    <n v="9"/>
    <x v="3"/>
    <s v="Ma Xiaotian"/>
    <m/>
    <s v="GSD DCGS"/>
    <n v="6"/>
    <x v="2"/>
    <s v="Chief of Staff Defense Force"/>
    <x v="0"/>
    <m/>
    <x v="0"/>
    <m/>
    <m/>
    <m/>
    <m/>
    <m/>
    <s v="https://dlib.eastview.com/browse/doc/18939547"/>
    <m/>
  </r>
  <r>
    <x v="1"/>
    <x v="8"/>
    <s v="Europe and Central Asia"/>
    <s v="Comprehensive Strategic Partnership [全面战略伙伴关系]"/>
    <s v="NATO"/>
    <s v="EUCOM"/>
    <x v="21"/>
    <x v="17"/>
    <n v="9"/>
    <x v="3"/>
    <s v="Liang Guanglie"/>
    <m/>
    <s v="Defense Minister; CMC Member"/>
    <n v="8"/>
    <x v="2"/>
    <s v="First Sea Lord and Chief of Naval Staff"/>
    <x v="0"/>
    <m/>
    <x v="0"/>
    <m/>
    <m/>
    <m/>
    <m/>
    <m/>
    <s v="Defense White Paper Appendix"/>
    <m/>
  </r>
  <r>
    <x v="1"/>
    <x v="2"/>
    <s v="America and Oceania"/>
    <s v="No Specific Relationship"/>
    <s v="N/A"/>
    <s v="NORTHCOM"/>
    <x v="4"/>
    <x v="17"/>
    <n v="9"/>
    <x v="4"/>
    <s v="Wang Xibin"/>
    <m/>
    <s v="PLA NDU President"/>
    <n v="6"/>
    <x v="1"/>
    <m/>
    <x v="0"/>
    <m/>
    <x v="0"/>
    <m/>
    <m/>
    <m/>
    <m/>
    <m/>
    <s v="Defense White Paper Appendix"/>
    <m/>
  </r>
  <r>
    <x v="1"/>
    <x v="7"/>
    <s v="West Asia and Africa"/>
    <s v="No Specific Relationship"/>
    <s v="None"/>
    <s v="AFRICOM"/>
    <x v="93"/>
    <x v="17"/>
    <n v="10"/>
    <x v="4"/>
    <s v="Qi Jianguo"/>
    <m/>
    <s v="GSD Assistant Commander"/>
    <n v="5"/>
    <x v="1"/>
    <m/>
    <x v="0"/>
    <m/>
    <x v="0"/>
    <m/>
    <m/>
    <m/>
    <m/>
    <m/>
    <s v="Defense White Paper Appendix"/>
    <m/>
  </r>
  <r>
    <x v="1"/>
    <x v="1"/>
    <s v="Asia"/>
    <s v="Comprehensive Cooperative Partnership [全面合作伙伴关系]"/>
    <s v="None"/>
    <s v="INDOPACOM"/>
    <x v="94"/>
    <x v="17"/>
    <n v="10"/>
    <x v="4"/>
    <s v="Ma Xiaotian"/>
    <m/>
    <s v="GSD DCGS"/>
    <n v="6"/>
    <x v="1"/>
    <m/>
    <x v="0"/>
    <m/>
    <x v="0"/>
    <m/>
    <m/>
    <m/>
    <m/>
    <m/>
    <s v="Defense White Paper Appendix"/>
    <m/>
  </r>
  <r>
    <x v="1"/>
    <x v="10"/>
    <s v="America and Oceania"/>
    <s v="No Specific Relationship"/>
    <s v="None"/>
    <s v="SOUTHCOM"/>
    <x v="45"/>
    <x v="17"/>
    <n v="10"/>
    <x v="3"/>
    <s v="Liang Guanglie"/>
    <m/>
    <s v="Defense Minister; CMC Member"/>
    <n v="8"/>
    <x v="2"/>
    <s v="Commander Armed Forces"/>
    <x v="0"/>
    <m/>
    <x v="0"/>
    <m/>
    <m/>
    <m/>
    <m/>
    <m/>
    <s v="Defense White Paper Appendix"/>
    <m/>
  </r>
  <r>
    <x v="1"/>
    <x v="7"/>
    <s v="West Asia and Africa"/>
    <s v="Friendly Cooperative Partnership [友好合作伙伴关系]"/>
    <s v="None"/>
    <s v="AFRICOM"/>
    <x v="118"/>
    <x v="17"/>
    <n v="10"/>
    <x v="3"/>
    <s v="Liang Guanglie"/>
    <m/>
    <s v="Defense Minister; CMC Member"/>
    <n v="8"/>
    <x v="2"/>
    <s v="COGS"/>
    <x v="0"/>
    <m/>
    <x v="0"/>
    <m/>
    <m/>
    <m/>
    <m/>
    <m/>
    <s v="Defense White Paper Appendix"/>
    <m/>
  </r>
  <r>
    <x v="1"/>
    <x v="10"/>
    <s v="America and Oceania"/>
    <s v="No Specific Relationship"/>
    <s v="None"/>
    <s v="SOUTHCOM"/>
    <x v="51"/>
    <x v="17"/>
    <n v="10"/>
    <x v="3"/>
    <s v="Liang Guanglie"/>
    <m/>
    <s v="Defense Minister; CMC Member"/>
    <n v="8"/>
    <x v="2"/>
    <s v="Defense Minister"/>
    <x v="0"/>
    <m/>
    <x v="0"/>
    <m/>
    <m/>
    <m/>
    <m/>
    <m/>
    <s v="Defense White Paper Appendix"/>
    <m/>
  </r>
  <r>
    <x v="1"/>
    <x v="9"/>
    <s v="West Asia and Africa"/>
    <s v="Strategic Cooperative Partnership [战略合作伙伴关系]"/>
    <s v="Major Non-NATO Ally"/>
    <s v="CENTCOM"/>
    <x v="24"/>
    <x v="17"/>
    <n v="10"/>
    <x v="4"/>
    <s v="Zhang Haiyang"/>
    <m/>
    <s v="Chengdu MR Political Commissar"/>
    <n v="6"/>
    <x v="1"/>
    <m/>
    <x v="0"/>
    <m/>
    <x v="0"/>
    <m/>
    <m/>
    <m/>
    <m/>
    <m/>
    <s v="Defense White Paper Appendix"/>
    <m/>
  </r>
  <r>
    <x v="1"/>
    <x v="8"/>
    <s v="Europe and Central Asia"/>
    <s v="Comprehensive Strategic Partnership [全面战略伙伴关系]"/>
    <s v="NATO"/>
    <s v="EUCOM"/>
    <x v="29"/>
    <x v="17"/>
    <n v="10"/>
    <x v="4"/>
    <s v="Tong Shiping"/>
    <m/>
    <s v="GPD Deputy Director"/>
    <n v="6"/>
    <x v="1"/>
    <m/>
    <x v="0"/>
    <m/>
    <x v="0"/>
    <m/>
    <m/>
    <m/>
    <m/>
    <m/>
    <s v="Defense White Paper Appendix"/>
    <m/>
  </r>
  <r>
    <x v="1"/>
    <x v="8"/>
    <s v="Europe and Central Asia"/>
    <s v="No Specific Relationship"/>
    <s v="NATO"/>
    <s v="EUCOM"/>
    <x v="82"/>
    <x v="17"/>
    <n v="10"/>
    <x v="4"/>
    <s v="Liu Yuan"/>
    <m/>
    <s v="AMS Political Commissar"/>
    <n v="6"/>
    <x v="1"/>
    <m/>
    <x v="0"/>
    <m/>
    <x v="0"/>
    <m/>
    <m/>
    <m/>
    <m/>
    <m/>
    <s v="Defense White Paper Appendix"/>
    <m/>
  </r>
  <r>
    <x v="1"/>
    <x v="10"/>
    <s v="America and Oceania"/>
    <s v="Friendly Partnership [友好伙伴关系)]"/>
    <s v="None"/>
    <s v="SOUTHCOM"/>
    <x v="145"/>
    <x v="17"/>
    <n v="10"/>
    <x v="3"/>
    <s v="Chen Bingde"/>
    <m/>
    <s v="GSD Commander; CMC Member"/>
    <n v="8"/>
    <x v="2"/>
    <s v="Chief of Defense Force"/>
    <x v="0"/>
    <m/>
    <x v="0"/>
    <m/>
    <m/>
    <m/>
    <m/>
    <m/>
    <s v="Defense White Paper Appendix"/>
    <m/>
  </r>
  <r>
    <x v="1"/>
    <x v="7"/>
    <s v="West Asia and Africa"/>
    <s v="No Specific Relationship"/>
    <s v="None"/>
    <s v="AFRICOM"/>
    <x v="114"/>
    <x v="17"/>
    <n v="10"/>
    <x v="4"/>
    <s v="Qi Jianguo"/>
    <m/>
    <s v="GSD Assistant Commander"/>
    <n v="5"/>
    <x v="1"/>
    <m/>
    <x v="0"/>
    <m/>
    <x v="0"/>
    <m/>
    <m/>
    <m/>
    <m/>
    <m/>
    <s v="Defense White Paper Appendix"/>
    <m/>
  </r>
  <r>
    <x v="1"/>
    <x v="1"/>
    <s v="Asia"/>
    <s v="No Specific Relationship"/>
    <s v="None"/>
    <s v="INDOPACOM"/>
    <x v="1"/>
    <x v="17"/>
    <n v="10"/>
    <x v="4"/>
    <s v="Ma Xiaotian"/>
    <m/>
    <s v="GSD DCGS"/>
    <n v="6"/>
    <x v="1"/>
    <m/>
    <x v="0"/>
    <m/>
    <x v="0"/>
    <m/>
    <m/>
    <m/>
    <m/>
    <m/>
    <s v="Defense White Paper Appendix"/>
    <m/>
  </r>
  <r>
    <x v="1"/>
    <x v="1"/>
    <s v="Asia"/>
    <s v="Strategic Cooperative Partnership [战略合作伙伴关系]"/>
    <s v="Bilateral Defense Treaty"/>
    <s v="INDOPACOM"/>
    <x v="11"/>
    <x v="17"/>
    <n v="10"/>
    <x v="3"/>
    <s v="Liang Guanglie"/>
    <m/>
    <s v="Defense Minister; CMC Member"/>
    <n v="8"/>
    <x v="2"/>
    <s v="Air Force Commander"/>
    <x v="0"/>
    <m/>
    <x v="0"/>
    <m/>
    <m/>
    <m/>
    <m/>
    <m/>
    <s v="Defense White Paper Appendix"/>
    <m/>
  </r>
  <r>
    <x v="1"/>
    <x v="8"/>
    <s v="Europe and Central Asia"/>
    <s v="Comprehensive Friendly Cooperative Partnership [全面友好合作伙伴关系]"/>
    <s v="NATO"/>
    <s v="EUCOM"/>
    <x v="33"/>
    <x v="17"/>
    <n v="10"/>
    <x v="4"/>
    <s v="Liu Yuan"/>
    <m/>
    <s v="AMS Political Commissar"/>
    <n v="6"/>
    <x v="1"/>
    <m/>
    <x v="0"/>
    <m/>
    <x v="0"/>
    <m/>
    <m/>
    <m/>
    <m/>
    <m/>
    <s v="Defense White Paper Appendix"/>
    <m/>
  </r>
  <r>
    <x v="1"/>
    <x v="1"/>
    <s v="Asia"/>
    <s v="No Specific Relationship"/>
    <s v="None"/>
    <s v="INDOPACOM"/>
    <x v="39"/>
    <x v="17"/>
    <n v="10"/>
    <x v="3"/>
    <s v="Liang Guanglie"/>
    <m/>
    <s v="Defense Minister; CMC Member"/>
    <n v="8"/>
    <x v="2"/>
    <s v="Defense Minister"/>
    <x v="0"/>
    <m/>
    <x v="0"/>
    <m/>
    <m/>
    <m/>
    <m/>
    <m/>
    <s v="https://dlib.eastview.com/browse/doc/19041905"/>
    <m/>
  </r>
  <r>
    <x v="1"/>
    <x v="4"/>
    <s v="Asia"/>
    <s v="Strategic Cooperative Partnership [战略合作伙伴关系]"/>
    <s v="Bilateral Defense Treaty"/>
    <s v="INDOPACOM"/>
    <x v="25"/>
    <x v="17"/>
    <n v="10"/>
    <x v="4"/>
    <s v="Ma Xiaotian"/>
    <m/>
    <s v="GSD DCGS"/>
    <n v="6"/>
    <x v="1"/>
    <m/>
    <x v="0"/>
    <m/>
    <x v="0"/>
    <m/>
    <m/>
    <m/>
    <m/>
    <m/>
    <s v="Defense White Paper Appendix"/>
    <m/>
  </r>
  <r>
    <x v="1"/>
    <x v="8"/>
    <s v="Europe and Central Asia"/>
    <s v="No Specific Relationship"/>
    <s v="None"/>
    <s v="EUCOM"/>
    <x v="92"/>
    <x v="17"/>
    <n v="10"/>
    <x v="3"/>
    <s v="Liang Guanglie"/>
    <m/>
    <s v="Defense Minister; CMC Member"/>
    <n v="8"/>
    <x v="2"/>
    <s v="Supreme Commander Armed Forces"/>
    <x v="0"/>
    <m/>
    <x v="0"/>
    <m/>
    <m/>
    <m/>
    <m/>
    <m/>
    <s v="Defense White Paper Appendix"/>
    <m/>
  </r>
  <r>
    <x v="1"/>
    <x v="9"/>
    <s v="West Asia and Africa"/>
    <s v="No Specific Relationship"/>
    <s v="None"/>
    <s v="CENTCOM"/>
    <x v="102"/>
    <x v="17"/>
    <n v="10"/>
    <x v="4"/>
    <s v="Zhang Haiyang"/>
    <m/>
    <s v="Chengdu MR Political Commissar"/>
    <n v="6"/>
    <x v="1"/>
    <m/>
    <x v="0"/>
    <m/>
    <x v="0"/>
    <m/>
    <m/>
    <m/>
    <m/>
    <m/>
    <s v="Defense White Paper Appendix"/>
    <m/>
  </r>
  <r>
    <x v="1"/>
    <x v="7"/>
    <s v="West Asia and Africa"/>
    <s v="No Specific Relationship"/>
    <s v="None"/>
    <s v="AFRICOM"/>
    <x v="16"/>
    <x v="17"/>
    <n v="10"/>
    <x v="4"/>
    <s v="Jing Zhiyuan"/>
    <m/>
    <s v="PLASAF Commander; CMC Member"/>
    <n v="8"/>
    <x v="1"/>
    <m/>
    <x v="0"/>
    <m/>
    <x v="0"/>
    <m/>
    <m/>
    <m/>
    <m/>
    <m/>
    <s v="Defense White Paper Appendix"/>
    <m/>
  </r>
  <r>
    <x v="1"/>
    <x v="7"/>
    <s v="West Asia and Africa"/>
    <s v="No Specific Relationship"/>
    <s v="None"/>
    <s v="AFRICOM"/>
    <x v="97"/>
    <x v="17"/>
    <n v="10"/>
    <x v="4"/>
    <s v="Jing Zhiyuan"/>
    <m/>
    <s v="PLASAF Commander; CMC Member"/>
    <n v="8"/>
    <x v="1"/>
    <m/>
    <x v="0"/>
    <m/>
    <x v="0"/>
    <m/>
    <m/>
    <m/>
    <m/>
    <m/>
    <s v="Defense White Paper Appendix"/>
    <m/>
  </r>
  <r>
    <x v="1"/>
    <x v="10"/>
    <s v="America and Oceania"/>
    <s v="Strategic Partnership [战略伙伴关系]"/>
    <s v="Major Non-NATO Ally"/>
    <s v="SOUTHCOM"/>
    <x v="62"/>
    <x v="17"/>
    <n v="11"/>
    <x v="4"/>
    <s v="Liu Chengjun"/>
    <m/>
    <s v="AMS President"/>
    <n v="6"/>
    <x v="1"/>
    <m/>
    <x v="0"/>
    <m/>
    <x v="0"/>
    <m/>
    <m/>
    <m/>
    <m/>
    <m/>
    <s v="Defense White Paper Appendix"/>
    <m/>
  </r>
  <r>
    <x v="1"/>
    <x v="9"/>
    <s v="West Asia and Africa"/>
    <s v="Friendly Cooperative Partnership [友好合作伙伴关系]"/>
    <s v="Major Non-NATO Ally"/>
    <s v="CENTCOM"/>
    <x v="146"/>
    <x v="17"/>
    <n v="11"/>
    <x v="4"/>
    <s v="Liang Guanglie"/>
    <m/>
    <s v="Defense Minister; CMC Member"/>
    <n v="8"/>
    <x v="1"/>
    <m/>
    <x v="0"/>
    <m/>
    <x v="0"/>
    <m/>
    <m/>
    <m/>
    <m/>
    <m/>
    <s v="Defense White Paper Appendix"/>
    <m/>
  </r>
  <r>
    <x v="1"/>
    <x v="10"/>
    <s v="America and Oceania"/>
    <s v="Comprehensive Strategic Partnership [全面战略伙伴关系]"/>
    <s v="None"/>
    <s v="SOUTHCOM"/>
    <x v="43"/>
    <x v="17"/>
    <n v="11"/>
    <x v="4"/>
    <s v="Xu Caihou"/>
    <m/>
    <s v="CMC Vice Chairman"/>
    <n v="10"/>
    <x v="1"/>
    <m/>
    <x v="0"/>
    <m/>
    <x v="0"/>
    <m/>
    <m/>
    <m/>
    <m/>
    <m/>
    <s v="Defense White Paper Appendix"/>
    <m/>
  </r>
  <r>
    <x v="1"/>
    <x v="8"/>
    <s v="Europe and Central Asia"/>
    <s v="No Specific Relationship"/>
    <s v="None"/>
    <s v="EUCOM"/>
    <x v="79"/>
    <x v="17"/>
    <n v="11"/>
    <x v="3"/>
    <s v="Xu Caihou"/>
    <m/>
    <s v="CMC Vice Chairman"/>
    <n v="10"/>
    <x v="2"/>
    <s v="COGS"/>
    <x v="0"/>
    <m/>
    <x v="0"/>
    <m/>
    <m/>
    <m/>
    <m/>
    <m/>
    <s v="Defense White Paper Appendix"/>
    <m/>
  </r>
  <r>
    <x v="1"/>
    <x v="10"/>
    <s v="America and Oceania"/>
    <s v="Comprehensive Partnership [全面伙伴关系]"/>
    <s v="None"/>
    <s v="SOUTHCOM"/>
    <x v="66"/>
    <x v="17"/>
    <n v="11"/>
    <x v="4"/>
    <s v="Xu Caihou"/>
    <m/>
    <s v="CMC Vice Chairman"/>
    <n v="10"/>
    <x v="1"/>
    <m/>
    <x v="0"/>
    <m/>
    <x v="0"/>
    <m/>
    <m/>
    <m/>
    <m/>
    <m/>
    <s v="Defense White Paper Appendix"/>
    <m/>
  </r>
  <r>
    <x v="1"/>
    <x v="7"/>
    <s v="West Asia and Africa"/>
    <s v="No Specific Relationship"/>
    <s v="None"/>
    <s v="AFRICOM"/>
    <x v="95"/>
    <x v="17"/>
    <n v="11"/>
    <x v="4"/>
    <s v="Tong Shiping"/>
    <m/>
    <s v="GPD Deputy Director"/>
    <n v="6"/>
    <x v="1"/>
    <m/>
    <x v="0"/>
    <m/>
    <x v="0"/>
    <m/>
    <m/>
    <m/>
    <m/>
    <m/>
    <s v="Defense White Paper Appendix"/>
    <m/>
  </r>
  <r>
    <x v="1"/>
    <x v="8"/>
    <s v="Europe and Central Asia"/>
    <s v="No Specific Relationship"/>
    <s v="NATO"/>
    <s v="EUCOM"/>
    <x v="18"/>
    <x v="17"/>
    <n v="11"/>
    <x v="3"/>
    <s v="Liang Guanglie"/>
    <m/>
    <s v="Defense Minister; CMC Member"/>
    <n v="8"/>
    <x v="2"/>
    <s v="Inspector of Navy"/>
    <x v="0"/>
    <m/>
    <x v="0"/>
    <m/>
    <m/>
    <m/>
    <m/>
    <m/>
    <s v="Defense White Paper Appendix"/>
    <m/>
  </r>
  <r>
    <x v="1"/>
    <x v="0"/>
    <s v="Asia"/>
    <s v="Strategic Partnership for Peace and Prosperity [战略伙伴关系]"/>
    <s v="None"/>
    <s v="INDOPACOM"/>
    <x v="6"/>
    <x v="17"/>
    <n v="11"/>
    <x v="4"/>
    <s v="Wu Shengli"/>
    <m/>
    <s v="PLAN Commander; CMC Member"/>
    <n v="8"/>
    <x v="1"/>
    <m/>
    <x v="0"/>
    <m/>
    <x v="0"/>
    <m/>
    <m/>
    <m/>
    <m/>
    <m/>
    <s v="Defense White Paper Appendix"/>
    <m/>
  </r>
  <r>
    <x v="1"/>
    <x v="4"/>
    <s v="Asia"/>
    <s v="Mutually Beneficial Strategic Relationship [战略互惠关系]"/>
    <s v="Bilateral Defense Treaty"/>
    <s v="INDOPACOM"/>
    <x v="83"/>
    <x v="17"/>
    <n v="11"/>
    <x v="4"/>
    <s v="Wu Shengli"/>
    <m/>
    <s v="PLAN Commander; CMC Member"/>
    <n v="8"/>
    <x v="1"/>
    <m/>
    <x v="0"/>
    <m/>
    <x v="0"/>
    <m/>
    <m/>
    <m/>
    <m/>
    <m/>
    <s v="Defense White Paper Appendix"/>
    <m/>
  </r>
  <r>
    <x v="1"/>
    <x v="1"/>
    <s v="Asia"/>
    <s v="Comprehensive Cooperative Partnership [全面合作伙伴关系]"/>
    <s v="None"/>
    <s v="INDOPACOM"/>
    <x v="52"/>
    <x v="17"/>
    <n v="11"/>
    <x v="4"/>
    <s v="Ma Xiaotian"/>
    <m/>
    <s v="GSD DCGS"/>
    <n v="6"/>
    <x v="1"/>
    <m/>
    <x v="0"/>
    <m/>
    <x v="0"/>
    <m/>
    <m/>
    <m/>
    <m/>
    <m/>
    <s v="Defense White Paper Appendix"/>
    <m/>
  </r>
  <r>
    <x v="1"/>
    <x v="2"/>
    <s v="America and Oceania"/>
    <s v="Strategic Cooperative Partnership [战略合作伙伴关系]"/>
    <s v="None"/>
    <s v="NORTHCOM"/>
    <x v="77"/>
    <x v="17"/>
    <n v="11"/>
    <x v="4"/>
    <s v="Sun Dafa"/>
    <m/>
    <s v="GLD Political Commissar"/>
    <n v="6"/>
    <x v="1"/>
    <m/>
    <x v="0"/>
    <m/>
    <x v="0"/>
    <m/>
    <m/>
    <m/>
    <m/>
    <m/>
    <s v="Defense White Paper Appendix"/>
    <m/>
  </r>
  <r>
    <x v="1"/>
    <x v="7"/>
    <s v="West Asia and Africa"/>
    <s v="No Specific Relationship"/>
    <s v="Major Non-NATO Ally"/>
    <s v="AFRICOM"/>
    <x v="27"/>
    <x v="17"/>
    <n v="11"/>
    <x v="4"/>
    <s v="Tong Shiping"/>
    <m/>
    <s v="GPD Deputy Director"/>
    <n v="6"/>
    <x v="1"/>
    <m/>
    <x v="0"/>
    <m/>
    <x v="0"/>
    <m/>
    <m/>
    <m/>
    <m/>
    <m/>
    <s v="Defense White Paper Appendix"/>
    <m/>
  </r>
  <r>
    <x v="1"/>
    <x v="9"/>
    <s v="West Asia and Africa"/>
    <s v="No Specific Relationship"/>
    <s v="None"/>
    <s v="CENTCOM"/>
    <x v="147"/>
    <x v="17"/>
    <n v="11"/>
    <x v="4"/>
    <s v="Liang Guanglie"/>
    <m/>
    <s v="Defense Minister; CMC Member"/>
    <n v="8"/>
    <x v="1"/>
    <m/>
    <x v="0"/>
    <m/>
    <x v="0"/>
    <m/>
    <m/>
    <m/>
    <m/>
    <m/>
    <s v="Defense White Paper Appendix"/>
    <m/>
  </r>
  <r>
    <x v="1"/>
    <x v="9"/>
    <s v="West Asia and Africa"/>
    <s v="No Specific Relationship"/>
    <s v="None"/>
    <s v="CENTCOM"/>
    <x v="131"/>
    <x v="17"/>
    <n v="11"/>
    <x v="4"/>
    <s v="Liang Guanglie"/>
    <m/>
    <s v="Defense Minister; CMC Member"/>
    <n v="8"/>
    <x v="1"/>
    <m/>
    <x v="0"/>
    <m/>
    <x v="0"/>
    <m/>
    <m/>
    <m/>
    <m/>
    <m/>
    <s v="Defense White Paper Appendix"/>
    <m/>
  </r>
  <r>
    <x v="1"/>
    <x v="8"/>
    <s v="Europe and Central Asia"/>
    <s v="Comprehensive Friendly Cooperative Partnership [全面友好合作伙伴关系]"/>
    <s v="NATO"/>
    <s v="EUCOM"/>
    <x v="33"/>
    <x v="17"/>
    <n v="11"/>
    <x v="3"/>
    <s v="Guo Boxiong"/>
    <m/>
    <s v="CMC Vice Chairman"/>
    <n v="10"/>
    <x v="2"/>
    <s v="COGS"/>
    <x v="0"/>
    <m/>
    <x v="0"/>
    <m/>
    <m/>
    <m/>
    <m/>
    <m/>
    <s v="Defense White Paper Appendix"/>
    <m/>
  </r>
  <r>
    <x v="1"/>
    <x v="8"/>
    <s v="Europe and Central Asia"/>
    <s v="No Specific Relationship"/>
    <s v="None"/>
    <s v="EUCOM"/>
    <x v="112"/>
    <x v="17"/>
    <n v="11"/>
    <x v="3"/>
    <s v="Liang Guanglie"/>
    <m/>
    <s v="Defense Minister; CMC Member"/>
    <n v="8"/>
    <x v="2"/>
    <s v="Defense Minister"/>
    <x v="0"/>
    <m/>
    <x v="0"/>
    <m/>
    <m/>
    <m/>
    <m/>
    <m/>
    <s v="Defense White Paper Appendix"/>
    <m/>
  </r>
  <r>
    <x v="1"/>
    <x v="4"/>
    <s v="Asia"/>
    <s v="Strategic Cooperative Partnership [战略合作伙伴关系]"/>
    <s v="Bilateral Defense Treaty"/>
    <s v="INDOPACOM"/>
    <x v="25"/>
    <x v="17"/>
    <n v="11"/>
    <x v="4"/>
    <s v="Wu Shengli"/>
    <m/>
    <s v="PLAN Commander; CMC Member"/>
    <n v="8"/>
    <x v="1"/>
    <m/>
    <x v="0"/>
    <m/>
    <x v="0"/>
    <m/>
    <m/>
    <m/>
    <m/>
    <m/>
    <s v="Defense White Paper Appendix"/>
    <m/>
  </r>
  <r>
    <x v="1"/>
    <x v="7"/>
    <s v="West Asia and Africa"/>
    <s v="No Specific Relationship"/>
    <s v="None"/>
    <s v="AFRICOM"/>
    <x v="16"/>
    <x v="17"/>
    <n v="11"/>
    <x v="4"/>
    <s v="Tong Shiping"/>
    <m/>
    <s v="GPD Deputy Director"/>
    <n v="6"/>
    <x v="1"/>
    <m/>
    <x v="0"/>
    <m/>
    <x v="0"/>
    <m/>
    <m/>
    <m/>
    <m/>
    <m/>
    <s v="Defense White Paper Appendix"/>
    <m/>
  </r>
  <r>
    <x v="1"/>
    <x v="1"/>
    <s v="Asia"/>
    <s v="Strategic Partnership [战略伙伴关系]"/>
    <s v="Bilateral Defense Treaty"/>
    <s v="INDOPACOM"/>
    <x v="5"/>
    <x v="17"/>
    <n v="11"/>
    <x v="4"/>
    <s v="Wu Shengli"/>
    <m/>
    <s v="PLAN Commander; CMC Member"/>
    <n v="8"/>
    <x v="1"/>
    <m/>
    <x v="0"/>
    <m/>
    <x v="0"/>
    <m/>
    <m/>
    <m/>
    <m/>
    <m/>
    <s v="Defense White Paper Appendix"/>
    <m/>
  </r>
  <r>
    <x v="1"/>
    <x v="7"/>
    <s v="West Asia and Africa"/>
    <s v="No Specific Relationship"/>
    <s v="Major Non-NATO Ally"/>
    <s v="AFRICOM"/>
    <x v="85"/>
    <x v="17"/>
    <n v="11"/>
    <x v="4"/>
    <s v="Tong Shiping"/>
    <m/>
    <s v="GPD Deputy Director"/>
    <n v="6"/>
    <x v="1"/>
    <m/>
    <x v="0"/>
    <m/>
    <x v="0"/>
    <m/>
    <m/>
    <m/>
    <m/>
    <m/>
    <s v="Defense White Paper Appendix"/>
    <m/>
  </r>
  <r>
    <x v="1"/>
    <x v="9"/>
    <s v="West Asia and Africa"/>
    <s v="No Specific Relationship"/>
    <s v="None"/>
    <s v="CENTCOM"/>
    <x v="106"/>
    <x v="17"/>
    <n v="11"/>
    <x v="4"/>
    <s v="Liang Guanglie"/>
    <m/>
    <s v="Defense Minister; CMC Member"/>
    <n v="8"/>
    <x v="1"/>
    <m/>
    <x v="0"/>
    <m/>
    <x v="0"/>
    <m/>
    <m/>
    <m/>
    <m/>
    <m/>
    <s v="Defense White Paper Appendix"/>
    <m/>
  </r>
  <r>
    <x v="1"/>
    <x v="10"/>
    <s v="America and Oceania"/>
    <s v="Strategic Development Partnership [战略发展伙伴关系]"/>
    <s v="None"/>
    <s v="SOUTHCOM"/>
    <x v="56"/>
    <x v="17"/>
    <n v="11"/>
    <x v="4"/>
    <s v="Liu Chengjun"/>
    <m/>
    <s v="AMS President"/>
    <n v="6"/>
    <x v="1"/>
    <m/>
    <x v="0"/>
    <m/>
    <x v="0"/>
    <m/>
    <m/>
    <m/>
    <m/>
    <m/>
    <s v="Defense White Paper Appendix"/>
    <m/>
  </r>
  <r>
    <x v="1"/>
    <x v="1"/>
    <s v="Asia"/>
    <s v="Comprehensive Strategic Cooperative Partnership [全面战略合作伙伴关系]"/>
    <s v="None"/>
    <s v="INDOPACOM"/>
    <x v="23"/>
    <x v="17"/>
    <n v="11"/>
    <x v="4"/>
    <s v="Ma Xiaotian"/>
    <m/>
    <s v="GSD DCGS"/>
    <n v="6"/>
    <x v="1"/>
    <m/>
    <x v="0"/>
    <m/>
    <x v="0"/>
    <m/>
    <m/>
    <m/>
    <m/>
    <m/>
    <s v="Defense White Paper Appendix"/>
    <m/>
  </r>
  <r>
    <x v="0"/>
    <x v="1"/>
    <s v="Asia"/>
    <s v="Comprehensive Strategic Cooperative Partnership [全面战略合作伙伴关系]"/>
    <s v="None"/>
    <s v="INDOPACOM"/>
    <x v="23"/>
    <x v="17"/>
    <n v="11"/>
    <x v="8"/>
    <m/>
    <m/>
    <m/>
    <m/>
    <x v="0"/>
    <m/>
    <x v="0"/>
    <m/>
    <x v="0"/>
    <m/>
    <s v="NETF"/>
    <s v="NETF"/>
    <m/>
    <m/>
    <s v="USCC Report 2009"/>
    <m/>
  </r>
  <r>
    <x v="1"/>
    <x v="9"/>
    <s v="West Asia and Africa"/>
    <s v="No Specific Relationship"/>
    <s v="None"/>
    <s v="CENTCOM"/>
    <x v="135"/>
    <x v="17"/>
    <n v="11"/>
    <x v="4"/>
    <s v="Ma Xiaotian"/>
    <m/>
    <s v="GSD DCGS"/>
    <n v="6"/>
    <x v="1"/>
    <m/>
    <x v="0"/>
    <m/>
    <x v="0"/>
    <m/>
    <m/>
    <m/>
    <m/>
    <m/>
    <s v="Defense White Paper Appendix"/>
    <m/>
  </r>
  <r>
    <x v="1"/>
    <x v="8"/>
    <s v="Europe and Central Asia"/>
    <s v="No Specific Relationship"/>
    <s v="None"/>
    <s v="EUCOM"/>
    <x v="63"/>
    <x v="17"/>
    <n v="12"/>
    <x v="3"/>
    <s v="Guo Boxiong"/>
    <m/>
    <s v="CMC Vice Chairman"/>
    <n v="10"/>
    <x v="2"/>
    <s v="Defense Minister"/>
    <x v="0"/>
    <m/>
    <x v="0"/>
    <m/>
    <m/>
    <m/>
    <m/>
    <m/>
    <s v="Defense White Paper Appendix"/>
    <m/>
  </r>
  <r>
    <x v="1"/>
    <x v="8"/>
    <s v="Europe and Central Asia"/>
    <s v="No Specific Relationship"/>
    <s v="None"/>
    <s v="EUCOM"/>
    <x v="124"/>
    <x v="17"/>
    <n v="12"/>
    <x v="3"/>
    <s v="Liang Guanglie"/>
    <m/>
    <s v="GSD Commander; CMC Member"/>
    <n v="8"/>
    <x v="2"/>
    <s v="Head JCS"/>
    <x v="0"/>
    <m/>
    <x v="0"/>
    <m/>
    <m/>
    <m/>
    <m/>
    <m/>
    <s v="Defense White Paper Appendix"/>
    <m/>
  </r>
  <r>
    <x v="1"/>
    <x v="10"/>
    <s v="America and Oceania"/>
    <s v="Comprehensive Partnership [全面伙伴关系]"/>
    <s v="None"/>
    <s v="SOUTHCOM"/>
    <x v="66"/>
    <x v="17"/>
    <n v="12"/>
    <x v="4"/>
    <s v="Chi Wanchun"/>
    <m/>
    <s v="GAD Political Commissar"/>
    <n v="6"/>
    <x v="1"/>
    <m/>
    <x v="0"/>
    <m/>
    <x v="0"/>
    <m/>
    <m/>
    <m/>
    <m/>
    <m/>
    <s v="Defense White Paper Appendix"/>
    <m/>
  </r>
  <r>
    <x v="1"/>
    <x v="7"/>
    <s v="West Asia and Africa"/>
    <s v="No Specific Relationship"/>
    <s v="None"/>
    <s v="AFRICOM"/>
    <x v="67"/>
    <x v="17"/>
    <n v="12"/>
    <x v="3"/>
    <s v="Qi Jianguo"/>
    <m/>
    <s v="GSD Assistant Commander"/>
    <n v="5"/>
    <x v="2"/>
    <s v="Defense Minister"/>
    <x v="0"/>
    <m/>
    <x v="0"/>
    <m/>
    <m/>
    <m/>
    <m/>
    <m/>
    <s v="Defense White Paper Appendix"/>
    <m/>
  </r>
  <r>
    <x v="1"/>
    <x v="8"/>
    <s v="Europe and Central Asia"/>
    <s v="No Specific Relationship"/>
    <s v="NATO"/>
    <s v="EUCOM"/>
    <x v="82"/>
    <x v="17"/>
    <n v="12"/>
    <x v="3"/>
    <s v="Chen Bingde"/>
    <m/>
    <s v="GSD Commander; CMC Member"/>
    <n v="8"/>
    <x v="2"/>
    <s v="COGS"/>
    <x v="0"/>
    <m/>
    <x v="0"/>
    <m/>
    <m/>
    <m/>
    <m/>
    <m/>
    <s v="Defense White Paper Appendix"/>
    <m/>
  </r>
  <r>
    <x v="1"/>
    <x v="0"/>
    <s v="Asia"/>
    <s v="Strategic Partnership for Peace and Prosperity [战略伙伴关系]"/>
    <s v="None"/>
    <s v="INDOPACOM"/>
    <x v="6"/>
    <x v="17"/>
    <n v="12"/>
    <x v="4"/>
    <s v="Ma Xiaotian"/>
    <m/>
    <s v="GSD DCGS"/>
    <n v="6"/>
    <x v="1"/>
    <m/>
    <x v="0"/>
    <m/>
    <x v="0"/>
    <m/>
    <m/>
    <m/>
    <m/>
    <m/>
    <s v="Defense White Paper Appendix"/>
    <m/>
  </r>
  <r>
    <x v="2"/>
    <x v="0"/>
    <s v="Asia"/>
    <s v="Strategic Partnership for Peace and Prosperity [战略伙伴关系]"/>
    <s v="None"/>
    <s v="INDOPACOM"/>
    <x v="6"/>
    <x v="17"/>
    <n v="12"/>
    <x v="5"/>
    <m/>
    <m/>
    <m/>
    <m/>
    <x v="0"/>
    <m/>
    <x v="1"/>
    <s v="Hand-in-Hand 2008"/>
    <x v="1"/>
    <s v="Anti-terrorism"/>
    <m/>
    <m/>
    <m/>
    <m/>
    <s v="Defense White Paper Appendix"/>
    <m/>
  </r>
  <r>
    <x v="1"/>
    <x v="1"/>
    <s v="Asia"/>
    <s v="Strategic Partnership [战略伙伴关系]"/>
    <s v="None"/>
    <s v="INDOPACOM"/>
    <x v="8"/>
    <x v="17"/>
    <n v="12"/>
    <x v="4"/>
    <s v="Chi Wanchun"/>
    <m/>
    <s v="GAD Political Commissar"/>
    <n v="6"/>
    <x v="1"/>
    <m/>
    <x v="0"/>
    <m/>
    <x v="0"/>
    <m/>
    <m/>
    <m/>
    <m/>
    <m/>
    <s v="Defense White Paper Appendix"/>
    <m/>
  </r>
  <r>
    <x v="1"/>
    <x v="9"/>
    <s v="West Asia and Africa"/>
    <s v="No Specific Relationship"/>
    <s v="Major Non-NATO Ally"/>
    <s v="CENTCOM"/>
    <x v="100"/>
    <x v="17"/>
    <n v="12"/>
    <x v="4"/>
    <s v="Qi Jianguo"/>
    <m/>
    <s v="GSD Assistant Commander"/>
    <n v="5"/>
    <x v="1"/>
    <m/>
    <x v="0"/>
    <m/>
    <x v="0"/>
    <m/>
    <m/>
    <m/>
    <m/>
    <m/>
    <s v="Defense White Paper Appendix"/>
    <m/>
  </r>
  <r>
    <x v="1"/>
    <x v="9"/>
    <s v="West Asia and Africa"/>
    <s v="No Specific Relationship"/>
    <s v="Major Non-NATO Ally"/>
    <s v="CENTCOM"/>
    <x v="101"/>
    <x v="17"/>
    <n v="12"/>
    <x v="4"/>
    <s v="Zhao Keshi"/>
    <m/>
    <s v="Nanjing MR Commander"/>
    <n v="6"/>
    <x v="1"/>
    <m/>
    <x v="0"/>
    <m/>
    <x v="0"/>
    <m/>
    <m/>
    <m/>
    <m/>
    <m/>
    <s v="Defense White Paper Appendix"/>
    <m/>
  </r>
  <r>
    <x v="1"/>
    <x v="9"/>
    <s v="West Asia and Africa"/>
    <s v="No Specific Relationship"/>
    <s v="None"/>
    <s v="CENTCOM"/>
    <x v="110"/>
    <x v="17"/>
    <n v="12"/>
    <x v="4"/>
    <s v="Zhao Keshi"/>
    <m/>
    <s v="Nanjing MR Commander"/>
    <n v="6"/>
    <x v="1"/>
    <m/>
    <x v="0"/>
    <m/>
    <x v="0"/>
    <m/>
    <m/>
    <m/>
    <m/>
    <m/>
    <s v="Defense White Paper Appendix"/>
    <m/>
  </r>
  <r>
    <x v="1"/>
    <x v="8"/>
    <s v="Europe and Central Asia"/>
    <s v="No Specific Relationship"/>
    <s v="None"/>
    <s v="EUCOM"/>
    <x v="148"/>
    <x v="17"/>
    <n v="12"/>
    <x v="4"/>
    <s v="Qi Jianguo"/>
    <m/>
    <s v="GSD Assistant Commander"/>
    <n v="5"/>
    <x v="1"/>
    <m/>
    <x v="0"/>
    <m/>
    <x v="0"/>
    <m/>
    <m/>
    <m/>
    <m/>
    <m/>
    <s v="Defense White Paper Appendix"/>
    <m/>
  </r>
  <r>
    <x v="1"/>
    <x v="1"/>
    <s v="Asia"/>
    <s v="No Specific Relationship"/>
    <s v="None"/>
    <s v="INDOPACOM"/>
    <x v="1"/>
    <x v="17"/>
    <n v="12"/>
    <x v="3"/>
    <s v="Chen Bingde"/>
    <m/>
    <s v="GSD Commander; CMC Member"/>
    <n v="8"/>
    <x v="2"/>
    <s v="COGS"/>
    <x v="0"/>
    <m/>
    <x v="0"/>
    <m/>
    <m/>
    <m/>
    <m/>
    <m/>
    <s v="Defense White Paper Appendix"/>
    <m/>
  </r>
  <r>
    <x v="1"/>
    <x v="0"/>
    <s v="Asia"/>
    <s v="Good-Neighborly Partnership [世代友好的睦邻伙伴关系]"/>
    <s v="None"/>
    <s v="INDOPACOM"/>
    <x v="32"/>
    <x v="17"/>
    <n v="12"/>
    <x v="4"/>
    <s v="Ma Xiaotian"/>
    <m/>
    <s v="GSD DCGS"/>
    <n v="6"/>
    <x v="1"/>
    <m/>
    <x v="0"/>
    <m/>
    <x v="0"/>
    <m/>
    <m/>
    <m/>
    <m/>
    <m/>
    <s v="Defense White Paper Appendix"/>
    <s v="Recoded as South Asia"/>
  </r>
  <r>
    <x v="1"/>
    <x v="0"/>
    <s v="Asia"/>
    <s v="Strategic Partnership [战略伙伴关系]"/>
    <s v="Major Non-NATO Ally"/>
    <s v="CENTCOM"/>
    <x v="2"/>
    <x v="17"/>
    <n v="12"/>
    <x v="3"/>
    <s v="Liang Guanglie"/>
    <m/>
    <s v="Defense Minister; CMC Member"/>
    <n v="8"/>
    <x v="2"/>
    <s v="Chairman JCS"/>
    <x v="0"/>
    <m/>
    <x v="0"/>
    <m/>
    <m/>
    <m/>
    <m/>
    <m/>
    <s v="Defense White Paper Appendix"/>
    <m/>
  </r>
  <r>
    <x v="1"/>
    <x v="3"/>
    <s v="Europe and Central Asia"/>
    <s v="Strategic Partnership of Coordination [战略协作伙伴关系]"/>
    <s v="None"/>
    <s v="EUCOM"/>
    <x v="7"/>
    <x v="17"/>
    <n v="12"/>
    <x v="3"/>
    <s v="Guo Boxiong"/>
    <m/>
    <s v="CMC Vice Chairman"/>
    <n v="10"/>
    <x v="2"/>
    <s v="Defense Minister"/>
    <x v="0"/>
    <m/>
    <x v="0"/>
    <m/>
    <m/>
    <m/>
    <m/>
    <m/>
    <s v="Defense White Paper Appendix"/>
    <m/>
  </r>
  <r>
    <x v="1"/>
    <x v="1"/>
    <s v="Asia"/>
    <s v="No Specific Relationship"/>
    <s v="None"/>
    <s v="INDOPACOM"/>
    <x v="39"/>
    <x v="17"/>
    <n v="12"/>
    <x v="3"/>
    <s v="Liang Guanglie"/>
    <m/>
    <s v="Defense Minister; CMC Member"/>
    <n v="8"/>
    <x v="2"/>
    <s v="COGS"/>
    <x v="0"/>
    <m/>
    <x v="0"/>
    <m/>
    <m/>
    <m/>
    <m/>
    <m/>
    <s v="Defense White Paper Appendix"/>
    <m/>
  </r>
  <r>
    <x v="1"/>
    <x v="2"/>
    <s v="America and Oceania"/>
    <s v="No Specific Relationship"/>
    <s v="N/A"/>
    <s v="NORTHCOM"/>
    <x v="4"/>
    <x v="17"/>
    <n v="12"/>
    <x v="3"/>
    <s v="Liang Guanglie"/>
    <m/>
    <s v="Defense Minister; CMC Member"/>
    <n v="8"/>
    <x v="2"/>
    <s v="former Chairman JCS"/>
    <x v="0"/>
    <m/>
    <x v="0"/>
    <m/>
    <m/>
    <m/>
    <m/>
    <m/>
    <s v="Defense White Paper Appendix"/>
    <m/>
  </r>
  <r>
    <x v="1"/>
    <x v="1"/>
    <s v="Asia"/>
    <s v="Comprehensive Strategic Cooperative Partnership [全面战略合作伙伴关系]"/>
    <s v="None"/>
    <s v="INDOPACOM"/>
    <x v="23"/>
    <x v="17"/>
    <n v="12"/>
    <x v="3"/>
    <s v="Liang Guanglie"/>
    <m/>
    <s v="Defense Minister; CMC Member"/>
    <n v="6"/>
    <x v="2"/>
    <s v="COGS"/>
    <x v="0"/>
    <m/>
    <x v="0"/>
    <m/>
    <m/>
    <m/>
    <m/>
    <m/>
    <s v="https://dlib.eastview.com/browse/doc/19268531"/>
    <m/>
  </r>
  <r>
    <x v="1"/>
    <x v="8"/>
    <s v="Europe and Central Asia"/>
    <s v="No Specific Relationship"/>
    <s v="None"/>
    <s v="EUCOM"/>
    <x v="148"/>
    <x v="18"/>
    <n v="1"/>
    <x v="3"/>
    <s v="Chen Bingde"/>
    <m/>
    <s v="GSD Commander; CMC Member"/>
    <n v="8"/>
    <x v="2"/>
    <s v="Commander Armed Forces"/>
    <x v="0"/>
    <m/>
    <x v="0"/>
    <m/>
    <m/>
    <m/>
    <m/>
    <m/>
    <s v="Defense White Paper Appendix"/>
    <m/>
  </r>
  <r>
    <x v="1"/>
    <x v="8"/>
    <s v="Europe and Central Asia"/>
    <s v="No Specific Relationship"/>
    <s v="None"/>
    <s v="EUCOM"/>
    <x v="26"/>
    <x v="18"/>
    <n v="1"/>
    <x v="3"/>
    <s v="Liang Guanglie"/>
    <m/>
    <s v="Defense Minister; CMC Member"/>
    <n v="8"/>
    <x v="2"/>
    <s v="Defense Minister"/>
    <x v="0"/>
    <m/>
    <x v="0"/>
    <m/>
    <m/>
    <m/>
    <m/>
    <m/>
    <s v="Defense White Paper Appendix"/>
    <m/>
  </r>
  <r>
    <x v="1"/>
    <x v="1"/>
    <s v="Asia"/>
    <s v="No Specific Relationship"/>
    <s v="None"/>
    <s v="INDOPACOM"/>
    <x v="44"/>
    <x v="18"/>
    <n v="2"/>
    <x v="4"/>
    <s v="Ma Xiaotian"/>
    <m/>
    <s v="GSD DCGS"/>
    <n v="6"/>
    <x v="1"/>
    <m/>
    <x v="0"/>
    <m/>
    <x v="0"/>
    <m/>
    <m/>
    <m/>
    <m/>
    <m/>
    <s v="Defense White Paper Appendix"/>
    <m/>
  </r>
  <r>
    <x v="1"/>
    <x v="9"/>
    <s v="West Asia and Africa"/>
    <s v="Strategic Cooperative Partnership [战略合作伙伴关系]"/>
    <s v="Major Non-NATO Ally"/>
    <s v="CENTCOM"/>
    <x v="24"/>
    <x v="18"/>
    <n v="2"/>
    <x v="3"/>
    <s v="Liang Guanglie"/>
    <m/>
    <s v="Defense Minister; CMC Member"/>
    <n v="8"/>
    <x v="2"/>
    <s v="Air Force Commander"/>
    <x v="0"/>
    <m/>
    <x v="0"/>
    <m/>
    <m/>
    <m/>
    <m/>
    <m/>
    <s v="Defense White Paper Appendix"/>
    <m/>
  </r>
  <r>
    <x v="1"/>
    <x v="8"/>
    <s v="Europe and Central Asia"/>
    <s v="No Specific Relationship"/>
    <s v="None"/>
    <s v="EUCOM"/>
    <x v="81"/>
    <x v="18"/>
    <n v="2"/>
    <x v="3"/>
    <s v="Liang Guanglie"/>
    <m/>
    <s v="Defense Minister; CMC Member"/>
    <n v="8"/>
    <x v="2"/>
    <s v="Defense Minister"/>
    <x v="0"/>
    <m/>
    <x v="0"/>
    <m/>
    <m/>
    <m/>
    <m/>
    <m/>
    <s v="Defense White Paper Appendix"/>
    <m/>
  </r>
  <r>
    <x v="1"/>
    <x v="4"/>
    <s v="Asia"/>
    <s v="Mutually Beneficial Strategic Relationship [战略互惠关系]"/>
    <s v="Bilateral Defense Treaty"/>
    <s v="INDOPACOM"/>
    <x v="83"/>
    <x v="18"/>
    <n v="2"/>
    <x v="4"/>
    <s v="Ma Xiaotian"/>
    <m/>
    <s v="GSD DCGS"/>
    <n v="6"/>
    <x v="1"/>
    <m/>
    <x v="0"/>
    <m/>
    <x v="0"/>
    <m/>
    <m/>
    <m/>
    <m/>
    <m/>
    <s v="Defense White Paper Appendix"/>
    <m/>
  </r>
  <r>
    <x v="1"/>
    <x v="0"/>
    <s v="West Asia and Africa"/>
    <s v="No Specific Relationship"/>
    <s v="None"/>
    <s v="INDOPACOM"/>
    <x v="149"/>
    <x v="18"/>
    <n v="2"/>
    <x v="3"/>
    <s v="Liang Guanglie"/>
    <m/>
    <s v="Defense Minister; CMC Member"/>
    <n v="8"/>
    <x v="2"/>
    <s v="Defense Minister"/>
    <x v="0"/>
    <m/>
    <x v="0"/>
    <m/>
    <m/>
    <m/>
    <m/>
    <m/>
    <s v="Defense White Paper Appendix"/>
    <m/>
  </r>
  <r>
    <x v="0"/>
    <x v="9"/>
    <s v="West Asia and Africa"/>
    <s v="No Specific Relationship"/>
    <s v="None"/>
    <s v="CENTCOM"/>
    <x v="135"/>
    <x v="18"/>
    <n v="2"/>
    <x v="9"/>
    <m/>
    <m/>
    <m/>
    <m/>
    <x v="0"/>
    <m/>
    <x v="0"/>
    <m/>
    <x v="0"/>
    <m/>
    <s v="ETF"/>
    <s v="ETF-01 "/>
    <s v="South Sea Fleet"/>
    <s v="DDG169 Wuhan, DDG171 Haikou, AOR887 Weishan Hu; unknown, could also be ETF-2"/>
    <m/>
    <m/>
  </r>
  <r>
    <x v="1"/>
    <x v="5"/>
    <s v="America and Oceania"/>
    <s v="No Specific Relationship"/>
    <s v="ANZUS Treaty"/>
    <s v="INDOPACOM"/>
    <x v="12"/>
    <x v="18"/>
    <n v="3"/>
    <x v="3"/>
    <s v="Ma Xiaotian"/>
    <m/>
    <s v="GSD DCGS"/>
    <n v="6"/>
    <x v="1"/>
    <s v="Army Commander"/>
    <x v="0"/>
    <m/>
    <x v="0"/>
    <m/>
    <m/>
    <m/>
    <m/>
    <m/>
    <s v="Defense White Paper Appendix"/>
    <m/>
  </r>
  <r>
    <x v="1"/>
    <x v="0"/>
    <s v="Asia"/>
    <s v="Comprehensive Cooperative Partnership [全面合作伙伴关系]"/>
    <s v="None"/>
    <s v="INDOPACOM"/>
    <x v="0"/>
    <x v="18"/>
    <n v="3"/>
    <x v="4"/>
    <s v="Ma Xiaotian"/>
    <m/>
    <s v="GSD DCGS"/>
    <n v="6"/>
    <x v="1"/>
    <m/>
    <x v="0"/>
    <m/>
    <x v="0"/>
    <m/>
    <m/>
    <m/>
    <m/>
    <m/>
    <s v="Defense White Paper Appendix"/>
    <m/>
  </r>
  <r>
    <x v="1"/>
    <x v="10"/>
    <s v="America and Oceania"/>
    <s v="No Specific Relationship"/>
    <s v="None"/>
    <s v="SOUTHCOM"/>
    <x v="49"/>
    <x v="18"/>
    <n v="3"/>
    <x v="4"/>
    <s v="Fu Tinggui"/>
    <m/>
    <s v="Beijing MR Political Commissar"/>
    <n v="6"/>
    <x v="1"/>
    <m/>
    <x v="0"/>
    <m/>
    <x v="0"/>
    <m/>
    <m/>
    <m/>
    <m/>
    <m/>
    <s v="Defense White Paper Appendix"/>
    <m/>
  </r>
  <r>
    <x v="1"/>
    <x v="4"/>
    <s v="Asia"/>
    <s v="Mutually Beneficial Strategic Relationship [战略互惠关系]"/>
    <s v="Bilateral Defense Treaty"/>
    <s v="INDOPACOM"/>
    <x v="83"/>
    <x v="18"/>
    <n v="3"/>
    <x v="3"/>
    <s v="Liang Guanglie"/>
    <m/>
    <s v="Defense Minister; CMC Member"/>
    <n v="8"/>
    <x v="2"/>
    <s v="Defense Minister"/>
    <x v="0"/>
    <m/>
    <x v="0"/>
    <m/>
    <m/>
    <m/>
    <m/>
    <m/>
    <s v="Defense White Paper Appendix"/>
    <m/>
  </r>
  <r>
    <x v="1"/>
    <x v="1"/>
    <s v="Asia"/>
    <s v="Strategic Cooperative Partnership [战略合作伙伴关系]"/>
    <s v="None"/>
    <s v="INDOPACOM"/>
    <x v="10"/>
    <x v="18"/>
    <n v="3"/>
    <x v="4"/>
    <s v="Ma Xiaotian"/>
    <m/>
    <s v="GSD DCGS"/>
    <n v="6"/>
    <x v="1"/>
    <m/>
    <x v="0"/>
    <m/>
    <x v="0"/>
    <m/>
    <m/>
    <m/>
    <m/>
    <m/>
    <s v="Defense White Paper Appendix"/>
    <m/>
  </r>
  <r>
    <x v="1"/>
    <x v="7"/>
    <s v="West Asia and Africa"/>
    <s v="No Specific Relationship"/>
    <s v="None"/>
    <s v="AFRICOM"/>
    <x v="84"/>
    <x v="18"/>
    <n v="3"/>
    <x v="4"/>
    <s v="Ma Xiaotian"/>
    <m/>
    <s v="GSD DCGS"/>
    <n v="6"/>
    <x v="1"/>
    <m/>
    <x v="0"/>
    <m/>
    <x v="0"/>
    <m/>
    <m/>
    <m/>
    <m/>
    <m/>
    <s v="Defense White Paper Appendix"/>
    <m/>
  </r>
  <r>
    <x v="1"/>
    <x v="1"/>
    <s v="Asia"/>
    <s v="No Specific Relationship"/>
    <s v="None"/>
    <s v="INDOPACOM"/>
    <x v="1"/>
    <x v="18"/>
    <n v="3"/>
    <x v="4"/>
    <s v="Chen Bingde"/>
    <m/>
    <s v="GSD Commander; CMC Member"/>
    <n v="8"/>
    <x v="1"/>
    <m/>
    <x v="0"/>
    <m/>
    <x v="0"/>
    <m/>
    <m/>
    <m/>
    <m/>
    <m/>
    <s v="Defense White Paper Appendix"/>
    <m/>
  </r>
  <r>
    <x v="1"/>
    <x v="5"/>
    <s v="America and Oceania"/>
    <s v="No Specific Relationship"/>
    <s v="ANZUS Treaty"/>
    <s v="INDOPACOM"/>
    <x v="13"/>
    <x v="18"/>
    <n v="3"/>
    <x v="4"/>
    <s v="Ma Xiaotian"/>
    <m/>
    <s v="GSD DCGS"/>
    <n v="6"/>
    <x v="1"/>
    <s v="Defense Minister"/>
    <x v="0"/>
    <m/>
    <x v="0"/>
    <m/>
    <m/>
    <m/>
    <m/>
    <m/>
    <s v="Defense White Paper Appendix"/>
    <m/>
  </r>
  <r>
    <x v="1"/>
    <x v="0"/>
    <s v="Asia"/>
    <s v="Strategic Partnership [战略伙伴关系]"/>
    <s v="Major Non-NATO Ally"/>
    <s v="CENTCOM"/>
    <x v="2"/>
    <x v="18"/>
    <n v="3"/>
    <x v="4"/>
    <s v="Ma Xiaotian"/>
    <m/>
    <s v="GSD DCGS"/>
    <n v="6"/>
    <x v="1"/>
    <m/>
    <x v="0"/>
    <m/>
    <x v="0"/>
    <m/>
    <m/>
    <m/>
    <m/>
    <m/>
    <s v="Defense White Paper Appendix"/>
    <m/>
  </r>
  <r>
    <x v="2"/>
    <x v="0"/>
    <s v="Asia"/>
    <s v="Strategic Partnership [战略伙伴关系]"/>
    <s v="Major Non-NATO Ally"/>
    <s v="CENTCOM"/>
    <x v="2"/>
    <x v="18"/>
    <n v="3"/>
    <x v="6"/>
    <m/>
    <m/>
    <m/>
    <m/>
    <x v="0"/>
    <m/>
    <x v="2"/>
    <s v="Aman"/>
    <x v="2"/>
    <s v="Maritime in Arabian Sea; Pakistan and 10 other countries"/>
    <m/>
    <m/>
    <m/>
    <m/>
    <s v="Defense White Paper Appendix"/>
    <m/>
  </r>
  <r>
    <x v="1"/>
    <x v="1"/>
    <s v="Asia"/>
    <s v="No Specific Relationship"/>
    <s v="None"/>
    <s v="INDOPACOM"/>
    <x v="39"/>
    <x v="18"/>
    <n v="3"/>
    <x v="4"/>
    <s v="Ma Xiaotian"/>
    <m/>
    <s v="GSD DCGS"/>
    <n v="6"/>
    <x v="1"/>
    <m/>
    <x v="0"/>
    <m/>
    <x v="0"/>
    <m/>
    <m/>
    <m/>
    <m/>
    <m/>
    <s v="Defense White Paper Appendix"/>
    <m/>
  </r>
  <r>
    <x v="1"/>
    <x v="4"/>
    <s v="Asia"/>
    <s v="Strategic Cooperative Partnership [战略合作伙伴关系]"/>
    <s v="Bilateral Defense Treaty"/>
    <s v="INDOPACOM"/>
    <x v="25"/>
    <x v="18"/>
    <n v="3"/>
    <x v="4"/>
    <s v="Chen Bingde"/>
    <m/>
    <s v="GSD Commander; CMC Member"/>
    <n v="8"/>
    <x v="1"/>
    <m/>
    <x v="0"/>
    <m/>
    <x v="0"/>
    <m/>
    <m/>
    <m/>
    <m/>
    <m/>
    <s v="Defense White Paper Appendix"/>
    <m/>
  </r>
  <r>
    <x v="1"/>
    <x v="0"/>
    <s v="Asia"/>
    <s v="Comprehensive Cooperative Partnership [全面合作伙伴关系]"/>
    <s v="None"/>
    <s v="INDOPACOM"/>
    <x v="3"/>
    <x v="18"/>
    <n v="3"/>
    <x v="3"/>
    <s v="Ma Xiaotian"/>
    <m/>
    <s v="GSD DCGS"/>
    <n v="6"/>
    <x v="1"/>
    <s v="Permanent Secretary of Ministry of Defense"/>
    <x v="0"/>
    <m/>
    <x v="0"/>
    <m/>
    <m/>
    <m/>
    <m/>
    <m/>
    <s v="Defense White Paper Appendix"/>
    <m/>
  </r>
  <r>
    <x v="1"/>
    <x v="6"/>
    <s v="Europe and Central Asia"/>
    <s v="No Specific Relationship"/>
    <s v="None"/>
    <s v="CENTCOM"/>
    <x v="60"/>
    <x v="18"/>
    <n v="3"/>
    <x v="3"/>
    <s v="Ma Xiaotian"/>
    <m/>
    <s v="GSD DCGS"/>
    <n v="6"/>
    <x v="1"/>
    <s v="Defense Minister"/>
    <x v="0"/>
    <m/>
    <x v="0"/>
    <m/>
    <m/>
    <m/>
    <m/>
    <m/>
    <s v="Defense White Paper Appendix"/>
    <m/>
  </r>
  <r>
    <x v="1"/>
    <x v="1"/>
    <s v="Asia"/>
    <s v="Comprehensive Strategic Cooperative Partnership [全面战略合作伙伴关系]"/>
    <s v="None"/>
    <s v="INDOPACOM"/>
    <x v="23"/>
    <x v="18"/>
    <n v="3"/>
    <x v="4"/>
    <s v="Chen Bingde"/>
    <m/>
    <s v="GSD Commander; CMC Member"/>
    <n v="8"/>
    <x v="1"/>
    <m/>
    <x v="0"/>
    <m/>
    <x v="0"/>
    <m/>
    <m/>
    <m/>
    <m/>
    <m/>
    <s v="Defense White Paper Appendix"/>
    <m/>
  </r>
  <r>
    <x v="1"/>
    <x v="7"/>
    <s v="West Asia and Africa"/>
    <s v="No Specific Relationship"/>
    <s v="None"/>
    <s v="AFRICOM"/>
    <x v="61"/>
    <x v="18"/>
    <n v="3"/>
    <x v="4"/>
    <s v="Ma Xiaotian"/>
    <m/>
    <s v="GSD DCGS"/>
    <n v="6"/>
    <x v="1"/>
    <m/>
    <x v="0"/>
    <m/>
    <x v="0"/>
    <m/>
    <m/>
    <m/>
    <m/>
    <m/>
    <s v="Defense White Paper Appendix"/>
    <m/>
  </r>
  <r>
    <x v="1"/>
    <x v="10"/>
    <s v="America and Oceania"/>
    <s v="Strategic Partnership [战略伙伴关系]"/>
    <s v="Major Non-NATO Ally"/>
    <s v="SOUTHCOM"/>
    <x v="62"/>
    <x v="18"/>
    <n v="4"/>
    <x v="4"/>
    <s v="Ma Xiaotian"/>
    <m/>
    <s v="GSD DCGS"/>
    <n v="6"/>
    <x v="1"/>
    <m/>
    <x v="0"/>
    <m/>
    <x v="0"/>
    <m/>
    <m/>
    <m/>
    <m/>
    <m/>
    <s v="Defense White Paper Appendix"/>
    <m/>
  </r>
  <r>
    <x v="1"/>
    <x v="0"/>
    <s v="Asia"/>
    <s v="Comprehensive Cooperative Partnership [全面合作伙伴关系]"/>
    <s v="None"/>
    <s v="INDOPACOM"/>
    <x v="0"/>
    <x v="18"/>
    <n v="4"/>
    <x v="3"/>
    <s v="Wu Shengli"/>
    <m/>
    <s v="PLAN Commander; CMC Member"/>
    <n v="8"/>
    <x v="2"/>
    <s v="Navy Commander"/>
    <x v="0"/>
    <m/>
    <x v="0"/>
    <m/>
    <m/>
    <m/>
    <m/>
    <m/>
    <s v="Defense White Paper Appendix"/>
    <m/>
  </r>
  <r>
    <x v="1"/>
    <x v="8"/>
    <s v="Europe and Central Asia"/>
    <s v="Strategic Partnership [战略伙伴关系]"/>
    <s v="NATO"/>
    <s v="EUCOM"/>
    <x v="34"/>
    <x v="18"/>
    <n v="4"/>
    <x v="4"/>
    <s v="Zhang Youxia"/>
    <m/>
    <s v="Shenyang MR Commander"/>
    <n v="6"/>
    <x v="1"/>
    <m/>
    <x v="0"/>
    <m/>
    <x v="0"/>
    <m/>
    <m/>
    <m/>
    <m/>
    <m/>
    <s v="Defense White Paper Appendix"/>
    <m/>
  </r>
  <r>
    <x v="1"/>
    <x v="10"/>
    <s v="America and Oceania"/>
    <s v="Comprehensive Strategic Partnership [全面战略伙伴关系]"/>
    <s v="None"/>
    <s v="SOUTHCOM"/>
    <x v="43"/>
    <x v="18"/>
    <n v="4"/>
    <x v="4"/>
    <s v="Ma Xiaotian"/>
    <m/>
    <s v="GSD DCGS"/>
    <n v="6"/>
    <x v="1"/>
    <m/>
    <x v="0"/>
    <m/>
    <x v="0"/>
    <m/>
    <m/>
    <m/>
    <m/>
    <m/>
    <s v="Defense White Paper Appendix"/>
    <m/>
  </r>
  <r>
    <x v="1"/>
    <x v="1"/>
    <s v="Asia"/>
    <s v="Comprehensive Cooperative Partnership [全面合作伙伴关系]"/>
    <s v="None"/>
    <s v="INDOPACOM"/>
    <x v="94"/>
    <x v="18"/>
    <n v="4"/>
    <x v="4"/>
    <s v="Ma Xiaotian"/>
    <m/>
    <s v="GSD DCGS"/>
    <n v="6"/>
    <x v="1"/>
    <m/>
    <x v="0"/>
    <m/>
    <x v="0"/>
    <m/>
    <m/>
    <m/>
    <m/>
    <m/>
    <s v="Defense White Paper Appendix"/>
    <m/>
  </r>
  <r>
    <x v="1"/>
    <x v="10"/>
    <s v="America and Oceania"/>
    <s v="Comprehensive Partnership [全面伙伴关系]"/>
    <s v="None"/>
    <s v="SOUTHCOM"/>
    <x v="66"/>
    <x v="18"/>
    <n v="4"/>
    <x v="3"/>
    <s v="Wu Shengli"/>
    <m/>
    <s v="PLAN Commander; CMC Member"/>
    <n v="8"/>
    <x v="2"/>
    <s v="Navy Commander"/>
    <x v="0"/>
    <m/>
    <x v="0"/>
    <m/>
    <m/>
    <m/>
    <m/>
    <m/>
    <s v="Defense White Paper Appendix"/>
    <m/>
  </r>
  <r>
    <x v="1"/>
    <x v="0"/>
    <s v="Asia"/>
    <s v="Strategic Partnership for Peace and Prosperity [战略伙伴关系]"/>
    <s v="None"/>
    <s v="INDOPACOM"/>
    <x v="6"/>
    <x v="18"/>
    <n v="4"/>
    <x v="3"/>
    <s v="Wu Shengli"/>
    <m/>
    <s v="PLAN Commander; CMC Member"/>
    <n v="8"/>
    <x v="2"/>
    <s v="Navy Commander"/>
    <x v="0"/>
    <m/>
    <x v="0"/>
    <m/>
    <m/>
    <m/>
    <m/>
    <m/>
    <s v="Defense White Paper Appendix"/>
    <m/>
  </r>
  <r>
    <x v="1"/>
    <x v="1"/>
    <s v="Asia"/>
    <s v="Strategic Partnership [战略伙伴关系]"/>
    <s v="None"/>
    <s v="INDOPACOM"/>
    <x v="8"/>
    <x v="18"/>
    <n v="4"/>
    <x v="3"/>
    <s v="Wu Shengli"/>
    <m/>
    <s v="PLAN Commander; CMC Member"/>
    <n v="8"/>
    <x v="2"/>
    <s v="Navy Commander"/>
    <x v="0"/>
    <m/>
    <x v="0"/>
    <m/>
    <m/>
    <m/>
    <m/>
    <m/>
    <s v="Defense White Paper Appendix"/>
    <m/>
  </r>
  <r>
    <x v="1"/>
    <x v="8"/>
    <s v="Europe and Central Asia"/>
    <s v="Comprehensive Strategic Partnership [全面战略伙伴关系]"/>
    <s v="NATO"/>
    <s v="EUCOM"/>
    <x v="20"/>
    <x v="18"/>
    <n v="4"/>
    <x v="4"/>
    <s v="Ma Xiaotian"/>
    <m/>
    <s v="GSD DCGS"/>
    <n v="6"/>
    <x v="1"/>
    <m/>
    <x v="0"/>
    <m/>
    <x v="0"/>
    <m/>
    <m/>
    <m/>
    <m/>
    <m/>
    <s v="Defense White Paper Appendix"/>
    <m/>
  </r>
  <r>
    <x v="1"/>
    <x v="1"/>
    <s v="Asia"/>
    <s v="Comprehensive Strategic Cooperative Partnership [全面战略合作伙伴关系]"/>
    <s v="None"/>
    <s v="INDOPACOM"/>
    <x v="52"/>
    <x v="18"/>
    <n v="4"/>
    <x v="4"/>
    <s v="Ma Xiaotian"/>
    <m/>
    <s v="GSD DCGS"/>
    <n v="6"/>
    <x v="1"/>
    <m/>
    <x v="0"/>
    <m/>
    <x v="0"/>
    <m/>
    <m/>
    <m/>
    <m/>
    <m/>
    <s v="Defense White Paper Appendix"/>
    <m/>
  </r>
  <r>
    <x v="1"/>
    <x v="1"/>
    <s v="Asia"/>
    <s v="Strategic Cooperative Partnership [战略合作伙伴关系]"/>
    <s v="None"/>
    <s v="INDOPACOM"/>
    <x v="10"/>
    <x v="18"/>
    <n v="4"/>
    <x v="4"/>
    <s v="Xu Qiliang"/>
    <m/>
    <s v="PLAAF Commander; CMC Member"/>
    <n v="8"/>
    <x v="1"/>
    <m/>
    <x v="0"/>
    <m/>
    <x v="0"/>
    <m/>
    <m/>
    <m/>
    <m/>
    <m/>
    <s v="Defense White Paper Appendix"/>
    <m/>
  </r>
  <r>
    <x v="1"/>
    <x v="0"/>
    <s v="Asia"/>
    <s v="Strategic Partnership [战略伙伴关系]"/>
    <s v="Major Non-NATO Ally"/>
    <s v="CENTCOM"/>
    <x v="2"/>
    <x v="18"/>
    <n v="4"/>
    <x v="4"/>
    <s v="Xu Qiliang"/>
    <m/>
    <s v="PLAAF Commander; CMC Member"/>
    <n v="8"/>
    <x v="1"/>
    <m/>
    <x v="0"/>
    <m/>
    <x v="0"/>
    <m/>
    <m/>
    <m/>
    <m/>
    <m/>
    <s v="Defense White Paper Appendix"/>
    <m/>
  </r>
  <r>
    <x v="1"/>
    <x v="10"/>
    <s v="America and Oceania"/>
    <s v="Strategic Partnership [战略伙伴关系]"/>
    <s v="None"/>
    <s v="SOUTHCOM"/>
    <x v="54"/>
    <x v="18"/>
    <n v="4"/>
    <x v="3"/>
    <s v="Wu Shengli"/>
    <m/>
    <s v="PLAN Commander; CMC Member"/>
    <n v="8"/>
    <x v="2"/>
    <s v="Navy Commander"/>
    <x v="0"/>
    <m/>
    <x v="0"/>
    <m/>
    <m/>
    <m/>
    <m/>
    <m/>
    <s v="Defense White Paper Appendix"/>
    <m/>
  </r>
  <r>
    <x v="1"/>
    <x v="3"/>
    <s v="Europe and Central Asia"/>
    <s v="Strategic Partnership of Coordination [战略协作伙伴关系]"/>
    <s v="None"/>
    <s v="EUCOM"/>
    <x v="7"/>
    <x v="18"/>
    <n v="4"/>
    <x v="4"/>
    <s v="Liang Guanglie"/>
    <m/>
    <s v="Defense Minister; CMC Member"/>
    <n v="8"/>
    <x v="1"/>
    <m/>
    <x v="0"/>
    <m/>
    <x v="0"/>
    <m/>
    <m/>
    <m/>
    <m/>
    <m/>
    <s v="Defense White Paper Appendix"/>
    <m/>
  </r>
  <r>
    <x v="1"/>
    <x v="6"/>
    <s v="Europe and Central Asia"/>
    <s v="Member"/>
    <s v="None"/>
    <s v="CENTCOM"/>
    <x v="14"/>
    <x v="18"/>
    <n v="4"/>
    <x v="1"/>
    <s v="Liang Guanglie"/>
    <m/>
    <s v="Defense Minister; CMC Member"/>
    <n v="8"/>
    <x v="1"/>
    <s v="Seventh official meeting of the SCO Ministers' of Defense in Moscow; Other countries: Kazakhstan, Kyrgyztan, Russia, Tajikistan, Uzbekistan"/>
    <x v="0"/>
    <m/>
    <x v="0"/>
    <m/>
    <m/>
    <m/>
    <m/>
    <m/>
    <s v="http://infoshos.ru/en/?idn=4137"/>
    <m/>
  </r>
  <r>
    <x v="1"/>
    <x v="8"/>
    <s v="Europe and Central Asia"/>
    <s v="No Specific Relationship"/>
    <s v="NATO"/>
    <s v="EUCOM"/>
    <x v="40"/>
    <x v="18"/>
    <n v="4"/>
    <x v="4"/>
    <s v="Zhang Youxia"/>
    <m/>
    <s v="Shenyang MR Commander"/>
    <n v="6"/>
    <x v="1"/>
    <m/>
    <x v="0"/>
    <m/>
    <x v="0"/>
    <m/>
    <m/>
    <m/>
    <m/>
    <m/>
    <s v="Defense White Paper Appendix"/>
    <m/>
  </r>
  <r>
    <x v="1"/>
    <x v="7"/>
    <s v="West Asia and Africa"/>
    <s v="Strategic Partnership [战略伙伴关系]"/>
    <s v="None"/>
    <s v="AFRICOM"/>
    <x v="15"/>
    <x v="18"/>
    <n v="4"/>
    <x v="3"/>
    <s v="Wu Shengli"/>
    <m/>
    <s v="PLAN Commander; CMC Member"/>
    <n v="8"/>
    <x v="2"/>
    <s v="Navy Commander"/>
    <x v="0"/>
    <m/>
    <x v="0"/>
    <m/>
    <m/>
    <m/>
    <m/>
    <m/>
    <s v="Defense White Paper Appendix"/>
    <m/>
  </r>
  <r>
    <x v="1"/>
    <x v="4"/>
    <s v="Asia"/>
    <s v="Strategic Cooperative Partnership [战略合作伙伴关系]"/>
    <s v="Bilateral Defense Treaty"/>
    <s v="INDOPACOM"/>
    <x v="25"/>
    <x v="18"/>
    <n v="4"/>
    <x v="3"/>
    <s v="Wu Shengli"/>
    <m/>
    <s v="PLAN Commander; CMC Member"/>
    <n v="8"/>
    <x v="2"/>
    <s v="Navy Commander"/>
    <x v="0"/>
    <m/>
    <x v="0"/>
    <m/>
    <m/>
    <m/>
    <m/>
    <m/>
    <s v="Defense White Paper Appendix"/>
    <m/>
  </r>
  <r>
    <x v="1"/>
    <x v="1"/>
    <s v="Asia"/>
    <s v="Strategic Partnership [战略伙伴关系]"/>
    <s v="Bilateral Defense Treaty"/>
    <s v="INDOPACOM"/>
    <x v="5"/>
    <x v="18"/>
    <n v="4"/>
    <x v="4"/>
    <s v="Ma Xiaotian"/>
    <m/>
    <s v="GSD DCGS"/>
    <n v="6"/>
    <x v="1"/>
    <m/>
    <x v="0"/>
    <m/>
    <x v="0"/>
    <m/>
    <m/>
    <m/>
    <m/>
    <m/>
    <s v="Defense White Paper Appendix"/>
    <m/>
  </r>
  <r>
    <x v="1"/>
    <x v="8"/>
    <s v="Europe and Central Asia"/>
    <s v="No Specific Relationship"/>
    <s v="NATO"/>
    <s v="EUCOM"/>
    <x v="38"/>
    <x v="18"/>
    <n v="4"/>
    <x v="4"/>
    <s v="Xu Qiliang"/>
    <m/>
    <s v="PLAAF Commander; CMC Member"/>
    <n v="8"/>
    <x v="1"/>
    <m/>
    <x v="0"/>
    <m/>
    <x v="0"/>
    <m/>
    <m/>
    <m/>
    <m/>
    <m/>
    <s v="Defense White Paper Appendix"/>
    <m/>
  </r>
  <r>
    <x v="1"/>
    <x v="2"/>
    <s v="America and Oceania"/>
    <s v="No Specific Relationship"/>
    <s v="N/A"/>
    <s v="NORTHCOM"/>
    <x v="4"/>
    <x v="18"/>
    <n v="4"/>
    <x v="3"/>
    <s v="Liang Guanglie"/>
    <m/>
    <s v="Defense Minister; CMC Member"/>
    <n v="8"/>
    <x v="2"/>
    <s v="CNO"/>
    <x v="0"/>
    <m/>
    <x v="0"/>
    <m/>
    <m/>
    <m/>
    <m/>
    <m/>
    <s v="Defense White Paper Appendix"/>
    <m/>
  </r>
  <r>
    <x v="1"/>
    <x v="10"/>
    <s v="America and Oceania"/>
    <s v="No Specific Relationship"/>
    <s v="None"/>
    <s v="SOUTHCOM"/>
    <x v="107"/>
    <x v="18"/>
    <n v="4"/>
    <x v="3"/>
    <s v="Liang Guanglie"/>
    <m/>
    <s v="Defense Minister; CMC Member"/>
    <n v="8"/>
    <x v="2"/>
    <s v="Defense Minister"/>
    <x v="0"/>
    <m/>
    <x v="0"/>
    <m/>
    <m/>
    <m/>
    <m/>
    <m/>
    <s v="Defense White Paper Appendix"/>
    <m/>
  </r>
  <r>
    <x v="1"/>
    <x v="1"/>
    <s v="Asia"/>
    <s v="Comprehensive Strategic Cooperative Partnership [全面战略合作伙伴关系]"/>
    <s v="None"/>
    <s v="INDOPACOM"/>
    <x v="23"/>
    <x v="18"/>
    <n v="4"/>
    <x v="3"/>
    <s v="Wu Shengli"/>
    <m/>
    <s v="PLAN Commander; CMC Member"/>
    <n v="8"/>
    <x v="2"/>
    <s v="Navy Commander"/>
    <x v="0"/>
    <m/>
    <x v="0"/>
    <m/>
    <m/>
    <m/>
    <m/>
    <m/>
    <s v="Defense White Paper Appendix"/>
    <m/>
  </r>
  <r>
    <x v="0"/>
    <x v="9"/>
    <s v="West Asia and Africa"/>
    <s v="No Specific Relationship"/>
    <s v="None"/>
    <s v="CENTCOM"/>
    <x v="135"/>
    <x v="18"/>
    <n v="4"/>
    <x v="9"/>
    <m/>
    <m/>
    <m/>
    <m/>
    <x v="0"/>
    <m/>
    <x v="0"/>
    <m/>
    <x v="0"/>
    <m/>
    <s v="ETF"/>
    <s v="ETF-01 "/>
    <s v="South Sea Fleet"/>
    <s v="DDG169 Wuhan, DDG171 Haikou, AOR887 Weishan Hu; unknown, could also be ETF-2"/>
    <m/>
    <m/>
  </r>
  <r>
    <x v="1"/>
    <x v="8"/>
    <s v="Europe and Central Asia"/>
    <s v="No Specific Relationship"/>
    <s v="NATO"/>
    <s v="EUCOM"/>
    <x v="108"/>
    <x v="18"/>
    <n v="5"/>
    <x v="4"/>
    <s v="Chang Wanquan"/>
    <m/>
    <s v="GAD Director; CMC Member"/>
    <n v="8"/>
    <x v="1"/>
    <m/>
    <x v="0"/>
    <m/>
    <x v="0"/>
    <m/>
    <m/>
    <m/>
    <m/>
    <m/>
    <s v="Defense White Paper Appendix"/>
    <m/>
  </r>
  <r>
    <x v="1"/>
    <x v="8"/>
    <s v="Europe and Central Asia"/>
    <s v="Strategic Partnership [战略伙伴关系]"/>
    <s v="NATO"/>
    <s v="EUCOM"/>
    <x v="34"/>
    <x v="18"/>
    <n v="5"/>
    <x v="4"/>
    <s v="Chang Wanquan"/>
    <m/>
    <s v="GAD Director; CMC Member"/>
    <n v="8"/>
    <x v="1"/>
    <m/>
    <x v="0"/>
    <m/>
    <x v="0"/>
    <m/>
    <m/>
    <m/>
    <m/>
    <m/>
    <s v="Defense White Paper Appendix"/>
    <m/>
  </r>
  <r>
    <x v="1"/>
    <x v="8"/>
    <s v="Europe and Central Asia"/>
    <s v="No Specific Relationship"/>
    <s v="None"/>
    <s v="EUCOM"/>
    <x v="79"/>
    <x v="18"/>
    <n v="5"/>
    <x v="4"/>
    <s v="Chen Guoling"/>
    <m/>
    <s v="Nanjing MR Political Commissar"/>
    <n v="6"/>
    <x v="1"/>
    <m/>
    <x v="0"/>
    <m/>
    <x v="0"/>
    <m/>
    <m/>
    <m/>
    <m/>
    <m/>
    <s v="Defense White Paper Appendix"/>
    <m/>
  </r>
  <r>
    <x v="1"/>
    <x v="8"/>
    <s v="Europe and Central Asia"/>
    <s v="No Specific Relationship"/>
    <s v="NATO"/>
    <s v="EUCOM"/>
    <x v="58"/>
    <x v="18"/>
    <n v="5"/>
    <x v="4"/>
    <s v="Deng Changyou"/>
    <m/>
    <s v="PLAAF Political Commissar"/>
    <n v="6"/>
    <x v="1"/>
    <m/>
    <x v="0"/>
    <m/>
    <x v="0"/>
    <m/>
    <m/>
    <m/>
    <m/>
    <m/>
    <s v="Defense White Paper Appendix"/>
    <m/>
  </r>
  <r>
    <x v="1"/>
    <x v="9"/>
    <s v="West Asia and Africa"/>
    <s v="Strategic Cooperative Partnership [战略合作伙伴关系]"/>
    <s v="Major Non-NATO Ally"/>
    <s v="CENTCOM"/>
    <x v="24"/>
    <x v="18"/>
    <n v="5"/>
    <x v="3"/>
    <s v="Liang Guanglie"/>
    <m/>
    <s v="Defense Minister; CMC Member"/>
    <n v="8"/>
    <x v="2"/>
    <s v="CinC Armed Forces, Defense Minister and Military Production"/>
    <x v="0"/>
    <m/>
    <x v="0"/>
    <m/>
    <m/>
    <m/>
    <m/>
    <m/>
    <s v="Defense White Paper Appendix"/>
    <m/>
  </r>
  <r>
    <x v="1"/>
    <x v="8"/>
    <s v="Europe and Central Asia"/>
    <s v="No Specific Relationship"/>
    <s v="None"/>
    <s v="EUCOM"/>
    <x v="81"/>
    <x v="18"/>
    <n v="5"/>
    <x v="4"/>
    <s v="Guo Boxiong"/>
    <m/>
    <s v="CMC Vice Chairman"/>
    <n v="10"/>
    <x v="1"/>
    <m/>
    <x v="0"/>
    <m/>
    <x v="0"/>
    <m/>
    <m/>
    <m/>
    <m/>
    <m/>
    <s v="Defense White Paper Appendix"/>
    <m/>
  </r>
  <r>
    <x v="1"/>
    <x v="8"/>
    <s v="Europe and Central Asia"/>
    <s v="No Specific Relationship"/>
    <s v="NATO"/>
    <s v="EUCOM"/>
    <x v="18"/>
    <x v="18"/>
    <n v="5"/>
    <x v="4"/>
    <s v="Guo Boxiong"/>
    <m/>
    <s v="CMC Vice Chairman"/>
    <n v="10"/>
    <x v="1"/>
    <m/>
    <x v="0"/>
    <m/>
    <x v="0"/>
    <m/>
    <m/>
    <m/>
    <m/>
    <m/>
    <s v="Defense White Paper Appendix"/>
    <m/>
  </r>
  <r>
    <x v="1"/>
    <x v="8"/>
    <s v="Europe and Central Asia"/>
    <s v="No Specific Relationship"/>
    <s v="NATO"/>
    <s v="EUCOM"/>
    <x v="82"/>
    <x v="18"/>
    <n v="5"/>
    <x v="4"/>
    <s v="Deng Changyou"/>
    <m/>
    <s v="PLAAF Political Commissar"/>
    <n v="6"/>
    <x v="1"/>
    <m/>
    <x v="0"/>
    <m/>
    <x v="0"/>
    <m/>
    <m/>
    <m/>
    <m/>
    <m/>
    <s v="Defense White Paper Appendix"/>
    <m/>
  </r>
  <r>
    <x v="1"/>
    <x v="1"/>
    <s v="Asia"/>
    <s v="No Specific Relationship"/>
    <s v="None"/>
    <s v="INDOPACOM"/>
    <x v="137"/>
    <x v="18"/>
    <n v="5"/>
    <x v="1"/>
    <s v="Ma Xiaotian"/>
    <m/>
    <s v="GSD DCGS"/>
    <n v="6"/>
    <x v="1"/>
    <s v="8th Shangri-La Dialogue"/>
    <x v="0"/>
    <m/>
    <x v="0"/>
    <m/>
    <m/>
    <m/>
    <m/>
    <m/>
    <s v="Defense White Paper Appendix"/>
    <m/>
  </r>
  <r>
    <x v="1"/>
    <x v="7"/>
    <s v="West Asia and Africa"/>
    <s v="No Specific Relationship"/>
    <s v="None"/>
    <s v="AFRICOM"/>
    <x v="47"/>
    <x v="18"/>
    <n v="5"/>
    <x v="4"/>
    <s v="Ma Xiaotian"/>
    <m/>
    <s v="GSD DCGS"/>
    <n v="6"/>
    <x v="1"/>
    <m/>
    <x v="0"/>
    <m/>
    <x v="0"/>
    <m/>
    <m/>
    <m/>
    <m/>
    <m/>
    <s v="Defense White Paper Appendix"/>
    <m/>
  </r>
  <r>
    <x v="1"/>
    <x v="6"/>
    <s v="Europe and Central Asia"/>
    <s v="No Specific Relationship"/>
    <s v="None"/>
    <s v="CENTCOM"/>
    <x v="31"/>
    <x v="18"/>
    <n v="5"/>
    <x v="3"/>
    <s v="Liang Guanglie"/>
    <m/>
    <s v="Defense Minister; CMC Member"/>
    <n v="8"/>
    <x v="2"/>
    <s v="Commander Border Forces"/>
    <x v="0"/>
    <m/>
    <x v="0"/>
    <m/>
    <m/>
    <m/>
    <m/>
    <m/>
    <s v="Defense White Paper Appendix"/>
    <m/>
  </r>
  <r>
    <x v="1"/>
    <x v="7"/>
    <s v="West Asia and Africa"/>
    <s v="No Specific Relationship"/>
    <s v="None"/>
    <s v="AFRICOM"/>
    <x v="115"/>
    <x v="18"/>
    <n v="5"/>
    <x v="3"/>
    <s v="Liang Guanglie"/>
    <m/>
    <s v="Defense Minister; CMC Member"/>
    <n v="8"/>
    <x v="2"/>
    <s v="Defense Minister"/>
    <x v="0"/>
    <m/>
    <x v="0"/>
    <m/>
    <m/>
    <m/>
    <m/>
    <m/>
    <s v="Defense White Paper Appendix"/>
    <m/>
  </r>
  <r>
    <x v="1"/>
    <x v="7"/>
    <s v="West Asia and Africa"/>
    <s v="No Specific Relationship"/>
    <s v="None"/>
    <s v="AFRICOM"/>
    <x v="84"/>
    <x v="18"/>
    <n v="5"/>
    <x v="3"/>
    <s v="Liang Guanglie"/>
    <m/>
    <s v="Defense Minister; CMC Member"/>
    <n v="8"/>
    <x v="2"/>
    <s v="Defense Minister"/>
    <x v="0"/>
    <m/>
    <x v="0"/>
    <m/>
    <m/>
    <m/>
    <m/>
    <m/>
    <s v="Defense White Paper Appendix"/>
    <m/>
  </r>
  <r>
    <x v="1"/>
    <x v="7"/>
    <s v="West Asia and Africa"/>
    <s v="No Specific Relationship"/>
    <s v="None"/>
    <s v="AFRICOM"/>
    <x v="69"/>
    <x v="18"/>
    <n v="5"/>
    <x v="4"/>
    <s v="Ma Xiaotian"/>
    <m/>
    <s v="GSD DCGS"/>
    <n v="6"/>
    <x v="1"/>
    <m/>
    <x v="0"/>
    <m/>
    <x v="0"/>
    <m/>
    <m/>
    <m/>
    <m/>
    <m/>
    <s v="Defense White Paper Appendix"/>
    <m/>
  </r>
  <r>
    <x v="1"/>
    <x v="8"/>
    <s v="Europe and Central Asia"/>
    <s v="Comprehensive Strategic Partnership [全面战略伙伴关系]"/>
    <s v="NATO"/>
    <s v="EUCOM"/>
    <x v="48"/>
    <x v="18"/>
    <n v="5"/>
    <x v="4"/>
    <s v="Deng Changyou"/>
    <m/>
    <s v="PLAAF Political Commissar"/>
    <n v="6"/>
    <x v="1"/>
    <m/>
    <x v="0"/>
    <m/>
    <x v="0"/>
    <m/>
    <m/>
    <m/>
    <m/>
    <m/>
    <s v="Defense White Paper Appendix"/>
    <m/>
  </r>
  <r>
    <x v="1"/>
    <x v="8"/>
    <s v="Europe and Central Asia"/>
    <s v="Comprehensive Friendly Cooperative Partnership [全面友好合作伙伴关系]"/>
    <s v="NATO"/>
    <s v="EUCOM"/>
    <x v="33"/>
    <x v="18"/>
    <n v="5"/>
    <x v="4"/>
    <s v="Chen Guoling"/>
    <m/>
    <s v="Nanjing MR Political Commissar"/>
    <n v="6"/>
    <x v="1"/>
    <m/>
    <x v="0"/>
    <m/>
    <x v="0"/>
    <m/>
    <m/>
    <m/>
    <m/>
    <m/>
    <s v="Defense White Paper Appendix"/>
    <m/>
  </r>
  <r>
    <x v="1"/>
    <x v="3"/>
    <s v="Europe and Central Asia"/>
    <s v="Strategic Partnership of Coordination [战略协作伙伴关系]"/>
    <s v="None"/>
    <s v="EUCOM"/>
    <x v="7"/>
    <x v="18"/>
    <n v="5"/>
    <x v="4"/>
    <s v="Chang Wanquan"/>
    <m/>
    <s v="GAD Director; CMC Member"/>
    <n v="8"/>
    <x v="1"/>
    <m/>
    <x v="0"/>
    <m/>
    <x v="0"/>
    <m/>
    <m/>
    <m/>
    <m/>
    <m/>
    <s v="Defense White Paper Appendix"/>
    <m/>
  </r>
  <r>
    <x v="1"/>
    <x v="4"/>
    <s v="Asia"/>
    <s v="Strategic Cooperative Partnership [战略合作伙伴关系]"/>
    <s v="Bilateral Defense Treaty"/>
    <s v="INDOPACOM"/>
    <x v="25"/>
    <x v="18"/>
    <n v="5"/>
    <x v="3"/>
    <s v="Liang Guanglie"/>
    <m/>
    <s v="Defense Minister; CMC Member"/>
    <n v="8"/>
    <x v="2"/>
    <s v="Defense Minister"/>
    <x v="0"/>
    <m/>
    <x v="0"/>
    <m/>
    <m/>
    <m/>
    <m/>
    <m/>
    <s v="Defense White Paper Appendix"/>
    <m/>
  </r>
  <r>
    <x v="1"/>
    <x v="8"/>
    <s v="Europe and Central Asia"/>
    <s v="Comprehensive Strategic Partnership [全面战略伙伴关系]"/>
    <s v="NATO"/>
    <s v="EUCOM"/>
    <x v="70"/>
    <x v="18"/>
    <n v="5"/>
    <x v="4"/>
    <s v="Ma Xiaotian"/>
    <m/>
    <s v="GSD DCGS"/>
    <n v="6"/>
    <x v="1"/>
    <m/>
    <x v="0"/>
    <m/>
    <x v="0"/>
    <m/>
    <m/>
    <m/>
    <m/>
    <m/>
    <s v="Defense White Paper Appendix"/>
    <m/>
  </r>
  <r>
    <x v="1"/>
    <x v="1"/>
    <s v="Asia"/>
    <s v="Strategic Partnership [战略伙伴关系]"/>
    <s v="Bilateral Defense Treaty"/>
    <s v="INDOPACOM"/>
    <x v="5"/>
    <x v="18"/>
    <n v="5"/>
    <x v="3"/>
    <s v="Liang Guanglie"/>
    <m/>
    <s v="Defense Minister; CMC Member"/>
    <n v="8"/>
    <x v="2"/>
    <s v="Chief of Defense Forces"/>
    <x v="0"/>
    <m/>
    <x v="0"/>
    <m/>
    <m/>
    <m/>
    <m/>
    <m/>
    <s v="Defense White Paper Appendix"/>
    <m/>
  </r>
  <r>
    <x v="1"/>
    <x v="8"/>
    <s v="Europe and Central Asia"/>
    <s v="No Specific Relationship"/>
    <s v="NATO"/>
    <s v="EUCOM"/>
    <x v="38"/>
    <x v="18"/>
    <n v="5"/>
    <x v="4"/>
    <s v="Guo Boxiong"/>
    <m/>
    <s v="CMC Vice Chairman"/>
    <n v="10"/>
    <x v="1"/>
    <m/>
    <x v="0"/>
    <m/>
    <x v="0"/>
    <m/>
    <m/>
    <m/>
    <m/>
    <m/>
    <s v="Defense White Paper Appendix"/>
    <m/>
  </r>
  <r>
    <x v="1"/>
    <x v="2"/>
    <s v="America and Oceania"/>
    <s v="No Specific Relationship"/>
    <s v="N/A"/>
    <s v="NORTHCOM"/>
    <x v="4"/>
    <x v="18"/>
    <n v="5"/>
    <x v="4"/>
    <s v="Ma Xiaotian"/>
    <m/>
    <s v="GSD DCGS"/>
    <n v="6"/>
    <x v="1"/>
    <s v="Secretary of Defense"/>
    <x v="0"/>
    <m/>
    <x v="0"/>
    <m/>
    <m/>
    <m/>
    <m/>
    <m/>
    <s v="Defense White Paper Appendix"/>
    <m/>
  </r>
  <r>
    <x v="1"/>
    <x v="8"/>
    <s v="Europe and Central Asia"/>
    <s v="No Specific Relationship"/>
    <s v="None"/>
    <s v="EUCOM"/>
    <x v="81"/>
    <x v="18"/>
    <n v="6"/>
    <x v="4"/>
    <s v="Ma Xiaotian"/>
    <m/>
    <s v="GSD DCGS"/>
    <n v="6"/>
    <x v="1"/>
    <m/>
    <x v="0"/>
    <m/>
    <x v="0"/>
    <m/>
    <m/>
    <m/>
    <m/>
    <m/>
    <s v="Defense White Paper Appendix"/>
    <m/>
  </r>
  <r>
    <x v="1"/>
    <x v="7"/>
    <s v="West Asia and Africa"/>
    <s v="No Specific Relationship"/>
    <s v="None"/>
    <s v="AFRICOM"/>
    <x v="67"/>
    <x v="18"/>
    <n v="6"/>
    <x v="4"/>
    <s v="Ma Xiaotian"/>
    <m/>
    <s v="GSD DCGS"/>
    <n v="6"/>
    <x v="1"/>
    <m/>
    <x v="0"/>
    <m/>
    <x v="0"/>
    <m/>
    <m/>
    <m/>
    <m/>
    <m/>
    <s v="Defense White Paper Appendix"/>
    <m/>
  </r>
  <r>
    <x v="2"/>
    <x v="7"/>
    <s v="West Asia and Africa"/>
    <s v="No Specific Relationship"/>
    <s v="None"/>
    <s v="AFRICOM"/>
    <x v="67"/>
    <x v="18"/>
    <n v="6"/>
    <x v="5"/>
    <m/>
    <m/>
    <m/>
    <m/>
    <x v="0"/>
    <m/>
    <x v="2"/>
    <s v="Peace Angel 2009"/>
    <x v="1"/>
    <s v="HADR"/>
    <m/>
    <m/>
    <m/>
    <m/>
    <s v="Defense White Paper Appendix"/>
    <m/>
  </r>
  <r>
    <x v="2"/>
    <x v="4"/>
    <s v="Asia"/>
    <s v="No Specific Relationship"/>
    <s v="None"/>
    <s v="INDOPACOM"/>
    <x v="53"/>
    <x v="18"/>
    <n v="6"/>
    <x v="5"/>
    <m/>
    <m/>
    <m/>
    <m/>
    <x v="0"/>
    <m/>
    <x v="2"/>
    <s v="Peacekeeping Mission"/>
    <x v="1"/>
    <s v="Peacekeeping"/>
    <m/>
    <m/>
    <m/>
    <m/>
    <s v="Defense White Paper Appendix"/>
    <m/>
  </r>
  <r>
    <x v="1"/>
    <x v="7"/>
    <s v="West Asia and Africa"/>
    <s v="No Specific Relationship"/>
    <s v="None"/>
    <s v="AFRICOM"/>
    <x v="69"/>
    <x v="18"/>
    <n v="6"/>
    <x v="3"/>
    <s v="Liang Guanglie"/>
    <m/>
    <s v="Defense Minister; CMC Member"/>
    <n v="8"/>
    <x v="2"/>
    <s v="Chief of Defense Force"/>
    <x v="0"/>
    <m/>
    <x v="0"/>
    <m/>
    <m/>
    <m/>
    <m/>
    <m/>
    <s v="Defense White Paper Appendix"/>
    <m/>
  </r>
  <r>
    <x v="1"/>
    <x v="8"/>
    <s v="Europe and Central Asia"/>
    <s v="No Specific Relationship"/>
    <s v="NATO"/>
    <s v="EUCOM"/>
    <x v="37"/>
    <x v="18"/>
    <n v="6"/>
    <x v="4"/>
    <s v="Sun Dafa"/>
    <m/>
    <s v="GLD Political Commissar"/>
    <n v="6"/>
    <x v="1"/>
    <m/>
    <x v="0"/>
    <m/>
    <x v="0"/>
    <m/>
    <m/>
    <m/>
    <m/>
    <m/>
    <s v="Defense White Paper Appendix"/>
    <m/>
  </r>
  <r>
    <x v="0"/>
    <x v="9"/>
    <s v="West Asia and Africa"/>
    <s v="No Specific Relationship"/>
    <s v="None"/>
    <s v="CENTCOM"/>
    <x v="147"/>
    <x v="18"/>
    <n v="6"/>
    <x v="9"/>
    <m/>
    <m/>
    <m/>
    <m/>
    <x v="0"/>
    <m/>
    <x v="0"/>
    <m/>
    <x v="0"/>
    <m/>
    <s v="ETF"/>
    <s v="ETF-02"/>
    <s v="South Sea Fleet"/>
    <s v="DDG167 Shenzhen, FFG570 Huangshan, AOR887 Weishan Hu; uncertain, could also be ETF-3"/>
    <m/>
    <m/>
  </r>
  <r>
    <x v="1"/>
    <x v="0"/>
    <s v="Asia"/>
    <s v="Strategic Partnership [战略伙伴关系]"/>
    <s v="Major Non-NATO Ally"/>
    <s v="CENTCOM"/>
    <x v="2"/>
    <x v="18"/>
    <n v="6"/>
    <x v="3"/>
    <s v="Liang Guanglie"/>
    <m/>
    <s v="Defense Minister; CMC Member"/>
    <n v="8"/>
    <x v="2"/>
    <s v="Air Force Chief of Staff"/>
    <x v="0"/>
    <m/>
    <x v="0"/>
    <m/>
    <m/>
    <m/>
    <m/>
    <m/>
    <s v="Defense White Paper Appendix"/>
    <m/>
  </r>
  <r>
    <x v="1"/>
    <x v="1"/>
    <s v="America and Oceania"/>
    <s v="No Specific Relationship"/>
    <s v="None"/>
    <s v="INDOPACOM"/>
    <x v="122"/>
    <x v="18"/>
    <n v="6"/>
    <x v="3"/>
    <s v="Liang Guanglie"/>
    <m/>
    <s v="Defense Minister; CMC Member"/>
    <n v="8"/>
    <x v="2"/>
    <s v="Chief of Defense Force "/>
    <x v="0"/>
    <m/>
    <x v="0"/>
    <m/>
    <m/>
    <m/>
    <m/>
    <m/>
    <s v="Defense White Paper Appendix"/>
    <m/>
  </r>
  <r>
    <x v="2"/>
    <x v="1"/>
    <s v="Asia"/>
    <s v="No Specific Relationship"/>
    <s v="None"/>
    <s v="INDOPACOM"/>
    <x v="39"/>
    <x v="18"/>
    <n v="6"/>
    <x v="5"/>
    <m/>
    <m/>
    <m/>
    <m/>
    <x v="0"/>
    <m/>
    <x v="2"/>
    <s v="Cooperation 2009"/>
    <x v="1"/>
    <s v="Security training"/>
    <m/>
    <m/>
    <m/>
    <m/>
    <s v="Defense White Paper Appendix"/>
    <m/>
  </r>
  <r>
    <x v="1"/>
    <x v="8"/>
    <s v="Europe and Central Asia"/>
    <s v="Comprehensive Strategic Partnership [全面战略伙伴关系]"/>
    <s v="NATO"/>
    <s v="EUCOM"/>
    <x v="70"/>
    <x v="18"/>
    <n v="6"/>
    <x v="4"/>
    <s v="Liu Chengjun"/>
    <m/>
    <s v="AMS President"/>
    <n v="6"/>
    <x v="1"/>
    <m/>
    <x v="0"/>
    <m/>
    <x v="0"/>
    <m/>
    <m/>
    <m/>
    <m/>
    <m/>
    <s v="Defense White Paper Appendix"/>
    <m/>
  </r>
  <r>
    <x v="1"/>
    <x v="10"/>
    <s v="America and Oceania"/>
    <s v="No Specific Relationship"/>
    <s v="None"/>
    <s v="SOUTHCOM"/>
    <x v="91"/>
    <x v="18"/>
    <n v="6"/>
    <x v="3"/>
    <s v="Chen Bingde"/>
    <m/>
    <s v="GSD Commander; CMC Member"/>
    <n v="8"/>
    <x v="2"/>
    <s v="Commander Defense Force"/>
    <x v="0"/>
    <m/>
    <x v="0"/>
    <m/>
    <m/>
    <m/>
    <m/>
    <m/>
    <s v="Defense White Paper Appendix"/>
    <m/>
  </r>
  <r>
    <x v="1"/>
    <x v="8"/>
    <s v="Europe and Central Asia"/>
    <s v="No Specific Relationship"/>
    <s v="None"/>
    <s v="EUCOM"/>
    <x v="92"/>
    <x v="18"/>
    <n v="6"/>
    <x v="4"/>
    <s v="Ma Xiaotian"/>
    <m/>
    <s v="GSD DCGS"/>
    <n v="6"/>
    <x v="1"/>
    <m/>
    <x v="0"/>
    <m/>
    <x v="0"/>
    <m/>
    <m/>
    <m/>
    <m/>
    <m/>
    <s v="Defense White Paper Appendix"/>
    <m/>
  </r>
  <r>
    <x v="1"/>
    <x v="8"/>
    <s v="Europe and Central Asia"/>
    <s v="No Specific Relationship"/>
    <s v="None"/>
    <s v="EUCOM"/>
    <x v="78"/>
    <x v="18"/>
    <n v="6"/>
    <x v="4"/>
    <s v="Sun Dafa"/>
    <m/>
    <s v="GLD Political Commissar"/>
    <n v="6"/>
    <x v="1"/>
    <m/>
    <x v="0"/>
    <m/>
    <x v="0"/>
    <m/>
    <m/>
    <m/>
    <m/>
    <m/>
    <s v="Defense White Paper Appendix"/>
    <m/>
  </r>
  <r>
    <x v="1"/>
    <x v="2"/>
    <s v="America and Oceania"/>
    <s v="No Specific Relationship"/>
    <s v="N/A"/>
    <s v="NORTHCOM"/>
    <x v="4"/>
    <x v="18"/>
    <n v="6"/>
    <x v="3"/>
    <s v="Liang Guanglie"/>
    <m/>
    <s v="Defense Minister; CMC Member"/>
    <n v="8"/>
    <x v="2"/>
    <s v="USDP"/>
    <x v="0"/>
    <m/>
    <x v="0"/>
    <m/>
    <m/>
    <m/>
    <m/>
    <m/>
    <s v="Defense White Paper Appendix"/>
    <m/>
  </r>
  <r>
    <x v="1"/>
    <x v="10"/>
    <s v="America and Oceania"/>
    <s v="No Specific Relationship"/>
    <s v="None"/>
    <s v="SOUTHCOM"/>
    <x v="51"/>
    <x v="18"/>
    <n v="7"/>
    <x v="3"/>
    <s v="Chen Bingde"/>
    <m/>
    <s v="GSD Commander; CMC Member"/>
    <n v="8"/>
    <x v="2"/>
    <s v="Chief of Joint Command"/>
    <x v="0"/>
    <m/>
    <x v="0"/>
    <m/>
    <m/>
    <m/>
    <m/>
    <m/>
    <s v="Defense White Paper Appendix"/>
    <m/>
  </r>
  <r>
    <x v="1"/>
    <x v="4"/>
    <s v="Asia"/>
    <s v="Mutually Beneficial Strategic Relationship [战略互惠关系]"/>
    <s v="Bilateral Defense Treaty"/>
    <s v="INDOPACOM"/>
    <x v="83"/>
    <x v="18"/>
    <n v="7"/>
    <x v="3"/>
    <s v="Liang Guanglie"/>
    <m/>
    <s v="Defense Minister; CMC Member"/>
    <n v="8"/>
    <x v="2"/>
    <s v="Chief of Staff Navy"/>
    <x v="0"/>
    <m/>
    <x v="0"/>
    <m/>
    <m/>
    <m/>
    <m/>
    <m/>
    <s v="Defense White Paper Appendix"/>
    <m/>
  </r>
  <r>
    <x v="1"/>
    <x v="7"/>
    <s v="West Asia and Africa"/>
    <s v="No Specific Relationship"/>
    <s v="None"/>
    <s v="AFRICOM"/>
    <x v="47"/>
    <x v="18"/>
    <n v="7"/>
    <x v="3"/>
    <s v="Chen Bingde"/>
    <m/>
    <s v="GSD Commander; CMC Member"/>
    <n v="8"/>
    <x v="2"/>
    <s v="Minister of State for Defense"/>
    <x v="0"/>
    <m/>
    <x v="0"/>
    <m/>
    <m/>
    <m/>
    <m/>
    <m/>
    <s v="Defense White Paper Appendix"/>
    <m/>
  </r>
  <r>
    <x v="1"/>
    <x v="1"/>
    <s v="Asia"/>
    <s v="Strategic Cooperative Partnership [战略合作伙伴关系]"/>
    <s v="None"/>
    <s v="INDOPACOM"/>
    <x v="10"/>
    <x v="18"/>
    <n v="7"/>
    <x v="3"/>
    <s v="Liang Guanglie"/>
    <m/>
    <s v="Defense Minister; CMC Member"/>
    <n v="8"/>
    <x v="2"/>
    <s v="Chief of Armed Forces"/>
    <x v="0"/>
    <m/>
    <x v="0"/>
    <m/>
    <m/>
    <m/>
    <m/>
    <m/>
    <s v="Defense White Paper Appendix"/>
    <m/>
  </r>
  <r>
    <x v="1"/>
    <x v="4"/>
    <s v="Asia"/>
    <s v="No Specific Relationship"/>
    <s v="None"/>
    <s v="INDOPACOM"/>
    <x v="53"/>
    <x v="18"/>
    <n v="7"/>
    <x v="3"/>
    <s v="Liang Guanglie"/>
    <m/>
    <s v="Defense Minister; CMC Member"/>
    <n v="8"/>
    <x v="2"/>
    <s v="State Secretary of Defense Ministry"/>
    <x v="0"/>
    <m/>
    <x v="0"/>
    <m/>
    <m/>
    <m/>
    <m/>
    <m/>
    <s v="Defense White Paper Appendix"/>
    <m/>
  </r>
  <r>
    <x v="1"/>
    <x v="0"/>
    <s v="Asia"/>
    <s v="Strategic Partnership [战略伙伴关系]"/>
    <s v="Major Non-NATO Ally"/>
    <s v="CENTCOM"/>
    <x v="2"/>
    <x v="18"/>
    <n v="7"/>
    <x v="3"/>
    <s v="Liang Guanglie"/>
    <m/>
    <s v="Defense Minister; CMC Member"/>
    <n v="8"/>
    <x v="2"/>
    <s v="Chief of Naval Staff"/>
    <x v="0"/>
    <m/>
    <x v="0"/>
    <m/>
    <m/>
    <m/>
    <m/>
    <m/>
    <s v="Defense White Paper Appendix"/>
    <m/>
  </r>
  <r>
    <x v="1"/>
    <x v="3"/>
    <s v="Europe and Central Asia"/>
    <s v="Strategic Partnership of Coordination [战略协作伙伴关系]"/>
    <s v="None"/>
    <s v="EUCOM"/>
    <x v="7"/>
    <x v="18"/>
    <n v="7"/>
    <x v="3"/>
    <s v="Guo Boxiong"/>
    <m/>
    <s v="CMC Vice Chairman"/>
    <n v="10"/>
    <x v="2"/>
    <s v="COGS"/>
    <x v="0"/>
    <m/>
    <x v="0"/>
    <m/>
    <m/>
    <m/>
    <m/>
    <m/>
    <s v="Defense White Paper Appendix"/>
    <m/>
  </r>
  <r>
    <x v="2"/>
    <x v="3"/>
    <s v="Europe and Central Asia"/>
    <s v="Strategic Partnership of Coordination [战略协作伙伴关系]"/>
    <s v="None"/>
    <s v="EUCOM"/>
    <x v="7"/>
    <x v="18"/>
    <n v="7"/>
    <x v="5"/>
    <m/>
    <m/>
    <m/>
    <m/>
    <x v="0"/>
    <m/>
    <x v="3"/>
    <s v="Peace Mission 2009"/>
    <x v="3"/>
    <s v="Army, Navy, Air Force, SOF; anti-terrorism; Participant: Russia; Observer countries: Kazakhstan, Kyrgyzstan, Tajikistan and Uzbekistan. July 22 to 26"/>
    <m/>
    <m/>
    <m/>
    <m/>
    <s v="Defense White Paper Appendix"/>
    <s v="Under SCO auspices, but coded as Russia because it is a BL exercise and other SCO states are only observers."/>
  </r>
  <r>
    <x v="1"/>
    <x v="8"/>
    <s v="Europe and Central Asia"/>
    <s v="Strategic Partnership [战略伙伴关系]"/>
    <s v="None"/>
    <s v="EUCOM"/>
    <x v="112"/>
    <x v="18"/>
    <n v="7"/>
    <x v="3"/>
    <s v="Jing Zhiyuan"/>
    <m/>
    <s v="PLASAF Commander; CMC Member"/>
    <n v="8"/>
    <x v="2"/>
    <s v="President of Serbian Parliament"/>
    <x v="0"/>
    <m/>
    <x v="0"/>
    <m/>
    <m/>
    <m/>
    <m/>
    <m/>
    <s v="Defense White Paper Appendix"/>
    <m/>
  </r>
  <r>
    <x v="1"/>
    <x v="7"/>
    <s v="West Asia and Africa"/>
    <s v="No Specific Relationship"/>
    <s v="None"/>
    <s v="AFRICOM"/>
    <x v="74"/>
    <x v="18"/>
    <n v="7"/>
    <x v="3"/>
    <s v="Liang Guanglie"/>
    <m/>
    <s v="Defense Minister; CMC Member"/>
    <n v="8"/>
    <x v="2"/>
    <s v="Defense Minister"/>
    <x v="0"/>
    <m/>
    <x v="0"/>
    <m/>
    <m/>
    <m/>
    <m/>
    <m/>
    <s v="Defense White Paper Appendix"/>
    <m/>
  </r>
  <r>
    <x v="1"/>
    <x v="1"/>
    <s v="Asia"/>
    <s v="Strategic Partnership [战略伙伴关系]"/>
    <s v="Bilateral Defense Treaty"/>
    <s v="INDOPACOM"/>
    <x v="5"/>
    <x v="18"/>
    <n v="7"/>
    <x v="3"/>
    <s v="Liang Guanglie"/>
    <m/>
    <s v="Defense Minister; CMC Member"/>
    <n v="8"/>
    <x v="2"/>
    <s v="Defense Minister"/>
    <x v="0"/>
    <m/>
    <x v="0"/>
    <m/>
    <m/>
    <m/>
    <m/>
    <m/>
    <s v="https://dlib.eastview.com/browse/doc/20378334"/>
    <m/>
  </r>
  <r>
    <x v="1"/>
    <x v="8"/>
    <s v="Europe and Central Asia"/>
    <s v="No Specific Relationship"/>
    <s v="None"/>
    <s v="EUCOM"/>
    <x v="26"/>
    <x v="18"/>
    <n v="7"/>
    <x v="4"/>
    <s v="Jing Zhiyuan"/>
    <m/>
    <s v="PLASAF Commander; CMC Member"/>
    <n v="8"/>
    <x v="1"/>
    <m/>
    <x v="0"/>
    <m/>
    <x v="0"/>
    <m/>
    <m/>
    <m/>
    <m/>
    <m/>
    <s v="Defense White Paper Appendix"/>
    <m/>
  </r>
  <r>
    <x v="0"/>
    <x v="9"/>
    <s v="West Asia and Africa"/>
    <s v="No Specific Relationship"/>
    <s v="None"/>
    <s v="CENTCOM"/>
    <x v="135"/>
    <x v="18"/>
    <n v="7"/>
    <x v="9"/>
    <m/>
    <m/>
    <m/>
    <m/>
    <x v="0"/>
    <m/>
    <x v="0"/>
    <m/>
    <x v="0"/>
    <m/>
    <s v="ETF"/>
    <s v="ETF-02"/>
    <s v="South Sea Fleet"/>
    <s v="DDG167 Shenzhen, FFG570 Huangshan, AOR887 Weishan Hu; uncertain, could also be ETF-3"/>
    <m/>
    <m/>
  </r>
  <r>
    <x v="1"/>
    <x v="10"/>
    <s v="America and Oceania"/>
    <s v="Comprehensive Strategic Partnership [全面战略伙伴关系]"/>
    <s v="None"/>
    <s v="SOUTHCOM"/>
    <x v="43"/>
    <x v="18"/>
    <n v="8"/>
    <x v="3"/>
    <s v="Chen Bingde"/>
    <m/>
    <s v="GSD Commander; CMC Member"/>
    <n v="8"/>
    <x v="2"/>
    <s v="Army Commander"/>
    <x v="0"/>
    <m/>
    <x v="0"/>
    <m/>
    <m/>
    <m/>
    <m/>
    <m/>
    <s v="Defense White Paper Appendix"/>
    <m/>
  </r>
  <r>
    <x v="1"/>
    <x v="8"/>
    <s v="Europe and Central Asia"/>
    <s v="No Specific Relationship"/>
    <s v="NATO"/>
    <s v="EUCOM"/>
    <x v="18"/>
    <x v="18"/>
    <n v="8"/>
    <x v="4"/>
    <s v="Wu Shengli"/>
    <m/>
    <s v="PLAN Commander; CMC Member"/>
    <n v="8"/>
    <x v="1"/>
    <m/>
    <x v="0"/>
    <m/>
    <x v="0"/>
    <m/>
    <m/>
    <m/>
    <m/>
    <m/>
    <s v="Defense White Paper Appendix"/>
    <m/>
  </r>
  <r>
    <x v="1"/>
    <x v="8"/>
    <s v="Europe and Central Asia"/>
    <s v="No Specific Relationship"/>
    <s v="NATO"/>
    <s v="EUCOM"/>
    <x v="82"/>
    <x v="18"/>
    <n v="8"/>
    <x v="4"/>
    <s v="Li Jinai"/>
    <m/>
    <s v="GPD Director; CMC Member"/>
    <n v="8"/>
    <x v="1"/>
    <m/>
    <x v="0"/>
    <m/>
    <x v="0"/>
    <m/>
    <m/>
    <m/>
    <m/>
    <m/>
    <s v="Defense White Paper Appendix"/>
    <m/>
  </r>
  <r>
    <x v="0"/>
    <x v="0"/>
    <s v="Asia"/>
    <s v="Strategic Partnership for Peace and Prosperity [战略伙伴关系]"/>
    <s v="None"/>
    <s v="INDOPACOM"/>
    <x v="6"/>
    <x v="18"/>
    <n v="8"/>
    <x v="0"/>
    <m/>
    <m/>
    <m/>
    <m/>
    <x v="0"/>
    <m/>
    <x v="0"/>
    <m/>
    <x v="0"/>
    <m/>
    <s v="ETF"/>
    <s v="ETF-02"/>
    <s v="South Sea Fleet"/>
    <s v="DDG167 Shenzhen, FFG570 Huangshan, AOR887 Weishan Hu"/>
    <m/>
    <m/>
  </r>
  <r>
    <x v="1"/>
    <x v="8"/>
    <s v="Europe and Central Asia"/>
    <s v="No Specific Relationship"/>
    <s v="NATO"/>
    <s v="EUCOM"/>
    <x v="37"/>
    <x v="18"/>
    <n v="8"/>
    <x v="4"/>
    <s v="Wu Shengli"/>
    <m/>
    <s v="PLAN Commander; CMC Member"/>
    <n v="8"/>
    <x v="1"/>
    <m/>
    <x v="0"/>
    <m/>
    <x v="0"/>
    <m/>
    <m/>
    <m/>
    <m/>
    <m/>
    <s v="Defense White Paper Appendix"/>
    <m/>
  </r>
  <r>
    <x v="0"/>
    <x v="9"/>
    <s v="West Asia and Africa"/>
    <s v="No Specific Relationship"/>
    <s v="None"/>
    <s v="CENTCOM"/>
    <x v="147"/>
    <x v="18"/>
    <n v="8"/>
    <x v="9"/>
    <m/>
    <m/>
    <m/>
    <m/>
    <x v="0"/>
    <m/>
    <x v="0"/>
    <m/>
    <x v="0"/>
    <m/>
    <s v="ETF"/>
    <s v="ETF-03"/>
    <s v="East Sea Fleet"/>
    <s v="FFG529 Zhoushan, FFG530 Xuzhou, AOR886 Qiandao Hu"/>
    <m/>
    <m/>
  </r>
  <r>
    <x v="0"/>
    <x v="0"/>
    <s v="Asia"/>
    <s v="Strategic Partnership [战略伙伴关系]"/>
    <s v="Major Non-NATO Ally"/>
    <s v="CENTCOM"/>
    <x v="2"/>
    <x v="18"/>
    <n v="8"/>
    <x v="10"/>
    <m/>
    <m/>
    <m/>
    <m/>
    <x v="0"/>
    <m/>
    <x v="0"/>
    <m/>
    <x v="0"/>
    <m/>
    <s v="ETF"/>
    <s v="ETF-02"/>
    <s v="South Sea Fleet"/>
    <s v="DDG167 Shenzhen, FFG570 Huangshan, AOR887 Weishan Hu"/>
    <m/>
    <m/>
  </r>
  <r>
    <x v="2"/>
    <x v="0"/>
    <s v="Asia"/>
    <s v="Strategic Partnership [战略伙伴关系]"/>
    <s v="Major Non-NATO Ally"/>
    <s v="CENTCOM"/>
    <x v="2"/>
    <x v="18"/>
    <n v="8"/>
    <x v="5"/>
    <m/>
    <m/>
    <m/>
    <m/>
    <x v="0"/>
    <m/>
    <x v="4"/>
    <s v="Unknown Karachi 2009"/>
    <x v="2"/>
    <s v="5-8 August 2009, anti-piracy ETF joint drills and friendly visit, Six Years p. 129"/>
    <m/>
    <m/>
    <m/>
    <m/>
    <s v="Defense White Paper Appendix"/>
    <m/>
  </r>
  <r>
    <x v="1"/>
    <x v="8"/>
    <s v="Europe and Central Asia"/>
    <s v="No Specific Relationship"/>
    <s v="NATO"/>
    <s v="EUCOM"/>
    <x v="59"/>
    <x v="18"/>
    <n v="8"/>
    <x v="4"/>
    <s v="Li Jinai"/>
    <m/>
    <s v="GPD Director; CMC Member"/>
    <n v="8"/>
    <x v="1"/>
    <m/>
    <x v="0"/>
    <m/>
    <x v="0"/>
    <m/>
    <m/>
    <m/>
    <m/>
    <m/>
    <s v="Defense White Paper Appendix"/>
    <m/>
  </r>
  <r>
    <x v="1"/>
    <x v="8"/>
    <s v="Europe and Central Asia"/>
    <s v="Comprehensive Friendly Cooperative Partnership [全面友好合作伙伴关系]"/>
    <s v="NATO"/>
    <s v="EUCOM"/>
    <x v="33"/>
    <x v="18"/>
    <n v="8"/>
    <x v="4"/>
    <s v="Li Jinai"/>
    <m/>
    <s v="GPD Director; CMC Member"/>
    <n v="8"/>
    <x v="1"/>
    <m/>
    <x v="0"/>
    <m/>
    <x v="0"/>
    <m/>
    <m/>
    <m/>
    <m/>
    <m/>
    <s v="Defense White Paper Appendix"/>
    <m/>
  </r>
  <r>
    <x v="1"/>
    <x v="9"/>
    <s v="West Asia and Africa"/>
    <s v="No Specific Relationship"/>
    <s v="None"/>
    <s v="CENTCOM"/>
    <x v="142"/>
    <x v="18"/>
    <n v="8"/>
    <x v="4"/>
    <s v="Chi Wanchun"/>
    <m/>
    <s v="GAD Political Commissar"/>
    <n v="6"/>
    <x v="1"/>
    <m/>
    <x v="0"/>
    <m/>
    <x v="0"/>
    <m/>
    <m/>
    <m/>
    <m/>
    <m/>
    <s v="Defense White Paper Appendix"/>
    <m/>
  </r>
  <r>
    <x v="1"/>
    <x v="8"/>
    <s v="Europe and Central Asia"/>
    <s v="No Specific Relationship"/>
    <s v="None"/>
    <s v="EUCOM"/>
    <x v="26"/>
    <x v="18"/>
    <n v="8"/>
    <x v="4"/>
    <s v="Ma Xiaotian"/>
    <m/>
    <s v="GSD DCGS"/>
    <n v="6"/>
    <x v="1"/>
    <m/>
    <x v="0"/>
    <m/>
    <x v="0"/>
    <m/>
    <m/>
    <m/>
    <m/>
    <m/>
    <s v="Defense White Paper Appendix"/>
    <m/>
  </r>
  <r>
    <x v="1"/>
    <x v="8"/>
    <s v="Europe and Central Asia"/>
    <s v="Comprehensive Strategic Partnership [全面战略伙伴关系]"/>
    <s v="NATO"/>
    <s v="EUCOM"/>
    <x v="21"/>
    <x v="18"/>
    <n v="8"/>
    <x v="4"/>
    <s v="Chi Wanchun"/>
    <m/>
    <s v="GAD Political Commissar"/>
    <n v="6"/>
    <x v="1"/>
    <m/>
    <x v="0"/>
    <m/>
    <x v="0"/>
    <m/>
    <m/>
    <m/>
    <m/>
    <m/>
    <s v="Defense White Paper Appendix"/>
    <m/>
  </r>
  <r>
    <x v="1"/>
    <x v="2"/>
    <s v="America and Oceania"/>
    <s v="No Specific Relationship"/>
    <s v="N/A"/>
    <s v="NORTHCOM"/>
    <x v="4"/>
    <x v="18"/>
    <n v="8"/>
    <x v="3"/>
    <s v="Chen Bingde"/>
    <m/>
    <s v="GSD Commander; CMC Member"/>
    <n v="8"/>
    <x v="2"/>
    <s v="Chief of Army Staff"/>
    <x v="0"/>
    <m/>
    <x v="0"/>
    <m/>
    <m/>
    <m/>
    <m/>
    <m/>
    <s v="Defense White Paper Appendix"/>
    <m/>
  </r>
  <r>
    <x v="0"/>
    <x v="1"/>
    <s v="Asia"/>
    <s v="Comprehensive Strategic Cooperative Partnership [全面战略合作伙伴关系]"/>
    <s v="None"/>
    <s v="INDOPACOM"/>
    <x v="23"/>
    <x v="18"/>
    <n v="8"/>
    <x v="0"/>
    <m/>
    <m/>
    <m/>
    <m/>
    <x v="0"/>
    <m/>
    <x v="0"/>
    <m/>
    <x v="0"/>
    <m/>
    <s v="NETF"/>
    <s v="NETF"/>
    <m/>
    <m/>
    <s v="Southeast Asian Affairs (2010), 397"/>
    <m/>
  </r>
  <r>
    <x v="1"/>
    <x v="8"/>
    <s v="Europe and Central Asia"/>
    <s v="No Specific Relationship"/>
    <s v="NATO"/>
    <s v="EUCOM"/>
    <x v="79"/>
    <x v="18"/>
    <n v="9"/>
    <x v="4"/>
    <s v="Liang Guanglie"/>
    <m/>
    <s v="Defense Minister; CMC Member"/>
    <n v="8"/>
    <x v="1"/>
    <m/>
    <x v="0"/>
    <m/>
    <x v="0"/>
    <m/>
    <m/>
    <m/>
    <m/>
    <m/>
    <s v="Defense White Paper Appendix"/>
    <m/>
  </r>
  <r>
    <x v="0"/>
    <x v="5"/>
    <s v="America and Oceania"/>
    <s v="No Specific Relationship"/>
    <s v="None"/>
    <s v="INDOPACOM"/>
    <x v="150"/>
    <x v="18"/>
    <n v="9"/>
    <x v="0"/>
    <m/>
    <m/>
    <m/>
    <m/>
    <x v="0"/>
    <m/>
    <x v="0"/>
    <m/>
    <x v="0"/>
    <m/>
    <s v="NETF"/>
    <s v="NETF"/>
    <m/>
    <m/>
    <m/>
    <m/>
  </r>
  <r>
    <x v="1"/>
    <x v="8"/>
    <s v="Europe and Central Asia"/>
    <s v="Friendly Cooperative Partnership [友好合作伙伴关系]"/>
    <s v="None"/>
    <s v="EUCOM"/>
    <x v="126"/>
    <x v="18"/>
    <n v="9"/>
    <x v="3"/>
    <s v="Chen Bingde"/>
    <m/>
    <s v="GSD Commander; CMC Member"/>
    <n v="8"/>
    <x v="2"/>
    <s v="COGS"/>
    <x v="0"/>
    <m/>
    <x v="0"/>
    <m/>
    <m/>
    <m/>
    <m/>
    <m/>
    <s v="Defense White Paper Appendix"/>
    <m/>
  </r>
  <r>
    <x v="1"/>
    <x v="4"/>
    <s v="Asia"/>
    <s v="No Specific Relationship"/>
    <s v="None"/>
    <s v="INDOPACOM"/>
    <x v="53"/>
    <x v="18"/>
    <n v="9"/>
    <x v="3"/>
    <s v="Liang Guanglie"/>
    <m/>
    <s v="Defense Minister; CMC Member"/>
    <n v="8"/>
    <x v="2"/>
    <s v="Defense Minister"/>
    <x v="0"/>
    <m/>
    <x v="0"/>
    <m/>
    <m/>
    <m/>
    <m/>
    <m/>
    <s v="Defense White Paper Appendix"/>
    <m/>
  </r>
  <r>
    <x v="1"/>
    <x v="5"/>
    <s v="America and Oceania"/>
    <s v="No Specific Relationship"/>
    <s v="ANZUS Treaty"/>
    <s v="INDOPACOM"/>
    <x v="13"/>
    <x v="18"/>
    <n v="9"/>
    <x v="3"/>
    <s v="Liang Guanglie"/>
    <m/>
    <s v="Defense Minister; CMC Member"/>
    <n v="8"/>
    <x v="2"/>
    <s v="Defense Minister"/>
    <x v="0"/>
    <m/>
    <x v="0"/>
    <m/>
    <m/>
    <m/>
    <m/>
    <m/>
    <s v="Defense White Paper Appendix"/>
    <m/>
  </r>
  <r>
    <x v="2"/>
    <x v="8"/>
    <s v="Europe and Central Asia"/>
    <s v="Comprehensive Friendly Cooperative Partnership [全面友好合作伙伴关系]"/>
    <s v="NATO"/>
    <s v="EUCOM"/>
    <x v="33"/>
    <x v="18"/>
    <n v="9"/>
    <x v="5"/>
    <m/>
    <m/>
    <m/>
    <m/>
    <x v="0"/>
    <m/>
    <x v="2"/>
    <s v="Friendship Operation 2009"/>
    <x v="1"/>
    <s v="Mountain troops"/>
    <m/>
    <m/>
    <m/>
    <m/>
    <s v="Defense White Paper Appendix"/>
    <m/>
  </r>
  <r>
    <x v="2"/>
    <x v="3"/>
    <s v="Europe and Central Asia"/>
    <s v="Strategic Partnership of Coordination [战略协作伙伴关系]"/>
    <s v="None"/>
    <s v="EUCOM"/>
    <x v="7"/>
    <x v="18"/>
    <n v="9"/>
    <x v="5"/>
    <m/>
    <m/>
    <m/>
    <m/>
    <x v="0"/>
    <m/>
    <x v="4"/>
    <s v="Peace Shield 2009"/>
    <x v="2"/>
    <s v="Maritime manuever in Gulf of Aden, 18 Sept. 2009"/>
    <m/>
    <m/>
    <m/>
    <m/>
    <s v="https://sputniknews.com/military/20090918156169511/"/>
    <m/>
  </r>
  <r>
    <x v="2"/>
    <x v="3"/>
    <s v="Europe and Central Asia"/>
    <s v="Strategic Partnership of Coordination [战略协作伙伴关系]"/>
    <s v="None"/>
    <s v="EUCOM"/>
    <x v="7"/>
    <x v="18"/>
    <n v="9"/>
    <x v="5"/>
    <m/>
    <m/>
    <m/>
    <m/>
    <x v="0"/>
    <m/>
    <x v="2"/>
    <s v="River/port Emergencies Exercises"/>
    <x v="4"/>
    <s v="“the first joint border blockading and controlling military exercise” conducted between China and Russia"/>
    <m/>
    <m/>
    <m/>
    <m/>
    <s v="https://www.jstor.org/stable/pdf/resrep11945.11.pdf?refreqid=excelsior%3A4fac441d45c51d61db50c8bc19c2628f"/>
    <m/>
  </r>
  <r>
    <x v="1"/>
    <x v="8"/>
    <s v="Europe and Central Asia"/>
    <s v="Strategic Partnership [战略伙伴关系]"/>
    <s v="None"/>
    <s v="EUCOM"/>
    <x v="112"/>
    <x v="18"/>
    <n v="9"/>
    <x v="4"/>
    <s v="Liang Guanglie"/>
    <m/>
    <s v="Defense Minister; CMC Member"/>
    <n v="8"/>
    <x v="1"/>
    <m/>
    <x v="0"/>
    <m/>
    <x v="0"/>
    <m/>
    <m/>
    <m/>
    <m/>
    <m/>
    <s v="Defense White Paper Appendix"/>
    <m/>
  </r>
  <r>
    <x v="1"/>
    <x v="8"/>
    <s v="Europe and Central Asia"/>
    <s v="No Specific Relationship"/>
    <s v="NATO"/>
    <s v="EUCOM"/>
    <x v="40"/>
    <x v="18"/>
    <n v="9"/>
    <x v="4"/>
    <s v="Liang Guanglie"/>
    <m/>
    <s v="Defense Minister; CMC Member"/>
    <n v="8"/>
    <x v="1"/>
    <m/>
    <x v="0"/>
    <m/>
    <x v="0"/>
    <m/>
    <m/>
    <m/>
    <m/>
    <m/>
    <s v="Defense White Paper Appendix"/>
    <m/>
  </r>
  <r>
    <x v="1"/>
    <x v="7"/>
    <s v="West Asia and Africa"/>
    <s v="No Specific Relationship"/>
    <s v="None"/>
    <s v="AFRICOM"/>
    <x v="16"/>
    <x v="18"/>
    <n v="9"/>
    <x v="3"/>
    <s v="Liang Guanglie"/>
    <m/>
    <s v="Defense Minister; CMC Member"/>
    <n v="8"/>
    <x v="2"/>
    <s v="Defense Minister"/>
    <x v="0"/>
    <m/>
    <x v="0"/>
    <m/>
    <m/>
    <m/>
    <m/>
    <m/>
    <s v="Defense White Paper Appendix"/>
    <m/>
  </r>
  <r>
    <x v="1"/>
    <x v="1"/>
    <s v="Asia"/>
    <s v="Comprehensive Strategic Cooperative Partnership [全面战略合作伙伴关系]"/>
    <s v="None"/>
    <s v="INDOPACOM"/>
    <x v="23"/>
    <x v="18"/>
    <n v="9"/>
    <x v="3"/>
    <s v="Liang Guanglie"/>
    <m/>
    <s v="Defense Minister; CMC Member"/>
    <n v="8"/>
    <x v="2"/>
    <s v="DCOGS"/>
    <x v="0"/>
    <m/>
    <x v="0"/>
    <m/>
    <m/>
    <m/>
    <m/>
    <m/>
    <s v="Defense White Paper Appendix"/>
    <m/>
  </r>
  <r>
    <x v="1"/>
    <x v="1"/>
    <s v="Asia"/>
    <s v="Comprehensive Strategic Cooperative Partnership [全面战略合作伙伴关系]"/>
    <s v="None"/>
    <s v="INDOPACOM"/>
    <x v="23"/>
    <x v="18"/>
    <n v="9"/>
    <x v="3"/>
    <s v="Liang Guanglie"/>
    <m/>
    <s v="Defense Minister; CMC Member"/>
    <n v="8"/>
    <x v="2"/>
    <s v="General Director, GPD"/>
    <x v="0"/>
    <m/>
    <x v="0"/>
    <m/>
    <m/>
    <m/>
    <m/>
    <m/>
    <s v="https://dlib.eastview.com/browse/doc/20662675"/>
    <s v="BY position counterpart would be GPD director; Comparative Connections chronology for that quarter is missing"/>
  </r>
  <r>
    <x v="0"/>
    <x v="9"/>
    <s v="West Asia and Africa"/>
    <s v="No Specific Relationship"/>
    <s v="None"/>
    <s v="CENTCOM"/>
    <x v="135"/>
    <x v="18"/>
    <n v="9"/>
    <x v="9"/>
    <m/>
    <m/>
    <m/>
    <m/>
    <x v="0"/>
    <m/>
    <x v="0"/>
    <m/>
    <x v="0"/>
    <m/>
    <s v="ETF"/>
    <s v="ETF-03"/>
    <s v="East Sea Fleet"/>
    <s v="FFG529 Zhoushan, FFG530 Xuzhou, AOR886 Qiandao Hu"/>
    <m/>
    <m/>
  </r>
  <r>
    <x v="1"/>
    <x v="5"/>
    <s v="America and Oceania"/>
    <s v="No Specific Relationship"/>
    <s v="ANZUS Treaty"/>
    <s v="INDOPACOM"/>
    <x v="12"/>
    <x v="18"/>
    <n v="10"/>
    <x v="4"/>
    <s v="Chen Bingde"/>
    <m/>
    <s v="GSD Commander; CMC Member"/>
    <n v="8"/>
    <x v="1"/>
    <m/>
    <x v="0"/>
    <m/>
    <x v="0"/>
    <m/>
    <s v="ETF"/>
    <m/>
    <m/>
    <m/>
    <s v="Defense White Paper Appendix"/>
    <m/>
  </r>
  <r>
    <x v="1"/>
    <x v="7"/>
    <s v="West Asia and Africa"/>
    <s v="Comprehensive Strategic Partnership [全面战略伙伴关系]"/>
    <s v="None"/>
    <s v="AFRICOM"/>
    <x v="127"/>
    <x v="18"/>
    <n v="10"/>
    <x v="3"/>
    <s v="Liang Guanglie"/>
    <m/>
    <s v="Defense Minister; CMC Member"/>
    <n v="8"/>
    <x v="2"/>
    <s v="Defense Minister"/>
    <x v="0"/>
    <m/>
    <x v="0"/>
    <m/>
    <m/>
    <m/>
    <m/>
    <m/>
    <s v="Defense White Paper Appendix"/>
    <m/>
  </r>
  <r>
    <x v="1"/>
    <x v="8"/>
    <s v="Europe and Central Asia"/>
    <s v="Comprehensive Strategic Partnership [全面战略伙伴关系]"/>
    <s v="NATO"/>
    <s v="EUCOM"/>
    <x v="29"/>
    <x v="18"/>
    <n v="10"/>
    <x v="4"/>
    <s v="Zhang Yang"/>
    <m/>
    <s v="Guangzhou MR Political Commissar"/>
    <n v="6"/>
    <x v="1"/>
    <m/>
    <x v="0"/>
    <m/>
    <x v="0"/>
    <m/>
    <m/>
    <m/>
    <m/>
    <m/>
    <s v="Defense White Paper Appendix"/>
    <m/>
  </r>
  <r>
    <x v="1"/>
    <x v="8"/>
    <s v="Europe and Central Asia"/>
    <s v="No Specific Relationship"/>
    <s v="NATO"/>
    <s v="EUCOM"/>
    <x v="82"/>
    <x v="18"/>
    <n v="10"/>
    <x v="4"/>
    <s v="Zhang Yang"/>
    <m/>
    <s v="Guangzhou MR Political Commissar"/>
    <n v="6"/>
    <x v="1"/>
    <m/>
    <x v="0"/>
    <m/>
    <x v="0"/>
    <m/>
    <m/>
    <m/>
    <m/>
    <m/>
    <s v="Defense White Paper Appendix"/>
    <m/>
  </r>
  <r>
    <x v="1"/>
    <x v="1"/>
    <s v="Asia"/>
    <s v="Strategic Partnership [战略伙伴关系]"/>
    <s v="None"/>
    <s v="INDOPACOM"/>
    <x v="8"/>
    <x v="18"/>
    <n v="10"/>
    <x v="4"/>
    <s v="Ma Xiaotian"/>
    <m/>
    <s v="GSD DCGS"/>
    <n v="6"/>
    <x v="1"/>
    <m/>
    <x v="0"/>
    <m/>
    <x v="0"/>
    <m/>
    <m/>
    <m/>
    <m/>
    <m/>
    <s v="Defense White Paper Appendix"/>
    <m/>
  </r>
  <r>
    <x v="1"/>
    <x v="4"/>
    <s v="Asia"/>
    <s v="Mutually Beneficial Strategic Relationship [战略互惠关系]"/>
    <s v="Bilateral Defense Treaty"/>
    <s v="INDOPACOM"/>
    <x v="83"/>
    <x v="18"/>
    <n v="10"/>
    <x v="4"/>
    <s v="Ma Xiaotian"/>
    <m/>
    <s v="GSD DCGS"/>
    <n v="6"/>
    <x v="1"/>
    <m/>
    <x v="0"/>
    <m/>
    <x v="0"/>
    <m/>
    <m/>
    <m/>
    <m/>
    <m/>
    <s v="Defense White Paper Appendix"/>
    <m/>
  </r>
  <r>
    <x v="1"/>
    <x v="7"/>
    <s v="West Asia and Africa"/>
    <s v="No Specific Relationship"/>
    <s v="None"/>
    <s v="AFRICOM"/>
    <x v="143"/>
    <x v="18"/>
    <n v="10"/>
    <x v="3"/>
    <s v="Liang Guanglie"/>
    <m/>
    <s v="Defense Minister; CMC Member"/>
    <n v="8"/>
    <x v="2"/>
    <s v="Defense Minister"/>
    <x v="0"/>
    <m/>
    <x v="0"/>
    <m/>
    <m/>
    <m/>
    <m/>
    <m/>
    <s v="Defense White Paper Appendix"/>
    <m/>
  </r>
  <r>
    <x v="1"/>
    <x v="4"/>
    <s v="Asia"/>
    <s v="Bilateral Defense Treaty"/>
    <s v="None"/>
    <s v="INDOPACOM"/>
    <x v="9"/>
    <x v="18"/>
    <n v="10"/>
    <x v="4"/>
    <s v="Ma Xiaotian"/>
    <m/>
    <s v="GSD DCGS"/>
    <n v="6"/>
    <x v="1"/>
    <m/>
    <x v="0"/>
    <m/>
    <x v="0"/>
    <m/>
    <m/>
    <m/>
    <m/>
    <m/>
    <s v="Defense White Paper Appendix"/>
    <m/>
  </r>
  <r>
    <x v="1"/>
    <x v="1"/>
    <s v="America and Oceania"/>
    <s v="No Specific Relationship"/>
    <s v="None"/>
    <s v="INDOPACOM"/>
    <x v="122"/>
    <x v="18"/>
    <n v="10"/>
    <x v="4"/>
    <s v="Chen Bingde"/>
    <m/>
    <s v="GSD Commander; CMC Member"/>
    <n v="8"/>
    <x v="1"/>
    <m/>
    <x v="0"/>
    <m/>
    <x v="0"/>
    <m/>
    <m/>
    <m/>
    <m/>
    <m/>
    <s v="Defense White Paper Appendix"/>
    <m/>
  </r>
  <r>
    <x v="1"/>
    <x v="1"/>
    <s v="Asia"/>
    <s v="No Specific Relationship"/>
    <s v="None"/>
    <s v="INDOPACOM"/>
    <x v="39"/>
    <x v="18"/>
    <n v="10"/>
    <x v="4"/>
    <s v="Chen Bingde"/>
    <m/>
    <s v="GSD Commander; CMC Member"/>
    <n v="8"/>
    <x v="1"/>
    <m/>
    <x v="0"/>
    <m/>
    <x v="0"/>
    <m/>
    <m/>
    <m/>
    <m/>
    <m/>
    <s v="Defense White Paper Appendix"/>
    <m/>
  </r>
  <r>
    <x v="1"/>
    <x v="4"/>
    <s v="Asia"/>
    <s v="Strategic Cooperative Partnership [战略合作伙伴关系]"/>
    <s v="Bilateral Defense Treaty"/>
    <s v="INDOPACOM"/>
    <x v="25"/>
    <x v="18"/>
    <n v="10"/>
    <x v="4"/>
    <s v="Ma Xiaotian"/>
    <m/>
    <s v="GSD DCGS"/>
    <n v="6"/>
    <x v="1"/>
    <m/>
    <x v="0"/>
    <m/>
    <x v="0"/>
    <m/>
    <m/>
    <m/>
    <m/>
    <m/>
    <s v="Defense White Paper Appendix"/>
    <m/>
  </r>
  <r>
    <x v="1"/>
    <x v="2"/>
    <s v="America and Oceania"/>
    <s v="No Specific Relationship"/>
    <s v="N/A"/>
    <s v="NORTHCOM"/>
    <x v="4"/>
    <x v="18"/>
    <n v="10"/>
    <x v="4"/>
    <s v="Xu Caihou"/>
    <m/>
    <s v="CMC Vice Chairman"/>
    <n v="10"/>
    <x v="1"/>
    <s v="Secretary of Defense"/>
    <x v="0"/>
    <m/>
    <x v="0"/>
    <m/>
    <m/>
    <m/>
    <m/>
    <m/>
    <s v="Defense White Paper Appendix"/>
    <m/>
  </r>
  <r>
    <x v="1"/>
    <x v="6"/>
    <s v="Europe and Central Asia"/>
    <s v="No Specific Relationship"/>
    <s v="None"/>
    <s v="CENTCOM"/>
    <x v="73"/>
    <x v="18"/>
    <n v="10"/>
    <x v="3"/>
    <s v="Liang Guanglie"/>
    <m/>
    <s v="Defense Minister; CMC Member"/>
    <n v="8"/>
    <x v="2"/>
    <s v="Defense Minister"/>
    <x v="0"/>
    <m/>
    <x v="0"/>
    <m/>
    <m/>
    <m/>
    <m/>
    <m/>
    <s v="Defense White Paper Appendix"/>
    <m/>
  </r>
  <r>
    <x v="0"/>
    <x v="9"/>
    <s v="West Asia and Africa"/>
    <s v="No Specific Relationship"/>
    <s v="None"/>
    <s v="CENTCOM"/>
    <x v="135"/>
    <x v="18"/>
    <n v="10"/>
    <x v="9"/>
    <m/>
    <m/>
    <m/>
    <m/>
    <x v="0"/>
    <m/>
    <x v="0"/>
    <m/>
    <x v="0"/>
    <m/>
    <s v="ETF"/>
    <s v="ETF-03"/>
    <s v="East Sea Fleet"/>
    <s v="FFG529 Zhoushan, FFG530 Xuzhou, AOR886 Qiandao Hu"/>
    <m/>
    <m/>
  </r>
  <r>
    <x v="1"/>
    <x v="9"/>
    <s v="West Asia and Africa"/>
    <s v="Friendly Cooperative Partnership [友好合作伙伴关系]"/>
    <s v="Major Non-NATO Ally"/>
    <s v="CENTCOM"/>
    <x v="146"/>
    <x v="18"/>
    <n v="11"/>
    <x v="3"/>
    <s v="Liang Guanglie"/>
    <m/>
    <s v="Defense Minister; CMC Member"/>
    <n v="8"/>
    <x v="2"/>
    <s v="Minister of State for Defense"/>
    <x v="0"/>
    <m/>
    <x v="0"/>
    <m/>
    <s v="ETF"/>
    <m/>
    <m/>
    <m/>
    <s v="Defense White Paper Appendix"/>
    <m/>
  </r>
  <r>
    <x v="1"/>
    <x v="0"/>
    <s v="Asia"/>
    <s v="Comprehensive Cooperative Partnership [全面合作伙伴关系]"/>
    <s v="None"/>
    <s v="INDOPACOM"/>
    <x v="0"/>
    <x v="18"/>
    <n v="11"/>
    <x v="3"/>
    <s v="Xu Qiliang"/>
    <m/>
    <s v="PLAAF Commander; CMC Member"/>
    <n v="8"/>
    <x v="2"/>
    <s v="Air Force Commander"/>
    <x v="0"/>
    <m/>
    <x v="0"/>
    <m/>
    <m/>
    <m/>
    <m/>
    <m/>
    <s v="Defense White Paper Appendix"/>
    <m/>
  </r>
  <r>
    <x v="1"/>
    <x v="10"/>
    <s v="America and Oceania"/>
    <s v="Comprehensive Strategic Partnership [全面战略伙伴关系]"/>
    <s v="None"/>
    <s v="SOUTHCOM"/>
    <x v="43"/>
    <x v="18"/>
    <n v="11"/>
    <x v="3"/>
    <s v="Xu Caihou"/>
    <m/>
    <s v="CMC Vice Chairman"/>
    <n v="10"/>
    <x v="2"/>
    <s v="Defense Minister"/>
    <x v="0"/>
    <m/>
    <x v="0"/>
    <m/>
    <m/>
    <m/>
    <m/>
    <m/>
    <s v="Defense White Paper Appendix"/>
    <m/>
  </r>
  <r>
    <x v="1"/>
    <x v="10"/>
    <s v="America and Oceania"/>
    <s v="Comprehensive Partnership [全面伙伴关系]"/>
    <s v="None"/>
    <s v="SOUTHCOM"/>
    <x v="66"/>
    <x v="18"/>
    <n v="11"/>
    <x v="3"/>
    <s v="Xu Qiliang"/>
    <m/>
    <s v="PLAAF Commander; CMC Member"/>
    <n v="8"/>
    <x v="2"/>
    <s v="Air Force Commander"/>
    <x v="0"/>
    <m/>
    <x v="0"/>
    <m/>
    <m/>
    <m/>
    <m/>
    <m/>
    <s v="Defense White Paper Appendix"/>
    <m/>
  </r>
  <r>
    <x v="0"/>
    <x v="10"/>
    <s v="South America"/>
    <s v="Comprehensive Partnership [全面伙伴关系]"/>
    <s v="None"/>
    <s v="SOUTHCOM"/>
    <x v="66"/>
    <x v="18"/>
    <n v="11"/>
    <x v="0"/>
    <m/>
    <m/>
    <m/>
    <m/>
    <x v="0"/>
    <m/>
    <x v="0"/>
    <m/>
    <x v="0"/>
    <m/>
    <s v="NETF"/>
    <s v="NETF"/>
    <m/>
    <m/>
    <s v="http://english.chinamil.com.cn/special-reports/2007zgjdgjtm/node_15411.htm"/>
    <m/>
  </r>
  <r>
    <x v="1"/>
    <x v="9"/>
    <s v="West Asia and Africa"/>
    <s v="Strategic Cooperative Partnership [战略合作伙伴关系]"/>
    <s v="Major Non-NATO Ally"/>
    <s v="CENTCOM"/>
    <x v="24"/>
    <x v="18"/>
    <n v="11"/>
    <x v="3"/>
    <s v="Xu Qiliang"/>
    <m/>
    <s v="PLAAF Commander; CMC Member"/>
    <n v="8"/>
    <x v="2"/>
    <s v="Air Force Commander"/>
    <x v="0"/>
    <m/>
    <x v="0"/>
    <m/>
    <m/>
    <m/>
    <m/>
    <m/>
    <s v="Defense White Paper Appendix"/>
    <m/>
  </r>
  <r>
    <x v="1"/>
    <x v="8"/>
    <s v="Europe and Central Asia"/>
    <s v="Comprehensive Strategic Partnership [全面战略伙伴关系]"/>
    <s v="NATO"/>
    <s v="EUCOM"/>
    <x v="29"/>
    <x v="18"/>
    <n v="11"/>
    <x v="3"/>
    <s v="Ma Xiaotian"/>
    <m/>
    <s v="GSD DCGS"/>
    <n v="6"/>
    <x v="2"/>
    <s v="Chief of Staff Army"/>
    <x v="0"/>
    <m/>
    <x v="0"/>
    <m/>
    <m/>
    <m/>
    <m/>
    <m/>
    <s v="Defense White Paper Appendix"/>
    <m/>
  </r>
  <r>
    <x v="1"/>
    <x v="4"/>
    <s v="Asia"/>
    <s v="Mutually Beneficial Strategic Relationship [战略互惠关系]"/>
    <s v="Bilateral Defense Treaty"/>
    <s v="INDOPACOM"/>
    <x v="83"/>
    <x v="18"/>
    <n v="11"/>
    <x v="4"/>
    <s v="Liang Guanglie"/>
    <m/>
    <s v="Defense Minister; CMC Member"/>
    <n v="8"/>
    <x v="1"/>
    <m/>
    <x v="0"/>
    <m/>
    <x v="0"/>
    <m/>
    <m/>
    <m/>
    <m/>
    <m/>
    <s v="Defense White Paper Appendix"/>
    <m/>
  </r>
  <r>
    <x v="0"/>
    <x v="4"/>
    <s v="Asia"/>
    <s v="Mutually Beneficial Strategic Relationship [战略互惠关系]"/>
    <s v="Bilateral Defense Treaty"/>
    <s v="INDOPACOM"/>
    <x v="83"/>
    <x v="18"/>
    <n v="11"/>
    <x v="8"/>
    <m/>
    <m/>
    <m/>
    <m/>
    <x v="0"/>
    <m/>
    <x v="0"/>
    <m/>
    <x v="0"/>
    <m/>
    <s v="NETF"/>
    <s v="2009-11 Zhenghe "/>
    <s v="North Sea Fleet"/>
    <s v="Zheng He"/>
    <s v="https://www.japantimes.co.jp/news/2009/11/06/national/china-naval-vessel-makes-port-call/#.Xuz1WHt7nec"/>
    <m/>
  </r>
  <r>
    <x v="1"/>
    <x v="6"/>
    <s v="Europe and Central Asia"/>
    <s v="Strategic Partnership [战略伙伴关系]"/>
    <s v="None"/>
    <s v="CENTCOM"/>
    <x v="30"/>
    <x v="18"/>
    <n v="11"/>
    <x v="3"/>
    <s v="Ma Xiaotian"/>
    <m/>
    <s v="GSD DCGS"/>
    <n v="6"/>
    <x v="1"/>
    <s v="Commander Border Forces"/>
    <x v="0"/>
    <m/>
    <x v="0"/>
    <m/>
    <m/>
    <m/>
    <m/>
    <m/>
    <s v="Defense White Paper Appendix"/>
    <m/>
  </r>
  <r>
    <x v="1"/>
    <x v="8"/>
    <s v="Europe and Central Asia"/>
    <s v="No Specific Relationship"/>
    <s v="None"/>
    <s v="EUCOM"/>
    <x v="99"/>
    <x v="18"/>
    <n v="11"/>
    <x v="3"/>
    <s v="Liang Guanglie"/>
    <m/>
    <s v="Defense Minister; CMC Member"/>
    <n v="8"/>
    <x v="2"/>
    <s v="COGS"/>
    <x v="0"/>
    <m/>
    <x v="0"/>
    <m/>
    <m/>
    <m/>
    <m/>
    <m/>
    <s v="Defense White Paper Appendix"/>
    <m/>
  </r>
  <r>
    <x v="1"/>
    <x v="8"/>
    <s v="Europe and Central Asia"/>
    <s v="Comprehensive Strategic Partnership [全面战略伙伴关系]"/>
    <s v="NATO"/>
    <s v="EUCOM"/>
    <x v="151"/>
    <x v="18"/>
    <n v="11"/>
    <x v="3"/>
    <m/>
    <m/>
    <m/>
    <m/>
    <x v="2"/>
    <s v="NATO Deputy Secretary General"/>
    <x v="0"/>
    <m/>
    <x v="0"/>
    <m/>
    <m/>
    <m/>
    <m/>
    <m/>
    <s v="https://www.nato.int/cps/en/natohq/news_59191.htm; https://www.nato.int/cps/en/natohq/photos_159906.htm"/>
    <s v="PCS: source lists VFM Zhang Zhijun as counterpart and does not specify PLA involvement.  ADD or not?"/>
  </r>
  <r>
    <x v="1"/>
    <x v="4"/>
    <s v="Asia"/>
    <s v="Bilateral Defense Treaty"/>
    <s v="None"/>
    <s v="INDOPACOM"/>
    <x v="9"/>
    <x v="18"/>
    <n v="11"/>
    <x v="4"/>
    <s v="Liang Guanglie"/>
    <m/>
    <s v="Defense Minister; CMC Member"/>
    <n v="8"/>
    <x v="1"/>
    <m/>
    <x v="0"/>
    <m/>
    <x v="0"/>
    <m/>
    <m/>
    <m/>
    <m/>
    <m/>
    <s v="Defense White Paper Appendix"/>
    <m/>
  </r>
  <r>
    <x v="1"/>
    <x v="0"/>
    <s v="Asia"/>
    <s v="Strategic Partnership [战略伙伴关系]"/>
    <s v="Major Non-NATO Ally"/>
    <s v="CENTCOM"/>
    <x v="2"/>
    <x v="18"/>
    <n v="11"/>
    <x v="3"/>
    <s v="Xu Qiliang"/>
    <m/>
    <s v="PLAAF Commander; CMC Member"/>
    <n v="8"/>
    <x v="2"/>
    <s v="Air Force Commander"/>
    <x v="0"/>
    <m/>
    <x v="0"/>
    <m/>
    <m/>
    <m/>
    <m/>
    <m/>
    <s v="Defense White Paper Appendix"/>
    <m/>
  </r>
  <r>
    <x v="1"/>
    <x v="1"/>
    <s v="Asia"/>
    <s v="Strategic Cooperative Partnership [战略合作伙伴关系]"/>
    <s v="Bilateral Defense Treaty"/>
    <s v="INDOPACOM"/>
    <x v="11"/>
    <x v="18"/>
    <n v="11"/>
    <x v="3"/>
    <s v="Xu Qiliang"/>
    <m/>
    <s v="PLAAF Commander; CMC Member"/>
    <n v="8"/>
    <x v="2"/>
    <s v="Air Force Commander"/>
    <x v="0"/>
    <m/>
    <x v="0"/>
    <m/>
    <m/>
    <m/>
    <m/>
    <m/>
    <s v="Defense White Paper Appendix"/>
    <m/>
  </r>
  <r>
    <x v="1"/>
    <x v="8"/>
    <s v="Europe and Central Asia"/>
    <s v="Comprehensive Friendly Cooperative Partnership [全面友好合作伙伴关系]"/>
    <s v="NATO"/>
    <s v="EUCOM"/>
    <x v="33"/>
    <x v="18"/>
    <n v="11"/>
    <x v="4"/>
    <s v="Ma Xiaotian"/>
    <m/>
    <s v="GSD DCGS"/>
    <n v="6"/>
    <x v="1"/>
    <m/>
    <x v="0"/>
    <m/>
    <x v="0"/>
    <m/>
    <m/>
    <m/>
    <m/>
    <m/>
    <s v="Defense White Paper Appendix"/>
    <m/>
  </r>
  <r>
    <x v="1"/>
    <x v="3"/>
    <s v="Europe and Central Asia"/>
    <s v="Strategic Partnership of Coordination [战略协作伙伴关系]"/>
    <s v="None"/>
    <s v="EUCOM"/>
    <x v="7"/>
    <x v="18"/>
    <n v="11"/>
    <x v="4"/>
    <s v="Guo Boxiong"/>
    <m/>
    <s v="CMC Vice Chairman"/>
    <n v="10"/>
    <x v="1"/>
    <m/>
    <x v="0"/>
    <m/>
    <x v="0"/>
    <m/>
    <m/>
    <m/>
    <m/>
    <m/>
    <s v="Defense White Paper Appendix"/>
    <m/>
  </r>
  <r>
    <x v="1"/>
    <x v="7"/>
    <s v="West Asia and Africa"/>
    <s v="No Specific Relationship"/>
    <s v="None"/>
    <s v="AFRICOM"/>
    <x v="152"/>
    <x v="18"/>
    <n v="11"/>
    <x v="3"/>
    <s v="Liang Guanglie"/>
    <m/>
    <s v="Defense Minister; CMC Member"/>
    <n v="8"/>
    <x v="2"/>
    <s v="COGS"/>
    <x v="0"/>
    <m/>
    <x v="0"/>
    <m/>
    <m/>
    <m/>
    <m/>
    <m/>
    <s v="Defense White Paper Appendix"/>
    <m/>
  </r>
  <r>
    <x v="1"/>
    <x v="7"/>
    <s v="West Asia and Africa"/>
    <s v="Strategic Partnership [战略伙伴关系]"/>
    <s v="None"/>
    <s v="AFRICOM"/>
    <x v="15"/>
    <x v="18"/>
    <n v="11"/>
    <x v="4"/>
    <s v="Liu Xiaojiang"/>
    <m/>
    <s v="PLAN Political Commissar"/>
    <n v="6"/>
    <x v="1"/>
    <m/>
    <x v="0"/>
    <m/>
    <x v="0"/>
    <m/>
    <m/>
    <m/>
    <m/>
    <m/>
    <s v="Defense White Paper Appendix"/>
    <m/>
  </r>
  <r>
    <x v="1"/>
    <x v="4"/>
    <s v="Asia"/>
    <s v="Strategic Cooperative Partnership [战略合作伙伴关系]"/>
    <s v="Bilateral Defense Treaty"/>
    <s v="INDOPACOM"/>
    <x v="25"/>
    <x v="18"/>
    <n v="11"/>
    <x v="3"/>
    <s v="Xu Qiliang"/>
    <m/>
    <s v="PLAAF Commander; CMC Member"/>
    <n v="8"/>
    <x v="2"/>
    <s v="Air Force Commander"/>
    <x v="0"/>
    <m/>
    <x v="0"/>
    <m/>
    <m/>
    <m/>
    <m/>
    <m/>
    <s v="Defense White Paper Appendix"/>
    <m/>
  </r>
  <r>
    <x v="1"/>
    <x v="7"/>
    <s v="West Asia and Africa"/>
    <s v="No Specific Relationship"/>
    <s v="None"/>
    <s v="AFRICOM"/>
    <x v="16"/>
    <x v="18"/>
    <n v="11"/>
    <x v="4"/>
    <s v="Liu Xiaojiang"/>
    <m/>
    <s v="PLAN Political Commissar"/>
    <n v="6"/>
    <x v="1"/>
    <m/>
    <x v="0"/>
    <m/>
    <x v="0"/>
    <m/>
    <m/>
    <m/>
    <m/>
    <m/>
    <s v="Defense White Paper Appendix"/>
    <m/>
  </r>
  <r>
    <x v="1"/>
    <x v="1"/>
    <s v="Asia"/>
    <s v="Strategic Partnership [战略伙伴关系]"/>
    <s v="Bilateral Defense Treaty"/>
    <s v="INDOPACOM"/>
    <x v="5"/>
    <x v="18"/>
    <n v="11"/>
    <x v="3"/>
    <s v="Liang Guanglie"/>
    <m/>
    <s v="Defense Minister; CMC Member"/>
    <n v="8"/>
    <x v="2"/>
    <s v="Navy Commander"/>
    <x v="0"/>
    <m/>
    <x v="0"/>
    <m/>
    <m/>
    <m/>
    <m/>
    <m/>
    <s v="Defense White Paper Appendix"/>
    <m/>
  </r>
  <r>
    <x v="1"/>
    <x v="7"/>
    <s v="West Asia and Africa"/>
    <s v="Comprehensive Strategic Cooperative Partnership [全面战略合作伙伴关系]"/>
    <s v="None"/>
    <s v="AFRICOM"/>
    <x v="96"/>
    <x v="18"/>
    <n v="11"/>
    <x v="3"/>
    <s v="Liang Guanglie"/>
    <m/>
    <s v="Defense Minister; CMC Member"/>
    <n v="8"/>
    <x v="2"/>
    <s v="COGS"/>
    <x v="0"/>
    <m/>
    <x v="0"/>
    <m/>
    <m/>
    <m/>
    <m/>
    <m/>
    <s v="Defense White Paper Appendix"/>
    <m/>
  </r>
  <r>
    <x v="1"/>
    <x v="10"/>
    <s v="America and Oceania"/>
    <s v="No Specific Relationship"/>
    <s v="None"/>
    <s v="SOUTHCOM"/>
    <x v="107"/>
    <x v="18"/>
    <n v="11"/>
    <x v="3"/>
    <s v="Xu Qiliang"/>
    <m/>
    <s v="PLAAF Commander; CMC Member"/>
    <n v="8"/>
    <x v="2"/>
    <s v="Air Force Commander"/>
    <x v="0"/>
    <m/>
    <x v="0"/>
    <m/>
    <m/>
    <m/>
    <m/>
    <m/>
    <s v="Defense White Paper Appendix"/>
    <m/>
  </r>
  <r>
    <x v="1"/>
    <x v="1"/>
    <s v="Asia"/>
    <s v="Comprehensive Strategic Cooperative Partnership [全面战略合作伙伴关系]"/>
    <s v="None"/>
    <s v="INDOPACOM"/>
    <x v="23"/>
    <x v="18"/>
    <n v="11"/>
    <x v="3"/>
    <s v="Xu Qiliang"/>
    <m/>
    <s v="PLAAF Commander; CMC Member"/>
    <n v="8"/>
    <x v="2"/>
    <s v="Air Force Commander"/>
    <x v="0"/>
    <m/>
    <x v="0"/>
    <m/>
    <m/>
    <m/>
    <m/>
    <m/>
    <s v="Defense White Paper Appendix"/>
    <m/>
  </r>
  <r>
    <x v="1"/>
    <x v="8"/>
    <s v="Europe and Central Asia"/>
    <s v="No Specific Relationship"/>
    <s v="None"/>
    <s v="EUCOM"/>
    <x v="63"/>
    <x v="18"/>
    <n v="12"/>
    <x v="3"/>
    <s v="Ma Xiaotian"/>
    <m/>
    <s v="GSD DCGS"/>
    <n v="6"/>
    <x v="1"/>
    <s v="COGS"/>
    <x v="0"/>
    <m/>
    <x v="0"/>
    <m/>
    <m/>
    <m/>
    <m/>
    <m/>
    <s v="Defense White Paper Appendix"/>
    <m/>
  </r>
  <r>
    <x v="0"/>
    <x v="10"/>
    <s v="America and Oceania"/>
    <s v="No Specific Relationship"/>
    <s v="None"/>
    <s v="SOUTHCOM"/>
    <x v="51"/>
    <x v="18"/>
    <n v="12"/>
    <x v="0"/>
    <m/>
    <m/>
    <m/>
    <m/>
    <x v="0"/>
    <m/>
    <x v="0"/>
    <m/>
    <x v="0"/>
    <m/>
    <s v="NETF"/>
    <s v="NETF"/>
    <m/>
    <m/>
    <s v="http://english.chinamil.com.cn/special-reports/2007zgjdgjtm/node_15411.htm"/>
    <m/>
  </r>
  <r>
    <x v="1"/>
    <x v="6"/>
    <s v="Europe and Central Asia"/>
    <s v="Strategic Partnership [战略伙伴关系]"/>
    <s v="None"/>
    <s v="CENTCOM"/>
    <x v="30"/>
    <x v="18"/>
    <n v="12"/>
    <x v="3"/>
    <s v="Guo Boxiong"/>
    <m/>
    <s v="CMC Vice Chairman"/>
    <n v="10"/>
    <x v="2"/>
    <s v="Defense Minister"/>
    <x v="0"/>
    <m/>
    <x v="0"/>
    <m/>
    <m/>
    <m/>
    <m/>
    <m/>
    <s v="Defense White Paper Appendix"/>
    <m/>
  </r>
  <r>
    <x v="0"/>
    <x v="1"/>
    <s v="Asia"/>
    <s v="Strategic Cooperative Partnership [战略合作伙伴关系]"/>
    <s v="None"/>
    <s v="INDOPACOM"/>
    <x v="10"/>
    <x v="18"/>
    <n v="12"/>
    <x v="0"/>
    <m/>
    <m/>
    <m/>
    <m/>
    <x v="0"/>
    <m/>
    <x v="0"/>
    <m/>
    <x v="0"/>
    <m/>
    <s v="ETF"/>
    <s v="ETF-03"/>
    <s v="East Sea Fleet"/>
    <s v="FFG529 Zhoushan, FFG530 Xuzhou, AOR886 Qiandao Hu"/>
    <m/>
    <m/>
  </r>
  <r>
    <x v="1"/>
    <x v="0"/>
    <s v="Asia"/>
    <s v="Strategic Partnership [战略伙伴关系]"/>
    <s v="Major Non-NATO Ally"/>
    <s v="CENTCOM"/>
    <x v="2"/>
    <x v="18"/>
    <n v="12"/>
    <x v="3"/>
    <s v="Liang Guanglie"/>
    <m/>
    <s v="Defense Minister; CMC Member"/>
    <n v="8"/>
    <x v="2"/>
    <s v="Chief of Naval Staff"/>
    <x v="0"/>
    <m/>
    <x v="0"/>
    <m/>
    <s v="ETF"/>
    <m/>
    <m/>
    <m/>
    <s v="Defense White Paper Appendix"/>
    <m/>
  </r>
  <r>
    <x v="0"/>
    <x v="10"/>
    <s v="America and Oceania"/>
    <s v="Strategic Partnership [战略伙伴关系]"/>
    <s v="None"/>
    <s v="SOUTHCOM"/>
    <x v="54"/>
    <x v="18"/>
    <n v="12"/>
    <x v="0"/>
    <m/>
    <m/>
    <m/>
    <m/>
    <x v="0"/>
    <m/>
    <x v="0"/>
    <m/>
    <x v="0"/>
    <m/>
    <s v="NETF"/>
    <s v="NETF"/>
    <m/>
    <m/>
    <s v="http://www.globaltimes.cn/content/489653.shtml"/>
    <m/>
  </r>
  <r>
    <x v="1"/>
    <x v="1"/>
    <s v="Asia"/>
    <s v="Strategic Cooperative Partnership [战略合作伙伴关系]"/>
    <s v="Bilateral Defense Treaty"/>
    <s v="INDOPACOM"/>
    <x v="11"/>
    <x v="18"/>
    <n v="12"/>
    <x v="3"/>
    <s v="Liang Guanglie"/>
    <m/>
    <s v="Defense Minister; CMC Member"/>
    <n v="8"/>
    <x v="2"/>
    <s v="COGS"/>
    <x v="0"/>
    <m/>
    <x v="0"/>
    <m/>
    <m/>
    <m/>
    <m/>
    <m/>
    <s v="Defense White Paper Appendix"/>
    <m/>
  </r>
  <r>
    <x v="1"/>
    <x v="8"/>
    <s v="Europe and Central Asia"/>
    <s v="No Specific Relationship"/>
    <s v="NATO"/>
    <s v="EUCOM"/>
    <x v="59"/>
    <x v="18"/>
    <n v="12"/>
    <x v="3"/>
    <s v="Xu Caihou"/>
    <m/>
    <s v="CMC Vice Chairman"/>
    <n v="10"/>
    <x v="2"/>
    <s v="Defense Minister"/>
    <x v="0"/>
    <m/>
    <x v="0"/>
    <m/>
    <m/>
    <m/>
    <m/>
    <m/>
    <s v="Defense White Paper Appendix"/>
    <m/>
  </r>
  <r>
    <x v="1"/>
    <x v="8"/>
    <s v="Europe and Central Asia"/>
    <s v="Comprehensive Friendly Cooperative Partnership [全面友好合作伙伴关系]"/>
    <s v="NATO"/>
    <s v="EUCOM"/>
    <x v="33"/>
    <x v="18"/>
    <n v="12"/>
    <x v="3"/>
    <s v="Ma Xiaotian"/>
    <m/>
    <s v="GSD DCGS"/>
    <n v="6"/>
    <x v="2"/>
    <s v="Head of Department of International Military Cooperation, Ministry of Defense"/>
    <x v="0"/>
    <m/>
    <x v="0"/>
    <m/>
    <m/>
    <m/>
    <m/>
    <m/>
    <s v="Defense White Paper Appendix"/>
    <m/>
  </r>
  <r>
    <x v="0"/>
    <x v="1"/>
    <s v="Asia"/>
    <s v="No Specific Relationship"/>
    <s v="None"/>
    <s v="INDOPACOM"/>
    <x v="39"/>
    <x v="18"/>
    <n v="12"/>
    <x v="0"/>
    <m/>
    <m/>
    <m/>
    <m/>
    <x v="0"/>
    <m/>
    <x v="0"/>
    <m/>
    <x v="0"/>
    <m/>
    <s v="ETF"/>
    <s v="ETF-03"/>
    <s v="East Sea Fleet"/>
    <s v="FFG529 Zhoushan, FFG530 Xuzhou, AOR886 Qiandao Hu"/>
    <m/>
    <m/>
  </r>
  <r>
    <x v="0"/>
    <x v="1"/>
    <s v="Asia"/>
    <s v="No Specific Relationship"/>
    <s v="None"/>
    <s v="INDOPACOM"/>
    <x v="39"/>
    <x v="18"/>
    <n v="12"/>
    <x v="0"/>
    <m/>
    <m/>
    <m/>
    <m/>
    <x v="0"/>
    <m/>
    <x v="0"/>
    <m/>
    <x v="0"/>
    <m/>
    <s v="ETF"/>
    <s v="ETF-03"/>
    <s v="East Sea Fleet"/>
    <s v="Zhoushan 529 FFG, Xuzhou 530 FFG, Qiandaohu 886"/>
    <s v="Erickson, Six Years at Sea…, p.81"/>
    <m/>
  </r>
  <r>
    <x v="1"/>
    <x v="8"/>
    <s v="Europe and Central Asia"/>
    <s v="No Specific Relationship"/>
    <s v="NATO"/>
    <s v="EUCOM"/>
    <x v="108"/>
    <x v="19"/>
    <n v="1"/>
    <x v="3"/>
    <s v="Liang Guanglie"/>
    <m/>
    <s v="Defense Minister; CMC Member"/>
    <n v="8"/>
    <x v="2"/>
    <s v="Minister of Defense and Chief of Defense Staff of the Armed Forces"/>
    <x v="0"/>
    <m/>
    <x v="0"/>
    <m/>
    <m/>
    <m/>
    <m/>
    <m/>
    <s v="Defense White Paper Appendix"/>
    <m/>
  </r>
  <r>
    <x v="0"/>
    <x v="9"/>
    <s v="West Asia and Africa"/>
    <s v="No Specific Relationship"/>
    <s v="None"/>
    <s v="CENTCOM"/>
    <x v="119"/>
    <x v="19"/>
    <n v="1"/>
    <x v="9"/>
    <m/>
    <m/>
    <m/>
    <m/>
    <x v="0"/>
    <m/>
    <x v="0"/>
    <m/>
    <x v="0"/>
    <m/>
    <s v="ETF"/>
    <s v="ETF-04"/>
    <s v="East Sea Fleet"/>
    <s v="FFG525 Ma'anshan, FFG526 Wenzhou, AOR886 Qiandao Hu"/>
    <m/>
    <m/>
  </r>
  <r>
    <x v="1"/>
    <x v="0"/>
    <s v="Asia"/>
    <s v="Strategic Partnership for Peace and Prosperity [战略伙伴关系]"/>
    <s v="None"/>
    <s v="INDOPACOM"/>
    <x v="6"/>
    <x v="19"/>
    <n v="1"/>
    <x v="3"/>
    <s v="Liang Guanglie"/>
    <m/>
    <s v="Defense Minister; CMC Member"/>
    <n v="8"/>
    <x v="2"/>
    <s v="Defense Secretary"/>
    <x v="0"/>
    <m/>
    <x v="0"/>
    <m/>
    <m/>
    <m/>
    <m/>
    <m/>
    <s v="Defense White Paper Appendix"/>
    <m/>
  </r>
  <r>
    <x v="1"/>
    <x v="8"/>
    <s v="Europe and Central Asia"/>
    <s v="Comprehensive Strategic Partnership [全面战略伙伴关系]"/>
    <s v="NATO"/>
    <s v="EUCOM"/>
    <x v="20"/>
    <x v="19"/>
    <n v="1"/>
    <x v="3"/>
    <s v="Guo Boxiong"/>
    <m/>
    <s v="CMC Vice Chairman"/>
    <n v="10"/>
    <x v="2"/>
    <s v="Secretary General of Defense and National Armaments Director"/>
    <x v="0"/>
    <m/>
    <x v="0"/>
    <m/>
    <m/>
    <m/>
    <m/>
    <m/>
    <s v="Defense White Paper Appendix"/>
    <m/>
  </r>
  <r>
    <x v="0"/>
    <x v="9"/>
    <s v="West Asia and Africa"/>
    <s v="No Specific Relationship"/>
    <s v="None"/>
    <s v="CENTCOM"/>
    <x v="147"/>
    <x v="19"/>
    <n v="1"/>
    <x v="9"/>
    <m/>
    <m/>
    <m/>
    <m/>
    <x v="0"/>
    <m/>
    <x v="0"/>
    <m/>
    <x v="0"/>
    <m/>
    <s v="ETF"/>
    <s v="ETF-04"/>
    <s v="East Sea Fleet"/>
    <s v="FFG525 Ma'anshan, FFG526 Wenzhou, AOR886 Qiandao Hu"/>
    <m/>
    <m/>
  </r>
  <r>
    <x v="1"/>
    <x v="0"/>
    <s v="Asia"/>
    <s v="Strategic Partnership [战略伙伴关系]"/>
    <s v="Major Non-NATO Ally"/>
    <s v="CENTCOM"/>
    <x v="2"/>
    <x v="19"/>
    <n v="1"/>
    <x v="4"/>
    <s v="Ma Xiaotian"/>
    <m/>
    <s v="GSD DCGS"/>
    <n v="6"/>
    <x v="1"/>
    <m/>
    <x v="0"/>
    <m/>
    <x v="0"/>
    <m/>
    <m/>
    <m/>
    <m/>
    <m/>
    <s v="Defense White Paper Appendix"/>
    <m/>
  </r>
  <r>
    <x v="1"/>
    <x v="8"/>
    <s v="Europe and Central Asia"/>
    <s v="Comprehensive Friendly Cooperative Partnership [全面友好合作伙伴关系]"/>
    <s v="NATO"/>
    <s v="EUCOM"/>
    <x v="33"/>
    <x v="19"/>
    <n v="1"/>
    <x v="4"/>
    <s v="Ma Xiaotian"/>
    <m/>
    <s v="GSD DCGS"/>
    <n v="6"/>
    <x v="1"/>
    <m/>
    <x v="0"/>
    <m/>
    <x v="0"/>
    <m/>
    <m/>
    <m/>
    <m/>
    <m/>
    <s v="Defense White Paper Appendix"/>
    <m/>
  </r>
  <r>
    <x v="1"/>
    <x v="1"/>
    <s v="Asia"/>
    <s v="No Specific Relationship"/>
    <s v="None"/>
    <s v="INDOPACOM"/>
    <x v="39"/>
    <x v="19"/>
    <n v="1"/>
    <x v="3"/>
    <s v="Liang Guanglie"/>
    <m/>
    <s v="Defense Minister; CMC Member"/>
    <n v="8"/>
    <x v="2"/>
    <s v="Chief of Army"/>
    <x v="0"/>
    <m/>
    <x v="0"/>
    <m/>
    <m/>
    <m/>
    <m/>
    <m/>
    <s v="Defense White Paper Appendix"/>
    <m/>
  </r>
  <r>
    <x v="0"/>
    <x v="0"/>
    <s v="Asia"/>
    <s v="Comprehensive Cooperative Partnership [全面合作伙伴关系]"/>
    <s v="None"/>
    <s v="INDOPACOM"/>
    <x v="3"/>
    <x v="19"/>
    <n v="1"/>
    <x v="0"/>
    <m/>
    <m/>
    <m/>
    <m/>
    <x v="0"/>
    <m/>
    <x v="0"/>
    <m/>
    <x v="0"/>
    <m/>
    <s v="ETF"/>
    <s v="ETF-04"/>
    <s v="East Sea Fleet"/>
    <s v="FFG525 Ma'anshan, FFG526 Wenzhou, AOR886 Qiandao Hu"/>
    <m/>
    <m/>
  </r>
  <r>
    <x v="1"/>
    <x v="8"/>
    <s v="Europe and Central Asia"/>
    <s v="Comprehensive Strategic Partnership [全面战略伙伴关系]"/>
    <s v="NATO"/>
    <s v="EUCOM"/>
    <x v="21"/>
    <x v="19"/>
    <n v="1"/>
    <x v="4"/>
    <s v="Ma Xiaotian"/>
    <m/>
    <s v="GSD DCGS"/>
    <n v="6"/>
    <x v="1"/>
    <m/>
    <x v="0"/>
    <m/>
    <x v="0"/>
    <m/>
    <m/>
    <m/>
    <m/>
    <m/>
    <s v="Defense White Paper Appendix"/>
    <m/>
  </r>
  <r>
    <x v="1"/>
    <x v="7"/>
    <s v="West Asia and Africa"/>
    <s v="Comprehensive Strategic Partnership [全面战略伙伴关系]"/>
    <s v="None"/>
    <s v="AFRICOM"/>
    <x v="127"/>
    <x v="19"/>
    <n v="2"/>
    <x v="4"/>
    <s v="Ma Xiaotian"/>
    <m/>
    <s v="GSD DCGS"/>
    <n v="6"/>
    <x v="1"/>
    <m/>
    <x v="0"/>
    <m/>
    <x v="0"/>
    <m/>
    <m/>
    <m/>
    <m/>
    <m/>
    <s v="Defense White Paper Appendix"/>
    <m/>
  </r>
  <r>
    <x v="1"/>
    <x v="9"/>
    <s v="West Asia and Africa"/>
    <s v="Strategic Cooperative Partnership [战略合作伙伴关系]"/>
    <s v="Major Non-NATO Ally"/>
    <s v="CENTCOM"/>
    <x v="24"/>
    <x v="19"/>
    <n v="2"/>
    <x v="4"/>
    <s v="Ma Xiaotian"/>
    <m/>
    <s v="GSD DCGS"/>
    <n v="6"/>
    <x v="1"/>
    <m/>
    <x v="0"/>
    <m/>
    <x v="0"/>
    <m/>
    <m/>
    <m/>
    <m/>
    <m/>
    <s v="Defense White Paper Appendix"/>
    <m/>
  </r>
  <r>
    <x v="1"/>
    <x v="4"/>
    <s v="Asia"/>
    <s v="Mutually Beneficial Strategic Relationship [战略互惠关系]"/>
    <s v="Bilateral Defense Treaty"/>
    <s v="INDOPACOM"/>
    <x v="83"/>
    <x v="19"/>
    <n v="2"/>
    <x v="3"/>
    <s v="Liang Guanglie"/>
    <m/>
    <s v="Defense Minister; CMC Member"/>
    <n v="8"/>
    <x v="2"/>
    <s v="Chief of Staff of Ground Self Defense Force (GSDF)"/>
    <x v="0"/>
    <m/>
    <x v="0"/>
    <m/>
    <m/>
    <m/>
    <m/>
    <m/>
    <s v="Defense White Paper Appendix"/>
    <m/>
  </r>
  <r>
    <x v="1"/>
    <x v="7"/>
    <s v="West Asia and Africa"/>
    <s v="No Specific Relationship"/>
    <s v="None"/>
    <s v="AFRICOM"/>
    <x v="47"/>
    <x v="19"/>
    <n v="2"/>
    <x v="4"/>
    <s v="Ma Xiaotian"/>
    <m/>
    <s v="GSD DCGS"/>
    <n v="6"/>
    <x v="1"/>
    <m/>
    <x v="0"/>
    <m/>
    <x v="0"/>
    <m/>
    <m/>
    <m/>
    <m/>
    <m/>
    <s v="Defense White Paper Appendix"/>
    <m/>
  </r>
  <r>
    <x v="1"/>
    <x v="8"/>
    <s v="Europe and Central Asia"/>
    <s v="Comprehensive Strategic Partnership [全面战略伙伴关系]"/>
    <s v="NATO"/>
    <s v="EUCOM"/>
    <x v="21"/>
    <x v="19"/>
    <n v="2"/>
    <x v="4"/>
    <s v="Ma Xiaotian"/>
    <m/>
    <s v="GSD DCGS"/>
    <n v="6"/>
    <x v="1"/>
    <s v="Chief of Defense Staff"/>
    <x v="0"/>
    <m/>
    <x v="0"/>
    <m/>
    <m/>
    <m/>
    <m/>
    <m/>
    <s v="Defense White Paper Appendix"/>
    <m/>
  </r>
  <r>
    <x v="0"/>
    <x v="9"/>
    <s v="West Asia and Africa"/>
    <s v="No Specific Relationship"/>
    <s v="None"/>
    <s v="CENTCOM"/>
    <x v="135"/>
    <x v="19"/>
    <n v="2"/>
    <x v="9"/>
    <m/>
    <m/>
    <m/>
    <m/>
    <x v="0"/>
    <m/>
    <x v="0"/>
    <m/>
    <x v="0"/>
    <m/>
    <s v="ETF"/>
    <s v="ETF-04"/>
    <s v="East Sea Fleet"/>
    <s v="FFG525 Ma'anshan, FFG526 Wenzhou, AOR886 Qiandao Hu"/>
    <m/>
    <m/>
  </r>
  <r>
    <x v="1"/>
    <x v="0"/>
    <s v="Europe and Central Asia"/>
    <s v="Comprehensive Cooperative Partnership [全面合作伙伴关系]"/>
    <s v="Major Non-NATO Ally"/>
    <s v="CENTCOM"/>
    <x v="123"/>
    <x v="19"/>
    <n v="3"/>
    <x v="3"/>
    <s v="Liang Guanglie"/>
    <m/>
    <s v="Defense Minister; CMC Member"/>
    <n v="8"/>
    <x v="2"/>
    <s v="Defense Minister"/>
    <x v="0"/>
    <m/>
    <x v="0"/>
    <m/>
    <m/>
    <m/>
    <m/>
    <m/>
    <s v="Defense White Paper Appendix"/>
    <m/>
  </r>
  <r>
    <x v="1"/>
    <x v="9"/>
    <s v="West Asia and Africa"/>
    <s v="Strategic Cooperative Partnership [战略合作伙伴关系]"/>
    <s v="Major Non-NATO Ally"/>
    <s v="CENTCOM"/>
    <x v="24"/>
    <x v="19"/>
    <n v="3"/>
    <x v="4"/>
    <s v="Ma Xiaotian"/>
    <m/>
    <s v="GSD DCGS"/>
    <n v="6"/>
    <x v="1"/>
    <s v="Defense Minister"/>
    <x v="0"/>
    <m/>
    <x v="0"/>
    <m/>
    <m/>
    <m/>
    <m/>
    <m/>
    <s v="Defense White Paper Appendix"/>
    <m/>
  </r>
  <r>
    <x v="1"/>
    <x v="7"/>
    <s v="West Asia and Africa"/>
    <s v="No Specific Relationship"/>
    <s v="None"/>
    <s v="AFRICOM"/>
    <x v="87"/>
    <x v="19"/>
    <n v="3"/>
    <x v="3"/>
    <s v="Liang Guanglie"/>
    <m/>
    <s v="Defense Minister; CMC Member"/>
    <n v="8"/>
    <x v="2"/>
    <s v="Defense Minister"/>
    <x v="0"/>
    <m/>
    <x v="0"/>
    <m/>
    <m/>
    <m/>
    <m/>
    <m/>
    <s v="Defense White Paper Appendix"/>
    <m/>
  </r>
  <r>
    <x v="1"/>
    <x v="0"/>
    <s v="Asia"/>
    <s v="All-Round Strategic Partnership  [全面合作伙伴关系]"/>
    <s v="None"/>
    <s v="INDOPACOM"/>
    <x v="32"/>
    <x v="19"/>
    <n v="3"/>
    <x v="3"/>
    <s v="Liang Guanglie"/>
    <m/>
    <s v="Defense Minister; CMC Member"/>
    <n v="8"/>
    <x v="2"/>
    <s v="Defense Minister"/>
    <x v="0"/>
    <m/>
    <x v="0"/>
    <m/>
    <m/>
    <m/>
    <m/>
    <m/>
    <s v="Defense White Paper Appendix"/>
    <m/>
  </r>
  <r>
    <x v="0"/>
    <x v="0"/>
    <s v="Asia"/>
    <s v="Strategic Partnership [战略伙伴关系]"/>
    <s v="Major Non-NATO Ally"/>
    <s v="CENTCOM"/>
    <x v="2"/>
    <x v="19"/>
    <n v="3"/>
    <x v="10"/>
    <m/>
    <m/>
    <m/>
    <m/>
    <x v="0"/>
    <m/>
    <x v="0"/>
    <m/>
    <x v="0"/>
    <m/>
    <s v="ETF"/>
    <s v="ETF-05"/>
    <s v="South Sea Fleet"/>
    <s v="DDG168 Guangzhou, FFG568 Hengyang, AOR887 Weishan Hu; uncertain, could also be ETF-4"/>
    <m/>
    <m/>
  </r>
  <r>
    <x v="2"/>
    <x v="0"/>
    <s v="Asia"/>
    <s v="Strategic Partnership [战略伙伴关系]"/>
    <s v="Major Non-NATO Ally"/>
    <s v="CENTCOM"/>
    <x v="2"/>
    <x v="19"/>
    <n v="3"/>
    <x v="5"/>
    <m/>
    <m/>
    <m/>
    <m/>
    <x v="0"/>
    <m/>
    <x v="4"/>
    <s v="Unknown Karachi 2010"/>
    <x v="2"/>
    <s v=" 7-13 March 2010, anti-piracy ETF joint drills and friendly visit, Six Years p. 129"/>
    <m/>
    <m/>
    <m/>
    <m/>
    <s v="Defense White Paper Appendix"/>
    <m/>
  </r>
  <r>
    <x v="1"/>
    <x v="1"/>
    <s v="Asia"/>
    <s v="Strategic Partnership [战略伙伴关系]"/>
    <s v="Bilateral Defense Treaty"/>
    <s v="INDOPACOM"/>
    <x v="5"/>
    <x v="19"/>
    <n v="3"/>
    <x v="3"/>
    <s v="Liang Guanglie"/>
    <m/>
    <s v="Defense Minister; CMC Member"/>
    <n v="8"/>
    <x v="2"/>
    <s v="CO of National Defense Studies Institute"/>
    <x v="0"/>
    <m/>
    <x v="0"/>
    <m/>
    <m/>
    <m/>
    <m/>
    <m/>
    <s v="Defense White Paper Appendix"/>
    <m/>
  </r>
  <r>
    <x v="0"/>
    <x v="9"/>
    <s v="West Asia and Africa"/>
    <s v="No Specific Relationship"/>
    <s v="None"/>
    <s v="CENTCOM"/>
    <x v="106"/>
    <x v="19"/>
    <n v="3"/>
    <x v="0"/>
    <m/>
    <m/>
    <m/>
    <m/>
    <x v="0"/>
    <m/>
    <x v="0"/>
    <m/>
    <x v="0"/>
    <m/>
    <s v="ETF"/>
    <s v="ETF-04"/>
    <s v="East Sea Fleet"/>
    <s v="FFG525 Ma'anshan, FFG526 Wenzhou, AOR886 Qiandao Hu"/>
    <m/>
    <m/>
  </r>
  <r>
    <x v="1"/>
    <x v="1"/>
    <s v="Asia"/>
    <s v="Comprehensive Strategic Cooperative Partnership [全面战略合作伙伴关系]"/>
    <s v="None"/>
    <s v="INDOPACOM"/>
    <x v="23"/>
    <x v="19"/>
    <n v="3"/>
    <x v="3"/>
    <s v="Chen Bingde"/>
    <m/>
    <s v="GSD Commander; CMC Member"/>
    <n v="8"/>
    <x v="2"/>
    <s v="Deputy Defense Minister"/>
    <x v="0"/>
    <m/>
    <x v="0"/>
    <m/>
    <m/>
    <m/>
    <m/>
    <m/>
    <s v="Defense White Paper Appendix"/>
    <m/>
  </r>
  <r>
    <x v="0"/>
    <x v="9"/>
    <s v="West Asia and Africa"/>
    <s v="No Specific Relationship"/>
    <s v="None"/>
    <s v="CENTCOM"/>
    <x v="135"/>
    <x v="19"/>
    <n v="3"/>
    <x v="9"/>
    <m/>
    <m/>
    <m/>
    <m/>
    <x v="0"/>
    <m/>
    <x v="0"/>
    <m/>
    <x v="0"/>
    <m/>
    <s v="ETF"/>
    <s v="ETF-04"/>
    <s v="East Sea Fleet"/>
    <s v="FFG525 Ma'anshan, FFG526 Wenzhou, AOR886 Qiandao Hu; uncertain, could also be ETF-5"/>
    <m/>
    <m/>
  </r>
  <r>
    <x v="1"/>
    <x v="10"/>
    <s v="America and Oceania"/>
    <s v="Strategic Partnership [战略伙伴关系]"/>
    <s v="Major Non-NATO Ally"/>
    <s v="SOUTHCOM"/>
    <x v="62"/>
    <x v="19"/>
    <n v="4"/>
    <x v="4"/>
    <s v="Ma Xiaotian"/>
    <m/>
    <s v="GSD DCGS"/>
    <n v="6"/>
    <x v="1"/>
    <m/>
    <x v="0"/>
    <m/>
    <x v="0"/>
    <m/>
    <m/>
    <m/>
    <m/>
    <m/>
    <s v="Defense White Paper Appendix"/>
    <m/>
  </r>
  <r>
    <x v="1"/>
    <x v="2"/>
    <s v="America and Oceania"/>
    <s v="Strategic Partnership [战略伙伴关系]"/>
    <s v="NATO"/>
    <s v="NORTHCOM"/>
    <x v="17"/>
    <x v="19"/>
    <n v="4"/>
    <x v="4"/>
    <s v="Ma Xiaotian"/>
    <m/>
    <s v="GSD DCGS"/>
    <n v="6"/>
    <x v="1"/>
    <m/>
    <x v="0"/>
    <m/>
    <x v="0"/>
    <m/>
    <m/>
    <m/>
    <m/>
    <m/>
    <s v="Defense White Paper Appendix"/>
    <m/>
  </r>
  <r>
    <x v="1"/>
    <x v="7"/>
    <s v="West Asia and Africa"/>
    <s v="No Specific Relationship"/>
    <s v="None"/>
    <s v="AFRICOM"/>
    <x v="28"/>
    <x v="19"/>
    <n v="4"/>
    <x v="3"/>
    <s v="Liang Guanglie"/>
    <m/>
    <s v="Defense Minister; CMC Member"/>
    <n v="8"/>
    <x v="2"/>
    <s v="Minister of National Defense"/>
    <x v="0"/>
    <m/>
    <x v="0"/>
    <m/>
    <m/>
    <m/>
    <m/>
    <m/>
    <s v="Defense White Paper Appendix"/>
    <m/>
  </r>
  <r>
    <x v="1"/>
    <x v="10"/>
    <s v="America and Oceania"/>
    <s v="No Specific Relationship"/>
    <s v="None"/>
    <s v="SOUTHCOM"/>
    <x v="49"/>
    <x v="19"/>
    <n v="4"/>
    <x v="3"/>
    <s v="Chen Bingde"/>
    <m/>
    <s v="GSD Commander; CMC Member"/>
    <n v="8"/>
    <x v="2"/>
    <s v="COGS"/>
    <x v="0"/>
    <m/>
    <x v="0"/>
    <m/>
    <m/>
    <m/>
    <m/>
    <m/>
    <s v="Defense White Paper Appendix"/>
    <m/>
  </r>
  <r>
    <x v="1"/>
    <x v="7"/>
    <s v="West Asia and Africa"/>
    <s v="No Specific Relationship"/>
    <s v="None"/>
    <s v="AFRICOM"/>
    <x v="67"/>
    <x v="19"/>
    <n v="4"/>
    <x v="4"/>
    <s v="Ma Xiaotian"/>
    <m/>
    <s v="GSD DCGS"/>
    <n v="6"/>
    <x v="1"/>
    <m/>
    <x v="0"/>
    <m/>
    <x v="0"/>
    <m/>
    <m/>
    <m/>
    <m/>
    <m/>
    <s v="Defense White Paper Appendix"/>
    <m/>
  </r>
  <r>
    <x v="1"/>
    <x v="6"/>
    <s v="Europe and Central Asia"/>
    <s v="Strategic Partnership [战略伙伴关系]"/>
    <s v="None"/>
    <s v="CENTCOM"/>
    <x v="30"/>
    <x v="19"/>
    <n v="4"/>
    <x v="4"/>
    <s v="Ma Xiaotian"/>
    <m/>
    <s v="GSD DCGS"/>
    <n v="6"/>
    <x v="1"/>
    <m/>
    <x v="0"/>
    <m/>
    <x v="0"/>
    <m/>
    <m/>
    <m/>
    <m/>
    <m/>
    <s v="Defense White Paper Appendix"/>
    <m/>
  </r>
  <r>
    <x v="1"/>
    <x v="1"/>
    <s v="Asia"/>
    <s v="Strategic Cooperative Partnership [战略合作伙伴关系]"/>
    <s v="None"/>
    <s v="INDOPACOM"/>
    <x v="10"/>
    <x v="19"/>
    <n v="4"/>
    <x v="4"/>
    <s v="Ma Xiaotian"/>
    <m/>
    <s v="GSD DCGS"/>
    <n v="6"/>
    <x v="1"/>
    <m/>
    <x v="0"/>
    <m/>
    <x v="0"/>
    <m/>
    <m/>
    <m/>
    <m/>
    <m/>
    <s v="Defense White Paper Appendix"/>
    <m/>
  </r>
  <r>
    <x v="1"/>
    <x v="7"/>
    <s v="West Asia and Africa"/>
    <s v="No Specific Relationship"/>
    <s v="None"/>
    <s v="AFRICOM"/>
    <x v="84"/>
    <x v="19"/>
    <n v="4"/>
    <x v="4"/>
    <s v="Ma Xiaotian"/>
    <m/>
    <s v="GSD DCGS"/>
    <n v="6"/>
    <x v="1"/>
    <m/>
    <x v="0"/>
    <m/>
    <x v="0"/>
    <m/>
    <m/>
    <m/>
    <m/>
    <m/>
    <s v="Defense White Paper Appendix"/>
    <m/>
  </r>
  <r>
    <x v="0"/>
    <x v="9"/>
    <s v="West Asia and Africa"/>
    <s v="No Specific Relationship"/>
    <s v="None"/>
    <s v="CENTCOM"/>
    <x v="147"/>
    <x v="19"/>
    <n v="4"/>
    <x v="9"/>
    <m/>
    <m/>
    <m/>
    <m/>
    <x v="0"/>
    <m/>
    <x v="0"/>
    <m/>
    <x v="0"/>
    <m/>
    <s v="ETF"/>
    <s v="ETF-04"/>
    <s v="East Sea Fleet"/>
    <s v="FFG525 Ma'anshan, FFG526 Wenzhou, AOR886 Qiandao Hu; uncertain, could also be ETF-5"/>
    <m/>
    <m/>
  </r>
  <r>
    <x v="1"/>
    <x v="10"/>
    <s v="America and Oceania"/>
    <s v="Strategic Partnership [战略伙伴关系]"/>
    <s v="None"/>
    <s v="SOUTHCOM"/>
    <x v="54"/>
    <x v="19"/>
    <n v="4"/>
    <x v="3"/>
    <s v="Liang Guanglie"/>
    <m/>
    <s v="Defense Minister; CMC Member"/>
    <n v="8"/>
    <x v="2"/>
    <s v="Minister of Defense"/>
    <x v="0"/>
    <m/>
    <x v="0"/>
    <m/>
    <m/>
    <m/>
    <m/>
    <m/>
    <s v="Defense White Paper Appendix"/>
    <m/>
  </r>
  <r>
    <x v="0"/>
    <x v="1"/>
    <s v="Asia"/>
    <s v="Strategic Cooperative Partnership [战略合作伙伴关系]"/>
    <s v="Bilateral Defense Treaty"/>
    <s v="INDOPACOM"/>
    <x v="11"/>
    <x v="19"/>
    <n v="4"/>
    <x v="0"/>
    <m/>
    <m/>
    <m/>
    <m/>
    <x v="0"/>
    <m/>
    <x v="0"/>
    <m/>
    <x v="0"/>
    <m/>
    <s v="ETF"/>
    <s v="ETF-04"/>
    <s v="East Sea Fleet"/>
    <s v="FFG525 Ma'anshan, FFG526 Wenzhou, AOR886 Qiandao Hu"/>
    <m/>
    <m/>
  </r>
  <r>
    <x v="1"/>
    <x v="1"/>
    <s v="Asia"/>
    <s v="No Specific Relationship"/>
    <s v="None"/>
    <s v="INDOPACOM"/>
    <x v="39"/>
    <x v="19"/>
    <n v="4"/>
    <x v="3"/>
    <s v="Chen Bingde"/>
    <m/>
    <s v="GSD Commander; CMC Member"/>
    <n v="8"/>
    <x v="2"/>
    <s v="Deputy Prime Minister and Defense Minister"/>
    <x v="0"/>
    <m/>
    <x v="0"/>
    <m/>
    <m/>
    <m/>
    <m/>
    <m/>
    <s v="Defense White Paper Appendix"/>
    <m/>
  </r>
  <r>
    <x v="1"/>
    <x v="7"/>
    <s v="West Asia and Africa"/>
    <s v="No Specific Relationship"/>
    <s v="None"/>
    <s v="AFRICOM"/>
    <x v="97"/>
    <x v="19"/>
    <n v="4"/>
    <x v="3"/>
    <s v="Liang Guanglie"/>
    <m/>
    <s v="Defense Minister; CMC Member"/>
    <n v="8"/>
    <x v="2"/>
    <s v="Defense Minister"/>
    <x v="0"/>
    <m/>
    <x v="0"/>
    <m/>
    <m/>
    <m/>
    <m/>
    <m/>
    <s v="Defense White Paper Appendix"/>
    <m/>
  </r>
  <r>
    <x v="1"/>
    <x v="10"/>
    <s v="America and Oceania"/>
    <s v="Strategic Development Partnership [战略发展伙伴关系]"/>
    <s v="None"/>
    <s v="SOUTHCOM"/>
    <x v="56"/>
    <x v="19"/>
    <n v="4"/>
    <x v="4"/>
    <s v="Fang Fenghui"/>
    <m/>
    <s v="Beijing MR Commander"/>
    <n v="6"/>
    <x v="1"/>
    <m/>
    <x v="0"/>
    <m/>
    <x v="0"/>
    <m/>
    <m/>
    <m/>
    <m/>
    <m/>
    <s v="Defense White Paper Appendix"/>
    <m/>
  </r>
  <r>
    <x v="1"/>
    <x v="1"/>
    <s v="Asia"/>
    <s v="Comprehensive Strategic Cooperative Partnership [全面战略合作伙伴关系]"/>
    <s v="None"/>
    <s v="INDOPACOM"/>
    <x v="23"/>
    <x v="19"/>
    <n v="4"/>
    <x v="3"/>
    <s v="Liang Guanglie"/>
    <m/>
    <s v="Defense Minister; CMC Member"/>
    <n v="8"/>
    <x v="2"/>
    <s v="Defense Minister"/>
    <x v="0"/>
    <m/>
    <x v="0"/>
    <m/>
    <m/>
    <m/>
    <m/>
    <m/>
    <s v="Defense White Paper Appendix"/>
    <m/>
  </r>
  <r>
    <x v="1"/>
    <x v="7"/>
    <s v="West Asia and Africa"/>
    <s v="Strategic Partnership [战略伙伴关系]"/>
    <s v="None"/>
    <s v="AFRICOM"/>
    <x v="105"/>
    <x v="19"/>
    <n v="5"/>
    <x v="4"/>
    <s v="Chen Bingde"/>
    <m/>
    <s v="GSD Commander; CMC Member"/>
    <n v="8"/>
    <x v="1"/>
    <m/>
    <x v="0"/>
    <m/>
    <x v="0"/>
    <m/>
    <m/>
    <m/>
    <m/>
    <m/>
    <s v="Defense White Paper Appendix"/>
    <m/>
  </r>
  <r>
    <x v="1"/>
    <x v="5"/>
    <s v="America and Oceania"/>
    <s v="No Specific Relationship"/>
    <s v="ANZUS Treaty"/>
    <s v="INDOPACOM"/>
    <x v="12"/>
    <x v="19"/>
    <n v="5"/>
    <x v="4"/>
    <s v="Guo Boxiong"/>
    <m/>
    <s v="CMC Vice Chairman"/>
    <n v="10"/>
    <x v="1"/>
    <s v="Chief of ADF Air Force"/>
    <x v="0"/>
    <m/>
    <x v="0"/>
    <m/>
    <m/>
    <m/>
    <m/>
    <m/>
    <s v="Defense White Paper Appendix"/>
    <m/>
  </r>
  <r>
    <x v="1"/>
    <x v="8"/>
    <s v="Europe and Central Asia"/>
    <s v="Strategic Partnership [战略伙伴关系]"/>
    <s v="NATO"/>
    <s v="EUCOM"/>
    <x v="34"/>
    <x v="19"/>
    <n v="5"/>
    <x v="3"/>
    <s v="Xu Caihou"/>
    <m/>
    <s v="CMC Vice Chairman"/>
    <n v="10"/>
    <x v="2"/>
    <s v="Defense Minister"/>
    <x v="0"/>
    <m/>
    <x v="0"/>
    <m/>
    <m/>
    <m/>
    <m/>
    <m/>
    <s v="Defense White Paper Appendix"/>
    <m/>
  </r>
  <r>
    <x v="1"/>
    <x v="8"/>
    <s v="Europe and Central Asia"/>
    <s v="No Specific Relationship"/>
    <s v="None"/>
    <s v="EUCOM"/>
    <x v="79"/>
    <x v="19"/>
    <n v="5"/>
    <x v="4"/>
    <s v="Du Hengyan"/>
    <m/>
    <s v="Jinan MR Political Commissar"/>
    <n v="6"/>
    <x v="1"/>
    <m/>
    <x v="0"/>
    <m/>
    <x v="0"/>
    <m/>
    <m/>
    <m/>
    <m/>
    <m/>
    <s v="Defense White Paper Appendix"/>
    <m/>
  </r>
  <r>
    <x v="1"/>
    <x v="1"/>
    <s v="Asia"/>
    <s v="Comprehensive Strategic Cooperative Partnership [全面战略合作伙伴关系]"/>
    <s v="None"/>
    <s v="INDOPACOM"/>
    <x v="94"/>
    <x v="19"/>
    <n v="5"/>
    <x v="3"/>
    <s v="Liang Guanglie"/>
    <m/>
    <s v="Defense Minister; CMC Member"/>
    <n v="8"/>
    <x v="2"/>
    <s v="CinC Armed Forces"/>
    <x v="0"/>
    <m/>
    <x v="0"/>
    <m/>
    <m/>
    <m/>
    <m/>
    <m/>
    <s v="Defense White Paper Appendix"/>
    <m/>
  </r>
  <r>
    <x v="0"/>
    <x v="9"/>
    <s v="West Asia and Africa"/>
    <s v="No Specific Relationship"/>
    <s v="None"/>
    <s v="CENTCOM"/>
    <x v="119"/>
    <x v="19"/>
    <n v="5"/>
    <x v="9"/>
    <m/>
    <m/>
    <m/>
    <m/>
    <x v="0"/>
    <m/>
    <x v="0"/>
    <m/>
    <x v="0"/>
    <m/>
    <s v="ETF"/>
    <s v="ETF-05"/>
    <s v="South Sea Fleet"/>
    <s v="DDG168 Guangzhou, FFG568 Hengyang, AOR887 Weishan Hu"/>
    <m/>
    <m/>
  </r>
  <r>
    <x v="1"/>
    <x v="8"/>
    <s v="Europe and Central Asia"/>
    <s v="No Specific Relationship"/>
    <s v="None"/>
    <s v="EUCOM"/>
    <x v="81"/>
    <x v="19"/>
    <n v="5"/>
    <x v="4"/>
    <s v="Du Hengyan"/>
    <m/>
    <s v="Jinan MR Political Commissar"/>
    <n v="6"/>
    <x v="1"/>
    <m/>
    <x v="0"/>
    <m/>
    <x v="0"/>
    <m/>
    <m/>
    <m/>
    <m/>
    <m/>
    <s v="Defense White Paper Appendix"/>
    <m/>
  </r>
  <r>
    <x v="1"/>
    <x v="8"/>
    <s v="Europe and Central Asia"/>
    <s v="Comprehensive Strategic Partnership [全面战略伙伴关系]"/>
    <s v="NATO"/>
    <s v="EUCOM"/>
    <x v="22"/>
    <x v="19"/>
    <n v="5"/>
    <x v="4"/>
    <s v="Ma Xiaotian"/>
    <m/>
    <s v="GSD DCGS"/>
    <n v="6"/>
    <x v="1"/>
    <m/>
    <x v="0"/>
    <m/>
    <x v="0"/>
    <m/>
    <m/>
    <m/>
    <m/>
    <m/>
    <s v="Defense White Paper Appendix"/>
    <m/>
  </r>
  <r>
    <x v="1"/>
    <x v="8"/>
    <s v="Europe and Central Asia"/>
    <s v="Strategic Partnership [战略伙伴关系]"/>
    <s v="NATO"/>
    <s v="EUCOM"/>
    <x v="18"/>
    <x v="19"/>
    <n v="5"/>
    <x v="4"/>
    <s v="Liu Yuan"/>
    <m/>
    <s v="AMS Political Commissar"/>
    <n v="6"/>
    <x v="1"/>
    <m/>
    <x v="0"/>
    <m/>
    <x v="0"/>
    <m/>
    <m/>
    <m/>
    <m/>
    <m/>
    <s v="Defense White Paper Appendix"/>
    <m/>
  </r>
  <r>
    <x v="1"/>
    <x v="8"/>
    <s v="Europe and Central Asia"/>
    <s v="Comprehensive Strategic Partnership [全面战略伙伴关系]"/>
    <s v="NATO"/>
    <s v="EUCOM"/>
    <x v="29"/>
    <x v="19"/>
    <n v="5"/>
    <x v="4"/>
    <s v="Zhang Haiyang"/>
    <m/>
    <s v="PLASAF Political Commissar"/>
    <n v="6"/>
    <x v="1"/>
    <m/>
    <x v="0"/>
    <m/>
    <x v="0"/>
    <m/>
    <m/>
    <m/>
    <m/>
    <m/>
    <s v="Defense White Paper Appendix"/>
    <m/>
  </r>
  <r>
    <x v="1"/>
    <x v="1"/>
    <s v="Asia"/>
    <s v="Strategic Partnership [战略伙伴关系]"/>
    <s v="None"/>
    <s v="INDOPACOM"/>
    <x v="8"/>
    <x v="19"/>
    <n v="5"/>
    <x v="4"/>
    <s v="Guo Boxiong"/>
    <m/>
    <s v="CMC Vice Chairman"/>
    <n v="10"/>
    <x v="1"/>
    <m/>
    <x v="0"/>
    <m/>
    <x v="0"/>
    <m/>
    <m/>
    <m/>
    <m/>
    <m/>
    <s v="Defense White Paper Appendix"/>
    <m/>
  </r>
  <r>
    <x v="1"/>
    <x v="8"/>
    <s v="Europe and Central Asia"/>
    <s v="Comprehensive Strategic Partnership [全面战略伙伴关系]"/>
    <s v="NATO"/>
    <s v="EUCOM"/>
    <x v="20"/>
    <x v="19"/>
    <n v="5"/>
    <x v="4"/>
    <s v="Chang Wanquan"/>
    <m/>
    <s v="GAD Director; CMC Member"/>
    <n v="8"/>
    <x v="1"/>
    <m/>
    <x v="0"/>
    <m/>
    <x v="0"/>
    <m/>
    <m/>
    <m/>
    <m/>
    <m/>
    <s v="Defense White Paper Appendix"/>
    <m/>
  </r>
  <r>
    <x v="1"/>
    <x v="6"/>
    <s v="Europe and Central Asia"/>
    <s v="Strategic Partnership [战略伙伴关系]"/>
    <s v="None"/>
    <s v="CENTCOM"/>
    <x v="30"/>
    <x v="19"/>
    <n v="5"/>
    <x v="4"/>
    <s v="Liang Guanglie"/>
    <m/>
    <s v="Defense Minister; CMC Member"/>
    <n v="8"/>
    <x v="1"/>
    <m/>
    <x v="0"/>
    <m/>
    <x v="0"/>
    <m/>
    <m/>
    <m/>
    <m/>
    <m/>
    <s v="Defense White Paper Appendix"/>
    <m/>
  </r>
  <r>
    <x v="1"/>
    <x v="1"/>
    <s v="Asia"/>
    <s v="Comprehensive Strategic Cooperative Partnership [全面战略合作伙伴关系]"/>
    <s v="None"/>
    <s v="INDOPACOM"/>
    <x v="52"/>
    <x v="19"/>
    <n v="5"/>
    <x v="4"/>
    <s v="Ma Xiaotian"/>
    <m/>
    <s v="GSD DCGS"/>
    <n v="6"/>
    <x v="1"/>
    <m/>
    <x v="0"/>
    <m/>
    <x v="0"/>
    <m/>
    <m/>
    <m/>
    <m/>
    <m/>
    <s v="Defense White Paper Appendix"/>
    <m/>
  </r>
  <r>
    <x v="1"/>
    <x v="9"/>
    <s v="West Asia and Africa"/>
    <s v="No Specific Relationship"/>
    <s v="None"/>
    <s v="CENTCOM"/>
    <x v="110"/>
    <x v="19"/>
    <n v="5"/>
    <x v="3"/>
    <s v="Chen Bingde"/>
    <m/>
    <s v="GSD Commander; CMC Member"/>
    <n v="8"/>
    <x v="2"/>
    <s v="Army Chief of Staff"/>
    <x v="0"/>
    <m/>
    <x v="0"/>
    <m/>
    <m/>
    <m/>
    <m/>
    <m/>
    <s v="Defense White Paper Appendix"/>
    <m/>
  </r>
  <r>
    <x v="1"/>
    <x v="8"/>
    <s v="Europe and Central Asia"/>
    <s v="No Specific Relationship"/>
    <s v="None"/>
    <s v="EUCOM"/>
    <x v="99"/>
    <x v="19"/>
    <n v="5"/>
    <x v="3"/>
    <s v="Xu Caihou"/>
    <m/>
    <s v="CMC Vice Chairman"/>
    <n v="10"/>
    <x v="2"/>
    <s v="Defense Minister"/>
    <x v="0"/>
    <m/>
    <x v="0"/>
    <m/>
    <m/>
    <m/>
    <m/>
    <m/>
    <s v="Defense White Paper Appendix"/>
    <m/>
  </r>
  <r>
    <x v="1"/>
    <x v="7"/>
    <s v="West Asia and Africa"/>
    <s v="No Specific Relationship"/>
    <s v="None"/>
    <s v="AFRICOM"/>
    <x v="69"/>
    <x v="19"/>
    <n v="5"/>
    <x v="4"/>
    <s v="Chen Bingde"/>
    <m/>
    <s v="GSD Commander; CMC Member"/>
    <n v="8"/>
    <x v="1"/>
    <m/>
    <x v="0"/>
    <m/>
    <x v="0"/>
    <m/>
    <m/>
    <m/>
    <m/>
    <m/>
    <s v="Defense White Paper Appendix"/>
    <m/>
  </r>
  <r>
    <x v="1"/>
    <x v="5"/>
    <s v="America and Oceania"/>
    <s v="No Specific Relationship"/>
    <s v="ANZUS Treaty"/>
    <s v="INDOPACOM"/>
    <x v="13"/>
    <x v="19"/>
    <n v="5"/>
    <x v="4"/>
    <s v="Guo Boxiong"/>
    <m/>
    <s v="CMC Vice Chairman"/>
    <n v="10"/>
    <x v="1"/>
    <m/>
    <x v="0"/>
    <m/>
    <x v="0"/>
    <m/>
    <m/>
    <m/>
    <m/>
    <m/>
    <s v="Defense White Paper Appendix"/>
    <m/>
  </r>
  <r>
    <x v="1"/>
    <x v="0"/>
    <s v="Asia"/>
    <s v="Strategic Partnership [战略伙伴关系]"/>
    <s v="Major Non-NATO Ally"/>
    <s v="CENTCOM"/>
    <x v="2"/>
    <x v="19"/>
    <n v="5"/>
    <x v="4"/>
    <s v="Liang Guanglie"/>
    <m/>
    <s v="Defense Minister; CMC Member"/>
    <n v="8"/>
    <x v="1"/>
    <s v="Defense Minister"/>
    <x v="0"/>
    <m/>
    <x v="0"/>
    <m/>
    <m/>
    <m/>
    <m/>
    <m/>
    <s v="Defense White Paper Appendix"/>
    <m/>
  </r>
  <r>
    <x v="1"/>
    <x v="8"/>
    <s v="Europe and Central Asia"/>
    <s v="No Specific Relationship"/>
    <s v="NATO"/>
    <s v="EUCOM"/>
    <x v="40"/>
    <x v="19"/>
    <n v="5"/>
    <x v="4"/>
    <s v="Zhang Haiyang"/>
    <m/>
    <s v="PLASAF Political Commissar"/>
    <n v="6"/>
    <x v="1"/>
    <m/>
    <x v="0"/>
    <m/>
    <x v="0"/>
    <m/>
    <m/>
    <m/>
    <m/>
    <m/>
    <s v="Defense White Paper Appendix"/>
    <m/>
  </r>
  <r>
    <x v="1"/>
    <x v="8"/>
    <s v="Europe and Central Asia"/>
    <s v="No Specific Relationship"/>
    <s v="None"/>
    <s v="EUCOM"/>
    <x v="92"/>
    <x v="19"/>
    <n v="5"/>
    <x v="4"/>
    <s v="Liu Yuan"/>
    <m/>
    <s v="AMS Political Commissar"/>
    <n v="6"/>
    <x v="1"/>
    <m/>
    <x v="0"/>
    <m/>
    <x v="0"/>
    <m/>
    <m/>
    <m/>
    <m/>
    <m/>
    <s v="Defense White Paper Appendix"/>
    <m/>
  </r>
  <r>
    <x v="1"/>
    <x v="7"/>
    <s v="West Asia and Africa"/>
    <s v="No Specific Relationship"/>
    <s v="None"/>
    <s v="AFRICOM"/>
    <x v="16"/>
    <x v="19"/>
    <n v="5"/>
    <x v="4"/>
    <s v="Chen Bingde"/>
    <m/>
    <s v="GSD Commander; CMC Member"/>
    <n v="8"/>
    <x v="1"/>
    <m/>
    <x v="0"/>
    <m/>
    <x v="0"/>
    <m/>
    <m/>
    <m/>
    <m/>
    <m/>
    <s v="Defense White Paper Appendix"/>
    <m/>
  </r>
  <r>
    <x v="1"/>
    <x v="8"/>
    <s v="Europe and Central Asia"/>
    <s v="Strategic Cooperative Partnership [战略合作伙伴关系]"/>
    <s v="NATO"/>
    <s v="EUCOM"/>
    <x v="38"/>
    <x v="19"/>
    <n v="5"/>
    <x v="3"/>
    <s v="Guo Boxiong"/>
    <m/>
    <s v="CMC Vice Chairman"/>
    <n v="10"/>
    <x v="2"/>
    <s v="DCOGS"/>
    <x v="0"/>
    <m/>
    <x v="0"/>
    <m/>
    <m/>
    <m/>
    <m/>
    <m/>
    <s v="Defense White Paper Appendix"/>
    <m/>
  </r>
  <r>
    <x v="1"/>
    <x v="6"/>
    <s v="Europe and Central Asia"/>
    <s v="No Specific Relationship"/>
    <s v="None"/>
    <s v="CENTCOM"/>
    <x v="55"/>
    <x v="19"/>
    <n v="5"/>
    <x v="4"/>
    <s v="Liang Guanglie"/>
    <m/>
    <s v="Defense Minister; CMC Member"/>
    <n v="8"/>
    <x v="1"/>
    <s v="Defense Minister"/>
    <x v="0"/>
    <m/>
    <x v="0"/>
    <m/>
    <m/>
    <m/>
    <m/>
    <m/>
    <s v="Defense White Paper Appendix"/>
    <m/>
  </r>
  <r>
    <x v="1"/>
    <x v="2"/>
    <s v="America and Oceania"/>
    <s v="No Specific Relationship"/>
    <s v="N/A"/>
    <s v="NORTHCOM"/>
    <x v="4"/>
    <x v="19"/>
    <n v="5"/>
    <x v="3"/>
    <s v="Xu Caihou"/>
    <m/>
    <s v="CMC Vice Chairman"/>
    <n v="10"/>
    <x v="2"/>
    <s v="Former Deputy Chairman JCS and former USAF Chief of Staff"/>
    <x v="0"/>
    <m/>
    <x v="0"/>
    <m/>
    <m/>
    <m/>
    <m/>
    <m/>
    <s v="Defense White Paper Appendix"/>
    <m/>
  </r>
  <r>
    <x v="1"/>
    <x v="1"/>
    <s v="Asia"/>
    <s v="Comprehensive Strategic Cooperative Partnership [全面战略合作伙伴关系]"/>
    <s v="None"/>
    <s v="INDOPACOM"/>
    <x v="23"/>
    <x v="19"/>
    <n v="5"/>
    <x v="4"/>
    <s v="Li Jinai"/>
    <m/>
    <s v="GPD Director; CMC Member"/>
    <n v="8"/>
    <x v="1"/>
    <m/>
    <x v="0"/>
    <m/>
    <x v="0"/>
    <m/>
    <m/>
    <m/>
    <m/>
    <m/>
    <s v="Defense White Paper Appendix"/>
    <m/>
  </r>
  <r>
    <x v="0"/>
    <x v="9"/>
    <s v="West Asia and Africa"/>
    <s v="No Specific Relationship"/>
    <s v="None"/>
    <s v="CENTCOM"/>
    <x v="135"/>
    <x v="19"/>
    <n v="5"/>
    <x v="9"/>
    <m/>
    <m/>
    <m/>
    <m/>
    <x v="0"/>
    <m/>
    <x v="0"/>
    <m/>
    <x v="0"/>
    <m/>
    <s v="ETF"/>
    <s v="ETF-05"/>
    <s v="South Sea Fleet"/>
    <s v="DDG168 Guangzhou, FFG568 Hengyang, AOR887 Weishan Hu"/>
    <m/>
    <m/>
  </r>
  <r>
    <x v="1"/>
    <x v="1"/>
    <s v="Asia"/>
    <s v="Comprehensive Strategic Cooperative Partnership [全面战略合作伙伴关系]"/>
    <s v="None"/>
    <s v="INDOPACOM"/>
    <x v="94"/>
    <x v="19"/>
    <n v="6"/>
    <x v="4"/>
    <s v="Chi Wanchun"/>
    <m/>
    <s v="GAD Political Commissar"/>
    <n v="6"/>
    <x v="1"/>
    <m/>
    <x v="0"/>
    <m/>
    <x v="0"/>
    <m/>
    <m/>
    <m/>
    <m/>
    <m/>
    <s v="Defense White Paper Appendix"/>
    <m/>
  </r>
  <r>
    <x v="1"/>
    <x v="7"/>
    <s v="West Asia and Africa"/>
    <s v="No Specific Relationship"/>
    <s v="None"/>
    <s v="AFRICOM"/>
    <x v="95"/>
    <x v="19"/>
    <n v="6"/>
    <x v="3"/>
    <s v="Xu Caihou"/>
    <m/>
    <s v="CMC Vice Chairman"/>
    <n v="10"/>
    <x v="2"/>
    <s v="Chief of Staff Armed Forces"/>
    <x v="0"/>
    <m/>
    <x v="0"/>
    <m/>
    <m/>
    <m/>
    <m/>
    <m/>
    <s v="Defense White Paper Appendix"/>
    <m/>
  </r>
  <r>
    <x v="1"/>
    <x v="8"/>
    <s v="Europe and Central Asia"/>
    <s v="Comprehensive Strategic Partnership [全面战略伙伴关系]"/>
    <s v="NATO"/>
    <s v="EUCOM"/>
    <x v="22"/>
    <x v="19"/>
    <n v="6"/>
    <x v="4"/>
    <s v="Ma Xiaotian"/>
    <m/>
    <s v="GSD DCGS"/>
    <n v="6"/>
    <x v="1"/>
    <m/>
    <x v="0"/>
    <m/>
    <x v="0"/>
    <m/>
    <m/>
    <m/>
    <m/>
    <m/>
    <s v="Defense White Paper Appendix"/>
    <m/>
  </r>
  <r>
    <x v="1"/>
    <x v="10"/>
    <s v="America and Oceania"/>
    <s v="No Specific Relationship"/>
    <s v="None"/>
    <s v="SOUTHCOM"/>
    <x v="88"/>
    <x v="19"/>
    <n v="6"/>
    <x v="3"/>
    <s v="Liang Guanglie"/>
    <m/>
    <s v="Defense Minister; CMC Member"/>
    <n v="8"/>
    <x v="2"/>
    <s v="Chief of the Defense Staff"/>
    <x v="0"/>
    <m/>
    <x v="0"/>
    <m/>
    <m/>
    <m/>
    <m/>
    <m/>
    <s v="Defense White Paper Appendix"/>
    <m/>
  </r>
  <r>
    <x v="1"/>
    <x v="1"/>
    <s v="Asia"/>
    <s v="No Specific Relationship"/>
    <s v="None"/>
    <s v="INDOPACOM"/>
    <x v="137"/>
    <x v="19"/>
    <n v="6"/>
    <x v="1"/>
    <s v="Ma Xiaotian"/>
    <m/>
    <s v="GSD DCGS"/>
    <n v="6"/>
    <x v="1"/>
    <s v="9th Shangri-La Dialogue"/>
    <x v="0"/>
    <m/>
    <x v="0"/>
    <m/>
    <m/>
    <m/>
    <m/>
    <m/>
    <s v="Defense White Paper Appendix"/>
    <m/>
  </r>
  <r>
    <x v="1"/>
    <x v="4"/>
    <s v="Asia"/>
    <s v="Mutually Beneficial Strategic Relationship [战略互惠关系]"/>
    <s v="Bilateral Defense Treaty"/>
    <s v="INDOPACOM"/>
    <x v="83"/>
    <x v="19"/>
    <n v="6"/>
    <x v="3"/>
    <s v="Liang Guanglie"/>
    <m/>
    <s v="Defense Minister; CMC Member"/>
    <n v="8"/>
    <x v="2"/>
    <s v="Sasakawa Japan-China Friendship Fund"/>
    <x v="0"/>
    <m/>
    <x v="0"/>
    <m/>
    <m/>
    <m/>
    <m/>
    <m/>
    <s v="Defense White Paper Appendix"/>
    <m/>
  </r>
  <r>
    <x v="1"/>
    <x v="8"/>
    <s v="Europe and Central Asia"/>
    <s v="No Specific Relationship"/>
    <s v="None"/>
    <s v="EUCOM"/>
    <x v="99"/>
    <x v="19"/>
    <n v="6"/>
    <x v="4"/>
    <s v="Ma Xiaotian"/>
    <m/>
    <s v="GSD DCGS"/>
    <n v="6"/>
    <x v="1"/>
    <s v="Defense Minister"/>
    <x v="0"/>
    <m/>
    <x v="0"/>
    <m/>
    <m/>
    <m/>
    <m/>
    <m/>
    <s v="Defense White Paper Appendix"/>
    <m/>
  </r>
  <r>
    <x v="1"/>
    <x v="1"/>
    <s v="Asia"/>
    <s v="No Specific Relationship"/>
    <s v="None"/>
    <s v="INDOPACOM"/>
    <x v="1"/>
    <x v="19"/>
    <n v="6"/>
    <x v="4"/>
    <s v="Fan Changlong"/>
    <m/>
    <s v="Jinan MR Commander"/>
    <n v="6"/>
    <x v="1"/>
    <m/>
    <x v="0"/>
    <m/>
    <x v="0"/>
    <m/>
    <m/>
    <m/>
    <m/>
    <m/>
    <s v="Defense White Paper Appendix"/>
    <m/>
  </r>
  <r>
    <x v="1"/>
    <x v="8"/>
    <s v="Europe and Central Asia"/>
    <s v="No Specific Relationship"/>
    <s v="NATO"/>
    <s v="EUCOM"/>
    <x v="37"/>
    <x v="19"/>
    <n v="6"/>
    <x v="3"/>
    <s v="Chen Bingde"/>
    <m/>
    <s v="GSD Commander; CMC Member"/>
    <n v="8"/>
    <x v="2"/>
    <s v="Chief of Navy Staff"/>
    <x v="0"/>
    <m/>
    <x v="0"/>
    <m/>
    <m/>
    <m/>
    <m/>
    <m/>
    <s v="Defense White Paper Appendix"/>
    <m/>
  </r>
  <r>
    <x v="1"/>
    <x v="9"/>
    <s v="West Asia and Africa"/>
    <s v="No Specific Relationship"/>
    <s v="None"/>
    <s v="CENTCOM"/>
    <x v="147"/>
    <x v="19"/>
    <n v="6"/>
    <x v="3"/>
    <s v="Liang Guanglie"/>
    <m/>
    <s v="Defense Minister; CMC Member"/>
    <n v="8"/>
    <x v="2"/>
    <s v="Minister Responsible for Defense Affairs"/>
    <x v="0"/>
    <m/>
    <x v="0"/>
    <m/>
    <m/>
    <m/>
    <m/>
    <m/>
    <s v="Defense White Paper Appendix"/>
    <m/>
  </r>
  <r>
    <x v="0"/>
    <x v="9"/>
    <s v="West Asia and Africa"/>
    <s v="No Specific Relationship"/>
    <s v="None"/>
    <s v="CENTCOM"/>
    <x v="147"/>
    <x v="19"/>
    <n v="6"/>
    <x v="9"/>
    <m/>
    <m/>
    <m/>
    <m/>
    <x v="0"/>
    <m/>
    <x v="0"/>
    <m/>
    <x v="0"/>
    <m/>
    <s v="ETF"/>
    <s v="ETF-05"/>
    <s v="South Sea Fleet"/>
    <s v="DDG168 Guangzhou, FFG568 Hengyang, AOR887 Weishan Hu"/>
    <m/>
    <m/>
  </r>
  <r>
    <x v="1"/>
    <x v="0"/>
    <s v="Asia"/>
    <s v="Strategic Partnership [战略伙伴关系]"/>
    <s v="Major Non-NATO Ally"/>
    <s v="CENTCOM"/>
    <x v="2"/>
    <x v="19"/>
    <n v="6"/>
    <x v="3"/>
    <s v="Liang Guanglie"/>
    <m/>
    <s v="Defense Minister; CMC Member"/>
    <n v="8"/>
    <x v="2"/>
    <s v="Chief of Army Staff"/>
    <x v="0"/>
    <m/>
    <x v="0"/>
    <m/>
    <m/>
    <m/>
    <m/>
    <m/>
    <s v="Defense White Paper Appendix"/>
    <m/>
  </r>
  <r>
    <x v="1"/>
    <x v="3"/>
    <s v="Europe and Central Asia"/>
    <s v="Strategic Partnership of Coordination [战略协作伙伴关系]"/>
    <s v="None"/>
    <s v="EUCOM"/>
    <x v="7"/>
    <x v="19"/>
    <n v="6"/>
    <x v="4"/>
    <s v="Ma Xiaotian"/>
    <m/>
    <s v="GSD DCGS"/>
    <n v="6"/>
    <x v="1"/>
    <m/>
    <x v="0"/>
    <m/>
    <x v="0"/>
    <m/>
    <m/>
    <m/>
    <m/>
    <m/>
    <s v="Defense White Paper Appendix"/>
    <m/>
  </r>
  <r>
    <x v="1"/>
    <x v="8"/>
    <s v="Europe and Central Asia"/>
    <s v="Strategic Partnership [战略伙伴关系]"/>
    <s v="None"/>
    <s v="EUCOM"/>
    <x v="112"/>
    <x v="19"/>
    <n v="6"/>
    <x v="4"/>
    <s v="Ma Xiaotian"/>
    <m/>
    <s v="GSD DCGS"/>
    <n v="6"/>
    <x v="1"/>
    <m/>
    <x v="0"/>
    <m/>
    <x v="0"/>
    <m/>
    <m/>
    <m/>
    <m/>
    <m/>
    <s v="Defense White Paper Appendix"/>
    <m/>
  </r>
  <r>
    <x v="1"/>
    <x v="1"/>
    <s v="Asia"/>
    <s v="No Specific Relationship"/>
    <s v="None"/>
    <s v="INDOPACOM"/>
    <x v="39"/>
    <x v="19"/>
    <n v="6"/>
    <x v="4"/>
    <s v="Ma Xiaotian"/>
    <m/>
    <s v="GSD DCGS"/>
    <n v="6"/>
    <x v="1"/>
    <m/>
    <x v="0"/>
    <m/>
    <x v="0"/>
    <m/>
    <m/>
    <m/>
    <m/>
    <m/>
    <s v="Defense White Paper Appendix"/>
    <m/>
  </r>
  <r>
    <x v="1"/>
    <x v="8"/>
    <s v="Europe and Central Asia"/>
    <s v="No Specific Relationship"/>
    <s v="None"/>
    <s v="EUCOM"/>
    <x v="92"/>
    <x v="19"/>
    <n v="6"/>
    <x v="4"/>
    <s v="Wang Xibin"/>
    <m/>
    <s v="PLA NDU President"/>
    <n v="6"/>
    <x v="1"/>
    <m/>
    <x v="0"/>
    <m/>
    <x v="0"/>
    <m/>
    <m/>
    <m/>
    <m/>
    <m/>
    <s v="Defense White Paper Appendix"/>
    <m/>
  </r>
  <r>
    <x v="1"/>
    <x v="8"/>
    <s v="Europe and Central Asia"/>
    <s v="Strategic Cooperative Partnership [战略合作伙伴关系]"/>
    <s v="NATO"/>
    <s v="EUCOM"/>
    <x v="38"/>
    <x v="19"/>
    <n v="6"/>
    <x v="4"/>
    <s v="Wang Xibin"/>
    <m/>
    <s v="PLA NDU President"/>
    <n v="6"/>
    <x v="1"/>
    <m/>
    <x v="0"/>
    <m/>
    <x v="0"/>
    <m/>
    <m/>
    <m/>
    <m/>
    <m/>
    <s v="Defense White Paper Appendix"/>
    <m/>
  </r>
  <r>
    <x v="1"/>
    <x v="9"/>
    <s v="West Asia and Africa"/>
    <s v="No Specific Relationship"/>
    <s v="None"/>
    <s v="CENTCOM"/>
    <x v="106"/>
    <x v="19"/>
    <n v="6"/>
    <x v="3"/>
    <s v="Liang Guanglie"/>
    <m/>
    <s v="Defense Minister; CMC Member"/>
    <n v="8"/>
    <x v="2"/>
    <s v="COGS"/>
    <x v="0"/>
    <m/>
    <x v="0"/>
    <m/>
    <m/>
    <m/>
    <m/>
    <m/>
    <s v="Defense White Paper Appendix"/>
    <m/>
  </r>
  <r>
    <x v="1"/>
    <x v="8"/>
    <s v="Europe and Central Asia"/>
    <s v="Comprehensive Strategic Partnership [全面战略伙伴关系]"/>
    <s v="NATO"/>
    <s v="EUCOM"/>
    <x v="21"/>
    <x v="19"/>
    <n v="6"/>
    <x v="4"/>
    <s v="Ma Xiaotian"/>
    <m/>
    <s v="GSD DCGS"/>
    <n v="6"/>
    <x v="1"/>
    <s v="Defense Secretary"/>
    <x v="0"/>
    <m/>
    <x v="0"/>
    <m/>
    <m/>
    <m/>
    <m/>
    <m/>
    <s v="Defense White Paper Appendix"/>
    <m/>
  </r>
  <r>
    <x v="1"/>
    <x v="7"/>
    <s v="West Asia and Africa"/>
    <s v="No Specific Relationship"/>
    <s v="None"/>
    <s v="AFRICOM"/>
    <x v="86"/>
    <x v="19"/>
    <n v="6"/>
    <x v="3"/>
    <s v="Liang Guanglie"/>
    <m/>
    <s v="Defense Minister; CMC Member"/>
    <n v="8"/>
    <x v="2"/>
    <s v="Commander of the Defense Forces"/>
    <x v="0"/>
    <m/>
    <x v="0"/>
    <m/>
    <m/>
    <m/>
    <m/>
    <m/>
    <s v="Defense White Paper Appendix"/>
    <m/>
  </r>
  <r>
    <x v="1"/>
    <x v="7"/>
    <s v="West Asia and Africa"/>
    <s v="Strategic Partnership [战略伙伴关系]"/>
    <s v="None"/>
    <s v="AFRICOM"/>
    <x v="105"/>
    <x v="19"/>
    <n v="7"/>
    <x v="3"/>
    <s v="Liang Guanglie"/>
    <m/>
    <s v="Defense Minister; CMC Member"/>
    <n v="8"/>
    <x v="2"/>
    <s v="Defense Minister"/>
    <x v="0"/>
    <m/>
    <x v="0"/>
    <m/>
    <m/>
    <m/>
    <m/>
    <m/>
    <s v="Defense White Paper Appendix"/>
    <m/>
  </r>
  <r>
    <x v="1"/>
    <x v="8"/>
    <s v="Europe and Central Asia"/>
    <s v="Strategic Partnership [战略伙伴关系]"/>
    <s v="NATO"/>
    <s v="EUCOM"/>
    <x v="34"/>
    <x v="19"/>
    <n v="7"/>
    <x v="4"/>
    <s v="Jing Zhiyuan"/>
    <m/>
    <s v="PLASAF Commander; CMC Member"/>
    <n v="8"/>
    <x v="1"/>
    <m/>
    <x v="0"/>
    <m/>
    <x v="0"/>
    <m/>
    <m/>
    <m/>
    <m/>
    <m/>
    <s v="Defense White Paper Appendix"/>
    <m/>
  </r>
  <r>
    <x v="0"/>
    <x v="9"/>
    <s v="West Asia and Africa"/>
    <s v="Strategic Cooperative Partnership [战略合作伙伴关系]"/>
    <s v="Major Non-NATO Ally"/>
    <s v="CENTCOM"/>
    <x v="24"/>
    <x v="19"/>
    <n v="7"/>
    <x v="0"/>
    <m/>
    <m/>
    <m/>
    <m/>
    <x v="0"/>
    <m/>
    <x v="0"/>
    <m/>
    <x v="0"/>
    <m/>
    <s v="ETF"/>
    <s v="ETF-05"/>
    <s v="South Sea Fleet"/>
    <s v="DDG168 Guangzhou, FFG568 Hengyang, AOR887 Weishan Hu"/>
    <m/>
    <m/>
  </r>
  <r>
    <x v="1"/>
    <x v="8"/>
    <s v="Europe and Central Asia"/>
    <s v="Strategic Partnership [战略伙伴关系]"/>
    <s v="NATO"/>
    <s v="EUCOM"/>
    <x v="18"/>
    <x v="19"/>
    <n v="7"/>
    <x v="4"/>
    <s v="Xu Qiliang"/>
    <m/>
    <s v="PLAAF Commander; CMC Member"/>
    <n v="8"/>
    <x v="1"/>
    <m/>
    <x v="0"/>
    <m/>
    <x v="0"/>
    <m/>
    <m/>
    <m/>
    <m/>
    <m/>
    <s v="Defense White Paper Appendix"/>
    <m/>
  </r>
  <r>
    <x v="1"/>
    <x v="8"/>
    <s v="Europe and Central Asia"/>
    <s v="No Specific Relationship"/>
    <s v="NATO"/>
    <s v="EUCOM"/>
    <x v="82"/>
    <x v="19"/>
    <n v="7"/>
    <x v="4"/>
    <s v="Jing Zhiyuan"/>
    <m/>
    <s v="PLASAF Commander; CMC Member"/>
    <n v="8"/>
    <x v="1"/>
    <m/>
    <x v="0"/>
    <m/>
    <x v="0"/>
    <m/>
    <m/>
    <m/>
    <m/>
    <m/>
    <s v="Defense White Paper Appendix"/>
    <m/>
  </r>
  <r>
    <x v="1"/>
    <x v="8"/>
    <s v="Europe and Central Asia"/>
    <s v="Comprehensive Strategic Partnership [全面战略伙伴关系]"/>
    <s v="NATO"/>
    <s v="EUCOM"/>
    <x v="20"/>
    <x v="19"/>
    <n v="7"/>
    <x v="3"/>
    <s v="Chen Bingde"/>
    <m/>
    <s v="GSD Commander; CMC Member"/>
    <n v="8"/>
    <x v="2"/>
    <s v="Chief of Navy Staff"/>
    <x v="0"/>
    <m/>
    <x v="0"/>
    <m/>
    <m/>
    <m/>
    <m/>
    <m/>
    <s v="Defense White Paper Appendix"/>
    <m/>
  </r>
  <r>
    <x v="1"/>
    <x v="8"/>
    <s v="Europe and Central Asia"/>
    <s v="No Specific Relationship"/>
    <s v="NATO"/>
    <s v="EUCOM"/>
    <x v="37"/>
    <x v="19"/>
    <n v="7"/>
    <x v="4"/>
    <s v="Ma Xiaotian"/>
    <m/>
    <s v="GSD DCGS"/>
    <n v="6"/>
    <x v="1"/>
    <m/>
    <x v="0"/>
    <m/>
    <x v="0"/>
    <m/>
    <m/>
    <m/>
    <m/>
    <m/>
    <s v="Defense White Paper Appendix"/>
    <m/>
  </r>
  <r>
    <x v="2"/>
    <x v="0"/>
    <s v="Asia"/>
    <s v="Strategic Partnership [战略伙伴关系]"/>
    <s v="Major Non-NATO Ally"/>
    <s v="CENTCOM"/>
    <x v="2"/>
    <x v="19"/>
    <n v="7"/>
    <x v="5"/>
    <m/>
    <m/>
    <m/>
    <m/>
    <x v="0"/>
    <m/>
    <x v="1"/>
    <s v="Friendship 2010"/>
    <x v="1"/>
    <s v="Anti-terrorism"/>
    <m/>
    <m/>
    <m/>
    <m/>
    <s v="Defense White Paper Appendix"/>
    <m/>
  </r>
  <r>
    <x v="1"/>
    <x v="9"/>
    <s v="West Asia and Africa"/>
    <s v="No Specific Relationship"/>
    <s v="None"/>
    <s v="CENTCOM"/>
    <x v="131"/>
    <x v="19"/>
    <n v="7"/>
    <x v="3"/>
    <s v="Chen Bingde"/>
    <m/>
    <s v="GSD Commander; CMC Member"/>
    <n v="8"/>
    <x v="2"/>
    <s v="Chief of the General Staff of the Armed Forces"/>
    <x v="0"/>
    <m/>
    <x v="0"/>
    <m/>
    <m/>
    <m/>
    <m/>
    <m/>
    <s v="Defense White Paper Appendix"/>
    <m/>
  </r>
  <r>
    <x v="1"/>
    <x v="3"/>
    <s v="Europe and Central Asia"/>
    <s v="Strategic Partnership of Coordination [战略协作伙伴关系]"/>
    <s v="None"/>
    <s v="EUCOM"/>
    <x v="7"/>
    <x v="19"/>
    <n v="7"/>
    <x v="4"/>
    <s v="Ma Xiaotian"/>
    <m/>
    <s v="GSD DCGS"/>
    <n v="6"/>
    <x v="1"/>
    <m/>
    <x v="0"/>
    <m/>
    <x v="0"/>
    <m/>
    <m/>
    <m/>
    <m/>
    <m/>
    <s v="Defense White Paper Appendix"/>
    <m/>
  </r>
  <r>
    <x v="1"/>
    <x v="1"/>
    <s v="Asia"/>
    <s v="No Specific Relationship"/>
    <s v="None"/>
    <s v="INDOPACOM"/>
    <x v="39"/>
    <x v="19"/>
    <n v="7"/>
    <x v="3"/>
    <s v="Chen Bingde"/>
    <m/>
    <s v="GSD Commander; CMC Member"/>
    <n v="8"/>
    <x v="2"/>
    <s v="Permanent Secretary of Ministry of Defense"/>
    <x v="0"/>
    <m/>
    <x v="0"/>
    <m/>
    <m/>
    <m/>
    <m/>
    <m/>
    <s v="Defense White Paper Appendix"/>
    <m/>
  </r>
  <r>
    <x v="1"/>
    <x v="5"/>
    <s v="America and Oceania"/>
    <s v="No Specific Relationship"/>
    <s v="None"/>
    <s v="INDOPACOM"/>
    <x v="144"/>
    <x v="19"/>
    <n v="7"/>
    <x v="3"/>
    <s v="Chen Bingde"/>
    <m/>
    <s v="GSD Commander; CMC Member"/>
    <n v="8"/>
    <x v="2"/>
    <s v="Commander of the Defense Services"/>
    <x v="0"/>
    <m/>
    <x v="0"/>
    <m/>
    <m/>
    <m/>
    <m/>
    <m/>
    <s v="Defense White Paper Appendix"/>
    <m/>
  </r>
  <r>
    <x v="0"/>
    <x v="9"/>
    <s v="West Asia and Africa"/>
    <s v="No Specific Relationship"/>
    <s v="None"/>
    <s v="CENTCOM"/>
    <x v="135"/>
    <x v="19"/>
    <n v="7"/>
    <x v="9"/>
    <m/>
    <m/>
    <m/>
    <m/>
    <x v="0"/>
    <m/>
    <x v="0"/>
    <m/>
    <x v="0"/>
    <m/>
    <s v="ETF"/>
    <s v="ETF-06"/>
    <s v="South Sea Fleet"/>
    <s v="LPD998 Kunlun Shan, DDG170 Lanzhou, AOR887 Weishan Hu;uncertain, could be ETF-5"/>
    <m/>
    <m/>
  </r>
  <r>
    <x v="1"/>
    <x v="10"/>
    <s v="America and Oceania"/>
    <s v="Strategic Partnership [战略伙伴关系]"/>
    <s v="Major Non-NATO Ally"/>
    <s v="SOUTHCOM"/>
    <x v="62"/>
    <x v="19"/>
    <n v="8"/>
    <x v="4"/>
    <s v="Ma Xiaotian"/>
    <m/>
    <s v="GSD DCGS"/>
    <n v="6"/>
    <x v="1"/>
    <m/>
    <x v="0"/>
    <m/>
    <x v="0"/>
    <m/>
    <m/>
    <m/>
    <m/>
    <m/>
    <s v="Defense White Paper Appendix"/>
    <m/>
  </r>
  <r>
    <x v="1"/>
    <x v="8"/>
    <s v="Europe and Central Asia"/>
    <s v="Strategic Partnership [战略伙伴关系]"/>
    <s v="NATO"/>
    <s v="EUCOM"/>
    <x v="34"/>
    <x v="19"/>
    <n v="8"/>
    <x v="4"/>
    <s v="Ma Xiaotian"/>
    <m/>
    <s v="GSD DCGS"/>
    <n v="6"/>
    <x v="1"/>
    <m/>
    <x v="0"/>
    <m/>
    <x v="0"/>
    <m/>
    <m/>
    <m/>
    <m/>
    <m/>
    <s v="Defense White Paper Appendix"/>
    <m/>
  </r>
  <r>
    <x v="1"/>
    <x v="10"/>
    <s v="America and Oceania"/>
    <s v="No Specific Relationship"/>
    <s v="None"/>
    <s v="SOUTHCOM"/>
    <x v="42"/>
    <x v="19"/>
    <n v="8"/>
    <x v="3"/>
    <s v="Guo Boxiong"/>
    <m/>
    <s v="CMC Vice Chairman"/>
    <n v="10"/>
    <x v="2"/>
    <s v="Defense Minister"/>
    <x v="0"/>
    <m/>
    <x v="0"/>
    <m/>
    <m/>
    <m/>
    <m/>
    <m/>
    <s v="Defense White Paper Appendix"/>
    <m/>
  </r>
  <r>
    <x v="1"/>
    <x v="10"/>
    <s v="America and Oceania"/>
    <s v="Comprehensive Strategic Partnership [全面战略伙伴关系]"/>
    <s v="None"/>
    <s v="SOUTHCOM"/>
    <x v="43"/>
    <x v="19"/>
    <n v="8"/>
    <x v="4"/>
    <s v="Liang Guanglie"/>
    <m/>
    <s v="Defense Minister; CMC Member"/>
    <n v="8"/>
    <x v="1"/>
    <s v="Defense Minister"/>
    <x v="0"/>
    <m/>
    <x v="0"/>
    <m/>
    <m/>
    <m/>
    <m/>
    <m/>
    <s v="Defense White Paper Appendix"/>
    <m/>
  </r>
  <r>
    <x v="1"/>
    <x v="10"/>
    <s v="America and Oceania"/>
    <s v="Comprehensive Partnership [全面伙伴关系]"/>
    <s v="None"/>
    <s v="SOUTHCOM"/>
    <x v="66"/>
    <x v="19"/>
    <n v="8"/>
    <x v="4"/>
    <s v="Li Jinai"/>
    <m/>
    <s v="GPD Director; CMC Member"/>
    <n v="8"/>
    <x v="1"/>
    <m/>
    <x v="0"/>
    <m/>
    <x v="0"/>
    <m/>
    <m/>
    <m/>
    <m/>
    <m/>
    <s v="Defense White Paper Appendix"/>
    <m/>
  </r>
  <r>
    <x v="1"/>
    <x v="10"/>
    <s v="America and Oceania"/>
    <s v="No Specific Relationship"/>
    <s v="None"/>
    <s v="SOUTHCOM"/>
    <x v="45"/>
    <x v="19"/>
    <n v="8"/>
    <x v="4"/>
    <s v="Liang Guanglie"/>
    <m/>
    <s v="Defense Minister; CMC Member"/>
    <n v="8"/>
    <x v="1"/>
    <m/>
    <x v="0"/>
    <m/>
    <x v="0"/>
    <m/>
    <m/>
    <m/>
    <m/>
    <m/>
    <s v="Defense White Paper Appendix"/>
    <m/>
  </r>
  <r>
    <x v="1"/>
    <x v="8"/>
    <s v="Europe and Central Asia"/>
    <s v="Comprehensive Cooperative Partnership [全面合作伙伴关系]"/>
    <s v="NATO"/>
    <s v="EUCOM"/>
    <x v="35"/>
    <x v="19"/>
    <n v="8"/>
    <x v="4"/>
    <s v="Ma Xiaotian"/>
    <m/>
    <s v="GSD DCGS"/>
    <n v="6"/>
    <x v="1"/>
    <m/>
    <x v="0"/>
    <m/>
    <x v="0"/>
    <m/>
    <m/>
    <m/>
    <m/>
    <m/>
    <s v="Defense White Paper Appendix"/>
    <m/>
  </r>
  <r>
    <x v="1"/>
    <x v="8"/>
    <s v="Europe and Central Asia"/>
    <s v="Comprehensive Strategic Partnership [全面战略伙伴关系]"/>
    <s v="NATO"/>
    <s v="EUCOM"/>
    <x v="29"/>
    <x v="19"/>
    <n v="8"/>
    <x v="3"/>
    <s v="Xu Qiliang"/>
    <m/>
    <s v="PLAAF Commander; CMC Member"/>
    <n v="8"/>
    <x v="2"/>
    <s v="Air Force COGS"/>
    <x v="0"/>
    <m/>
    <x v="0"/>
    <m/>
    <m/>
    <m/>
    <m/>
    <m/>
    <s v="Defense White Paper Appendix"/>
    <m/>
  </r>
  <r>
    <x v="0"/>
    <x v="8"/>
    <s v="Europe and Central Asia"/>
    <s v="Comprehensive Strategic Partnership [全面战略伙伴关系]"/>
    <s v="NATO"/>
    <s v="EUCOM"/>
    <x v="20"/>
    <x v="19"/>
    <n v="8"/>
    <x v="10"/>
    <m/>
    <m/>
    <m/>
    <m/>
    <x v="0"/>
    <m/>
    <x v="0"/>
    <m/>
    <x v="0"/>
    <m/>
    <s v="ETF"/>
    <s v="ETF-05"/>
    <s v="South Sea Fleet"/>
    <s v="DDG168 Guangzhou, FFG568 Hengyang, AOR887 Weishan Hu"/>
    <m/>
    <m/>
  </r>
  <r>
    <x v="2"/>
    <x v="8"/>
    <s v="Europe and Central Asia"/>
    <s v="Comprehensive Strategic Partnership [全面战略伙伴关系]"/>
    <s v="NATO"/>
    <s v="EUCOM"/>
    <x v="20"/>
    <x v="19"/>
    <n v="8"/>
    <x v="5"/>
    <m/>
    <m/>
    <m/>
    <m/>
    <x v="0"/>
    <m/>
    <x v="5"/>
    <s v="Unknown Taranto 2010"/>
    <x v="2"/>
    <s v="Joint drills and friendly port call, Six Years at Sea p. 126"/>
    <m/>
    <m/>
    <m/>
    <m/>
    <s v="Defense White Paper Appendix"/>
    <m/>
  </r>
  <r>
    <x v="1"/>
    <x v="2"/>
    <s v="America and Oceania"/>
    <s v="Strategic Cooperative Partnership [战略合作伙伴关系]"/>
    <s v="None"/>
    <s v="NORTHCOM"/>
    <x v="77"/>
    <x v="19"/>
    <n v="8"/>
    <x v="4"/>
    <s v="Liang Guanglie"/>
    <m/>
    <s v="Defense Minister; CMC Member"/>
    <n v="8"/>
    <x v="1"/>
    <m/>
    <x v="0"/>
    <m/>
    <x v="0"/>
    <m/>
    <m/>
    <m/>
    <m/>
    <m/>
    <s v="Defense White Paper Appendix"/>
    <m/>
  </r>
  <r>
    <x v="1"/>
    <x v="4"/>
    <s v="Asia"/>
    <s v="No Specific Relationship"/>
    <s v="None"/>
    <s v="INDOPACOM"/>
    <x v="53"/>
    <x v="19"/>
    <n v="8"/>
    <x v="4"/>
    <s v="Ma Xiaotian"/>
    <m/>
    <s v="GSD DCGS"/>
    <n v="6"/>
    <x v="1"/>
    <m/>
    <x v="0"/>
    <m/>
    <x v="0"/>
    <m/>
    <m/>
    <m/>
    <m/>
    <m/>
    <s v="Defense White Paper Appendix"/>
    <m/>
  </r>
  <r>
    <x v="0"/>
    <x v="1"/>
    <s v="Asia"/>
    <s v="No Specific Relationship"/>
    <s v="None"/>
    <s v="INDOPACOM"/>
    <x v="1"/>
    <x v="19"/>
    <n v="8"/>
    <x v="0"/>
    <m/>
    <m/>
    <m/>
    <m/>
    <x v="0"/>
    <m/>
    <x v="0"/>
    <m/>
    <x v="0"/>
    <m/>
    <s v="ETF"/>
    <s v="ETF-05"/>
    <s v="South Sea Fleet"/>
    <s v="DDG168 Guangzhou, FFG568 Hengyang, AOR887 Weishan Hu"/>
    <m/>
    <m/>
  </r>
  <r>
    <x v="1"/>
    <x v="5"/>
    <s v="America and Oceania"/>
    <s v="No Specific Relationship"/>
    <s v="ANZUS Treaty"/>
    <s v="INDOPACOM"/>
    <x v="13"/>
    <x v="19"/>
    <n v="8"/>
    <x v="3"/>
    <s v="Guo Boxiong"/>
    <m/>
    <s v="CMC Vice Chairman"/>
    <n v="10"/>
    <x v="2"/>
    <s v="Secretary of Defense"/>
    <x v="0"/>
    <m/>
    <x v="0"/>
    <m/>
    <m/>
    <m/>
    <m/>
    <m/>
    <s v="Defense White Paper Appendix"/>
    <m/>
  </r>
  <r>
    <x v="1"/>
    <x v="4"/>
    <s v="Asia"/>
    <s v="Bilateral Defense Treaty"/>
    <s v="None"/>
    <s v="INDOPACOM"/>
    <x v="9"/>
    <x v="19"/>
    <n v="8"/>
    <x v="4"/>
    <s v="Zhang Youxia"/>
    <m/>
    <s v="Shenyang MR Commander"/>
    <n v="6"/>
    <x v="1"/>
    <m/>
    <x v="0"/>
    <m/>
    <x v="0"/>
    <m/>
    <m/>
    <m/>
    <m/>
    <m/>
    <s v="Defense White Paper Appendix"/>
    <m/>
  </r>
  <r>
    <x v="0"/>
    <x v="9"/>
    <s v="West Asia and Africa"/>
    <s v="No Specific Relationship"/>
    <s v="None"/>
    <s v="CENTCOM"/>
    <x v="147"/>
    <x v="19"/>
    <n v="8"/>
    <x v="9"/>
    <m/>
    <m/>
    <m/>
    <m/>
    <x v="0"/>
    <m/>
    <x v="0"/>
    <m/>
    <x v="0"/>
    <m/>
    <s v="ETF"/>
    <s v="ETF-05"/>
    <s v="South Sea Fleet"/>
    <s v="DDG168 Guangzhou, FFG568 Hengyang, AOR887 Weishan Hu; uncertain, could also be ETF-6"/>
    <m/>
    <m/>
  </r>
  <r>
    <x v="1"/>
    <x v="8"/>
    <s v="Europe and Central Asia"/>
    <s v="Strategic Partnership [战略伙伴关系]"/>
    <s v="None"/>
    <s v="EUCOM"/>
    <x v="112"/>
    <x v="19"/>
    <n v="8"/>
    <x v="3"/>
    <s v="Liang Guanglie"/>
    <m/>
    <s v="Defense Minister; CMC Member"/>
    <n v="8"/>
    <x v="2"/>
    <s v="Defense Minister"/>
    <x v="0"/>
    <m/>
    <x v="0"/>
    <m/>
    <m/>
    <m/>
    <m/>
    <m/>
    <s v="Defense White Paper Appendix"/>
    <m/>
  </r>
  <r>
    <x v="1"/>
    <x v="1"/>
    <s v="Asia"/>
    <s v="Strategic Partnership [战略伙伴关系]"/>
    <s v="Bilateral Defense Treaty"/>
    <s v="INDOPACOM"/>
    <x v="5"/>
    <x v="19"/>
    <n v="8"/>
    <x v="3"/>
    <s v="Ma Xiaotian"/>
    <m/>
    <s v="GSD DCGS"/>
    <n v="6"/>
    <x v="2"/>
    <s v="Permanent Secretary of Ministry of Defense"/>
    <x v="0"/>
    <m/>
    <x v="0"/>
    <m/>
    <m/>
    <m/>
    <m/>
    <m/>
    <s v="Defense White Paper Appendix"/>
    <m/>
  </r>
  <r>
    <x v="2"/>
    <x v="5"/>
    <s v="America and Oceania"/>
    <s v="No Specific Relationship"/>
    <s v="ANZUS Treaty"/>
    <s v="INDOPACOM"/>
    <x v="12"/>
    <x v="19"/>
    <n v="9"/>
    <x v="5"/>
    <m/>
    <m/>
    <m/>
    <m/>
    <x v="0"/>
    <m/>
    <x v="3"/>
    <m/>
    <x v="2"/>
    <s v="SAREX in Yellow Sea; Included Live Fire exercise"/>
    <m/>
    <m/>
    <m/>
    <m/>
    <s v="https://www.voanews.com/a/australia-china-conduct-live-fire-naval-exercise-in-yellow-sea-103780194/126679.html; Defense White Paper Appendix"/>
    <m/>
  </r>
  <r>
    <x v="0"/>
    <x v="5"/>
    <s v="America and Oceania"/>
    <s v="No Specific Relationship"/>
    <s v="ANZUS Treaty"/>
    <s v="INDOPACOM"/>
    <x v="12"/>
    <x v="19"/>
    <n v="9"/>
    <x v="0"/>
    <m/>
    <m/>
    <m/>
    <m/>
    <x v="0"/>
    <m/>
    <x v="0"/>
    <m/>
    <x v="0"/>
    <m/>
    <s v="NETF"/>
    <s v="2009-10 Zhenghe "/>
    <s v="North Sea Fleet"/>
    <s v=" training ship Zhenghe and frigate Mianyang in Sydney and Darwin"/>
    <s v="https://www.defenceiq.com/naval-maritime-defence/press-releases/people-s-republic-of-china-navy-visit-to-australia"/>
    <m/>
  </r>
  <r>
    <x v="1"/>
    <x v="8"/>
    <s v="Europe and Central Asia"/>
    <s v="Strategic Partnership [战略伙伴关系]"/>
    <s v="NATO"/>
    <s v="EUCOM"/>
    <x v="34"/>
    <x v="19"/>
    <n v="9"/>
    <x v="4"/>
    <s v="Wang Guosheng"/>
    <m/>
    <s v="Lanzhou MR Commander"/>
    <n v="6"/>
    <x v="1"/>
    <m/>
    <x v="0"/>
    <m/>
    <x v="0"/>
    <m/>
    <m/>
    <m/>
    <m/>
    <m/>
    <s v="Defense White Paper Appendix"/>
    <m/>
  </r>
  <r>
    <x v="1"/>
    <x v="10"/>
    <s v="America and Oceania"/>
    <s v="Comprehensive Strategic Partnership [全面战略伙伴关系]"/>
    <s v="None"/>
    <s v="SOUTHCOM"/>
    <x v="43"/>
    <x v="19"/>
    <n v="9"/>
    <x v="4"/>
    <s v="Liang Guanglie"/>
    <m/>
    <s v="Defense Minister; CMC Member"/>
    <n v="8"/>
    <x v="1"/>
    <s v="Defense Minister"/>
    <x v="0"/>
    <m/>
    <x v="0"/>
    <m/>
    <m/>
    <m/>
    <m/>
    <m/>
    <s v="Defense White Paper Appendix"/>
    <m/>
  </r>
  <r>
    <x v="1"/>
    <x v="1"/>
    <s v="Asia"/>
    <s v="Comprehensive Strategic Cooperative Partnership [全面战略合作伙伴关系]"/>
    <s v="None"/>
    <s v="INDOPACOM"/>
    <x v="94"/>
    <x v="19"/>
    <n v="9"/>
    <x v="3"/>
    <s v="Liang Guanglie"/>
    <m/>
    <s v="Defense Minister; CMC Member"/>
    <n v="8"/>
    <x v="2"/>
    <s v="Deputy Prime Minister and Defense Minister"/>
    <x v="0"/>
    <m/>
    <x v="0"/>
    <m/>
    <m/>
    <m/>
    <m/>
    <m/>
    <s v="Defense White Paper Appendix"/>
    <m/>
  </r>
  <r>
    <x v="1"/>
    <x v="10"/>
    <s v="America and Oceania"/>
    <s v="Comprehensive Partnership [全面伙伴关系]"/>
    <s v="None"/>
    <s v="SOUTHCOM"/>
    <x v="66"/>
    <x v="19"/>
    <n v="9"/>
    <x v="4"/>
    <s v="Li Jinai"/>
    <m/>
    <s v="GPD Director; CMC Member"/>
    <n v="8"/>
    <x v="1"/>
    <m/>
    <x v="0"/>
    <m/>
    <x v="0"/>
    <m/>
    <m/>
    <m/>
    <m/>
    <m/>
    <s v="Defense White Paper Appendix"/>
    <m/>
  </r>
  <r>
    <x v="0"/>
    <x v="9"/>
    <s v="West Asia and Africa"/>
    <s v="No Specific Relationship"/>
    <s v="None"/>
    <s v="CENTCOM"/>
    <x v="119"/>
    <x v="19"/>
    <n v="9"/>
    <x v="9"/>
    <m/>
    <m/>
    <m/>
    <m/>
    <x v="0"/>
    <m/>
    <x v="0"/>
    <m/>
    <x v="0"/>
    <m/>
    <s v="ETF"/>
    <s v="ETF-06"/>
    <s v="South Sea Fleet"/>
    <s v="LPD998 Kunlun Shan, DDG170 Lanzhou, AOR887 Weishan Hu"/>
    <m/>
    <m/>
  </r>
  <r>
    <x v="1"/>
    <x v="9"/>
    <s v="West Asia and Africa"/>
    <s v="Strategic Cooperative Partnership [战略合作伙伴关系]"/>
    <s v="Major Non-NATO Ally"/>
    <s v="CENTCOM"/>
    <x v="24"/>
    <x v="19"/>
    <n v="9"/>
    <x v="4"/>
    <s v="Ma Xiaotian"/>
    <m/>
    <s v="GSD DCGS"/>
    <n v="6"/>
    <x v="1"/>
    <m/>
    <x v="0"/>
    <m/>
    <x v="0"/>
    <m/>
    <m/>
    <m/>
    <m/>
    <m/>
    <s v="Defense White Paper Appendix"/>
    <m/>
  </r>
  <r>
    <x v="1"/>
    <x v="9"/>
    <s v="West Asia and Africa"/>
    <s v="No Specific Relationship"/>
    <s v="Major Non-NATO Ally"/>
    <s v="CENTCOM"/>
    <x v="101"/>
    <x v="19"/>
    <n v="9"/>
    <x v="4"/>
    <s v="Ma Xiaotian"/>
    <m/>
    <s v="GSD DCGS"/>
    <n v="6"/>
    <x v="1"/>
    <m/>
    <x v="0"/>
    <m/>
    <x v="0"/>
    <m/>
    <m/>
    <m/>
    <m/>
    <m/>
    <s v="Defense White Paper Appendix"/>
    <m/>
  </r>
  <r>
    <x v="1"/>
    <x v="6"/>
    <s v="Europe and Central Asia"/>
    <s v="Strategic Partnership [战略伙伴关系]"/>
    <s v="None"/>
    <s v="CENTCOM"/>
    <x v="30"/>
    <x v="19"/>
    <n v="9"/>
    <x v="4"/>
    <s v="Chen Bingde"/>
    <m/>
    <s v="GSD Commander; CMC Member"/>
    <n v="8"/>
    <x v="1"/>
    <m/>
    <x v="0"/>
    <m/>
    <x v="0"/>
    <m/>
    <m/>
    <m/>
    <m/>
    <m/>
    <s v="Defense White Paper Appendix"/>
    <m/>
  </r>
  <r>
    <x v="1"/>
    <x v="7"/>
    <s v="West Asia and Africa"/>
    <s v="No Specific Relationship"/>
    <s v="None"/>
    <s v="AFRICOM"/>
    <x v="47"/>
    <x v="19"/>
    <n v="9"/>
    <x v="4"/>
    <s v="Sun Dafa"/>
    <m/>
    <s v="GLD Political Commissar"/>
    <n v="6"/>
    <x v="1"/>
    <m/>
    <x v="0"/>
    <m/>
    <x v="0"/>
    <m/>
    <m/>
    <m/>
    <m/>
    <m/>
    <s v="Defense White Paper Appendix"/>
    <m/>
  </r>
  <r>
    <x v="1"/>
    <x v="9"/>
    <s v="West Asia and Africa"/>
    <s v="No Specific Relationship"/>
    <s v="Major Non-NATO Ally"/>
    <s v="CENTCOM"/>
    <x v="72"/>
    <x v="19"/>
    <n v="9"/>
    <x v="3"/>
    <s v="Sun Jianguo"/>
    <m/>
    <s v="GSD DCGS"/>
    <n v="6"/>
    <x v="2"/>
    <s v="Assistant to COGS"/>
    <x v="0"/>
    <m/>
    <x v="0"/>
    <m/>
    <m/>
    <m/>
    <m/>
    <m/>
    <s v="Defense White Paper Appendix"/>
    <m/>
  </r>
  <r>
    <x v="1"/>
    <x v="1"/>
    <s v="Asia"/>
    <s v="Strategic Cooperative Partnership [战略合作伙伴关系]"/>
    <s v="None"/>
    <s v="INDOPACOM"/>
    <x v="10"/>
    <x v="19"/>
    <n v="9"/>
    <x v="4"/>
    <s v="Sun Dafa"/>
    <m/>
    <s v="GLD Political Commissar"/>
    <n v="6"/>
    <x v="1"/>
    <m/>
    <x v="0"/>
    <m/>
    <x v="0"/>
    <m/>
    <m/>
    <m/>
    <m/>
    <m/>
    <s v="Defense White Paper Appendix"/>
    <m/>
  </r>
  <r>
    <x v="1"/>
    <x v="5"/>
    <s v="America and Oceania"/>
    <s v="No Specific Relationship"/>
    <s v="ANZUS Treaty"/>
    <s v="INDOPACOM"/>
    <x v="13"/>
    <x v="19"/>
    <n v="9"/>
    <x v="4"/>
    <s v="Li Jinai"/>
    <m/>
    <s v="GPD Director; CMC Member"/>
    <n v="8"/>
    <x v="1"/>
    <m/>
    <x v="0"/>
    <m/>
    <x v="0"/>
    <m/>
    <m/>
    <m/>
    <m/>
    <m/>
    <s v="Defense White Paper Appendix"/>
    <m/>
  </r>
  <r>
    <x v="0"/>
    <x v="5"/>
    <s v="America and Oceania"/>
    <s v="No Specific Relationship"/>
    <s v="ANZUS Treaty"/>
    <s v="INDOPACOM"/>
    <x v="13"/>
    <x v="19"/>
    <n v="9"/>
    <x v="0"/>
    <m/>
    <m/>
    <m/>
    <m/>
    <x v="0"/>
    <m/>
    <x v="0"/>
    <m/>
    <x v="0"/>
    <m/>
    <s v="NETF"/>
    <s v="2009-10 Zhenghe "/>
    <s v="North Sea Fleet"/>
    <s v=" training ship Zhenghe and frigate Mianyang in Auckland"/>
    <s v="http://www.china.org.cn/world/2010-09/11/content_20910137.htm"/>
    <m/>
  </r>
  <r>
    <x v="1"/>
    <x v="0"/>
    <s v="Asia"/>
    <s v="Strategic Partnership [战略伙伴关系]"/>
    <s v="Major Non-NATO Ally"/>
    <s v="CENTCOM"/>
    <x v="2"/>
    <x v="19"/>
    <n v="9"/>
    <x v="3"/>
    <s v="Ma Xiaotian"/>
    <m/>
    <s v="GSD DCGS"/>
    <n v="6"/>
    <x v="2"/>
    <s v="Chief of Naval Staff"/>
    <x v="0"/>
    <m/>
    <x v="0"/>
    <m/>
    <m/>
    <m/>
    <m/>
    <m/>
    <s v="Defense White Paper Appendix"/>
    <m/>
  </r>
  <r>
    <x v="2"/>
    <x v="6"/>
    <s v="Europe and Central Asia"/>
    <s v="Member"/>
    <s v="None"/>
    <s v="CENTCOM"/>
    <x v="14"/>
    <x v="19"/>
    <n v="9"/>
    <x v="6"/>
    <m/>
    <m/>
    <m/>
    <m/>
    <x v="0"/>
    <m/>
    <x v="3"/>
    <s v="Peace Mission 2010"/>
    <x v="3"/>
    <s v="Army, Navy, Air Force, SOF; anti-terrorism. Other countries: Kazakhstan, Kyrgyzstan, Russia, Tajikistan. Drills in  Kazakhstan from Sept. 9 to 25 "/>
    <m/>
    <m/>
    <m/>
    <m/>
    <s v="https://jamestown.org/program/chinas-growing-clout-in-the-sco-peace-mission-2010/"/>
    <m/>
  </r>
  <r>
    <x v="0"/>
    <x v="1"/>
    <s v="Asia"/>
    <s v="No Specific Relationship"/>
    <s v="None"/>
    <s v="INDOPACOM"/>
    <x v="39"/>
    <x v="19"/>
    <n v="9"/>
    <x v="11"/>
    <m/>
    <m/>
    <m/>
    <m/>
    <x v="0"/>
    <m/>
    <x v="0"/>
    <m/>
    <x v="0"/>
    <m/>
    <s v="ETF"/>
    <s v="ETF-05"/>
    <s v="South Sea Fleet"/>
    <s v="DDG168 Guangzhou, FFG568 Hengyang, AOR887 Weishan Hu"/>
    <m/>
    <m/>
  </r>
  <r>
    <x v="2"/>
    <x v="1"/>
    <s v="Asia"/>
    <s v="No Specific Relationship"/>
    <s v="None"/>
    <s v="INDOPACOM"/>
    <x v="39"/>
    <x v="19"/>
    <n v="9"/>
    <x v="5"/>
    <m/>
    <m/>
    <m/>
    <m/>
    <x v="0"/>
    <m/>
    <x v="4"/>
    <s v="Cooperation 2010"/>
    <x v="2"/>
    <s v="Changji 5-7 Sept. 2010, anti-piracy ETF joint drills, friendly visit, and replenish/overhaul; Six Years p. 131"/>
    <m/>
    <m/>
    <m/>
    <m/>
    <s v="Defense White Paper Appendix"/>
    <m/>
  </r>
  <r>
    <x v="1"/>
    <x v="0"/>
    <s v="Asia"/>
    <s v="Comprehensive Cooperative Partnership [全面合作伙伴关系]"/>
    <s v="None"/>
    <s v="INDOPACOM"/>
    <x v="3"/>
    <x v="19"/>
    <n v="9"/>
    <x v="3"/>
    <s v="Chen Bingde"/>
    <m/>
    <s v="GSD Commander; CMC Member"/>
    <n v="8"/>
    <x v="2"/>
    <s v="Permanent Secretary of Ministry of Defense"/>
    <x v="0"/>
    <m/>
    <x v="0"/>
    <m/>
    <m/>
    <m/>
    <m/>
    <m/>
    <s v="Defense White Paper Appendix"/>
    <m/>
  </r>
  <r>
    <x v="1"/>
    <x v="8"/>
    <s v="Europe and Central Asia"/>
    <s v="No Specific Relationship"/>
    <s v="None"/>
    <s v="EUCOM"/>
    <x v="78"/>
    <x v="19"/>
    <n v="9"/>
    <x v="3"/>
    <s v="Chen Bingde"/>
    <m/>
    <s v="GSD Commander; CMC Member"/>
    <n v="8"/>
    <x v="2"/>
    <s v="Chief of the Armed Forces"/>
    <x v="0"/>
    <m/>
    <x v="0"/>
    <m/>
    <m/>
    <m/>
    <m/>
    <m/>
    <s v="Defense White Paper Appendix"/>
    <m/>
  </r>
  <r>
    <x v="1"/>
    <x v="1"/>
    <s v="Asia"/>
    <s v="Strategic Partnership [战略伙伴关系]"/>
    <s v="Bilateral Defense Treaty"/>
    <s v="INDOPACOM"/>
    <x v="5"/>
    <x v="19"/>
    <n v="9"/>
    <x v="3"/>
    <s v="Liang Guanglie"/>
    <m/>
    <s v="Defense Minister; CMC Member"/>
    <n v="8"/>
    <x v="2"/>
    <s v="CinC Air Force"/>
    <x v="0"/>
    <m/>
    <x v="0"/>
    <m/>
    <m/>
    <m/>
    <m/>
    <m/>
    <s v="Defense White Paper Appendix"/>
    <m/>
  </r>
  <r>
    <x v="2"/>
    <x v="8"/>
    <s v="Europe and Central Asia"/>
    <s v="Strategic Cooperative Partnership [战略合作伙伴关系]"/>
    <s v="NATO"/>
    <s v="EUCOM"/>
    <x v="38"/>
    <x v="19"/>
    <n v="9"/>
    <x v="5"/>
    <m/>
    <m/>
    <m/>
    <m/>
    <x v="0"/>
    <m/>
    <x v="3"/>
    <s v="Anatolian Eagle"/>
    <x v="5"/>
    <s v="Operational aerial maneuvers"/>
    <m/>
    <m/>
    <m/>
    <m/>
    <s v="Defense White Paper Appendix"/>
    <m/>
  </r>
  <r>
    <x v="1"/>
    <x v="1"/>
    <s v="Asia"/>
    <s v="Strategic Partnership [战略伙伴关系] for Peace and Prosperity"/>
    <s v="None"/>
    <s v="INDOPACOM"/>
    <x v="153"/>
    <x v="19"/>
    <n v="10"/>
    <x v="1"/>
    <s v="Liang Guanglie"/>
    <m/>
    <s v="Defense Minister; CMC Member"/>
    <n v="8"/>
    <x v="1"/>
    <s v="1st ADMM+"/>
    <x v="0"/>
    <m/>
    <x v="0"/>
    <m/>
    <m/>
    <m/>
    <m/>
    <m/>
    <s v="http://www.asean-china-center.org/english/2010-10/13/c_13555726.htm"/>
    <s v="corrected partnership to strategic partnership for peace and prosperity"/>
  </r>
  <r>
    <x v="1"/>
    <x v="8"/>
    <s v="Europe and Central Asia"/>
    <s v="No Specific Relationship"/>
    <s v="NATO"/>
    <s v="EUCOM"/>
    <x v="108"/>
    <x v="19"/>
    <n v="10"/>
    <x v="3"/>
    <s v="Ma Xiaotian"/>
    <m/>
    <s v="GSD DCGS"/>
    <n v="6"/>
    <x v="2"/>
    <s v="Director Security Policy Directorate"/>
    <x v="0"/>
    <m/>
    <x v="0"/>
    <m/>
    <m/>
    <m/>
    <m/>
    <m/>
    <s v="Defense White Paper Appendix"/>
    <m/>
  </r>
  <r>
    <x v="1"/>
    <x v="8"/>
    <s v="Europe and Central Asia"/>
    <s v="No Specific Relationship"/>
    <s v="None"/>
    <s v="EUCOM"/>
    <x v="57"/>
    <x v="19"/>
    <n v="10"/>
    <x v="3"/>
    <s v="Chen Bingde"/>
    <m/>
    <s v="GSD Commander; CMC Member"/>
    <n v="8"/>
    <x v="2"/>
    <s v="Defense Minister"/>
    <x v="0"/>
    <m/>
    <x v="0"/>
    <m/>
    <m/>
    <m/>
    <m/>
    <m/>
    <s v="Defense White Paper Appendix"/>
    <m/>
  </r>
  <r>
    <x v="1"/>
    <x v="8"/>
    <s v="Europe and Central Asia"/>
    <s v="No Specific Relationship"/>
    <s v="None"/>
    <s v="EUCOM"/>
    <x v="57"/>
    <x v="19"/>
    <n v="10"/>
    <x v="3"/>
    <s v="Xu Caihou"/>
    <m/>
    <s v="CMC Vice Chairman"/>
    <n v="10"/>
    <x v="2"/>
    <s v="Defense Minister"/>
    <x v="0"/>
    <m/>
    <x v="0"/>
    <m/>
    <m/>
    <m/>
    <m/>
    <m/>
    <s v="Defense White Paper Appendix"/>
    <m/>
  </r>
  <r>
    <x v="1"/>
    <x v="8"/>
    <s v="Europe and Central Asia"/>
    <s v="No Specific Relationship"/>
    <s v="None"/>
    <s v="EUCOM"/>
    <x v="79"/>
    <x v="19"/>
    <n v="10"/>
    <x v="4"/>
    <s v="Ma Xiaotian"/>
    <m/>
    <s v="GSD DCGS"/>
    <n v="6"/>
    <x v="1"/>
    <m/>
    <x v="0"/>
    <m/>
    <x v="0"/>
    <m/>
    <m/>
    <m/>
    <m/>
    <m/>
    <s v="Defense White Paper Appendix"/>
    <m/>
  </r>
  <r>
    <x v="1"/>
    <x v="8"/>
    <s v="Europe and Central Asia"/>
    <s v="No Specific Relationship"/>
    <s v="None"/>
    <s v="EUCOM"/>
    <x v="81"/>
    <x v="19"/>
    <n v="10"/>
    <x v="3"/>
    <s v="Ma Xiaotian"/>
    <m/>
    <s v="GSD DCGS"/>
    <n v="6"/>
    <x v="2"/>
    <s v="Director Planning and Policy Bureau, National Defense Staff"/>
    <x v="0"/>
    <m/>
    <x v="0"/>
    <m/>
    <m/>
    <m/>
    <m/>
    <m/>
    <s v="Defense White Paper Appendix"/>
    <m/>
  </r>
  <r>
    <x v="1"/>
    <x v="8"/>
    <s v="Europe and Central Asia"/>
    <s v="Comprehensive Strategic Partnership [全面战略伙伴关系]"/>
    <s v="NATO"/>
    <s v="EUCOM"/>
    <x v="20"/>
    <x v="19"/>
    <n v="10"/>
    <x v="3"/>
    <s v="Liang Guanglie"/>
    <m/>
    <s v="Defense Minister; CMC Member"/>
    <n v="8"/>
    <x v="2"/>
    <s v="Chief of Defense Staff"/>
    <x v="0"/>
    <m/>
    <x v="0"/>
    <m/>
    <m/>
    <m/>
    <m/>
    <m/>
    <s v="Defense White Paper Appendix"/>
    <m/>
  </r>
  <r>
    <x v="1"/>
    <x v="4"/>
    <s v="Asia"/>
    <s v="Mutually Beneficial Strategic Relationship [战略互惠关系]"/>
    <s v="Bilateral Defense Treaty"/>
    <s v="INDOPACOM"/>
    <x v="83"/>
    <x v="19"/>
    <n v="10"/>
    <x v="7"/>
    <s v="Liang Guanglie"/>
    <m/>
    <s v="Defense Minister; CMC Member"/>
    <n v="8"/>
    <x v="1"/>
    <s v="Defense Minister"/>
    <x v="0"/>
    <m/>
    <x v="0"/>
    <m/>
    <m/>
    <m/>
    <m/>
    <m/>
    <s v="Defense White Paper Appendix"/>
    <s v="On Margins of ADMM+ meeting in Hanoi"/>
  </r>
  <r>
    <x v="0"/>
    <x v="7"/>
    <s v="West Asia and Africa"/>
    <s v="No Specific Relationship"/>
    <s v="None"/>
    <s v="AFRICOM"/>
    <x v="47"/>
    <x v="19"/>
    <n v="10"/>
    <x v="12"/>
    <m/>
    <m/>
    <m/>
    <m/>
    <x v="0"/>
    <m/>
    <x v="0"/>
    <m/>
    <x v="0"/>
    <m/>
    <s v="NETF"/>
    <s v="2010-11 Peace Ark "/>
    <s v="East Sea Fleet"/>
    <m/>
    <m/>
    <s v="recoded to delete drills"/>
  </r>
  <r>
    <x v="1"/>
    <x v="1"/>
    <s v="Asia"/>
    <s v="Comprehensive Strategic Cooperative Partnership [全面战略合作伙伴关系]"/>
    <s v="None"/>
    <s v="INDOPACOM"/>
    <x v="52"/>
    <x v="19"/>
    <n v="10"/>
    <x v="7"/>
    <s v="Liang Guanglie"/>
    <m/>
    <s v="Defense Minister; CMC Member"/>
    <n v="8"/>
    <x v="1"/>
    <s v="Deputy Prime Minister and Defense Minister"/>
    <x v="0"/>
    <m/>
    <x v="0"/>
    <m/>
    <m/>
    <m/>
    <m/>
    <m/>
    <s v="Defense White Paper Appendix"/>
    <s v="On Margins of ADMM+ meeting in Hanoi"/>
  </r>
  <r>
    <x v="1"/>
    <x v="4"/>
    <s v="Asia"/>
    <s v="Bilateral Defense Treaty"/>
    <s v="None"/>
    <s v="INDOPACOM"/>
    <x v="9"/>
    <x v="19"/>
    <n v="10"/>
    <x v="4"/>
    <s v="Guo Boxiong"/>
    <m/>
    <s v="CMC Vice Chairman"/>
    <n v="10"/>
    <x v="1"/>
    <s v="KPA Vice Marshal, Vice Chairman CMC and COGS KPA"/>
    <x v="0"/>
    <m/>
    <x v="0"/>
    <m/>
    <m/>
    <m/>
    <m/>
    <m/>
    <s v="Defense White Paper Appendix"/>
    <m/>
  </r>
  <r>
    <x v="1"/>
    <x v="8"/>
    <s v="Europe and Central Asia"/>
    <s v="No Specific Relationship"/>
    <s v="NATO"/>
    <s v="EUCOM"/>
    <x v="59"/>
    <x v="19"/>
    <n v="10"/>
    <x v="3"/>
    <s v="Liang Guanglie"/>
    <m/>
    <s v="Defense Minister; CMC Member"/>
    <n v="8"/>
    <x v="2"/>
    <s v="COGS"/>
    <x v="0"/>
    <m/>
    <x v="0"/>
    <m/>
    <m/>
    <m/>
    <m/>
    <m/>
    <s v="Defense White Paper Appendix"/>
    <m/>
  </r>
  <r>
    <x v="1"/>
    <x v="8"/>
    <s v="Europe and Central Asia"/>
    <s v="No Specific Relationship"/>
    <s v="NATO"/>
    <s v="EUCOM"/>
    <x v="59"/>
    <x v="19"/>
    <n v="10"/>
    <x v="4"/>
    <s v="Ma Xiaotian"/>
    <m/>
    <s v="GSD DCGS"/>
    <n v="6"/>
    <x v="1"/>
    <m/>
    <x v="0"/>
    <m/>
    <x v="0"/>
    <m/>
    <m/>
    <m/>
    <m/>
    <m/>
    <s v="Defense White Paper Appendix"/>
    <m/>
  </r>
  <r>
    <x v="1"/>
    <x v="7"/>
    <s v="West Asia and Africa"/>
    <s v="No Specific Relationship"/>
    <s v="None"/>
    <s v="AFRICOM"/>
    <x v="129"/>
    <x v="19"/>
    <n v="10"/>
    <x v="3"/>
    <s v="Liang Guanglie"/>
    <m/>
    <s v="Defense Minister; CMC Member"/>
    <n v="8"/>
    <x v="2"/>
    <s v="Defense Minister"/>
    <x v="0"/>
    <m/>
    <x v="0"/>
    <m/>
    <m/>
    <m/>
    <m/>
    <m/>
    <s v="Defense White Paper Appendix"/>
    <m/>
  </r>
  <r>
    <x v="0"/>
    <x v="7"/>
    <s v="West Asia and Africa"/>
    <s v="No Specific Relationship"/>
    <s v="None"/>
    <s v="AFRICOM"/>
    <x v="139"/>
    <x v="19"/>
    <n v="10"/>
    <x v="12"/>
    <m/>
    <m/>
    <m/>
    <m/>
    <x v="0"/>
    <m/>
    <x v="0"/>
    <m/>
    <x v="0"/>
    <m/>
    <s v="NETF"/>
    <s v="2010-11 Peace Ark "/>
    <s v="East Sea Fleet"/>
    <m/>
    <m/>
    <s v="recoded to delete drills"/>
  </r>
  <r>
    <x v="0"/>
    <x v="7"/>
    <s v="West Asia and Africa"/>
    <s v="No Specific Relationship"/>
    <s v="None"/>
    <s v="AFRICOM"/>
    <x v="16"/>
    <x v="19"/>
    <n v="10"/>
    <x v="12"/>
    <m/>
    <m/>
    <m/>
    <m/>
    <x v="0"/>
    <m/>
    <x v="0"/>
    <m/>
    <x v="0"/>
    <m/>
    <s v="NETF"/>
    <s v="2010-11 Peace Ark "/>
    <s v="East Sea Fleet"/>
    <m/>
    <m/>
    <s v="recoded to delete drills"/>
  </r>
  <r>
    <x v="2"/>
    <x v="1"/>
    <s v="Asia"/>
    <s v="Strategic Partnership [战略伙伴关系]"/>
    <s v="Bilateral Defense Treaty"/>
    <s v="INDOPACOM"/>
    <x v="5"/>
    <x v="19"/>
    <n v="10"/>
    <x v="5"/>
    <m/>
    <m/>
    <m/>
    <m/>
    <x v="0"/>
    <m/>
    <x v="1"/>
    <s v="Strike 2010"/>
    <x v="1"/>
    <s v="Anti-terrorism"/>
    <m/>
    <m/>
    <m/>
    <m/>
    <s v="Defense White Paper Appendix"/>
    <m/>
  </r>
  <r>
    <x v="1"/>
    <x v="1"/>
    <s v="Asia"/>
    <s v="Comprehensive Strategic Cooperative Partnership [全面战略合作伙伴关系]"/>
    <s v="None"/>
    <s v="INDOPACOM"/>
    <x v="23"/>
    <x v="19"/>
    <n v="10"/>
    <x v="4"/>
    <s v="Liang Guanglie"/>
    <m/>
    <s v="Defense Minister; CMC Member"/>
    <n v="8"/>
    <x v="1"/>
    <s v="Vietnamese Prime Minister"/>
    <x v="0"/>
    <m/>
    <x v="0"/>
    <m/>
    <m/>
    <m/>
    <m/>
    <m/>
    <s v="http://www.china.org.cn/world/2010-10/11/content_21100579.htm"/>
    <m/>
  </r>
  <r>
    <x v="0"/>
    <x v="9"/>
    <s v="West Asia and Africa"/>
    <s v="No Specific Relationship"/>
    <s v="None"/>
    <s v="CENTCOM"/>
    <x v="135"/>
    <x v="19"/>
    <n v="10"/>
    <x v="9"/>
    <m/>
    <m/>
    <m/>
    <m/>
    <x v="0"/>
    <m/>
    <x v="0"/>
    <m/>
    <x v="0"/>
    <m/>
    <s v="ETF"/>
    <s v="ETF-06"/>
    <s v="South Sea Fleet"/>
    <s v="LPD998 Kunlun Shan, DDG170 Lanzhou, AOR887 Weishan Hu"/>
    <m/>
    <m/>
  </r>
  <r>
    <x v="1"/>
    <x v="7"/>
    <s v="West Asia and Africa"/>
    <s v="No Specific Relationship"/>
    <s v="None"/>
    <s v="AFRICOM"/>
    <x v="61"/>
    <x v="19"/>
    <n v="10"/>
    <x v="3"/>
    <s v="Guo Boxiong"/>
    <m/>
    <s v="CMC Vice Chairman"/>
    <n v="10"/>
    <x v="2"/>
    <s v="Defense Minister"/>
    <x v="0"/>
    <m/>
    <x v="0"/>
    <m/>
    <m/>
    <m/>
    <m/>
    <m/>
    <s v="Defense White Paper Appendix"/>
    <m/>
  </r>
  <r>
    <x v="1"/>
    <x v="5"/>
    <s v="America and Oceania"/>
    <s v="No Specific Relationship"/>
    <s v="ANZUS Treaty"/>
    <s v="INDOPACOM"/>
    <x v="12"/>
    <x v="19"/>
    <n v="11"/>
    <x v="4"/>
    <s v="Ma Xiaotian"/>
    <m/>
    <s v="GSD DCGS"/>
    <n v="6"/>
    <x v="1"/>
    <m/>
    <x v="0"/>
    <m/>
    <x v="0"/>
    <m/>
    <m/>
    <m/>
    <m/>
    <m/>
    <s v="Defense White Paper Appendix"/>
    <m/>
  </r>
  <r>
    <x v="1"/>
    <x v="0"/>
    <s v="Asia"/>
    <s v="Comprehensive Cooperative Partnership [全面合作伙伴关系]"/>
    <s v="None"/>
    <s v="INDOPACOM"/>
    <x v="0"/>
    <x v="19"/>
    <n v="11"/>
    <x v="3"/>
    <s v="Ma Xiaotian"/>
    <m/>
    <s v="GSD DCGS"/>
    <n v="6"/>
    <x v="2"/>
    <s v="Chief of the Army Staff"/>
    <x v="0"/>
    <m/>
    <x v="0"/>
    <m/>
    <m/>
    <m/>
    <m/>
    <m/>
    <s v="Defense White Paper Appendix"/>
    <m/>
  </r>
  <r>
    <x v="0"/>
    <x v="0"/>
    <s v="Asia"/>
    <s v="Comprehensive Cooperative Partnership [全面合作伙伴关系]"/>
    <s v="None"/>
    <s v="INDOPACOM"/>
    <x v="0"/>
    <x v="19"/>
    <n v="11"/>
    <x v="12"/>
    <m/>
    <m/>
    <m/>
    <m/>
    <x v="0"/>
    <m/>
    <x v="0"/>
    <m/>
    <x v="0"/>
    <m/>
    <s v="NETF"/>
    <s v="2010-11 Peace Ark "/>
    <s v="East Sea Fleet"/>
    <s v="http://eng.chinamil.com.cn/special-reports/2010-11/15/content_4674260.htm"/>
    <m/>
    <m/>
  </r>
  <r>
    <x v="1"/>
    <x v="10"/>
    <s v="America and Oceania"/>
    <s v="Comprehensive Strategic Partnership [全面战略伙伴关系]"/>
    <s v="None"/>
    <s v="SOUTHCOM"/>
    <x v="43"/>
    <x v="19"/>
    <n v="11"/>
    <x v="4"/>
    <s v="Wu Shengli"/>
    <m/>
    <s v="PLAN Commander; CMC Member"/>
    <n v="8"/>
    <x v="1"/>
    <m/>
    <x v="0"/>
    <m/>
    <x v="0"/>
    <m/>
    <m/>
    <m/>
    <m/>
    <m/>
    <s v="Defense White Paper Appendix"/>
    <m/>
  </r>
  <r>
    <x v="1"/>
    <x v="10"/>
    <s v="America and Oceania"/>
    <s v="Comprehensive Partnership [全面伙伴关系]"/>
    <s v="None"/>
    <s v="SOUTHCOM"/>
    <x v="66"/>
    <x v="19"/>
    <n v="11"/>
    <x v="4"/>
    <s v="Wu Shengli"/>
    <m/>
    <s v="PLAN Commander; CMC Member"/>
    <n v="8"/>
    <x v="1"/>
    <m/>
    <x v="0"/>
    <m/>
    <x v="0"/>
    <m/>
    <m/>
    <m/>
    <m/>
    <m/>
    <s v="Defense White Paper Appendix"/>
    <m/>
  </r>
  <r>
    <x v="1"/>
    <x v="10"/>
    <s v="America and Oceania"/>
    <s v="No Specific Relationship"/>
    <s v="None"/>
    <s v="SOUTHCOM"/>
    <x v="51"/>
    <x v="19"/>
    <n v="11"/>
    <x v="4"/>
    <s v="Chen Bingde"/>
    <m/>
    <s v="GSD Commander; CMC Member"/>
    <n v="8"/>
    <x v="1"/>
    <m/>
    <x v="0"/>
    <m/>
    <x v="0"/>
    <m/>
    <m/>
    <m/>
    <m/>
    <m/>
    <s v="Defense White Paper Appendix"/>
    <m/>
  </r>
  <r>
    <x v="1"/>
    <x v="7"/>
    <s v="West Asia and Africa"/>
    <s v="No Specific Relationship"/>
    <s v="None"/>
    <s v="AFRICOM"/>
    <x v="95"/>
    <x v="19"/>
    <n v="11"/>
    <x v="4"/>
    <s v="Li Changcai"/>
    <m/>
    <s v="Lanzhou MR Political Commissar"/>
    <n v="6"/>
    <x v="1"/>
    <m/>
    <x v="0"/>
    <m/>
    <x v="0"/>
    <m/>
    <m/>
    <m/>
    <m/>
    <m/>
    <s v="Defense White Paper Appendix"/>
    <m/>
  </r>
  <r>
    <x v="1"/>
    <x v="8"/>
    <s v="Europe and Central Asia"/>
    <s v="Strategic Partnership [战略伙伴关系]"/>
    <s v="NATO"/>
    <s v="EUCOM"/>
    <x v="18"/>
    <x v="19"/>
    <n v="11"/>
    <x v="3"/>
    <s v="Chen Bingde"/>
    <m/>
    <s v="GSD Commander; CMC Member"/>
    <n v="8"/>
    <x v="2"/>
    <s v="Defense Minister"/>
    <x v="0"/>
    <m/>
    <x v="0"/>
    <m/>
    <m/>
    <m/>
    <m/>
    <m/>
    <s v="Defense White Paper Appendix"/>
    <m/>
  </r>
  <r>
    <x v="1"/>
    <x v="1"/>
    <s v="Asia"/>
    <s v="Strategic Partnership [战略伙伴关系]"/>
    <s v="None"/>
    <s v="INDOPACOM"/>
    <x v="8"/>
    <x v="19"/>
    <n v="11"/>
    <x v="4"/>
    <s v="Ma Xiaotian"/>
    <m/>
    <s v="GSD DCGS"/>
    <n v="6"/>
    <x v="1"/>
    <m/>
    <x v="0"/>
    <m/>
    <x v="0"/>
    <m/>
    <m/>
    <m/>
    <m/>
    <m/>
    <s v="Defense White Paper Appendix"/>
    <m/>
  </r>
  <r>
    <x v="1"/>
    <x v="9"/>
    <s v="West Asia and Africa"/>
    <s v="No Specific Relationship"/>
    <s v="Major Non-NATO Ally"/>
    <s v="CENTCOM"/>
    <x v="101"/>
    <x v="19"/>
    <n v="11"/>
    <x v="4"/>
    <s v="Xu Caihou"/>
    <m/>
    <s v="CMC Vice Chairman"/>
    <n v="10"/>
    <x v="1"/>
    <s v="Chairman JCS"/>
    <x v="0"/>
    <m/>
    <x v="0"/>
    <m/>
    <m/>
    <m/>
    <m/>
    <m/>
    <s v="Defense White Paper Appendix"/>
    <m/>
  </r>
  <r>
    <x v="1"/>
    <x v="8"/>
    <s v="Europe and Central Asia"/>
    <s v="No Specific Relationship"/>
    <s v="NATO"/>
    <s v="EUCOM"/>
    <x v="117"/>
    <x v="19"/>
    <n v="11"/>
    <x v="3"/>
    <s v="Liang Guanglie"/>
    <m/>
    <s v="Defense Minister; CMC Member"/>
    <n v="8"/>
    <x v="2"/>
    <s v="Navy Commander"/>
    <x v="0"/>
    <m/>
    <x v="0"/>
    <m/>
    <m/>
    <m/>
    <m/>
    <m/>
    <s v="Defense White Paper Appendix"/>
    <m/>
  </r>
  <r>
    <x v="1"/>
    <x v="5"/>
    <s v="America and Oceania"/>
    <s v="No Specific Relationship"/>
    <s v="ANZUS Treaty"/>
    <s v="INDOPACOM"/>
    <x v="13"/>
    <x v="19"/>
    <n v="11"/>
    <x v="4"/>
    <s v="Ma Xiaotian"/>
    <m/>
    <s v="GSD DCGS"/>
    <n v="6"/>
    <x v="1"/>
    <m/>
    <x v="0"/>
    <m/>
    <x v="0"/>
    <m/>
    <m/>
    <m/>
    <m/>
    <m/>
    <s v="Defense White Paper Appendix"/>
    <m/>
  </r>
  <r>
    <x v="1"/>
    <x v="7"/>
    <s v="West Asia and Africa"/>
    <s v="Strategic Partnership [战略伙伴关系]"/>
    <s v="None"/>
    <s v="AFRICOM"/>
    <x v="36"/>
    <x v="19"/>
    <n v="11"/>
    <x v="3"/>
    <s v="Xu Qiliang"/>
    <m/>
    <s v="PLAAF Commander; CMC Member"/>
    <n v="8"/>
    <x v="2"/>
    <s v="Chief of Air Staff"/>
    <x v="0"/>
    <m/>
    <x v="0"/>
    <m/>
    <m/>
    <m/>
    <m/>
    <m/>
    <s v="Defense White Paper Appendix"/>
    <m/>
  </r>
  <r>
    <x v="1"/>
    <x v="0"/>
    <s v="Asia"/>
    <s v="Strategic Partnership [战略伙伴关系]"/>
    <s v="Major Non-NATO Ally"/>
    <s v="CENTCOM"/>
    <x v="2"/>
    <x v="19"/>
    <n v="11"/>
    <x v="3"/>
    <s v="Xu Qiliang"/>
    <m/>
    <s v="PLAAF Commander; CMC Member"/>
    <n v="8"/>
    <x v="2"/>
    <s v="Chief of the Air Staff"/>
    <x v="0"/>
    <m/>
    <x v="0"/>
    <m/>
    <m/>
    <m/>
    <m/>
    <m/>
    <s v="http://www.china.org.cn/world/2010-11/18/content_21372399.htm; https://tribune.com.pk/story/78515/air-chief-sees-bright-prospects-for-jf-17-in-aviation-market/; http://www.chinavitae.com/vip/index.php?mode=show&amp;id=9444"/>
    <s v="Can't find PLA counterpart; visit is listed in 2010 defense white paper; he attended Zhuhai air show.  PLAAF commander Xu Qiliang was also at Zhuhai and met with foreign delegations (NFI); CMC VC Guo Boxiong was also there "/>
  </r>
  <r>
    <x v="2"/>
    <x v="10"/>
    <s v="America and Oceania"/>
    <s v="Strategic Partnership [战略伙伴关系]"/>
    <s v="None"/>
    <s v="SOUTHCOM"/>
    <x v="54"/>
    <x v="19"/>
    <n v="11"/>
    <x v="5"/>
    <m/>
    <m/>
    <m/>
    <m/>
    <x v="0"/>
    <m/>
    <x v="2"/>
    <s v="Peace Angel 2010"/>
    <x v="1"/>
    <s v=" "/>
    <m/>
    <m/>
    <m/>
    <s v=" "/>
    <s v="Defense White Paper Appendix; PLA Daily 2010-11-18"/>
    <m/>
  </r>
  <r>
    <x v="1"/>
    <x v="10"/>
    <s v="America and Oceania"/>
    <s v="Strategic Partnership [战略伙伴关系]"/>
    <s v="None"/>
    <s v="SOUTHCOM"/>
    <x v="54"/>
    <x v="19"/>
    <n v="11"/>
    <x v="4"/>
    <s v="Chen Bingde"/>
    <m/>
    <s v="GSD Commander; CMC Member"/>
    <n v="8"/>
    <x v="1"/>
    <m/>
    <x v="0"/>
    <m/>
    <x v="0"/>
    <m/>
    <m/>
    <m/>
    <m/>
    <m/>
    <s v="Defense White Paper Appendix"/>
    <m/>
  </r>
  <r>
    <x v="1"/>
    <x v="1"/>
    <s v="Asia"/>
    <s v="Strategic Cooperative Partnership [战略合作伙伴关系]"/>
    <s v="Bilateral Defense Treaty"/>
    <s v="INDOPACOM"/>
    <x v="11"/>
    <x v="19"/>
    <n v="11"/>
    <x v="4"/>
    <s v="Ma Xiaotian"/>
    <m/>
    <s v="GSD DCGS"/>
    <n v="6"/>
    <x v="1"/>
    <m/>
    <x v="0"/>
    <m/>
    <x v="0"/>
    <m/>
    <m/>
    <m/>
    <m/>
    <m/>
    <s v="Defense White Paper Appendix"/>
    <m/>
  </r>
  <r>
    <x v="1"/>
    <x v="8"/>
    <s v="Europe and Central Asia"/>
    <s v="Comprehensive Friendly Cooperative Partnership [全面友好合作伙伴关系]"/>
    <s v="NATO"/>
    <s v="EUCOM"/>
    <x v="33"/>
    <x v="19"/>
    <n v="11"/>
    <x v="3"/>
    <s v="Guo Boxiong"/>
    <m/>
    <s v="CMC Vice Chairman"/>
    <n v="10"/>
    <x v="2"/>
    <s v="Defense Minister"/>
    <x v="0"/>
    <m/>
    <x v="0"/>
    <m/>
    <m/>
    <m/>
    <m/>
    <m/>
    <s v="Defense White Paper Appendix"/>
    <m/>
  </r>
  <r>
    <x v="2"/>
    <x v="8"/>
    <s v="Europe and Central Asia"/>
    <s v="Comprehensive Friendly Cooperative Partnership [全面友好合作伙伴关系]"/>
    <s v="NATO"/>
    <s v="EUCOM"/>
    <x v="33"/>
    <x v="19"/>
    <n v="11"/>
    <x v="5"/>
    <m/>
    <m/>
    <m/>
    <m/>
    <x v="0"/>
    <m/>
    <x v="1"/>
    <s v="Friendship Operation 2010"/>
    <x v="1"/>
    <s v="Mountain troops"/>
    <m/>
    <m/>
    <m/>
    <m/>
    <s v="Defense White Paper Appendix"/>
    <m/>
  </r>
  <r>
    <x v="1"/>
    <x v="3"/>
    <s v="Europe and Central Asia"/>
    <s v="Strategic Partnership of Coordination [战略协作伙伴关系]"/>
    <s v="None"/>
    <s v="EUCOM"/>
    <x v="7"/>
    <x v="19"/>
    <n v="11"/>
    <x v="3"/>
    <s v="Liang Guanglie"/>
    <m/>
    <s v="Defense Minister; CMC Member"/>
    <n v="8"/>
    <x v="2"/>
    <s v="Defense Minister"/>
    <x v="0"/>
    <m/>
    <x v="0"/>
    <m/>
    <m/>
    <m/>
    <m/>
    <m/>
    <s v="Defense White Paper Appendix"/>
    <m/>
  </r>
  <r>
    <x v="0"/>
    <x v="9"/>
    <s v="West Asia and Africa"/>
    <s v="No Specific Relationship"/>
    <s v="None"/>
    <s v="CENTCOM"/>
    <x v="142"/>
    <x v="19"/>
    <n v="11"/>
    <x v="0"/>
    <m/>
    <m/>
    <m/>
    <m/>
    <x v="0"/>
    <m/>
    <x v="0"/>
    <m/>
    <x v="0"/>
    <m/>
    <s v="ETF"/>
    <s v="ETF-06"/>
    <s v="South Sea Fleet"/>
    <s v="LPD998 Kunlun Shan, DDG170 Lanzhou, AOR887 Weishan Hu"/>
    <m/>
    <m/>
  </r>
  <r>
    <x v="1"/>
    <x v="7"/>
    <s v="West Asia and Africa"/>
    <s v="No Specific Relationship"/>
    <s v="None"/>
    <s v="AFRICOM"/>
    <x v="90"/>
    <x v="19"/>
    <n v="11"/>
    <x v="3"/>
    <s v="Liang Guanglie"/>
    <m/>
    <s v="Defense Minister; CMC Member"/>
    <n v="8"/>
    <x v="2"/>
    <s v="Defense Minister"/>
    <x v="0"/>
    <m/>
    <x v="0"/>
    <m/>
    <m/>
    <m/>
    <m/>
    <m/>
    <s v="Defense White Paper Appendix"/>
    <m/>
  </r>
  <r>
    <x v="1"/>
    <x v="1"/>
    <s v="Asia"/>
    <s v="No Specific Relationship"/>
    <s v="None"/>
    <s v="INDOPACOM"/>
    <x v="39"/>
    <x v="19"/>
    <n v="11"/>
    <x v="4"/>
    <s v="Ma Xiaotian"/>
    <m/>
    <s v="GSD DCGS"/>
    <n v="6"/>
    <x v="1"/>
    <m/>
    <x v="0"/>
    <m/>
    <x v="0"/>
    <m/>
    <m/>
    <m/>
    <m/>
    <m/>
    <s v="Defense White Paper Appendix"/>
    <m/>
  </r>
  <r>
    <x v="2"/>
    <x v="1"/>
    <s v="Asia"/>
    <s v="No Specific Relationship"/>
    <s v="None"/>
    <s v="INDOPACOM"/>
    <x v="39"/>
    <x v="19"/>
    <n v="11"/>
    <x v="5"/>
    <m/>
    <m/>
    <m/>
    <m/>
    <x v="0"/>
    <m/>
    <x v="1"/>
    <s v="Cooperation 2010"/>
    <x v="1"/>
    <s v="Security training"/>
    <m/>
    <m/>
    <m/>
    <m/>
    <s v="Defense White Paper Appendix"/>
    <m/>
  </r>
  <r>
    <x v="1"/>
    <x v="7"/>
    <s v="West Asia and Africa"/>
    <s v="Comprehensive Strategic Partnership [全面战略伙伴关系]"/>
    <s v="None"/>
    <s v="AFRICOM"/>
    <x v="15"/>
    <x v="19"/>
    <n v="11"/>
    <x v="3"/>
    <s v="Liang Guanglie"/>
    <m/>
    <s v="Defense Minister; CMC Member"/>
    <n v="8"/>
    <x v="2"/>
    <s v="Secretary of the Ministry of Defense and Commander of the National Defense Force"/>
    <x v="0"/>
    <m/>
    <x v="0"/>
    <m/>
    <m/>
    <m/>
    <m/>
    <m/>
    <s v="Defense White Paper Appendix"/>
    <m/>
  </r>
  <r>
    <x v="1"/>
    <x v="8"/>
    <s v="Europe and Central Asia"/>
    <s v="No Specific Relationship"/>
    <s v="None"/>
    <s v="EUCOM"/>
    <x v="92"/>
    <x v="19"/>
    <n v="11"/>
    <x v="4"/>
    <s v="Li Jinai"/>
    <m/>
    <s v="GPD Director; CMC Member"/>
    <n v="8"/>
    <x v="1"/>
    <m/>
    <x v="0"/>
    <m/>
    <x v="0"/>
    <m/>
    <m/>
    <m/>
    <m/>
    <m/>
    <s v="Defense White Paper Appendix"/>
    <m/>
  </r>
  <r>
    <x v="1"/>
    <x v="9"/>
    <s v="West Asia and Africa"/>
    <s v="No Specific Relationship"/>
    <s v="None"/>
    <s v="CENTCOM"/>
    <x v="102"/>
    <x v="19"/>
    <n v="11"/>
    <x v="4"/>
    <s v="Xu Caihou"/>
    <m/>
    <s v="CMC Vice Chairman"/>
    <n v="10"/>
    <x v="1"/>
    <m/>
    <x v="0"/>
    <m/>
    <x v="0"/>
    <m/>
    <m/>
    <m/>
    <m/>
    <m/>
    <s v="Defense White Paper Appendix"/>
    <m/>
  </r>
  <r>
    <x v="1"/>
    <x v="1"/>
    <s v="Asia"/>
    <s v="Strategic Partnership [战略伙伴关系]"/>
    <s v="Bilateral Defense Treaty"/>
    <s v="INDOPACOM"/>
    <x v="5"/>
    <x v="19"/>
    <n v="11"/>
    <x v="4"/>
    <s v="Ma Xiaotian"/>
    <m/>
    <s v="GSD DCGS"/>
    <n v="6"/>
    <x v="1"/>
    <s v="Defense Minister"/>
    <x v="0"/>
    <m/>
    <x v="0"/>
    <m/>
    <m/>
    <m/>
    <m/>
    <m/>
    <s v="Defense White Paper Appendix"/>
    <m/>
  </r>
  <r>
    <x v="2"/>
    <x v="1"/>
    <s v="Asia"/>
    <s v="Strategic Partnership [战略伙伴关系]"/>
    <s v="Bilateral Defense Treaty"/>
    <s v="INDOPACOM"/>
    <x v="5"/>
    <x v="19"/>
    <n v="11"/>
    <x v="5"/>
    <m/>
    <m/>
    <m/>
    <m/>
    <x v="0"/>
    <m/>
    <x v="5"/>
    <s v="Blue Strike 2010"/>
    <x v="2"/>
    <s v="Amphibious assault; Marines"/>
    <m/>
    <m/>
    <m/>
    <m/>
    <s v="Defense White Paper Appendix"/>
    <m/>
  </r>
  <r>
    <x v="1"/>
    <x v="7"/>
    <s v="West Asia and Africa"/>
    <s v="No Specific Relationship"/>
    <s v="Major Non-NATO Ally"/>
    <s v="AFRICOM"/>
    <x v="85"/>
    <x v="19"/>
    <n v="11"/>
    <x v="4"/>
    <s v="Li Changcai"/>
    <m/>
    <s v="Lanzhou MR Political Commissar"/>
    <n v="6"/>
    <x v="1"/>
    <m/>
    <x v="0"/>
    <m/>
    <x v="0"/>
    <m/>
    <m/>
    <m/>
    <m/>
    <m/>
    <s v="Defense White Paper Appendix"/>
    <m/>
  </r>
  <r>
    <x v="2"/>
    <x v="8"/>
    <s v="Europe and Central Asia"/>
    <s v="Strategic Cooperative Partnership [战略合作伙伴关系]"/>
    <s v="NATO"/>
    <s v="EUCOM"/>
    <x v="38"/>
    <x v="19"/>
    <n v="11"/>
    <x v="5"/>
    <m/>
    <m/>
    <m/>
    <m/>
    <x v="0"/>
    <m/>
    <x v="1"/>
    <m/>
    <x v="1"/>
    <s v="Special forces in hills of turkey"/>
    <m/>
    <m/>
    <m/>
    <m/>
    <s v="Defense White Paper Appendix; https://jamestown.org/program/sino-turkish-strategic-partnership-implications-of-anatolian-eagle-2010/"/>
    <m/>
  </r>
  <r>
    <x v="1"/>
    <x v="9"/>
    <s v="West Asia and Africa"/>
    <s v="No Specific Relationship"/>
    <s v="None"/>
    <s v="CENTCOM"/>
    <x v="106"/>
    <x v="19"/>
    <n v="11"/>
    <x v="4"/>
    <s v="Xu Caihou"/>
    <m/>
    <s v="CMC Vice Chairman"/>
    <n v="10"/>
    <x v="1"/>
    <s v="Deputy CinC Armed Forces "/>
    <x v="0"/>
    <m/>
    <x v="0"/>
    <m/>
    <m/>
    <m/>
    <m/>
    <m/>
    <s v="Defense White Paper Appendix"/>
    <m/>
  </r>
  <r>
    <x v="1"/>
    <x v="8"/>
    <s v="Europe and Central Asia"/>
    <s v="Comprehensive Strategic Partnership [全面战略伙伴关系]"/>
    <s v="NATO"/>
    <s v="EUCOM"/>
    <x v="21"/>
    <x v="19"/>
    <n v="11"/>
    <x v="3"/>
    <s v="Liang Guanglie"/>
    <m/>
    <s v="Defense Minister; CMC Member"/>
    <n v="8"/>
    <x v="2"/>
    <s v="COGS"/>
    <x v="0"/>
    <m/>
    <x v="0"/>
    <m/>
    <m/>
    <m/>
    <m/>
    <m/>
    <s v="Defense White Paper Appendix"/>
    <m/>
  </r>
  <r>
    <x v="1"/>
    <x v="2"/>
    <s v="America and Oceania"/>
    <s v="No Specific Relationship"/>
    <s v="N/A"/>
    <s v="NORTHCOM"/>
    <x v="4"/>
    <x v="19"/>
    <n v="11"/>
    <x v="3"/>
    <s v="Li Jinai"/>
    <m/>
    <s v="GPD Director; CMC Member"/>
    <n v="8"/>
    <x v="2"/>
    <s v="Retired USN Admiral"/>
    <x v="0"/>
    <m/>
    <x v="0"/>
    <m/>
    <m/>
    <m/>
    <m/>
    <m/>
    <s v="Defense White Paper Appendix"/>
    <m/>
  </r>
  <r>
    <x v="1"/>
    <x v="10"/>
    <s v="America and Oceania"/>
    <s v="Strategic Development Partnership [战略发展伙伴关系]"/>
    <s v="None"/>
    <s v="SOUTHCOM"/>
    <x v="56"/>
    <x v="19"/>
    <n v="11"/>
    <x v="4"/>
    <s v="Chen Bingde"/>
    <m/>
    <s v="GSD Commander; CMC Member"/>
    <n v="8"/>
    <x v="1"/>
    <m/>
    <x v="0"/>
    <m/>
    <x v="0"/>
    <m/>
    <m/>
    <m/>
    <m/>
    <m/>
    <s v="Defense White Paper Appendix"/>
    <m/>
  </r>
  <r>
    <x v="1"/>
    <x v="1"/>
    <s v="Asia"/>
    <s v="Comprehensive Strategic Cooperative Partnership [全面战略合作伙伴关系]"/>
    <s v="None"/>
    <s v="INDOPACOM"/>
    <x v="23"/>
    <x v="19"/>
    <n v="11"/>
    <x v="3"/>
    <s v="Li Jinai"/>
    <m/>
    <s v="GPD Director; CMC Member"/>
    <n v="8"/>
    <x v="2"/>
    <s v="Navy Political Commissar"/>
    <x v="0"/>
    <m/>
    <x v="0"/>
    <m/>
    <m/>
    <m/>
    <m/>
    <m/>
    <s v="Defense White Paper Appendix"/>
    <m/>
  </r>
  <r>
    <x v="1"/>
    <x v="0"/>
    <s v="Europe and Central Asia"/>
    <s v="Comprehensive Cooperative Partnership [全面合作伙伴关系]"/>
    <s v="Major Non-NATO Ally"/>
    <s v="CENTCOM"/>
    <x v="123"/>
    <x v="19"/>
    <n v="12"/>
    <x v="3"/>
    <s v="Sun Jianguo"/>
    <m/>
    <s v="GSD DCGS"/>
    <n v="6"/>
    <x v="2"/>
    <s v="Deputy Defense Minister"/>
    <x v="0"/>
    <m/>
    <x v="0"/>
    <m/>
    <m/>
    <m/>
    <m/>
    <m/>
    <s v="Defense White Paper Appendix"/>
    <m/>
  </r>
  <r>
    <x v="1"/>
    <x v="8"/>
    <s v="Europe and Central Asia"/>
    <s v="No Specific Relationship"/>
    <s v="NATO"/>
    <s v="EUCOM"/>
    <x v="108"/>
    <x v="19"/>
    <n v="12"/>
    <x v="3"/>
    <s v="Chen Bingde"/>
    <m/>
    <s v="GSD Commander; CMC Member"/>
    <n v="8"/>
    <x v="2"/>
    <s v="Chief of Defense Staff of the Armed Forces"/>
    <x v="0"/>
    <m/>
    <x v="0"/>
    <m/>
    <m/>
    <m/>
    <m/>
    <m/>
    <s v="Defense White Paper Appendix"/>
    <m/>
  </r>
  <r>
    <x v="0"/>
    <x v="9"/>
    <s v="West Asia and Africa"/>
    <s v="Friendly Cooperative Partnership [友好合作伙伴关系]"/>
    <s v="Major Non-NATO Ally"/>
    <s v="CENTCOM"/>
    <x v="146"/>
    <x v="19"/>
    <n v="12"/>
    <x v="0"/>
    <m/>
    <m/>
    <m/>
    <m/>
    <x v="0"/>
    <m/>
    <x v="0"/>
    <m/>
    <x v="0"/>
    <m/>
    <s v="ETF"/>
    <s v="ETF-06"/>
    <s v="South Sea Fleet"/>
    <s v="LPD998 Kunlun Shan, DDG170 Lanzhou, AOR887 Weishan Hu"/>
    <m/>
    <m/>
  </r>
  <r>
    <x v="1"/>
    <x v="0"/>
    <s v="Asia"/>
    <s v="Comprehensive Cooperative Partnership [全面合作伙伴关系]"/>
    <s v="None"/>
    <s v="INDOPACOM"/>
    <x v="0"/>
    <x v="19"/>
    <n v="12"/>
    <x v="3"/>
    <s v="Ma Xiaotian"/>
    <m/>
    <s v="GSD DCGS"/>
    <n v="6"/>
    <x v="2"/>
    <s v="COGS Army"/>
    <x v="0"/>
    <m/>
    <x v="0"/>
    <m/>
    <m/>
    <m/>
    <m/>
    <m/>
    <s v="Defense White Paper Appendix"/>
    <m/>
  </r>
  <r>
    <x v="1"/>
    <x v="8"/>
    <s v="Europe and Central Asia"/>
    <s v="Strategic Partnership [战略伙伴关系]"/>
    <s v="NATO"/>
    <s v="EUCOM"/>
    <x v="34"/>
    <x v="19"/>
    <n v="12"/>
    <x v="3"/>
    <s v="Ma Xiaotian"/>
    <m/>
    <s v="GSD DCGS"/>
    <n v="6"/>
    <x v="2"/>
    <s v="Assistant to Defense Minister"/>
    <x v="0"/>
    <m/>
    <x v="0"/>
    <m/>
    <m/>
    <m/>
    <m/>
    <m/>
    <s v="Defense White Paper Appendix"/>
    <m/>
  </r>
  <r>
    <x v="1"/>
    <x v="10"/>
    <s v="America and Oceania"/>
    <s v="No Specific Relationship"/>
    <s v="None"/>
    <s v="SOUTHCOM"/>
    <x v="49"/>
    <x v="19"/>
    <n v="12"/>
    <x v="4"/>
    <s v="Ma Xiaotian"/>
    <m/>
    <s v="GSD DCGS"/>
    <n v="6"/>
    <x v="1"/>
    <m/>
    <x v="0"/>
    <m/>
    <x v="0"/>
    <m/>
    <m/>
    <m/>
    <m/>
    <m/>
    <s v="Defense White Paper Appendix"/>
    <m/>
  </r>
  <r>
    <x v="0"/>
    <x v="9"/>
    <s v="West Asia and Africa"/>
    <s v="No Specific Relationship"/>
    <s v="None"/>
    <s v="CENTCOM"/>
    <x v="119"/>
    <x v="19"/>
    <n v="12"/>
    <x v="9"/>
    <m/>
    <m/>
    <m/>
    <m/>
    <x v="0"/>
    <m/>
    <x v="0"/>
    <m/>
    <x v="0"/>
    <m/>
    <s v="ETF"/>
    <s v="ETF-06"/>
    <s v="South Sea Fleet"/>
    <s v="LPD998 Kunlun Shan, DDG170 Lanzhou, AOR887 Weishan Hu; uncertain, could also be ETF-7"/>
    <m/>
    <m/>
  </r>
  <r>
    <x v="1"/>
    <x v="1"/>
    <s v="Asia"/>
    <s v="Strategic Partnership [战略伙伴关系]"/>
    <s v="None"/>
    <s v="INDOPACOM"/>
    <x v="8"/>
    <x v="19"/>
    <n v="12"/>
    <x v="3"/>
    <s v="Ma Xiaotian"/>
    <m/>
    <s v="GSD DCGS"/>
    <n v="6"/>
    <x v="2"/>
    <s v="Chief of the Army Staff"/>
    <x v="0"/>
    <m/>
    <x v="0"/>
    <m/>
    <m/>
    <m/>
    <m/>
    <m/>
    <s v="Defense White Paper Appendix"/>
    <m/>
  </r>
  <r>
    <x v="0"/>
    <x v="1"/>
    <s v="Asia"/>
    <s v="Strategic Partnership [战略伙伴关系]"/>
    <s v="None"/>
    <s v="INDOPACOM"/>
    <x v="8"/>
    <x v="19"/>
    <n v="12"/>
    <x v="0"/>
    <m/>
    <m/>
    <m/>
    <m/>
    <x v="0"/>
    <m/>
    <x v="0"/>
    <m/>
    <x v="0"/>
    <m/>
    <s v="ETF"/>
    <s v="ETF-06"/>
    <s v="South Sea Fleet"/>
    <s v="LPD998 Kunlun Shan, DDG170 Lanzhou, AOR887 Weishan Hu"/>
    <m/>
    <m/>
  </r>
  <r>
    <x v="1"/>
    <x v="9"/>
    <s v="West Asia and Africa"/>
    <s v="No Specific Relationship"/>
    <s v="Major Non-NATO Ally"/>
    <s v="CENTCOM"/>
    <x v="100"/>
    <x v="19"/>
    <n v="12"/>
    <x v="3"/>
    <s v="Liang Guanglie"/>
    <m/>
    <s v="Defense Minister; CMC Member"/>
    <n v="8"/>
    <x v="2"/>
    <s v="Commander of the Navy"/>
    <x v="0"/>
    <m/>
    <x v="0"/>
    <m/>
    <m/>
    <m/>
    <m/>
    <m/>
    <s v="Defense White Paper Appendix"/>
    <m/>
  </r>
  <r>
    <x v="1"/>
    <x v="9"/>
    <s v="West Asia and Africa"/>
    <s v="No Specific Relationship"/>
    <s v="Major Non-NATO Ally"/>
    <s v="CENTCOM"/>
    <x v="101"/>
    <x v="19"/>
    <n v="12"/>
    <x v="3"/>
    <s v="Ma Xiaotian"/>
    <m/>
    <s v="GSD DCGS"/>
    <n v="6"/>
    <x v="2"/>
    <s v="Chief of Staff, Strategic Planning"/>
    <x v="0"/>
    <m/>
    <x v="0"/>
    <m/>
    <m/>
    <m/>
    <m/>
    <m/>
    <s v="Defense White Paper Appendix"/>
    <m/>
  </r>
  <r>
    <x v="1"/>
    <x v="4"/>
    <s v="Asia"/>
    <s v="No Specific Relationship"/>
    <s v="None"/>
    <s v="INDOPACOM"/>
    <x v="53"/>
    <x v="19"/>
    <n v="12"/>
    <x v="3"/>
    <s v="Liang Guanglie"/>
    <m/>
    <s v="Defense Minister; CMC Member"/>
    <n v="8"/>
    <x v="2"/>
    <s v="Defense Minister"/>
    <x v="0"/>
    <m/>
    <x v="0"/>
    <m/>
    <m/>
    <m/>
    <m/>
    <m/>
    <s v="Defense White Paper Appendix"/>
    <m/>
  </r>
  <r>
    <x v="1"/>
    <x v="1"/>
    <s v="Asia"/>
    <s v="Strategic Cooperative Partnership [战略合作伙伴关系]"/>
    <s v="Bilateral Defense Treaty"/>
    <s v="INDOPACOM"/>
    <x v="11"/>
    <x v="19"/>
    <n v="12"/>
    <x v="3"/>
    <s v="Liang Guanglie"/>
    <m/>
    <s v="Defense Minister; CMC Member"/>
    <n v="8"/>
    <x v="2"/>
    <s v="COGS"/>
    <x v="0"/>
    <m/>
    <x v="0"/>
    <m/>
    <m/>
    <m/>
    <m/>
    <m/>
    <s v="Defense White Paper Appendix"/>
    <m/>
  </r>
  <r>
    <x v="1"/>
    <x v="1"/>
    <s v="Asia"/>
    <s v="No Specific Relationship"/>
    <s v="None"/>
    <s v="INDOPACOM"/>
    <x v="39"/>
    <x v="19"/>
    <n v="12"/>
    <x v="3"/>
    <s v="Liang Guanglie"/>
    <m/>
    <s v="Defense Minister; CMC Member"/>
    <n v="8"/>
    <x v="2"/>
    <s v="Chief of the Navy Staff"/>
    <x v="0"/>
    <m/>
    <x v="0"/>
    <m/>
    <m/>
    <m/>
    <m/>
    <m/>
    <s v="Defense White Paper Appendix"/>
    <m/>
  </r>
  <r>
    <x v="0"/>
    <x v="0"/>
    <s v="Asia"/>
    <s v="Comprehensive Cooperative Partnership [全面合作伙伴关系]"/>
    <s v="None"/>
    <s v="INDOPACOM"/>
    <x v="3"/>
    <x v="19"/>
    <n v="12"/>
    <x v="0"/>
    <m/>
    <m/>
    <m/>
    <m/>
    <x v="0"/>
    <m/>
    <x v="0"/>
    <m/>
    <x v="0"/>
    <m/>
    <s v="ETF"/>
    <s v="ETF-06"/>
    <s v="South Sea Fleet"/>
    <s v="LPD998 Kunlun Shan, DDG170 Lanzhou, AOR887 Weishan Hu"/>
    <m/>
    <m/>
  </r>
  <r>
    <x v="1"/>
    <x v="10"/>
    <s v="America and Oceania"/>
    <s v="No Specific Relationship"/>
    <s v="None"/>
    <s v="SOUTHCOM"/>
    <x v="91"/>
    <x v="19"/>
    <n v="12"/>
    <x v="3"/>
    <s v="Liang Guanglie"/>
    <m/>
    <s v="Defense Minister; CMC Member"/>
    <n v="8"/>
    <x v="2"/>
    <s v="Defense Minister"/>
    <x v="0"/>
    <m/>
    <x v="0"/>
    <m/>
    <m/>
    <m/>
    <m/>
    <m/>
    <s v="Defense White Paper Appendix"/>
    <m/>
  </r>
  <r>
    <x v="1"/>
    <x v="2"/>
    <s v="America and Oceania"/>
    <s v="No Specific Relationship"/>
    <s v="N/A"/>
    <s v="NORTHCOM"/>
    <x v="4"/>
    <x v="19"/>
    <n v="12"/>
    <x v="4"/>
    <s v="Ma Xiaotian"/>
    <m/>
    <s v="GSD DCGS"/>
    <n v="6"/>
    <x v="1"/>
    <m/>
    <x v="0"/>
    <m/>
    <x v="0"/>
    <m/>
    <m/>
    <m/>
    <m/>
    <m/>
    <s v="Defense White Paper Appendix"/>
    <m/>
  </r>
  <r>
    <x v="1"/>
    <x v="6"/>
    <s v="Europe and Central Asia"/>
    <s v="No Specific Relationship"/>
    <s v="None"/>
    <s v="CENTCOM"/>
    <x v="73"/>
    <x v="19"/>
    <n v="12"/>
    <x v="3"/>
    <s v="Liang Guanglie"/>
    <m/>
    <s v="Defense Minister; CMC Member"/>
    <n v="8"/>
    <x v="2"/>
    <s v="Deputy Defense Minister"/>
    <x v="0"/>
    <m/>
    <x v="0"/>
    <m/>
    <m/>
    <m/>
    <m/>
    <m/>
    <s v="Defense White Paper Appendix"/>
    <m/>
  </r>
  <r>
    <x v="1"/>
    <x v="10"/>
    <s v="America and Oceania"/>
    <s v="No Specific Relationship"/>
    <s v="None"/>
    <s v="SOUTHCOM"/>
    <x v="51"/>
    <x v="20"/>
    <n v="1"/>
    <x v="3"/>
    <s v="Qi Jianguo"/>
    <m/>
    <s v="GSD Assistant Commander"/>
    <n v="5"/>
    <x v="2"/>
    <m/>
    <x v="0"/>
    <m/>
    <x v="0"/>
    <m/>
    <m/>
    <m/>
    <m/>
    <m/>
    <m/>
    <m/>
  </r>
  <r>
    <x v="0"/>
    <x v="9"/>
    <s v="West Asia and Africa"/>
    <s v="No Specific Relationship"/>
    <s v="None"/>
    <s v="CENTCOM"/>
    <x v="147"/>
    <x v="20"/>
    <n v="1"/>
    <x v="9"/>
    <m/>
    <m/>
    <m/>
    <m/>
    <x v="0"/>
    <m/>
    <x v="0"/>
    <m/>
    <x v="0"/>
    <m/>
    <s v="ETF"/>
    <s v="ETF-07"/>
    <s v="East Sea Fleet"/>
    <s v="FFG529 Zhoushan, FFG530 Xuzhou, AOR886 Qingdao Hu"/>
    <m/>
    <m/>
  </r>
  <r>
    <x v="0"/>
    <x v="9"/>
    <s v="West Asia and Africa"/>
    <s v="No Specific Relationship"/>
    <s v="None"/>
    <s v="CENTCOM"/>
    <x v="147"/>
    <x v="20"/>
    <n v="1"/>
    <x v="9"/>
    <m/>
    <m/>
    <m/>
    <m/>
    <x v="0"/>
    <m/>
    <x v="0"/>
    <m/>
    <x v="0"/>
    <m/>
    <s v="ETF"/>
    <s v="ETF-07"/>
    <s v="East Sea Fleet"/>
    <s v="FFG529 Zhoushan, FFG530 Xuzhou, AOR886 Qingdao Hu"/>
    <m/>
    <m/>
  </r>
  <r>
    <x v="1"/>
    <x v="4"/>
    <s v="Asia"/>
    <s v="Strategic Cooperative Partnership [战略合作伙伴关系]"/>
    <s v="Bilateral Defense Treaty"/>
    <s v="INDOPACOM"/>
    <x v="25"/>
    <x v="20"/>
    <n v="1"/>
    <x v="3"/>
    <s v="Ma Xiaotian"/>
    <m/>
    <s v="GSD DCGS"/>
    <n v="6"/>
    <x v="2"/>
    <s v="Director International Policy Bureau of Defense Ministry"/>
    <x v="0"/>
    <m/>
    <x v="0"/>
    <m/>
    <m/>
    <m/>
    <m/>
    <m/>
    <m/>
    <m/>
  </r>
  <r>
    <x v="1"/>
    <x v="6"/>
    <s v="Europe and Central Asia"/>
    <s v="No Specific Relationship"/>
    <s v="None"/>
    <s v="CENTCOM"/>
    <x v="60"/>
    <x v="20"/>
    <n v="1"/>
    <x v="3"/>
    <s v="Liang Guanglie"/>
    <m/>
    <s v="Defense Minister; CMC Member"/>
    <n v="8"/>
    <x v="2"/>
    <s v="Defense Minister"/>
    <x v="0"/>
    <m/>
    <x v="0"/>
    <m/>
    <m/>
    <m/>
    <m/>
    <m/>
    <m/>
    <m/>
  </r>
  <r>
    <x v="1"/>
    <x v="2"/>
    <s v="America and Oceania"/>
    <s v="No Specific Relationship"/>
    <s v="N/A"/>
    <s v="NORTHCOM"/>
    <x v="4"/>
    <x v="20"/>
    <n v="1"/>
    <x v="3"/>
    <s v="Liang Guanglie"/>
    <m/>
    <s v="Defense Minister; CMC Member"/>
    <n v="8"/>
    <x v="2"/>
    <s v="Secretary of Defense"/>
    <x v="0"/>
    <m/>
    <x v="0"/>
    <m/>
    <m/>
    <m/>
    <m/>
    <m/>
    <m/>
    <m/>
  </r>
  <r>
    <x v="0"/>
    <x v="9"/>
    <s v="West Asia and Africa"/>
    <s v="No Specific Relationship"/>
    <s v="None"/>
    <s v="CENTCOM"/>
    <x v="119"/>
    <x v="20"/>
    <n v="2"/>
    <x v="9"/>
    <m/>
    <m/>
    <m/>
    <m/>
    <x v="0"/>
    <m/>
    <x v="0"/>
    <m/>
    <x v="0"/>
    <m/>
    <s v="ETF"/>
    <s v="ETF-07"/>
    <s v="East Sea Fleet"/>
    <s v="FFG529 Zhoushan, FFG530 Xuzhou, AOR886 Qingdao Hu"/>
    <m/>
    <m/>
  </r>
  <r>
    <x v="1"/>
    <x v="6"/>
    <s v="Europe and Central Asia"/>
    <s v="Comprehensive Strategic Partnership [全面战略伙伴关系]"/>
    <s v="None"/>
    <s v="CENTCOM"/>
    <x v="30"/>
    <x v="20"/>
    <n v="2"/>
    <x v="3"/>
    <s v="Liang Guanglie"/>
    <m/>
    <s v="Defense Minister; CMC Member"/>
    <n v="8"/>
    <x v="2"/>
    <s v="Defense Minister"/>
    <x v="0"/>
    <m/>
    <x v="0"/>
    <m/>
    <m/>
    <m/>
    <m/>
    <m/>
    <m/>
    <m/>
  </r>
  <r>
    <x v="1"/>
    <x v="0"/>
    <s v="Asia"/>
    <s v="Strategic Partnership [战略伙伴关系]"/>
    <s v="Major Non-NATO Ally"/>
    <s v="CENTCOM"/>
    <x v="2"/>
    <x v="20"/>
    <n v="2"/>
    <x v="3"/>
    <s v="Chen Bingde"/>
    <m/>
    <s v="GSD Commander; CMC Member"/>
    <n v="8"/>
    <x v="2"/>
    <m/>
    <x v="0"/>
    <m/>
    <x v="0"/>
    <m/>
    <m/>
    <m/>
    <m/>
    <m/>
    <m/>
    <m/>
  </r>
  <r>
    <x v="1"/>
    <x v="8"/>
    <s v="Europe and Central Asia"/>
    <s v="Strategic Partnership [战略伙伴关系]"/>
    <s v="NATO"/>
    <s v="EUCOM"/>
    <x v="59"/>
    <x v="20"/>
    <n v="2"/>
    <x v="3"/>
    <s v="Ma Xiaotian"/>
    <m/>
    <s v="GSD DCGS"/>
    <n v="6"/>
    <x v="2"/>
    <s v="Director for Military Foreign Affairs"/>
    <x v="0"/>
    <m/>
    <x v="0"/>
    <m/>
    <m/>
    <m/>
    <m/>
    <m/>
    <m/>
    <m/>
  </r>
  <r>
    <x v="1"/>
    <x v="10"/>
    <s v="America and Oceania"/>
    <s v="No Specific Relationship"/>
    <s v="None"/>
    <s v="SOUTHCOM"/>
    <x v="42"/>
    <x v="20"/>
    <n v="3"/>
    <x v="4"/>
    <s v="Ma Xiaotian"/>
    <m/>
    <s v="GSD DCGS"/>
    <n v="6"/>
    <x v="1"/>
    <s v="Defense Minister"/>
    <x v="0"/>
    <m/>
    <x v="0"/>
    <m/>
    <m/>
    <m/>
    <m/>
    <m/>
    <m/>
    <m/>
  </r>
  <r>
    <x v="0"/>
    <x v="8"/>
    <s v="Europe and Central Asia"/>
    <s v="Comprehensive Strategic Partnership [全面战略伙伴关系]"/>
    <s v="NATO"/>
    <s v="EUCOM"/>
    <x v="29"/>
    <x v="20"/>
    <n v="3"/>
    <x v="9"/>
    <m/>
    <m/>
    <m/>
    <m/>
    <x v="0"/>
    <m/>
    <x v="0"/>
    <m/>
    <x v="0"/>
    <m/>
    <s v="ETF"/>
    <s v="ETF-07"/>
    <s v="East Sea Fleet"/>
    <s v="FFG529 Zhoushan, FFG530 Xuzhou, AOR886 Qingdao Hu; Unknown, could also be ETF-8"/>
    <m/>
    <m/>
  </r>
  <r>
    <x v="1"/>
    <x v="1"/>
    <s v="Asia"/>
    <s v="Strategic Partnership [战略伙伴关系]"/>
    <s v="None"/>
    <s v="INDOPACOM"/>
    <x v="8"/>
    <x v="20"/>
    <n v="3"/>
    <x v="4"/>
    <s v="Ma Xiaotian"/>
    <m/>
    <s v="GSD DCGS"/>
    <n v="6"/>
    <x v="1"/>
    <s v="President"/>
    <x v="0"/>
    <m/>
    <x v="0"/>
    <m/>
    <m/>
    <m/>
    <m/>
    <m/>
    <m/>
    <m/>
  </r>
  <r>
    <x v="1"/>
    <x v="8"/>
    <s v="Europe and Central Asia"/>
    <s v="Comprehensive Strategic Partnership [全面战略伙伴关系]"/>
    <s v="NATO"/>
    <s v="EUCOM"/>
    <x v="20"/>
    <x v="20"/>
    <n v="3"/>
    <x v="3"/>
    <s v="Liang Guanglie"/>
    <m/>
    <s v="Defense Minister; CMC Member"/>
    <n v="8"/>
    <x v="2"/>
    <s v="Army Chief of Staff"/>
    <x v="0"/>
    <m/>
    <x v="0"/>
    <m/>
    <m/>
    <m/>
    <m/>
    <m/>
    <m/>
    <m/>
  </r>
  <r>
    <x v="1"/>
    <x v="6"/>
    <s v="Europe and Central Asia"/>
    <s v="Comprehensive Strategic Partnership [全面战略伙伴关系]"/>
    <s v="None"/>
    <s v="CENTCOM"/>
    <x v="30"/>
    <x v="20"/>
    <n v="3"/>
    <x v="4"/>
    <s v="Liang Guanglie"/>
    <m/>
    <s v="Defense Minister; CMC Member"/>
    <n v="8"/>
    <x v="1"/>
    <m/>
    <x v="0"/>
    <m/>
    <x v="0"/>
    <m/>
    <m/>
    <m/>
    <m/>
    <m/>
    <m/>
    <m/>
  </r>
  <r>
    <x v="1"/>
    <x v="6"/>
    <s v="Europe and Central Asia"/>
    <s v="No Specific Relationship"/>
    <s v="None"/>
    <s v="CENTCOM"/>
    <x v="31"/>
    <x v="20"/>
    <n v="3"/>
    <x v="7"/>
    <s v="Liang Guanglie"/>
    <m/>
    <s v="Defense Minister; CMC Member"/>
    <n v="8"/>
    <x v="1"/>
    <s v="Defense Minister"/>
    <x v="0"/>
    <m/>
    <x v="0"/>
    <m/>
    <m/>
    <m/>
    <m/>
    <m/>
    <m/>
    <m/>
  </r>
  <r>
    <x v="1"/>
    <x v="1"/>
    <s v="Asia"/>
    <s v="Comprehensive Strategic Cooperative Partnership [全面战略合作伙伴关系]"/>
    <s v="None"/>
    <s v="INDOPACOM"/>
    <x v="1"/>
    <x v="20"/>
    <n v="3"/>
    <x v="4"/>
    <s v="Jia Tingan"/>
    <m/>
    <s v="GPD Deputy Director"/>
    <n v="6"/>
    <x v="1"/>
    <m/>
    <x v="0"/>
    <m/>
    <x v="0"/>
    <m/>
    <m/>
    <m/>
    <m/>
    <m/>
    <m/>
    <m/>
  </r>
  <r>
    <x v="1"/>
    <x v="0"/>
    <s v="Asia"/>
    <s v="All-Round Strategic Partnership  [全面合作伙伴关系]"/>
    <s v="None"/>
    <s v="INDOPACOM"/>
    <x v="32"/>
    <x v="20"/>
    <n v="3"/>
    <x v="4"/>
    <s v="Chen Bingde"/>
    <m/>
    <s v="GSD Commander; CMC Member"/>
    <n v="8"/>
    <x v="1"/>
    <s v="Chief of Staff Army"/>
    <x v="0"/>
    <m/>
    <x v="0"/>
    <m/>
    <m/>
    <m/>
    <m/>
    <m/>
    <m/>
    <m/>
  </r>
  <r>
    <x v="0"/>
    <x v="0"/>
    <s v="Asia"/>
    <s v="Strategic Partnership [战略伙伴关系]"/>
    <s v="Major Non-NATO Ally"/>
    <s v="CENTCOM"/>
    <x v="2"/>
    <x v="20"/>
    <n v="3"/>
    <x v="10"/>
    <m/>
    <m/>
    <m/>
    <m/>
    <x v="0"/>
    <m/>
    <x v="0"/>
    <m/>
    <x v="0"/>
    <m/>
    <s v="ETF"/>
    <s v="ETF-08"/>
    <s v="East Sea Fleet"/>
    <s v="FFG525 Ma'anshan, FFG526 Wenzhou, AOR886 Qiandao Hu"/>
    <m/>
    <m/>
  </r>
  <r>
    <x v="2"/>
    <x v="0"/>
    <s v="Asia"/>
    <s v="Strategic Partnership [战略伙伴关系]"/>
    <s v="Major Non-NATO Ally"/>
    <s v="CENTCOM"/>
    <x v="2"/>
    <x v="20"/>
    <n v="3"/>
    <x v="6"/>
    <m/>
    <m/>
    <m/>
    <m/>
    <x v="0"/>
    <m/>
    <x v="2"/>
    <s v="Aman"/>
    <x v="2"/>
    <s v="Special Forces; Pakistan and 13 other countries"/>
    <m/>
    <m/>
    <m/>
    <m/>
    <m/>
    <m/>
  </r>
  <r>
    <x v="2"/>
    <x v="0"/>
    <s v="Asia"/>
    <s v="Strategic Partnership [战略伙伴关系]"/>
    <s v="Major Non-NATO Ally"/>
    <s v="CENTCOM"/>
    <x v="2"/>
    <x v="20"/>
    <n v="3"/>
    <x v="5"/>
    <m/>
    <m/>
    <m/>
    <m/>
    <x v="0"/>
    <m/>
    <x v="4"/>
    <s v="Unknown Karachi 2011"/>
    <x v="2"/>
    <s v="13 March 2011, joint drills and friendy visit from anti-piracy ETF, Six Years p. 129 - after Aman 2011"/>
    <m/>
    <m/>
    <m/>
    <m/>
    <m/>
    <m/>
  </r>
  <r>
    <x v="2"/>
    <x v="0"/>
    <s v="Asia"/>
    <s v="Strategic Partnership [战略伙伴关系]"/>
    <s v="Major Non-NATO Ally"/>
    <s v="CENTCOM"/>
    <x v="2"/>
    <x v="20"/>
    <n v="3"/>
    <x v="5"/>
    <m/>
    <m/>
    <m/>
    <m/>
    <x v="0"/>
    <m/>
    <x v="3"/>
    <s v="Shaheen-1"/>
    <x v="5"/>
    <s v="Operational aerial maneuvers"/>
    <m/>
    <m/>
    <m/>
    <m/>
    <m/>
    <m/>
  </r>
  <r>
    <x v="1"/>
    <x v="1"/>
    <s v="Asia"/>
    <s v="Strategic Cooperative Partnership [战略合作伙伴关系]"/>
    <s v="Bilateral Defense Treaty"/>
    <s v="INDOPACOM"/>
    <x v="11"/>
    <x v="20"/>
    <n v="3"/>
    <x v="4"/>
    <s v="Jia Tingan"/>
    <m/>
    <s v="GPD Deputy Director"/>
    <n v="6"/>
    <x v="1"/>
    <m/>
    <x v="0"/>
    <m/>
    <x v="0"/>
    <m/>
    <m/>
    <m/>
    <m/>
    <m/>
    <m/>
    <m/>
  </r>
  <r>
    <x v="1"/>
    <x v="6"/>
    <s v="Europe and Central Asia"/>
    <s v="Member"/>
    <s v="None"/>
    <s v="CENTCOM"/>
    <x v="14"/>
    <x v="20"/>
    <n v="3"/>
    <x v="1"/>
    <s v="Liang Guanglie"/>
    <m/>
    <s v="Defense Minister; CMC Member"/>
    <n v="8"/>
    <x v="1"/>
    <s v="Eighth official meeting of the SCO Ministers' of Defense in Astana; Other countries: Kazakhstan, Kyrgyztan, Russia, Tajikistan, Uzbekistan"/>
    <x v="0"/>
    <m/>
    <x v="0"/>
    <m/>
    <m/>
    <m/>
    <m/>
    <m/>
    <s v="http://eng.sectsco.org/load/199343/"/>
    <m/>
  </r>
  <r>
    <x v="1"/>
    <x v="8"/>
    <s v="Europe and Central Asia"/>
    <s v="Comprehensive Strategic Partnership [全面战略伙伴关系]"/>
    <s v="NATO"/>
    <s v="EUCOM"/>
    <x v="21"/>
    <x v="20"/>
    <n v="3"/>
    <x v="3"/>
    <s v="Xu Caihou"/>
    <m/>
    <s v="CMC Vice Chairman"/>
    <n v="10"/>
    <x v="2"/>
    <s v="Retired British Generals"/>
    <x v="0"/>
    <m/>
    <x v="0"/>
    <m/>
    <m/>
    <m/>
    <m/>
    <m/>
    <m/>
    <m/>
  </r>
  <r>
    <x v="1"/>
    <x v="10"/>
    <s v="America and Oceania"/>
    <s v="No Specific Relationship"/>
    <s v="None"/>
    <s v="SOUTHCOM"/>
    <x v="107"/>
    <x v="20"/>
    <n v="3"/>
    <x v="4"/>
    <s v="Ma Xiaotian"/>
    <m/>
    <s v="GSD DCGS"/>
    <n v="6"/>
    <x v="1"/>
    <s v="Defense Minister"/>
    <x v="0"/>
    <m/>
    <x v="0"/>
    <m/>
    <m/>
    <m/>
    <m/>
    <m/>
    <m/>
    <m/>
  </r>
  <r>
    <x v="1"/>
    <x v="6"/>
    <s v="Europe and Central Asia"/>
    <s v="No Specific Relationship"/>
    <s v="None"/>
    <s v="CENTCOM"/>
    <x v="73"/>
    <x v="20"/>
    <n v="3"/>
    <x v="4"/>
    <s v="Liang Guanglie"/>
    <m/>
    <s v="Defense Minister; CMC Member"/>
    <n v="8"/>
    <x v="1"/>
    <m/>
    <x v="0"/>
    <m/>
    <x v="0"/>
    <m/>
    <m/>
    <m/>
    <m/>
    <m/>
    <m/>
    <m/>
  </r>
  <r>
    <x v="1"/>
    <x v="7"/>
    <s v="West Asia and Africa"/>
    <s v="Friendly Cooperative Relationship [友好合作关系]"/>
    <s v="None"/>
    <s v="AFRICOM"/>
    <x v="65"/>
    <x v="20"/>
    <n v="4"/>
    <x v="3"/>
    <s v="Guo Boxiong"/>
    <m/>
    <s v="CMC Vice Chairman"/>
    <n v="10"/>
    <x v="2"/>
    <s v="Defense Minister"/>
    <x v="0"/>
    <m/>
    <x v="0"/>
    <m/>
    <m/>
    <m/>
    <m/>
    <m/>
    <m/>
    <m/>
  </r>
  <r>
    <x v="1"/>
    <x v="8"/>
    <s v="Europe and Central Asia"/>
    <s v="No Specific Relationship"/>
    <s v="None"/>
    <s v="EUCOM"/>
    <x v="98"/>
    <x v="20"/>
    <n v="4"/>
    <x v="4"/>
    <s v="Ma Xiaotian"/>
    <m/>
    <s v="GSD DCGS"/>
    <n v="6"/>
    <x v="1"/>
    <s v="President"/>
    <x v="0"/>
    <m/>
    <x v="0"/>
    <m/>
    <m/>
    <m/>
    <m/>
    <m/>
    <m/>
    <m/>
  </r>
  <r>
    <x v="1"/>
    <x v="1"/>
    <s v="Asia"/>
    <s v="Strategic Partnership [战略伙伴关系]"/>
    <s v="None"/>
    <s v="INDOPACOM"/>
    <x v="8"/>
    <x v="20"/>
    <n v="4"/>
    <x v="3"/>
    <s v="Sun Jianguo"/>
    <m/>
    <s v="GSD DCGS"/>
    <n v="6"/>
    <x v="2"/>
    <s v="Deputy Chief of Staff Army"/>
    <x v="0"/>
    <m/>
    <x v="0"/>
    <m/>
    <m/>
    <m/>
    <m/>
    <m/>
    <m/>
    <m/>
  </r>
  <r>
    <x v="1"/>
    <x v="6"/>
    <s v="Europe and Central Asia"/>
    <s v="Comprehensive Strategic Partnership [全面战略伙伴关系]"/>
    <s v="None"/>
    <s v="CENTCOM"/>
    <x v="30"/>
    <x v="20"/>
    <n v="4"/>
    <x v="7"/>
    <s v="Chen Bingde"/>
    <m/>
    <s v="GSD Commander; CMC Member"/>
    <n v="8"/>
    <x v="2"/>
    <s v="First Deputy Defense Minister"/>
    <x v="0"/>
    <m/>
    <x v="0"/>
    <m/>
    <m/>
    <m/>
    <m/>
    <m/>
    <m/>
    <m/>
  </r>
  <r>
    <x v="1"/>
    <x v="6"/>
    <s v="Europe and Central Asia"/>
    <s v="No Specific Relationship"/>
    <s v="None"/>
    <s v="CENTCOM"/>
    <x v="31"/>
    <x v="20"/>
    <n v="4"/>
    <x v="7"/>
    <s v="Chen Bingde"/>
    <m/>
    <s v="GSD Commander; CMC Member"/>
    <n v="8"/>
    <x v="2"/>
    <s v="Deputy Defense Minister"/>
    <x v="0"/>
    <m/>
    <x v="0"/>
    <m/>
    <m/>
    <m/>
    <m/>
    <m/>
    <m/>
    <m/>
  </r>
  <r>
    <x v="0"/>
    <x v="9"/>
    <s v="West Asia and Africa"/>
    <s v="No Specific Relationship"/>
    <s v="None"/>
    <s v="CENTCOM"/>
    <x v="147"/>
    <x v="20"/>
    <n v="4"/>
    <x v="9"/>
    <m/>
    <m/>
    <m/>
    <m/>
    <x v="0"/>
    <m/>
    <x v="0"/>
    <m/>
    <x v="0"/>
    <m/>
    <s v="ETF"/>
    <s v="ETF-07"/>
    <s v="East Sea Fleet"/>
    <s v="FFG529 Zhoushan, FFG530 Xuzhou, AOR886 Qingdao Hu; Unknown, could also be ETF-8"/>
    <m/>
    <m/>
  </r>
  <r>
    <x v="1"/>
    <x v="8"/>
    <s v="Europe and Central Asia"/>
    <s v="Comprehensive Friendly Cooperative Partnership [全面友好合作伙伴关系]"/>
    <s v="NATO"/>
    <s v="EUCOM"/>
    <x v="33"/>
    <x v="20"/>
    <n v="4"/>
    <x v="3"/>
    <s v="Li Jinai"/>
    <m/>
    <s v="GPD Director; CMC Member"/>
    <n v="8"/>
    <x v="2"/>
    <s v="State Secretary of Defense Ministry"/>
    <x v="0"/>
    <m/>
    <x v="0"/>
    <m/>
    <m/>
    <m/>
    <m/>
    <m/>
    <m/>
    <m/>
  </r>
  <r>
    <x v="1"/>
    <x v="3"/>
    <s v="Europe and Central Asia"/>
    <s v="Strategic Partnership of Coordination [战略协作伙伴关系]"/>
    <s v="None"/>
    <s v="EUCOM"/>
    <x v="7"/>
    <x v="20"/>
    <n v="4"/>
    <x v="7"/>
    <s v="Chen Bingde"/>
    <m/>
    <s v="GSD Commander; CMC Member"/>
    <n v="8"/>
    <x v="2"/>
    <s v="Deputy Defense Minister and COGS"/>
    <x v="0"/>
    <m/>
    <x v="0"/>
    <m/>
    <m/>
    <m/>
    <m/>
    <m/>
    <m/>
    <m/>
  </r>
  <r>
    <x v="1"/>
    <x v="6"/>
    <s v="Europe and Central Asia"/>
    <s v="Member"/>
    <s v="None"/>
    <s v="CENTCOM"/>
    <x v="14"/>
    <x v="20"/>
    <n v="4"/>
    <x v="2"/>
    <s v="Chen Bingde"/>
    <m/>
    <s v="GSD Commander; CMC Member"/>
    <n v="8"/>
    <x v="2"/>
    <s v="First meeting of SCO military chiefs of staff in Shanghai"/>
    <x v="0"/>
    <m/>
    <x v="0"/>
    <m/>
    <m/>
    <m/>
    <m/>
    <m/>
    <s v="http://www.china.org.cn/world/2011-04/26/content_22438509.htm"/>
    <m/>
  </r>
  <r>
    <x v="0"/>
    <x v="7"/>
    <s v="West Asia and Africa"/>
    <s v="No Specific Relationship"/>
    <s v="None"/>
    <s v="AFRICOM"/>
    <x v="139"/>
    <x v="20"/>
    <n v="4"/>
    <x v="0"/>
    <m/>
    <m/>
    <m/>
    <m/>
    <x v="0"/>
    <m/>
    <x v="0"/>
    <m/>
    <x v="0"/>
    <m/>
    <s v="ETF"/>
    <s v="ETF-07"/>
    <s v="East Sea Fleet"/>
    <s v="FFG529 Zhoushan, FFG530 Xuzhou, AOR886 Qingdao Hu"/>
    <m/>
    <m/>
  </r>
  <r>
    <x v="0"/>
    <x v="7"/>
    <s v="West Asia and Africa"/>
    <s v="Comprehensive Strategic Partnership [全面战略伙伴关系]"/>
    <s v="None"/>
    <s v="AFRICOM"/>
    <x v="15"/>
    <x v="20"/>
    <n v="4"/>
    <x v="0"/>
    <m/>
    <m/>
    <m/>
    <m/>
    <x v="0"/>
    <m/>
    <x v="0"/>
    <m/>
    <x v="0"/>
    <m/>
    <s v="ETF"/>
    <s v="ETF-07"/>
    <s v="East Sea Fleet"/>
    <s v="FFG529 Zhoushan, FFG530 Xuzhou, AOR886 Qingdao Hu"/>
    <m/>
    <m/>
  </r>
  <r>
    <x v="1"/>
    <x v="0"/>
    <s v="Asia"/>
    <s v="Comprehensive Cooperative Partnership [全面合作伙伴关系]"/>
    <s v="None"/>
    <s v="INDOPACOM"/>
    <x v="3"/>
    <x v="20"/>
    <n v="4"/>
    <x v="3"/>
    <s v="Chen Yong"/>
    <m/>
    <s v="GSD Assistant Commander"/>
    <n v="5"/>
    <x v="2"/>
    <m/>
    <x v="0"/>
    <m/>
    <x v="0"/>
    <m/>
    <m/>
    <m/>
    <m/>
    <m/>
    <m/>
    <m/>
  </r>
  <r>
    <x v="1"/>
    <x v="6"/>
    <s v="Europe and Central Asia"/>
    <s v="No Specific Relationship"/>
    <s v="None"/>
    <s v="CENTCOM"/>
    <x v="60"/>
    <x v="20"/>
    <n v="4"/>
    <x v="7"/>
    <s v="Chen Bingde"/>
    <m/>
    <s v="GSD Commander; CMC Member"/>
    <n v="8"/>
    <x v="2"/>
    <m/>
    <x v="0"/>
    <m/>
    <x v="0"/>
    <m/>
    <m/>
    <m/>
    <m/>
    <m/>
    <m/>
    <m/>
  </r>
  <r>
    <x v="1"/>
    <x v="1"/>
    <s v="Asia"/>
    <s v="Strategic Partnership [战略伙伴关系]"/>
    <s v="Bilateral Defense Treaty"/>
    <s v="INDOPACOM"/>
    <x v="5"/>
    <x v="20"/>
    <n v="4"/>
    <x v="3"/>
    <s v="Guo Boxiong"/>
    <m/>
    <s v="CMC Vice Chairman"/>
    <n v="10"/>
    <x v="2"/>
    <s v="First Deputy Prime Minister"/>
    <x v="0"/>
    <m/>
    <x v="0"/>
    <m/>
    <m/>
    <m/>
    <m/>
    <m/>
    <m/>
    <m/>
  </r>
  <r>
    <x v="1"/>
    <x v="8"/>
    <s v="Europe and Central Asia"/>
    <s v="Strategic Cooperative Partnership [战略合作伙伴关系]"/>
    <s v="NATO"/>
    <s v="EUCOM"/>
    <x v="38"/>
    <x v="20"/>
    <n v="4"/>
    <x v="4"/>
    <s v="Ma Xiaotian"/>
    <m/>
    <s v="GSD DCGS"/>
    <n v="6"/>
    <x v="1"/>
    <m/>
    <x v="0"/>
    <m/>
    <x v="0"/>
    <m/>
    <m/>
    <m/>
    <m/>
    <m/>
    <m/>
    <m/>
  </r>
  <r>
    <x v="1"/>
    <x v="8"/>
    <s v="Europe and Central Asia"/>
    <s v="Comprehensive Strategic Partnership [全面战略伙伴关系]"/>
    <s v="NATO"/>
    <s v="EUCOM"/>
    <x v="21"/>
    <x v="20"/>
    <n v="4"/>
    <x v="3"/>
    <s v="Chen Bingde"/>
    <m/>
    <s v="GSD Commander; CMC Member"/>
    <n v="8"/>
    <x v="2"/>
    <s v="Deputy Chief of Defense Staff"/>
    <x v="0"/>
    <m/>
    <x v="0"/>
    <m/>
    <m/>
    <m/>
    <m/>
    <m/>
    <m/>
    <m/>
  </r>
  <r>
    <x v="1"/>
    <x v="2"/>
    <s v="America and Oceania"/>
    <s v="No Specific Relationship"/>
    <s v="N/A"/>
    <s v="NORTHCOM"/>
    <x v="4"/>
    <x v="20"/>
    <n v="4"/>
    <x v="3"/>
    <s v="Chen Bingde"/>
    <m/>
    <s v="GSD Commander; CMC Member"/>
    <n v="8"/>
    <x v="2"/>
    <m/>
    <x v="0"/>
    <m/>
    <x v="0"/>
    <m/>
    <m/>
    <m/>
    <m/>
    <m/>
    <m/>
    <m/>
  </r>
  <r>
    <x v="1"/>
    <x v="6"/>
    <s v="Europe and Central Asia"/>
    <s v="No Specific Relationship"/>
    <s v="None"/>
    <s v="CENTCOM"/>
    <x v="73"/>
    <x v="20"/>
    <n v="4"/>
    <x v="7"/>
    <s v="Chen Bingde"/>
    <m/>
    <s v="GSD Commander; CMC Member"/>
    <n v="8"/>
    <x v="2"/>
    <s v="Deputy Defense Minister"/>
    <x v="0"/>
    <m/>
    <x v="0"/>
    <m/>
    <m/>
    <m/>
    <m/>
    <m/>
    <m/>
    <m/>
  </r>
  <r>
    <x v="1"/>
    <x v="1"/>
    <s v="Asia"/>
    <s v="Comprehensive Strategic Cooperative Partnership [全面战略合作伙伴关系]"/>
    <s v="None"/>
    <s v="INDOPACOM"/>
    <x v="23"/>
    <x v="20"/>
    <n v="4"/>
    <x v="4"/>
    <s v="Guo Boxiong"/>
    <m/>
    <s v="CMC Vice Chairman"/>
    <n v="10"/>
    <x v="1"/>
    <s v="Defense Minister"/>
    <x v="0"/>
    <m/>
    <x v="0"/>
    <m/>
    <m/>
    <m/>
    <m/>
    <m/>
    <m/>
    <m/>
  </r>
  <r>
    <x v="1"/>
    <x v="7"/>
    <s v="West Asia and Africa"/>
    <s v="No Specific Relationship"/>
    <s v="None"/>
    <s v="AFRICOM"/>
    <x v="61"/>
    <x v="20"/>
    <n v="4"/>
    <x v="3"/>
    <s v="Liang Guanglie"/>
    <m/>
    <s v="Defense Minister; CMC Member"/>
    <n v="8"/>
    <x v="2"/>
    <s v="Army Commander LTG"/>
    <x v="0"/>
    <m/>
    <x v="0"/>
    <m/>
    <m/>
    <m/>
    <m/>
    <m/>
    <m/>
    <m/>
  </r>
  <r>
    <x v="1"/>
    <x v="1"/>
    <s v="Asia"/>
    <s v="Strategic Partnership [战略伙伴关系] for Peace and Prosperity"/>
    <s v="None"/>
    <s v="INDOPACOM"/>
    <x v="153"/>
    <x v="20"/>
    <n v="5"/>
    <x v="1"/>
    <s v="Liang Guanglie"/>
    <m/>
    <s v="Defense Minister; CMC Member"/>
    <n v="8"/>
    <x v="1"/>
    <s v="First China-ASEAN Defense Ministers' Informal Meeting in Indonesia"/>
    <x v="0"/>
    <m/>
    <x v="0"/>
    <m/>
    <m/>
    <m/>
    <m/>
    <m/>
    <s v="https://aidsdatahub.org/sites/default/files/documents/ASEAN_annual_report_2011_7.10.pdf"/>
    <s v="corrected partnership to strategic partnership for peace and prosperity"/>
  </r>
  <r>
    <x v="1"/>
    <x v="8"/>
    <s v="Europe and Central Asia"/>
    <s v="Strategic Partnership [战略伙伴关系]"/>
    <s v="NATO"/>
    <s v="EUCOM"/>
    <x v="18"/>
    <x v="20"/>
    <n v="5"/>
    <x v="4"/>
    <s v="Zhang Qinsheng"/>
    <m/>
    <s v="GSD DCGS"/>
    <n v="6"/>
    <x v="1"/>
    <m/>
    <x v="0"/>
    <m/>
    <x v="0"/>
    <m/>
    <m/>
    <m/>
    <m/>
    <m/>
    <m/>
    <m/>
  </r>
  <r>
    <x v="1"/>
    <x v="1"/>
    <s v="Asia"/>
    <s v="Strategic Partnership [战略伙伴关系]"/>
    <s v="None"/>
    <s v="INDOPACOM"/>
    <x v="8"/>
    <x v="20"/>
    <n v="5"/>
    <x v="4"/>
    <s v="Liang Guanglie"/>
    <m/>
    <s v="Defense Minister; CMC Member"/>
    <n v="8"/>
    <x v="1"/>
    <m/>
    <x v="0"/>
    <m/>
    <x v="0"/>
    <m/>
    <m/>
    <m/>
    <m/>
    <m/>
    <m/>
    <m/>
  </r>
  <r>
    <x v="1"/>
    <x v="1"/>
    <s v="Asia"/>
    <s v="Comprehensive Strategic Cooperative Partnership [全面战略合作伙伴关系]"/>
    <s v="None"/>
    <s v="INDOPACOM"/>
    <x v="52"/>
    <x v="20"/>
    <n v="5"/>
    <x v="3"/>
    <s v="Chen Yong"/>
    <m/>
    <s v="GSD Assistant Commander"/>
    <n v="5"/>
    <x v="2"/>
    <m/>
    <x v="0"/>
    <m/>
    <x v="0"/>
    <m/>
    <m/>
    <m/>
    <m/>
    <m/>
    <m/>
    <m/>
  </r>
  <r>
    <x v="1"/>
    <x v="1"/>
    <s v="Asia"/>
    <s v="Comprehensive Strategic Cooperative Partnership [全面战略合作伙伴关系]"/>
    <s v="None"/>
    <s v="INDOPACOM"/>
    <x v="1"/>
    <x v="20"/>
    <n v="5"/>
    <x v="4"/>
    <s v="Xu Caihou"/>
    <m/>
    <s v="CMC Vice Chairman"/>
    <n v="10"/>
    <x v="1"/>
    <s v="CinC Armed Forces"/>
    <x v="0"/>
    <m/>
    <x v="0"/>
    <m/>
    <m/>
    <m/>
    <m/>
    <m/>
    <m/>
    <m/>
  </r>
  <r>
    <x v="1"/>
    <x v="4"/>
    <s v="Asia"/>
    <s v="Bilateral Defense Treaty"/>
    <s v="None"/>
    <s v="INDOPACOM"/>
    <x v="9"/>
    <x v="20"/>
    <n v="5"/>
    <x v="3"/>
    <s v="Chen Yong"/>
    <m/>
    <s v="GSD Assistant Commander"/>
    <n v="5"/>
    <x v="2"/>
    <m/>
    <x v="0"/>
    <m/>
    <x v="0"/>
    <m/>
    <m/>
    <m/>
    <m/>
    <m/>
    <m/>
    <m/>
  </r>
  <r>
    <x v="1"/>
    <x v="10"/>
    <s v="America and Oceania"/>
    <s v="Strategic Partnership [战略伙伴关系]"/>
    <s v="None"/>
    <s v="SOUTHCOM"/>
    <x v="54"/>
    <x v="20"/>
    <n v="5"/>
    <x v="3"/>
    <s v="Liang Guanglie"/>
    <m/>
    <s v="Defense Minister; CMC Member"/>
    <n v="8"/>
    <x v="2"/>
    <s v="Defense Minister"/>
    <x v="0"/>
    <m/>
    <x v="0"/>
    <m/>
    <m/>
    <m/>
    <m/>
    <m/>
    <m/>
    <m/>
  </r>
  <r>
    <x v="1"/>
    <x v="1"/>
    <s v="Asia"/>
    <s v="Strategic Cooperative Partnership [战略合作伙伴关系]"/>
    <s v="Bilateral Defense Treaty"/>
    <s v="INDOPACOM"/>
    <x v="11"/>
    <x v="20"/>
    <n v="5"/>
    <x v="4"/>
    <s v="Liang Guanglie"/>
    <m/>
    <s v="Defense Minister; CMC Member"/>
    <n v="8"/>
    <x v="1"/>
    <m/>
    <x v="0"/>
    <m/>
    <x v="0"/>
    <m/>
    <m/>
    <m/>
    <m/>
    <m/>
    <m/>
    <m/>
  </r>
  <r>
    <x v="2"/>
    <x v="6"/>
    <s v="Europe and Central Asia"/>
    <s v="Member"/>
    <s v="None"/>
    <s v="CENTCOM"/>
    <x v="14"/>
    <x v="20"/>
    <n v="5"/>
    <x v="6"/>
    <m/>
    <m/>
    <m/>
    <m/>
    <x v="0"/>
    <m/>
    <x v="1"/>
    <s v="Tianshan-2"/>
    <x v="4"/>
    <s v="Countries: Kyrgyzstan, Tajikstan; held in Kashi"/>
    <m/>
    <m/>
    <m/>
    <m/>
    <s v="http://eng.chinamil.com.cn/news-channels/china-military-news/2011-05/07/content_4431956.htm"/>
    <s v="Page "/>
  </r>
  <r>
    <x v="1"/>
    <x v="8"/>
    <s v="Europe and Central Asia"/>
    <s v="Strategic Partnership [战略伙伴关系]"/>
    <s v="None"/>
    <s v="EUCOM"/>
    <x v="112"/>
    <x v="20"/>
    <n v="5"/>
    <x v="3"/>
    <s v="Chen Bingde"/>
    <m/>
    <s v="GSD Commander; CMC Member"/>
    <n v="8"/>
    <x v="2"/>
    <m/>
    <x v="0"/>
    <m/>
    <x v="0"/>
    <m/>
    <m/>
    <m/>
    <m/>
    <m/>
    <m/>
    <m/>
  </r>
  <r>
    <x v="1"/>
    <x v="1"/>
    <s v="Asia"/>
    <s v="No Specific Relationship"/>
    <s v="None"/>
    <s v="INDOPACOM"/>
    <x v="39"/>
    <x v="20"/>
    <n v="5"/>
    <x v="4"/>
    <s v="Liang Guanglie"/>
    <m/>
    <s v="Defense Minister; CMC Member"/>
    <n v="8"/>
    <x v="1"/>
    <m/>
    <x v="0"/>
    <m/>
    <x v="0"/>
    <m/>
    <m/>
    <m/>
    <m/>
    <m/>
    <m/>
    <m/>
  </r>
  <r>
    <x v="1"/>
    <x v="8"/>
    <s v="Europe and Central Asia"/>
    <s v="No Specific Relationship"/>
    <s v="None"/>
    <s v="EUCOM"/>
    <x v="92"/>
    <x v="20"/>
    <n v="5"/>
    <x v="4"/>
    <s v="Chen Bingde"/>
    <m/>
    <s v="GSD Commander; CMC Member"/>
    <n v="8"/>
    <x v="1"/>
    <s v="Supreme Commander Armed Forces"/>
    <x v="0"/>
    <m/>
    <x v="0"/>
    <m/>
    <m/>
    <m/>
    <m/>
    <m/>
    <m/>
    <m/>
  </r>
  <r>
    <x v="1"/>
    <x v="8"/>
    <s v="Europe and Central Asia"/>
    <s v="Comprehensive Strategic Partnership [全面战略伙伴关系]"/>
    <s v="NATO"/>
    <s v="EUCOM"/>
    <x v="21"/>
    <x v="20"/>
    <n v="5"/>
    <x v="4"/>
    <s v="Zhang Qinsheng"/>
    <m/>
    <s v="GSD DCGS"/>
    <n v="6"/>
    <x v="1"/>
    <m/>
    <x v="0"/>
    <m/>
    <x v="0"/>
    <m/>
    <m/>
    <m/>
    <m/>
    <m/>
    <m/>
    <m/>
  </r>
  <r>
    <x v="1"/>
    <x v="2"/>
    <s v="America and Oceania"/>
    <s v="No Specific Relationship"/>
    <s v="N/A"/>
    <s v="NORTHCOM"/>
    <x v="4"/>
    <x v="20"/>
    <n v="5"/>
    <x v="4"/>
    <s v="Chen Bingde"/>
    <m/>
    <s v="GSD Commander; CMC Member"/>
    <n v="8"/>
    <x v="1"/>
    <m/>
    <x v="0"/>
    <m/>
    <x v="0"/>
    <m/>
    <m/>
    <m/>
    <m/>
    <m/>
    <m/>
    <m/>
  </r>
  <r>
    <x v="1"/>
    <x v="5"/>
    <s v="America and Oceania"/>
    <s v="No Specific Relationship"/>
    <s v="ANZUS Treaty"/>
    <s v="INDOPACOM"/>
    <x v="12"/>
    <x v="20"/>
    <n v="6"/>
    <x v="7"/>
    <s v="Liang Guanglie"/>
    <m/>
    <s v="Defense Minister; CMC Member"/>
    <n v="8"/>
    <x v="1"/>
    <s v="Defense Minister"/>
    <x v="0"/>
    <m/>
    <x v="0"/>
    <m/>
    <m/>
    <m/>
    <m/>
    <m/>
    <m/>
    <s v="10th Shangri-La Dialogue"/>
  </r>
  <r>
    <x v="1"/>
    <x v="8"/>
    <s v="Europe and Central Asia"/>
    <s v="Strategic Partnership [战略伙伴关系]"/>
    <s v="NATO"/>
    <s v="EUCOM"/>
    <x v="34"/>
    <x v="20"/>
    <n v="6"/>
    <x v="3"/>
    <s v="Chen Bingde"/>
    <m/>
    <s v="GSD Commander; CMC Member"/>
    <n v="8"/>
    <x v="2"/>
    <s v="COGS"/>
    <x v="0"/>
    <m/>
    <x v="0"/>
    <m/>
    <m/>
    <m/>
    <m/>
    <m/>
    <m/>
    <m/>
  </r>
  <r>
    <x v="1"/>
    <x v="1"/>
    <s v="Asia"/>
    <s v="Comprehensive Strategic Cooperative Partnership [全面战略合作伙伴关系]"/>
    <s v="None"/>
    <s v="INDOPACOM"/>
    <x v="94"/>
    <x v="20"/>
    <n v="6"/>
    <x v="3"/>
    <s v="Liang Guanglie"/>
    <m/>
    <s v="Defense Minister; CMC Member"/>
    <n v="8"/>
    <x v="2"/>
    <m/>
    <x v="0"/>
    <m/>
    <x v="0"/>
    <m/>
    <m/>
    <m/>
    <m/>
    <m/>
    <m/>
    <m/>
  </r>
  <r>
    <x v="1"/>
    <x v="10"/>
    <s v="America and Oceania"/>
    <s v="Comprehensive Partnership [全面伙伴关系]"/>
    <s v="None"/>
    <s v="SOUTHCOM"/>
    <x v="66"/>
    <x v="20"/>
    <n v="6"/>
    <x v="3"/>
    <s v="Wu Shengli"/>
    <m/>
    <s v="PLAN Commander; CMC Member"/>
    <n v="8"/>
    <x v="2"/>
    <s v="Navy Commander"/>
    <x v="0"/>
    <m/>
    <x v="0"/>
    <m/>
    <m/>
    <m/>
    <m/>
    <m/>
    <m/>
    <m/>
  </r>
  <r>
    <x v="1"/>
    <x v="8"/>
    <s v="Europe and Central Asia"/>
    <s v="Comprehensive Strategic Partnership [全面战略伙伴关系]"/>
    <s v="NATO"/>
    <s v="EUCOM"/>
    <x v="29"/>
    <x v="20"/>
    <n v="6"/>
    <x v="3"/>
    <s v="Liang Guanglie"/>
    <m/>
    <s v="Defense Minister; CMC Member"/>
    <n v="8"/>
    <x v="2"/>
    <s v="COGS"/>
    <x v="0"/>
    <m/>
    <x v="0"/>
    <m/>
    <m/>
    <m/>
    <m/>
    <m/>
    <m/>
    <m/>
  </r>
  <r>
    <x v="1"/>
    <x v="1"/>
    <s v="Asia"/>
    <s v="No Specific Relationship"/>
    <s v="None"/>
    <s v="INDOPACOM"/>
    <x v="137"/>
    <x v="20"/>
    <n v="6"/>
    <x v="1"/>
    <s v="Liang Guanglie"/>
    <m/>
    <s v="Defense Minister; CMC Member"/>
    <n v="8"/>
    <x v="1"/>
    <s v="10th Shangri-La Dialogue"/>
    <x v="0"/>
    <m/>
    <x v="0"/>
    <m/>
    <m/>
    <m/>
    <m/>
    <m/>
    <m/>
    <m/>
  </r>
  <r>
    <x v="1"/>
    <x v="0"/>
    <s v="Asia"/>
    <s v="Strategic Partnership for Peace and Prosperity [战略伙伴关系]"/>
    <s v="None"/>
    <s v="INDOPACOM"/>
    <x v="6"/>
    <x v="20"/>
    <n v="6"/>
    <x v="7"/>
    <s v="Liang Guanglie"/>
    <m/>
    <s v="Defense Minister; CMC Member"/>
    <n v="8"/>
    <x v="1"/>
    <s v="Minister of State for Defense"/>
    <x v="0"/>
    <m/>
    <x v="0"/>
    <m/>
    <m/>
    <m/>
    <m/>
    <m/>
    <m/>
    <s v="10th Shangri-La Dialogue"/>
  </r>
  <r>
    <x v="2"/>
    <x v="1"/>
    <s v="Asia"/>
    <s v="Strategic Partnership [战略伙伴关系]"/>
    <s v="None"/>
    <s v="INDOPACOM"/>
    <x v="8"/>
    <x v="20"/>
    <n v="6"/>
    <x v="5"/>
    <m/>
    <m/>
    <m/>
    <m/>
    <x v="0"/>
    <m/>
    <x v="1"/>
    <s v="Sharp Knife 2011"/>
    <x v="5"/>
    <s v="Airborne forces"/>
    <m/>
    <m/>
    <m/>
    <m/>
    <m/>
    <m/>
  </r>
  <r>
    <x v="1"/>
    <x v="9"/>
    <s v="West Asia and Africa"/>
    <s v="No Specific Relationship"/>
    <s v="Major Non-NATO Ally"/>
    <s v="CENTCOM"/>
    <x v="100"/>
    <x v="20"/>
    <n v="6"/>
    <x v="3"/>
    <s v="Chen Bingde"/>
    <m/>
    <s v="GSD Commander; CMC Member"/>
    <n v="8"/>
    <x v="2"/>
    <s v="Deputy Prime Minister and Defense Minister"/>
    <x v="0"/>
    <m/>
    <x v="0"/>
    <m/>
    <m/>
    <m/>
    <m/>
    <m/>
    <m/>
    <m/>
  </r>
  <r>
    <x v="1"/>
    <x v="4"/>
    <s v="Asia"/>
    <s v="Mutually Beneficial Strategic Relationship [战略互惠关系]"/>
    <s v="Bilateral Defense Treaty"/>
    <s v="INDOPACOM"/>
    <x v="83"/>
    <x v="20"/>
    <n v="6"/>
    <x v="7"/>
    <s v="Liang Guanglie"/>
    <m/>
    <s v="Defense Minister; CMC Member"/>
    <n v="8"/>
    <x v="2"/>
    <s v="Former NE Army Region Commander, JGSDF"/>
    <x v="0"/>
    <m/>
    <x v="0"/>
    <m/>
    <m/>
    <m/>
    <m/>
    <m/>
    <m/>
    <s v="10th Shangri-La Dialogue"/>
  </r>
  <r>
    <x v="1"/>
    <x v="5"/>
    <s v="America and Oceania"/>
    <s v="No Specific Relationship"/>
    <s v="ANZUS Treaty"/>
    <s v="INDOPACOM"/>
    <x v="13"/>
    <x v="20"/>
    <n v="6"/>
    <x v="7"/>
    <s v="Liang Guanglie"/>
    <m/>
    <s v="Defense Minister; CMC Member"/>
    <n v="8"/>
    <x v="1"/>
    <s v="Defense Minister"/>
    <x v="0"/>
    <m/>
    <x v="0"/>
    <m/>
    <m/>
    <m/>
    <m/>
    <m/>
    <m/>
    <s v="10th Shangri-La Dialogue"/>
  </r>
  <r>
    <x v="0"/>
    <x v="9"/>
    <s v="West Asia and Africa"/>
    <s v="No Specific Relationship"/>
    <s v="None"/>
    <s v="CENTCOM"/>
    <x v="147"/>
    <x v="20"/>
    <n v="6"/>
    <x v="9"/>
    <m/>
    <m/>
    <m/>
    <m/>
    <x v="0"/>
    <m/>
    <x v="0"/>
    <m/>
    <x v="0"/>
    <m/>
    <s v="ETF"/>
    <s v="ETF-08"/>
    <s v="East Sea Fleet"/>
    <s v="FFG525 Ma'anshan, FFG526 Wenzhou, AOR886 Qiandao Hu"/>
    <m/>
    <m/>
  </r>
  <r>
    <x v="1"/>
    <x v="8"/>
    <s v="Europe and Central Asia"/>
    <s v="Comprehensive Strategic Partnership [全面战略伙伴关系]"/>
    <s v="NATO"/>
    <s v="EUCOM"/>
    <x v="48"/>
    <x v="20"/>
    <n v="6"/>
    <x v="3"/>
    <s v="Liang Guanglie"/>
    <m/>
    <s v="Defense Minister; CMC Member"/>
    <n v="8"/>
    <x v="2"/>
    <s v="Army Chief of Staff"/>
    <x v="0"/>
    <m/>
    <x v="0"/>
    <m/>
    <m/>
    <m/>
    <m/>
    <m/>
    <m/>
    <m/>
  </r>
  <r>
    <x v="1"/>
    <x v="8"/>
    <s v="Europe and Central Asia"/>
    <s v="Comprehensive Friendly Cooperative Partnership [全面友好合作伙伴关系]"/>
    <s v="NATO"/>
    <s v="EUCOM"/>
    <x v="33"/>
    <x v="20"/>
    <n v="6"/>
    <x v="3"/>
    <s v="Liang Guanglie"/>
    <m/>
    <s v="Defense Minister; CMC Member"/>
    <n v="8"/>
    <x v="2"/>
    <s v="Naval Chief"/>
    <x v="0"/>
    <m/>
    <x v="0"/>
    <m/>
    <m/>
    <m/>
    <m/>
    <m/>
    <m/>
    <m/>
  </r>
  <r>
    <x v="1"/>
    <x v="3"/>
    <s v="Europe and Central Asia"/>
    <s v="Strategic Partnership of Coordination [战略协作伙伴关系]"/>
    <s v="None"/>
    <s v="EUCOM"/>
    <x v="7"/>
    <x v="20"/>
    <n v="6"/>
    <x v="4"/>
    <s v="Liang Guanglie"/>
    <m/>
    <s v="Defense Minister; CMC Member"/>
    <n v="8"/>
    <x v="1"/>
    <s v="Deputy Prime Minister"/>
    <x v="0"/>
    <m/>
    <x v="0"/>
    <m/>
    <m/>
    <m/>
    <m/>
    <m/>
    <m/>
    <m/>
  </r>
  <r>
    <x v="1"/>
    <x v="1"/>
    <s v="Asia"/>
    <s v="No Specific Relationship"/>
    <s v="None"/>
    <s v="INDOPACOM"/>
    <x v="39"/>
    <x v="20"/>
    <n v="6"/>
    <x v="4"/>
    <s v="Wu Shengli"/>
    <m/>
    <s v="PLAN Commander; CMC Member"/>
    <n v="8"/>
    <x v="1"/>
    <m/>
    <x v="0"/>
    <m/>
    <x v="0"/>
    <m/>
    <m/>
    <m/>
    <m/>
    <m/>
    <m/>
    <m/>
  </r>
  <r>
    <x v="1"/>
    <x v="8"/>
    <s v="Europe and Central Asia"/>
    <s v="No Specific Relationship"/>
    <s v="NATO"/>
    <s v="EUCOM"/>
    <x v="154"/>
    <x v="20"/>
    <n v="6"/>
    <x v="3"/>
    <s v="Xu Caihou"/>
    <m/>
    <s v="CMC Vice Chairman"/>
    <n v="10"/>
    <x v="2"/>
    <s v="Defense Minister"/>
    <x v="0"/>
    <m/>
    <x v="0"/>
    <m/>
    <m/>
    <m/>
    <m/>
    <m/>
    <m/>
    <m/>
  </r>
  <r>
    <x v="1"/>
    <x v="7"/>
    <s v="West Asia and Africa"/>
    <s v="No Specific Relationship"/>
    <s v="None"/>
    <s v="AFRICOM"/>
    <x v="16"/>
    <x v="20"/>
    <n v="6"/>
    <x v="3"/>
    <s v="Chen Bingde"/>
    <m/>
    <s v="GSD Commander; CMC Member"/>
    <n v="8"/>
    <x v="2"/>
    <s v="Chief of Defense Forces"/>
    <x v="0"/>
    <m/>
    <x v="0"/>
    <m/>
    <m/>
    <m/>
    <m/>
    <m/>
    <m/>
    <m/>
  </r>
  <r>
    <x v="1"/>
    <x v="8"/>
    <s v="Europe and Central Asia"/>
    <s v="Comprehensive Strategic Partnership [全面战略伙伴关系]"/>
    <s v="NATO"/>
    <s v="EUCOM"/>
    <x v="21"/>
    <x v="20"/>
    <n v="6"/>
    <x v="3"/>
    <s v="Ma Xiaotian"/>
    <m/>
    <s v="GSD DCGS"/>
    <n v="6"/>
    <x v="2"/>
    <s v="Director General of International Security policy of Defense Ministry"/>
    <x v="0"/>
    <m/>
    <x v="0"/>
    <m/>
    <m/>
    <m/>
    <m/>
    <m/>
    <m/>
    <m/>
  </r>
  <r>
    <x v="1"/>
    <x v="2"/>
    <s v="America and Oceania"/>
    <s v="No Specific Relationship"/>
    <s v="N/A"/>
    <s v="NORTHCOM"/>
    <x v="4"/>
    <x v="20"/>
    <n v="6"/>
    <x v="7"/>
    <s v="Liang Guanglie"/>
    <m/>
    <s v="Defense Minister; CMC Member"/>
    <n v="8"/>
    <x v="1"/>
    <s v="Secretary of Defense"/>
    <x v="0"/>
    <m/>
    <x v="0"/>
    <m/>
    <m/>
    <m/>
    <m/>
    <m/>
    <m/>
    <s v="10th Shangri-La Dialogue"/>
  </r>
  <r>
    <x v="1"/>
    <x v="1"/>
    <s v="Asia"/>
    <s v="Comprehensive Strategic Cooperative Partnership [全面战略合作伙伴关系]"/>
    <s v="None"/>
    <s v="INDOPACOM"/>
    <x v="23"/>
    <x v="20"/>
    <n v="6"/>
    <x v="7"/>
    <s v="Liang Guanglie"/>
    <m/>
    <s v="Defense Minister; CMC Member"/>
    <n v="8"/>
    <x v="1"/>
    <s v="Defense Minister"/>
    <x v="0"/>
    <m/>
    <x v="0"/>
    <m/>
    <m/>
    <m/>
    <m/>
    <m/>
    <m/>
    <s v="10th Shangri-La Dialogue"/>
  </r>
  <r>
    <x v="1"/>
    <x v="0"/>
    <s v="Asia"/>
    <s v="Comprehensive Cooperative Partnership [全面合作伙伴关系]"/>
    <s v="None"/>
    <s v="INDOPACOM"/>
    <x v="0"/>
    <x v="20"/>
    <n v="7"/>
    <x v="3"/>
    <s v="Ma Xiaotian"/>
    <m/>
    <s v="GSD DCGS"/>
    <n v="6"/>
    <x v="2"/>
    <m/>
    <x v="0"/>
    <m/>
    <x v="0"/>
    <m/>
    <m/>
    <m/>
    <m/>
    <m/>
    <m/>
    <m/>
  </r>
  <r>
    <x v="2"/>
    <x v="8"/>
    <s v="Europe and Central Asia"/>
    <s v="Strategic Partnership [战略伙伴关系]"/>
    <s v="None"/>
    <s v="EUCOM"/>
    <x v="34"/>
    <x v="20"/>
    <n v="7"/>
    <x v="5"/>
    <m/>
    <m/>
    <m/>
    <m/>
    <x v="0"/>
    <m/>
    <x v="1"/>
    <s v="Divine Eagle 2011"/>
    <x v="5"/>
    <s v="Airborne forces"/>
    <m/>
    <m/>
    <m/>
    <m/>
    <s v=" http://usa.chinadaily.com.cn/china/2012-12/06/content_15991982.htm"/>
    <m/>
  </r>
  <r>
    <x v="1"/>
    <x v="9"/>
    <s v="West Asia and Africa"/>
    <s v="No Specific Relationship"/>
    <s v="None"/>
    <s v="CENTCOM"/>
    <x v="119"/>
    <x v="20"/>
    <n v="7"/>
    <x v="3"/>
    <s v="Wu Shengli"/>
    <m/>
    <s v="PLAN Commander; CMC Member"/>
    <n v="8"/>
    <x v="2"/>
    <s v="Navy Commander"/>
    <x v="0"/>
    <m/>
    <x v="0"/>
    <m/>
    <m/>
    <m/>
    <m/>
    <m/>
    <m/>
    <m/>
  </r>
  <r>
    <x v="1"/>
    <x v="4"/>
    <s v="Asia"/>
    <s v="Mutually Beneficial Strategic Relationship [战略互惠关系]"/>
    <s v="Bilateral Defense Treaty"/>
    <s v="INDOPACOM"/>
    <x v="83"/>
    <x v="20"/>
    <n v="7"/>
    <x v="4"/>
    <s v="Ma Xiaotian"/>
    <m/>
    <s v="GSD DCGS"/>
    <n v="6"/>
    <x v="1"/>
    <s v="Defense Minister"/>
    <x v="0"/>
    <m/>
    <x v="0"/>
    <m/>
    <m/>
    <m/>
    <m/>
    <m/>
    <m/>
    <m/>
  </r>
  <r>
    <x v="1"/>
    <x v="1"/>
    <s v="Asia"/>
    <s v="Comprehensive Strategic Cooperative Partnership [全面战略合作伙伴关系]"/>
    <s v="None"/>
    <s v="INDOPACOM"/>
    <x v="52"/>
    <x v="20"/>
    <n v="7"/>
    <x v="3"/>
    <s v="Guo Boxiong"/>
    <m/>
    <s v="CMC Vice Chairman"/>
    <n v="10"/>
    <x v="2"/>
    <s v="COGS"/>
    <x v="0"/>
    <m/>
    <x v="0"/>
    <m/>
    <m/>
    <m/>
    <m/>
    <m/>
    <m/>
    <m/>
  </r>
  <r>
    <x v="1"/>
    <x v="4"/>
    <s v="Asia"/>
    <s v="Bilateral Defense Treaty"/>
    <s v="None"/>
    <s v="INDOPACOM"/>
    <x v="9"/>
    <x v="20"/>
    <n v="7"/>
    <x v="3"/>
    <s v="Jia Tingan"/>
    <m/>
    <s v="GPD Deputy Director"/>
    <n v="6"/>
    <x v="2"/>
    <m/>
    <x v="0"/>
    <m/>
    <x v="0"/>
    <m/>
    <m/>
    <m/>
    <m/>
    <m/>
    <m/>
    <m/>
  </r>
  <r>
    <x v="1"/>
    <x v="0"/>
    <s v="Asia"/>
    <s v="Strategic Partnership [战略伙伴关系]"/>
    <s v="Major Non-NATO Ally"/>
    <s v="CENTCOM"/>
    <x v="2"/>
    <x v="20"/>
    <n v="7"/>
    <x v="3"/>
    <s v="Ma Xiaotian"/>
    <m/>
    <s v="GSD DCGS"/>
    <n v="6"/>
    <x v="2"/>
    <s v="Army COGS"/>
    <x v="0"/>
    <m/>
    <x v="0"/>
    <m/>
    <m/>
    <m/>
    <m/>
    <m/>
    <m/>
    <m/>
  </r>
  <r>
    <x v="1"/>
    <x v="4"/>
    <s v="Asia"/>
    <s v="Strategic Cooperative Partnership [战略合作伙伴关系]"/>
    <s v="Bilateral Defense Treaty"/>
    <s v="INDOPACOM"/>
    <x v="25"/>
    <x v="20"/>
    <n v="7"/>
    <x v="3"/>
    <s v="Liang Guanglie"/>
    <m/>
    <s v="Defense Minister; CMC Member"/>
    <n v="8"/>
    <x v="2"/>
    <s v="Defense Minister"/>
    <x v="0"/>
    <m/>
    <x v="0"/>
    <m/>
    <m/>
    <m/>
    <m/>
    <m/>
    <m/>
    <m/>
  </r>
  <r>
    <x v="1"/>
    <x v="8"/>
    <s v="Europe and Central Asia"/>
    <s v="No Specific Relationship"/>
    <s v="None"/>
    <s v="EUCOM"/>
    <x v="78"/>
    <x v="20"/>
    <n v="7"/>
    <x v="3"/>
    <s v="Guo Boxiong"/>
    <m/>
    <s v="CMC Vice Chairman"/>
    <n v="10"/>
    <x v="2"/>
    <s v="Defense Minister"/>
    <x v="0"/>
    <m/>
    <x v="0"/>
    <m/>
    <m/>
    <m/>
    <m/>
    <m/>
    <m/>
    <m/>
  </r>
  <r>
    <x v="1"/>
    <x v="1"/>
    <s v="Asia"/>
    <s v="Strategic Partnership [战略伙伴关系]"/>
    <s v="Bilateral Defense Treaty"/>
    <s v="INDOPACOM"/>
    <x v="5"/>
    <x v="20"/>
    <n v="7"/>
    <x v="3"/>
    <s v="Chen Bingde"/>
    <m/>
    <s v="GSD Commander; CMC Member"/>
    <n v="8"/>
    <x v="2"/>
    <s v="Chief of Defense Forces"/>
    <x v="0"/>
    <m/>
    <x v="0"/>
    <m/>
    <m/>
    <m/>
    <m/>
    <m/>
    <m/>
    <m/>
  </r>
  <r>
    <x v="1"/>
    <x v="8"/>
    <s v="Europe and Central Asia"/>
    <s v="Comprehensive Strategic Partnership [全面战略伙伴关系]"/>
    <s v="NATO"/>
    <s v="EUCOM"/>
    <x v="21"/>
    <x v="20"/>
    <n v="7"/>
    <x v="3"/>
    <s v="Liang Guanglie"/>
    <m/>
    <s v="Defense Minister; CMC Member"/>
    <n v="8"/>
    <x v="2"/>
    <s v="Chief of Naval Staff"/>
    <x v="0"/>
    <m/>
    <x v="0"/>
    <m/>
    <m/>
    <m/>
    <m/>
    <m/>
    <m/>
    <m/>
  </r>
  <r>
    <x v="1"/>
    <x v="2"/>
    <s v="America and Oceania"/>
    <s v="No Specific Relationship"/>
    <s v="N/A"/>
    <s v="NORTHCOM"/>
    <x v="4"/>
    <x v="20"/>
    <n v="7"/>
    <x v="3"/>
    <s v="Chen Bingde"/>
    <m/>
    <s v="GSD Commander; CMC Member"/>
    <n v="8"/>
    <x v="2"/>
    <s v="Chairman JCS"/>
    <x v="0"/>
    <m/>
    <x v="0"/>
    <m/>
    <m/>
    <m/>
    <m/>
    <m/>
    <m/>
    <m/>
  </r>
  <r>
    <x v="1"/>
    <x v="10"/>
    <s v="America and Oceania"/>
    <s v="Comprehensive Strategic Partnership [全面战略伙伴关系]"/>
    <s v="None"/>
    <s v="SOUTHCOM"/>
    <x v="43"/>
    <x v="20"/>
    <n v="8"/>
    <x v="4"/>
    <s v="Du Jincai"/>
    <m/>
    <s v="GPD Deputy Director"/>
    <n v="6"/>
    <x v="1"/>
    <m/>
    <x v="0"/>
    <m/>
    <x v="0"/>
    <m/>
    <m/>
    <m/>
    <m/>
    <m/>
    <m/>
    <m/>
  </r>
  <r>
    <x v="1"/>
    <x v="2"/>
    <s v="America and Oceania"/>
    <s v="Strategic Partnership [战略伙伴关系]"/>
    <s v="NATO"/>
    <s v="NORTHCOM"/>
    <x v="17"/>
    <x v="20"/>
    <n v="8"/>
    <x v="4"/>
    <s v="Du Jincai"/>
    <m/>
    <s v="GPD Deputy Director"/>
    <n v="6"/>
    <x v="1"/>
    <m/>
    <x v="0"/>
    <m/>
    <x v="0"/>
    <m/>
    <m/>
    <m/>
    <m/>
    <m/>
    <m/>
    <m/>
  </r>
  <r>
    <x v="1"/>
    <x v="9"/>
    <s v="West Asia and Africa"/>
    <s v="No Specific Relationship"/>
    <s v="Major Non-NATO Ally"/>
    <s v="CENTCOM"/>
    <x v="100"/>
    <x v="20"/>
    <n v="8"/>
    <x v="4"/>
    <s v="Chen Bingde"/>
    <m/>
    <s v="GSD Commander; CMC Member"/>
    <n v="8"/>
    <x v="1"/>
    <m/>
    <x v="0"/>
    <m/>
    <x v="0"/>
    <m/>
    <m/>
    <m/>
    <m/>
    <m/>
    <m/>
    <m/>
  </r>
  <r>
    <x v="0"/>
    <x v="9"/>
    <s v="West Asia and Africa"/>
    <s v="No Specific Relationship"/>
    <s v="None"/>
    <s v="CENTCOM"/>
    <x v="147"/>
    <x v="20"/>
    <n v="8"/>
    <x v="9"/>
    <m/>
    <m/>
    <m/>
    <m/>
    <x v="0"/>
    <m/>
    <x v="0"/>
    <m/>
    <x v="0"/>
    <m/>
    <s v="ETF"/>
    <s v="ETF-08"/>
    <s v="East Sea Fleet"/>
    <s v="FFG525 Ma'anshan, FFG526 Wenzhou, AOR886 Qiandao Hu; Unknown, could also be ETF-9"/>
    <m/>
    <m/>
  </r>
  <r>
    <x v="0"/>
    <x v="9"/>
    <s v="West Asia and Africa"/>
    <s v="No Specific Relationship"/>
    <s v="None"/>
    <s v="CENTCOM"/>
    <x v="131"/>
    <x v="20"/>
    <n v="8"/>
    <x v="0"/>
    <m/>
    <m/>
    <m/>
    <m/>
    <x v="0"/>
    <m/>
    <x v="0"/>
    <m/>
    <x v="0"/>
    <m/>
    <s v="ETF"/>
    <s v="ETF-08"/>
    <s v="East Sea Fleet"/>
    <s v="FFG525 Ma'anshan, FFG526 Wenzhou, AOR886 Qiandao Hu"/>
    <m/>
    <m/>
  </r>
  <r>
    <x v="1"/>
    <x v="3"/>
    <s v="Europe and Central Asia"/>
    <s v="Strategic Partnership of Coordination [战略协作伙伴关系]"/>
    <s v="None"/>
    <s v="EUCOM"/>
    <x v="7"/>
    <x v="20"/>
    <n v="8"/>
    <x v="4"/>
    <s v="Chen Bingde"/>
    <m/>
    <s v="GSD Commander; CMC Member"/>
    <n v="8"/>
    <x v="1"/>
    <s v="First Deputy Defense Minister and COGS"/>
    <x v="0"/>
    <m/>
    <x v="0"/>
    <m/>
    <m/>
    <m/>
    <m/>
    <m/>
    <m/>
    <m/>
  </r>
  <r>
    <x v="0"/>
    <x v="1"/>
    <s v="Asia"/>
    <s v="Strategic Partnership [战略伙伴关系]"/>
    <s v="Bilateral Defense Treaty"/>
    <s v="INDOPACOM"/>
    <x v="5"/>
    <x v="20"/>
    <n v="8"/>
    <x v="10"/>
    <m/>
    <m/>
    <m/>
    <m/>
    <x v="0"/>
    <m/>
    <x v="0"/>
    <m/>
    <x v="0"/>
    <m/>
    <s v="ETF"/>
    <s v="ETF-08"/>
    <s v="East Sea Fleet"/>
    <s v="FFG525 Ma'anshan, FFG526 Wenzhou, AOR886 Qiandao Hu"/>
    <m/>
    <m/>
  </r>
  <r>
    <x v="2"/>
    <x v="1"/>
    <s v="Asia"/>
    <s v="Strategic Partnership [战略伙伴关系]"/>
    <s v="Bilateral Defense Treaty"/>
    <s v="INDOPACOM"/>
    <x v="5"/>
    <x v="20"/>
    <n v="8"/>
    <x v="5"/>
    <m/>
    <m/>
    <m/>
    <m/>
    <x v="0"/>
    <m/>
    <x v="4"/>
    <s v="Unknown Sattahip 2011"/>
    <x v="2"/>
    <s v="16-21 August 2011, joint drills and friendy visit from anti-piracy ETF, Six Years p. 132 "/>
    <m/>
    <m/>
    <m/>
    <m/>
    <m/>
    <m/>
  </r>
  <r>
    <x v="1"/>
    <x v="8"/>
    <s v="Europe and Central Asia"/>
    <s v="Strategic Cooperative Partnership [战略合作伙伴关系]"/>
    <s v="None"/>
    <s v="EUCOM"/>
    <x v="26"/>
    <x v="20"/>
    <n v="8"/>
    <x v="4"/>
    <s v="Chen Bingde"/>
    <m/>
    <s v="GSD Commander; CMC Member"/>
    <n v="8"/>
    <x v="1"/>
    <s v="COGS"/>
    <x v="0"/>
    <m/>
    <x v="0"/>
    <m/>
    <m/>
    <m/>
    <m/>
    <m/>
    <m/>
    <m/>
  </r>
  <r>
    <x v="1"/>
    <x v="1"/>
    <s v="Asia"/>
    <s v="Comprehensive Strategic Cooperative Partnership [全面战略合作伙伴关系]"/>
    <s v="None"/>
    <s v="INDOPACOM"/>
    <x v="23"/>
    <x v="20"/>
    <n v="8"/>
    <x v="3"/>
    <s v="Liang Guanglie"/>
    <m/>
    <s v="Defense Minister; CMC Member"/>
    <n v="8"/>
    <x v="2"/>
    <s v="Vice Defense Minister"/>
    <x v="0"/>
    <m/>
    <x v="0"/>
    <m/>
    <m/>
    <m/>
    <m/>
    <m/>
    <m/>
    <m/>
  </r>
  <r>
    <x v="1"/>
    <x v="0"/>
    <s v="Asia"/>
    <s v="Comprehensive Cooperative Partnership [全面合作伙伴关系]"/>
    <s v="None"/>
    <s v="INDOPACOM"/>
    <x v="0"/>
    <x v="20"/>
    <n v="9"/>
    <x v="3"/>
    <s v="Liang Guanglie"/>
    <m/>
    <s v="Defense Minister; CMC Member"/>
    <n v="8"/>
    <x v="2"/>
    <m/>
    <x v="0"/>
    <m/>
    <x v="0"/>
    <m/>
    <m/>
    <m/>
    <m/>
    <m/>
    <m/>
    <m/>
  </r>
  <r>
    <x v="1"/>
    <x v="7"/>
    <s v="West Asia and Africa"/>
    <s v="No Specific Relationship"/>
    <s v="None"/>
    <s v="AFRICOM"/>
    <x v="93"/>
    <x v="20"/>
    <n v="9"/>
    <x v="4"/>
    <s v="Zhao Keshi"/>
    <m/>
    <s v="Nanjing MR Commander"/>
    <n v="6"/>
    <x v="1"/>
    <m/>
    <x v="0"/>
    <m/>
    <x v="0"/>
    <m/>
    <m/>
    <m/>
    <m/>
    <m/>
    <m/>
    <m/>
  </r>
  <r>
    <x v="1"/>
    <x v="7"/>
    <s v="West Asia and Africa"/>
    <s v="No Specific Relationship"/>
    <s v="None"/>
    <s v="AFRICOM"/>
    <x v="28"/>
    <x v="20"/>
    <n v="9"/>
    <x v="4"/>
    <s v="Sun Jianguo"/>
    <m/>
    <s v="GSD DCGS"/>
    <n v="6"/>
    <x v="1"/>
    <m/>
    <x v="0"/>
    <m/>
    <x v="0"/>
    <m/>
    <m/>
    <m/>
    <m/>
    <m/>
    <m/>
    <m/>
  </r>
  <r>
    <x v="1"/>
    <x v="8"/>
    <s v="Europe and Central Asia"/>
    <s v="Comprehensive Cooperative Partnership [全面合作伙伴关系]"/>
    <s v="NATO"/>
    <s v="EUCOM"/>
    <x v="35"/>
    <x v="20"/>
    <n v="9"/>
    <x v="4"/>
    <s v="Xu Caihou"/>
    <m/>
    <s v="CMC Vice Chairman"/>
    <n v="10"/>
    <x v="1"/>
    <s v="Defense Minister"/>
    <x v="0"/>
    <m/>
    <x v="0"/>
    <m/>
    <m/>
    <m/>
    <m/>
    <m/>
    <m/>
    <m/>
  </r>
  <r>
    <x v="1"/>
    <x v="8"/>
    <s v="Europe and Central Asia"/>
    <s v="Comprehensive Strategic Partnership [全面战略伙伴关系]"/>
    <s v="NATO"/>
    <s v="EUCOM"/>
    <x v="22"/>
    <x v="20"/>
    <n v="9"/>
    <x v="4"/>
    <s v="Ma Xiaotian"/>
    <m/>
    <s v="GSD DCGS"/>
    <n v="6"/>
    <x v="1"/>
    <m/>
    <x v="0"/>
    <m/>
    <x v="0"/>
    <m/>
    <m/>
    <m/>
    <m/>
    <m/>
    <m/>
    <m/>
  </r>
  <r>
    <x v="1"/>
    <x v="5"/>
    <s v="America and Oceania"/>
    <s v="No Specific Relationship"/>
    <s v="ANZUS Treaty"/>
    <s v="INDOPACOM"/>
    <x v="13"/>
    <x v="20"/>
    <n v="9"/>
    <x v="3"/>
    <s v="Guo Boxiong"/>
    <m/>
    <s v="CMC Vice Chairman"/>
    <n v="10"/>
    <x v="2"/>
    <s v="Head of Defense Force"/>
    <x v="0"/>
    <m/>
    <x v="0"/>
    <m/>
    <m/>
    <m/>
    <m/>
    <m/>
    <s v="https://johnmenadue.com/nz-and-china-military-meeting-no-news-is-bad-news/"/>
    <s v="PCS: NZ delegation led by General Tim Keating; th strategic defense dialogue; met with Qi Jinguo for office call?"/>
  </r>
  <r>
    <x v="1"/>
    <x v="4"/>
    <s v="Asia"/>
    <s v="Bilateral Defense Treaty"/>
    <s v="None"/>
    <s v="INDOPACOM"/>
    <x v="9"/>
    <x v="20"/>
    <n v="9"/>
    <x v="3"/>
    <s v="Wu Shengli"/>
    <m/>
    <s v="PLAN Commander; CMC Member"/>
    <n v="8"/>
    <x v="2"/>
    <s v="Deputy Commander Navy"/>
    <x v="0"/>
    <m/>
    <x v="0"/>
    <m/>
    <m/>
    <m/>
    <m/>
    <m/>
    <m/>
    <m/>
  </r>
  <r>
    <x v="1"/>
    <x v="3"/>
    <s v="Europe and Central Asia"/>
    <s v="Strategic Partnership of Coordination [战略协作伙伴关系]"/>
    <s v="None"/>
    <s v="EUCOM"/>
    <x v="7"/>
    <x v="20"/>
    <n v="9"/>
    <x v="4"/>
    <s v="Guo Boxiong"/>
    <m/>
    <s v="CMC Vice Chairman"/>
    <n v="10"/>
    <x v="1"/>
    <m/>
    <x v="0"/>
    <m/>
    <x v="0"/>
    <m/>
    <m/>
    <m/>
    <m/>
    <m/>
    <m/>
    <m/>
  </r>
  <r>
    <x v="0"/>
    <x v="9"/>
    <s v="West Asia and Africa"/>
    <s v="No Specific Relationship"/>
    <s v="None"/>
    <s v="CENTCOM"/>
    <x v="142"/>
    <x v="20"/>
    <n v="9"/>
    <x v="9"/>
    <m/>
    <m/>
    <m/>
    <m/>
    <x v="0"/>
    <m/>
    <x v="0"/>
    <m/>
    <x v="0"/>
    <m/>
    <s v="ETF"/>
    <s v="ETF-09"/>
    <s v="South Sea Fleet"/>
    <s v="DDG169 Wuhan, FFG569 Yulin, AOR885 Qinghai Hu"/>
    <m/>
    <m/>
  </r>
  <r>
    <x v="1"/>
    <x v="8"/>
    <s v="Europe and Central Asia"/>
    <s v="Strategic Partnership [战略伙伴关系]"/>
    <s v="None"/>
    <s v="EUCOM"/>
    <x v="112"/>
    <x v="20"/>
    <n v="9"/>
    <x v="4"/>
    <s v="Xu Caihou"/>
    <m/>
    <s v="CMC Vice Chairman"/>
    <n v="10"/>
    <x v="1"/>
    <m/>
    <x v="0"/>
    <m/>
    <x v="0"/>
    <m/>
    <m/>
    <m/>
    <m/>
    <m/>
    <m/>
    <m/>
  </r>
  <r>
    <x v="1"/>
    <x v="7"/>
    <s v="West Asia and Africa"/>
    <s v="No Specific Relationship"/>
    <s v="None"/>
    <s v="AFRICOM"/>
    <x v="16"/>
    <x v="20"/>
    <n v="9"/>
    <x v="4"/>
    <s v="Zhao Keshi"/>
    <m/>
    <s v="Nanjing MR Commander"/>
    <n v="6"/>
    <x v="1"/>
    <m/>
    <x v="0"/>
    <m/>
    <x v="0"/>
    <m/>
    <m/>
    <m/>
    <m/>
    <m/>
    <m/>
    <m/>
  </r>
  <r>
    <x v="1"/>
    <x v="2"/>
    <s v="America and Oceania"/>
    <s v="No Specific Relationship"/>
    <s v="N/A"/>
    <s v="NORTHCOM"/>
    <x v="4"/>
    <x v="20"/>
    <n v="9"/>
    <x v="4"/>
    <s v="Fan Changlong"/>
    <m/>
    <s v="Jinan MR Commander"/>
    <n v="6"/>
    <x v="1"/>
    <m/>
    <x v="0"/>
    <m/>
    <x v="0"/>
    <m/>
    <m/>
    <m/>
    <m/>
    <m/>
    <m/>
    <m/>
  </r>
  <r>
    <x v="1"/>
    <x v="1"/>
    <s v="Asia"/>
    <s v="Comprehensive Strategic Cooperative Partnership [全面战略合作伙伴关系]"/>
    <s v="None"/>
    <s v="INDOPACOM"/>
    <x v="23"/>
    <x v="20"/>
    <n v="9"/>
    <x v="3"/>
    <s v="Li Jinai"/>
    <m/>
    <s v="GPD Director; CMC Member"/>
    <n v="8"/>
    <x v="2"/>
    <s v="GPD director VPA"/>
    <x v="0"/>
    <m/>
    <x v="0"/>
    <m/>
    <m/>
    <m/>
    <m/>
    <m/>
    <m/>
    <m/>
  </r>
  <r>
    <x v="1"/>
    <x v="7"/>
    <s v="West Asia and Africa"/>
    <s v="No Specific Relationship"/>
    <s v="None"/>
    <s v="AFRICOM"/>
    <x v="130"/>
    <x v="20"/>
    <n v="10"/>
    <x v="3"/>
    <s v="Guo Boxiong"/>
    <m/>
    <s v="CMC Vice Chairman"/>
    <n v="10"/>
    <x v="2"/>
    <s v="Defense Minister"/>
    <x v="0"/>
    <m/>
    <x v="0"/>
    <m/>
    <m/>
    <m/>
    <m/>
    <m/>
    <m/>
    <m/>
  </r>
  <r>
    <x v="1"/>
    <x v="10"/>
    <s v="America and Oceania"/>
    <s v="No Specific Relationship"/>
    <s v="None"/>
    <s v="SOUTHCOM"/>
    <x v="45"/>
    <x v="20"/>
    <n v="10"/>
    <x v="4"/>
    <s v="Guo Boxiong"/>
    <m/>
    <s v="CMC Vice Chairman"/>
    <n v="10"/>
    <x v="1"/>
    <m/>
    <x v="0"/>
    <m/>
    <x v="0"/>
    <m/>
    <m/>
    <m/>
    <m/>
    <m/>
    <m/>
    <m/>
  </r>
  <r>
    <x v="1"/>
    <x v="10"/>
    <s v="America and Oceania"/>
    <s v="No Specific Relationship"/>
    <s v="None"/>
    <s v="SOUTHCOM"/>
    <x v="49"/>
    <x v="20"/>
    <n v="10"/>
    <x v="4"/>
    <s v="Guo Boxiong"/>
    <m/>
    <s v="CMC Vice Chairman"/>
    <n v="10"/>
    <x v="1"/>
    <s v="Defense Minister"/>
    <x v="0"/>
    <m/>
    <x v="0"/>
    <m/>
    <m/>
    <m/>
    <m/>
    <m/>
    <m/>
    <m/>
  </r>
  <r>
    <x v="0"/>
    <x v="10"/>
    <s v="America and Oceania"/>
    <s v="No Specific Relationship"/>
    <s v="None"/>
    <s v="SOUTHCOM"/>
    <x v="49"/>
    <x v="20"/>
    <n v="10"/>
    <x v="12"/>
    <m/>
    <m/>
    <m/>
    <m/>
    <x v="0"/>
    <m/>
    <x v="0"/>
    <m/>
    <x v="0"/>
    <m/>
    <s v="NETF"/>
    <s v="2011-10 Peace Ark "/>
    <s v="East Sea Fleet"/>
    <s v="http://en.people.cn/90786/7623576.html"/>
    <m/>
    <s v="recoded to delete drills"/>
  </r>
  <r>
    <x v="0"/>
    <x v="9"/>
    <s v="West Asia and Africa"/>
    <s v="No Specific Relationship"/>
    <s v="None"/>
    <s v="CENTCOM"/>
    <x v="119"/>
    <x v="20"/>
    <n v="10"/>
    <x v="9"/>
    <m/>
    <m/>
    <m/>
    <m/>
    <x v="0"/>
    <m/>
    <x v="0"/>
    <m/>
    <x v="0"/>
    <m/>
    <s v="ETF"/>
    <s v="ETF-09"/>
    <s v="South Sea Fleet"/>
    <s v="DDG169 Wuhan, FFG569 Yulin, AOR885 Qinghai Hu"/>
    <m/>
    <m/>
  </r>
  <r>
    <x v="1"/>
    <x v="8"/>
    <s v="Europe and Central Asia"/>
    <s v="Comprehensive Strategic Partnership [全面战略伙伴关系]"/>
    <s v="NATO"/>
    <s v="EUCOM"/>
    <x v="29"/>
    <x v="20"/>
    <n v="10"/>
    <x v="4"/>
    <s v="Tong Shiping"/>
    <m/>
    <s v="GPD Deputy Director"/>
    <n v="6"/>
    <x v="1"/>
    <m/>
    <x v="0"/>
    <m/>
    <x v="0"/>
    <m/>
    <m/>
    <m/>
    <m/>
    <m/>
    <m/>
    <m/>
  </r>
  <r>
    <x v="1"/>
    <x v="8"/>
    <s v="Europe and Central Asia"/>
    <s v="No Specific Relationship"/>
    <s v="NATO"/>
    <s v="EUCOM"/>
    <x v="82"/>
    <x v="20"/>
    <n v="10"/>
    <x v="4"/>
    <s v="Tong Shiping"/>
    <m/>
    <s v="GPD Deputy Director"/>
    <n v="6"/>
    <x v="1"/>
    <m/>
    <x v="0"/>
    <m/>
    <x v="0"/>
    <m/>
    <m/>
    <m/>
    <m/>
    <m/>
    <m/>
    <m/>
  </r>
  <r>
    <x v="0"/>
    <x v="10"/>
    <s v="America and Oceania"/>
    <s v="Friendly Partnership [友好伙伴关系)]"/>
    <s v="None"/>
    <s v="SOUTHCOM"/>
    <x v="145"/>
    <x v="20"/>
    <n v="10"/>
    <x v="12"/>
    <m/>
    <m/>
    <m/>
    <m/>
    <x v="0"/>
    <m/>
    <x v="0"/>
    <m/>
    <x v="0"/>
    <m/>
    <s v="NETF"/>
    <s v="2011-10 Peace Ark "/>
    <s v="East Sea Fleet"/>
    <m/>
    <m/>
    <s v="recoded to delete drills"/>
  </r>
  <r>
    <x v="1"/>
    <x v="1"/>
    <s v="Asia"/>
    <s v="Comprehensive Strategic Cooperative Partnership [全面战略合作伙伴关系]"/>
    <s v="None"/>
    <s v="INDOPACOM"/>
    <x v="52"/>
    <x v="20"/>
    <n v="10"/>
    <x v="3"/>
    <s v="Liang Guanglie"/>
    <m/>
    <s v="Defense Minister; CMC Member"/>
    <n v="8"/>
    <x v="2"/>
    <s v="Defense Minister"/>
    <x v="0"/>
    <m/>
    <x v="0"/>
    <m/>
    <m/>
    <m/>
    <m/>
    <m/>
    <m/>
    <m/>
  </r>
  <r>
    <x v="1"/>
    <x v="8"/>
    <s v="Europe and Central Asia"/>
    <s v="No Specific Relationship"/>
    <s v="None"/>
    <s v="EUCOM"/>
    <x v="155"/>
    <x v="20"/>
    <n v="10"/>
    <x v="3"/>
    <s v="Guo Boxiong"/>
    <m/>
    <s v="CMC Vice Chairman"/>
    <n v="10"/>
    <x v="2"/>
    <s v="Defense Minister"/>
    <x v="0"/>
    <m/>
    <x v="0"/>
    <m/>
    <m/>
    <m/>
    <m/>
    <m/>
    <m/>
    <m/>
  </r>
  <r>
    <x v="1"/>
    <x v="7"/>
    <s v="West Asia and Africa"/>
    <s v="No Specific Relationship"/>
    <s v="None"/>
    <s v="AFRICOM"/>
    <x v="69"/>
    <x v="20"/>
    <n v="10"/>
    <x v="3"/>
    <s v="Xu Caihou"/>
    <m/>
    <s v="CMC Vice Chairman"/>
    <n v="10"/>
    <x v="2"/>
    <s v="Defense Minister"/>
    <x v="0"/>
    <m/>
    <x v="0"/>
    <m/>
    <m/>
    <m/>
    <m/>
    <m/>
    <m/>
    <m/>
  </r>
  <r>
    <x v="1"/>
    <x v="0"/>
    <s v="Asia"/>
    <s v="All-Round Strategic Partnership  [全面合作伙伴关系]"/>
    <s v="None"/>
    <s v="INDOPACOM"/>
    <x v="32"/>
    <x v="20"/>
    <n v="10"/>
    <x v="3"/>
    <s v="Xu Caihou"/>
    <m/>
    <s v="CMC Vice Chairman"/>
    <n v="10"/>
    <x v="2"/>
    <s v="Army Chief of Staff"/>
    <x v="0"/>
    <m/>
    <x v="0"/>
    <m/>
    <m/>
    <m/>
    <m/>
    <m/>
    <m/>
    <s v="Recoded as South Asia"/>
  </r>
  <r>
    <x v="1"/>
    <x v="10"/>
    <s v="America and Oceania"/>
    <s v="Strategic Partnership [战略伙伴关系]"/>
    <s v="None"/>
    <s v="SOUTHCOM"/>
    <x v="54"/>
    <x v="20"/>
    <n v="10"/>
    <x v="4"/>
    <s v="Guo Boxiong"/>
    <m/>
    <s v="CMC Vice Chairman"/>
    <n v="10"/>
    <x v="1"/>
    <m/>
    <x v="0"/>
    <m/>
    <x v="0"/>
    <m/>
    <m/>
    <m/>
    <m/>
    <m/>
    <m/>
    <m/>
  </r>
  <r>
    <x v="1"/>
    <x v="3"/>
    <s v="Europe and Central Asia"/>
    <s v="Strategic Partnership of Coordination [战略协作伙伴关系]"/>
    <s v="None"/>
    <s v="EUCOM"/>
    <x v="7"/>
    <x v="20"/>
    <n v="10"/>
    <x v="3"/>
    <s v="Chen Bingde"/>
    <m/>
    <s v="GSD Commander; CMC Member"/>
    <n v="8"/>
    <x v="2"/>
    <s v="DCOGS"/>
    <x v="0"/>
    <m/>
    <x v="0"/>
    <m/>
    <m/>
    <m/>
    <m/>
    <m/>
    <m/>
    <m/>
  </r>
  <r>
    <x v="1"/>
    <x v="5"/>
    <s v="America and Oceania"/>
    <s v="No Specific Relationship"/>
    <s v="ANZUS Treaty"/>
    <s v="INDOPACOM"/>
    <x v="12"/>
    <x v="20"/>
    <n v="11"/>
    <x v="3"/>
    <s v="Chen Bingde"/>
    <m/>
    <s v="GSD Commander; CMC Member"/>
    <n v="8"/>
    <x v="2"/>
    <s v="Commander Joint Ops Command"/>
    <x v="0"/>
    <m/>
    <x v="0"/>
    <m/>
    <m/>
    <m/>
    <m/>
    <m/>
    <m/>
    <m/>
  </r>
  <r>
    <x v="2"/>
    <x v="5"/>
    <s v="America and Oceania"/>
    <s v="No Specific Relationship"/>
    <s v="ANZUS Treaty"/>
    <s v="INDOPACOM"/>
    <x v="12"/>
    <x v="20"/>
    <n v="11"/>
    <x v="5"/>
    <m/>
    <m/>
    <m/>
    <m/>
    <x v="0"/>
    <m/>
    <x v="2"/>
    <s v="Cooperation Spirit 2011"/>
    <x v="1"/>
    <s v="HADR in Dujiangyan Sichuan"/>
    <m/>
    <m/>
    <m/>
    <m/>
    <s v="2013 Defense White Paper Appendix"/>
    <m/>
  </r>
  <r>
    <x v="1"/>
    <x v="10"/>
    <s v="America and Oceania"/>
    <s v="Comprehensive Partnership [全面伙伴关系]"/>
    <s v="None"/>
    <s v="SOUTHCOM"/>
    <x v="66"/>
    <x v="20"/>
    <n v="11"/>
    <x v="4"/>
    <s v="Chang Wanquan"/>
    <m/>
    <s v="GAD Director; CMC Member"/>
    <n v="8"/>
    <x v="1"/>
    <s v="Acting Commander Army"/>
    <x v="0"/>
    <m/>
    <x v="0"/>
    <m/>
    <m/>
    <m/>
    <m/>
    <m/>
    <m/>
    <m/>
  </r>
  <r>
    <x v="0"/>
    <x v="10"/>
    <s v="America and Oceania"/>
    <s v="No Specific Relationship"/>
    <s v="None"/>
    <s v="SOUTHCOM"/>
    <x v="156"/>
    <x v="20"/>
    <n v="11"/>
    <x v="12"/>
    <m/>
    <m/>
    <m/>
    <m/>
    <x v="0"/>
    <m/>
    <x v="0"/>
    <m/>
    <x v="0"/>
    <m/>
    <s v="NETF"/>
    <s v="2011-10 Peace Ark "/>
    <s v="East Sea Fleet"/>
    <m/>
    <m/>
    <s v="recoded to delete drills"/>
  </r>
  <r>
    <x v="1"/>
    <x v="8"/>
    <s v="Europe and Central Asia"/>
    <s v="Strategic Partnership [战略伙伴关系]"/>
    <s v="NATO"/>
    <s v="EUCOM"/>
    <x v="18"/>
    <x v="20"/>
    <n v="11"/>
    <x v="3"/>
    <s v="Zhang Qinsheng"/>
    <m/>
    <s v="GSD DCGS"/>
    <n v="6"/>
    <x v="2"/>
    <s v="Parliament State Secretary to Defense Minister"/>
    <x v="0"/>
    <m/>
    <x v="0"/>
    <m/>
    <m/>
    <m/>
    <m/>
    <m/>
    <m/>
    <m/>
  </r>
  <r>
    <x v="1"/>
    <x v="7"/>
    <s v="West Asia and Africa"/>
    <s v="No Specific Relationship"/>
    <s v="None"/>
    <s v="AFRICOM"/>
    <x v="87"/>
    <x v="20"/>
    <n v="11"/>
    <x v="4"/>
    <s v="Liang Guanglie"/>
    <m/>
    <s v="Defense Minister; CMC Member"/>
    <n v="8"/>
    <x v="1"/>
    <m/>
    <x v="0"/>
    <m/>
    <x v="0"/>
    <m/>
    <m/>
    <m/>
    <m/>
    <m/>
    <m/>
    <m/>
  </r>
  <r>
    <x v="0"/>
    <x v="9"/>
    <s v="West Asia and Africa"/>
    <s v="No Specific Relationship"/>
    <s v="Major Non-NATO Ally"/>
    <s v="CENTCOM"/>
    <x v="72"/>
    <x v="20"/>
    <n v="11"/>
    <x v="0"/>
    <m/>
    <m/>
    <m/>
    <m/>
    <x v="0"/>
    <m/>
    <x v="0"/>
    <m/>
    <x v="0"/>
    <m/>
    <s v="ETF"/>
    <s v="ETF-09"/>
    <s v="South Sea Fleet"/>
    <s v="DDG169 Wuhan, FFG569 Yulin, AOR885 Qinghai Hu"/>
    <m/>
    <m/>
  </r>
  <r>
    <x v="1"/>
    <x v="1"/>
    <s v="Asia"/>
    <s v="Comprehensive Strategic Cooperative Partnership [全面战略合作伙伴关系]"/>
    <s v="None"/>
    <s v="INDOPACOM"/>
    <x v="1"/>
    <x v="20"/>
    <n v="11"/>
    <x v="4"/>
    <s v="Chen Bingde"/>
    <m/>
    <s v="GSD Commander; CMC Member"/>
    <n v="8"/>
    <x v="1"/>
    <m/>
    <x v="0"/>
    <m/>
    <x v="0"/>
    <m/>
    <m/>
    <m/>
    <m/>
    <m/>
    <m/>
    <m/>
  </r>
  <r>
    <x v="1"/>
    <x v="4"/>
    <s v="Asia"/>
    <s v="Bilateral Defense Treaty"/>
    <s v="None"/>
    <s v="INDOPACOM"/>
    <x v="9"/>
    <x v="20"/>
    <n v="11"/>
    <x v="3"/>
    <s v="Li Jinai"/>
    <m/>
    <s v="GPD Director; CMC Member"/>
    <n v="8"/>
    <x v="2"/>
    <s v="Commander, Interior Force and First Deputy Minister of People's Security"/>
    <x v="0"/>
    <m/>
    <x v="0"/>
    <m/>
    <m/>
    <m/>
    <m/>
    <m/>
    <m/>
    <m/>
  </r>
  <r>
    <x v="0"/>
    <x v="9"/>
    <s v="West Asia and Africa"/>
    <s v="No Specific Relationship"/>
    <s v="None"/>
    <s v="CENTCOM"/>
    <x v="147"/>
    <x v="20"/>
    <n v="11"/>
    <x v="9"/>
    <m/>
    <m/>
    <m/>
    <m/>
    <x v="0"/>
    <m/>
    <x v="0"/>
    <m/>
    <x v="0"/>
    <m/>
    <s v="ETF"/>
    <s v="ETF-09"/>
    <s v="South Sea Fleet"/>
    <s v="DDG169 Wuhan, FFG569 Yulin, AOR885 Qinghai Hu; unknown, could be ETF-10"/>
    <m/>
    <m/>
  </r>
  <r>
    <x v="2"/>
    <x v="0"/>
    <s v="Asia"/>
    <s v="Strategic Partnership [战略伙伴关系]"/>
    <s v="Major Non-NATO Ally"/>
    <s v="CENTCOM"/>
    <x v="2"/>
    <x v="20"/>
    <n v="11"/>
    <x v="5"/>
    <m/>
    <m/>
    <m/>
    <m/>
    <x v="0"/>
    <m/>
    <x v="1"/>
    <s v="Friendship 2011"/>
    <x v="1"/>
    <s v="Anti-terrorism"/>
    <m/>
    <m/>
    <m/>
    <m/>
    <m/>
    <m/>
  </r>
  <r>
    <x v="1"/>
    <x v="7"/>
    <s v="West Asia and Africa"/>
    <s v="No Specific Relationship"/>
    <s v="None"/>
    <s v="AFRICOM"/>
    <x v="139"/>
    <x v="20"/>
    <n v="11"/>
    <x v="4"/>
    <s v="Liang Guanglie"/>
    <m/>
    <s v="Defense Minister; CMC Member"/>
    <n v="8"/>
    <x v="1"/>
    <m/>
    <x v="0"/>
    <m/>
    <x v="0"/>
    <m/>
    <m/>
    <m/>
    <m/>
    <m/>
    <m/>
    <m/>
  </r>
  <r>
    <x v="1"/>
    <x v="7"/>
    <s v="West Asia and Africa"/>
    <s v="Comprehensive Strategic Partnership [全面战略伙伴关系]"/>
    <s v="None"/>
    <s v="AFRICOM"/>
    <x v="15"/>
    <x v="20"/>
    <n v="11"/>
    <x v="3"/>
    <s v="Chen Yong"/>
    <m/>
    <s v="GSD Assistant Commander"/>
    <n v="5"/>
    <x v="2"/>
    <m/>
    <x v="0"/>
    <m/>
    <x v="0"/>
    <m/>
    <m/>
    <m/>
    <m/>
    <m/>
    <m/>
    <m/>
  </r>
  <r>
    <x v="1"/>
    <x v="7"/>
    <s v="West Asia and Africa"/>
    <s v="No Specific Relationship"/>
    <s v="None"/>
    <s v="AFRICOM"/>
    <x v="74"/>
    <x v="20"/>
    <n v="11"/>
    <x v="3"/>
    <s v="Liang Guanglie"/>
    <m/>
    <s v="Defense Minister; CMC Member"/>
    <n v="8"/>
    <x v="2"/>
    <s v="Defense Minister"/>
    <x v="0"/>
    <m/>
    <x v="0"/>
    <m/>
    <m/>
    <m/>
    <m/>
    <m/>
    <m/>
    <m/>
  </r>
  <r>
    <x v="1"/>
    <x v="8"/>
    <s v="Europe and Central Asia"/>
    <s v="No Specific Relationship"/>
    <s v="None"/>
    <s v="EUCOM"/>
    <x v="92"/>
    <x v="20"/>
    <n v="11"/>
    <x v="3"/>
    <s v="Wu Shengli"/>
    <m/>
    <s v="PLAN Commander; CMC Member"/>
    <n v="8"/>
    <x v="2"/>
    <s v="Navy Inspector General"/>
    <x v="0"/>
    <m/>
    <x v="0"/>
    <m/>
    <m/>
    <m/>
    <m/>
    <m/>
    <m/>
    <m/>
  </r>
  <r>
    <x v="0"/>
    <x v="10"/>
    <s v="America and Oceania"/>
    <s v="No Specific Relationship"/>
    <s v="None"/>
    <s v="SOUTHCOM"/>
    <x v="75"/>
    <x v="20"/>
    <n v="11"/>
    <x v="12"/>
    <m/>
    <m/>
    <m/>
    <m/>
    <x v="0"/>
    <m/>
    <x v="0"/>
    <m/>
    <x v="0"/>
    <m/>
    <s v="NETF"/>
    <s v="2011-10 Peace Ark "/>
    <s v="East Sea Fleet"/>
    <m/>
    <m/>
    <s v="recoded to delete drills"/>
  </r>
  <r>
    <x v="1"/>
    <x v="7"/>
    <s v="West Asia and Africa"/>
    <s v="No Specific Relationship"/>
    <s v="None"/>
    <s v="AFRICOM"/>
    <x v="97"/>
    <x v="20"/>
    <n v="11"/>
    <x v="4"/>
    <s v="Liang Guanglie"/>
    <m/>
    <s v="Defense Minister; CMC Member"/>
    <n v="8"/>
    <x v="1"/>
    <m/>
    <x v="0"/>
    <m/>
    <x v="0"/>
    <m/>
    <m/>
    <m/>
    <m/>
    <m/>
    <m/>
    <m/>
  </r>
  <r>
    <x v="2"/>
    <x v="10"/>
    <s v="America and Oceania"/>
    <s v="Strategic Development Partnership [战略发展伙伴关系]"/>
    <s v="None"/>
    <s v="SOUTHCOM"/>
    <x v="56"/>
    <x v="20"/>
    <n v="11"/>
    <x v="5"/>
    <s v=" "/>
    <m/>
    <s v=" "/>
    <s v=" "/>
    <x v="3"/>
    <m/>
    <x v="3"/>
    <s v="Cooperation 2011"/>
    <x v="1"/>
    <s v="SOF urban Warfare Exercise in Venezuela"/>
    <m/>
    <m/>
    <m/>
    <m/>
    <s v="Defense White Paper Appendix"/>
    <m/>
  </r>
  <r>
    <x v="1"/>
    <x v="0"/>
    <s v="Asia"/>
    <s v="Comprehensive Cooperative Partnership [全面合作伙伴关系]"/>
    <s v="None"/>
    <s v="INDOPACOM"/>
    <x v="0"/>
    <x v="20"/>
    <n v="12"/>
    <x v="4"/>
    <s v="Ma Xiaotian"/>
    <m/>
    <s v="GSD DCGS"/>
    <n v="6"/>
    <x v="1"/>
    <s v="Army Chief of Staff"/>
    <x v="0"/>
    <m/>
    <x v="0"/>
    <m/>
    <m/>
    <m/>
    <m/>
    <m/>
    <m/>
    <m/>
  </r>
  <r>
    <x v="1"/>
    <x v="8"/>
    <s v="Europe and Central Asia"/>
    <s v="No Specific Relationship"/>
    <s v="None"/>
    <s v="EUCOM"/>
    <x v="99"/>
    <x v="20"/>
    <n v="12"/>
    <x v="3"/>
    <s v="Guo Boxiong"/>
    <m/>
    <s v="CMC Vice Chairman"/>
    <n v="10"/>
    <x v="2"/>
    <s v="Defense Minister"/>
    <x v="0"/>
    <m/>
    <x v="0"/>
    <m/>
    <m/>
    <m/>
    <m/>
    <m/>
    <m/>
    <m/>
  </r>
  <r>
    <x v="1"/>
    <x v="1"/>
    <s v="Asia"/>
    <s v="Strategic Cooperative Partnership [战略合作伙伴关系]"/>
    <s v="None"/>
    <s v="INDOPACOM"/>
    <x v="10"/>
    <x v="20"/>
    <n v="12"/>
    <x v="3"/>
    <s v="Guo Boxiong"/>
    <m/>
    <s v="CMC Vice Chairman"/>
    <n v="10"/>
    <x v="2"/>
    <s v="Deputy Prime Minister"/>
    <x v="0"/>
    <m/>
    <x v="0"/>
    <m/>
    <m/>
    <m/>
    <m/>
    <m/>
    <m/>
    <m/>
  </r>
  <r>
    <x v="1"/>
    <x v="0"/>
    <s v="Asia"/>
    <s v="All-Round Strategic Partnership  [全面合作伙伴关系]"/>
    <s v="None"/>
    <s v="INDOPACOM"/>
    <x v="32"/>
    <x v="20"/>
    <n v="12"/>
    <x v="3"/>
    <s v="Liang Guanglie"/>
    <m/>
    <s v="Defense Minister; CMC Member"/>
    <n v="8"/>
    <x v="2"/>
    <s v="Deputy Prime Minister"/>
    <x v="0"/>
    <m/>
    <x v="0"/>
    <m/>
    <m/>
    <m/>
    <m/>
    <m/>
    <m/>
    <m/>
  </r>
  <r>
    <x v="0"/>
    <x v="9"/>
    <s v="West Asia and Africa"/>
    <s v="No Specific Relationship"/>
    <s v="None"/>
    <s v="CENTCOM"/>
    <x v="147"/>
    <x v="20"/>
    <n v="12"/>
    <x v="0"/>
    <m/>
    <m/>
    <m/>
    <m/>
    <x v="0"/>
    <m/>
    <x v="0"/>
    <m/>
    <x v="0"/>
    <m/>
    <s v="ETF"/>
    <s v="ETF-09"/>
    <s v="South Sea Fleet"/>
    <s v="DDG169 Wuhan, FFG569 Yulin, AOR885 Qinghai Hu"/>
    <m/>
    <m/>
  </r>
  <r>
    <x v="0"/>
    <x v="1"/>
    <s v="Asia"/>
    <s v="No Specific Relationship"/>
    <s v="None"/>
    <s v="INDOPACOM"/>
    <x v="39"/>
    <x v="20"/>
    <n v="12"/>
    <x v="13"/>
    <m/>
    <m/>
    <m/>
    <m/>
    <x v="0"/>
    <m/>
    <x v="0"/>
    <m/>
    <x v="0"/>
    <m/>
    <s v="ETF"/>
    <s v="ETF-10 "/>
    <s v="South Sea Fleet"/>
    <s v="DDG171 Haikou, FFG571 Yuncheng, AOR885 Qinghai Hu; unknown, could also be ETF-9"/>
    <m/>
    <m/>
  </r>
  <r>
    <x v="1"/>
    <x v="0"/>
    <s v="Asia"/>
    <s v="Comprehensive Cooperative Partnership [全面合作伙伴关系]"/>
    <s v="None"/>
    <s v="INDOPACOM"/>
    <x v="3"/>
    <x v="20"/>
    <n v="12"/>
    <x v="4"/>
    <s v="Ma Xiaotian"/>
    <m/>
    <s v="GSD DCGS"/>
    <n v="6"/>
    <x v="1"/>
    <s v="Army Commander"/>
    <x v="0"/>
    <m/>
    <x v="0"/>
    <m/>
    <m/>
    <m/>
    <m/>
    <m/>
    <m/>
    <m/>
  </r>
  <r>
    <x v="1"/>
    <x v="8"/>
    <s v="Europe and Central Asia"/>
    <s v="Comprehensive Strategic Partnership [全面战略伙伴关系]"/>
    <s v="NATO"/>
    <s v="EUCOM"/>
    <x v="21"/>
    <x v="20"/>
    <n v="12"/>
    <x v="3"/>
    <s v="Xu Qiliang"/>
    <m/>
    <s v="PLAAF Commander; CMC Member"/>
    <n v="8"/>
    <x v="2"/>
    <s v="RAF Chief of Staff"/>
    <x v="0"/>
    <m/>
    <x v="0"/>
    <m/>
    <m/>
    <m/>
    <m/>
    <m/>
    <m/>
    <m/>
  </r>
  <r>
    <x v="1"/>
    <x v="2"/>
    <s v="America and Oceania"/>
    <s v="No Specific Relationship"/>
    <s v="N/A"/>
    <s v="NORTHCOM"/>
    <x v="4"/>
    <x v="20"/>
    <n v="12"/>
    <x v="3"/>
    <s v="Ma Xiaotian"/>
    <m/>
    <s v="GSD DCGS"/>
    <n v="6"/>
    <x v="2"/>
    <m/>
    <x v="0"/>
    <m/>
    <x v="0"/>
    <m/>
    <m/>
    <m/>
    <m/>
    <m/>
    <m/>
    <m/>
  </r>
  <r>
    <x v="1"/>
    <x v="1"/>
    <s v="Asia"/>
    <s v="Strategic Partnership [战略伙伴关系]"/>
    <s v="None"/>
    <s v="INDOPACOM"/>
    <x v="8"/>
    <x v="21"/>
    <n v="1"/>
    <x v="3"/>
    <s v="Liang Guanglie"/>
    <m/>
    <s v="Defense Minister; CMC Member"/>
    <n v="8"/>
    <x v="2"/>
    <s v="Ambassador to China"/>
    <x v="0"/>
    <m/>
    <x v="0"/>
    <m/>
    <m/>
    <m/>
    <m/>
    <m/>
    <m/>
    <m/>
  </r>
  <r>
    <x v="1"/>
    <x v="0"/>
    <s v="Asia"/>
    <s v="Strategic Partnership [战略伙伴关系]"/>
    <s v="Major Non-NATO Ally"/>
    <s v="CENTCOM"/>
    <x v="2"/>
    <x v="21"/>
    <n v="1"/>
    <x v="3"/>
    <s v="Chen Bingde"/>
    <m/>
    <s v="GSD Commander; CMC Member"/>
    <n v="8"/>
    <x v="2"/>
    <s v="Army Chief of Staff"/>
    <x v="0"/>
    <m/>
    <x v="0"/>
    <m/>
    <m/>
    <m/>
    <m/>
    <m/>
    <m/>
    <m/>
  </r>
  <r>
    <x v="1"/>
    <x v="8"/>
    <s v="Europe and Central Asia"/>
    <s v="Strategic Partnership [战略伙伴关系]"/>
    <s v="NATO"/>
    <s v="EUCOM"/>
    <x v="18"/>
    <x v="21"/>
    <n v="2"/>
    <x v="3"/>
    <s v="Ma Xiaotian"/>
    <m/>
    <s v="GSD DCGS"/>
    <n v="6"/>
    <x v="2"/>
    <s v="Deputy Chief Military Policy and Arms Control, Defense Ministry"/>
    <x v="0"/>
    <m/>
    <x v="0"/>
    <m/>
    <m/>
    <m/>
    <m/>
    <m/>
    <m/>
    <m/>
  </r>
  <r>
    <x v="1"/>
    <x v="1"/>
    <s v="Asia"/>
    <s v="Strategic Partnership [战略伙伴关系]"/>
    <s v="None"/>
    <s v="INDOPACOM"/>
    <x v="8"/>
    <x v="21"/>
    <n v="2"/>
    <x v="3"/>
    <s v="Liang Guanglie"/>
    <m/>
    <s v="Defense Minister; CMC Member"/>
    <n v="8"/>
    <x v="2"/>
    <s v="Defense Minister"/>
    <x v="0"/>
    <m/>
    <x v="0"/>
    <m/>
    <m/>
    <m/>
    <m/>
    <m/>
    <m/>
    <m/>
  </r>
  <r>
    <x v="1"/>
    <x v="8"/>
    <s v="Europe and Central Asia"/>
    <s v="Comprehensive Strategic Partnership [全面战略伙伴关系]"/>
    <s v="NATO"/>
    <s v="EUCOM"/>
    <x v="20"/>
    <x v="21"/>
    <n v="2"/>
    <x v="3"/>
    <s v="Chang Wanquan"/>
    <m/>
    <s v="GAD Director; CMC Member"/>
    <n v="8"/>
    <x v="2"/>
    <s v="Deputy Secretary General of Ministry of Defense"/>
    <x v="0"/>
    <m/>
    <x v="0"/>
    <m/>
    <m/>
    <m/>
    <m/>
    <m/>
    <m/>
    <m/>
  </r>
  <r>
    <x v="1"/>
    <x v="4"/>
    <s v="Asia"/>
    <s v="Mutually Beneficial Strategic Relationship [战略互惠关系]"/>
    <s v="Bilateral Defense Treaty"/>
    <s v="INDOPACOM"/>
    <x v="83"/>
    <x v="21"/>
    <n v="2"/>
    <x v="3"/>
    <s v="Liang Guanglie"/>
    <m/>
    <s v="Defense Minister; CMC Member"/>
    <n v="8"/>
    <x v="2"/>
    <s v="young military officers"/>
    <x v="0"/>
    <m/>
    <x v="0"/>
    <m/>
    <m/>
    <m/>
    <m/>
    <m/>
    <m/>
    <m/>
  </r>
  <r>
    <x v="1"/>
    <x v="1"/>
    <s v="Asia"/>
    <s v="Comprehensive Strategic Cooperative Partnership [全面战略合作伙伴关系]"/>
    <s v="None"/>
    <s v="INDOPACOM"/>
    <x v="1"/>
    <x v="21"/>
    <n v="2"/>
    <x v="3"/>
    <s v="Chen Bingde"/>
    <m/>
    <s v="GSD Commander; CMC Member"/>
    <n v="8"/>
    <x v="2"/>
    <s v="speaker of house of representatives; former Chief of Staff Armed Forces"/>
    <x v="0"/>
    <m/>
    <x v="0"/>
    <m/>
    <m/>
    <m/>
    <m/>
    <m/>
    <m/>
    <m/>
  </r>
  <r>
    <x v="1"/>
    <x v="8"/>
    <s v="Europe and Central Asia"/>
    <s v="No Specific Relationship"/>
    <s v="NATO"/>
    <s v="EUCOM"/>
    <x v="151"/>
    <x v="21"/>
    <n v="2"/>
    <x v="3"/>
    <s v="Ma Xiaotian"/>
    <m/>
    <s v="GSD DCGS"/>
    <n v="6"/>
    <x v="2"/>
    <s v="Director, IMS, NATO"/>
    <x v="0"/>
    <m/>
    <x v="0"/>
    <m/>
    <m/>
    <m/>
    <m/>
    <m/>
    <s v="https://www.nato.int/cps/fr/natohq/news_84305.htm?selectedLocale=en"/>
    <s v="PCS: May have been an iteration of the China-NATO staff talks, but the higher rank of the NATO delegation and the PLA counterpart Ma Xiaotian justify inclusion"/>
  </r>
  <r>
    <x v="0"/>
    <x v="9"/>
    <s v="West Asia and Africa"/>
    <s v="No Specific Relationship"/>
    <s v="None"/>
    <s v="CENTCOM"/>
    <x v="147"/>
    <x v="21"/>
    <n v="2"/>
    <x v="9"/>
    <m/>
    <m/>
    <m/>
    <m/>
    <x v="0"/>
    <m/>
    <x v="0"/>
    <m/>
    <x v="0"/>
    <m/>
    <s v="ETF"/>
    <s v="ETF-10"/>
    <s v="South Sea Fleet"/>
    <s v="DDG171 Haikou, FFG571 Yuncheng, AOR885 Qinghai Hu"/>
    <m/>
    <m/>
  </r>
  <r>
    <x v="1"/>
    <x v="3"/>
    <s v="Europe and Central Asia"/>
    <s v="Strategic Partnership of Coordination [战略协作伙伴关系]"/>
    <s v="None"/>
    <s v="EUCOM"/>
    <x v="7"/>
    <x v="21"/>
    <n v="2"/>
    <x v="3"/>
    <s v="Chen Bingde"/>
    <m/>
    <s v="GSD Commander; CMC Member"/>
    <n v="8"/>
    <x v="2"/>
    <s v="DCOGS"/>
    <x v="0"/>
    <m/>
    <x v="0"/>
    <m/>
    <m/>
    <m/>
    <m/>
    <m/>
    <m/>
    <m/>
  </r>
  <r>
    <x v="1"/>
    <x v="0"/>
    <s v="Asia"/>
    <s v="Comprehensive Cooperative Partnership [全面合作伙伴关系]"/>
    <s v="None"/>
    <s v="INDOPACOM"/>
    <x v="3"/>
    <x v="21"/>
    <n v="2"/>
    <x v="3"/>
    <s v="Ma Xiaotian"/>
    <m/>
    <s v="GSD DCGS"/>
    <n v="6"/>
    <x v="2"/>
    <s v="Commander, Eastern Military Command of Navy"/>
    <x v="0"/>
    <m/>
    <x v="0"/>
    <m/>
    <m/>
    <m/>
    <m/>
    <m/>
    <m/>
    <m/>
  </r>
  <r>
    <x v="1"/>
    <x v="1"/>
    <s v="Asia"/>
    <s v="Comprehensive Strategic Cooperative Partnership [全面战略合作伙伴关系]"/>
    <s v="Bilateral Defense Treaty"/>
    <s v="INDOPACOM"/>
    <x v="5"/>
    <x v="21"/>
    <n v="2"/>
    <x v="3"/>
    <s v="Liang Guanglie"/>
    <m/>
    <s v="Defense Minister; CMC Member"/>
    <n v="8"/>
    <x v="2"/>
    <s v="CinC Army"/>
    <x v="0"/>
    <m/>
    <x v="0"/>
    <m/>
    <m/>
    <m/>
    <m/>
    <m/>
    <m/>
    <m/>
  </r>
  <r>
    <x v="1"/>
    <x v="8"/>
    <s v="Europe and Central Asia"/>
    <s v="Strategic Cooperative Partnership [战略合作伙伴关系]"/>
    <s v="None"/>
    <s v="EUCOM"/>
    <x v="26"/>
    <x v="21"/>
    <n v="2"/>
    <x v="3"/>
    <s v="Wu Shengli"/>
    <m/>
    <s v="PLAN Commander; CMC Member"/>
    <n v="8"/>
    <x v="2"/>
    <s v="Navy Commander"/>
    <x v="0"/>
    <m/>
    <x v="0"/>
    <m/>
    <m/>
    <m/>
    <m/>
    <m/>
    <m/>
    <m/>
  </r>
  <r>
    <x v="1"/>
    <x v="1"/>
    <s v="Asia"/>
    <s v="No Specific Relationship"/>
    <s v="None"/>
    <s v="INDOPACOM"/>
    <x v="44"/>
    <x v="21"/>
    <n v="3"/>
    <x v="3"/>
    <s v="Liang Guanglie"/>
    <m/>
    <s v="Defense Minister; CMC Member"/>
    <n v="8"/>
    <x v="2"/>
    <s v="Deputy Defense Minister"/>
    <x v="0"/>
    <m/>
    <x v="0"/>
    <m/>
    <m/>
    <m/>
    <m/>
    <m/>
    <m/>
    <m/>
  </r>
  <r>
    <x v="1"/>
    <x v="2"/>
    <s v="America and Oceania"/>
    <s v="Strategic Partnership [战略伙伴关系]"/>
    <s v="NATO"/>
    <s v="NORTHCOM"/>
    <x v="17"/>
    <x v="21"/>
    <n v="3"/>
    <x v="3"/>
    <s v="Guo Boxiong"/>
    <m/>
    <s v="CMC Vice Chairman"/>
    <n v="10"/>
    <x v="2"/>
    <s v="Chief of Staff"/>
    <x v="0"/>
    <m/>
    <x v="0"/>
    <m/>
    <m/>
    <m/>
    <m/>
    <m/>
    <m/>
    <m/>
  </r>
  <r>
    <x v="0"/>
    <x v="9"/>
    <s v="West Asia and Africa"/>
    <s v="No Specific Relationship"/>
    <s v="None"/>
    <s v="CENTCOM"/>
    <x v="119"/>
    <x v="21"/>
    <n v="3"/>
    <x v="9"/>
    <m/>
    <m/>
    <m/>
    <m/>
    <x v="0"/>
    <m/>
    <x v="0"/>
    <m/>
    <x v="0"/>
    <m/>
    <s v="ETF"/>
    <s v="ETF-10 "/>
    <s v="South Sea Fleet"/>
    <s v="DDG171 Haikou, FFG571 Yuncheng, AOR885 Qinghai Hu; unknown, could also be ETF-11"/>
    <m/>
    <m/>
  </r>
  <r>
    <x v="1"/>
    <x v="8"/>
    <s v="Europe and Central Asia"/>
    <s v="Comprehensive Strategic Partnership [全面战略伙伴关系]"/>
    <s v="NATO"/>
    <s v="EUCOM"/>
    <x v="22"/>
    <x v="21"/>
    <n v="3"/>
    <x v="3"/>
    <s v="Ma Xiaotian"/>
    <m/>
    <s v="GSD DCGS"/>
    <n v="6"/>
    <x v="2"/>
    <s v="Army Deputy Chief of Staff"/>
    <x v="0"/>
    <m/>
    <x v="0"/>
    <m/>
    <m/>
    <m/>
    <m/>
    <m/>
    <m/>
    <m/>
  </r>
  <r>
    <x v="1"/>
    <x v="8"/>
    <s v="Europe and Central Asia"/>
    <s v="Strategic Partnership [战略伙伴关系]"/>
    <s v="NATO"/>
    <s v="EUCOM"/>
    <x v="18"/>
    <x v="21"/>
    <n v="3"/>
    <x v="3"/>
    <s v="Chen Bingde"/>
    <m/>
    <s v="GSD Commander; CMC Member"/>
    <n v="8"/>
    <x v="2"/>
    <s v="Army Inspector"/>
    <x v="0"/>
    <m/>
    <x v="0"/>
    <m/>
    <m/>
    <m/>
    <m/>
    <m/>
    <m/>
    <m/>
  </r>
  <r>
    <x v="1"/>
    <x v="8"/>
    <s v="Europe and Central Asia"/>
    <s v="Comprehensive Strategic Partnership [全面战略伙伴关系]"/>
    <s v="NATO"/>
    <s v="EUCOM"/>
    <x v="20"/>
    <x v="21"/>
    <n v="3"/>
    <x v="3"/>
    <s v="Ma Xiaotian"/>
    <m/>
    <s v="GSD DCGS"/>
    <n v="6"/>
    <x v="2"/>
    <s v="Deputy Chief 3rd Dept, Plans and Military Policy of Defense General Staff"/>
    <x v="0"/>
    <m/>
    <x v="0"/>
    <m/>
    <m/>
    <m/>
    <m/>
    <m/>
    <m/>
    <m/>
  </r>
  <r>
    <x v="1"/>
    <x v="8"/>
    <s v="Europe and Central Asia"/>
    <s v="No Specific Relationship"/>
    <s v="None"/>
    <s v="EUCOM"/>
    <x v="92"/>
    <x v="21"/>
    <n v="3"/>
    <x v="3"/>
    <s v="Chen Bingde"/>
    <m/>
    <s v="GSD Commander; CMC Member"/>
    <n v="8"/>
    <x v="2"/>
    <s v="Supreme Commander Armed Forces"/>
    <x v="0"/>
    <m/>
    <x v="0"/>
    <m/>
    <m/>
    <m/>
    <m/>
    <m/>
    <m/>
    <m/>
  </r>
  <r>
    <x v="1"/>
    <x v="7"/>
    <s v="West Asia and Africa"/>
    <s v="No Specific Relationship"/>
    <s v="None"/>
    <s v="AFRICOM"/>
    <x v="86"/>
    <x v="21"/>
    <n v="3"/>
    <x v="4"/>
    <s v="Tong Shiping"/>
    <m/>
    <s v="GPD Deputy Director"/>
    <n v="6"/>
    <x v="1"/>
    <m/>
    <x v="0"/>
    <m/>
    <x v="0"/>
    <m/>
    <m/>
    <m/>
    <m/>
    <m/>
    <m/>
    <m/>
  </r>
  <r>
    <x v="1"/>
    <x v="8"/>
    <s v="Europe and Central Asia"/>
    <s v="No Specific Relationship"/>
    <s v="None"/>
    <s v="EUCOM"/>
    <x v="63"/>
    <x v="21"/>
    <n v="4"/>
    <x v="3"/>
    <s v="Ma Xiaotian"/>
    <m/>
    <s v="GSD DCGS"/>
    <n v="6"/>
    <x v="2"/>
    <s v="Director, Defense Policy Bureau of Defense Ministry"/>
    <x v="0"/>
    <m/>
    <x v="0"/>
    <m/>
    <m/>
    <m/>
    <m/>
    <m/>
    <m/>
    <m/>
  </r>
  <r>
    <x v="1"/>
    <x v="8"/>
    <s v="Europe and Central Asia"/>
    <s v="Strategic Partnership [战略伙伴关系]"/>
    <s v="NATO"/>
    <s v="EUCOM"/>
    <x v="18"/>
    <x v="21"/>
    <n v="4"/>
    <x v="3"/>
    <s v="Guo Boxiong"/>
    <m/>
    <s v="CMC Vice Chairman"/>
    <n v="10"/>
    <x v="2"/>
    <s v="Secretary of State for Defense"/>
    <x v="0"/>
    <m/>
    <x v="0"/>
    <m/>
    <m/>
    <m/>
    <m/>
    <m/>
    <m/>
    <m/>
  </r>
  <r>
    <x v="1"/>
    <x v="6"/>
    <s v="Europe and Central Asia"/>
    <s v="Comprehensive Strategic Partnership [全面战略伙伴关系]"/>
    <s v="None"/>
    <s v="CENTCOM"/>
    <x v="30"/>
    <x v="21"/>
    <n v="4"/>
    <x v="7"/>
    <s v="Liang Guanglie"/>
    <m/>
    <s v="Defense Minister; CMC Member"/>
    <n v="8"/>
    <x v="2"/>
    <s v="Defense Minister"/>
    <x v="0"/>
    <m/>
    <x v="0"/>
    <m/>
    <m/>
    <m/>
    <m/>
    <m/>
    <m/>
    <s v="SCO Defense Ministers' Meeting"/>
  </r>
  <r>
    <x v="1"/>
    <x v="7"/>
    <s v="West Asia and Africa"/>
    <s v="No Specific Relationship"/>
    <s v="None"/>
    <s v="AFRICOM"/>
    <x v="143"/>
    <x v="21"/>
    <n v="4"/>
    <x v="3"/>
    <s v="Liang Guanglie"/>
    <m/>
    <s v="Defense Minister; CMC Member"/>
    <n v="8"/>
    <x v="2"/>
    <s v="Permanent Secretary of Ministry of Defense"/>
    <x v="0"/>
    <m/>
    <x v="0"/>
    <m/>
    <m/>
    <m/>
    <m/>
    <m/>
    <m/>
    <m/>
  </r>
  <r>
    <x v="0"/>
    <x v="7"/>
    <s v="West Asia and Africa"/>
    <s v="No Specific Relationship"/>
    <s v="None"/>
    <s v="AFRICOM"/>
    <x v="84"/>
    <x v="21"/>
    <n v="4"/>
    <x v="0"/>
    <m/>
    <m/>
    <m/>
    <m/>
    <x v="0"/>
    <m/>
    <x v="0"/>
    <m/>
    <x v="0"/>
    <m/>
    <s v="ETF"/>
    <s v="ETF-10"/>
    <s v="South Sea Fleet"/>
    <s v="DDG171 Haikou, FFG571 Yuncheng, AOR885 Qinghai Hu"/>
    <m/>
    <m/>
  </r>
  <r>
    <x v="1"/>
    <x v="0"/>
    <s v="Asia"/>
    <s v="Strategic Partnership [战略伙伴关系]"/>
    <s v="Major Non-NATO Ally"/>
    <s v="CENTCOM"/>
    <x v="2"/>
    <x v="21"/>
    <n v="4"/>
    <x v="3"/>
    <s v="Liang Guanglie"/>
    <m/>
    <s v="Defense Minister; CMC Member"/>
    <n v="8"/>
    <x v="2"/>
    <s v="Chairman JCS"/>
    <x v="0"/>
    <m/>
    <x v="0"/>
    <m/>
    <m/>
    <m/>
    <m/>
    <m/>
    <m/>
    <m/>
  </r>
  <r>
    <x v="1"/>
    <x v="3"/>
    <s v="Europe and Central Asia"/>
    <s v="Strategic Partnership of Coordination [战略协作伙伴关系]"/>
    <s v="None"/>
    <s v="EUCOM"/>
    <x v="7"/>
    <x v="21"/>
    <n v="4"/>
    <x v="3"/>
    <s v="Guo Boxiong"/>
    <m/>
    <s v="CMC Vice Chairman"/>
    <n v="10"/>
    <x v="2"/>
    <s v="Deputy PM"/>
    <x v="0"/>
    <m/>
    <x v="0"/>
    <m/>
    <m/>
    <m/>
    <m/>
    <m/>
    <m/>
    <m/>
  </r>
  <r>
    <x v="2"/>
    <x v="3"/>
    <s v="Europe and Central Asia"/>
    <s v="Strategic Partnership of Coordination [战略协作伙伴关系]"/>
    <s v="None"/>
    <s v="EUCOM"/>
    <x v="7"/>
    <x v="21"/>
    <n v="4"/>
    <x v="5"/>
    <m/>
    <m/>
    <m/>
    <m/>
    <x v="0"/>
    <m/>
    <x v="3"/>
    <s v="Maritime Cooperation 2012 (aka Joint Sea 2012)"/>
    <x v="2"/>
    <s v="Maritime; HADR; live-fire drills. April 22 to 27"/>
    <m/>
    <m/>
    <m/>
    <m/>
    <m/>
    <m/>
  </r>
  <r>
    <x v="1"/>
    <x v="6"/>
    <s v="Europe and Central Asia"/>
    <s v="Member"/>
    <s v="None"/>
    <s v="CENTCOM"/>
    <x v="14"/>
    <x v="21"/>
    <n v="4"/>
    <x v="2"/>
    <s v="Liang Guanglie"/>
    <m/>
    <s v="Defense Minister; CMC Member"/>
    <n v="8"/>
    <x v="1"/>
    <s v="Ninth official meeting of the SCO Ministers' of Defense in Tajikistan; Other countries: Kazakhstan, Kyrgyztan, Russia, Tajikistan, Uzbekistan"/>
    <x v="0"/>
    <m/>
    <x v="0"/>
    <m/>
    <m/>
    <m/>
    <m/>
    <m/>
    <s v="http://nl.china-embassy.org/eng/zgyw/t926911.htm"/>
    <m/>
  </r>
  <r>
    <x v="1"/>
    <x v="6"/>
    <s v="Europe and Central Asia"/>
    <s v="No Specific Relationship"/>
    <s v="None"/>
    <s v="CENTCOM"/>
    <x v="60"/>
    <x v="21"/>
    <n v="4"/>
    <x v="7"/>
    <s v="Liang Guanglie"/>
    <m/>
    <s v="Defense Minister; CMC Member"/>
    <n v="8"/>
    <x v="2"/>
    <s v="Defense Minister"/>
    <x v="0"/>
    <m/>
    <x v="0"/>
    <m/>
    <m/>
    <m/>
    <m/>
    <m/>
    <s v="http://news.tj/en/news/sco-s-peace-mission-2012-war-games-start-north-tajikistan"/>
    <s v="SCO Defense Ministers' Meeting"/>
  </r>
  <r>
    <x v="0"/>
    <x v="1"/>
    <s v="Asia"/>
    <s v="Comprehensive Strategic Cooperative Partnership [全面战略合作伙伴关系]"/>
    <s v="Bilateral Defense Treaty"/>
    <s v="INDOPACOM"/>
    <x v="5"/>
    <x v="21"/>
    <n v="4"/>
    <x v="0"/>
    <m/>
    <m/>
    <m/>
    <m/>
    <x v="0"/>
    <m/>
    <x v="0"/>
    <m/>
    <x v="0"/>
    <m/>
    <s v="ETF"/>
    <s v="ETF-10"/>
    <s v="South Sea Fleet"/>
    <s v="DDG171 Haikou, FFG571 Yuncheng, AOR885 Qinghai Hu"/>
    <m/>
    <m/>
  </r>
  <r>
    <x v="1"/>
    <x v="10"/>
    <s v="America and Oceania"/>
    <s v="No Specific Relationship"/>
    <s v="None"/>
    <s v="SOUTHCOM"/>
    <x v="75"/>
    <x v="21"/>
    <n v="4"/>
    <x v="3"/>
    <s v="Liang Guanglie"/>
    <m/>
    <s v="Defense Minister; CMC Member"/>
    <n v="8"/>
    <x v="2"/>
    <s v="Defense Minister"/>
    <x v="0"/>
    <m/>
    <x v="0"/>
    <m/>
    <m/>
    <m/>
    <m/>
    <m/>
    <m/>
    <m/>
  </r>
  <r>
    <x v="1"/>
    <x v="6"/>
    <s v="Europe and Central Asia"/>
    <s v="Strategic Partnership [战略伙伴关系]"/>
    <s v="None"/>
    <s v="CENTCOM"/>
    <x v="73"/>
    <x v="21"/>
    <n v="4"/>
    <x v="3"/>
    <s v="Xu Caihou"/>
    <m/>
    <s v="CMC Vice Chairman"/>
    <n v="10"/>
    <x v="2"/>
    <s v="Chief of Joint Staff"/>
    <x v="0"/>
    <m/>
    <x v="0"/>
    <m/>
    <m/>
    <m/>
    <m/>
    <m/>
    <m/>
    <m/>
  </r>
  <r>
    <x v="1"/>
    <x v="1"/>
    <s v="Asia"/>
    <s v="Comprehensive Strategic Cooperative Partnership [全面战略合作伙伴关系]"/>
    <s v="None"/>
    <s v="INDOPACOM"/>
    <x v="23"/>
    <x v="21"/>
    <n v="4"/>
    <x v="3"/>
    <s v="Chen Bingde"/>
    <m/>
    <s v="GSD Commander; CMC Member"/>
    <n v="8"/>
    <x v="2"/>
    <s v="COGS Army"/>
    <x v="0"/>
    <m/>
    <x v="0"/>
    <m/>
    <m/>
    <m/>
    <m/>
    <m/>
    <m/>
    <m/>
  </r>
  <r>
    <x v="0"/>
    <x v="9"/>
    <s v="West Asia and Africa"/>
    <s v="No Specific Relationship"/>
    <s v="None"/>
    <s v="CENTCOM"/>
    <x v="119"/>
    <x v="21"/>
    <n v="5"/>
    <x v="9"/>
    <m/>
    <m/>
    <m/>
    <m/>
    <x v="0"/>
    <m/>
    <x v="0"/>
    <m/>
    <x v="0"/>
    <m/>
    <s v="ETF"/>
    <s v="ETF-11"/>
    <s v="North Sea Fleet"/>
    <s v="DDG113 Qingdao, FFG538 Yantai, AOR887 Weishan Hu"/>
    <m/>
    <m/>
  </r>
  <r>
    <x v="1"/>
    <x v="7"/>
    <s v="West Asia and Africa"/>
    <s v="No Specific Relationship"/>
    <s v="None"/>
    <s v="AFRICOM"/>
    <x v="95"/>
    <x v="21"/>
    <n v="5"/>
    <x v="4"/>
    <s v="Wang Guosheng"/>
    <m/>
    <s v="Lanzhou MR Commander"/>
    <n v="6"/>
    <x v="1"/>
    <m/>
    <x v="0"/>
    <m/>
    <x v="0"/>
    <m/>
    <m/>
    <m/>
    <m/>
    <m/>
    <m/>
    <m/>
  </r>
  <r>
    <x v="1"/>
    <x v="8"/>
    <s v="Europe and Central Asia"/>
    <s v="No Specific Relationship"/>
    <s v="None"/>
    <s v="EUCOM"/>
    <x v="81"/>
    <x v="21"/>
    <n v="5"/>
    <x v="3"/>
    <s v="Qi Jianguo"/>
    <m/>
    <s v="GSD Assistant Commander"/>
    <n v="5"/>
    <x v="2"/>
    <s v="DCOGS"/>
    <x v="0"/>
    <m/>
    <x v="0"/>
    <m/>
    <m/>
    <m/>
    <m/>
    <m/>
    <m/>
    <m/>
  </r>
  <r>
    <x v="1"/>
    <x v="9"/>
    <s v="West Asia and Africa"/>
    <s v="No Specific Relationship"/>
    <s v="Major Non-NATO Ally"/>
    <s v="CENTCOM"/>
    <x v="100"/>
    <x v="21"/>
    <n v="5"/>
    <x v="3"/>
    <s v="Chen Bingde"/>
    <m/>
    <s v="GSD Commander; CMC Member"/>
    <n v="8"/>
    <x v="2"/>
    <s v="IDF Chief of Staff"/>
    <x v="0"/>
    <m/>
    <x v="0"/>
    <m/>
    <m/>
    <m/>
    <m/>
    <m/>
    <m/>
    <m/>
  </r>
  <r>
    <x v="1"/>
    <x v="8"/>
    <s v="Europe and Central Asia"/>
    <s v="Comprehensive Strategic Partnership [全面战略伙伴关系]"/>
    <s v="NATO"/>
    <s v="EUCOM"/>
    <x v="20"/>
    <x v="21"/>
    <n v="5"/>
    <x v="3"/>
    <s v="Li Jinai"/>
    <m/>
    <s v="GPD Director; CMC Member"/>
    <n v="8"/>
    <x v="2"/>
    <s v="Air Force Chief of Staff"/>
    <x v="0"/>
    <m/>
    <x v="0"/>
    <m/>
    <m/>
    <m/>
    <m/>
    <m/>
    <m/>
    <m/>
  </r>
  <r>
    <x v="1"/>
    <x v="8"/>
    <s v="Europe and Central Asia"/>
    <s v="Friendly Cooperative Partnership [友好合作伙伴关系]"/>
    <s v="NATO"/>
    <s v="EUCOM"/>
    <x v="157"/>
    <x v="21"/>
    <n v="5"/>
    <x v="4"/>
    <s v="Liang Guanglie"/>
    <m/>
    <s v="Defense Minister; CMC Member"/>
    <n v="8"/>
    <x v="1"/>
    <m/>
    <x v="0"/>
    <m/>
    <x v="0"/>
    <m/>
    <m/>
    <m/>
    <m/>
    <m/>
    <m/>
    <m/>
  </r>
  <r>
    <x v="1"/>
    <x v="4"/>
    <s v="Asia"/>
    <s v="Strategic Partnership [战略伙伴关系]"/>
    <s v="None"/>
    <s v="INDOPACOM"/>
    <x v="53"/>
    <x v="21"/>
    <n v="5"/>
    <x v="4"/>
    <s v="Xu Caihou"/>
    <m/>
    <s v="CMC Vice Chairman"/>
    <n v="10"/>
    <x v="1"/>
    <m/>
    <x v="0"/>
    <m/>
    <x v="0"/>
    <m/>
    <m/>
    <m/>
    <m/>
    <m/>
    <m/>
    <m/>
  </r>
  <r>
    <x v="1"/>
    <x v="7"/>
    <s v="West Asia and Africa"/>
    <s v="No Specific Relationship"/>
    <s v="None"/>
    <s v="AFRICOM"/>
    <x v="84"/>
    <x v="21"/>
    <n v="5"/>
    <x v="3"/>
    <s v="Liang Guanglie"/>
    <m/>
    <s v="Defense Minister; CMC Member"/>
    <n v="8"/>
    <x v="2"/>
    <s v="Defense Minister"/>
    <x v="0"/>
    <m/>
    <x v="0"/>
    <m/>
    <m/>
    <m/>
    <m/>
    <m/>
    <m/>
    <m/>
  </r>
  <r>
    <x v="1"/>
    <x v="1"/>
    <s v="Asia"/>
    <s v="Comprehensive Strategic Cooperative Partnership [全面战略合作伙伴关系]"/>
    <s v="None"/>
    <s v="INDOPACOM"/>
    <x v="1"/>
    <x v="21"/>
    <n v="5"/>
    <x v="3"/>
    <s v="Qi Jianguo"/>
    <m/>
    <s v="GSD Assistant Commander"/>
    <n v="5"/>
    <x v="2"/>
    <s v="Head of 2nd Special Forces Department"/>
    <x v="0"/>
    <m/>
    <x v="0"/>
    <m/>
    <m/>
    <m/>
    <m/>
    <m/>
    <m/>
    <m/>
  </r>
  <r>
    <x v="1"/>
    <x v="8"/>
    <s v="Europe and Central Asia"/>
    <s v="Strategic Partnership [战略伙伴关系]"/>
    <s v="NATO"/>
    <s v="EUCOM"/>
    <x v="59"/>
    <x v="21"/>
    <n v="5"/>
    <x v="3"/>
    <s v="Liang Guanglie"/>
    <m/>
    <s v="Defense Minister; CMC Member"/>
    <n v="8"/>
    <x v="2"/>
    <s v="Defense Minister"/>
    <x v="0"/>
    <m/>
    <x v="0"/>
    <m/>
    <m/>
    <m/>
    <m/>
    <m/>
    <m/>
    <m/>
  </r>
  <r>
    <x v="1"/>
    <x v="6"/>
    <s v="Europe and Central Asia"/>
    <s v="Member"/>
    <s v="None"/>
    <s v="CENTCOM"/>
    <x v="14"/>
    <x v="21"/>
    <n v="5"/>
    <x v="1"/>
    <s v="Chen Bingde"/>
    <m/>
    <s v="GSD Commander; CMC Member"/>
    <n v="8"/>
    <x v="1"/>
    <s v="Second meeting of SCO military chiefs of staff in Tajikistan"/>
    <x v="0"/>
    <m/>
    <x v="0"/>
    <m/>
    <m/>
    <m/>
    <m/>
    <m/>
    <s v="http://en.people.cn/90786/7834434.html"/>
    <m/>
  </r>
  <r>
    <x v="1"/>
    <x v="0"/>
    <s v="Asia"/>
    <s v="Comprehensive Cooperative Partnership [全面合作伙伴关系]"/>
    <s v="None"/>
    <s v="INDOPACOM"/>
    <x v="3"/>
    <x v="21"/>
    <n v="5"/>
    <x v="3"/>
    <s v="Liang Guanglie"/>
    <m/>
    <s v="Defense Minister; CMC Member"/>
    <n v="8"/>
    <x v="2"/>
    <s v="Army Commander"/>
    <x v="0"/>
    <m/>
    <x v="0"/>
    <m/>
    <m/>
    <m/>
    <m/>
    <m/>
    <m/>
    <m/>
  </r>
  <r>
    <x v="1"/>
    <x v="6"/>
    <s v="Europe and Central Asia"/>
    <s v="No Specific Relationship"/>
    <s v="None"/>
    <s v="CENTCOM"/>
    <x v="60"/>
    <x v="21"/>
    <n v="5"/>
    <x v="4"/>
    <s v="Chen Bingde"/>
    <m/>
    <s v="GSD Commander; CMC Member"/>
    <n v="8"/>
    <x v="1"/>
    <m/>
    <x v="0"/>
    <m/>
    <x v="0"/>
    <m/>
    <m/>
    <m/>
    <m/>
    <m/>
    <m/>
    <m/>
  </r>
  <r>
    <x v="2"/>
    <x v="1"/>
    <s v="Asia"/>
    <s v="Comprehensive Strategic Cooperative Partnership [全面战略合作伙伴关系]"/>
    <s v="Bilateral Defense Treaty"/>
    <s v="INDOPACOM"/>
    <x v="5"/>
    <x v="21"/>
    <n v="5"/>
    <x v="5"/>
    <m/>
    <m/>
    <m/>
    <m/>
    <x v="0"/>
    <m/>
    <x v="5"/>
    <s v="Blue Strike 2012"/>
    <x v="2"/>
    <s v="Amphibious assault; Marines"/>
    <m/>
    <m/>
    <m/>
    <m/>
    <m/>
    <m/>
  </r>
  <r>
    <x v="1"/>
    <x v="6"/>
    <s v="Europe and Central Asia"/>
    <s v="No Specific Relationship"/>
    <s v="None"/>
    <s v="CENTCOM"/>
    <x v="55"/>
    <x v="21"/>
    <n v="5"/>
    <x v="4"/>
    <s v="Chen Bingde"/>
    <m/>
    <s v="GSD Commander; CMC Member"/>
    <n v="8"/>
    <x v="1"/>
    <m/>
    <x v="0"/>
    <m/>
    <x v="0"/>
    <m/>
    <m/>
    <m/>
    <m/>
    <m/>
    <m/>
    <m/>
  </r>
  <r>
    <x v="1"/>
    <x v="2"/>
    <s v="America and Oceania"/>
    <s v="No Specific Relationship"/>
    <s v="N/A"/>
    <s v="NORTHCOM"/>
    <x v="4"/>
    <x v="21"/>
    <n v="5"/>
    <x v="4"/>
    <s v="Liang Guanglie"/>
    <m/>
    <s v="Defense Minister; CMC Member"/>
    <n v="8"/>
    <x v="1"/>
    <m/>
    <x v="0"/>
    <m/>
    <x v="0"/>
    <m/>
    <m/>
    <m/>
    <m/>
    <m/>
    <s v="2013 CH Mil Power Report"/>
    <m/>
  </r>
  <r>
    <x v="1"/>
    <x v="6"/>
    <s v="Europe and Central Asia"/>
    <s v="Strategic Partnership [战略伙伴关系]"/>
    <s v="None"/>
    <s v="CENTCOM"/>
    <x v="73"/>
    <x v="21"/>
    <n v="5"/>
    <x v="4"/>
    <s v="Chen Bingde"/>
    <m/>
    <s v="GSD Commander; CMC Member"/>
    <n v="8"/>
    <x v="1"/>
    <m/>
    <x v="0"/>
    <m/>
    <x v="0"/>
    <m/>
    <m/>
    <m/>
    <m/>
    <m/>
    <m/>
    <m/>
  </r>
  <r>
    <x v="1"/>
    <x v="7"/>
    <s v="West Asia and Africa"/>
    <s v="No Specific Relationship"/>
    <s v="None"/>
    <s v="AFRICOM"/>
    <x v="61"/>
    <x v="21"/>
    <n v="5"/>
    <x v="4"/>
    <s v="Wang Guosheng"/>
    <m/>
    <s v="Lanzhou MR Commander"/>
    <n v="6"/>
    <x v="1"/>
    <m/>
    <x v="0"/>
    <m/>
    <x v="0"/>
    <m/>
    <m/>
    <m/>
    <m/>
    <m/>
    <m/>
    <m/>
  </r>
  <r>
    <x v="1"/>
    <x v="10"/>
    <s v="America and Oceania"/>
    <s v="Strategic Partnership [战略伙伴关系]"/>
    <s v="Major Non-NATO Ally"/>
    <s v="SOUTHCOM"/>
    <x v="62"/>
    <x v="21"/>
    <n v="6"/>
    <x v="3"/>
    <s v="Guo Boxiong"/>
    <m/>
    <s v="CMC Vice Chairman"/>
    <n v="10"/>
    <x v="2"/>
    <s v="Defense Minister"/>
    <x v="0"/>
    <m/>
    <x v="0"/>
    <m/>
    <m/>
    <m/>
    <m/>
    <m/>
    <m/>
    <m/>
  </r>
  <r>
    <x v="1"/>
    <x v="1"/>
    <s v="Asia"/>
    <s v="No Specific Relationship"/>
    <s v="None"/>
    <s v="INDOPACOM"/>
    <x v="137"/>
    <x v="21"/>
    <n v="6"/>
    <x v="1"/>
    <s v="Ren Haiquan"/>
    <m/>
    <s v="AMS Vice President"/>
    <n v="6"/>
    <x v="1"/>
    <s v="11th Shangri-La Dialogue"/>
    <x v="0"/>
    <m/>
    <x v="0"/>
    <m/>
    <m/>
    <m/>
    <m/>
    <m/>
    <m/>
    <m/>
  </r>
  <r>
    <x v="1"/>
    <x v="1"/>
    <s v="Asia"/>
    <s v="Strategic Partnership [战略伙伴关系]"/>
    <s v="None"/>
    <s v="INDOPACOM"/>
    <x v="8"/>
    <x v="21"/>
    <n v="6"/>
    <x v="4"/>
    <s v="Jing Zhiyuan"/>
    <m/>
    <s v="PLASAF Commander; CMC Member"/>
    <n v="8"/>
    <x v="1"/>
    <s v="Defense Minister"/>
    <x v="0"/>
    <m/>
    <x v="0"/>
    <m/>
    <m/>
    <m/>
    <m/>
    <m/>
    <m/>
    <m/>
  </r>
  <r>
    <x v="0"/>
    <x v="9"/>
    <s v="West Asia and Africa"/>
    <s v="No Specific Relationship"/>
    <s v="None"/>
    <s v="CENTCOM"/>
    <x v="142"/>
    <x v="21"/>
    <n v="6"/>
    <x v="9"/>
    <m/>
    <m/>
    <m/>
    <m/>
    <x v="0"/>
    <m/>
    <x v="0"/>
    <m/>
    <x v="0"/>
    <m/>
    <s v="ETF"/>
    <s v="ETF-11"/>
    <s v="North Sea Fleet"/>
    <s v="DDG113 Qingdao, FFG538 Yantai, AOR887 Weishan Hu"/>
    <m/>
    <m/>
  </r>
  <r>
    <x v="2"/>
    <x v="6"/>
    <s v="Europe and Central Asia"/>
    <s v="Member"/>
    <s v="None"/>
    <s v="CENTCOM"/>
    <x v="14"/>
    <x v="21"/>
    <n v="6"/>
    <x v="6"/>
    <m/>
    <m/>
    <m/>
    <m/>
    <x v="0"/>
    <m/>
    <x v="3"/>
    <s v="Peace Mission 2012"/>
    <x v="3"/>
    <s v="Army, Navy, Air Force, SOF; anti-terrorism. Other countries: Tajikistan, Russia, Kyrgyzstan, Kazakhstan. Held in  Tajikistan on June 9-14"/>
    <m/>
    <m/>
    <m/>
    <m/>
    <s v="https://web.archive.org/web/20120609071043/http://news.tj/en/news/sco-s-peace-mission-2012-war-games-start-north-tajikistan"/>
    <m/>
  </r>
  <r>
    <x v="1"/>
    <x v="1"/>
    <s v="Asia"/>
    <s v="No Specific Relationship"/>
    <s v="None"/>
    <s v="INDOPACOM"/>
    <x v="39"/>
    <x v="21"/>
    <n v="6"/>
    <x v="3"/>
    <s v="Xu Caihou"/>
    <m/>
    <s v="CMC Vice Chairman"/>
    <n v="10"/>
    <x v="2"/>
    <s v="Defense Minister"/>
    <x v="0"/>
    <m/>
    <x v="0"/>
    <m/>
    <m/>
    <m/>
    <m/>
    <m/>
    <m/>
    <m/>
  </r>
  <r>
    <x v="1"/>
    <x v="4"/>
    <s v="Asia"/>
    <s v="Strategic Cooperative Partnership [战略合作伙伴关系]"/>
    <s v="Bilateral Defense Treaty"/>
    <s v="INDOPACOM"/>
    <x v="25"/>
    <x v="21"/>
    <n v="6"/>
    <x v="3"/>
    <s v="Liang Guanglie"/>
    <m/>
    <s v="Defense Minister; CMC Member"/>
    <n v="8"/>
    <x v="2"/>
    <m/>
    <x v="0"/>
    <m/>
    <x v="0"/>
    <m/>
    <m/>
    <m/>
    <m/>
    <m/>
    <m/>
    <m/>
  </r>
  <r>
    <x v="1"/>
    <x v="1"/>
    <s v="Asia"/>
    <s v="Comprehensive Strategic Cooperative Partnership [全面战略合作伙伴关系]"/>
    <s v="Bilateral Defense Treaty"/>
    <s v="INDOPACOM"/>
    <x v="5"/>
    <x v="21"/>
    <n v="6"/>
    <x v="4"/>
    <s v="Jing Zhiyuan"/>
    <m/>
    <s v="PLASAF Commander; CMC Member"/>
    <n v="8"/>
    <x v="1"/>
    <s v="Defense Minister"/>
    <x v="0"/>
    <m/>
    <x v="0"/>
    <m/>
    <m/>
    <m/>
    <m/>
    <m/>
    <m/>
    <m/>
  </r>
  <r>
    <x v="1"/>
    <x v="2"/>
    <s v="America and Oceania"/>
    <s v="No Specific Relationship"/>
    <s v="N/A"/>
    <s v="NORTHCOM"/>
    <x v="4"/>
    <x v="21"/>
    <n v="6"/>
    <x v="3"/>
    <s v="Liang Guanglie"/>
    <m/>
    <s v="Defense Minister; CMC Member"/>
    <n v="8"/>
    <x v="2"/>
    <s v="PACOM Commander Locklear"/>
    <x v="0"/>
    <m/>
    <x v="0"/>
    <m/>
    <m/>
    <m/>
    <m/>
    <m/>
    <s v="2013 CH Mil Power Report"/>
    <m/>
  </r>
  <r>
    <x v="1"/>
    <x v="0"/>
    <s v="Europe and Central Asia"/>
    <s v="Strategic Partnership [战略伙伴关系]"/>
    <s v="Major Non-NATO Ally"/>
    <s v="CENTCOM"/>
    <x v="123"/>
    <x v="21"/>
    <n v="7"/>
    <x v="3"/>
    <s v="Guo Boxiong"/>
    <m/>
    <s v="CMC Vice Chairman"/>
    <n v="10"/>
    <x v="2"/>
    <s v="Defense Minister"/>
    <x v="0"/>
    <m/>
    <x v="0"/>
    <m/>
    <m/>
    <m/>
    <m/>
    <m/>
    <m/>
    <m/>
  </r>
  <r>
    <x v="1"/>
    <x v="5"/>
    <s v="America and Oceania"/>
    <s v="No Specific Relationship"/>
    <s v="ANZUS Treaty"/>
    <s v="INDOPACOM"/>
    <x v="12"/>
    <x v="21"/>
    <n v="7"/>
    <x v="3"/>
    <s v="Ma Xiaotian"/>
    <m/>
    <s v="GSD DCGS"/>
    <n v="6"/>
    <x v="2"/>
    <s v="ADF vice Chief"/>
    <x v="0"/>
    <m/>
    <x v="0"/>
    <m/>
    <m/>
    <m/>
    <m/>
    <m/>
    <m/>
    <m/>
  </r>
  <r>
    <x v="1"/>
    <x v="8"/>
    <s v="Europe and Central Asia"/>
    <s v="Comprehensive Cooperative Partnership [全面合作伙伴关系]"/>
    <s v="None"/>
    <s v="EUCOM"/>
    <x v="158"/>
    <x v="21"/>
    <n v="7"/>
    <x v="3"/>
    <s v="Liang Guanglie"/>
    <m/>
    <s v="Defense Minister; CMC Member"/>
    <n v="8"/>
    <x v="2"/>
    <s v="EU Representative for Foreign Affairs and Security Policy"/>
    <x v="0"/>
    <m/>
    <x v="0"/>
    <m/>
    <m/>
    <m/>
    <m/>
    <m/>
    <m/>
    <m/>
  </r>
  <r>
    <x v="2"/>
    <x v="1"/>
    <s v="Asia"/>
    <s v="Strategic Partnership [战略伙伴关系]"/>
    <s v="None"/>
    <s v="INDOPACOM"/>
    <x v="8"/>
    <x v="21"/>
    <n v="7"/>
    <x v="5"/>
    <m/>
    <m/>
    <m/>
    <m/>
    <x v="0"/>
    <m/>
    <x v="1"/>
    <s v="Sharp Knife 2012"/>
    <x v="5"/>
    <s v="Airborne forces"/>
    <m/>
    <m/>
    <m/>
    <m/>
    <m/>
    <m/>
  </r>
  <r>
    <x v="1"/>
    <x v="8"/>
    <s v="Europe and Central Asia"/>
    <s v="Friendly Cooperative Partnership [友好合作伙伴关系]"/>
    <s v="NATO"/>
    <s v="EUCOM"/>
    <x v="111"/>
    <x v="21"/>
    <n v="7"/>
    <x v="4"/>
    <s v="Xu Caihou"/>
    <m/>
    <s v="CMC Vice Chairman"/>
    <n v="10"/>
    <x v="1"/>
    <m/>
    <x v="0"/>
    <m/>
    <x v="0"/>
    <m/>
    <m/>
    <m/>
    <m/>
    <m/>
    <m/>
    <m/>
  </r>
  <r>
    <x v="0"/>
    <x v="9"/>
    <s v="West Asia and Africa"/>
    <s v="No Specific Relationship"/>
    <s v="None"/>
    <s v="CENTCOM"/>
    <x v="147"/>
    <x v="21"/>
    <n v="7"/>
    <x v="9"/>
    <m/>
    <m/>
    <m/>
    <m/>
    <x v="0"/>
    <m/>
    <x v="0"/>
    <m/>
    <x v="0"/>
    <m/>
    <s v="ETF"/>
    <s v="ETF-11"/>
    <s v="North Sea Fleet"/>
    <s v="DDG113 Qingdao, FFG538 Yantai, AOR887 Weishan Hu"/>
    <m/>
    <m/>
  </r>
  <r>
    <x v="0"/>
    <x v="9"/>
    <s v="West Asia and Africa"/>
    <s v="No Specific Relationship"/>
    <s v="None"/>
    <s v="CENTCOM"/>
    <x v="147"/>
    <x v="21"/>
    <n v="7"/>
    <x v="9"/>
    <m/>
    <m/>
    <m/>
    <m/>
    <x v="0"/>
    <m/>
    <x v="0"/>
    <m/>
    <x v="0"/>
    <m/>
    <s v="ETF"/>
    <s v="ETF-11 "/>
    <s v="North Sea Fleet"/>
    <s v="DDG113 Qingdao, FFG538 Yantai, AOR887 Weishan Hu; unknown, could also be ETF-12"/>
    <m/>
    <m/>
  </r>
  <r>
    <x v="1"/>
    <x v="8"/>
    <s v="Europe and Central Asia"/>
    <s v="Comprehensive Friendly Cooperative Partnership [全面友好合作伙伴关系]"/>
    <s v="NATO"/>
    <s v="EUCOM"/>
    <x v="33"/>
    <x v="21"/>
    <n v="7"/>
    <x v="3"/>
    <s v="Chen Yong"/>
    <m/>
    <s v="GSD Assistant Commander"/>
    <n v="5"/>
    <x v="2"/>
    <s v="Head of NDU"/>
    <x v="0"/>
    <m/>
    <x v="0"/>
    <m/>
    <m/>
    <m/>
    <m/>
    <m/>
    <m/>
    <m/>
  </r>
  <r>
    <x v="1"/>
    <x v="7"/>
    <s v="West Asia and Africa"/>
    <s v="Comprehensive Strategic Partnership [全面战略伙伴关系]"/>
    <s v="None"/>
    <s v="AFRICOM"/>
    <x v="15"/>
    <x v="21"/>
    <n v="7"/>
    <x v="4"/>
    <s v="Ma Xiaotian"/>
    <m/>
    <s v="GSD DCGS"/>
    <n v="6"/>
    <x v="1"/>
    <s v="Defense Minister"/>
    <x v="0"/>
    <m/>
    <x v="0"/>
    <m/>
    <m/>
    <m/>
    <m/>
    <m/>
    <m/>
    <m/>
  </r>
  <r>
    <x v="0"/>
    <x v="8"/>
    <s v="Europe and Central Asia"/>
    <s v="No Specific Relationship"/>
    <s v="NATO"/>
    <s v="EUCOM"/>
    <x v="79"/>
    <x v="21"/>
    <n v="8"/>
    <x v="0"/>
    <m/>
    <m/>
    <m/>
    <m/>
    <x v="0"/>
    <m/>
    <x v="0"/>
    <m/>
    <x v="0"/>
    <m/>
    <s v="ETF"/>
    <s v="ETF-11"/>
    <s v="North Sea Fleet"/>
    <s v="DDG113 Qingdao, FFG538 Yantai, AOR887 Weishan Hu"/>
    <m/>
    <m/>
  </r>
  <r>
    <x v="1"/>
    <x v="8"/>
    <s v="Europe and Central Asia"/>
    <s v="Comprehensive Cooperative Partnership [全面合作伙伴关系]"/>
    <s v="NATO"/>
    <s v="EUCOM"/>
    <x v="35"/>
    <x v="21"/>
    <n v="8"/>
    <x v="3"/>
    <s v="Xu Caihou"/>
    <m/>
    <s v="CMC Vice Chairman"/>
    <n v="10"/>
    <x v="2"/>
    <s v="Defense Minister"/>
    <x v="0"/>
    <m/>
    <x v="0"/>
    <m/>
    <m/>
    <m/>
    <m/>
    <m/>
    <m/>
    <m/>
  </r>
  <r>
    <x v="0"/>
    <x v="9"/>
    <s v="West Asia and Africa"/>
    <s v="No Specific Relationship"/>
    <s v="None"/>
    <s v="CENTCOM"/>
    <x v="119"/>
    <x v="21"/>
    <n v="8"/>
    <x v="9"/>
    <m/>
    <m/>
    <m/>
    <m/>
    <x v="0"/>
    <m/>
    <x v="0"/>
    <m/>
    <x v="0"/>
    <m/>
    <s v="ETF"/>
    <s v="ETF-11 "/>
    <s v="North Sea Fleet"/>
    <s v="DDG113 Qingdao, FFG538 Yantai, AOR887 Weishan Hu; Unknown, could also be ETF-12"/>
    <m/>
    <m/>
  </r>
  <r>
    <x v="0"/>
    <x v="9"/>
    <s v="West Asia and Africa"/>
    <s v="No Specific Relationship"/>
    <s v="Major Non-NATO Ally"/>
    <s v="CENTCOM"/>
    <x v="100"/>
    <x v="21"/>
    <n v="8"/>
    <x v="0"/>
    <m/>
    <m/>
    <m/>
    <m/>
    <x v="0"/>
    <m/>
    <x v="0"/>
    <m/>
    <x v="0"/>
    <m/>
    <s v="ETF"/>
    <s v="ETF-11"/>
    <s v="North Sea Fleet"/>
    <s v="DDG113 Qingdao, FFG538 Yantai, AOR887 Weishan Hu"/>
    <m/>
    <m/>
  </r>
  <r>
    <x v="0"/>
    <x v="8"/>
    <s v="Europe and Central Asia"/>
    <s v="Comprehensive Friendly Cooperative Partnership [全面友好合作伙伴关系]"/>
    <s v="NATO"/>
    <s v="EUCOM"/>
    <x v="33"/>
    <x v="21"/>
    <n v="8"/>
    <x v="0"/>
    <m/>
    <m/>
    <m/>
    <m/>
    <x v="0"/>
    <m/>
    <x v="0"/>
    <m/>
    <x v="0"/>
    <m/>
    <s v="ETF"/>
    <s v="ETF-11"/>
    <s v="North Sea Fleet"/>
    <s v="DDG113 Qingdao, FFG538 Yantai, AOR887 Weishan Hu"/>
    <m/>
    <m/>
  </r>
  <r>
    <x v="0"/>
    <x v="8"/>
    <s v="Europe and Central Asia"/>
    <s v="Strategic Cooperative Partnership [战略合作伙伴关系]"/>
    <s v="NATO"/>
    <s v="EUCOM"/>
    <x v="38"/>
    <x v="21"/>
    <n v="8"/>
    <x v="0"/>
    <m/>
    <m/>
    <m/>
    <m/>
    <x v="0"/>
    <m/>
    <x v="0"/>
    <m/>
    <x v="0"/>
    <m/>
    <s v="ETF"/>
    <s v="ETF-11"/>
    <s v="North Sea Fleet"/>
    <s v="DDG113 Qingdao, FFG538 Yantai, AOR887 Weishan Hu"/>
    <m/>
    <m/>
  </r>
  <r>
    <x v="0"/>
    <x v="8"/>
    <s v="Europe and Central Asia"/>
    <s v="Strategic Cooperative Partnership [战略合作伙伴关系]"/>
    <s v="None"/>
    <s v="EUCOM"/>
    <x v="26"/>
    <x v="21"/>
    <n v="8"/>
    <x v="0"/>
    <m/>
    <m/>
    <m/>
    <m/>
    <x v="0"/>
    <m/>
    <x v="0"/>
    <m/>
    <x v="0"/>
    <m/>
    <s v="ETF"/>
    <s v="ETF-11"/>
    <s v="North Sea Fleet"/>
    <s v="DDG113 Qingdao, FFG538 Yantai, AOR887 Weishan Hu"/>
    <m/>
    <m/>
  </r>
  <r>
    <x v="1"/>
    <x v="2"/>
    <s v="America and Oceania"/>
    <s v="No Specific Relationship"/>
    <s v="N/A"/>
    <s v="NORTHCOM"/>
    <x v="4"/>
    <x v="21"/>
    <n v="8"/>
    <x v="4"/>
    <s v="Cai Yingting"/>
    <m/>
    <s v="GSD DCGS"/>
    <n v="6"/>
    <x v="1"/>
    <s v=" "/>
    <x v="0"/>
    <m/>
    <x v="0"/>
    <m/>
    <m/>
    <m/>
    <m/>
    <s v=" "/>
    <s v="2013 CH Mil Power Report"/>
    <s v="For Strategic Planning Discussions in DC; also visited New York, Fort Hood, TX, and PACOM; position weight corrected to reflect MR grade"/>
  </r>
  <r>
    <x v="1"/>
    <x v="10"/>
    <s v="America and Oceania"/>
    <s v="Strategic Partnership [战略伙伴关系]"/>
    <s v="None"/>
    <s v="SOUTHCOM"/>
    <x v="66"/>
    <x v="21"/>
    <n v="9"/>
    <x v="3"/>
    <s v="Xu Qiliang"/>
    <m/>
    <s v="PLAAF Commander; CMC Member"/>
    <n v="8"/>
    <x v="2"/>
    <s v="Air Force Commander"/>
    <x v="0"/>
    <m/>
    <x v="0"/>
    <m/>
    <m/>
    <m/>
    <m/>
    <m/>
    <m/>
    <m/>
  </r>
  <r>
    <x v="1"/>
    <x v="0"/>
    <s v="Asia"/>
    <s v="Strategic Partnership for Peace and Prosperity [战略伙伴关系]"/>
    <s v="None"/>
    <s v="INDOPACOM"/>
    <x v="6"/>
    <x v="21"/>
    <n v="9"/>
    <x v="4"/>
    <s v="Liang Guanglie"/>
    <m/>
    <s v="Defense Minister; CMC Member"/>
    <n v="8"/>
    <x v="1"/>
    <m/>
    <x v="0"/>
    <m/>
    <x v="0"/>
    <m/>
    <m/>
    <m/>
    <m/>
    <m/>
    <m/>
    <m/>
  </r>
  <r>
    <x v="1"/>
    <x v="1"/>
    <s v="Asia"/>
    <s v="Comprehensive Strategic Cooperative Partnership [全面战略合作伙伴关系]"/>
    <s v="None"/>
    <s v="INDOPACOM"/>
    <x v="52"/>
    <x v="21"/>
    <n v="9"/>
    <x v="4"/>
    <s v="Liang Guanglie"/>
    <m/>
    <s v="Defense Minister; CMC Member"/>
    <n v="8"/>
    <x v="1"/>
    <m/>
    <x v="0"/>
    <m/>
    <x v="0"/>
    <m/>
    <m/>
    <m/>
    <m/>
    <m/>
    <m/>
    <m/>
  </r>
  <r>
    <x v="1"/>
    <x v="1"/>
    <s v="Asia"/>
    <s v="Strategic Cooperative Partnership [战略合作伙伴关系]"/>
    <s v="None"/>
    <s v="INDOPACOM"/>
    <x v="10"/>
    <x v="21"/>
    <n v="9"/>
    <x v="4"/>
    <s v="Ma Xiaotian"/>
    <m/>
    <s v="GSD DCGS"/>
    <n v="6"/>
    <x v="1"/>
    <s v="Secretary General Defense Ministry"/>
    <x v="0"/>
    <m/>
    <x v="0"/>
    <m/>
    <m/>
    <m/>
    <m/>
    <m/>
    <m/>
    <m/>
  </r>
  <r>
    <x v="1"/>
    <x v="1"/>
    <s v="Asia"/>
    <s v="Comprehensive Strategic Cooperative Partnership [全面战略合作伙伴关系]"/>
    <s v="None"/>
    <s v="INDOPACOM"/>
    <x v="1"/>
    <x v="21"/>
    <n v="9"/>
    <x v="4"/>
    <s v="Ma Xiaotian"/>
    <m/>
    <s v="GSD DCGS"/>
    <n v="6"/>
    <x v="1"/>
    <s v="Vice President"/>
    <x v="0"/>
    <m/>
    <x v="0"/>
    <m/>
    <m/>
    <m/>
    <m/>
    <m/>
    <m/>
    <m/>
  </r>
  <r>
    <x v="1"/>
    <x v="0"/>
    <s v="Asia"/>
    <s v="Strategic Partnership [战略伙伴关系]"/>
    <s v="Major Non-NATO Ally"/>
    <s v="CENTCOM"/>
    <x v="2"/>
    <x v="21"/>
    <n v="9"/>
    <x v="4"/>
    <s v="Ma Xiaotian"/>
    <m/>
    <s v="GSD DCGS"/>
    <n v="6"/>
    <x v="1"/>
    <s v="Chairman JCS"/>
    <x v="0"/>
    <m/>
    <x v="0"/>
    <m/>
    <m/>
    <m/>
    <m/>
    <m/>
    <m/>
    <m/>
  </r>
  <r>
    <x v="0"/>
    <x v="0"/>
    <s v="Asia"/>
    <s v="Strategic Partnership [战略伙伴关系]"/>
    <s v="Major Non-NATO Ally"/>
    <s v="CENTCOM"/>
    <x v="2"/>
    <x v="21"/>
    <n v="9"/>
    <x v="9"/>
    <m/>
    <m/>
    <m/>
    <m/>
    <x v="0"/>
    <m/>
    <x v="0"/>
    <m/>
    <x v="0"/>
    <m/>
    <s v="ETF"/>
    <s v="ETF-11"/>
    <s v="North Sea Fleet"/>
    <s v="DDG113 Qingdao, FFG538 Yantai, AOR887 Weishan Hu"/>
    <m/>
    <m/>
  </r>
  <r>
    <x v="1"/>
    <x v="1"/>
    <s v="Asia"/>
    <s v="No Specific Relationship"/>
    <s v="None"/>
    <s v="INDOPACOM"/>
    <x v="39"/>
    <x v="21"/>
    <n v="9"/>
    <x v="4"/>
    <s v="Ma Xiaotian"/>
    <m/>
    <s v="GSD DCGS"/>
    <n v="6"/>
    <x v="1"/>
    <m/>
    <x v="0"/>
    <m/>
    <x v="0"/>
    <m/>
    <m/>
    <m/>
    <m/>
    <m/>
    <m/>
    <m/>
  </r>
  <r>
    <x v="1"/>
    <x v="0"/>
    <s v="Asia"/>
    <s v="Comprehensive Cooperative Partnership [全面合作伙伴关系]"/>
    <s v="None"/>
    <s v="INDOPACOM"/>
    <x v="3"/>
    <x v="21"/>
    <n v="9"/>
    <x v="4"/>
    <s v="Liang Guanglie"/>
    <m/>
    <s v="Defense Minister; CMC Member"/>
    <n v="8"/>
    <x v="1"/>
    <m/>
    <x v="0"/>
    <m/>
    <x v="0"/>
    <m/>
    <m/>
    <m/>
    <m/>
    <m/>
    <m/>
    <m/>
  </r>
  <r>
    <x v="2"/>
    <x v="0"/>
    <s v="Asia"/>
    <s v="Comprehensive Cooperative Partnership [全面合作伙伴关系]"/>
    <s v="None"/>
    <s v="INDOPACOM"/>
    <x v="3"/>
    <x v="21"/>
    <n v="9"/>
    <x v="5"/>
    <m/>
    <m/>
    <m/>
    <m/>
    <x v="0"/>
    <m/>
    <x v="1"/>
    <s v="Cormorant Strike"/>
    <x v="1"/>
    <s v="Special Forces"/>
    <m/>
    <m/>
    <m/>
    <m/>
    <m/>
    <m/>
  </r>
  <r>
    <x v="2"/>
    <x v="0"/>
    <s v="Asia"/>
    <s v="Comprehensive Cooperative Partnership [全面合作伙伴关系]"/>
    <s v="None"/>
    <s v="INDOPACOM"/>
    <x v="3"/>
    <x v="21"/>
    <n v="9"/>
    <x v="6"/>
    <s v=" "/>
    <m/>
    <s v=" "/>
    <s v=" "/>
    <x v="3"/>
    <m/>
    <x v="3"/>
    <s v="Cormorant Strike 2012"/>
    <x v="1"/>
    <s v="SOF exercise on eastern coast of Sri Lanka; Eleven officers and twenty-nine Other Ranks from the Armed Forces in China, Pakistan, Bangladesh, Maldives and India"/>
    <m/>
    <m/>
    <m/>
    <m/>
    <s v="Defense White Paper Appendix; https://www.army.lk/news/cormorant-strike-iii-2012; https://www.army.lk/news/third-%C3%A2%E2%82%AC%CB%9Cexercise-cormorant-strike-iii%C3%A2%E2%82%AC%E2%84%A2-begins"/>
    <s v="Description describes a range of combat acitvities, including ambushes and attacks on high-value targets"/>
  </r>
  <r>
    <x v="1"/>
    <x v="2"/>
    <s v="America and Oceania"/>
    <s v="No Specific Relationship"/>
    <s v="N/A"/>
    <s v="NORTHCOM"/>
    <x v="4"/>
    <x v="21"/>
    <n v="9"/>
    <x v="3"/>
    <s v="Liang Guanglie"/>
    <m/>
    <s v="Defense Minister; CMC Member"/>
    <n v="8"/>
    <x v="2"/>
    <s v="Secretary of Defense Panetta"/>
    <x v="0"/>
    <m/>
    <x v="0"/>
    <m/>
    <m/>
    <m/>
    <m/>
    <m/>
    <s v="2013 CH Mil Power Report"/>
    <m/>
  </r>
  <r>
    <x v="2"/>
    <x v="2"/>
    <s v="America and Oceania"/>
    <s v="No Specific Relationship"/>
    <s v="N/A"/>
    <s v="NORTHCOM"/>
    <x v="4"/>
    <x v="21"/>
    <n v="9"/>
    <x v="5"/>
    <m/>
    <m/>
    <m/>
    <m/>
    <x v="0"/>
    <m/>
    <x v="4"/>
    <m/>
    <x v="2"/>
    <s v="1st US-CH BL counter-piracy exercise in Gulf of Aden"/>
    <m/>
    <m/>
    <m/>
    <s v="2014 CH Milpower Report"/>
    <s v="2013 CH Mil Power Report"/>
    <m/>
  </r>
  <r>
    <x v="2"/>
    <x v="5"/>
    <s v="America and Oceania"/>
    <s v="No Specific Relationship"/>
    <s v="ANZUS Treaty"/>
    <s v="INDOPACOM"/>
    <x v="12"/>
    <x v="21"/>
    <n v="10"/>
    <x v="6"/>
    <m/>
    <m/>
    <m/>
    <m/>
    <x v="0"/>
    <m/>
    <x v="2"/>
    <s v="Cooperation Spirit 2012"/>
    <x v="1"/>
    <s v="HADR. Other countries: New Zealand "/>
    <m/>
    <m/>
    <m/>
    <m/>
    <s v="http://english.cntv.cn/program/newsupdate/20121101/100013.shtml"/>
    <m/>
  </r>
  <r>
    <x v="1"/>
    <x v="8"/>
    <s v="Europe and Central Asia"/>
    <s v="No Specific Relationship"/>
    <s v="None"/>
    <s v="EUCOM"/>
    <x v="81"/>
    <x v="21"/>
    <n v="10"/>
    <x v="3"/>
    <s v="Liang Guanglie"/>
    <m/>
    <s v="Defense Minister; CMC Member"/>
    <n v="8"/>
    <x v="2"/>
    <s v="Permanent Secretary of Ministry of Defense"/>
    <x v="0"/>
    <m/>
    <x v="0"/>
    <m/>
    <m/>
    <m/>
    <m/>
    <m/>
    <m/>
    <m/>
  </r>
  <r>
    <x v="1"/>
    <x v="1"/>
    <s v="Asia"/>
    <s v="Comprehensive Strategic Cooperative Partnership [全面战略合作伙伴关系]"/>
    <s v="None"/>
    <s v="INDOPACOM"/>
    <x v="52"/>
    <x v="21"/>
    <n v="10"/>
    <x v="3"/>
    <s v="Ma Xiaotian"/>
    <m/>
    <s v="GSD DCGS"/>
    <n v="6"/>
    <x v="2"/>
    <s v="President National Defense College"/>
    <x v="0"/>
    <m/>
    <x v="0"/>
    <m/>
    <m/>
    <m/>
    <m/>
    <m/>
    <m/>
    <m/>
  </r>
  <r>
    <x v="1"/>
    <x v="1"/>
    <s v="Asia"/>
    <s v="Strategic Partnership [战略伙伴关系] for Peace and Prosperity"/>
    <s v="None"/>
    <s v="INDOPACOM"/>
    <x v="153"/>
    <x v="21"/>
    <n v="11"/>
    <x v="1"/>
    <s v="Liang Guanglie"/>
    <m/>
    <s v="Defense Minister; CMC Member"/>
    <n v="8"/>
    <x v="1"/>
    <s v="Second China-ASEAN Defense Ministers' Informal Meeting in Cambodia"/>
    <x v="0"/>
    <m/>
    <x v="0"/>
    <m/>
    <m/>
    <m/>
    <m/>
    <m/>
    <s v="https://asean.org/?static_post=overview-asean-china-dialogue-relations"/>
    <s v="corrected partnership to strategic partnership for peace and prosperity"/>
  </r>
  <r>
    <x v="2"/>
    <x v="8"/>
    <s v="Europe and Central Asia"/>
    <s v="Strategic Partnership [战略伙伴关系]"/>
    <s v="NATO"/>
    <s v="EUCOM"/>
    <x v="34"/>
    <x v="21"/>
    <n v="11"/>
    <x v="5"/>
    <s v=" "/>
    <m/>
    <s v=" "/>
    <s v=" "/>
    <x v="3"/>
    <s v=" "/>
    <x v="1"/>
    <s v="Divine Eagle 2012"/>
    <x v="5"/>
    <s v="Chinese and Belarusian airborne troops practiced parachuting, ground penetration, drones, sniping and other combat skills in Hubei"/>
    <m/>
    <m/>
    <m/>
    <m/>
    <s v="Defense White Paper Appendix; http://usa.chinadaily.com.cn/china/2012-12/06/content_15991982.htm"/>
    <m/>
  </r>
  <r>
    <x v="1"/>
    <x v="1"/>
    <s v="Asia"/>
    <s v="Comprehensive Strategic Cooperative Partnership [全面战略合作伙伴关系]"/>
    <s v="None"/>
    <s v="INDOPACOM"/>
    <x v="94"/>
    <x v="21"/>
    <n v="11"/>
    <x v="3"/>
    <s v="Qi Jianguo"/>
    <m/>
    <s v="GSD DCGS"/>
    <n v="6"/>
    <x v="2"/>
    <m/>
    <x v="0"/>
    <m/>
    <x v="0"/>
    <m/>
    <m/>
    <m/>
    <m/>
    <m/>
    <m/>
    <m/>
  </r>
  <r>
    <x v="1"/>
    <x v="10"/>
    <s v="America and Oceania"/>
    <s v="No Specific Relationship"/>
    <s v="None"/>
    <s v="SOUTHCOM"/>
    <x v="159"/>
    <x v="21"/>
    <n v="11"/>
    <x v="2"/>
    <s v="Liang Guanglie"/>
    <m/>
    <s v="Defense Minister; CMC Member"/>
    <n v="8"/>
    <x v="2"/>
    <s v="First China-Latin America Defense Forum"/>
    <x v="0"/>
    <m/>
    <x v="0"/>
    <m/>
    <m/>
    <m/>
    <m/>
    <m/>
    <s v="https://apa.az/en/asia-news/news_chinese_defense_minister_meets_with_lati_-182886"/>
    <m/>
  </r>
  <r>
    <x v="2"/>
    <x v="10"/>
    <s v="America and Oceania"/>
    <s v="No Specific Relationship"/>
    <s v="None"/>
    <s v="SOUTHCOM"/>
    <x v="45"/>
    <x v="21"/>
    <n v="11"/>
    <x v="5"/>
    <m/>
    <m/>
    <m/>
    <m/>
    <x v="0"/>
    <m/>
    <x v="2"/>
    <s v="Cooperation"/>
    <x v="1"/>
    <s v="HADR"/>
    <m/>
    <m/>
    <m/>
    <m/>
    <s v="Defense White Paper Appendix"/>
    <m/>
  </r>
  <r>
    <x v="1"/>
    <x v="8"/>
    <s v="Europe and Central Asia"/>
    <s v="No Specific Relationship"/>
    <s v="None"/>
    <s v="EUCOM"/>
    <x v="81"/>
    <x v="21"/>
    <n v="11"/>
    <x v="3"/>
    <s v="Qi Jianguo"/>
    <m/>
    <s v="GSD DCGS"/>
    <n v="6"/>
    <x v="2"/>
    <m/>
    <x v="0"/>
    <m/>
    <x v="0"/>
    <m/>
    <m/>
    <m/>
    <m/>
    <m/>
    <m/>
    <m/>
  </r>
  <r>
    <x v="2"/>
    <x v="9"/>
    <s v="West Asia and Africa"/>
    <s v="No Specific Relationship"/>
    <s v="Major Non-NATO Ally"/>
    <s v="CENTCOM"/>
    <x v="101"/>
    <x v="21"/>
    <n v="11"/>
    <x v="5"/>
    <s v=" "/>
    <m/>
    <s v=" "/>
    <s v=" "/>
    <x v="3"/>
    <m/>
    <x v="1"/>
    <m/>
    <x v="1"/>
    <s v="SOF Anti-terrorism exercise in Amman Jordan"/>
    <m/>
    <m/>
    <m/>
    <m/>
    <s v="Defense White Paper Appendix"/>
    <m/>
  </r>
  <r>
    <x v="1"/>
    <x v="8"/>
    <s v="Europe and Central Asia"/>
    <s v="Friendly Cooperative Partnership [友好合作伙伴关系]"/>
    <s v="NATO"/>
    <s v="EUCOM"/>
    <x v="157"/>
    <x v="21"/>
    <n v="11"/>
    <x v="3"/>
    <s v="Fan Changlong"/>
    <m/>
    <s v="CMC Vice Chairman"/>
    <n v="10"/>
    <x v="2"/>
    <s v="Defense Minister"/>
    <x v="0"/>
    <m/>
    <x v="0"/>
    <m/>
    <m/>
    <m/>
    <m/>
    <m/>
    <m/>
    <m/>
  </r>
  <r>
    <x v="1"/>
    <x v="1"/>
    <s v="Asia"/>
    <s v="Comprehensive Strategic Cooperative Partnership [全面战略合作伙伴关系]"/>
    <s v="None"/>
    <s v="INDOPACOM"/>
    <x v="1"/>
    <x v="21"/>
    <n v="11"/>
    <x v="3"/>
    <s v="Qi Jianguo"/>
    <m/>
    <s v="GSD DCGS"/>
    <n v="6"/>
    <x v="2"/>
    <s v="Vice Chief of Armed Forces "/>
    <x v="0"/>
    <m/>
    <x v="0"/>
    <m/>
    <m/>
    <m/>
    <m/>
    <m/>
    <m/>
    <m/>
  </r>
  <r>
    <x v="1"/>
    <x v="5"/>
    <s v="America and Oceania"/>
    <s v="No Specific Relationship"/>
    <s v="ANZUS Treaty"/>
    <s v="INDOPACOM"/>
    <x v="13"/>
    <x v="21"/>
    <n v="11"/>
    <x v="3"/>
    <s v="Ma Xiaotian"/>
    <m/>
    <s v="PLAAF Commander; CMC Member"/>
    <n v="8"/>
    <x v="2"/>
    <s v="Vice Chief of the Defense Forces"/>
    <x v="0"/>
    <m/>
    <x v="0"/>
    <m/>
    <m/>
    <m/>
    <m/>
    <m/>
    <m/>
    <m/>
  </r>
  <r>
    <x v="1"/>
    <x v="3"/>
    <s v="Europe and Central Asia"/>
    <s v="Strategic Partnership of Coordination [战略协作伙伴关系]"/>
    <s v="None"/>
    <s v="EUCOM"/>
    <x v="7"/>
    <x v="21"/>
    <n v="11"/>
    <x v="3"/>
    <s v="Xu Qiliang"/>
    <m/>
    <s v="CMC Vice Chairman"/>
    <n v="10"/>
    <x v="2"/>
    <s v="Air Force Commander"/>
    <x v="0"/>
    <m/>
    <x v="0"/>
    <m/>
    <m/>
    <m/>
    <m/>
    <m/>
    <m/>
    <m/>
  </r>
  <r>
    <x v="1"/>
    <x v="8"/>
    <s v="Europe and Central Asia"/>
    <s v="No Specific Relationship"/>
    <s v="NATO"/>
    <s v="EUCOM"/>
    <x v="40"/>
    <x v="21"/>
    <n v="11"/>
    <x v="3"/>
    <s v="Fang Fenghui"/>
    <m/>
    <s v="GSD Commander; CMC Member"/>
    <n v="8"/>
    <x v="2"/>
    <s v="COGS"/>
    <x v="0"/>
    <m/>
    <x v="0"/>
    <m/>
    <m/>
    <m/>
    <m/>
    <m/>
    <m/>
    <m/>
  </r>
  <r>
    <x v="1"/>
    <x v="0"/>
    <s v="Asia"/>
    <s v="Comprehensive Cooperative Partnership [全面合作伙伴关系]"/>
    <s v="None"/>
    <s v="INDOPACOM"/>
    <x v="3"/>
    <x v="21"/>
    <n v="11"/>
    <x v="3"/>
    <s v="Liang Guanglie"/>
    <m/>
    <s v="Defense Minister; CMC Member"/>
    <n v="8"/>
    <x v="2"/>
    <s v="Secretary of Defense and Urban Development"/>
    <x v="0"/>
    <m/>
    <x v="0"/>
    <m/>
    <m/>
    <m/>
    <m/>
    <m/>
    <m/>
    <m/>
  </r>
  <r>
    <x v="1"/>
    <x v="2"/>
    <s v="America and Oceania"/>
    <s v="No Specific Relationship"/>
    <s v="N/A"/>
    <s v="NORTHCOM"/>
    <x v="4"/>
    <x v="21"/>
    <n v="11"/>
    <x v="3"/>
    <s v="Wu Shengli"/>
    <m/>
    <s v="PLAN Commander; CMC Member"/>
    <n v="8"/>
    <x v="2"/>
    <s v="Secretary of the Navy Mabus"/>
    <x v="0"/>
    <m/>
    <x v="0"/>
    <m/>
    <m/>
    <m/>
    <m/>
    <m/>
    <s v="2013 CH Mil Power Report"/>
    <m/>
  </r>
  <r>
    <x v="1"/>
    <x v="5"/>
    <s v="America and Oceania"/>
    <s v="No Specific Relationship"/>
    <s v="ANZUS Treaty"/>
    <s v="INDOPACOM"/>
    <x v="12"/>
    <x v="21"/>
    <n v="12"/>
    <x v="3"/>
    <s v="Xu Qiliang"/>
    <m/>
    <s v="CMC Vice Chairman"/>
    <n v="10"/>
    <x v="2"/>
    <s v="ADF chief"/>
    <x v="0"/>
    <m/>
    <x v="0"/>
    <m/>
    <m/>
    <m/>
    <m/>
    <m/>
    <m/>
    <m/>
  </r>
  <r>
    <x v="0"/>
    <x v="5"/>
    <s v="America and Oceania"/>
    <s v="No Specific Relationship"/>
    <s v="ANZUS Treaty"/>
    <s v="INDOPACOM"/>
    <x v="12"/>
    <x v="21"/>
    <n v="12"/>
    <x v="0"/>
    <m/>
    <m/>
    <m/>
    <m/>
    <x v="0"/>
    <m/>
    <x v="0"/>
    <m/>
    <x v="0"/>
    <m/>
    <s v="ETF"/>
    <s v="ETF-12"/>
    <s v="East Sea Fleet"/>
    <s v="FFG548 Yiyang, FFG549 Changzhou, AOR886 Qiandao Hu"/>
    <m/>
    <m/>
  </r>
  <r>
    <x v="1"/>
    <x v="8"/>
    <s v="Europe and Central Asia"/>
    <s v="Strategic Partnership [战略伙伴关系]"/>
    <s v="NATO"/>
    <s v="EUCOM"/>
    <x v="34"/>
    <x v="21"/>
    <n v="12"/>
    <x v="3"/>
    <s v="Xu Qiliang"/>
    <m/>
    <s v="CMC Vice Chairman"/>
    <n v="10"/>
    <x v="2"/>
    <s v="Defense Minister"/>
    <x v="0"/>
    <m/>
    <x v="0"/>
    <m/>
    <m/>
    <m/>
    <m/>
    <m/>
    <m/>
    <m/>
  </r>
  <r>
    <x v="2"/>
    <x v="8"/>
    <s v="Europe and Central Asia"/>
    <s v="Strategic Partnership [战略伙伴关系]"/>
    <s v="None"/>
    <s v="EUCOM"/>
    <x v="34"/>
    <x v="21"/>
    <n v="12"/>
    <x v="5"/>
    <m/>
    <m/>
    <m/>
    <m/>
    <x v="0"/>
    <m/>
    <x v="1"/>
    <s v="Divine Eagle 2012"/>
    <x v="5"/>
    <s v="Airborne forces"/>
    <m/>
    <m/>
    <m/>
    <m/>
    <m/>
    <m/>
  </r>
  <r>
    <x v="1"/>
    <x v="10"/>
    <s v="America and Oceania"/>
    <s v="No Specific Relationship"/>
    <s v="None"/>
    <s v="SOUTHCOM"/>
    <x v="49"/>
    <x v="21"/>
    <n v="12"/>
    <x v="4"/>
    <s v="Qi Jianguo"/>
    <m/>
    <s v="GSD DCGS"/>
    <n v="6"/>
    <x v="1"/>
    <s v="Fidel Castro"/>
    <x v="0"/>
    <m/>
    <x v="0"/>
    <m/>
    <m/>
    <m/>
    <m/>
    <m/>
    <m/>
    <m/>
  </r>
  <r>
    <x v="0"/>
    <x v="9"/>
    <s v="West Asia and Africa"/>
    <s v="No Specific Relationship"/>
    <s v="None"/>
    <s v="CENTCOM"/>
    <x v="119"/>
    <x v="21"/>
    <n v="12"/>
    <x v="9"/>
    <m/>
    <m/>
    <m/>
    <m/>
    <x v="0"/>
    <m/>
    <x v="0"/>
    <m/>
    <x v="0"/>
    <m/>
    <s v="ETF"/>
    <s v="ETF-12 "/>
    <s v="East Sea Fleet"/>
    <s v="FFG548 Yiyang, FFG549 Changzhou, AOR886 Qiandao Hu; unknown, could be ETF-13"/>
    <m/>
    <m/>
  </r>
  <r>
    <x v="1"/>
    <x v="6"/>
    <s v="Europe and Central Asia"/>
    <s v="Comprehensive Strategic Partnership [全面战略伙伴关系]"/>
    <s v="None"/>
    <s v="CENTCOM"/>
    <x v="30"/>
    <x v="21"/>
    <n v="12"/>
    <x v="3"/>
    <s v="Fan Changlong"/>
    <m/>
    <s v="CMC Vice Chairman"/>
    <n v="10"/>
    <x v="2"/>
    <s v="Defense Minister"/>
    <x v="0"/>
    <m/>
    <x v="0"/>
    <m/>
    <m/>
    <m/>
    <m/>
    <m/>
    <m/>
    <m/>
  </r>
  <r>
    <x v="1"/>
    <x v="1"/>
    <s v="Asia"/>
    <s v="Comprehensive Strategic Cooperative Partnership [全面战略合作伙伴关系]"/>
    <s v="None"/>
    <s v="INDOPACOM"/>
    <x v="52"/>
    <x v="21"/>
    <n v="12"/>
    <x v="3"/>
    <s v="Qi Jianguo"/>
    <m/>
    <s v="GSD DCGS"/>
    <n v="6"/>
    <x v="2"/>
    <s v="Head of Foreign Affairs, Ministry of Defense"/>
    <x v="0"/>
    <m/>
    <x v="0"/>
    <m/>
    <m/>
    <m/>
    <m/>
    <m/>
    <m/>
    <m/>
  </r>
  <r>
    <x v="1"/>
    <x v="0"/>
    <s v="West Asia and Africa"/>
    <s v="No Specific Relationship"/>
    <s v="None"/>
    <s v="INDOPACOM"/>
    <x v="149"/>
    <x v="21"/>
    <n v="12"/>
    <x v="3"/>
    <s v="Xu Qiliang"/>
    <m/>
    <s v="CMC Vice Chairman"/>
    <n v="10"/>
    <x v="2"/>
    <s v="Defense Minister"/>
    <x v="0"/>
    <m/>
    <x v="0"/>
    <m/>
    <m/>
    <m/>
    <m/>
    <m/>
    <m/>
    <m/>
  </r>
  <r>
    <x v="1"/>
    <x v="8"/>
    <s v="Europe and Central Asia"/>
    <s v="Strategic Partnership [战略伙伴关系]"/>
    <s v="NATO"/>
    <s v="EUCOM"/>
    <x v="59"/>
    <x v="21"/>
    <n v="12"/>
    <x v="3"/>
    <s v="Wu Shengli"/>
    <m/>
    <s v="PLAN Commander; CMC Member"/>
    <n v="8"/>
    <x v="2"/>
    <s v="Navy Commander"/>
    <x v="0"/>
    <m/>
    <x v="0"/>
    <m/>
    <m/>
    <m/>
    <m/>
    <m/>
    <m/>
    <m/>
  </r>
  <r>
    <x v="1"/>
    <x v="7"/>
    <s v="West Asia and Africa"/>
    <s v="Comprehensive Strategic Cooperative Partnership [全面战略合作伙伴关系]"/>
    <s v="None"/>
    <s v="AFRICOM"/>
    <x v="96"/>
    <x v="21"/>
    <n v="12"/>
    <x v="3"/>
    <s v="Fang Fenghui"/>
    <m/>
    <s v="GSD Commander; CMC Member"/>
    <n v="8"/>
    <x v="2"/>
    <s v="COGS"/>
    <x v="0"/>
    <m/>
    <x v="0"/>
    <m/>
    <m/>
    <m/>
    <m/>
    <m/>
    <m/>
    <m/>
  </r>
  <r>
    <x v="1"/>
    <x v="2"/>
    <s v="America and Oceania"/>
    <s v="No Specific Relationship"/>
    <s v="N/A"/>
    <s v="NORTHCOM"/>
    <x v="4"/>
    <x v="21"/>
    <n v="12"/>
    <x v="4"/>
    <s v="Qi Jianguo"/>
    <m/>
    <s v="GSD DCGS"/>
    <n v="6"/>
    <x v="1"/>
    <s v="Deputy Secretary of Defense"/>
    <x v="0"/>
    <m/>
    <x v="0"/>
    <m/>
    <m/>
    <m/>
    <m/>
    <m/>
    <s v="http://us.china-embassy.gov.cn/eng/zmgx/zxxx/201212/t20121203_4908159.htm"/>
    <s v="For Defense Consultative Talks; position weight corrected to reflect MR leader grade"/>
  </r>
  <r>
    <x v="1"/>
    <x v="1"/>
    <s v="Asia"/>
    <s v="Comprehensive Strategic Cooperative Partnership [全面战略合作伙伴关系]"/>
    <s v="None"/>
    <s v="INDOPACOM"/>
    <x v="94"/>
    <x v="22"/>
    <n v="1"/>
    <x v="4"/>
    <s v="Qi Jianguo"/>
    <m/>
    <s v="GSD DCGS"/>
    <n v="6"/>
    <x v="1"/>
    <m/>
    <x v="0"/>
    <m/>
    <x v="0"/>
    <m/>
    <m/>
    <m/>
    <m/>
    <m/>
    <m/>
    <m/>
  </r>
  <r>
    <x v="1"/>
    <x v="8"/>
    <s v="Europe and Central Asia"/>
    <s v="Comprehensive Strategic Partnership [全面战略伙伴关系]"/>
    <s v="NATO"/>
    <s v="EUCOM"/>
    <x v="22"/>
    <x v="22"/>
    <n v="1"/>
    <x v="3"/>
    <s v="Qi Jianguo"/>
    <m/>
    <s v="GSD DCGS"/>
    <n v="6"/>
    <x v="2"/>
    <s v="Director, General Staff Regional Bureau"/>
    <x v="0"/>
    <m/>
    <x v="0"/>
    <m/>
    <m/>
    <m/>
    <m/>
    <m/>
    <m/>
    <m/>
  </r>
  <r>
    <x v="1"/>
    <x v="0"/>
    <s v="Asia"/>
    <s v="Strategic Partnership for Peace and Prosperity [战略伙伴关系]"/>
    <s v="None"/>
    <s v="INDOPACOM"/>
    <x v="6"/>
    <x v="22"/>
    <n v="1"/>
    <x v="3"/>
    <s v="Xu Qiliang"/>
    <m/>
    <s v="CMC Vice Chairman"/>
    <n v="10"/>
    <x v="2"/>
    <s v="Defense Secretary"/>
    <x v="0"/>
    <m/>
    <x v="0"/>
    <m/>
    <m/>
    <m/>
    <m/>
    <m/>
    <m/>
    <m/>
  </r>
  <r>
    <x v="1"/>
    <x v="1"/>
    <s v="Asia"/>
    <s v="Comprehensive Strategic Partnership [全面战略伙伴关系]"/>
    <s v="None"/>
    <s v="INDOPACOM"/>
    <x v="8"/>
    <x v="22"/>
    <n v="1"/>
    <x v="3"/>
    <s v="Fan Changlong"/>
    <m/>
    <s v="CMC Vice Chairman"/>
    <n v="10"/>
    <x v="2"/>
    <s v="Deputy Defense Minister"/>
    <x v="0"/>
    <m/>
    <x v="0"/>
    <m/>
    <m/>
    <m/>
    <m/>
    <m/>
    <m/>
    <m/>
  </r>
  <r>
    <x v="1"/>
    <x v="9"/>
    <s v="West Asia and Africa"/>
    <s v="No Specific Relationship"/>
    <s v="None"/>
    <s v="CENTCOM"/>
    <x v="147"/>
    <x v="22"/>
    <n v="1"/>
    <x v="3"/>
    <s v="Wu Shengli"/>
    <m/>
    <s v="PLAN Commander; CMC Member"/>
    <n v="8"/>
    <x v="2"/>
    <s v="Navy Commander"/>
    <x v="0"/>
    <m/>
    <x v="0"/>
    <m/>
    <m/>
    <m/>
    <m/>
    <m/>
    <m/>
    <m/>
  </r>
  <r>
    <x v="0"/>
    <x v="9"/>
    <s v="West Asia and Africa"/>
    <s v="No Specific Relationship"/>
    <s v="None"/>
    <s v="CENTCOM"/>
    <x v="142"/>
    <x v="22"/>
    <n v="1"/>
    <x v="9"/>
    <m/>
    <m/>
    <m/>
    <m/>
    <x v="0"/>
    <m/>
    <x v="0"/>
    <m/>
    <x v="0"/>
    <m/>
    <s v="ETF"/>
    <s v="ETF-12 "/>
    <s v="East Sea Fleet"/>
    <s v="FFG548 Yiyang, FFG549 Changzhou, AOR886 Qiandao Hu; unknown, could be ETF-13"/>
    <m/>
    <m/>
  </r>
  <r>
    <x v="0"/>
    <x v="1"/>
    <s v="Asia"/>
    <s v="Comprehensive Strategic Cooperative Partnership [全面战略合作伙伴关系]"/>
    <s v="None"/>
    <s v="INDOPACOM"/>
    <x v="23"/>
    <x v="22"/>
    <n v="1"/>
    <x v="0"/>
    <m/>
    <m/>
    <m/>
    <m/>
    <x v="0"/>
    <m/>
    <x v="0"/>
    <m/>
    <x v="0"/>
    <m/>
    <s v="ETF"/>
    <s v="ETF-12"/>
    <s v="East Sea Fleet"/>
    <s v="FFG548 Yiyang, FFG549 Changzhou, AOR886 Qiandao Hu"/>
    <m/>
    <m/>
  </r>
  <r>
    <x v="1"/>
    <x v="5"/>
    <s v="America and Oceania"/>
    <s v="No Specific Relationship"/>
    <s v="ANZUS Treaty"/>
    <s v="INDOPACOM"/>
    <x v="12"/>
    <x v="22"/>
    <n v="3"/>
    <x v="3"/>
    <s v="Fang Fenghui"/>
    <m/>
    <s v="GSD Commander; CMC Member"/>
    <n v="8"/>
    <x v="2"/>
    <s v="Secretary General of the Department of Defense"/>
    <x v="0"/>
    <m/>
    <x v="0"/>
    <m/>
    <m/>
    <m/>
    <m/>
    <m/>
    <m/>
    <m/>
  </r>
  <r>
    <x v="0"/>
    <x v="8"/>
    <s v="Europe and Central Asia"/>
    <s v="No Specific Relationship"/>
    <s v="None"/>
    <s v="EUCOM"/>
    <x v="148"/>
    <x v="22"/>
    <n v="3"/>
    <x v="0"/>
    <m/>
    <m/>
    <m/>
    <m/>
    <x v="0"/>
    <m/>
    <x v="0"/>
    <m/>
    <x v="0"/>
    <m/>
    <s v="ETF"/>
    <s v="ETF-13"/>
    <s v="South Sea Fleet"/>
    <s v="FFG568 Hengyang, FFG570 Huangshan, AOR885 Qinghai Hu"/>
    <m/>
    <m/>
  </r>
  <r>
    <x v="0"/>
    <x v="9"/>
    <s v="West Asia and Africa"/>
    <s v="No Specific Relationship"/>
    <s v="None"/>
    <s v="CENTCOM"/>
    <x v="147"/>
    <x v="22"/>
    <n v="3"/>
    <x v="9"/>
    <m/>
    <m/>
    <m/>
    <m/>
    <x v="0"/>
    <m/>
    <x v="0"/>
    <m/>
    <x v="0"/>
    <m/>
    <s v="ETF"/>
    <s v="ETF-13 "/>
    <s v="South Sea Fleet"/>
    <s v="FFG568 Hengyang, FFG570 Huangshan, AOR885 Qinghai Hu; unknown, could also be ETF-14"/>
    <m/>
    <m/>
  </r>
  <r>
    <x v="1"/>
    <x v="3"/>
    <s v="Europe and Central Asia"/>
    <s v="Comprehensive Collaborative Strategic Partnership [全面战略协作伙伴关系]"/>
    <s v="None"/>
    <s v="EUCOM"/>
    <x v="7"/>
    <x v="22"/>
    <n v="3"/>
    <x v="4"/>
    <s v="Chang Wanquan"/>
    <m/>
    <s v="Defense Minister; CMC Member"/>
    <n v="8"/>
    <x v="1"/>
    <s v="Defense Minister"/>
    <x v="0"/>
    <m/>
    <x v="0"/>
    <m/>
    <m/>
    <m/>
    <m/>
    <m/>
    <m/>
    <m/>
  </r>
  <r>
    <x v="0"/>
    <x v="7"/>
    <s v="West Asia and Africa"/>
    <s v="Strategic Partnership [战略伙伴关系]"/>
    <s v="None"/>
    <s v="AFRICOM"/>
    <x v="76"/>
    <x v="22"/>
    <n v="4"/>
    <x v="0"/>
    <m/>
    <m/>
    <m/>
    <m/>
    <x v="0"/>
    <m/>
    <x v="0"/>
    <m/>
    <x v="0"/>
    <m/>
    <s v="ETF"/>
    <s v="ETF-13"/>
    <s v="South Sea Fleet"/>
    <s v="FFG568 Hengyang, FFG570 Huangshan, AOR885 Qinghai Hu"/>
    <m/>
    <m/>
  </r>
  <r>
    <x v="1"/>
    <x v="10"/>
    <s v="America and Oceania"/>
    <s v="Comprehensive Strategic Partnership [全面战略伙伴关系]"/>
    <s v="None"/>
    <s v="SOUTHCOM"/>
    <x v="43"/>
    <x v="22"/>
    <n v="4"/>
    <x v="3"/>
    <s v="Chang Wanquan"/>
    <m/>
    <s v="Defense Minister; CMC Member"/>
    <n v="8"/>
    <x v="2"/>
    <s v="Director of Strategic Affairs Department under JCS"/>
    <x v="0"/>
    <m/>
    <x v="0"/>
    <m/>
    <m/>
    <m/>
    <m/>
    <m/>
    <m/>
    <m/>
  </r>
  <r>
    <x v="1"/>
    <x v="8"/>
    <s v="Europe and Central Asia"/>
    <s v="No Specific Relationship"/>
    <s v="NATO"/>
    <s v="EUCOM"/>
    <x v="79"/>
    <x v="22"/>
    <n v="4"/>
    <x v="3"/>
    <s v="Chang Wanquan"/>
    <m/>
    <s v="Defense Minister; CMC Member"/>
    <n v="8"/>
    <x v="2"/>
    <s v="Chief of Defense Staff"/>
    <x v="0"/>
    <m/>
    <x v="0"/>
    <m/>
    <m/>
    <m/>
    <m/>
    <m/>
    <m/>
    <m/>
  </r>
  <r>
    <x v="1"/>
    <x v="1"/>
    <s v="Asia"/>
    <s v="Comprehensive Strategic Cooperative Partnership [全面战略合作伙伴关系]"/>
    <s v="None"/>
    <s v="INDOPACOM"/>
    <x v="94"/>
    <x v="22"/>
    <n v="4"/>
    <x v="3"/>
    <s v="Chang Wanquan"/>
    <m/>
    <s v="Defense Minister; CMC Member"/>
    <n v="8"/>
    <x v="2"/>
    <s v="Deputy Prime Minister and Minister of Defense"/>
    <x v="0"/>
    <m/>
    <x v="0"/>
    <m/>
    <m/>
    <m/>
    <m/>
    <m/>
    <m/>
    <m/>
  </r>
  <r>
    <x v="0"/>
    <x v="8"/>
    <s v="Europe and Central Asia"/>
    <s v="Comprehensive Strategic Partnership [全面战略伙伴关系]"/>
    <s v="NATO"/>
    <s v="EUCOM"/>
    <x v="22"/>
    <x v="22"/>
    <n v="4"/>
    <x v="0"/>
    <m/>
    <m/>
    <m/>
    <m/>
    <x v="0"/>
    <m/>
    <x v="0"/>
    <m/>
    <x v="0"/>
    <m/>
    <s v="ETF"/>
    <s v="ETF-13"/>
    <s v="South Sea Fleet"/>
    <s v="FFG568 Hengyang, FFG570 Huangshan, AOR885 Qinghai Hu"/>
    <m/>
    <m/>
  </r>
  <r>
    <x v="0"/>
    <x v="0"/>
    <s v="Asia"/>
    <s v="Strategic Partnership for Peace and Prosperity [战略伙伴关系]"/>
    <s v="None"/>
    <s v="INDOPACOM"/>
    <x v="6"/>
    <x v="22"/>
    <n v="4"/>
    <x v="0"/>
    <m/>
    <m/>
    <m/>
    <m/>
    <x v="0"/>
    <m/>
    <x v="0"/>
    <m/>
    <x v="0"/>
    <m/>
    <s v="NETF"/>
    <s v="2013-04 Zhenghe "/>
    <s v="North Sea Fleet"/>
    <s v="PLA FR XJP draft p. 24"/>
    <m/>
    <m/>
  </r>
  <r>
    <x v="0"/>
    <x v="1"/>
    <s v="Asia"/>
    <s v="Comprehensive Strategic Partnership [全面战略伙伴关系]"/>
    <s v="None"/>
    <s v="INDOPACOM"/>
    <x v="8"/>
    <x v="22"/>
    <n v="4"/>
    <x v="0"/>
    <m/>
    <m/>
    <m/>
    <m/>
    <x v="0"/>
    <m/>
    <x v="0"/>
    <m/>
    <x v="0"/>
    <m/>
    <s v="NETF"/>
    <s v="2013-04 Zhenghe "/>
    <s v="North Sea Fleet"/>
    <s v="PLA FR XJP draft p. 24"/>
    <m/>
    <m/>
  </r>
  <r>
    <x v="1"/>
    <x v="9"/>
    <s v="West Asia and Africa"/>
    <s v="No Specific Relationship"/>
    <s v="Major Non-NATO Ally"/>
    <s v="CENTCOM"/>
    <x v="101"/>
    <x v="22"/>
    <n v="4"/>
    <x v="3"/>
    <s v="Chen Yong"/>
    <m/>
    <s v="GSD Assistant Commander"/>
    <n v="5"/>
    <x v="2"/>
    <m/>
    <x v="0"/>
    <m/>
    <x v="0"/>
    <m/>
    <m/>
    <m/>
    <m/>
    <m/>
    <m/>
    <m/>
  </r>
  <r>
    <x v="0"/>
    <x v="7"/>
    <s v="West Asia and Africa"/>
    <s v="No Specific Relationship"/>
    <s v="Major Non-NATO Ally"/>
    <s v="AFRICOM"/>
    <x v="27"/>
    <x v="22"/>
    <n v="4"/>
    <x v="0"/>
    <m/>
    <m/>
    <m/>
    <m/>
    <x v="0"/>
    <m/>
    <x v="0"/>
    <m/>
    <x v="0"/>
    <m/>
    <s v="ETF"/>
    <s v="ETF-13"/>
    <s v="South Sea Fleet"/>
    <s v="FFG568 Hengyang, FFG570 Huangshan, AOR885 Qinghai Hu"/>
    <m/>
    <m/>
  </r>
  <r>
    <x v="0"/>
    <x v="1"/>
    <s v="Asia"/>
    <s v="Comprehensive Strategic Cooperative Partnership [全面战略合作伙伴关系]"/>
    <s v="None"/>
    <s v="INDOPACOM"/>
    <x v="1"/>
    <x v="22"/>
    <n v="4"/>
    <x v="0"/>
    <m/>
    <m/>
    <m/>
    <m/>
    <x v="0"/>
    <m/>
    <x v="0"/>
    <m/>
    <x v="0"/>
    <m/>
    <s v="NETF"/>
    <s v="2013-04 Zhenghe "/>
    <s v="North Sea Fleet"/>
    <s v="PLA FR XJP draft p. 24"/>
    <m/>
    <m/>
  </r>
  <r>
    <x v="1"/>
    <x v="1"/>
    <s v="Asia"/>
    <s v="Strategic Cooperative Partnership [战略合作伙伴关系]"/>
    <s v="Bilateral Defense Treaty"/>
    <s v="INDOPACOM"/>
    <x v="11"/>
    <x v="22"/>
    <n v="4"/>
    <x v="3"/>
    <s v="Chang Wanquan"/>
    <m/>
    <s v="Defense Minister; CMC Member"/>
    <n v="8"/>
    <x v="2"/>
    <s v="Defense Undersecretary"/>
    <x v="0"/>
    <m/>
    <x v="0"/>
    <m/>
    <m/>
    <m/>
    <m/>
    <m/>
    <m/>
    <m/>
  </r>
  <r>
    <x v="0"/>
    <x v="8"/>
    <s v="Europe and Central Asia"/>
    <s v="Comprehensive Strategic Partnership [全面战略伙伴关系]"/>
    <s v="NATO"/>
    <s v="EUCOM"/>
    <x v="48"/>
    <x v="22"/>
    <n v="4"/>
    <x v="0"/>
    <m/>
    <m/>
    <m/>
    <m/>
    <x v="0"/>
    <m/>
    <x v="0"/>
    <m/>
    <x v="0"/>
    <m/>
    <s v="ETF"/>
    <s v="ETF-13"/>
    <s v="South Sea Fleet"/>
    <s v="FFG568 Hengyang, FFG570 Huangshan, AOR885 Qinghai Hu"/>
    <m/>
    <m/>
  </r>
  <r>
    <x v="2"/>
    <x v="3"/>
    <s v="Europe and Central Asia"/>
    <s v="Comprehensive Collaborative Strategic Partnership [全面战略协作伙伴关系]"/>
    <s v="None"/>
    <s v="EUCOM"/>
    <x v="7"/>
    <x v="22"/>
    <n v="4"/>
    <x v="5"/>
    <m/>
    <m/>
    <m/>
    <m/>
    <x v="0"/>
    <m/>
    <x v="1"/>
    <s v="Unnamed"/>
    <x v="4"/>
    <s v="Response to Manzhouli city security threats; joint border drills"/>
    <m/>
    <m/>
    <m/>
    <m/>
    <m/>
    <m/>
  </r>
  <r>
    <x v="1"/>
    <x v="9"/>
    <s v="West Asia and Africa"/>
    <s v="No Specific Relationship"/>
    <s v="None"/>
    <s v="CENTCOM"/>
    <x v="142"/>
    <x v="22"/>
    <n v="4"/>
    <x v="3"/>
    <s v="Chang Wanquan"/>
    <m/>
    <s v="Defense Minister; CMC Member"/>
    <n v="8"/>
    <x v="2"/>
    <s v="Deputy Defense Minister"/>
    <x v="0"/>
    <m/>
    <x v="0"/>
    <m/>
    <m/>
    <m/>
    <m/>
    <m/>
    <m/>
    <m/>
  </r>
  <r>
    <x v="0"/>
    <x v="9"/>
    <s v="West Asia and Africa"/>
    <s v="No Specific Relationship"/>
    <s v="None"/>
    <s v="CENTCOM"/>
    <x v="142"/>
    <x v="22"/>
    <n v="4"/>
    <x v="9"/>
    <m/>
    <m/>
    <m/>
    <m/>
    <x v="0"/>
    <m/>
    <x v="0"/>
    <m/>
    <x v="0"/>
    <m/>
    <s v="ETF"/>
    <s v="ETF-14 "/>
    <s v="North Sea Fleet"/>
    <s v="DDG112 Harbin, FFG528 Mianyang, AOR887 Weishan Hu; Unknown, could also be ETF-13"/>
    <m/>
    <m/>
  </r>
  <r>
    <x v="1"/>
    <x v="7"/>
    <s v="West Asia and Africa"/>
    <s v="Comprehensive Strategic Partnership [全面战略伙伴关系]"/>
    <s v="None"/>
    <s v="AFRICOM"/>
    <x v="15"/>
    <x v="22"/>
    <n v="4"/>
    <x v="3"/>
    <s v="Jia Tingan"/>
    <m/>
    <s v="GPD Deputy Director"/>
    <n v="6"/>
    <x v="2"/>
    <s v="Department of Defense HR Division Chief"/>
    <x v="0"/>
    <m/>
    <x v="0"/>
    <m/>
    <m/>
    <m/>
    <m/>
    <m/>
    <m/>
    <m/>
  </r>
  <r>
    <x v="1"/>
    <x v="0"/>
    <s v="Asia"/>
    <s v="Strategic Cooperative Partnership [战略合作伙伴关系]"/>
    <s v="None"/>
    <s v="INDOPACOM"/>
    <x v="3"/>
    <x v="22"/>
    <n v="4"/>
    <x v="3"/>
    <s v="Wu Shengli"/>
    <m/>
    <s v="PLAN Commander; CMC Member"/>
    <n v="8"/>
    <x v="2"/>
    <s v="Navy Commander"/>
    <x v="0"/>
    <m/>
    <x v="0"/>
    <m/>
    <m/>
    <m/>
    <m/>
    <m/>
    <m/>
    <m/>
  </r>
  <r>
    <x v="1"/>
    <x v="8"/>
    <s v="Europe and Central Asia"/>
    <s v="No Specific Relationship"/>
    <s v="None"/>
    <s v="EUCOM"/>
    <x v="92"/>
    <x v="22"/>
    <n v="4"/>
    <x v="3"/>
    <s v="Chang Wanquan"/>
    <m/>
    <s v="Defense Minister; CMC Member"/>
    <n v="8"/>
    <x v="2"/>
    <s v="Chief of National Defense General Staff"/>
    <x v="0"/>
    <m/>
    <x v="0"/>
    <m/>
    <m/>
    <m/>
    <m/>
    <m/>
    <m/>
    <m/>
  </r>
  <r>
    <x v="1"/>
    <x v="7"/>
    <s v="West Asia and Africa"/>
    <s v="Comprehensive Cooperative Partnership [全面合作伙伴关系]"/>
    <s v="None"/>
    <s v="AFRICOM"/>
    <x v="16"/>
    <x v="22"/>
    <n v="4"/>
    <x v="3"/>
    <s v="Fan Changlong"/>
    <m/>
    <s v="CMC Vice Chairman"/>
    <n v="10"/>
    <x v="2"/>
    <s v="Defense Minister"/>
    <x v="0"/>
    <m/>
    <x v="0"/>
    <m/>
    <m/>
    <m/>
    <m/>
    <m/>
    <m/>
    <m/>
  </r>
  <r>
    <x v="1"/>
    <x v="2"/>
    <s v="America and Oceania"/>
    <s v="No Specific Relationship"/>
    <s v="N/A"/>
    <s v="NORTHCOM"/>
    <x v="4"/>
    <x v="22"/>
    <n v="4"/>
    <x v="3"/>
    <s v="Fan Changlong"/>
    <m/>
    <s v="CMC Vice Chairman"/>
    <n v="10"/>
    <x v="2"/>
    <s v="CJCS Dempsey"/>
    <x v="0"/>
    <m/>
    <x v="0"/>
    <m/>
    <m/>
    <m/>
    <m/>
    <m/>
    <s v="2014 CH Mil Power Report"/>
    <m/>
  </r>
  <r>
    <x v="0"/>
    <x v="1"/>
    <s v="Asia"/>
    <s v="Comprehensive Strategic Cooperative Partnership [全面战略合作伙伴关系]"/>
    <s v="None"/>
    <s v="INDOPACOM"/>
    <x v="23"/>
    <x v="22"/>
    <n v="4"/>
    <x v="0"/>
    <m/>
    <m/>
    <m/>
    <m/>
    <x v="0"/>
    <m/>
    <x v="0"/>
    <m/>
    <x v="0"/>
    <m/>
    <s v="NETF"/>
    <s v="2013-04 Zhenghe "/>
    <s v="North Sea Fleet"/>
    <s v="PLA FR XJP draft p. 24"/>
    <m/>
    <m/>
  </r>
  <r>
    <x v="1"/>
    <x v="1"/>
    <s v="Asia"/>
    <s v="Strategic Partnership [战略伙伴关系] for Peace and Prosperity"/>
    <s v="None"/>
    <s v="INDOPACOM"/>
    <x v="153"/>
    <x v="22"/>
    <n v="5"/>
    <x v="1"/>
    <s v="Chang Wanquan"/>
    <m/>
    <s v="Defense Minister; CMC Member"/>
    <n v="8"/>
    <x v="1"/>
    <s v="Third China-ASEAN Defense Ministers' Informal Meeting in Brunei"/>
    <x v="0"/>
    <m/>
    <x v="0"/>
    <m/>
    <m/>
    <m/>
    <m/>
    <m/>
    <s v="https://thediplomat.com/2015/06/china-to-hold-first-meeting-with-asean-defense-ministers-in-beijing/"/>
    <s v="corrected partnership to strategic partnership for peace and prosperity"/>
  </r>
  <r>
    <x v="1"/>
    <x v="8"/>
    <s v="Europe and Central Asia"/>
    <s v="Comprehensive Strategic Partnership [全面战略伙伴关系]"/>
    <s v="None"/>
    <s v="EUCOM"/>
    <x v="34"/>
    <x v="22"/>
    <n v="5"/>
    <x v="4"/>
    <s v="Xu Qiliang"/>
    <m/>
    <s v="CMC Vice Chairman"/>
    <n v="10"/>
    <x v="1"/>
    <m/>
    <x v="0"/>
    <m/>
    <x v="0"/>
    <m/>
    <m/>
    <m/>
    <m/>
    <m/>
    <m/>
    <m/>
  </r>
  <r>
    <x v="1"/>
    <x v="10"/>
    <s v="America and Oceania"/>
    <s v="No Specific Relationship"/>
    <s v="None"/>
    <s v="SOUTHCOM"/>
    <x v="42"/>
    <x v="22"/>
    <n v="5"/>
    <x v="4"/>
    <s v="Wang Guanzhong"/>
    <m/>
    <s v="GSD DCGS"/>
    <n v="6"/>
    <x v="1"/>
    <m/>
    <x v="0"/>
    <m/>
    <x v="0"/>
    <m/>
    <m/>
    <m/>
    <m/>
    <m/>
    <m/>
    <m/>
  </r>
  <r>
    <x v="1"/>
    <x v="1"/>
    <s v="Asia"/>
    <s v="No Specific Relationship"/>
    <s v="None"/>
    <s v="INDOPACOM"/>
    <x v="44"/>
    <x v="22"/>
    <n v="5"/>
    <x v="4"/>
    <s v="Chang Wanquan"/>
    <m/>
    <s v="Defense Minister; CMC Member"/>
    <n v="8"/>
    <x v="1"/>
    <m/>
    <x v="0"/>
    <m/>
    <x v="0"/>
    <m/>
    <m/>
    <m/>
    <m/>
    <m/>
    <m/>
    <m/>
  </r>
  <r>
    <x v="1"/>
    <x v="9"/>
    <s v="West Asia and Africa"/>
    <s v="Strategic Cooperative Partnership [战略合作伙伴关系]"/>
    <s v="Major Non-NATO Ally"/>
    <s v="CENTCOM"/>
    <x v="24"/>
    <x v="22"/>
    <n v="5"/>
    <x v="3"/>
    <s v="Ma Xiaotian"/>
    <m/>
    <s v="PLAAF Commander; CMC Member"/>
    <n v="8"/>
    <x v="2"/>
    <s v="Air Force Commander"/>
    <x v="0"/>
    <m/>
    <x v="0"/>
    <m/>
    <m/>
    <m/>
    <m/>
    <m/>
    <m/>
    <m/>
  </r>
  <r>
    <x v="1"/>
    <x v="8"/>
    <s v="Europe and Central Asia"/>
    <s v="No Specific Relationship"/>
    <s v="None"/>
    <s v="EUCOM"/>
    <x v="81"/>
    <x v="22"/>
    <n v="5"/>
    <x v="3"/>
    <s v="Xu Qiliang"/>
    <m/>
    <s v="CMC Vice Chairman"/>
    <n v="10"/>
    <x v="2"/>
    <s v="Chief of Defense Staff"/>
    <x v="0"/>
    <m/>
    <x v="0"/>
    <m/>
    <m/>
    <m/>
    <m/>
    <m/>
    <m/>
    <m/>
  </r>
  <r>
    <x v="1"/>
    <x v="10"/>
    <s v="America and Oceania"/>
    <s v="Friendly Partnership [友好伙伴关系)]"/>
    <s v="None"/>
    <s v="SOUTHCOM"/>
    <x v="145"/>
    <x v="22"/>
    <n v="5"/>
    <x v="3"/>
    <s v="Fang Fenghui"/>
    <m/>
    <s v="GSD Commander; CMC Member"/>
    <n v="8"/>
    <x v="2"/>
    <s v="Chief of Staff of the Defense Forces"/>
    <x v="0"/>
    <m/>
    <x v="0"/>
    <m/>
    <m/>
    <m/>
    <m/>
    <m/>
    <m/>
    <m/>
  </r>
  <r>
    <x v="1"/>
    <x v="6"/>
    <s v="Europe and Central Asia"/>
    <s v="Comprehensive Strategic Partnership [全面战略伙伴关系]"/>
    <s v="None"/>
    <s v="CENTCOM"/>
    <x v="30"/>
    <x v="22"/>
    <n v="5"/>
    <x v="3"/>
    <s v="Fan Changlong"/>
    <m/>
    <s v="CMC Vice Chairman"/>
    <n v="10"/>
    <x v="2"/>
    <s v="COGS"/>
    <x v="0"/>
    <m/>
    <x v="0"/>
    <m/>
    <m/>
    <m/>
    <m/>
    <m/>
    <m/>
    <m/>
  </r>
  <r>
    <x v="1"/>
    <x v="7"/>
    <s v="West Asia and Africa"/>
    <s v="No Specific Relationship"/>
    <s v="None"/>
    <s v="AFRICOM"/>
    <x v="84"/>
    <x v="22"/>
    <n v="5"/>
    <x v="3"/>
    <s v="Chang Wanquan"/>
    <m/>
    <s v="Defense Minister; CMC Member"/>
    <n v="8"/>
    <x v="2"/>
    <s v="COGS"/>
    <x v="0"/>
    <m/>
    <x v="0"/>
    <m/>
    <m/>
    <m/>
    <m/>
    <m/>
    <m/>
    <m/>
  </r>
  <r>
    <x v="1"/>
    <x v="5"/>
    <s v="America and Oceania"/>
    <s v="No Specific Relationship"/>
    <s v="ANZUS Treaty"/>
    <s v="INDOPACOM"/>
    <x v="13"/>
    <x v="22"/>
    <n v="5"/>
    <x v="3"/>
    <s v="Ma Xiaotian"/>
    <m/>
    <s v="PLAAF Commander; CMC Member"/>
    <n v="8"/>
    <x v="2"/>
    <s v="Air Force Commander"/>
    <x v="0"/>
    <m/>
    <x v="0"/>
    <m/>
    <m/>
    <m/>
    <m/>
    <m/>
    <m/>
    <m/>
  </r>
  <r>
    <x v="1"/>
    <x v="4"/>
    <s v="Asia"/>
    <s v="Bilateral Defense Treaty"/>
    <s v="None"/>
    <s v="INDOPACOM"/>
    <x v="9"/>
    <x v="22"/>
    <n v="5"/>
    <x v="3"/>
    <s v="Fan Changlong"/>
    <m/>
    <s v="CMC Vice Chairman"/>
    <n v="10"/>
    <x v="2"/>
    <s v="Special Envoy"/>
    <x v="0"/>
    <m/>
    <x v="0"/>
    <m/>
    <m/>
    <m/>
    <m/>
    <m/>
    <m/>
    <m/>
  </r>
  <r>
    <x v="1"/>
    <x v="0"/>
    <s v="Asia"/>
    <s v="Strategic Partnership [战略伙伴关系]"/>
    <s v="Major Non-NATO Ally"/>
    <s v="CENTCOM"/>
    <x v="2"/>
    <x v="22"/>
    <n v="5"/>
    <x v="3"/>
    <s v="Ma Xiaotian"/>
    <m/>
    <s v="PLAAF Commander; CMC Member"/>
    <n v="8"/>
    <x v="2"/>
    <s v="Air Force First Deputy Chief of Air Staff"/>
    <x v="0"/>
    <m/>
    <x v="0"/>
    <m/>
    <m/>
    <m/>
    <m/>
    <m/>
    <m/>
    <m/>
  </r>
  <r>
    <x v="1"/>
    <x v="8"/>
    <s v="Europe and Central Asia"/>
    <s v="Strategic Partnership [战略伙伴关系]"/>
    <s v="NATO"/>
    <s v="EUCOM"/>
    <x v="59"/>
    <x v="22"/>
    <n v="5"/>
    <x v="3"/>
    <s v="Fan Changlong"/>
    <m/>
    <s v="CMC Vice Chairman"/>
    <n v="10"/>
    <x v="2"/>
    <s v="Defense Minister"/>
    <x v="0"/>
    <m/>
    <x v="0"/>
    <m/>
    <m/>
    <m/>
    <m/>
    <m/>
    <m/>
    <m/>
  </r>
  <r>
    <x v="1"/>
    <x v="8"/>
    <s v="Europe and Central Asia"/>
    <s v="Comprehensive Strategic Partnership [全面战略伙伴关系]"/>
    <s v="NATO"/>
    <s v="EUCOM"/>
    <x v="70"/>
    <x v="22"/>
    <n v="5"/>
    <x v="3"/>
    <s v="Fang Fenghui"/>
    <m/>
    <s v="GSD Commander; CMC Member"/>
    <n v="8"/>
    <x v="2"/>
    <s v="Chief Chairman JCS"/>
    <x v="0"/>
    <m/>
    <x v="0"/>
    <m/>
    <m/>
    <m/>
    <m/>
    <m/>
    <m/>
    <m/>
  </r>
  <r>
    <x v="1"/>
    <x v="10"/>
    <s v="America and Oceania"/>
    <s v="No Specific Relationship"/>
    <s v="None"/>
    <s v="SOUTHCOM"/>
    <x v="91"/>
    <x v="22"/>
    <n v="5"/>
    <x v="3"/>
    <s v="Fang Fenghui"/>
    <m/>
    <s v="GSD Commander; CMC Member"/>
    <n v="8"/>
    <x v="2"/>
    <s v="Commander of National Defense Forces"/>
    <x v="0"/>
    <m/>
    <x v="0"/>
    <m/>
    <m/>
    <m/>
    <m/>
    <m/>
    <m/>
    <m/>
  </r>
  <r>
    <x v="1"/>
    <x v="8"/>
    <s v="Europe and Central Asia"/>
    <s v="Strategic Cooperative Partnership [战略合作伙伴关系]"/>
    <s v="NATO"/>
    <s v="EUCOM"/>
    <x v="38"/>
    <x v="22"/>
    <n v="5"/>
    <x v="3"/>
    <s v="Xu Qiliang"/>
    <m/>
    <s v="CMC Vice Chairman"/>
    <n v="10"/>
    <x v="2"/>
    <s v="DCOGS"/>
    <x v="0"/>
    <m/>
    <x v="0"/>
    <m/>
    <m/>
    <m/>
    <m/>
    <m/>
    <m/>
    <m/>
  </r>
  <r>
    <x v="1"/>
    <x v="8"/>
    <s v="Europe and Central Asia"/>
    <s v="Strategic Cooperative Partnership [战略合作伙伴关系]"/>
    <s v="None"/>
    <s v="EUCOM"/>
    <x v="26"/>
    <x v="22"/>
    <n v="5"/>
    <x v="3"/>
    <s v="Xu Qiliang"/>
    <m/>
    <s v="CMC Vice Chairman"/>
    <n v="10"/>
    <x v="2"/>
    <s v="First Deputy Defense Minister"/>
    <x v="0"/>
    <m/>
    <x v="0"/>
    <m/>
    <m/>
    <m/>
    <m/>
    <m/>
    <m/>
    <m/>
  </r>
  <r>
    <x v="1"/>
    <x v="2"/>
    <s v="America and Oceania"/>
    <s v="No Specific Relationship"/>
    <s v="N/A"/>
    <s v="NORTHCOM"/>
    <x v="4"/>
    <x v="22"/>
    <n v="5"/>
    <x v="3"/>
    <s v="Wu Shengli"/>
    <m/>
    <s v="PLAN Commander; CMC Member"/>
    <n v="8"/>
    <x v="2"/>
    <s v="Pacific Fleet Commander Haney"/>
    <x v="0"/>
    <m/>
    <x v="0"/>
    <m/>
    <m/>
    <m/>
    <m/>
    <m/>
    <s v="2014 CH Mil Power Report"/>
    <m/>
  </r>
  <r>
    <x v="1"/>
    <x v="7"/>
    <s v="West Asia and Africa"/>
    <s v="No Specific Relationship"/>
    <s v="None"/>
    <s v="AFRICOM"/>
    <x v="61"/>
    <x v="22"/>
    <n v="5"/>
    <x v="3"/>
    <s v="Chang Wanquan"/>
    <m/>
    <s v="Defense Minister; CMC Member"/>
    <n v="8"/>
    <x v="2"/>
    <s v="Army Commander"/>
    <x v="0"/>
    <m/>
    <x v="0"/>
    <m/>
    <m/>
    <m/>
    <m/>
    <m/>
    <m/>
    <m/>
  </r>
  <r>
    <x v="2"/>
    <x v="1"/>
    <s v="Asia"/>
    <s v="Strategic Partnership [战略伙伴关系] for Peace and Prosperity"/>
    <s v="None"/>
    <s v="INDOPACOM"/>
    <x v="153"/>
    <x v="22"/>
    <n v="6"/>
    <x v="6"/>
    <s v=" "/>
    <m/>
    <s v=" "/>
    <s v=" "/>
    <x v="3"/>
    <s v=" "/>
    <x v="2"/>
    <s v="ADMM+ HADR exercise"/>
    <x v="2"/>
    <s v="ADMM+ HADR exercise; PLAN forces included Peace Ark; US also participated "/>
    <m/>
    <m/>
    <m/>
    <s v="https://admm.asean.org/index.php/admm-news/40-news/asean-secretariat-news/282-asean-defence-ministers-strengthen-cooperation-ties.html"/>
    <s v="corrected partnership to strategic partnership for peace and prosperity"/>
    <m/>
  </r>
  <r>
    <x v="0"/>
    <x v="1"/>
    <s v="Asia"/>
    <s v="No Specific Relationship"/>
    <s v="None"/>
    <s v="INDOPACOM"/>
    <x v="44"/>
    <x v="22"/>
    <n v="6"/>
    <x v="12"/>
    <m/>
    <m/>
    <m/>
    <m/>
    <x v="0"/>
    <m/>
    <x v="0"/>
    <m/>
    <x v="0"/>
    <m/>
    <s v="NETF"/>
    <s v="2013-06 Harmonious Mission"/>
    <s v="East Sea Fleet"/>
    <s v="PLA FR XJP draft p. 26"/>
    <m/>
    <m/>
  </r>
  <r>
    <x v="1"/>
    <x v="2"/>
    <s v="America and Oceania"/>
    <s v="Strategic Partnership [战略伙伴关系]"/>
    <s v="NATO"/>
    <s v="NORTHCOM"/>
    <x v="17"/>
    <x v="22"/>
    <n v="6"/>
    <x v="3"/>
    <s v="Chang Wanquan"/>
    <m/>
    <s v="Defense Minister; CMC Member"/>
    <n v="8"/>
    <x v="2"/>
    <s v="Defense Minister"/>
    <x v="0"/>
    <m/>
    <x v="0"/>
    <m/>
    <m/>
    <m/>
    <m/>
    <m/>
    <m/>
    <m/>
  </r>
  <r>
    <x v="0"/>
    <x v="9"/>
    <s v="West Asia and Africa"/>
    <s v="No Specific Relationship"/>
    <s v="None"/>
    <s v="CENTCOM"/>
    <x v="119"/>
    <x v="22"/>
    <n v="6"/>
    <x v="9"/>
    <m/>
    <m/>
    <m/>
    <m/>
    <x v="0"/>
    <m/>
    <x v="0"/>
    <m/>
    <x v="0"/>
    <m/>
    <s v="ETF"/>
    <s v="ETF-14"/>
    <s v="North Sea Fleet"/>
    <s v="DDG112 Harbin, FFG528 Mianyang, AOR887 Weishan Hu"/>
    <m/>
    <m/>
  </r>
  <r>
    <x v="1"/>
    <x v="8"/>
    <s v="Europe and Central Asia"/>
    <s v="No Specific Relationship"/>
    <s v="NATO"/>
    <s v="EUCOM"/>
    <x v="82"/>
    <x v="22"/>
    <n v="6"/>
    <x v="4"/>
    <s v="Jia Tingan"/>
    <m/>
    <s v="GPD Deputy Director"/>
    <n v="6"/>
    <x v="1"/>
    <m/>
    <x v="0"/>
    <m/>
    <x v="0"/>
    <m/>
    <m/>
    <m/>
    <m/>
    <m/>
    <m/>
    <m/>
  </r>
  <r>
    <x v="1"/>
    <x v="1"/>
    <s v="Asia"/>
    <s v="No Specific Relationship"/>
    <s v="None"/>
    <s v="INDOPACOM"/>
    <x v="137"/>
    <x v="22"/>
    <n v="6"/>
    <x v="1"/>
    <s v="Qi Jianguo"/>
    <m/>
    <s v="GSD DCGS"/>
    <n v="6"/>
    <x v="1"/>
    <s v="12th Shangri-La Dialogue"/>
    <x v="0"/>
    <m/>
    <x v="0"/>
    <m/>
    <m/>
    <m/>
    <m/>
    <m/>
    <m/>
    <m/>
  </r>
  <r>
    <x v="1"/>
    <x v="6"/>
    <s v="Europe and Central Asia"/>
    <s v="Strategic Partnership [战略伙伴关系]"/>
    <s v="None"/>
    <s v="CENTCOM"/>
    <x v="31"/>
    <x v="22"/>
    <n v="6"/>
    <x v="4"/>
    <s v="Chang Wanquan"/>
    <m/>
    <s v="Defense Minister; CMC Member"/>
    <n v="8"/>
    <x v="1"/>
    <m/>
    <x v="0"/>
    <m/>
    <x v="0"/>
    <m/>
    <m/>
    <m/>
    <m/>
    <m/>
    <m/>
    <m/>
  </r>
  <r>
    <x v="1"/>
    <x v="9"/>
    <s v="West Asia and Africa"/>
    <s v="No Specific Relationship"/>
    <s v="None"/>
    <s v="CENTCOM"/>
    <x v="110"/>
    <x v="22"/>
    <n v="6"/>
    <x v="3"/>
    <s v="Fang Fenghui"/>
    <m/>
    <s v="GSD Commander; CMC Member"/>
    <n v="8"/>
    <x v="2"/>
    <s v="Chief of Staff of Armed Forces"/>
    <x v="0"/>
    <m/>
    <x v="0"/>
    <m/>
    <m/>
    <m/>
    <m/>
    <m/>
    <m/>
    <m/>
  </r>
  <r>
    <x v="0"/>
    <x v="0"/>
    <s v="West Asia and Africa"/>
    <s v="No Specific Relationship"/>
    <s v="None"/>
    <s v="INDOPACOM"/>
    <x v="149"/>
    <x v="22"/>
    <n v="6"/>
    <x v="12"/>
    <m/>
    <m/>
    <m/>
    <m/>
    <x v="0"/>
    <m/>
    <x v="0"/>
    <m/>
    <x v="0"/>
    <m/>
    <s v="NETF"/>
    <s v="2013-06 Harmonious Mission"/>
    <s v="East Sea Fleet"/>
    <s v="PLA FR XJP draft p. 26"/>
    <m/>
    <m/>
  </r>
  <r>
    <x v="0"/>
    <x v="0"/>
    <s v="Asia"/>
    <s v="Strategic Partnership [战略伙伴关系]"/>
    <s v="Major Non-NATO Ally"/>
    <s v="CENTCOM"/>
    <x v="2"/>
    <x v="22"/>
    <n v="6"/>
    <x v="12"/>
    <m/>
    <m/>
    <m/>
    <m/>
    <x v="0"/>
    <m/>
    <x v="0"/>
    <m/>
    <x v="0"/>
    <m/>
    <s v="NETF"/>
    <s v="2013-06 Harmonious Mission"/>
    <s v="East Sea Fleet"/>
    <s v="PLA FR XJP draft p. 26"/>
    <m/>
    <s v="recoded to delete drills"/>
  </r>
  <r>
    <x v="2"/>
    <x v="3"/>
    <s v="Europe and Central Asia"/>
    <s v="Comprehensive Collaborative Strategic Partnership [全面战略协作伙伴关系]"/>
    <s v="None"/>
    <s v="EUCOM"/>
    <x v="7"/>
    <x v="22"/>
    <n v="6"/>
    <x v="5"/>
    <m/>
    <m/>
    <m/>
    <m/>
    <x v="0"/>
    <m/>
    <x v="1"/>
    <s v="Cooperation 2013"/>
    <x v="4"/>
    <s v="Snow Leopard commando unit; 10 day joint training exercise in Russia "/>
    <m/>
    <m/>
    <m/>
    <m/>
    <s v="http://chn.chinamil.com.cn/jwjj/2013-06/11/content_5372267"/>
    <m/>
  </r>
  <r>
    <x v="1"/>
    <x v="6"/>
    <s v="Europe and Central Asia"/>
    <s v="Member"/>
    <s v="None"/>
    <s v="CENTCOM"/>
    <x v="14"/>
    <x v="22"/>
    <n v="6"/>
    <x v="1"/>
    <s v="Chang Wanquan"/>
    <m/>
    <s v="Defense Minister; CMC Member"/>
    <n v="8"/>
    <x v="1"/>
    <s v="10th official meeting of the SCO Ministers' of Defense in Kyrgyzstan; Other countries: Kazakhstan, Kyrgyztan, Russia, Tajikistan, Uzbekistan"/>
    <x v="0"/>
    <m/>
    <x v="0"/>
    <m/>
    <m/>
    <m/>
    <m/>
    <m/>
    <s v="http://www.mfa.kg/index_en.html"/>
    <m/>
  </r>
  <r>
    <x v="0"/>
    <x v="7"/>
    <s v="West Asia and Africa"/>
    <s v="No Specific Relationship"/>
    <s v="None"/>
    <s v="AFRICOM"/>
    <x v="139"/>
    <x v="22"/>
    <n v="6"/>
    <x v="0"/>
    <m/>
    <m/>
    <m/>
    <m/>
    <x v="0"/>
    <m/>
    <x v="0"/>
    <m/>
    <x v="0"/>
    <m/>
    <s v="ETF"/>
    <s v="ETF-14"/>
    <s v="North Sea Fleet"/>
    <s v="DDG112 Harbin, FFG528 Mianyang, AOR887 Weishan Hu"/>
    <m/>
    <m/>
  </r>
  <r>
    <x v="1"/>
    <x v="4"/>
    <s v="Asia"/>
    <s v="Strategic Cooperative Partnership [战略合作伙伴关系]"/>
    <s v="Bilateral Defense Treaty"/>
    <s v="INDOPACOM"/>
    <x v="25"/>
    <x v="22"/>
    <n v="6"/>
    <x v="3"/>
    <s v="Fan Changlong"/>
    <m/>
    <s v="CMC Vice Chairman"/>
    <n v="10"/>
    <x v="2"/>
    <s v="Chairman JCS"/>
    <x v="0"/>
    <m/>
    <x v="0"/>
    <m/>
    <m/>
    <m/>
    <m/>
    <m/>
    <m/>
    <m/>
  </r>
  <r>
    <x v="1"/>
    <x v="1"/>
    <s v="Asia"/>
    <s v="Comprehensive Strategic Cooperative Partnership [全面战略合作伙伴关系]"/>
    <s v="Bilateral Defense Treaty"/>
    <s v="INDOPACOM"/>
    <x v="5"/>
    <x v="22"/>
    <n v="6"/>
    <x v="3"/>
    <s v="Fan Changlong"/>
    <m/>
    <s v="CMC Vice Chairman"/>
    <n v="10"/>
    <x v="2"/>
    <s v="Supreme Commander Armed Forces"/>
    <x v="0"/>
    <m/>
    <x v="0"/>
    <m/>
    <m/>
    <m/>
    <m/>
    <m/>
    <m/>
    <m/>
  </r>
  <r>
    <x v="1"/>
    <x v="1"/>
    <s v="Asia"/>
    <s v="Comprehensive Strategic Cooperative Partnership [全面战略合作伙伴关系]"/>
    <s v="None"/>
    <s v="INDOPACOM"/>
    <x v="23"/>
    <x v="22"/>
    <n v="6"/>
    <x v="3"/>
    <s v="Chang Wanquan"/>
    <m/>
    <s v="Defense Minister; CMC Member"/>
    <n v="8"/>
    <x v="2"/>
    <s v="Deputy Defense Minister"/>
    <x v="0"/>
    <m/>
    <x v="0"/>
    <m/>
    <m/>
    <m/>
    <m/>
    <m/>
    <m/>
    <m/>
  </r>
  <r>
    <x v="0"/>
    <x v="9"/>
    <s v="West Asia and Africa"/>
    <s v="No Specific Relationship"/>
    <s v="None"/>
    <s v="CENTCOM"/>
    <x v="119"/>
    <x v="22"/>
    <n v="7"/>
    <x v="9"/>
    <m/>
    <m/>
    <m/>
    <m/>
    <x v="0"/>
    <m/>
    <x v="0"/>
    <m/>
    <x v="0"/>
    <m/>
    <s v="ETF"/>
    <s v="ETF-14"/>
    <s v="North Sea Fleet"/>
    <s v="DDG112 Harbin, FFG528 Mianyang, AOR887 Weishan Hu"/>
    <m/>
    <m/>
  </r>
  <r>
    <x v="1"/>
    <x v="0"/>
    <s v="Asia"/>
    <s v="Strategic Partnership for Peace and Prosperity [战略伙伴关系]"/>
    <s v="None"/>
    <s v="INDOPACOM"/>
    <x v="6"/>
    <x v="22"/>
    <n v="7"/>
    <x v="3"/>
    <s v="Chang Wanquan"/>
    <m/>
    <s v="Defense Minister; CMC Member"/>
    <n v="8"/>
    <x v="2"/>
    <s v="Defense Minister"/>
    <x v="0"/>
    <m/>
    <x v="0"/>
    <m/>
    <m/>
    <m/>
    <m/>
    <m/>
    <m/>
    <m/>
  </r>
  <r>
    <x v="1"/>
    <x v="8"/>
    <s v="Europe and Central Asia"/>
    <s v="Comprehensive Strategic Partnership [全面战略伙伴关系]"/>
    <s v="NATO"/>
    <s v="EUCOM"/>
    <x v="20"/>
    <x v="22"/>
    <n v="7"/>
    <x v="4"/>
    <s v="Zhang Youxia"/>
    <m/>
    <s v="GAD Director; CMC Member"/>
    <n v="8"/>
    <x v="1"/>
    <m/>
    <x v="0"/>
    <m/>
    <x v="0"/>
    <m/>
    <m/>
    <m/>
    <m/>
    <m/>
    <m/>
    <m/>
  </r>
  <r>
    <x v="1"/>
    <x v="6"/>
    <s v="Europe and Central Asia"/>
    <s v="Comprehensive Strategic Partnership [全面战略伙伴关系]"/>
    <s v="None"/>
    <s v="CENTCOM"/>
    <x v="30"/>
    <x v="22"/>
    <n v="7"/>
    <x v="4"/>
    <s v="Fan Changlong"/>
    <m/>
    <s v="CMC Vice Chairman"/>
    <n v="10"/>
    <x v="1"/>
    <m/>
    <x v="0"/>
    <m/>
    <x v="0"/>
    <m/>
    <m/>
    <m/>
    <m/>
    <m/>
    <m/>
    <m/>
  </r>
  <r>
    <x v="1"/>
    <x v="1"/>
    <s v="Asia"/>
    <s v="Comprehensive Strategic Cooperative Partnership [全面战略合作伙伴关系]"/>
    <s v="None"/>
    <s v="INDOPACOM"/>
    <x v="52"/>
    <x v="22"/>
    <n v="7"/>
    <x v="3"/>
    <s v="Chang Wanquan"/>
    <m/>
    <s v="Defense Minister; CMC Member"/>
    <n v="8"/>
    <x v="2"/>
    <s v="Deputy Prime Minister and Minister of Defense"/>
    <x v="0"/>
    <m/>
    <x v="0"/>
    <m/>
    <m/>
    <m/>
    <m/>
    <m/>
    <m/>
    <m/>
  </r>
  <r>
    <x v="1"/>
    <x v="7"/>
    <s v="West Asia and Africa"/>
    <s v="Strategic Partnership [战略伙伴关系]"/>
    <s v="None"/>
    <s v="AFRICOM"/>
    <x v="36"/>
    <x v="22"/>
    <n v="7"/>
    <x v="3"/>
    <s v="Chang Wanquan"/>
    <m/>
    <s v="Defense Minister; CMC Member"/>
    <n v="8"/>
    <x v="2"/>
    <s v="Acting Defense Minister"/>
    <x v="0"/>
    <m/>
    <x v="0"/>
    <m/>
    <m/>
    <m/>
    <m/>
    <m/>
    <m/>
    <m/>
  </r>
  <r>
    <x v="1"/>
    <x v="3"/>
    <s v="Europe and Central Asia"/>
    <s v="Comprehensive Collaborative Strategic Partnership [全面战略协作伙伴关系]"/>
    <s v="None"/>
    <s v="EUCOM"/>
    <x v="7"/>
    <x v="22"/>
    <n v="7"/>
    <x v="4"/>
    <s v="Fang Fenghui"/>
    <m/>
    <s v="GSD Commander; CMC Member"/>
    <n v="8"/>
    <x v="1"/>
    <s v="COGS"/>
    <x v="0"/>
    <m/>
    <x v="0"/>
    <m/>
    <m/>
    <m/>
    <m/>
    <m/>
    <m/>
    <m/>
  </r>
  <r>
    <x v="2"/>
    <x v="3"/>
    <s v="Europe and Central Asia"/>
    <s v="Comprehensive Collaborative Strategic Partnership [全面战略协作伙伴关系]"/>
    <s v="None"/>
    <s v="EUCOM"/>
    <x v="7"/>
    <x v="22"/>
    <n v="7"/>
    <x v="5"/>
    <m/>
    <m/>
    <m/>
    <m/>
    <x v="0"/>
    <m/>
    <x v="3"/>
    <s v="Maritime Cooperation 2013 (aka Joint Sea 2013)"/>
    <x v="2"/>
    <s v="Maritime; HADR; live-fire drills. July 5-12"/>
    <m/>
    <m/>
    <m/>
    <m/>
    <m/>
    <m/>
  </r>
  <r>
    <x v="2"/>
    <x v="3"/>
    <s v="Europe and Central Asia"/>
    <s v="Comprehensive Collaborative Strategic Partnership [全面战略协作伙伴关系]"/>
    <s v="None"/>
    <s v="EUCOM"/>
    <x v="7"/>
    <x v="22"/>
    <n v="7"/>
    <x v="5"/>
    <m/>
    <m/>
    <m/>
    <m/>
    <x v="0"/>
    <m/>
    <x v="3"/>
    <s v="Peace Mission 2013"/>
    <x v="3"/>
    <s v="Army, Navy, Air Force, SOF; anti-terrorism.  July 27–August 15, 2013"/>
    <m/>
    <m/>
    <m/>
    <m/>
    <m/>
    <m/>
  </r>
  <r>
    <x v="1"/>
    <x v="1"/>
    <s v="Asia"/>
    <s v="No Specific Relationship"/>
    <s v="None"/>
    <s v="INDOPACOM"/>
    <x v="39"/>
    <x v="22"/>
    <n v="7"/>
    <x v="3"/>
    <s v="Wu Shengli"/>
    <m/>
    <s v="PLAN Commander; CMC Member"/>
    <n v="8"/>
    <x v="2"/>
    <s v="Navy Commander"/>
    <x v="0"/>
    <m/>
    <x v="0"/>
    <m/>
    <m/>
    <m/>
    <m/>
    <m/>
    <m/>
    <m/>
  </r>
  <r>
    <x v="1"/>
    <x v="4"/>
    <s v="Asia"/>
    <s v="Strategic Cooperative Partnership [战略合作伙伴关系]"/>
    <s v="Bilateral Defense Treaty"/>
    <s v="INDOPACOM"/>
    <x v="25"/>
    <x v="22"/>
    <n v="7"/>
    <x v="3"/>
    <s v="Wu Shengli"/>
    <m/>
    <s v="PLAN Commander; CMC Member"/>
    <n v="8"/>
    <x v="2"/>
    <s v="Chief of Naval Operations"/>
    <x v="0"/>
    <m/>
    <x v="0"/>
    <m/>
    <m/>
    <m/>
    <m/>
    <m/>
    <m/>
    <m/>
  </r>
  <r>
    <x v="1"/>
    <x v="1"/>
    <s v="Asia"/>
    <s v="Comprehensive Strategic Cooperative Partnership [全面战略合作伙伴关系]"/>
    <s v="Bilateral Defense Treaty"/>
    <s v="INDOPACOM"/>
    <x v="5"/>
    <x v="22"/>
    <n v="7"/>
    <x v="4"/>
    <s v="Fan Changlong"/>
    <m/>
    <s v="CMC Vice Chairman"/>
    <n v="10"/>
    <x v="1"/>
    <m/>
    <x v="0"/>
    <m/>
    <x v="0"/>
    <m/>
    <m/>
    <m/>
    <m/>
    <m/>
    <m/>
    <m/>
  </r>
  <r>
    <x v="2"/>
    <x v="1"/>
    <s v="Asia"/>
    <s v="Comprehensive Strategic Cooperative Partnership [全面战略合作伙伴关系]"/>
    <s v="Bilateral Defense Treaty"/>
    <s v="INDOPACOM"/>
    <x v="5"/>
    <x v="22"/>
    <n v="7"/>
    <x v="5"/>
    <m/>
    <m/>
    <m/>
    <m/>
    <x v="0"/>
    <m/>
    <x v="1"/>
    <s v="Strike 2013"/>
    <x v="1"/>
    <s v="Anti-terrorism"/>
    <m/>
    <m/>
    <m/>
    <m/>
    <m/>
    <m/>
  </r>
  <r>
    <x v="1"/>
    <x v="7"/>
    <s v="West Asia and Africa"/>
    <s v="Strategic Partnership [战略伙伴关系]"/>
    <s v="None"/>
    <s v="AFRICOM"/>
    <x v="105"/>
    <x v="22"/>
    <n v="8"/>
    <x v="3"/>
    <s v="Jia Tingan"/>
    <m/>
    <s v="GPD Deputy Director"/>
    <n v="6"/>
    <x v="2"/>
    <s v="Inspector of Military Procurarate"/>
    <x v="0"/>
    <m/>
    <x v="0"/>
    <m/>
    <m/>
    <m/>
    <m/>
    <m/>
    <m/>
    <m/>
  </r>
  <r>
    <x v="1"/>
    <x v="1"/>
    <s v="Asia"/>
    <s v="Strategic Partnership [战略伙伴关系] for Peace and Prosperity"/>
    <s v="None"/>
    <s v="INDOPACOM"/>
    <x v="153"/>
    <x v="22"/>
    <n v="8"/>
    <x v="1"/>
    <s v="Chang Wanquan"/>
    <m/>
    <s v="Defense Minister; CMC Member"/>
    <n v="8"/>
    <x v="1"/>
    <s v="2nd ADMM+"/>
    <x v="0"/>
    <m/>
    <x v="0"/>
    <m/>
    <m/>
    <m/>
    <m/>
    <m/>
    <s v="https://admm.asean.org/index.php/admm-news/40-news/asean-secretariat-news/282-asean-defence-ministers-strengthen-cooperation-ties.html"/>
    <s v="corrected partnership to strategic partnership for peace and prosperity"/>
  </r>
  <r>
    <x v="1"/>
    <x v="5"/>
    <s v="America and Oceania"/>
    <s v="No Specific Relationship"/>
    <s v="ANZUS Treaty"/>
    <s v="INDOPACOM"/>
    <x v="12"/>
    <x v="22"/>
    <n v="8"/>
    <x v="3"/>
    <s v="Wu Shengli"/>
    <m/>
    <s v="PLAN Commander; CMC Member"/>
    <n v="8"/>
    <x v="2"/>
    <s v="Navy Commander"/>
    <x v="0"/>
    <m/>
    <x v="0"/>
    <m/>
    <m/>
    <m/>
    <m/>
    <m/>
    <m/>
    <m/>
  </r>
  <r>
    <x v="0"/>
    <x v="5"/>
    <s v="America and Oceania"/>
    <s v="No Specific Relationship"/>
    <s v="ANZUS Treaty"/>
    <s v="INDOPACOM"/>
    <x v="12"/>
    <x v="22"/>
    <n v="8"/>
    <x v="0"/>
    <m/>
    <m/>
    <m/>
    <m/>
    <x v="0"/>
    <m/>
    <x v="0"/>
    <m/>
    <x v="0"/>
    <m/>
    <s v="NETF"/>
    <s v="2013-08 DDG113 Qingdao"/>
    <s v="North Sea Fleet"/>
    <s v="PLA FR XJP draft p. 23"/>
    <m/>
    <m/>
  </r>
  <r>
    <x v="0"/>
    <x v="0"/>
    <s v="Asia"/>
    <s v="Comprehensive Cooperative Partnership [全面合作伙伴关系]"/>
    <s v="None"/>
    <s v="INDOPACOM"/>
    <x v="0"/>
    <x v="22"/>
    <n v="8"/>
    <x v="12"/>
    <m/>
    <m/>
    <m/>
    <m/>
    <x v="0"/>
    <m/>
    <x v="0"/>
    <m/>
    <x v="0"/>
    <m/>
    <s v="NETF"/>
    <s v="2013-06 Harmonious Mission"/>
    <s v="East Sea Fleet"/>
    <s v="PLA FR XJP draft p. 26"/>
    <m/>
    <m/>
  </r>
  <r>
    <x v="1"/>
    <x v="1"/>
    <s v="Asia"/>
    <s v="No Specific Relationship"/>
    <s v="None"/>
    <s v="INDOPACOM"/>
    <x v="44"/>
    <x v="22"/>
    <n v="8"/>
    <x v="4"/>
    <s v="Chang Wanquan"/>
    <m/>
    <s v="Defense Minister; CMC Member"/>
    <n v="8"/>
    <x v="1"/>
    <s v="Sultan Hassanal Bolkiah"/>
    <x v="0"/>
    <m/>
    <x v="0"/>
    <m/>
    <m/>
    <m/>
    <m/>
    <m/>
    <s v="http://worlddefencenews.blogspot.com/2013/05/brunei-and-china-to-discuss-bilateral.html"/>
    <s v="China and Brunei established a strategic partnership in 2018"/>
  </r>
  <r>
    <x v="1"/>
    <x v="2"/>
    <s v="America and Oceania"/>
    <s v="Strategic Partnership [战略伙伴关系]"/>
    <s v="NATO"/>
    <s v="NORTHCOM"/>
    <x v="17"/>
    <x v="22"/>
    <n v="8"/>
    <x v="4"/>
    <s v="Chang Wanquan"/>
    <m/>
    <s v="Defense Minister; CMC Member"/>
    <n v="8"/>
    <x v="1"/>
    <s v="Defense Minister"/>
    <x v="0"/>
    <m/>
    <x v="0"/>
    <m/>
    <m/>
    <m/>
    <m/>
    <m/>
    <m/>
    <m/>
  </r>
  <r>
    <x v="0"/>
    <x v="8"/>
    <s v="Europe and Central Asia"/>
    <s v="Comprehensive Strategic Partnership [全面战略伙伴关系]"/>
    <s v="NATO"/>
    <s v="EUCOM"/>
    <x v="29"/>
    <x v="22"/>
    <n v="8"/>
    <x v="0"/>
    <m/>
    <m/>
    <m/>
    <m/>
    <x v="0"/>
    <m/>
    <x v="0"/>
    <m/>
    <x v="0"/>
    <m/>
    <s v="ETF"/>
    <s v="ETF-14 "/>
    <s v="North Sea Fleet"/>
    <s v="DDG112 Harbin, FFG528 Mianyang, AOR887 Weishan Hu; Unknown, could also be ETF-15"/>
    <m/>
    <m/>
  </r>
  <r>
    <x v="0"/>
    <x v="0"/>
    <s v="Asia"/>
    <s v="Strategic Partnership for Peace and Prosperity [战略伙伴关系]"/>
    <s v="None"/>
    <s v="INDOPACOM"/>
    <x v="6"/>
    <x v="22"/>
    <n v="8"/>
    <x v="12"/>
    <m/>
    <m/>
    <m/>
    <m/>
    <x v="0"/>
    <m/>
    <x v="0"/>
    <m/>
    <x v="0"/>
    <m/>
    <s v="NETF"/>
    <s v="2013-06 Harmonious Mission"/>
    <s v="East Sea Fleet"/>
    <s v="PLA FR XJP draft p. 26"/>
    <m/>
    <m/>
  </r>
  <r>
    <x v="2"/>
    <x v="6"/>
    <s v="Europe and Central Asia"/>
    <s v="Strategic Partnership [战略伙伴关系]"/>
    <s v="None"/>
    <s v="CENTCOM"/>
    <x v="31"/>
    <x v="22"/>
    <n v="8"/>
    <x v="5"/>
    <m/>
    <m/>
    <m/>
    <m/>
    <x v="0"/>
    <m/>
    <x v="1"/>
    <s v="Frontier Defense Joint Determination 2013 "/>
    <x v="4"/>
    <s v="Armed police from both sides, "/>
    <m/>
    <m/>
    <m/>
    <m/>
    <s v="http://english.people.com.cn/90786/8362119.html"/>
    <m/>
  </r>
  <r>
    <x v="0"/>
    <x v="1"/>
    <s v="Asia"/>
    <s v="Comprehensive Strategic Partnership [全面战略伙伴关系]"/>
    <s v="None"/>
    <s v="INDOPACOM"/>
    <x v="10"/>
    <x v="22"/>
    <n v="8"/>
    <x v="0"/>
    <m/>
    <m/>
    <m/>
    <m/>
    <x v="0"/>
    <m/>
    <x v="0"/>
    <m/>
    <x v="0"/>
    <m/>
    <s v="NETF"/>
    <s v="2013-08 Zhenghe "/>
    <s v="North Sea Fleet"/>
    <s v="PLA FR XJP draft p. 24"/>
    <m/>
    <m/>
  </r>
  <r>
    <x v="0"/>
    <x v="1"/>
    <s v="Asia"/>
    <s v="Comprehensive Strategic Cooperative Partnership [全面战略合作伙伴关系]"/>
    <s v="None"/>
    <s v="INDOPACOM"/>
    <x v="1"/>
    <x v="22"/>
    <n v="8"/>
    <x v="12"/>
    <m/>
    <m/>
    <m/>
    <m/>
    <x v="0"/>
    <m/>
    <x v="0"/>
    <m/>
    <x v="0"/>
    <m/>
    <s v="NETF"/>
    <s v="2013-06 Harmonious Mission"/>
    <s v="East Sea Fleet"/>
    <s v="PLA FR XJP draft p. 26"/>
    <m/>
    <m/>
  </r>
  <r>
    <x v="1"/>
    <x v="5"/>
    <s v="America and Oceania"/>
    <s v="No Specific Relationship"/>
    <s v="ANZUS Treaty"/>
    <s v="INDOPACOM"/>
    <x v="13"/>
    <x v="22"/>
    <n v="8"/>
    <x v="4"/>
    <s v="Wu Changde "/>
    <m/>
    <s v="GPD Deputy Director"/>
    <n v="6"/>
    <x v="1"/>
    <m/>
    <x v="0"/>
    <m/>
    <x v="0"/>
    <m/>
    <m/>
    <m/>
    <m/>
    <m/>
    <m/>
    <m/>
  </r>
  <r>
    <x v="0"/>
    <x v="5"/>
    <s v="America and Oceania"/>
    <s v="No Specific Relationship"/>
    <s v="ANZUS Treaty"/>
    <s v="INDOPACOM"/>
    <x v="13"/>
    <x v="22"/>
    <n v="8"/>
    <x v="0"/>
    <m/>
    <m/>
    <m/>
    <m/>
    <x v="0"/>
    <m/>
    <x v="0"/>
    <m/>
    <x v="0"/>
    <m/>
    <s v="NETF"/>
    <s v="2013-08 DDG113 Qingdao"/>
    <s v="North Sea Fleet"/>
    <s v="PLA FR XJP draft p. 23"/>
    <m/>
    <m/>
  </r>
  <r>
    <x v="2"/>
    <x v="5"/>
    <s v="America and Oceania"/>
    <s v="No Specific Relationship"/>
    <s v="ANZUS Treaty"/>
    <s v="INDOPACOM"/>
    <x v="13"/>
    <x v="22"/>
    <n v="8"/>
    <x v="6"/>
    <m/>
    <m/>
    <m/>
    <m/>
    <x v="0"/>
    <m/>
    <x v="2"/>
    <s v="Phoenix Spirit"/>
    <x v="1"/>
    <s v="Medical; HADR.Other countries: Australia, United States"/>
    <m/>
    <m/>
    <m/>
    <m/>
    <m/>
    <m/>
  </r>
  <r>
    <x v="2"/>
    <x v="0"/>
    <s v="Asia"/>
    <s v="Strategic Partnership [战略伙伴关系]"/>
    <s v="Major Non-NATO Ally"/>
    <s v="CENTCOM"/>
    <x v="2"/>
    <x v="22"/>
    <n v="8"/>
    <x v="5"/>
    <m/>
    <m/>
    <m/>
    <m/>
    <x v="0"/>
    <m/>
    <x v="3"/>
    <s v="Shaheen-2"/>
    <x v="5"/>
    <s v="Operational aerial maneuvers"/>
    <m/>
    <m/>
    <m/>
    <m/>
    <m/>
    <m/>
  </r>
  <r>
    <x v="1"/>
    <x v="0"/>
    <s v="Asia"/>
    <s v="Strategic Partnership [战略伙伴关系]"/>
    <s v="Major Non-NATO Ally"/>
    <s v="CENTCOM"/>
    <x v="2"/>
    <x v="22"/>
    <n v="8"/>
    <x v="3"/>
    <s v="Xu Qiliang"/>
    <m/>
    <s v="CMC Vice Chairman"/>
    <n v="10"/>
    <x v="2"/>
    <s v="Chairman JCS"/>
    <x v="0"/>
    <m/>
    <x v="0"/>
    <m/>
    <m/>
    <m/>
    <m/>
    <m/>
    <m/>
    <m/>
  </r>
  <r>
    <x v="1"/>
    <x v="1"/>
    <s v="Asia"/>
    <s v="No Specific Relationship"/>
    <s v="None"/>
    <s v="INDOPACOM"/>
    <x v="39"/>
    <x v="22"/>
    <n v="8"/>
    <x v="7"/>
    <s v="Chang Wanquan"/>
    <m/>
    <s v="Defense Minister; CMC Member"/>
    <n v="8"/>
    <x v="1"/>
    <s v="2nd ADMM+; Minister for Defence Dr Ng Eng Hen"/>
    <x v="0"/>
    <m/>
    <x v="0"/>
    <m/>
    <m/>
    <m/>
    <m/>
    <m/>
    <s v="https://www.mindef.gov.sg/web/portal/mindef/news-and-events/latest-releases/article-detail/2013/may/2013May07-News-Releases-02184"/>
    <s v=" "/>
  </r>
  <r>
    <x v="1"/>
    <x v="4"/>
    <s v="Asia"/>
    <s v="Strategic Cooperative Partnership [战略合作伙伴关系]"/>
    <s v="Bilateral Defense Treaty"/>
    <s v="INDOPACOM"/>
    <x v="25"/>
    <x v="22"/>
    <n v="8"/>
    <x v="7"/>
    <s v="Chang Wanquan"/>
    <m/>
    <s v="Defense Minister; CMC Member"/>
    <n v="8"/>
    <x v="1"/>
    <s v="2nd ADMM+; Defense Minister Kim Kwan-jin"/>
    <x v="0"/>
    <m/>
    <x v="0"/>
    <m/>
    <m/>
    <m/>
    <m/>
    <m/>
    <s v="http://en.people.cn/102774/8382947.html"/>
    <s v=" "/>
  </r>
  <r>
    <x v="0"/>
    <x v="4"/>
    <s v="Asia"/>
    <s v="Strategic Cooperative Partnership [战略合作伙伴关系]"/>
    <s v="Bilateral Defense Treaty"/>
    <s v="INDOPACOM"/>
    <x v="25"/>
    <x v="22"/>
    <n v="8"/>
    <x v="0"/>
    <m/>
    <m/>
    <m/>
    <m/>
    <x v="0"/>
    <m/>
    <x v="0"/>
    <m/>
    <x v="0"/>
    <m/>
    <s v="NETF"/>
    <s v="2013-08 Zhenghe "/>
    <s v="North Sea Fleet"/>
    <s v="PLA FR XJP draft p. 24"/>
    <m/>
    <m/>
  </r>
  <r>
    <x v="1"/>
    <x v="5"/>
    <s v="America and Oceania"/>
    <s v="No Specific Relationship"/>
    <s v="None"/>
    <s v="INDOPACOM"/>
    <x v="144"/>
    <x v="22"/>
    <n v="8"/>
    <x v="4"/>
    <s v="Wu Changde "/>
    <m/>
    <s v="GPD Deputy Director"/>
    <n v="6"/>
    <x v="1"/>
    <m/>
    <x v="0"/>
    <m/>
    <x v="0"/>
    <m/>
    <m/>
    <m/>
    <m/>
    <m/>
    <m/>
    <m/>
  </r>
  <r>
    <x v="1"/>
    <x v="2"/>
    <s v="America and Oceania"/>
    <s v="No Specific Relationship"/>
    <s v="N/A"/>
    <s v="NORTHCOM"/>
    <x v="4"/>
    <x v="22"/>
    <n v="8"/>
    <x v="4"/>
    <s v="Chang Wanquan"/>
    <m/>
    <s v="Defense Minister; CMC Member"/>
    <n v="8"/>
    <x v="1"/>
    <s v="Secretary of Defense Hagel"/>
    <x v="0"/>
    <m/>
    <x v="0"/>
    <m/>
    <m/>
    <m/>
    <m/>
    <m/>
    <s v="2014 CH Mil Power Report"/>
    <m/>
  </r>
  <r>
    <x v="2"/>
    <x v="2"/>
    <s v="America and Oceania"/>
    <s v="No Specific Relationship"/>
    <s v="N/A"/>
    <s v="NORTHCOM"/>
    <x v="4"/>
    <x v="22"/>
    <n v="8"/>
    <x v="5"/>
    <m/>
    <m/>
    <m/>
    <m/>
    <x v="0"/>
    <m/>
    <x v="4"/>
    <m/>
    <x v="2"/>
    <s v="2nd US-CH BL counter-piracy exercise in Gulf of Aden"/>
    <m/>
    <m/>
    <m/>
    <m/>
    <s v="2014 CH Milpower Report"/>
    <m/>
  </r>
  <r>
    <x v="1"/>
    <x v="7"/>
    <s v="West Asia and Africa"/>
    <s v="No Specific Relationship"/>
    <s v="None"/>
    <s v="AFRICOM"/>
    <x v="61"/>
    <x v="22"/>
    <n v="8"/>
    <x v="3"/>
    <s v="Ma Xiaotian"/>
    <m/>
    <s v="PLAAF Commander; CMC Member"/>
    <n v="8"/>
    <x v="2"/>
    <s v="Air Force Commander"/>
    <x v="0"/>
    <m/>
    <x v="0"/>
    <m/>
    <m/>
    <m/>
    <m/>
    <m/>
    <m/>
    <m/>
  </r>
  <r>
    <x v="0"/>
    <x v="10"/>
    <s v="America and Oceania"/>
    <s v="Strategic Partnership [战略伙伴关系]"/>
    <s v="Major Non-NATO Ally"/>
    <s v="SOUTHCOM"/>
    <x v="62"/>
    <x v="22"/>
    <n v="9"/>
    <x v="0"/>
    <m/>
    <m/>
    <m/>
    <m/>
    <x v="0"/>
    <m/>
    <x v="0"/>
    <m/>
    <x v="0"/>
    <m/>
    <s v="NETF"/>
    <s v="2013-09 DDG170 Lanzhou"/>
    <s v="South Sea Fleet"/>
    <s v="PLA FR XJP draft p. 23"/>
    <m/>
    <m/>
  </r>
  <r>
    <x v="1"/>
    <x v="0"/>
    <s v="Asia"/>
    <s v="Comprehensive Cooperative Partnership [全面合作伙伴关系]"/>
    <s v="None"/>
    <s v="INDOPACOM"/>
    <x v="0"/>
    <x v="22"/>
    <n v="9"/>
    <x v="3"/>
    <s v="Ma Xiaotian"/>
    <m/>
    <s v="PLAAF Commander; CMC Member"/>
    <n v="8"/>
    <x v="2"/>
    <s v="Air Force Chief of Staff"/>
    <x v="0"/>
    <m/>
    <x v="0"/>
    <m/>
    <m/>
    <m/>
    <m/>
    <m/>
    <m/>
    <m/>
  </r>
  <r>
    <x v="1"/>
    <x v="8"/>
    <s v="Europe and Central Asia"/>
    <s v="No Specific Relationship"/>
    <s v="NATO"/>
    <s v="EUCOM"/>
    <x v="68"/>
    <x v="22"/>
    <n v="9"/>
    <x v="4"/>
    <s v="Du Jincai"/>
    <m/>
    <s v="GPD Deputy Director"/>
    <n v="6"/>
    <x v="1"/>
    <m/>
    <x v="0"/>
    <m/>
    <x v="0"/>
    <m/>
    <m/>
    <m/>
    <m/>
    <m/>
    <m/>
    <m/>
  </r>
  <r>
    <x v="0"/>
    <x v="10"/>
    <s v="America and Oceania"/>
    <s v="Comprehensive Strategic Partnership [全面战略伙伴关系]"/>
    <s v="None"/>
    <s v="SOUTHCOM"/>
    <x v="43"/>
    <x v="22"/>
    <n v="9"/>
    <x v="0"/>
    <m/>
    <m/>
    <m/>
    <m/>
    <x v="0"/>
    <m/>
    <x v="0"/>
    <m/>
    <x v="0"/>
    <m/>
    <s v="NETF"/>
    <s v="2013-09 DDG170 Lanzhou"/>
    <s v="South Sea Fleet"/>
    <s v="PLA FR XJP draft p. 23"/>
    <m/>
    <m/>
  </r>
  <r>
    <x v="0"/>
    <x v="1"/>
    <s v="Asia"/>
    <s v="Comprehensive Strategic Cooperative Partnership [全面战略合作伙伴关系]"/>
    <s v="None"/>
    <s v="INDOPACOM"/>
    <x v="94"/>
    <x v="22"/>
    <n v="9"/>
    <x v="12"/>
    <m/>
    <m/>
    <m/>
    <m/>
    <x v="0"/>
    <m/>
    <x v="0"/>
    <m/>
    <x v="0"/>
    <m/>
    <s v="NETF"/>
    <s v="2013-06 Harmonious Mission"/>
    <s v="East Sea Fleet"/>
    <s v="PLA FR XJP draft p. 26"/>
    <m/>
    <m/>
  </r>
  <r>
    <x v="0"/>
    <x v="10"/>
    <s v="America and Oceania"/>
    <s v="Strategic Partnership [战略伙伴关系]"/>
    <s v="None"/>
    <s v="SOUTHCOM"/>
    <x v="66"/>
    <x v="22"/>
    <n v="9"/>
    <x v="0"/>
    <m/>
    <m/>
    <m/>
    <m/>
    <x v="0"/>
    <m/>
    <x v="0"/>
    <m/>
    <x v="0"/>
    <m/>
    <s v="NETF"/>
    <s v="2013-09 DDG170 Lanzhou"/>
    <s v="South Sea Fleet"/>
    <s v="PLA FR XJP draft p. 23"/>
    <m/>
    <m/>
  </r>
  <r>
    <x v="1"/>
    <x v="8"/>
    <s v="Europe and Central Asia"/>
    <s v="Comprehensive Cooperative Partnership [全面合作伙伴关系]"/>
    <s v="NATO"/>
    <s v="EUCOM"/>
    <x v="35"/>
    <x v="22"/>
    <n v="9"/>
    <x v="4"/>
    <s v="Du Jincai"/>
    <m/>
    <s v="GPD Deputy Director"/>
    <n v="6"/>
    <x v="1"/>
    <m/>
    <x v="0"/>
    <m/>
    <x v="0"/>
    <m/>
    <m/>
    <m/>
    <m/>
    <m/>
    <m/>
    <m/>
  </r>
  <r>
    <x v="1"/>
    <x v="8"/>
    <s v="Europe and Central Asia"/>
    <s v="Strategic Partnership [战略伙伴关系]"/>
    <s v="NATO"/>
    <s v="EUCOM"/>
    <x v="18"/>
    <x v="22"/>
    <n v="9"/>
    <x v="3"/>
    <s v="Sun Jianguo"/>
    <m/>
    <s v="GSD DCGS"/>
    <n v="6"/>
    <x v="2"/>
    <s v="Former Inspector General, Federal Defense Forces "/>
    <x v="0"/>
    <m/>
    <x v="0"/>
    <m/>
    <m/>
    <m/>
    <m/>
    <m/>
    <m/>
    <m/>
  </r>
  <r>
    <x v="1"/>
    <x v="0"/>
    <s v="Asia"/>
    <s v="Strategic Partnership for Peace and Prosperity [战略伙伴关系]"/>
    <s v="None"/>
    <s v="INDOPACOM"/>
    <x v="6"/>
    <x v="22"/>
    <n v="9"/>
    <x v="3"/>
    <s v="Sun Jianguo"/>
    <m/>
    <s v="GSD DCGS"/>
    <n v="6"/>
    <x v="2"/>
    <s v="Delegation for CIISS"/>
    <x v="0"/>
    <m/>
    <x v="0"/>
    <m/>
    <m/>
    <m/>
    <m/>
    <m/>
    <m/>
    <m/>
  </r>
  <r>
    <x v="0"/>
    <x v="1"/>
    <s v="Asia"/>
    <s v="Comprehensive Strategic Partnership [全面战略伙伴关系]"/>
    <s v="None"/>
    <s v="INDOPACOM"/>
    <x v="8"/>
    <x v="22"/>
    <n v="9"/>
    <x v="12"/>
    <m/>
    <m/>
    <m/>
    <m/>
    <x v="0"/>
    <m/>
    <x v="0"/>
    <m/>
    <x v="0"/>
    <m/>
    <s v="NETF"/>
    <s v="2013-06 Harmonious Mission"/>
    <s v="East Sea Fleet"/>
    <s v="PLA FR XJP draft p. 26"/>
    <m/>
    <m/>
  </r>
  <r>
    <x v="2"/>
    <x v="4"/>
    <s v="Asia"/>
    <s v="Strategic Partnership [战略伙伴关系]"/>
    <s v="None"/>
    <s v="INDOPACOM"/>
    <x v="53"/>
    <x v="22"/>
    <n v="9"/>
    <x v="5"/>
    <m/>
    <m/>
    <m/>
    <m/>
    <x v="0"/>
    <m/>
    <x v="2"/>
    <s v="Prairie Pioneer"/>
    <x v="1"/>
    <s v="Medical; engineers"/>
    <m/>
    <m/>
    <m/>
    <m/>
    <s v="http://en.people.cn/90786/8402165.html"/>
    <m/>
  </r>
  <r>
    <x v="2"/>
    <x v="3"/>
    <s v="Europe and Central Asia"/>
    <s v="Comprehensive Collaborative Strategic Partnership [全面战略协作伙伴关系]"/>
    <s v="None"/>
    <s v="EUCOM"/>
    <x v="7"/>
    <x v="22"/>
    <n v="9"/>
    <x v="5"/>
    <m/>
    <m/>
    <m/>
    <m/>
    <x v="0"/>
    <m/>
    <x v="2"/>
    <s v="Unnamed"/>
    <x v="4"/>
    <s v="Joint drill at Chinese land port; aimed at countering illegal border crossing; likely PAP"/>
    <m/>
    <m/>
    <m/>
    <m/>
    <s v="http://news.xinhuanet.com/english/china/2013-09/19/c_132734529.htm"/>
    <m/>
  </r>
  <r>
    <x v="0"/>
    <x v="9"/>
    <s v="West Asia and Africa"/>
    <s v="No Specific Relationship"/>
    <s v="None"/>
    <s v="CENTCOM"/>
    <x v="142"/>
    <x v="22"/>
    <n v="9"/>
    <x v="9"/>
    <m/>
    <m/>
    <m/>
    <m/>
    <x v="0"/>
    <m/>
    <x v="0"/>
    <m/>
    <x v="0"/>
    <m/>
    <s v="ETF"/>
    <s v="ETF-15"/>
    <s v="South Sea Fleet"/>
    <s v="LPD999 Jingangshan, FFG572 Hengshui, AOR889 Taihu"/>
    <m/>
    <m/>
  </r>
  <r>
    <x v="0"/>
    <x v="1"/>
    <s v="Asia"/>
    <s v="No Specific Relationship"/>
    <s v="None"/>
    <s v="INDOPACOM"/>
    <x v="39"/>
    <x v="22"/>
    <n v="9"/>
    <x v="0"/>
    <m/>
    <m/>
    <m/>
    <m/>
    <x v="0"/>
    <m/>
    <x v="0"/>
    <m/>
    <x v="0"/>
    <m/>
    <s v="ETF"/>
    <s v="ETF-14"/>
    <s v="North Sea Fleet"/>
    <s v="DDG112 Harbin, FFG528 Mianyang, AOR887 Weishan Hu"/>
    <m/>
    <m/>
  </r>
  <r>
    <x v="1"/>
    <x v="8"/>
    <s v="Europe and Central Asia"/>
    <s v="Comprehensive Strategic Partnership [全面战略伙伴关系]"/>
    <s v="NATO"/>
    <s v="EUCOM"/>
    <x v="70"/>
    <x v="22"/>
    <n v="9"/>
    <x v="4"/>
    <s v="Wei Fenghe"/>
    <m/>
    <s v="PLASAF Commander; CMC Member"/>
    <n v="8"/>
    <x v="1"/>
    <m/>
    <x v="0"/>
    <m/>
    <x v="0"/>
    <m/>
    <m/>
    <m/>
    <m/>
    <m/>
    <m/>
    <m/>
  </r>
  <r>
    <x v="1"/>
    <x v="0"/>
    <s v="Asia"/>
    <s v="Strategic Cooperative Partnership [战略合作伙伴关系]"/>
    <s v="None"/>
    <s v="INDOPACOM"/>
    <x v="3"/>
    <x v="22"/>
    <n v="9"/>
    <x v="3"/>
    <s v="Ma Xiaotian"/>
    <m/>
    <s v="PLAAF Commander; CMC Member"/>
    <n v="8"/>
    <x v="2"/>
    <s v="Defense Minister and Urban Development Executive Secretary"/>
    <x v="0"/>
    <m/>
    <x v="0"/>
    <m/>
    <m/>
    <m/>
    <m/>
    <m/>
    <m/>
    <m/>
  </r>
  <r>
    <x v="1"/>
    <x v="8"/>
    <s v="Europe and Central Asia"/>
    <s v="No Specific Relationship"/>
    <s v="None"/>
    <s v="EUCOM"/>
    <x v="78"/>
    <x v="22"/>
    <n v="9"/>
    <x v="4"/>
    <s v="Wei Fenghe"/>
    <m/>
    <s v="PLASAF Commander; CMC Member"/>
    <n v="8"/>
    <x v="1"/>
    <m/>
    <x v="0"/>
    <m/>
    <x v="0"/>
    <m/>
    <m/>
    <m/>
    <m/>
    <m/>
    <m/>
    <m/>
  </r>
  <r>
    <x v="0"/>
    <x v="1"/>
    <s v="Asia"/>
    <s v="Comprehensive Strategic Cooperative Partnership [全面战略合作伙伴关系]"/>
    <s v="Bilateral Defense Treaty"/>
    <s v="INDOPACOM"/>
    <x v="5"/>
    <x v="22"/>
    <n v="9"/>
    <x v="0"/>
    <m/>
    <m/>
    <m/>
    <m/>
    <x v="0"/>
    <m/>
    <x v="0"/>
    <m/>
    <x v="0"/>
    <m/>
    <s v="ETF"/>
    <s v="ETF-14"/>
    <s v="North Sea Fleet"/>
    <s v="DDG112 Harbin, FFG528 Mianyang, AOR887 Weishan Hu"/>
    <m/>
    <m/>
  </r>
  <r>
    <x v="1"/>
    <x v="2"/>
    <s v="America and Oceania"/>
    <s v="No Specific Relationship"/>
    <s v="N/A"/>
    <s v="NORTHCOM"/>
    <x v="4"/>
    <x v="22"/>
    <n v="9"/>
    <x v="4"/>
    <s v="Wu Shengli"/>
    <m/>
    <s v="PLAN Commander; CMC Member"/>
    <n v="8"/>
    <x v="1"/>
    <s v="CNO Greenert"/>
    <x v="0"/>
    <m/>
    <x v="0"/>
    <m/>
    <m/>
    <m/>
    <m/>
    <m/>
    <s v="2014 CH Milpower Report"/>
    <s v="Visited San Diego and Washington DC"/>
  </r>
  <r>
    <x v="0"/>
    <x v="2"/>
    <s v="America and Oceania"/>
    <s v="No Specific Relationship"/>
    <s v="N/A"/>
    <s v="NORTHCOM"/>
    <x v="4"/>
    <x v="22"/>
    <n v="9"/>
    <x v="0"/>
    <m/>
    <m/>
    <m/>
    <m/>
    <x v="0"/>
    <m/>
    <x v="0"/>
    <m/>
    <x v="0"/>
    <m/>
    <s v="NETF"/>
    <s v="2013-08 DDG113 Qingdao"/>
    <s v="North Sea Fleet"/>
    <s v="Pearl Harbor-- Qingdao DD113, Linyi FF547, Hongzehu AOR881 PLA FR XJP draft p. 23"/>
    <s v="2014 CH Mil Power Report"/>
    <m/>
  </r>
  <r>
    <x v="1"/>
    <x v="2"/>
    <s v="America and Oceania"/>
    <s v="No Specific Relationship"/>
    <s v="N/A"/>
    <s v="NORTHCOM"/>
    <x v="4"/>
    <x v="22"/>
    <n v="9"/>
    <x v="3"/>
    <s v="Ma Xiaotian"/>
    <m/>
    <s v="PLAAF Commander; CMC Member"/>
    <n v="8"/>
    <x v="2"/>
    <s v="Air Force Chief of Staff Welsh"/>
    <x v="0"/>
    <m/>
    <x v="0"/>
    <m/>
    <m/>
    <m/>
    <m/>
    <m/>
    <s v="2014 CH Mil Power Report"/>
    <m/>
  </r>
  <r>
    <x v="1"/>
    <x v="9"/>
    <s v="West Asia and Africa"/>
    <s v="No Specific Relationship"/>
    <s v="None"/>
    <s v="CENTCOM"/>
    <x v="135"/>
    <x v="22"/>
    <n v="9"/>
    <x v="3"/>
    <s v="Xu Qiliang"/>
    <m/>
    <s v="CMC Vice Chairman"/>
    <n v="10"/>
    <x v="2"/>
    <s v="Defense Minister"/>
    <x v="0"/>
    <m/>
    <x v="0"/>
    <m/>
    <m/>
    <m/>
    <m/>
    <m/>
    <m/>
    <m/>
  </r>
  <r>
    <x v="1"/>
    <x v="7"/>
    <s v="West Asia and Africa"/>
    <s v="Strategic Partnership [战略伙伴关系]"/>
    <s v="None"/>
    <s v="AFRICOM"/>
    <x v="105"/>
    <x v="22"/>
    <n v="10"/>
    <x v="3"/>
    <s v="Fang Fenghui"/>
    <m/>
    <s v="GSD Commander; CMC Member"/>
    <n v="8"/>
    <x v="2"/>
    <s v="COGS"/>
    <x v="0"/>
    <m/>
    <x v="0"/>
    <m/>
    <m/>
    <m/>
    <m/>
    <m/>
    <m/>
    <m/>
  </r>
  <r>
    <x v="1"/>
    <x v="5"/>
    <s v="America and Oceania"/>
    <s v="No Specific Relationship"/>
    <s v="ANZUS Treaty"/>
    <s v="INDOPACOM"/>
    <x v="12"/>
    <x v="22"/>
    <n v="10"/>
    <x v="4"/>
    <s v="Zhao Keshi"/>
    <m/>
    <s v="GLD Director; CMC Member"/>
    <n v="8"/>
    <x v="1"/>
    <m/>
    <x v="0"/>
    <m/>
    <x v="0"/>
    <m/>
    <m/>
    <m/>
    <m/>
    <m/>
    <m/>
    <m/>
  </r>
  <r>
    <x v="1"/>
    <x v="5"/>
    <s v="Europe and Central Asia"/>
    <s v="No Specific Relationship"/>
    <s v="None"/>
    <s v="EUCOM"/>
    <x v="124"/>
    <x v="22"/>
    <n v="10"/>
    <x v="3"/>
    <s v="Xu Qiliang"/>
    <m/>
    <s v="CMC Vice Chairman"/>
    <n v="10"/>
    <x v="2"/>
    <s v="Defense Minister"/>
    <x v="0"/>
    <m/>
    <x v="0"/>
    <m/>
    <m/>
    <m/>
    <m/>
    <m/>
    <m/>
    <m/>
  </r>
  <r>
    <x v="1"/>
    <x v="5"/>
    <s v="America and Oceania"/>
    <s v="Strategic Partnership [战略伙伴关系]"/>
    <s v="None"/>
    <s v="SOUTHCOM"/>
    <x v="66"/>
    <x v="22"/>
    <n v="10"/>
    <x v="3"/>
    <s v="Hou Shusen"/>
    <m/>
    <s v="GSD DCGS"/>
    <n v="6"/>
    <x v="2"/>
    <s v="CinC Army"/>
    <x v="0"/>
    <m/>
    <x v="0"/>
    <m/>
    <m/>
    <m/>
    <m/>
    <m/>
    <m/>
    <m/>
  </r>
  <r>
    <x v="1"/>
    <x v="5"/>
    <s v="West Asia and Africa"/>
    <s v="No Specific Relationship"/>
    <s v="None"/>
    <s v="AFRICOM"/>
    <x v="28"/>
    <x v="22"/>
    <n v="10"/>
    <x v="3"/>
    <s v="Xu Qiliang"/>
    <m/>
    <s v="CMC Vice Chairman"/>
    <n v="10"/>
    <x v="2"/>
    <s v="Defense Minister"/>
    <x v="0"/>
    <m/>
    <x v="0"/>
    <m/>
    <m/>
    <m/>
    <m/>
    <m/>
    <m/>
    <m/>
  </r>
  <r>
    <x v="0"/>
    <x v="5"/>
    <s v="West Asia and Africa"/>
    <s v="No Specific Relationship"/>
    <s v="None"/>
    <s v="CENTCOM"/>
    <x v="119"/>
    <x v="22"/>
    <n v="10"/>
    <x v="9"/>
    <m/>
    <m/>
    <m/>
    <m/>
    <x v="0"/>
    <m/>
    <x v="0"/>
    <m/>
    <x v="0"/>
    <m/>
    <s v="ETF"/>
    <s v="ETF-15"/>
    <s v="South Sea Fleet"/>
    <s v="LPD999 Jingangshan, FFG572 Hengshui, AOR889 Taihu"/>
    <m/>
    <m/>
  </r>
  <r>
    <x v="1"/>
    <x v="5"/>
    <s v="Europe and Central Asia"/>
    <s v="Comprehensive Strategic Partnership [全面战略伙伴关系]"/>
    <s v="NATO"/>
    <s v="EUCOM"/>
    <x v="20"/>
    <x v="22"/>
    <n v="10"/>
    <x v="3"/>
    <s v="Sun Jianguo"/>
    <m/>
    <s v="GSD DCGS"/>
    <n v="6"/>
    <x v="2"/>
    <s v="Delegation for CIISS; Security Intelligence Committee"/>
    <x v="0"/>
    <m/>
    <x v="0"/>
    <m/>
    <m/>
    <m/>
    <m/>
    <m/>
    <m/>
    <m/>
  </r>
  <r>
    <x v="1"/>
    <x v="5"/>
    <s v="Asia"/>
    <s v="Comprehensive Strategic Partnership [全面战略伙伴关系]"/>
    <s v="None"/>
    <s v="INDOPACOM"/>
    <x v="10"/>
    <x v="22"/>
    <n v="10"/>
    <x v="3"/>
    <s v="Xu Qiliang"/>
    <m/>
    <s v="CMC Vice Chairman"/>
    <n v="10"/>
    <x v="2"/>
    <s v="Defense Minister"/>
    <x v="0"/>
    <m/>
    <x v="0"/>
    <m/>
    <m/>
    <m/>
    <m/>
    <m/>
    <m/>
    <m/>
  </r>
  <r>
    <x v="1"/>
    <x v="1"/>
    <s v="Asia"/>
    <s v="Comprehensive Strategic Cooperative Partnership [全面战略合作伙伴关系]"/>
    <s v="None"/>
    <s v="INDOPACOM"/>
    <x v="1"/>
    <x v="22"/>
    <n v="10"/>
    <x v="3"/>
    <s v="Fan Changlong"/>
    <m/>
    <s v="CMC Vice Chairman"/>
    <n v="10"/>
    <x v="2"/>
    <s v="CinC Defense Services"/>
    <x v="0"/>
    <m/>
    <x v="0"/>
    <m/>
    <m/>
    <m/>
    <m/>
    <m/>
    <m/>
    <m/>
  </r>
  <r>
    <x v="1"/>
    <x v="5"/>
    <s v="America and Oceania"/>
    <s v="No Specific Relationship"/>
    <s v="ANZUS Treaty"/>
    <s v="INDOPACOM"/>
    <x v="13"/>
    <x v="22"/>
    <n v="10"/>
    <x v="4"/>
    <s v="Zhao Keshi"/>
    <m/>
    <s v="GLD Director; CMC Member"/>
    <n v="8"/>
    <x v="1"/>
    <m/>
    <x v="0"/>
    <m/>
    <x v="0"/>
    <m/>
    <m/>
    <m/>
    <m/>
    <m/>
    <m/>
    <m/>
  </r>
  <r>
    <x v="1"/>
    <x v="0"/>
    <s v="Asia"/>
    <s v="Strategic Partnership [战略伙伴关系]"/>
    <s v="Major Non-NATO Ally"/>
    <s v="CENTCOM"/>
    <x v="2"/>
    <x v="22"/>
    <n v="10"/>
    <x v="3"/>
    <s v="Fan Changlong"/>
    <m/>
    <s v="CMC Vice Chairman"/>
    <n v="10"/>
    <x v="2"/>
    <s v="Chief of Army Staff"/>
    <x v="0"/>
    <m/>
    <x v="0"/>
    <m/>
    <m/>
    <m/>
    <m/>
    <m/>
    <m/>
    <m/>
  </r>
  <r>
    <x v="1"/>
    <x v="3"/>
    <s v="Europe and Central Asia"/>
    <s v="Comprehensive Collaborative Strategic Partnership [全面战略协作伙伴关系]"/>
    <s v="None"/>
    <s v="EUCOM"/>
    <x v="7"/>
    <x v="22"/>
    <n v="10"/>
    <x v="4"/>
    <s v="Xu Qiliang"/>
    <m/>
    <s v="CMC Vice Chairman"/>
    <n v="10"/>
    <x v="1"/>
    <m/>
    <x v="0"/>
    <m/>
    <x v="0"/>
    <m/>
    <m/>
    <m/>
    <m/>
    <m/>
    <m/>
    <m/>
  </r>
  <r>
    <x v="1"/>
    <x v="5"/>
    <s v="America and Oceania"/>
    <s v="No Specific Relationship"/>
    <s v="ANZUS Treaty"/>
    <s v="INDOPACOM"/>
    <x v="12"/>
    <x v="22"/>
    <n v="11"/>
    <x v="3"/>
    <s v="Zhao Keshi"/>
    <m/>
    <s v="GLD Director; CMC Member"/>
    <n v="8"/>
    <x v="2"/>
    <m/>
    <x v="0"/>
    <m/>
    <x v="0"/>
    <m/>
    <m/>
    <m/>
    <m/>
    <m/>
    <m/>
    <m/>
  </r>
  <r>
    <x v="1"/>
    <x v="5"/>
    <s v="Asia"/>
    <s v="Comprehensive Cooperative Partnership [全面合作伙伴关系]"/>
    <s v="None"/>
    <s v="INDOPACOM"/>
    <x v="0"/>
    <x v="22"/>
    <n v="11"/>
    <x v="3"/>
    <s v="Sun Jianguo"/>
    <m/>
    <s v="GSD DCGS"/>
    <n v="6"/>
    <x v="2"/>
    <s v="Delegation for CIISS"/>
    <x v="0"/>
    <m/>
    <x v="0"/>
    <m/>
    <m/>
    <m/>
    <m/>
    <m/>
    <m/>
    <m/>
  </r>
  <r>
    <x v="1"/>
    <x v="5"/>
    <s v="Europe and Central Asia"/>
    <s v="Comprehensive Friendly Cooperative Partnership [全面友好合作伙伴关系]"/>
    <s v="NATO"/>
    <s v="EUCOM"/>
    <x v="79"/>
    <x v="22"/>
    <n v="11"/>
    <x v="4"/>
    <s v="Wang Guanzhong"/>
    <m/>
    <s v="GSD DCGS"/>
    <n v="6"/>
    <x v="1"/>
    <m/>
    <x v="0"/>
    <m/>
    <x v="0"/>
    <m/>
    <m/>
    <m/>
    <m/>
    <m/>
    <m/>
    <m/>
  </r>
  <r>
    <x v="1"/>
    <x v="5"/>
    <s v="Asia"/>
    <s v="Comprehensive Strategic Cooperative Partnership [全面战略合作伙伴关系]"/>
    <s v="None"/>
    <s v="INDOPACOM"/>
    <x v="94"/>
    <x v="22"/>
    <n v="11"/>
    <x v="3"/>
    <s v="Chang Wanquan"/>
    <m/>
    <s v="Defense Minister; CMC Member"/>
    <n v="8"/>
    <x v="2"/>
    <s v="Deputy Prime Minister and Concurrent Defense Minister"/>
    <x v="0"/>
    <m/>
    <x v="0"/>
    <m/>
    <m/>
    <m/>
    <m/>
    <m/>
    <m/>
    <m/>
  </r>
  <r>
    <x v="1"/>
    <x v="10"/>
    <s v="America and Oceania"/>
    <s v="No Specific Relationship"/>
    <s v="None"/>
    <s v="SOUTHCOM"/>
    <x v="49"/>
    <x v="22"/>
    <n v="11"/>
    <x v="3"/>
    <s v="Zhao Keshi"/>
    <m/>
    <s v="GLD Director; CMC Member"/>
    <n v="8"/>
    <x v="2"/>
    <s v="Logistics Department Director"/>
    <x v="0"/>
    <m/>
    <x v="0"/>
    <m/>
    <m/>
    <m/>
    <m/>
    <m/>
    <m/>
    <m/>
  </r>
  <r>
    <x v="1"/>
    <x v="5"/>
    <s v="America and Oceania"/>
    <s v="No Specific Relationship"/>
    <s v="None"/>
    <s v="INDOPACOM"/>
    <x v="128"/>
    <x v="22"/>
    <n v="11"/>
    <x v="3"/>
    <s v="Chang Wanquan"/>
    <m/>
    <s v="Defense Minister; CMC Member"/>
    <n v="8"/>
    <x v="2"/>
    <s v="Defense Minister"/>
    <x v="0"/>
    <m/>
    <x v="0"/>
    <m/>
    <m/>
    <m/>
    <m/>
    <m/>
    <m/>
    <s v="Coded as Oceania instead of Southeast Asia"/>
  </r>
  <r>
    <x v="1"/>
    <x v="8"/>
    <s v="Europe and Central Asia"/>
    <s v="Comprehensive Strategic Partnership [全面战略伙伴关系]"/>
    <s v="NATO"/>
    <s v="EUCOM"/>
    <x v="29"/>
    <x v="22"/>
    <n v="11"/>
    <x v="3"/>
    <s v="Wu Shengli"/>
    <m/>
    <s v="PLAN Commander; CMC Member"/>
    <n v="8"/>
    <x v="2"/>
    <s v="Navy Chief of Staff"/>
    <x v="0"/>
    <m/>
    <x v="0"/>
    <m/>
    <m/>
    <m/>
    <m/>
    <m/>
    <m/>
    <m/>
  </r>
  <r>
    <x v="1"/>
    <x v="8"/>
    <s v="Europe and Central Asia"/>
    <s v="No Specific Relationship"/>
    <s v="NATO"/>
    <s v="EUCOM"/>
    <x v="82"/>
    <x v="22"/>
    <n v="11"/>
    <x v="3"/>
    <s v="Xu Qiliang"/>
    <m/>
    <s v="CMC Vice Chairman"/>
    <n v="10"/>
    <x v="2"/>
    <s v="Defense Minister"/>
    <x v="0"/>
    <m/>
    <x v="0"/>
    <m/>
    <m/>
    <m/>
    <m/>
    <m/>
    <m/>
    <m/>
  </r>
  <r>
    <x v="2"/>
    <x v="0"/>
    <s v="Asia"/>
    <s v="Strategic Partnership for Peace and Prosperity [战略伙伴关系]"/>
    <s v="None"/>
    <s v="INDOPACOM"/>
    <x v="6"/>
    <x v="22"/>
    <n v="11"/>
    <x v="5"/>
    <m/>
    <m/>
    <m/>
    <m/>
    <x v="0"/>
    <m/>
    <x v="1"/>
    <s v="Hand-in-Hand 2013"/>
    <x v="1"/>
    <s v="Anti-terrorism"/>
    <m/>
    <m/>
    <m/>
    <m/>
    <m/>
    <m/>
  </r>
  <r>
    <x v="2"/>
    <x v="1"/>
    <s v="Asia"/>
    <s v="Comprehensive Strategic Partnership [全面战略伙伴关系]"/>
    <s v="None"/>
    <s v="INDOPACOM"/>
    <x v="8"/>
    <x v="22"/>
    <n v="11"/>
    <x v="5"/>
    <m/>
    <m/>
    <m/>
    <m/>
    <x v="0"/>
    <m/>
    <x v="1"/>
    <s v="Sharp Knife 2013"/>
    <x v="5"/>
    <m/>
    <m/>
    <m/>
    <m/>
    <m/>
    <s v="http://usa.chinadaily.com.cn/china/2013-11/12/content_17097501.htm"/>
    <m/>
  </r>
  <r>
    <x v="1"/>
    <x v="6"/>
    <s v="Europe and Central Asia"/>
    <s v="Strategic Partnership [战略伙伴关系]"/>
    <s v="None"/>
    <s v="CENTCOM"/>
    <x v="31"/>
    <x v="22"/>
    <n v="11"/>
    <x v="3"/>
    <s v="Chang Wanquan"/>
    <m/>
    <s v="Defense Minister; CMC Member"/>
    <n v="8"/>
    <x v="2"/>
    <s v="First Deputy Prime Minister and concurrent COGS"/>
    <x v="0"/>
    <m/>
    <x v="0"/>
    <m/>
    <m/>
    <m/>
    <m/>
    <m/>
    <m/>
    <m/>
  </r>
  <r>
    <x v="1"/>
    <x v="7"/>
    <s v="West Asia and Africa"/>
    <s v="Friendly Cooperative Relationship [友好合作关系]"/>
    <s v="None"/>
    <s v="AFRICOM"/>
    <x v="160"/>
    <x v="22"/>
    <n v="11"/>
    <x v="3"/>
    <s v="Fang Fenghui"/>
    <m/>
    <s v="GSD Commander; CMC Member"/>
    <n v="8"/>
    <x v="2"/>
    <s v="COGS"/>
    <x v="0"/>
    <m/>
    <x v="0"/>
    <m/>
    <m/>
    <m/>
    <m/>
    <m/>
    <m/>
    <m/>
  </r>
  <r>
    <x v="1"/>
    <x v="8"/>
    <s v="Europe and Central Asia"/>
    <s v="No Specific Relationship"/>
    <s v="NATO"/>
    <s v="EUCOM"/>
    <x v="117"/>
    <x v="22"/>
    <n v="11"/>
    <x v="3"/>
    <s v="Fang Fenghui"/>
    <m/>
    <s v="GSD Commander; CMC Member"/>
    <n v="8"/>
    <x v="2"/>
    <s v="Chief of Defense Forces"/>
    <x v="0"/>
    <m/>
    <x v="0"/>
    <m/>
    <m/>
    <m/>
    <m/>
    <m/>
    <m/>
    <m/>
  </r>
  <r>
    <x v="1"/>
    <x v="5"/>
    <s v="America and Oceania"/>
    <s v="No Specific Relationship"/>
    <s v="ANZUS Treaty"/>
    <s v="INDOPACOM"/>
    <x v="13"/>
    <x v="22"/>
    <n v="11"/>
    <x v="3"/>
    <s v="Zhao Keshi"/>
    <m/>
    <s v="GLD Director; CMC Member"/>
    <n v="8"/>
    <x v="2"/>
    <s v="Defense Minister"/>
    <x v="0"/>
    <m/>
    <x v="0"/>
    <m/>
    <m/>
    <m/>
    <m/>
    <m/>
    <m/>
    <m/>
  </r>
  <r>
    <x v="0"/>
    <x v="1"/>
    <s v="Asia"/>
    <s v="Strategic Cooperative Partnership [战略合作伙伴关系]"/>
    <s v="Bilateral Defense Treaty"/>
    <s v="INDOPACOM"/>
    <x v="11"/>
    <x v="22"/>
    <n v="11"/>
    <x v="12"/>
    <m/>
    <m/>
    <m/>
    <m/>
    <x v="0"/>
    <m/>
    <x v="0"/>
    <m/>
    <x v="0"/>
    <m/>
    <s v="NETF"/>
    <s v="2013-11  Medical Mission "/>
    <s v="East Sea Fleet"/>
    <s v="post-Haiyan; PLA FR XJP draft p. 26"/>
    <m/>
    <m/>
  </r>
  <r>
    <x v="1"/>
    <x v="3"/>
    <s v="Europe and Central Asia"/>
    <s v="Comprehensive Collaborative Strategic Partnership [全面战略协作伙伴关系]"/>
    <s v="None"/>
    <s v="EUCOM"/>
    <x v="7"/>
    <x v="22"/>
    <n v="11"/>
    <x v="3"/>
    <s v="Fang Fenghui"/>
    <m/>
    <s v="GSD Commander; CMC Member"/>
    <n v="8"/>
    <x v="2"/>
    <s v="DCOGS"/>
    <x v="0"/>
    <m/>
    <x v="0"/>
    <m/>
    <m/>
    <m/>
    <m/>
    <m/>
    <m/>
    <m/>
  </r>
  <r>
    <x v="0"/>
    <x v="9"/>
    <s v="West Asia and Africa"/>
    <s v="No Specific Relationship"/>
    <s v="None"/>
    <s v="CENTCOM"/>
    <x v="142"/>
    <x v="22"/>
    <n v="11"/>
    <x v="9"/>
    <m/>
    <m/>
    <m/>
    <m/>
    <x v="0"/>
    <m/>
    <x v="0"/>
    <m/>
    <x v="0"/>
    <m/>
    <s v="ETF"/>
    <s v="ETF-15"/>
    <s v="South Sea Fleet"/>
    <s v="LPD999 Jingangshan, FFG572 Hengshui, AOR889 Taihu"/>
    <m/>
    <m/>
  </r>
  <r>
    <x v="1"/>
    <x v="4"/>
    <s v="Asia"/>
    <s v="Strategic Cooperative Partnership [战略合作伙伴关系]"/>
    <s v="Bilateral Defense Treaty"/>
    <s v="INDOPACOM"/>
    <x v="25"/>
    <x v="22"/>
    <n v="11"/>
    <x v="3"/>
    <s v="Ma Xiaotian"/>
    <m/>
    <s v="PLAAF Commander; CMC Member"/>
    <n v="8"/>
    <x v="2"/>
    <s v="Air Force Chief of Staff"/>
    <x v="0"/>
    <m/>
    <x v="0"/>
    <m/>
    <m/>
    <m/>
    <m/>
    <m/>
    <m/>
    <m/>
  </r>
  <r>
    <x v="1"/>
    <x v="0"/>
    <s v="Asia"/>
    <s v="Strategic Cooperative Partnership [战略合作伙伴关系]"/>
    <s v="None"/>
    <s v="INDOPACOM"/>
    <x v="3"/>
    <x v="22"/>
    <n v="11"/>
    <x v="4"/>
    <s v="Wang Guanzhong"/>
    <m/>
    <s v="GSD DCGS"/>
    <n v="6"/>
    <x v="1"/>
    <m/>
    <x v="0"/>
    <m/>
    <x v="0"/>
    <m/>
    <m/>
    <m/>
    <m/>
    <m/>
    <m/>
    <m/>
  </r>
  <r>
    <x v="1"/>
    <x v="1"/>
    <s v="Asia"/>
    <s v="Comprehensive Strategic Cooperative Partnership [全面战略合作伙伴关系]"/>
    <s v="Bilateral Defense Treaty"/>
    <s v="INDOPACOM"/>
    <x v="5"/>
    <x v="22"/>
    <n v="11"/>
    <x v="3"/>
    <s v="Ma Xiaotian"/>
    <m/>
    <s v="PLAAF Commander; CMC Member"/>
    <n v="8"/>
    <x v="2"/>
    <s v="Air Force CinC"/>
    <x v="0"/>
    <m/>
    <x v="0"/>
    <m/>
    <m/>
    <m/>
    <m/>
    <m/>
    <m/>
    <m/>
  </r>
  <r>
    <x v="1"/>
    <x v="6"/>
    <s v="Europe and Central Asia"/>
    <s v="Strategic Partnership [战略伙伴关系]"/>
    <s v="None"/>
    <s v="CENTCOM"/>
    <x v="55"/>
    <x v="22"/>
    <n v="11"/>
    <x v="3"/>
    <s v="Fan Changlong"/>
    <m/>
    <s v="CMC Vice Chairman"/>
    <n v="10"/>
    <x v="2"/>
    <s v="Defense Minister"/>
    <x v="0"/>
    <m/>
    <x v="0"/>
    <m/>
    <m/>
    <m/>
    <m/>
    <m/>
    <m/>
    <m/>
  </r>
  <r>
    <x v="1"/>
    <x v="2"/>
    <s v="America and Oceania"/>
    <s v="No Specific Relationship"/>
    <s v="N/A"/>
    <s v="NORTHCOM"/>
    <x v="4"/>
    <x v="22"/>
    <n v="11"/>
    <x v="4"/>
    <s v="Zhang Shibo"/>
    <m/>
    <s v="Beijing MR Commander"/>
    <n v="6"/>
    <x v="1"/>
    <s v=" "/>
    <x v="0"/>
    <m/>
    <x v="0"/>
    <m/>
    <m/>
    <m/>
    <m/>
    <m/>
    <s v="2014 CH Milpower Report"/>
    <s v="Visited New York, Washington, and Colorado Springs"/>
  </r>
  <r>
    <x v="2"/>
    <x v="2"/>
    <s v="America and Oceania"/>
    <s v="No Specific Relationship"/>
    <s v="N/A"/>
    <s v="NORTHCOM"/>
    <x v="4"/>
    <x v="22"/>
    <n v="11"/>
    <x v="5"/>
    <m/>
    <m/>
    <m/>
    <m/>
    <x v="0"/>
    <m/>
    <x v="2"/>
    <s v="9th Disaster Management Exchange"/>
    <x v="1"/>
    <s v="Hawaii; first DME with field exercise component"/>
    <m/>
    <m/>
    <m/>
    <m/>
    <s v="https://www.nationalguard.mil/News/Article/575366/us-china-conduct-disaster-management-exchange/"/>
    <s v="First DME to include a field training component; previous iterations were meetings/TTXs and are therefore not included "/>
  </r>
  <r>
    <x v="1"/>
    <x v="8"/>
    <s v="Europe and Central Asia"/>
    <s v="No Specific Relationship"/>
    <s v="None"/>
    <s v="EUCOM"/>
    <x v="63"/>
    <x v="22"/>
    <n v="12"/>
    <x v="3"/>
    <s v="Xu Qiliang"/>
    <m/>
    <s v="CMC Vice Chairman"/>
    <n v="10"/>
    <x v="2"/>
    <s v="Minister of National Defense"/>
    <x v="0"/>
    <m/>
    <x v="0"/>
    <m/>
    <m/>
    <m/>
    <m/>
    <m/>
    <m/>
    <m/>
  </r>
  <r>
    <x v="1"/>
    <x v="9"/>
    <s v="West Asia and Africa"/>
    <s v="No Specific Relationship"/>
    <s v="None"/>
    <s v="CENTCOM"/>
    <x v="119"/>
    <x v="22"/>
    <n v="12"/>
    <x v="3"/>
    <s v="Fan Changlong"/>
    <m/>
    <s v="CMC Vice Chairman"/>
    <n v="10"/>
    <x v="2"/>
    <s v="Defense Minister"/>
    <x v="0"/>
    <m/>
    <x v="0"/>
    <m/>
    <m/>
    <m/>
    <m/>
    <m/>
    <m/>
    <m/>
  </r>
  <r>
    <x v="1"/>
    <x v="1"/>
    <s v="Asia"/>
    <s v="Comprehensive Strategic Partnership [全面战略伙伴关系]"/>
    <s v="None"/>
    <s v="INDOPACOM"/>
    <x v="8"/>
    <x v="22"/>
    <n v="12"/>
    <x v="4"/>
    <s v="Chang Wanquan"/>
    <m/>
    <s v="Defense Minister; CMC Member"/>
    <n v="8"/>
    <x v="1"/>
    <s v="Minister of Defense"/>
    <x v="0"/>
    <m/>
    <x v="0"/>
    <m/>
    <m/>
    <m/>
    <m/>
    <m/>
    <m/>
    <m/>
  </r>
  <r>
    <x v="1"/>
    <x v="1"/>
    <s v="Asia"/>
    <s v="Comprehensive Strategic Partnership [全面战略伙伴关系]"/>
    <s v="None"/>
    <s v="INDOPACOM"/>
    <x v="10"/>
    <x v="22"/>
    <n v="12"/>
    <x v="3"/>
    <s v="Chang Wanquan"/>
    <m/>
    <s v="Defense Minister; CMC Member"/>
    <n v="8"/>
    <x v="2"/>
    <s v="Chief of Armed Forces"/>
    <x v="0"/>
    <m/>
    <x v="0"/>
    <m/>
    <m/>
    <m/>
    <m/>
    <m/>
    <m/>
    <m/>
  </r>
  <r>
    <x v="1"/>
    <x v="8"/>
    <s v="Europe and Central Asia"/>
    <s v="Strategic Partnership [战略伙伴关系]"/>
    <s v="NATO"/>
    <s v="EUCOM"/>
    <x v="59"/>
    <x v="22"/>
    <n v="12"/>
    <x v="3"/>
    <s v="Wang Guanzhong"/>
    <m/>
    <s v="GSD DCGS"/>
    <n v="6"/>
    <x v="2"/>
    <s v="Ministry of Defense Secretary of State"/>
    <x v="0"/>
    <m/>
    <x v="0"/>
    <m/>
    <m/>
    <m/>
    <m/>
    <m/>
    <m/>
    <m/>
  </r>
  <r>
    <x v="1"/>
    <x v="8"/>
    <s v="Europe and Central Asia"/>
    <s v="Comprehensive Strategic Partnership [全面战略伙伴关系]"/>
    <s v="NATO"/>
    <s v="EUCOM"/>
    <x v="116"/>
    <x v="23"/>
    <n v="1"/>
    <x v="3"/>
    <s v="Xu Qiliang"/>
    <m/>
    <s v="CMC Vice Chairman"/>
    <n v="10"/>
    <x v="2"/>
    <s v="Defense Minister"/>
    <x v="0"/>
    <m/>
    <x v="0"/>
    <m/>
    <m/>
    <m/>
    <m/>
    <m/>
    <m/>
    <m/>
  </r>
  <r>
    <x v="0"/>
    <x v="7"/>
    <s v="West Asia and Africa"/>
    <s v="Comprehensive Cooperative Partnership [全面合作伙伴关系]"/>
    <s v="None"/>
    <s v="AFRICOM"/>
    <x v="47"/>
    <x v="23"/>
    <n v="1"/>
    <x v="0"/>
    <m/>
    <m/>
    <m/>
    <m/>
    <x v="0"/>
    <m/>
    <x v="0"/>
    <m/>
    <x v="0"/>
    <m/>
    <s v="ETF"/>
    <s v="ETF-15"/>
    <s v="South Sea Fleet"/>
    <s v="LPD999 Jingangshan, FFG572 Hengshui, AOR889 Taihu"/>
    <m/>
    <m/>
  </r>
  <r>
    <x v="2"/>
    <x v="3"/>
    <s v="Europe and Central Asia"/>
    <s v="Comprehensive Collaborative Strategic Partnership [全面战略协作伙伴关系]"/>
    <s v="None"/>
    <s v="EUCOM"/>
    <x v="7"/>
    <x v="23"/>
    <n v="1"/>
    <x v="5"/>
    <m/>
    <m/>
    <m/>
    <m/>
    <x v="0"/>
    <m/>
    <x v="3"/>
    <s v="None"/>
    <x v="2"/>
    <s v="naval drill in the Mediterranean"/>
    <m/>
    <m/>
    <m/>
    <m/>
    <m/>
    <m/>
  </r>
  <r>
    <x v="0"/>
    <x v="0"/>
    <s v="Asia"/>
    <s v="Strategic Cooperative Partnership [战略合作伙伴关系]"/>
    <s v="None"/>
    <s v="INDOPACOM"/>
    <x v="3"/>
    <x v="23"/>
    <n v="1"/>
    <x v="0"/>
    <m/>
    <m/>
    <m/>
    <m/>
    <x v="0"/>
    <m/>
    <x v="0"/>
    <m/>
    <x v="0"/>
    <m/>
    <s v="ETF"/>
    <s v="ETF-16"/>
    <s v="North Sea Fleet"/>
    <s v="FFG546 Yancheng, FF527 Luoyang, AOR889 Tai Hu"/>
    <m/>
    <m/>
  </r>
  <r>
    <x v="0"/>
    <x v="7"/>
    <s v="West Asia and Africa"/>
    <s v="Comprehensive Cooperative Partnership [全面合作伙伴关系]"/>
    <s v="None"/>
    <s v="AFRICOM"/>
    <x v="16"/>
    <x v="23"/>
    <n v="1"/>
    <x v="0"/>
    <m/>
    <m/>
    <m/>
    <m/>
    <x v="0"/>
    <m/>
    <x v="0"/>
    <m/>
    <x v="0"/>
    <m/>
    <s v="ETF"/>
    <s v="ETF-15"/>
    <s v="South Sea Fleet"/>
    <s v="LPD999 Jingangshan, FFG572 Hengshui, AOR889 Taihu"/>
    <m/>
    <m/>
  </r>
  <r>
    <x v="1"/>
    <x v="2"/>
    <s v="America and Oceania"/>
    <s v="No Specific Relationship"/>
    <s v="N/A"/>
    <s v="NORTHCOM"/>
    <x v="4"/>
    <x v="23"/>
    <n v="1"/>
    <x v="3"/>
    <s v="Wang Guanzhong"/>
    <m/>
    <s v="GSD DCGS"/>
    <n v="6"/>
    <x v="2"/>
    <s v="DEP SECSTATE; PACOM J-5"/>
    <x v="0"/>
    <m/>
    <x v="0"/>
    <m/>
    <m/>
    <m/>
    <m/>
    <m/>
    <s v="2015 CH Mil Power Report"/>
    <s v="1st Interim Strategic Security Dialogue"/>
  </r>
  <r>
    <x v="1"/>
    <x v="5"/>
    <s v="America and Oceania"/>
    <s v="Strategic Partnership [战略伙伴关系]"/>
    <s v="None"/>
    <s v="INDOPACOM"/>
    <x v="120"/>
    <x v="23"/>
    <n v="1"/>
    <x v="4"/>
    <s v="Wang Guanzhong"/>
    <m/>
    <s v="GSD DCGS"/>
    <n v="6"/>
    <x v="1"/>
    <m/>
    <x v="0"/>
    <m/>
    <x v="0"/>
    <m/>
    <m/>
    <m/>
    <m/>
    <m/>
    <m/>
    <m/>
  </r>
  <r>
    <x v="1"/>
    <x v="9"/>
    <s v="West Asia and Africa"/>
    <s v="No Specific Relationship"/>
    <s v="None"/>
    <s v="CENTCOM"/>
    <x v="119"/>
    <x v="23"/>
    <n v="2"/>
    <x v="4"/>
    <s v="Chang Wanquan"/>
    <m/>
    <s v="Defense Minister; CMC Member"/>
    <n v="8"/>
    <x v="1"/>
    <s v="Defense Minister"/>
    <x v="0"/>
    <m/>
    <x v="0"/>
    <m/>
    <m/>
    <m/>
    <m/>
    <m/>
    <m/>
    <m/>
  </r>
  <r>
    <x v="0"/>
    <x v="9"/>
    <s v="West Asia and Africa"/>
    <s v="No Specific Relationship"/>
    <s v="None"/>
    <s v="CENTCOM"/>
    <x v="119"/>
    <x v="23"/>
    <n v="2"/>
    <x v="9"/>
    <m/>
    <m/>
    <m/>
    <m/>
    <x v="0"/>
    <m/>
    <x v="0"/>
    <m/>
    <x v="0"/>
    <m/>
    <s v="ETF"/>
    <s v="ETF-16"/>
    <s v="North Sea Fleet"/>
    <s v="FFG546 Yancheng, FF527 Luoyang, AOR889 Tai Hu"/>
    <m/>
    <m/>
  </r>
  <r>
    <x v="1"/>
    <x v="1"/>
    <s v="Asia"/>
    <s v="Comprehensive Strategic Partnership [全面战略伙伴关系]"/>
    <s v="None"/>
    <s v="INDOPACOM"/>
    <x v="8"/>
    <x v="23"/>
    <n v="2"/>
    <x v="3"/>
    <s v="Fang Fenghui"/>
    <m/>
    <s v="GSD Commander; CMC Member"/>
    <n v="8"/>
    <x v="2"/>
    <s v="Commander of Armed Forces"/>
    <x v="0"/>
    <m/>
    <x v="0"/>
    <m/>
    <m/>
    <m/>
    <m/>
    <m/>
    <m/>
    <m/>
  </r>
  <r>
    <x v="1"/>
    <x v="0"/>
    <s v="Asia"/>
    <s v="Strategic Partnership [战略伙伴关系]"/>
    <s v="Major Non-NATO Ally"/>
    <s v="CENTCOM"/>
    <x v="2"/>
    <x v="23"/>
    <n v="2"/>
    <x v="4"/>
    <s v="Chang Wanquan"/>
    <m/>
    <s v="Defense Minister; CMC Member"/>
    <n v="8"/>
    <x v="1"/>
    <s v="Defense Minister"/>
    <x v="0"/>
    <m/>
    <x v="0"/>
    <m/>
    <m/>
    <m/>
    <m/>
    <m/>
    <m/>
    <m/>
  </r>
  <r>
    <x v="2"/>
    <x v="1"/>
    <s v="Asia"/>
    <s v="Comprehensive Strategic Cooperative Partnership [全面战略合作伙伴关系]"/>
    <s v="Bilateral Defense Treaty"/>
    <s v="INDOPACOM"/>
    <x v="5"/>
    <x v="23"/>
    <n v="2"/>
    <x v="6"/>
    <m/>
    <m/>
    <m/>
    <m/>
    <x v="0"/>
    <m/>
    <x v="2"/>
    <s v="Cobra Gold 2014"/>
    <x v="2"/>
    <s v="Amphibious assault; Navy and Marines; Other countries: United States"/>
    <m/>
    <m/>
    <m/>
    <m/>
    <s v="https://www.marines.mil/News/News-Display/Article/644293/exercise-cobra-gold-2016-to-begin-february-9/"/>
    <m/>
  </r>
  <r>
    <x v="1"/>
    <x v="2"/>
    <s v="America and Oceania"/>
    <s v="No Specific Relationship"/>
    <s v="N/A"/>
    <s v="NORTHCOM"/>
    <x v="4"/>
    <x v="23"/>
    <n v="2"/>
    <x v="3"/>
    <s v="Fan Changlong"/>
    <m/>
    <s v="CMC Vice Chairman"/>
    <n v="10"/>
    <x v="2"/>
    <s v="Army Chief of Staff Odierno"/>
    <x v="0"/>
    <m/>
    <x v="0"/>
    <m/>
    <m/>
    <m/>
    <m/>
    <m/>
    <s v="2015 CH Mil Power Report"/>
    <m/>
  </r>
  <r>
    <x v="2"/>
    <x v="1"/>
    <s v="Asia"/>
    <s v="Comprehensive Strategic Partnership [全面战略伙伴关系]"/>
    <s v="None"/>
    <s v="INDOPACOM"/>
    <x v="8"/>
    <x v="23"/>
    <n v="3"/>
    <x v="6"/>
    <m/>
    <m/>
    <m/>
    <m/>
    <x v="0"/>
    <m/>
    <x v="5"/>
    <s v="Komodo 2014"/>
    <x v="2"/>
    <s v="Navy and Marines. Other countries: refer to source for a complete list of countries"/>
    <m/>
    <m/>
    <m/>
    <m/>
    <s v="https://sputniknews.com/military/20140402188995765-Komodo-2014-Naval-Exercises-Prove-Beneficial-for-Russia--Russian/"/>
    <m/>
  </r>
  <r>
    <x v="1"/>
    <x v="9"/>
    <s v="West Asia and Africa"/>
    <s v="No Specific Relationship"/>
    <s v="Major Non-NATO Ally"/>
    <s v="CENTCOM"/>
    <x v="100"/>
    <x v="23"/>
    <n v="3"/>
    <x v="3"/>
    <s v="Zhao Keshi"/>
    <m/>
    <s v="GLD Director; CMC Member"/>
    <n v="8"/>
    <x v="2"/>
    <s v="Head of Technologies and Logistics Directorate"/>
    <x v="0"/>
    <m/>
    <x v="0"/>
    <m/>
    <m/>
    <m/>
    <m/>
    <m/>
    <m/>
    <m/>
  </r>
  <r>
    <x v="1"/>
    <x v="6"/>
    <s v="Europe and Central Asia"/>
    <s v="Member"/>
    <s v="None"/>
    <s v="CENTCOM"/>
    <x v="14"/>
    <x v="23"/>
    <n v="3"/>
    <x v="1"/>
    <s v="Chang Wanquan"/>
    <m/>
    <s v="Defense Minister; CMC Member"/>
    <n v="8"/>
    <x v="1"/>
    <s v="11th official meeting of the SCO Ministers' of Defense in Beijing; Other countries: Kazakhstan, Kyrgyztan, Russia, Tajikistan, Uzbekistan"/>
    <x v="0"/>
    <m/>
    <x v="0"/>
    <m/>
    <m/>
    <m/>
    <m/>
    <m/>
    <s v="China's Approach to Central Asia: The Shanghai Co-operation Organisation"/>
    <m/>
  </r>
  <r>
    <x v="1"/>
    <x v="4"/>
    <s v="Asia"/>
    <s v="Strategic Cooperative Partnership [战略合作伙伴关系]"/>
    <s v="Bilateral Defense Treaty"/>
    <s v="INDOPACOM"/>
    <x v="25"/>
    <x v="23"/>
    <n v="3"/>
    <x v="3"/>
    <s v="Wang Guanzhong"/>
    <m/>
    <s v="GSD DCGS"/>
    <n v="6"/>
    <x v="2"/>
    <s v="NDU President"/>
    <x v="0"/>
    <m/>
    <x v="0"/>
    <m/>
    <m/>
    <m/>
    <m/>
    <m/>
    <m/>
    <m/>
  </r>
  <r>
    <x v="1"/>
    <x v="6"/>
    <s v="Europe and Central Asia"/>
    <s v="Strategic Partnership [战略伙伴关系]"/>
    <s v="None"/>
    <s v="CENTCOM"/>
    <x v="60"/>
    <x v="23"/>
    <n v="3"/>
    <x v="4"/>
    <s v="Chang Wanquan"/>
    <m/>
    <s v="Defense Minister; CMC Member"/>
    <n v="8"/>
    <x v="1"/>
    <m/>
    <x v="0"/>
    <m/>
    <x v="0"/>
    <m/>
    <m/>
    <m/>
    <m/>
    <m/>
    <m/>
    <m/>
  </r>
  <r>
    <x v="2"/>
    <x v="1"/>
    <s v="Asia"/>
    <s v="Strategic Partnership [战略伙伴关系] for Peace and Prosperity"/>
    <s v="None"/>
    <s v="INDOPACOM"/>
    <x v="153"/>
    <x v="23"/>
    <n v="4"/>
    <x v="6"/>
    <m/>
    <m/>
    <m/>
    <m/>
    <x v="0"/>
    <m/>
    <x v="2"/>
    <s v="AM -Hex"/>
    <x v="1"/>
    <s v="HADR; Thailand and 12 other countries"/>
    <m/>
    <m/>
    <m/>
    <m/>
    <m/>
    <s v="corrected partnership to strategic partnership for peace and prosperity"/>
  </r>
  <r>
    <x v="0"/>
    <x v="5"/>
    <s v="America and Oceania"/>
    <s v="Comprehensive Strategic Partnership [全面战略伙伴关系]"/>
    <s v="ANZUS Treaty"/>
    <s v="INDOPACOM"/>
    <x v="12"/>
    <x v="23"/>
    <n v="4"/>
    <x v="0"/>
    <m/>
    <m/>
    <m/>
    <m/>
    <x v="0"/>
    <m/>
    <x v="0"/>
    <m/>
    <x v="0"/>
    <m/>
    <s v="NETF"/>
    <s v="2014-04 Zhenghe "/>
    <s v="North Sea Fleet"/>
    <s v="PLA FR XJP draft p. 24"/>
    <m/>
    <m/>
  </r>
  <r>
    <x v="0"/>
    <x v="0"/>
    <s v="Asia"/>
    <s v="Comprehensive Cooperative Partnership [全面合作伙伴关系]"/>
    <s v="None"/>
    <s v="INDOPACOM"/>
    <x v="0"/>
    <x v="23"/>
    <n v="4"/>
    <x v="0"/>
    <m/>
    <m/>
    <m/>
    <m/>
    <x v="0"/>
    <m/>
    <x v="0"/>
    <m/>
    <x v="0"/>
    <m/>
    <s v="NETF"/>
    <s v="2014-04 Zhenghe "/>
    <s v="North Sea Fleet"/>
    <s v="PLA FR XJP draft p. 24"/>
    <m/>
    <m/>
  </r>
  <r>
    <x v="1"/>
    <x v="8"/>
    <s v="Europe and Central Asia"/>
    <s v="Comprehensive Strategic Partnership [全面战略伙伴关系]"/>
    <s v="None"/>
    <s v="EUCOM"/>
    <x v="34"/>
    <x v="23"/>
    <n v="4"/>
    <x v="3"/>
    <s v="Xu Qiliang"/>
    <m/>
    <s v="CMC Vice Chairman"/>
    <n v="10"/>
    <x v="2"/>
    <s v="First Deputy Minister of Defense and COGS"/>
    <x v="0"/>
    <m/>
    <x v="0"/>
    <m/>
    <m/>
    <m/>
    <m/>
    <m/>
    <m/>
    <m/>
  </r>
  <r>
    <x v="0"/>
    <x v="9"/>
    <s v="West Asia and Africa"/>
    <s v="No Specific Relationship"/>
    <s v="None"/>
    <s v="CENTCOM"/>
    <x v="119"/>
    <x v="23"/>
    <n v="4"/>
    <x v="9"/>
    <m/>
    <m/>
    <m/>
    <m/>
    <x v="0"/>
    <m/>
    <x v="0"/>
    <m/>
    <x v="0"/>
    <m/>
    <s v="ETF"/>
    <s v="ETF-16"/>
    <s v="North Sea Fleet"/>
    <s v="FFG546 Yancheng, FF527 Luoyang, AOR889 Tai Hu"/>
    <m/>
    <m/>
  </r>
  <r>
    <x v="1"/>
    <x v="8"/>
    <s v="Europe and Central Asia"/>
    <s v="Comprehensive Strategic Partnership [全面战略伙伴关系]"/>
    <s v="NATO"/>
    <s v="EUCOM"/>
    <x v="22"/>
    <x v="23"/>
    <n v="4"/>
    <x v="3"/>
    <s v="Ma Xiaotian"/>
    <m/>
    <s v="PLAAF Commander; CMC Member"/>
    <n v="8"/>
    <x v="2"/>
    <s v="Air Force Chief of Staff"/>
    <x v="0"/>
    <m/>
    <x v="0"/>
    <m/>
    <m/>
    <m/>
    <m/>
    <m/>
    <m/>
    <m/>
  </r>
  <r>
    <x v="1"/>
    <x v="0"/>
    <s v="Asia"/>
    <s v="Strategic Partnership for Peace and Prosperity [战略伙伴关系]"/>
    <s v="None"/>
    <s v="INDOPACOM"/>
    <x v="6"/>
    <x v="23"/>
    <n v="4"/>
    <x v="4"/>
    <s v="Qi Jianguo"/>
    <m/>
    <s v="GSD DCGS"/>
    <n v="6"/>
    <x v="1"/>
    <m/>
    <x v="0"/>
    <m/>
    <x v="0"/>
    <m/>
    <m/>
    <m/>
    <m/>
    <m/>
    <m/>
    <m/>
  </r>
  <r>
    <x v="1"/>
    <x v="8"/>
    <s v="Europe and Central Asia"/>
    <s v="Comprehensive Cooperative Partnership [全面合作伙伴关系]"/>
    <s v="NATO"/>
    <s v="EUCOM"/>
    <x v="117"/>
    <x v="23"/>
    <n v="4"/>
    <x v="3"/>
    <s v="Xu Qiliang"/>
    <m/>
    <s v="CMC Vice Chairman"/>
    <n v="10"/>
    <x v="2"/>
    <s v="Defense Minister"/>
    <x v="0"/>
    <m/>
    <x v="0"/>
    <m/>
    <m/>
    <m/>
    <m/>
    <m/>
    <m/>
    <m/>
  </r>
  <r>
    <x v="0"/>
    <x v="5"/>
    <s v="America and Oceania"/>
    <s v="Comprehensive Strategic Partnership [全面战略伙伴关系]"/>
    <s v="ANZUS Treaty"/>
    <s v="INDOPACOM"/>
    <x v="13"/>
    <x v="23"/>
    <n v="4"/>
    <x v="0"/>
    <m/>
    <m/>
    <m/>
    <m/>
    <x v="0"/>
    <m/>
    <x v="0"/>
    <m/>
    <x v="0"/>
    <m/>
    <s v="NETF"/>
    <s v="2014-04 Zhenghe "/>
    <s v="North Sea Fleet"/>
    <s v="PLA FR XJP draft p. 24"/>
    <m/>
    <m/>
  </r>
  <r>
    <x v="0"/>
    <x v="9"/>
    <s v="West Asia and Africa"/>
    <s v="No Specific Relationship"/>
    <s v="None"/>
    <s v="CENTCOM"/>
    <x v="147"/>
    <x v="23"/>
    <n v="4"/>
    <x v="9"/>
    <m/>
    <m/>
    <m/>
    <m/>
    <x v="0"/>
    <m/>
    <x v="0"/>
    <m/>
    <x v="0"/>
    <m/>
    <s v="ETF"/>
    <s v="ETF-16"/>
    <s v="North Sea Fleet"/>
    <s v="FFG546 Yancheng, FF527 Luoyang, AOR889 Tai Hu"/>
    <m/>
    <m/>
  </r>
  <r>
    <x v="2"/>
    <x v="0"/>
    <s v="Asia"/>
    <s v="Strategic Partnership [战略伙伴关系]"/>
    <s v="Major Non-NATO Ally"/>
    <s v="CENTCOM"/>
    <x v="2"/>
    <x v="23"/>
    <n v="4"/>
    <x v="5"/>
    <m/>
    <m/>
    <m/>
    <m/>
    <x v="0"/>
    <m/>
    <x v="5"/>
    <s v="Peace Angel 2014"/>
    <x v="1"/>
    <s v="GLD; Medical and HADR"/>
    <m/>
    <m/>
    <m/>
    <m/>
    <m/>
    <m/>
  </r>
  <r>
    <x v="1"/>
    <x v="9"/>
    <s v="West Asia and Africa"/>
    <s v="No Specific Relationship"/>
    <s v="None"/>
    <s v="CENTCOM"/>
    <x v="142"/>
    <x v="23"/>
    <n v="4"/>
    <x v="3"/>
    <s v="Wang Guanzhong"/>
    <m/>
    <s v="GSD DCGS"/>
    <n v="6"/>
    <x v="2"/>
    <s v="Military delegation"/>
    <x v="0"/>
    <m/>
    <x v="0"/>
    <m/>
    <m/>
    <m/>
    <m/>
    <m/>
    <m/>
    <m/>
  </r>
  <r>
    <x v="0"/>
    <x v="1"/>
    <s v="Asia"/>
    <s v="No Specific Relationship"/>
    <s v="None"/>
    <s v="INDOPACOM"/>
    <x v="39"/>
    <x v="23"/>
    <n v="4"/>
    <x v="0"/>
    <m/>
    <m/>
    <m/>
    <m/>
    <x v="0"/>
    <m/>
    <x v="0"/>
    <m/>
    <x v="0"/>
    <m/>
    <s v="NETF"/>
    <s v="2014-04 Zhenghe "/>
    <s v="North Sea Fleet"/>
    <s v="PLA FR XJP draft p. 24"/>
    <m/>
    <m/>
  </r>
  <r>
    <x v="1"/>
    <x v="8"/>
    <s v="Europe and Central Asia"/>
    <s v="No Specific Relationship"/>
    <s v="None"/>
    <s v="EUCOM"/>
    <x v="78"/>
    <x v="23"/>
    <n v="4"/>
    <x v="3"/>
    <s v="Sun Jianguo"/>
    <m/>
    <s v="GSD DCGS"/>
    <n v="6"/>
    <x v="2"/>
    <s v="Delegation for CIISS; Geneva Center for Security Policy"/>
    <x v="0"/>
    <m/>
    <x v="0"/>
    <m/>
    <m/>
    <m/>
    <m/>
    <m/>
    <m/>
    <m/>
  </r>
  <r>
    <x v="0"/>
    <x v="1"/>
    <s v="Asia"/>
    <s v="Comprehensive Strategic Cooperative Partnership [全面战略合作伙伴关系]"/>
    <s v="Bilateral Defense Treaty"/>
    <s v="INDOPACOM"/>
    <x v="5"/>
    <x v="23"/>
    <n v="4"/>
    <x v="0"/>
    <m/>
    <m/>
    <m/>
    <m/>
    <x v="0"/>
    <m/>
    <x v="0"/>
    <m/>
    <x v="0"/>
    <m/>
    <s v="NETF"/>
    <s v="2014-04 Zhenghe "/>
    <s v="North Sea Fleet"/>
    <s v="PLA FR XJP draft p. 24"/>
    <m/>
    <m/>
  </r>
  <r>
    <x v="1"/>
    <x v="2"/>
    <s v="America and Oceania"/>
    <s v="No Specific Relationship"/>
    <s v="N/A"/>
    <s v="NORTHCOM"/>
    <x v="4"/>
    <x v="23"/>
    <n v="4"/>
    <x v="3"/>
    <s v="Chang Wanquan"/>
    <m/>
    <s v="Defense Minister; CMC Member"/>
    <n v="8"/>
    <x v="2"/>
    <s v="Secretary of Defense Hagel"/>
    <x v="0"/>
    <m/>
    <x v="0"/>
    <m/>
    <m/>
    <m/>
    <m/>
    <m/>
    <s v="2015 CH Mil Power Report"/>
    <m/>
  </r>
  <r>
    <x v="1"/>
    <x v="2"/>
    <s v="America and Oceania"/>
    <s v="No Specific Relationship"/>
    <s v="N/A"/>
    <s v="NORTHCOM"/>
    <x v="4"/>
    <x v="23"/>
    <n v="4"/>
    <x v="7"/>
    <s v="Wu Shengli"/>
    <m/>
    <s v="PLAN Commander; CMC Member"/>
    <n v="8"/>
    <x v="1"/>
    <s v="Chief of Naval Operations"/>
    <x v="0"/>
    <m/>
    <x v="0"/>
    <m/>
    <m/>
    <m/>
    <m/>
    <s v="2015 CH Mil Power Report"/>
    <s v="2015 CH Mil Power Report"/>
    <s v="On margins of WPNS; also met with PACFLEET Commander"/>
  </r>
  <r>
    <x v="1"/>
    <x v="4"/>
    <s v="N/A"/>
    <s v="Member"/>
    <s v="None"/>
    <s v="INDOPACOM"/>
    <x v="136"/>
    <x v="23"/>
    <n v="4"/>
    <x v="2"/>
    <s v="Fan Changlong"/>
    <m/>
    <s v="CMC Vice Chairman"/>
    <n v="10"/>
    <x v="2"/>
    <s v="Western Pacific Naval Symposium; meeting approved CUES"/>
    <x v="0"/>
    <m/>
    <x v="0"/>
    <m/>
    <m/>
    <m/>
    <m/>
    <m/>
    <s v="http://eng.mod.gov.cn/DefenseNews/2014-04/24/content_4505240.htm"/>
    <s v="Recoded as ML"/>
  </r>
  <r>
    <x v="2"/>
    <x v="4"/>
    <s v="N/A"/>
    <s v="Member"/>
    <s v="None"/>
    <s v="INDOPACOM"/>
    <x v="136"/>
    <x v="23"/>
    <n v="4"/>
    <x v="6"/>
    <m/>
    <m/>
    <m/>
    <m/>
    <x v="0"/>
    <m/>
    <x v="4"/>
    <s v="WPNS 2014 Maritime Exercise (MMEx)"/>
    <x v="2"/>
    <s v="Maritime; HADR; WPNS 2014 attendees +7; Bangladesh, Brunei, China, India, Indonesia, Malaysia, Pakistan and Singapore; CUES; Joint Anti-Hijacking, Search and Rescue (SAR) and small arms firing."/>
    <m/>
    <m/>
    <m/>
    <m/>
    <s v="http://www.mindef.gov.bn/Lists/News/DispForm.aspx?ID=3002"/>
    <m/>
  </r>
  <r>
    <x v="1"/>
    <x v="7"/>
    <s v="West Asia and Africa"/>
    <s v="Strategic Partnership [战略伙伴关系]"/>
    <s v="None"/>
    <s v="AFRICOM"/>
    <x v="76"/>
    <x v="23"/>
    <n v="5"/>
    <x v="4"/>
    <s v="Hou Shusen"/>
    <m/>
    <s v="GSD DCGS"/>
    <n v="6"/>
    <x v="1"/>
    <m/>
    <x v="0"/>
    <m/>
    <x v="0"/>
    <m/>
    <m/>
    <m/>
    <m/>
    <m/>
    <m/>
    <m/>
  </r>
  <r>
    <x v="1"/>
    <x v="1"/>
    <s v="Asia"/>
    <s v="Strategic Partnership [战略伙伴关系] for Peace and Prosperity"/>
    <s v="None"/>
    <s v="INDOPACOM"/>
    <x v="153"/>
    <x v="23"/>
    <n v="5"/>
    <x v="1"/>
    <s v="Chang Wanquan"/>
    <m/>
    <s v="Defense Minister; CMC Member"/>
    <n v="8"/>
    <x v="1"/>
    <s v="Fourth China-ASEAN Defense Ministers' Informal Meeting in Myanmar"/>
    <x v="0"/>
    <m/>
    <x v="0"/>
    <m/>
    <m/>
    <m/>
    <m/>
    <m/>
    <s v="https://thediplomat.com/2015/06/china-to-hold-first-meeting-with-asean-defense-ministers-in-beijing/"/>
    <s v="corrected partnership to strategic partnership for peace and prosperity"/>
  </r>
  <r>
    <x v="1"/>
    <x v="5"/>
    <s v="America and Oceania"/>
    <s v="Comprehensive Strategic Partnership [全面战略伙伴关系]"/>
    <s v="ANZUS Treaty"/>
    <s v="INDOPACOM"/>
    <x v="12"/>
    <x v="23"/>
    <n v="5"/>
    <x v="3"/>
    <s v="Chang Wanquan"/>
    <m/>
    <s v="Defense Minister; CMC Member"/>
    <n v="8"/>
    <x v="2"/>
    <s v="Former Prime Minister"/>
    <x v="0"/>
    <m/>
    <x v="0"/>
    <m/>
    <m/>
    <m/>
    <m/>
    <m/>
    <m/>
    <m/>
  </r>
  <r>
    <x v="1"/>
    <x v="0"/>
    <s v="Asia"/>
    <s v="Comprehensive Cooperative Partnership [全面合作伙伴关系]"/>
    <s v="None"/>
    <s v="INDOPACOM"/>
    <x v="0"/>
    <x v="23"/>
    <n v="5"/>
    <x v="4"/>
    <s v="Xu Qiliang"/>
    <m/>
    <s v="CMC Vice Chairman"/>
    <n v="10"/>
    <x v="1"/>
    <m/>
    <x v="0"/>
    <m/>
    <x v="0"/>
    <m/>
    <m/>
    <m/>
    <m/>
    <m/>
    <m/>
    <m/>
  </r>
  <r>
    <x v="1"/>
    <x v="8"/>
    <s v="Europe and Central Asia"/>
    <s v="Comprehensive Strategic Partnership [全面战略伙伴关系]"/>
    <s v="None"/>
    <s v="EUCOM"/>
    <x v="34"/>
    <x v="23"/>
    <n v="5"/>
    <x v="3"/>
    <s v="Chang Wanquan"/>
    <m/>
    <s v="Defense Minister; CMC Member"/>
    <n v="8"/>
    <x v="2"/>
    <s v="Air Force Commander"/>
    <x v="0"/>
    <m/>
    <x v="0"/>
    <m/>
    <m/>
    <m/>
    <m/>
    <m/>
    <m/>
    <m/>
  </r>
  <r>
    <x v="1"/>
    <x v="1"/>
    <s v="Asia"/>
    <s v="Comprehensive Strategic Cooperative Partnership [全面战略合作伙伴关系]"/>
    <s v="None"/>
    <s v="INDOPACOM"/>
    <x v="94"/>
    <x v="23"/>
    <n v="5"/>
    <x v="4"/>
    <s v="Xu Qiliang"/>
    <m/>
    <s v="CMC Vice Chairman"/>
    <n v="10"/>
    <x v="1"/>
    <m/>
    <x v="0"/>
    <m/>
    <x v="0"/>
    <m/>
    <m/>
    <m/>
    <m/>
    <m/>
    <m/>
    <m/>
  </r>
  <r>
    <x v="1"/>
    <x v="10"/>
    <s v="America and Oceania"/>
    <s v="No Specific Relationship"/>
    <s v="None"/>
    <s v="SOUTHCOM"/>
    <x v="49"/>
    <x v="23"/>
    <n v="5"/>
    <x v="4"/>
    <s v="Fang Fenghui"/>
    <m/>
    <s v="GSD Commander; CMC Member"/>
    <n v="8"/>
    <x v="1"/>
    <m/>
    <x v="0"/>
    <m/>
    <x v="0"/>
    <m/>
    <m/>
    <m/>
    <m/>
    <m/>
    <m/>
    <m/>
  </r>
  <r>
    <x v="1"/>
    <x v="8"/>
    <s v="Europe and Central Asia"/>
    <s v="Comprehensive Strategic Partnership [全面战略伙伴关系]"/>
    <s v="NATO"/>
    <s v="EUCOM"/>
    <x v="18"/>
    <x v="23"/>
    <n v="5"/>
    <x v="4"/>
    <s v="Wang Guanzhong"/>
    <m/>
    <s v="GSD DCGS"/>
    <n v="6"/>
    <x v="1"/>
    <m/>
    <x v="0"/>
    <m/>
    <x v="0"/>
    <m/>
    <m/>
    <m/>
    <m/>
    <m/>
    <m/>
    <m/>
  </r>
  <r>
    <x v="1"/>
    <x v="9"/>
    <s v="West Asia and Africa"/>
    <s v="No Specific Relationship"/>
    <s v="None"/>
    <s v="CENTCOM"/>
    <x v="89"/>
    <x v="23"/>
    <n v="5"/>
    <x v="3"/>
    <s v="Fan Changlong"/>
    <m/>
    <s v="CMC Vice Chairman"/>
    <n v="10"/>
    <x v="2"/>
    <s v="Defense Minister and Minister of Armed Forces Logistics"/>
    <x v="0"/>
    <m/>
    <x v="0"/>
    <m/>
    <m/>
    <m/>
    <m/>
    <m/>
    <m/>
    <m/>
  </r>
  <r>
    <x v="0"/>
    <x v="7"/>
    <s v="West Asia and Africa"/>
    <s v="No Specific Relationship"/>
    <s v="None"/>
    <s v="AFRICOM"/>
    <x v="140"/>
    <x v="23"/>
    <n v="5"/>
    <x v="0"/>
    <m/>
    <m/>
    <m/>
    <m/>
    <x v="0"/>
    <m/>
    <x v="0"/>
    <m/>
    <x v="0"/>
    <m/>
    <s v="ETF"/>
    <s v="ETF-16"/>
    <s v="North Sea Fleet"/>
    <s v="FFG546 Yancheng, FF527 Luoyang, AOR889 Tai Hu"/>
    <m/>
    <m/>
  </r>
  <r>
    <x v="1"/>
    <x v="1"/>
    <s v="Asia"/>
    <s v="Comprehensive Strategic Cooperative Partnership [全面战略合作伙伴关系]"/>
    <s v="None"/>
    <s v="INDOPACOM"/>
    <x v="52"/>
    <x v="23"/>
    <n v="5"/>
    <x v="4"/>
    <s v="Chang Wanquan"/>
    <m/>
    <s v="Defense Minister; CMC Member"/>
    <n v="8"/>
    <x v="1"/>
    <m/>
    <x v="0"/>
    <m/>
    <x v="0"/>
    <m/>
    <m/>
    <m/>
    <m/>
    <m/>
    <m/>
    <m/>
  </r>
  <r>
    <x v="1"/>
    <x v="7"/>
    <s v="West Asia and Africa"/>
    <s v="No Specific Relationship"/>
    <s v="Major Non-NATO Ally"/>
    <s v="AFRICOM"/>
    <x v="27"/>
    <x v="23"/>
    <n v="5"/>
    <x v="4"/>
    <s v="Hou Shusen"/>
    <m/>
    <s v="GSD DCGS"/>
    <n v="6"/>
    <x v="1"/>
    <m/>
    <x v="0"/>
    <m/>
    <x v="0"/>
    <m/>
    <m/>
    <m/>
    <m/>
    <m/>
    <m/>
    <m/>
  </r>
  <r>
    <x v="1"/>
    <x v="1"/>
    <s v="Asia"/>
    <s v="Comprehensive Strategic Cooperative Partnership [全面战略合作伙伴关系]"/>
    <s v="None"/>
    <s v="INDOPACOM"/>
    <x v="1"/>
    <x v="23"/>
    <n v="5"/>
    <x v="3"/>
    <s v="Ma Xiaotian"/>
    <m/>
    <s v="PLAAF Commander; CMC Member"/>
    <n v="8"/>
    <x v="2"/>
    <s v="Air Force Commander"/>
    <x v="0"/>
    <m/>
    <x v="0"/>
    <m/>
    <m/>
    <m/>
    <m/>
    <m/>
    <m/>
    <m/>
  </r>
  <r>
    <x v="2"/>
    <x v="7"/>
    <s v="West Asia and Africa"/>
    <s v="Strategic Partnership [战略伙伴关系]"/>
    <s v="None"/>
    <s v="AFRICOM"/>
    <x v="36"/>
    <x v="23"/>
    <n v="5"/>
    <x v="5"/>
    <m/>
    <m/>
    <m/>
    <m/>
    <x v="0"/>
    <m/>
    <x v="4"/>
    <s v="None"/>
    <x v="2"/>
    <s v="anti-piracy drill"/>
    <m/>
    <m/>
    <m/>
    <m/>
    <m/>
    <m/>
  </r>
  <r>
    <x v="0"/>
    <x v="7"/>
    <s v="West Asia and Africa"/>
    <s v="Strategic Partnership [战略伙伴关系]"/>
    <s v="None"/>
    <s v="AFRICOM"/>
    <x v="36"/>
    <x v="23"/>
    <n v="5"/>
    <x v="0"/>
    <m/>
    <m/>
    <m/>
    <m/>
    <x v="0"/>
    <m/>
    <x v="0"/>
    <m/>
    <x v="0"/>
    <m/>
    <s v="ETF"/>
    <s v="ETF-16"/>
    <s v="North Sea Fleet"/>
    <s v="FFG546 Yancheng, FF527 Luoyang, AOR889 Tai Hu"/>
    <m/>
    <m/>
  </r>
  <r>
    <x v="0"/>
    <x v="9"/>
    <s v="West Asia and Africa"/>
    <s v="No Specific Relationship"/>
    <s v="None"/>
    <s v="CENTCOM"/>
    <x v="147"/>
    <x v="23"/>
    <n v="5"/>
    <x v="9"/>
    <m/>
    <m/>
    <m/>
    <m/>
    <x v="0"/>
    <m/>
    <x v="0"/>
    <m/>
    <x v="0"/>
    <m/>
    <s v="ETF"/>
    <s v="ETF-16 "/>
    <s v="North Sea Fleet"/>
    <s v="FFG546 Yancheng, FF527 Luoyang, AOR889 Tai Hu; unknown, could also be ETF-17"/>
    <m/>
    <m/>
  </r>
  <r>
    <x v="2"/>
    <x v="0"/>
    <s v="Asia"/>
    <s v="Strategic Partnership [战略伙伴关系]"/>
    <s v="Major Non-NATO Ally"/>
    <s v="CENTCOM"/>
    <x v="2"/>
    <x v="23"/>
    <n v="5"/>
    <x v="5"/>
    <m/>
    <m/>
    <m/>
    <m/>
    <x v="0"/>
    <m/>
    <x v="3"/>
    <s v="Shaheen-3"/>
    <x v="5"/>
    <s v="Operational aerial maneuvers"/>
    <m/>
    <m/>
    <m/>
    <m/>
    <m/>
    <m/>
  </r>
  <r>
    <x v="1"/>
    <x v="3"/>
    <s v="Europe and Central Asia"/>
    <s v="Comprehensive Collaborative Strategic Partnership [全面战略协作伙伴关系]"/>
    <s v="None"/>
    <s v="EUCOM"/>
    <x v="7"/>
    <x v="23"/>
    <n v="5"/>
    <x v="3"/>
    <s v="Wu Shengli"/>
    <m/>
    <s v="PLAN Commander; CMC Member"/>
    <n v="8"/>
    <x v="2"/>
    <s v="Navy Commander"/>
    <x v="0"/>
    <m/>
    <x v="0"/>
    <m/>
    <m/>
    <m/>
    <m/>
    <m/>
    <m/>
    <m/>
  </r>
  <r>
    <x v="2"/>
    <x v="3"/>
    <s v="Europe and Central Asia"/>
    <s v="Comprehensive Collaborative Strategic Partnership [全面战略协作伙伴关系]"/>
    <s v="None"/>
    <s v="EUCOM"/>
    <x v="7"/>
    <x v="23"/>
    <n v="5"/>
    <x v="5"/>
    <m/>
    <m/>
    <m/>
    <m/>
    <x v="0"/>
    <m/>
    <x v="3"/>
    <s v="Maritime Cooperation 2014 (AKA Joint Sea 2014)"/>
    <x v="2"/>
    <s v="Maritime; HADR; live-fire drills.  May 20 to 26"/>
    <m/>
    <m/>
    <m/>
    <m/>
    <m/>
    <m/>
  </r>
  <r>
    <x v="0"/>
    <x v="7"/>
    <s v="West Asia and Africa"/>
    <s v="No Specific Relationship"/>
    <s v="None"/>
    <s v="AFRICOM"/>
    <x v="152"/>
    <x v="23"/>
    <n v="5"/>
    <x v="0"/>
    <m/>
    <m/>
    <m/>
    <m/>
    <x v="0"/>
    <m/>
    <x v="0"/>
    <m/>
    <x v="0"/>
    <m/>
    <s v="ETF"/>
    <s v="ETF-16"/>
    <s v="North Sea Fleet"/>
    <s v="FFG546 Yancheng, FF527 Luoyang, AOR889 Tai Hu"/>
    <m/>
    <m/>
  </r>
  <r>
    <x v="1"/>
    <x v="0"/>
    <s v="Asia"/>
    <s v="Strategic Cooperative Partnership [战略合作伙伴关系]"/>
    <s v="None"/>
    <s v="INDOPACOM"/>
    <x v="3"/>
    <x v="23"/>
    <n v="5"/>
    <x v="4"/>
    <s v="Xu Qiliang"/>
    <m/>
    <s v="CMC Vice Chairman"/>
    <n v="10"/>
    <x v="1"/>
    <m/>
    <x v="0"/>
    <m/>
    <x v="0"/>
    <m/>
    <m/>
    <m/>
    <m/>
    <m/>
    <m/>
    <m/>
  </r>
  <r>
    <x v="1"/>
    <x v="1"/>
    <s v="Asia"/>
    <s v="Comprehensive Strategic Cooperative Partnership [全面战略合作伙伴关系]"/>
    <s v="Bilateral Defense Treaty"/>
    <s v="INDOPACOM"/>
    <x v="5"/>
    <x v="23"/>
    <n v="5"/>
    <x v="3"/>
    <s v="Wang Guanzhong"/>
    <m/>
    <s v="GSD DCGS"/>
    <n v="6"/>
    <x v="2"/>
    <s v="Chief of Joint Staff"/>
    <x v="0"/>
    <m/>
    <x v="0"/>
    <m/>
    <m/>
    <m/>
    <m/>
    <m/>
    <m/>
    <m/>
  </r>
  <r>
    <x v="0"/>
    <x v="7"/>
    <s v="West Asia and Africa"/>
    <s v="No Specific Relationship"/>
    <s v="Major Non-NATO Ally"/>
    <s v="AFRICOM"/>
    <x v="85"/>
    <x v="23"/>
    <n v="5"/>
    <x v="0"/>
    <m/>
    <m/>
    <m/>
    <m/>
    <x v="0"/>
    <m/>
    <x v="0"/>
    <m/>
    <x v="0"/>
    <m/>
    <s v="ETF"/>
    <s v="ETF-16"/>
    <s v="North Sea Fleet"/>
    <s v="FFG546 Yancheng, FF527 Luoyang, AOR889 Tai Hu"/>
    <m/>
    <m/>
  </r>
  <r>
    <x v="1"/>
    <x v="2"/>
    <s v="America and Oceania"/>
    <s v="No Specific Relationship"/>
    <s v="N/A"/>
    <s v="NORTHCOM"/>
    <x v="4"/>
    <x v="23"/>
    <n v="5"/>
    <x v="4"/>
    <s v="Fang Fenghui"/>
    <m/>
    <s v="GSD Commander; CMC Member"/>
    <n v="8"/>
    <x v="1"/>
    <s v="CJCS Dempsey"/>
    <x v="0"/>
    <m/>
    <x v="0"/>
    <m/>
    <m/>
    <m/>
    <m/>
    <m/>
    <s v="2015 CH Mil Power Report"/>
    <m/>
  </r>
  <r>
    <x v="1"/>
    <x v="1"/>
    <s v="Asia"/>
    <s v="Comprehensive Strategic Cooperative Partnership [全面战略合作伙伴关系]"/>
    <s v="None"/>
    <s v="INDOPACOM"/>
    <x v="23"/>
    <x v="23"/>
    <n v="5"/>
    <x v="4"/>
    <s v="Chang Wanquan"/>
    <m/>
    <s v="Defense Minister; CMC Member"/>
    <n v="8"/>
    <x v="1"/>
    <m/>
    <x v="0"/>
    <m/>
    <x v="0"/>
    <m/>
    <m/>
    <m/>
    <m/>
    <m/>
    <m/>
    <m/>
  </r>
  <r>
    <x v="0"/>
    <x v="7"/>
    <s v="West Asia and Africa"/>
    <s v="Strategic Partnership [战略伙伴关系]"/>
    <s v="None"/>
    <s v="AFRICOM"/>
    <x v="76"/>
    <x v="23"/>
    <n v="6"/>
    <x v="0"/>
    <m/>
    <m/>
    <m/>
    <m/>
    <x v="0"/>
    <m/>
    <x v="0"/>
    <m/>
    <x v="0"/>
    <m/>
    <s v="ETF"/>
    <s v="ETF-16"/>
    <s v="North Sea Fleet"/>
    <s v="FFG546 Yancheng, FF527 Luoyang, AOR889 Tai Hu"/>
    <m/>
    <m/>
  </r>
  <r>
    <x v="0"/>
    <x v="7"/>
    <s v="West Asia and Africa"/>
    <s v="Strategic Partnership [战略伙伴关系]"/>
    <s v="None"/>
    <s v="AFRICOM"/>
    <x v="105"/>
    <x v="23"/>
    <n v="6"/>
    <x v="0"/>
    <m/>
    <m/>
    <m/>
    <m/>
    <x v="0"/>
    <m/>
    <x v="0"/>
    <m/>
    <x v="0"/>
    <m/>
    <s v="ETF"/>
    <s v="ETF-16"/>
    <s v="North Sea Fleet"/>
    <s v="FFG546 Yancheng, FF527 Luoyang, AOR889 Tai Hu"/>
    <m/>
    <m/>
  </r>
  <r>
    <x v="1"/>
    <x v="5"/>
    <s v="America and Oceania"/>
    <s v="Comprehensive Strategic Partnership [全面战略伙伴关系]"/>
    <s v="ANZUS Treaty"/>
    <s v="INDOPACOM"/>
    <x v="12"/>
    <x v="23"/>
    <n v="6"/>
    <x v="3"/>
    <s v="Xu Qiliang"/>
    <m/>
    <s v="CMC Vice Chairman"/>
    <n v="10"/>
    <x v="2"/>
    <s v="Air Force Chief"/>
    <x v="0"/>
    <m/>
    <x v="0"/>
    <m/>
    <m/>
    <m/>
    <m/>
    <m/>
    <m/>
    <m/>
  </r>
  <r>
    <x v="1"/>
    <x v="1"/>
    <s v="Asia"/>
    <s v="No Specific Relationship"/>
    <s v="None"/>
    <s v="INDOPACOM"/>
    <x v="44"/>
    <x v="23"/>
    <n v="6"/>
    <x v="4"/>
    <s v="Chang Wanquan"/>
    <m/>
    <s v="Defense Minister; CMC Member"/>
    <n v="8"/>
    <x v="1"/>
    <m/>
    <x v="0"/>
    <m/>
    <x v="0"/>
    <m/>
    <m/>
    <m/>
    <m/>
    <m/>
    <m/>
    <m/>
  </r>
  <r>
    <x v="2"/>
    <x v="7"/>
    <s v="West Asia and Africa"/>
    <s v="Friendly Cooperative Relationship [友好合作关系]"/>
    <s v="None"/>
    <s v="AFRICOM"/>
    <x v="65"/>
    <x v="23"/>
    <n v="6"/>
    <x v="5"/>
    <m/>
    <m/>
    <m/>
    <m/>
    <x v="0"/>
    <m/>
    <x v="4"/>
    <s v="None"/>
    <x v="2"/>
    <s v="anti-piracy drill"/>
    <m/>
    <m/>
    <m/>
    <m/>
    <m/>
    <m/>
  </r>
  <r>
    <x v="0"/>
    <x v="7"/>
    <s v="West Asia and Africa"/>
    <s v="Friendly Cooperative Relationship [友好合作关系]"/>
    <s v="None"/>
    <s v="AFRICOM"/>
    <x v="65"/>
    <x v="23"/>
    <n v="6"/>
    <x v="0"/>
    <m/>
    <m/>
    <m/>
    <m/>
    <x v="0"/>
    <m/>
    <x v="0"/>
    <m/>
    <x v="0"/>
    <m/>
    <s v="ETF"/>
    <s v="ETF-16"/>
    <s v="North Sea Fleet"/>
    <s v="FFG546 Yancheng, FF527 Luoyang, AOR889 Tai Hu"/>
    <m/>
    <m/>
  </r>
  <r>
    <x v="1"/>
    <x v="7"/>
    <s v="West Asia and Africa"/>
    <s v="Comprehensive Strategic Partnership [全面战略伙伴关系]"/>
    <s v="None"/>
    <s v="AFRICOM"/>
    <x v="127"/>
    <x v="23"/>
    <n v="6"/>
    <x v="3"/>
    <s v="Xu Qiliang"/>
    <m/>
    <s v="CMC Vice Chairman"/>
    <n v="10"/>
    <x v="2"/>
    <s v="Deputy Prime Minister and Concurrent Defense Minister"/>
    <x v="0"/>
    <m/>
    <x v="0"/>
    <m/>
    <m/>
    <m/>
    <m/>
    <m/>
    <m/>
    <m/>
  </r>
  <r>
    <x v="1"/>
    <x v="1"/>
    <s v="Asia"/>
    <s v="No Specific Relationship"/>
    <s v="None"/>
    <s v="INDOPACOM"/>
    <x v="137"/>
    <x v="23"/>
    <n v="6"/>
    <x v="1"/>
    <s v="Wang Guanzhong"/>
    <m/>
    <s v="GSD DCGS"/>
    <n v="6"/>
    <x v="1"/>
    <s v="13th Shangri-La Dialogue"/>
    <x v="0"/>
    <m/>
    <x v="0"/>
    <m/>
    <m/>
    <m/>
    <m/>
    <m/>
    <m/>
    <m/>
  </r>
  <r>
    <x v="2"/>
    <x v="1"/>
    <s v="Asia"/>
    <s v="Comprehensive Strategic Partnership [全面战略伙伴关系]"/>
    <s v="None"/>
    <s v="INDOPACOM"/>
    <x v="8"/>
    <x v="23"/>
    <n v="6"/>
    <x v="5"/>
    <m/>
    <m/>
    <m/>
    <m/>
    <x v="0"/>
    <m/>
    <x v="2"/>
    <s v="None"/>
    <x v="2"/>
    <s v="CUES drill with Indonesian patrol boat; communications exercise only"/>
    <m/>
    <m/>
    <m/>
    <m/>
    <m/>
    <m/>
  </r>
  <r>
    <x v="1"/>
    <x v="4"/>
    <s v="Asia"/>
    <s v="Mutually Beneficial Strategic Relationship [战略互惠关系]"/>
    <s v="Bilateral Defense Treaty"/>
    <s v="INDOPACOM"/>
    <x v="83"/>
    <x v="23"/>
    <n v="6"/>
    <x v="3"/>
    <s v="Zhang Yang"/>
    <m/>
    <s v="GPD Director; CMC Member"/>
    <n v="8"/>
    <x v="2"/>
    <s v="Japan-China Political and Economic Forum "/>
    <x v="0"/>
    <m/>
    <x v="0"/>
    <m/>
    <m/>
    <m/>
    <m/>
    <m/>
    <m/>
    <m/>
  </r>
  <r>
    <x v="1"/>
    <x v="1"/>
    <s v="Asia"/>
    <s v="Comprehensive Strategic Cooperative Partnership [全面战略合作伙伴关系]"/>
    <s v="None"/>
    <s v="INDOPACOM"/>
    <x v="1"/>
    <x v="23"/>
    <n v="6"/>
    <x v="7"/>
    <s v="Wang Guanzhong"/>
    <m/>
    <s v="GSD DCGS"/>
    <n v="6"/>
    <x v="1"/>
    <m/>
    <x v="0"/>
    <m/>
    <x v="0"/>
    <m/>
    <m/>
    <m/>
    <m/>
    <m/>
    <m/>
    <m/>
  </r>
  <r>
    <x v="0"/>
    <x v="7"/>
    <s v="West Asia and Africa"/>
    <s v="No Specific Relationship"/>
    <s v="None"/>
    <s v="AFRICOM"/>
    <x v="69"/>
    <x v="23"/>
    <n v="6"/>
    <x v="0"/>
    <m/>
    <m/>
    <m/>
    <m/>
    <x v="0"/>
    <m/>
    <x v="0"/>
    <m/>
    <x v="0"/>
    <m/>
    <s v="ETF"/>
    <s v="ETF-16"/>
    <s v="North Sea Fleet"/>
    <s v="FFG546 Yancheng, FF527 Luoyang, AOR889 Tai Hu"/>
    <m/>
    <m/>
  </r>
  <r>
    <x v="2"/>
    <x v="7"/>
    <s v="West Asia and Africa"/>
    <s v="No Specific Relationship"/>
    <s v="None"/>
    <s v="AFRICOM"/>
    <x v="69"/>
    <x v="23"/>
    <n v="6"/>
    <x v="5"/>
    <m/>
    <m/>
    <m/>
    <m/>
    <x v="0"/>
    <m/>
    <x v="2"/>
    <s v="None"/>
    <x v="2"/>
    <s v="communication and fleet formation"/>
    <m/>
    <m/>
    <m/>
    <m/>
    <m/>
    <m/>
  </r>
  <r>
    <x v="1"/>
    <x v="0"/>
    <s v="Asia"/>
    <s v="Strategic Partnership [战略伙伴关系]"/>
    <s v="Major Non-NATO Ally"/>
    <s v="CENTCOM"/>
    <x v="2"/>
    <x v="23"/>
    <n v="6"/>
    <x v="3"/>
    <s v="Fan Changlong"/>
    <m/>
    <s v="CMC Vice Chairman"/>
    <n v="10"/>
    <x v="2"/>
    <s v="Chief of Army Staff"/>
    <x v="0"/>
    <m/>
    <x v="0"/>
    <m/>
    <m/>
    <m/>
    <m/>
    <m/>
    <m/>
    <m/>
  </r>
  <r>
    <x v="1"/>
    <x v="3"/>
    <s v="Europe and Central Asia"/>
    <s v="Comprehensive Collaborative Strategic Partnership [全面战略协作伙伴关系]"/>
    <s v="None"/>
    <s v="EUCOM"/>
    <x v="7"/>
    <x v="23"/>
    <n v="6"/>
    <x v="4"/>
    <s v="Zhang Youxia"/>
    <m/>
    <s v="GAD Director; CMC Member"/>
    <n v="8"/>
    <x v="1"/>
    <m/>
    <x v="0"/>
    <m/>
    <x v="0"/>
    <m/>
    <m/>
    <m/>
    <m/>
    <m/>
    <m/>
    <m/>
  </r>
  <r>
    <x v="1"/>
    <x v="1"/>
    <s v="Asia"/>
    <s v="No Specific Relationship"/>
    <s v="None"/>
    <s v="INDOPACOM"/>
    <x v="39"/>
    <x v="23"/>
    <n v="6"/>
    <x v="4"/>
    <s v="Wang Guanzhong"/>
    <m/>
    <s v="GSD DCGS"/>
    <n v="6"/>
    <x v="1"/>
    <m/>
    <x v="0"/>
    <m/>
    <x v="0"/>
    <m/>
    <m/>
    <m/>
    <m/>
    <m/>
    <s v="https://www.mindef.gov.sg/oms/imindef/resourcelibrary/cyberpioneer/topics/articles/news/2015/may/25may15_news.html#.W37d9iAnYdU"/>
    <m/>
  </r>
  <r>
    <x v="0"/>
    <x v="7"/>
    <s v="West Asia and Africa"/>
    <s v="Comprehensive Strategic Partnership [全面战略伙伴关系]"/>
    <s v="None"/>
    <s v="AFRICOM"/>
    <x v="15"/>
    <x v="23"/>
    <n v="6"/>
    <x v="0"/>
    <m/>
    <m/>
    <m/>
    <m/>
    <x v="0"/>
    <m/>
    <x v="0"/>
    <m/>
    <x v="0"/>
    <m/>
    <s v="ETF"/>
    <s v="ETF-16"/>
    <s v="North Sea Fleet"/>
    <s v="FFG546 Yancheng, FF527 Luoyang, AOR889 Tai Hu"/>
    <m/>
    <m/>
  </r>
  <r>
    <x v="1"/>
    <x v="4"/>
    <s v="Asia"/>
    <s v="Strategic Cooperative Partnership [战略合作伙伴关系]"/>
    <s v="Bilateral Defense Treaty"/>
    <s v="INDOPACOM"/>
    <x v="25"/>
    <x v="23"/>
    <n v="6"/>
    <x v="3"/>
    <s v="Sun Jianguo"/>
    <m/>
    <s v="GSD DCGS"/>
    <n v="6"/>
    <x v="2"/>
    <s v="Delegation for CIISS; Retired Generals and Admirals Association"/>
    <x v="0"/>
    <m/>
    <x v="0"/>
    <m/>
    <m/>
    <m/>
    <m/>
    <m/>
    <m/>
    <m/>
  </r>
  <r>
    <x v="1"/>
    <x v="1"/>
    <s v="Asia"/>
    <s v="Comprehensive Strategic Cooperative Partnership [全面战略合作伙伴关系]"/>
    <s v="Bilateral Defense Treaty"/>
    <s v="INDOPACOM"/>
    <x v="5"/>
    <x v="23"/>
    <n v="6"/>
    <x v="3"/>
    <s v="Wang Guanzhong"/>
    <m/>
    <s v="GSD DCGS"/>
    <n v="6"/>
    <x v="2"/>
    <m/>
    <x v="0"/>
    <m/>
    <x v="0"/>
    <m/>
    <m/>
    <m/>
    <m/>
    <m/>
    <m/>
    <m/>
  </r>
  <r>
    <x v="1"/>
    <x v="5"/>
    <s v="America and Oceania"/>
    <s v="Comprehensive Strategic Partnership [全面战略伙伴关系]"/>
    <s v="ANZUS Treaty"/>
    <s v="INDOPACOM"/>
    <x v="12"/>
    <x v="23"/>
    <n v="7"/>
    <x v="4"/>
    <s v="Fan Changlong"/>
    <m/>
    <s v="CMC Vice Chairman"/>
    <n v="10"/>
    <x v="1"/>
    <m/>
    <x v="0"/>
    <m/>
    <x v="0"/>
    <m/>
    <m/>
    <m/>
    <m/>
    <m/>
    <m/>
    <m/>
  </r>
  <r>
    <x v="1"/>
    <x v="10"/>
    <s v="America and Oceania"/>
    <s v="Comprehensive Cooperative Partnership [全面合作伙伴关系]"/>
    <s v="None"/>
    <s v="SOUTHCOM"/>
    <x v="159"/>
    <x v="23"/>
    <n v="7"/>
    <x v="2"/>
    <s v="Wang Guanzhong"/>
    <m/>
    <s v="GSD DCGS"/>
    <n v="6"/>
    <x v="2"/>
    <s v="Second China-Latin America Defense Forum"/>
    <x v="0"/>
    <m/>
    <x v="0"/>
    <m/>
    <m/>
    <m/>
    <m/>
    <m/>
    <s v="http://eng.chinamil.com.cn/news-channels/china-military-news/2014-07/22/content_6058546.htm"/>
    <m/>
  </r>
  <r>
    <x v="0"/>
    <x v="9"/>
    <s v="West Asia and Africa"/>
    <s v="No Specific Relationship"/>
    <s v="None"/>
    <s v="CENTCOM"/>
    <x v="119"/>
    <x v="23"/>
    <n v="7"/>
    <x v="9"/>
    <m/>
    <m/>
    <m/>
    <m/>
    <x v="0"/>
    <m/>
    <x v="0"/>
    <m/>
    <x v="0"/>
    <m/>
    <s v="ETF"/>
    <s v="ETF-16 "/>
    <s v="North Sea Fleet"/>
    <s v="FFG546 Yancheng, FF527 Luoyang, AOR889 Tai Hu; unknown, could also be ETF-17"/>
    <m/>
    <m/>
  </r>
  <r>
    <x v="2"/>
    <x v="8"/>
    <s v="Europe and Central Asia"/>
    <s v="Comprehensive Cooperative Partnership [全面合作伙伴关系]"/>
    <s v="None"/>
    <s v="EUCOM"/>
    <x v="158"/>
    <x v="23"/>
    <n v="7"/>
    <x v="6"/>
    <m/>
    <m/>
    <m/>
    <m/>
    <x v="0"/>
    <m/>
    <x v="4"/>
    <s v="Venus No. 2"/>
    <x v="2"/>
    <s v="anti-piracy drill with EU CTF 465"/>
    <m/>
    <m/>
    <m/>
    <m/>
    <m/>
    <m/>
  </r>
  <r>
    <x v="0"/>
    <x v="5"/>
    <s v="America and Oceania"/>
    <s v="Strategic Partnership [战略伙伴关系]"/>
    <s v="None"/>
    <s v="INDOPACOM"/>
    <x v="128"/>
    <x v="23"/>
    <n v="7"/>
    <x v="12"/>
    <m/>
    <m/>
    <m/>
    <m/>
    <x v="0"/>
    <m/>
    <x v="0"/>
    <m/>
    <x v="0"/>
    <m/>
    <s v="NETF"/>
    <s v="2014-07 Harmonious Mission "/>
    <s v="East Sea Fleet"/>
    <s v="post-RIMPAC 2014; PLA FR XJP draft p. 26"/>
    <m/>
    <s v="Coded as Oceania instead of Southeast Asia"/>
  </r>
  <r>
    <x v="1"/>
    <x v="1"/>
    <s v="Asia"/>
    <s v="Comprehensive Strategic Partnership [全面战略伙伴关系]"/>
    <s v="None"/>
    <s v="INDOPACOM"/>
    <x v="8"/>
    <x v="23"/>
    <n v="7"/>
    <x v="4"/>
    <s v="Fan Changlong"/>
    <m/>
    <s v="CMC Vice Chairman"/>
    <n v="10"/>
    <x v="1"/>
    <m/>
    <x v="0"/>
    <m/>
    <x v="0"/>
    <m/>
    <m/>
    <m/>
    <m/>
    <m/>
    <m/>
    <m/>
  </r>
  <r>
    <x v="1"/>
    <x v="8"/>
    <s v="Europe and Central Asia"/>
    <s v="Comprehensive Strategic Partnership [全面战略伙伴关系]"/>
    <s v="NATO"/>
    <s v="EUCOM"/>
    <x v="20"/>
    <x v="23"/>
    <n v="7"/>
    <x v="3"/>
    <s v="Xu Qiliang"/>
    <m/>
    <s v="CMC Vice Chairman"/>
    <n v="10"/>
    <x v="2"/>
    <s v="Secretary General of Defense and Director of Armaments"/>
    <x v="0"/>
    <m/>
    <x v="0"/>
    <m/>
    <m/>
    <m/>
    <m/>
    <m/>
    <m/>
    <m/>
  </r>
  <r>
    <x v="1"/>
    <x v="8"/>
    <s v="Europe and Central Asia"/>
    <s v="Comprehensive Cooperative Partnership [全面合作伙伴关系]"/>
    <s v="NATO"/>
    <s v="EUCOM"/>
    <x v="117"/>
    <x v="23"/>
    <n v="7"/>
    <x v="4"/>
    <s v="Hou Shusen"/>
    <m/>
    <s v="GSD DCGS"/>
    <n v="6"/>
    <x v="1"/>
    <m/>
    <x v="0"/>
    <m/>
    <x v="0"/>
    <m/>
    <m/>
    <m/>
    <m/>
    <m/>
    <m/>
    <m/>
  </r>
  <r>
    <x v="0"/>
    <x v="1"/>
    <s v="America and Oceania"/>
    <s v="Strategic Partnership [战略伙伴关系]"/>
    <s v="None"/>
    <s v="INDOPACOM"/>
    <x v="122"/>
    <x v="23"/>
    <n v="7"/>
    <x v="12"/>
    <m/>
    <m/>
    <m/>
    <m/>
    <x v="0"/>
    <m/>
    <x v="0"/>
    <m/>
    <x v="0"/>
    <m/>
    <s v="NETF"/>
    <s v="2014-07 Harmonious Mission "/>
    <s v="East Sea Fleet"/>
    <s v="post-RIMPAC 2014; PLA FR XJP draft p. 26"/>
    <m/>
    <m/>
  </r>
  <r>
    <x v="1"/>
    <x v="8"/>
    <s v="Europe and Central Asia"/>
    <s v="Comprehensive Strategic Partnership [全面战略伙伴关系]"/>
    <s v="NATO"/>
    <s v="EUCOM"/>
    <x v="48"/>
    <x v="23"/>
    <n v="7"/>
    <x v="4"/>
    <s v="Zhang Yang"/>
    <m/>
    <s v="GPD Director; CMC Member"/>
    <n v="8"/>
    <x v="1"/>
    <m/>
    <x v="0"/>
    <m/>
    <x v="0"/>
    <m/>
    <m/>
    <m/>
    <m/>
    <m/>
    <m/>
    <m/>
  </r>
  <r>
    <x v="1"/>
    <x v="8"/>
    <s v="Europe and Central Asia"/>
    <s v="Comprehensive Friendly Cooperative Partnership [全面友好合作伙伴关系]"/>
    <s v="NATO"/>
    <s v="EUCOM"/>
    <x v="33"/>
    <x v="23"/>
    <n v="7"/>
    <x v="4"/>
    <s v="Hou Shusen"/>
    <m/>
    <s v="GSD DCGS"/>
    <n v="6"/>
    <x v="1"/>
    <m/>
    <x v="0"/>
    <m/>
    <x v="0"/>
    <m/>
    <m/>
    <m/>
    <m/>
    <m/>
    <m/>
    <m/>
  </r>
  <r>
    <x v="2"/>
    <x v="3"/>
    <s v="Europe and Central Asia"/>
    <s v="Comprehensive Collaborative Strategic Partnership [全面战略协作伙伴关系]"/>
    <s v="None"/>
    <s v="EUCOM"/>
    <x v="7"/>
    <x v="23"/>
    <n v="7"/>
    <x v="6"/>
    <m/>
    <m/>
    <m/>
    <m/>
    <x v="0"/>
    <m/>
    <x v="6"/>
    <s v="Aviadarts 2014"/>
    <x v="5"/>
    <s v="Competition. Other countries: Belarus "/>
    <m/>
    <m/>
    <m/>
    <m/>
    <s v="https://usa.mfa.gov.ua/en/news/22977-zajava-mzs-ukrajini-shhodo-provedennya-rosijsykoju-federacijeju-vijsykovih-navchany-aviadarts-2014"/>
    <m/>
  </r>
  <r>
    <x v="1"/>
    <x v="7"/>
    <s v="West Asia and Africa"/>
    <s v="Comprehensive Strategic Partnership [全面战略伙伴关系]"/>
    <s v="None"/>
    <s v="AFRICOM"/>
    <x v="15"/>
    <x v="23"/>
    <n v="7"/>
    <x v="4"/>
    <s v="Chang Wanquan"/>
    <m/>
    <s v="Defense Minister; CMC Member"/>
    <n v="8"/>
    <x v="1"/>
    <m/>
    <x v="0"/>
    <m/>
    <x v="0"/>
    <m/>
    <m/>
    <m/>
    <m/>
    <m/>
    <m/>
    <m/>
  </r>
  <r>
    <x v="1"/>
    <x v="4"/>
    <s v="Asia"/>
    <s v="Strategic Cooperative Partnership [战略合作伙伴关系]"/>
    <s v="Bilateral Defense Treaty"/>
    <s v="INDOPACOM"/>
    <x v="25"/>
    <x v="23"/>
    <n v="7"/>
    <x v="3"/>
    <s v="Chang Wanquan"/>
    <m/>
    <s v="Defense Minister; CMC Member"/>
    <n v="8"/>
    <x v="2"/>
    <s v="Vice Defense Minister"/>
    <x v="0"/>
    <m/>
    <x v="0"/>
    <m/>
    <m/>
    <m/>
    <m/>
    <m/>
    <m/>
    <m/>
  </r>
  <r>
    <x v="1"/>
    <x v="8"/>
    <s v="Europe and Central Asia"/>
    <s v="No Specific Relationship"/>
    <s v="None"/>
    <s v="EUCOM"/>
    <x v="78"/>
    <x v="23"/>
    <n v="7"/>
    <x v="4"/>
    <s v="Zhang Yang"/>
    <m/>
    <s v="GPD Director; CMC Member"/>
    <n v="8"/>
    <x v="1"/>
    <m/>
    <x v="0"/>
    <m/>
    <x v="0"/>
    <m/>
    <m/>
    <m/>
    <m/>
    <m/>
    <m/>
    <m/>
  </r>
  <r>
    <x v="1"/>
    <x v="7"/>
    <s v="West Asia and Africa"/>
    <s v="Comprehensive Cooperative Partnership [全面合作伙伴关系]"/>
    <s v="None"/>
    <s v="AFRICOM"/>
    <x v="16"/>
    <x v="23"/>
    <n v="7"/>
    <x v="4"/>
    <s v="Chang Wanquan"/>
    <m/>
    <s v="Defense Minister; CMC Member"/>
    <n v="8"/>
    <x v="1"/>
    <m/>
    <x v="0"/>
    <m/>
    <x v="0"/>
    <m/>
    <m/>
    <m/>
    <m/>
    <m/>
    <m/>
    <m/>
  </r>
  <r>
    <x v="0"/>
    <x v="5"/>
    <s v="America and Oceania"/>
    <s v="Strategic Partnership [战略伙伴关系]"/>
    <s v="None"/>
    <s v="INDOPACOM"/>
    <x v="144"/>
    <x v="23"/>
    <n v="7"/>
    <x v="12"/>
    <m/>
    <m/>
    <m/>
    <m/>
    <x v="0"/>
    <m/>
    <x v="0"/>
    <m/>
    <x v="0"/>
    <m/>
    <s v="NETF"/>
    <s v="2014-07 Harmonious Mission "/>
    <s v="East Sea Fleet"/>
    <s v="post-RIMPAC 2014; PLA FR XJP draft p. 26"/>
    <m/>
    <m/>
  </r>
  <r>
    <x v="1"/>
    <x v="8"/>
    <s v="Europe and Central Asia"/>
    <s v="Strategic Cooperative Partnership [战略合作伙伴关系]"/>
    <s v="NATO"/>
    <s v="EUCOM"/>
    <x v="38"/>
    <x v="23"/>
    <n v="7"/>
    <x v="3"/>
    <s v="Wu Shengli"/>
    <m/>
    <s v="PLAN Commander; CMC Member"/>
    <n v="8"/>
    <x v="2"/>
    <s v="Navy Commander"/>
    <x v="0"/>
    <m/>
    <x v="0"/>
    <m/>
    <m/>
    <m/>
    <m/>
    <m/>
    <m/>
    <m/>
  </r>
  <r>
    <x v="1"/>
    <x v="2"/>
    <s v="America and Oceania"/>
    <s v="No Specific Relationship"/>
    <s v="N/A"/>
    <s v="NORTHCOM"/>
    <x v="4"/>
    <x v="23"/>
    <n v="7"/>
    <x v="3"/>
    <s v="Wu Shengli"/>
    <m/>
    <s v="PLAN Commander; CMC Member"/>
    <n v="8"/>
    <x v="2"/>
    <s v="Chief of Naval Operations Greenert"/>
    <x v="0"/>
    <m/>
    <x v="0"/>
    <m/>
    <m/>
    <m/>
    <m/>
    <m/>
    <s v="2015 CH Mil Power Report"/>
    <m/>
  </r>
  <r>
    <x v="2"/>
    <x v="2"/>
    <s v="America and Oceania"/>
    <s v="No Specific Relationship"/>
    <s v="N/A"/>
    <s v="NORTHCOM"/>
    <x v="4"/>
    <x v="23"/>
    <n v="7"/>
    <x v="6"/>
    <m/>
    <m/>
    <m/>
    <m/>
    <x v="0"/>
    <m/>
    <x v="3"/>
    <s v="RIMPAC 2014"/>
    <x v="2"/>
    <s v="Maritime; HADR; US and other countries' live-fire gunnery"/>
    <m/>
    <m/>
    <m/>
    <m/>
    <m/>
    <m/>
  </r>
  <r>
    <x v="0"/>
    <x v="5"/>
    <s v="America and Oceania"/>
    <s v="Strategic Partnership [战略伙伴关系]"/>
    <s v="None"/>
    <s v="INDOPACOM"/>
    <x v="120"/>
    <x v="23"/>
    <n v="7"/>
    <x v="12"/>
    <m/>
    <m/>
    <m/>
    <m/>
    <x v="0"/>
    <m/>
    <x v="0"/>
    <m/>
    <x v="0"/>
    <m/>
    <s v="NETF"/>
    <s v="2014-07 Harmonious Mission "/>
    <s v="East Sea Fleet"/>
    <s v="post-RIMPAC 2014; PLA FR XJP draft p. 26"/>
    <m/>
    <m/>
  </r>
  <r>
    <x v="1"/>
    <x v="10"/>
    <s v="America and Oceania"/>
    <s v="Comprehensive Strategic Partnership [全面战略伙伴关系]"/>
    <s v="Major Non-NATO Ally"/>
    <s v="SOUTHCOM"/>
    <x v="62"/>
    <x v="23"/>
    <n v="8"/>
    <x v="4"/>
    <s v="Zhao Keshi"/>
    <m/>
    <s v="GLD Director; CMC Member"/>
    <n v="8"/>
    <x v="1"/>
    <m/>
    <x v="0"/>
    <m/>
    <x v="0"/>
    <m/>
    <m/>
    <m/>
    <m/>
    <m/>
    <m/>
    <m/>
  </r>
  <r>
    <x v="2"/>
    <x v="5"/>
    <s v="America and Oceania"/>
    <s v="Comprehensive Strategic Partnership [全面战略伙伴关系]"/>
    <s v="ANZUS Treaty"/>
    <s v="INDOPACOM"/>
    <x v="12"/>
    <x v="23"/>
    <n v="8"/>
    <x v="6"/>
    <m/>
    <m/>
    <m/>
    <m/>
    <x v="0"/>
    <m/>
    <x v="5"/>
    <s v="Kakadu 2014"/>
    <x v="2"/>
    <s v="PLAN sent observers only. Other countries: Japan, New Zealand, Pakistan, Philippines"/>
    <m/>
    <m/>
    <m/>
    <m/>
    <m/>
    <m/>
  </r>
  <r>
    <x v="1"/>
    <x v="10"/>
    <s v="America and Oceania"/>
    <s v="Comprehensive Strategic Partnership [全面战略伙伴关系]"/>
    <s v="None"/>
    <s v="SOUTHCOM"/>
    <x v="43"/>
    <x v="23"/>
    <n v="8"/>
    <x v="4"/>
    <s v="Zhao Keshi"/>
    <m/>
    <s v="GLD Director; CMC Member"/>
    <n v="8"/>
    <x v="1"/>
    <m/>
    <x v="0"/>
    <m/>
    <x v="0"/>
    <m/>
    <m/>
    <m/>
    <m/>
    <m/>
    <m/>
    <m/>
  </r>
  <r>
    <x v="1"/>
    <x v="9"/>
    <s v="West Asia and Africa"/>
    <s v="Comprehensive Strategic Partnership [全面战略伙伴关系]"/>
    <s v="Major Non-NATO Ally"/>
    <s v="CENTCOM"/>
    <x v="24"/>
    <x v="23"/>
    <n v="8"/>
    <x v="3"/>
    <s v="Chang Wanquan"/>
    <m/>
    <s v="Defense Minister; CMC Member"/>
    <n v="8"/>
    <x v="2"/>
    <s v="Vice Defense Minister"/>
    <x v="0"/>
    <m/>
    <x v="0"/>
    <m/>
    <m/>
    <m/>
    <m/>
    <m/>
    <m/>
    <m/>
  </r>
  <r>
    <x v="1"/>
    <x v="1"/>
    <s v="Asia"/>
    <s v="Comprehensive Strategic Partnership [全面战略伙伴关系]"/>
    <s v="None"/>
    <s v="INDOPACOM"/>
    <x v="8"/>
    <x v="23"/>
    <n v="8"/>
    <x v="3"/>
    <s v="Fan Changlong"/>
    <m/>
    <s v="CMC Vice Chairman"/>
    <n v="10"/>
    <x v="2"/>
    <s v="Deputy Defense Minister"/>
    <x v="0"/>
    <m/>
    <x v="0"/>
    <m/>
    <m/>
    <m/>
    <m/>
    <m/>
    <m/>
    <m/>
  </r>
  <r>
    <x v="1"/>
    <x v="6"/>
    <s v="Europe and Central Asia"/>
    <s v="Comprehensive Strategic Partnership [全面战略伙伴关系]"/>
    <s v="None"/>
    <s v="CENTCOM"/>
    <x v="30"/>
    <x v="23"/>
    <n v="8"/>
    <x v="7"/>
    <s v="Fang Fenghui"/>
    <m/>
    <s v="GSD Commander; CMC Member"/>
    <n v="8"/>
    <x v="2"/>
    <s v="First Deputy Minister of Defense and COGS"/>
    <x v="0"/>
    <m/>
    <x v="0"/>
    <m/>
    <m/>
    <m/>
    <m/>
    <m/>
    <m/>
    <m/>
  </r>
  <r>
    <x v="2"/>
    <x v="3"/>
    <s v="Europe and Central Asia"/>
    <s v="Comprehensive Collaborative Strategic Partnership [全面战略协作伙伴关系]"/>
    <s v="None"/>
    <s v="EUCOM"/>
    <x v="7"/>
    <x v="23"/>
    <n v="8"/>
    <x v="6"/>
    <m/>
    <m/>
    <m/>
    <m/>
    <x v="0"/>
    <m/>
    <x v="6"/>
    <s v="Tank Biathlon 2014"/>
    <x v="1"/>
    <s v="Competition; Russia and 11 other countries"/>
    <m/>
    <m/>
    <m/>
    <m/>
    <m/>
    <m/>
  </r>
  <r>
    <x v="1"/>
    <x v="6"/>
    <s v="Europe and Central Asia"/>
    <s v="Member"/>
    <s v="None"/>
    <s v="CENTCOM"/>
    <x v="14"/>
    <x v="23"/>
    <n v="8"/>
    <x v="1"/>
    <s v="Fang Fenghui"/>
    <m/>
    <s v="GSD Commander; CMC Member"/>
    <n v="8"/>
    <x v="1"/>
    <s v="Third meeting of SCO military chiefs of staff in Beijing"/>
    <x v="0"/>
    <m/>
    <x v="0"/>
    <m/>
    <m/>
    <m/>
    <m/>
    <m/>
    <s v="http://en.sco-russia.ru/news/20140828/1013179153.html  "/>
    <m/>
  </r>
  <r>
    <x v="2"/>
    <x v="6"/>
    <s v="Europe and Central Asia"/>
    <s v="Member"/>
    <s v="None"/>
    <s v="CENTCOM"/>
    <x v="14"/>
    <x v="23"/>
    <n v="8"/>
    <x v="6"/>
    <m/>
    <m/>
    <m/>
    <m/>
    <x v="0"/>
    <m/>
    <x v="3"/>
    <s v="Peace Mission 2014"/>
    <x v="3"/>
    <s v="Army, Navy, Air Force, SOF; anti-terrorism. Other countries: Russia, Kyrgyzstan, Kazakhstan, Tajikistan. August 24-29"/>
    <m/>
    <m/>
    <m/>
    <m/>
    <s v="http://eng.mod.gov.cn/DefenseNews/2014-08/28/content_4533185.htm"/>
    <m/>
  </r>
  <r>
    <x v="1"/>
    <x v="7"/>
    <s v="West Asia and Africa"/>
    <s v="Comprehensive Strategic Partnership [全面战略伙伴关系]"/>
    <s v="None"/>
    <s v="AFRICOM"/>
    <x v="15"/>
    <x v="23"/>
    <n v="8"/>
    <x v="3"/>
    <s v="Chang Wanquan"/>
    <m/>
    <s v="Defense Minister; CMC Member"/>
    <n v="8"/>
    <x v="2"/>
    <s v="Chief of the Armed Forces"/>
    <x v="0"/>
    <m/>
    <x v="0"/>
    <m/>
    <m/>
    <m/>
    <m/>
    <m/>
    <m/>
    <m/>
  </r>
  <r>
    <x v="0"/>
    <x v="0"/>
    <s v="Asia"/>
    <s v="Strategic Cooperative Partnership [战略合作伙伴关系]"/>
    <s v="None"/>
    <s v="INDOPACOM"/>
    <x v="3"/>
    <x v="23"/>
    <n v="8"/>
    <x v="9"/>
    <m/>
    <m/>
    <m/>
    <m/>
    <x v="0"/>
    <m/>
    <x v="0"/>
    <m/>
    <x v="0"/>
    <m/>
    <s v="ETF"/>
    <s v="ETF-17"/>
    <s v="East Sea Fleet"/>
    <s v="DDG150 Changchun, FFG549 Changzhou, AOR890 Chao Hu"/>
    <m/>
    <m/>
  </r>
  <r>
    <x v="1"/>
    <x v="6"/>
    <s v="Europe and Central Asia"/>
    <s v="Strategic Partnership [战略伙伴关系]"/>
    <s v="None"/>
    <s v="CENTCOM"/>
    <x v="60"/>
    <x v="23"/>
    <n v="8"/>
    <x v="7"/>
    <s v="Fang Fenghui"/>
    <m/>
    <s v="GSD Commander; CMC Member"/>
    <n v="8"/>
    <x v="2"/>
    <s v="First Deputy Minister of Defense and COGS"/>
    <x v="0"/>
    <m/>
    <x v="0"/>
    <m/>
    <m/>
    <m/>
    <m/>
    <m/>
    <m/>
    <m/>
  </r>
  <r>
    <x v="1"/>
    <x v="6"/>
    <s v="Europe and Central Asia"/>
    <s v="Strategic Partnership [战略伙伴关系]"/>
    <s v="None"/>
    <s v="CENTCOM"/>
    <x v="73"/>
    <x v="23"/>
    <n v="8"/>
    <x v="7"/>
    <s v="Fang Fenghui"/>
    <m/>
    <s v="GSD Commander; CMC Member"/>
    <n v="8"/>
    <x v="2"/>
    <s v="First Deputy Minister of Defense and COGS"/>
    <x v="0"/>
    <m/>
    <x v="0"/>
    <m/>
    <m/>
    <m/>
    <m/>
    <m/>
    <m/>
    <m/>
  </r>
  <r>
    <x v="1"/>
    <x v="8"/>
    <s v="Europe and Central Asia"/>
    <s v="No Specific Relationship"/>
    <s v="None"/>
    <s v="EUCOM"/>
    <x v="98"/>
    <x v="23"/>
    <n v="9"/>
    <x v="3"/>
    <s v="Xu Qiliang "/>
    <m/>
    <s v="CMC Vice Chairman"/>
    <n v="10"/>
    <x v="2"/>
    <s v="Defense Minister"/>
    <x v="0"/>
    <m/>
    <x v="0"/>
    <m/>
    <m/>
    <m/>
    <m/>
    <m/>
    <m/>
    <m/>
  </r>
  <r>
    <x v="0"/>
    <x v="9"/>
    <s v="West Asia and Africa"/>
    <s v="No Specific Relationship"/>
    <s v="None"/>
    <s v="CENTCOM"/>
    <x v="119"/>
    <x v="23"/>
    <n v="9"/>
    <x v="9"/>
    <m/>
    <m/>
    <m/>
    <m/>
    <x v="0"/>
    <m/>
    <x v="0"/>
    <m/>
    <x v="0"/>
    <m/>
    <s v="ETF"/>
    <s v="ETF-17"/>
    <s v="East Sea Fleet"/>
    <s v="DDG150 Changchun, FFG549 Changzhou, AOR890 Chao Hu"/>
    <m/>
    <m/>
  </r>
  <r>
    <x v="1"/>
    <x v="10"/>
    <s v="America and Oceania"/>
    <s v="No Specific Relationship"/>
    <s v="None"/>
    <s v="SOUTHCOM"/>
    <x v="51"/>
    <x v="23"/>
    <n v="9"/>
    <x v="3"/>
    <s v="Chang Wanquan"/>
    <m/>
    <s v="Defense Minister; CMC Member"/>
    <n v="8"/>
    <x v="2"/>
    <s v="Defense Minister"/>
    <x v="0"/>
    <m/>
    <x v="0"/>
    <m/>
    <m/>
    <m/>
    <m/>
    <m/>
    <m/>
    <m/>
  </r>
  <r>
    <x v="1"/>
    <x v="8"/>
    <s v="Europe and Central Asia"/>
    <s v="Comprehensive Strategic Partnership [全面战略伙伴关系]"/>
    <s v="NATO"/>
    <s v="EUCOM"/>
    <x v="18"/>
    <x v="23"/>
    <n v="9"/>
    <x v="3"/>
    <s v="Zhao Keshi"/>
    <m/>
    <s v="GLD Director; CMC Member"/>
    <n v="8"/>
    <x v="2"/>
    <s v="Inspector General of Central Medical Service"/>
    <x v="0"/>
    <m/>
    <x v="0"/>
    <m/>
    <m/>
    <m/>
    <m/>
    <m/>
    <m/>
    <m/>
  </r>
  <r>
    <x v="1"/>
    <x v="1"/>
    <s v="Asia"/>
    <s v="Comprehensive Strategic Partnership [全面战略伙伴关系]"/>
    <s v="None"/>
    <s v="INDOPACOM"/>
    <x v="8"/>
    <x v="23"/>
    <n v="9"/>
    <x v="3"/>
    <s v="Fan Changlong"/>
    <m/>
    <s v="CMC Vice Chairman"/>
    <n v="10"/>
    <x v="2"/>
    <s v="Defense Minister"/>
    <x v="0"/>
    <m/>
    <x v="0"/>
    <m/>
    <m/>
    <m/>
    <m/>
    <m/>
    <m/>
    <m/>
  </r>
  <r>
    <x v="0"/>
    <x v="9"/>
    <s v="West Asia and Africa"/>
    <s v="No Specific Relationship"/>
    <s v="None"/>
    <s v="CENTCOM"/>
    <x v="89"/>
    <x v="23"/>
    <n v="9"/>
    <x v="0"/>
    <m/>
    <m/>
    <m/>
    <m/>
    <x v="0"/>
    <m/>
    <x v="0"/>
    <m/>
    <x v="0"/>
    <m/>
    <s v="ETF"/>
    <s v="ETF-17"/>
    <s v="East Sea Fleet"/>
    <s v="DDG150 Changchun, FFG549 Changzhou, AOR890 Chao Hu"/>
    <m/>
    <m/>
  </r>
  <r>
    <x v="0"/>
    <x v="9"/>
    <s v="West Asia and Africa"/>
    <s v="No Specific Relationship"/>
    <s v="Major Non-NATO Ally"/>
    <s v="CENTCOM"/>
    <x v="101"/>
    <x v="23"/>
    <n v="9"/>
    <x v="0"/>
    <m/>
    <m/>
    <m/>
    <m/>
    <x v="0"/>
    <m/>
    <x v="0"/>
    <m/>
    <x v="0"/>
    <m/>
    <s v="ETF"/>
    <s v="ETF-17"/>
    <s v="East Sea Fleet"/>
    <s v="DDG150 Changchun, FFG549 Changzhou, AOR890 Chao Hu"/>
    <m/>
    <m/>
  </r>
  <r>
    <x v="1"/>
    <x v="6"/>
    <s v="Europe and Central Asia"/>
    <s v="Comprehensive Strategic Partnership [全面战略伙伴关系]"/>
    <s v="None"/>
    <s v="CENTCOM"/>
    <x v="30"/>
    <x v="23"/>
    <n v="9"/>
    <x v="3"/>
    <s v="Chang Wanquan"/>
    <m/>
    <s v="Defense Minister; CMC Member"/>
    <n v="8"/>
    <x v="2"/>
    <s v="Defense Minister"/>
    <x v="0"/>
    <m/>
    <x v="0"/>
    <m/>
    <m/>
    <m/>
    <m/>
    <m/>
    <m/>
    <m/>
  </r>
  <r>
    <x v="1"/>
    <x v="1"/>
    <s v="Asia"/>
    <s v="Comprehensive Strategic Cooperative Partnership [全面战略合作伙伴关系]"/>
    <s v="None"/>
    <s v="INDOPACOM"/>
    <x v="52"/>
    <x v="23"/>
    <n v="9"/>
    <x v="3"/>
    <s v="Chang Wanquan"/>
    <m/>
    <s v="Defense Minister; CMC Member"/>
    <n v="8"/>
    <x v="2"/>
    <s v="COGS"/>
    <x v="0"/>
    <m/>
    <x v="0"/>
    <m/>
    <m/>
    <m/>
    <m/>
    <m/>
    <m/>
    <m/>
  </r>
  <r>
    <x v="0"/>
    <x v="0"/>
    <s v="Asia"/>
    <s v="Strategic Partnership [战略伙伴关系]"/>
    <s v="Major Non-NATO Ally"/>
    <s v="CENTCOM"/>
    <x v="2"/>
    <x v="23"/>
    <n v="9"/>
    <x v="0"/>
    <m/>
    <m/>
    <m/>
    <m/>
    <x v="0"/>
    <m/>
    <x v="0"/>
    <m/>
    <x v="0"/>
    <m/>
    <s v="ETF"/>
    <s v="ETF-17"/>
    <s v="East Sea Fleet"/>
    <s v="DDG150 Changchun, FFG549 Changzhou, AOR890 Chao Hu"/>
    <m/>
    <m/>
  </r>
  <r>
    <x v="1"/>
    <x v="8"/>
    <s v="Europe and Central Asia"/>
    <s v="Strategic Partnership [战略伙伴关系]"/>
    <s v="NATO"/>
    <s v="EUCOM"/>
    <x v="59"/>
    <x v="23"/>
    <n v="9"/>
    <x v="4"/>
    <s v="Chang Wanquan"/>
    <m/>
    <s v="Defense Minister; CMC Member"/>
    <n v="8"/>
    <x v="1"/>
    <m/>
    <x v="0"/>
    <m/>
    <x v="0"/>
    <m/>
    <m/>
    <m/>
    <m/>
    <m/>
    <m/>
    <m/>
  </r>
  <r>
    <x v="1"/>
    <x v="8"/>
    <s v="Europe and Central Asia"/>
    <s v="Comprehensive Friendly Cooperative Partnership [全面友好合作伙伴关系]"/>
    <s v="NATO"/>
    <s v="EUCOM"/>
    <x v="33"/>
    <x v="23"/>
    <n v="9"/>
    <x v="3"/>
    <s v="Xu Qiliang "/>
    <m/>
    <s v="CMC Vice Chairman"/>
    <n v="10"/>
    <x v="2"/>
    <s v="Defense Minister"/>
    <x v="0"/>
    <m/>
    <x v="0"/>
    <m/>
    <m/>
    <m/>
    <m/>
    <m/>
    <m/>
    <m/>
  </r>
  <r>
    <x v="1"/>
    <x v="1"/>
    <s v="Asia"/>
    <s v="No Specific Relationship"/>
    <s v="None"/>
    <s v="INDOPACOM"/>
    <x v="39"/>
    <x v="23"/>
    <n v="9"/>
    <x v="3"/>
    <s v="Wang Guanzhong"/>
    <m/>
    <s v="GSD DCGS"/>
    <n v="6"/>
    <x v="2"/>
    <m/>
    <x v="0"/>
    <m/>
    <x v="0"/>
    <m/>
    <m/>
    <m/>
    <m/>
    <m/>
    <m/>
    <m/>
  </r>
  <r>
    <x v="0"/>
    <x v="0"/>
    <s v="Asia"/>
    <s v="Strategic Cooperative Partnership [战略合作伙伴关系]"/>
    <s v="None"/>
    <s v="INDOPACOM"/>
    <x v="3"/>
    <x v="23"/>
    <n v="9"/>
    <x v="9"/>
    <m/>
    <m/>
    <m/>
    <m/>
    <x v="0"/>
    <m/>
    <x v="0"/>
    <m/>
    <x v="0"/>
    <m/>
    <s v="ETF"/>
    <s v="ETF-17"/>
    <s v="East Sea Fleet"/>
    <s v="DDG150 Changchun, FFG549 Changzhou, AOR890 Chao Hu"/>
    <m/>
    <m/>
  </r>
  <r>
    <x v="0"/>
    <x v="0"/>
    <s v="Asia"/>
    <s v="Strategic Cooperative Partnership [战略合作伙伴关系]"/>
    <s v="None"/>
    <s v="INDOPACOM"/>
    <x v="3"/>
    <x v="23"/>
    <n v="9"/>
    <x v="0"/>
    <m/>
    <m/>
    <m/>
    <m/>
    <x v="0"/>
    <m/>
    <x v="0"/>
    <m/>
    <x v="0"/>
    <m/>
    <s v="NETF"/>
    <s v="2014-09 SSK329"/>
    <s v="South Sea Fleet"/>
    <s v="PLA FR XJP draft p. 24"/>
    <m/>
    <m/>
  </r>
  <r>
    <x v="1"/>
    <x v="8"/>
    <s v="Europe and Central Asia"/>
    <s v="No Specific Relationship"/>
    <s v="None"/>
    <s v="EUCOM"/>
    <x v="78"/>
    <x v="23"/>
    <n v="9"/>
    <x v="3"/>
    <s v="Chang Wanquan"/>
    <m/>
    <s v="Defense Minister; CMC Member"/>
    <n v="8"/>
    <x v="2"/>
    <s v="Defense Minister"/>
    <x v="0"/>
    <m/>
    <x v="0"/>
    <m/>
    <m/>
    <m/>
    <m/>
    <m/>
    <m/>
    <m/>
  </r>
  <r>
    <x v="0"/>
    <x v="9"/>
    <s v="West Asia and Africa"/>
    <s v="Strategic Partnership [战略伙伴关系]"/>
    <s v="None"/>
    <s v="CENTCOM"/>
    <x v="106"/>
    <x v="23"/>
    <n v="9"/>
    <x v="0"/>
    <m/>
    <m/>
    <m/>
    <m/>
    <x v="0"/>
    <m/>
    <x v="0"/>
    <m/>
    <x v="0"/>
    <m/>
    <s v="ETF"/>
    <s v="ETF-17"/>
    <s v="East Sea Fleet"/>
    <s v="DDG150 Changchun, FFG549 Changzhou, AOR890 Chao Hu"/>
    <m/>
    <m/>
  </r>
  <r>
    <x v="1"/>
    <x v="2"/>
    <s v="America and Oceania"/>
    <s v="No Specific Relationship"/>
    <s v="N/A"/>
    <s v="NORTHCOM"/>
    <x v="4"/>
    <x v="23"/>
    <n v="9"/>
    <x v="4"/>
    <s v="Huang Guoxian"/>
    <m/>
    <s v="MR Deputy Commander"/>
    <n v="5"/>
    <x v="1"/>
    <s v="PACAF Commander Carlisle"/>
    <x v="0"/>
    <m/>
    <x v="0"/>
    <m/>
    <m/>
    <m/>
    <m/>
    <m/>
    <s v="2015 CH Mil Power Report"/>
    <m/>
  </r>
  <r>
    <x v="1"/>
    <x v="5"/>
    <s v="America and Oceania"/>
    <s v="Comprehensive Strategic Partnership [全面战略伙伴关系]"/>
    <s v="ANZUS Treaty"/>
    <s v="INDOPACOM"/>
    <x v="12"/>
    <x v="23"/>
    <n v="10"/>
    <x v="3"/>
    <s v="Fan Changlong"/>
    <m/>
    <s v="CMC Vice Chairman"/>
    <n v="10"/>
    <x v="2"/>
    <s v="Defense Minister"/>
    <x v="0"/>
    <m/>
    <x v="0"/>
    <m/>
    <m/>
    <m/>
    <m/>
    <m/>
    <m/>
    <s v="DUPLICATE?"/>
  </r>
  <r>
    <x v="2"/>
    <x v="5"/>
    <s v="America and Oceania"/>
    <s v="Comprehensive Strategic Partnership [全面战略伙伴关系]"/>
    <s v="ANZUS Treaty"/>
    <s v="INDOPACOM"/>
    <x v="12"/>
    <x v="23"/>
    <n v="10"/>
    <x v="6"/>
    <m/>
    <m/>
    <m/>
    <m/>
    <x v="0"/>
    <m/>
    <x v="2"/>
    <s v="Kowari 2014"/>
    <x v="1"/>
    <s v="Survival skills. Other countries: United States "/>
    <m/>
    <m/>
    <m/>
    <m/>
    <s v="https://www.army-technology.com/news/newsexercise-kowari-14-concludes-in-australia-4419629/"/>
    <s v="DUPLICATE?"/>
  </r>
  <r>
    <x v="1"/>
    <x v="0"/>
    <s v="Asia"/>
    <s v="Comprehensive Cooperative Partnership [全面合作伙伴关系]"/>
    <s v="None"/>
    <s v="INDOPACOM"/>
    <x v="0"/>
    <x v="23"/>
    <n v="10"/>
    <x v="3"/>
    <s v="Wu Shengli"/>
    <m/>
    <s v="PLAN Commander; CMC Member"/>
    <n v="8"/>
    <x v="2"/>
    <s v="Navy Commander and Chief of Staff"/>
    <x v="0"/>
    <m/>
    <x v="0"/>
    <m/>
    <m/>
    <m/>
    <m/>
    <m/>
    <m/>
    <m/>
  </r>
  <r>
    <x v="1"/>
    <x v="8"/>
    <s v="Europe and Central Asia"/>
    <s v="Comprehensive Cooperative Partnership [全面合作伙伴关系]"/>
    <s v="None"/>
    <s v="EUCOM"/>
    <x v="158"/>
    <x v="23"/>
    <n v="10"/>
    <x v="3"/>
    <s v="Chang Wanquan"/>
    <m/>
    <s v="Defense Minister; CMC Member"/>
    <n v="8"/>
    <x v="2"/>
    <s v="Chairman EU Military Committee"/>
    <x v="0"/>
    <m/>
    <x v="0"/>
    <m/>
    <m/>
    <m/>
    <m/>
    <m/>
    <m/>
    <m/>
  </r>
  <r>
    <x v="1"/>
    <x v="8"/>
    <s v="Europe and Central Asia"/>
    <s v="No Specific Relationship"/>
    <s v="None"/>
    <s v="EUCOM"/>
    <x v="81"/>
    <x v="23"/>
    <n v="10"/>
    <x v="3"/>
    <s v="Xu Qiliang"/>
    <m/>
    <s v="CMC Vice Chairman"/>
    <n v="10"/>
    <x v="2"/>
    <s v="Defense Minister"/>
    <x v="0"/>
    <m/>
    <x v="0"/>
    <m/>
    <m/>
    <m/>
    <m/>
    <m/>
    <m/>
    <m/>
  </r>
  <r>
    <x v="1"/>
    <x v="8"/>
    <s v="Europe and Central Asia"/>
    <s v="Comprehensive Strategic Partnership [全面战略伙伴关系]"/>
    <s v="NATO"/>
    <s v="EUCOM"/>
    <x v="22"/>
    <x v="23"/>
    <n v="10"/>
    <x v="3"/>
    <s v="Fan Changlong"/>
    <m/>
    <s v="CMC Vice Chairman"/>
    <n v="10"/>
    <x v="2"/>
    <s v="Army Chief of Staff"/>
    <x v="0"/>
    <m/>
    <x v="0"/>
    <m/>
    <m/>
    <m/>
    <m/>
    <m/>
    <m/>
    <m/>
  </r>
  <r>
    <x v="2"/>
    <x v="1"/>
    <s v="Asia"/>
    <s v="Comprehensive Strategic Partnership [全面战略伙伴关系]"/>
    <s v="None"/>
    <s v="INDOPACOM"/>
    <x v="8"/>
    <x v="23"/>
    <n v="10"/>
    <x v="5"/>
    <m/>
    <m/>
    <m/>
    <m/>
    <x v="0"/>
    <m/>
    <x v="1"/>
    <s v="Sharp Knife 2014"/>
    <x v="5"/>
    <s v="Airborne forces"/>
    <m/>
    <m/>
    <m/>
    <m/>
    <m/>
    <m/>
  </r>
  <r>
    <x v="1"/>
    <x v="9"/>
    <s v="West Asia and Africa"/>
    <s v="No Specific Relationship"/>
    <s v="None"/>
    <s v="CENTCOM"/>
    <x v="89"/>
    <x v="23"/>
    <n v="10"/>
    <x v="3"/>
    <s v="Chang Wanquan"/>
    <m/>
    <s v="Defense Minister; CMC Member"/>
    <n v="8"/>
    <x v="2"/>
    <s v="Navy Commander"/>
    <x v="0"/>
    <m/>
    <x v="0"/>
    <m/>
    <m/>
    <m/>
    <m/>
    <m/>
    <m/>
    <m/>
  </r>
  <r>
    <x v="1"/>
    <x v="4"/>
    <s v="Asia"/>
    <s v="Comprehensive Strategic Partnership [全面战略伙伴关系]"/>
    <s v="None"/>
    <s v="INDOPACOM"/>
    <x v="53"/>
    <x v="23"/>
    <n v="10"/>
    <x v="3"/>
    <s v="Sun Jianguo"/>
    <m/>
    <s v="GSD DCGS"/>
    <n v="6"/>
    <x v="2"/>
    <s v="Delegation for CIISS; Retired director of Mongolian Institute of Strategic Studies; former Mongolian Defense Minister"/>
    <x v="0"/>
    <m/>
    <x v="0"/>
    <m/>
    <m/>
    <m/>
    <m/>
    <m/>
    <m/>
    <m/>
  </r>
  <r>
    <x v="0"/>
    <x v="9"/>
    <s v="West Asia and Africa"/>
    <s v="No Specific Relationship"/>
    <s v="None"/>
    <s v="CENTCOM"/>
    <x v="147"/>
    <x v="23"/>
    <n v="10"/>
    <x v="9"/>
    <m/>
    <m/>
    <m/>
    <m/>
    <x v="0"/>
    <m/>
    <x v="0"/>
    <m/>
    <x v="0"/>
    <m/>
    <s v="ETF"/>
    <s v="ETF-17"/>
    <s v="East Sea Fleet"/>
    <s v="DDG150 Changchun, FFG549 Changzhou, AOR890 Chao Hu"/>
    <m/>
    <m/>
  </r>
  <r>
    <x v="2"/>
    <x v="3"/>
    <s v="Europe and Central Asia"/>
    <s v="Comprehensive Collaborative Strategic Partnership [全面战略协作伙伴关系]"/>
    <s v="None"/>
    <s v="EUCOM"/>
    <x v="7"/>
    <x v="23"/>
    <n v="10"/>
    <x v="5"/>
    <m/>
    <m/>
    <m/>
    <m/>
    <x v="0"/>
    <m/>
    <x v="1"/>
    <s v="Lijian (Sharp Sword) 2014"/>
    <x v="4"/>
    <s v="Manzhouli drill; anti-terror and riot control"/>
    <m/>
    <m/>
    <m/>
    <m/>
    <s v="http://cc.pacforum.org/2015/01/russias-pride-chinas-power/"/>
    <m/>
  </r>
  <r>
    <x v="1"/>
    <x v="1"/>
    <s v="Asia"/>
    <s v="No Specific Relationship"/>
    <s v="None"/>
    <s v="INDOPACOM"/>
    <x v="39"/>
    <x v="23"/>
    <n v="10"/>
    <x v="3"/>
    <s v="Fan Changlong"/>
    <m/>
    <s v="CMC Vice Chairman"/>
    <n v="10"/>
    <x v="2"/>
    <s v="Deputy Prime Minister and Coordinating Minister for National Security"/>
    <x v="0"/>
    <m/>
    <x v="0"/>
    <m/>
    <m/>
    <m/>
    <m/>
    <m/>
    <m/>
    <m/>
  </r>
  <r>
    <x v="0"/>
    <x v="1"/>
    <s v="Asia"/>
    <s v="No Specific Relationship"/>
    <s v="None"/>
    <s v="INDOPACOM"/>
    <x v="39"/>
    <x v="23"/>
    <n v="10"/>
    <x v="13"/>
    <m/>
    <m/>
    <m/>
    <m/>
    <x v="0"/>
    <m/>
    <x v="0"/>
    <m/>
    <x v="0"/>
    <m/>
    <s v="ETF"/>
    <s v="ETF-17"/>
    <s v="East Sea Fleet"/>
    <s v="DDG150 Changchun, FFG549 Changzhou, AOR890 Chao Hu"/>
    <m/>
    <m/>
  </r>
  <r>
    <x v="0"/>
    <x v="0"/>
    <s v="Asia"/>
    <s v="Strategic Cooperative Partnership [战略合作伙伴关系]"/>
    <s v="None"/>
    <s v="INDOPACOM"/>
    <x v="3"/>
    <x v="23"/>
    <n v="10"/>
    <x v="9"/>
    <m/>
    <m/>
    <m/>
    <m/>
    <x v="0"/>
    <m/>
    <x v="0"/>
    <m/>
    <x v="0"/>
    <m/>
    <s v="ETF"/>
    <s v="ETF-17"/>
    <s v="East Sea Fleet"/>
    <s v="DDG150 Changchun, FFG549 Changzhou, AOR890 Chao Hu"/>
    <m/>
    <m/>
  </r>
  <r>
    <x v="1"/>
    <x v="7"/>
    <s v="West Asia and Africa"/>
    <s v="No Specific Relationship"/>
    <s v="None"/>
    <s v="AFRICOM"/>
    <x v="74"/>
    <x v="23"/>
    <n v="10"/>
    <x v="3"/>
    <s v="Xu Qiliang"/>
    <m/>
    <s v="CMC Vice Chairman"/>
    <n v="10"/>
    <x v="2"/>
    <s v="Defense Minister"/>
    <x v="0"/>
    <m/>
    <x v="0"/>
    <m/>
    <m/>
    <m/>
    <m/>
    <m/>
    <m/>
    <m/>
  </r>
  <r>
    <x v="2"/>
    <x v="7"/>
    <s v="West Asia and Africa"/>
    <s v="Comprehensive Cooperative Partnership [全面合作伙伴关系]"/>
    <s v="None"/>
    <s v="AFRICOM"/>
    <x v="16"/>
    <x v="23"/>
    <n v="10"/>
    <x v="5"/>
    <m/>
    <m/>
    <m/>
    <m/>
    <x v="0"/>
    <m/>
    <x v="1"/>
    <s v="Beyond 2014"/>
    <x v="2"/>
    <s v="marines; counter-terrorism scenario; &quot;marine tactics&quot; plus anti-piracy"/>
    <m/>
    <m/>
    <m/>
    <m/>
    <s v="http://www.fahamu.org/ep_articles/china-and-tanzania-conclude-historic-naval-exercise/"/>
    <m/>
  </r>
  <r>
    <x v="1"/>
    <x v="10"/>
    <s v="America and Oceania"/>
    <s v="Comprehensive Cooperative Partnership [全面合作伙伴关系]"/>
    <s v="None"/>
    <s v="SOUTHCOM"/>
    <x v="75"/>
    <x v="23"/>
    <n v="10"/>
    <x v="4"/>
    <s v="Wang Guanzhong"/>
    <m/>
    <s v="GSD DCGS"/>
    <n v="6"/>
    <x v="1"/>
    <m/>
    <x v="0"/>
    <m/>
    <x v="0"/>
    <m/>
    <m/>
    <m/>
    <m/>
    <m/>
    <m/>
    <m/>
  </r>
  <r>
    <x v="1"/>
    <x v="2"/>
    <s v="America and Oceania"/>
    <s v="No Specific Relationship"/>
    <s v="N/A"/>
    <s v="NORTHCOM"/>
    <x v="4"/>
    <x v="23"/>
    <n v="10"/>
    <x v="4"/>
    <s v="Wang Guanzhong"/>
    <m/>
    <s v="GSD DCGS"/>
    <n v="6"/>
    <x v="1"/>
    <s v="USD(P) Wormouth"/>
    <x v="0"/>
    <m/>
    <x v="0"/>
    <m/>
    <m/>
    <m/>
    <m/>
    <m/>
    <s v="2015 CH Mil Power Report"/>
    <s v="15th DCTs; also met with DEP SECDEF and VCJS"/>
  </r>
  <r>
    <x v="1"/>
    <x v="1"/>
    <s v="Asia"/>
    <s v="Comprehensive Strategic Cooperative Partnership [全面战略合作伙伴关系]"/>
    <s v="None"/>
    <s v="INDOPACOM"/>
    <x v="23"/>
    <x v="23"/>
    <n v="10"/>
    <x v="3"/>
    <s v="Chang Wanquan"/>
    <m/>
    <s v="Defense Minister; CMC Member"/>
    <n v="8"/>
    <x v="2"/>
    <s v="Defense Minister"/>
    <x v="0"/>
    <m/>
    <x v="0"/>
    <m/>
    <m/>
    <m/>
    <m/>
    <m/>
    <m/>
    <m/>
  </r>
  <r>
    <x v="1"/>
    <x v="7"/>
    <s v="West Asia and Africa"/>
    <s v="No Specific Relationship"/>
    <s v="None"/>
    <s v="AFRICOM"/>
    <x v="86"/>
    <x v="23"/>
    <n v="10"/>
    <x v="3"/>
    <s v="Chang Wanquan"/>
    <m/>
    <s v="Defense Minister; CMC Member"/>
    <n v="8"/>
    <x v="2"/>
    <s v="Defense Minister"/>
    <x v="0"/>
    <m/>
    <x v="0"/>
    <m/>
    <m/>
    <m/>
    <m/>
    <m/>
    <m/>
    <m/>
  </r>
  <r>
    <x v="1"/>
    <x v="8"/>
    <s v="Europe and Central Asia"/>
    <s v="Comprehensive Strategic Partnership [全面战略伙伴关系]"/>
    <s v="None"/>
    <s v="EUCOM"/>
    <x v="34"/>
    <x v="23"/>
    <n v="11"/>
    <x v="4"/>
    <s v="Wang Guanzhong"/>
    <m/>
    <s v="GSD DCGS"/>
    <n v="6"/>
    <x v="1"/>
    <m/>
    <x v="0"/>
    <m/>
    <x v="0"/>
    <m/>
    <m/>
    <m/>
    <m/>
    <m/>
    <m/>
    <m/>
  </r>
  <r>
    <x v="1"/>
    <x v="10"/>
    <s v="America and Oceania"/>
    <s v="Comprehensive Strategic Partnership [全面战略伙伴关系]"/>
    <s v="None"/>
    <s v="SOUTHCOM"/>
    <x v="43"/>
    <x v="23"/>
    <n v="11"/>
    <x v="3"/>
    <s v="Fan Changlong"/>
    <m/>
    <s v="CMC Vice Chairman"/>
    <n v="10"/>
    <x v="2"/>
    <s v="Chief of the Joint Staff"/>
    <x v="0"/>
    <m/>
    <x v="0"/>
    <m/>
    <m/>
    <m/>
    <m/>
    <m/>
    <m/>
    <m/>
  </r>
  <r>
    <x v="1"/>
    <x v="1"/>
    <s v="Asia"/>
    <s v="Comprehensive Strategic Cooperative Partnership [全面战略合作伙伴关系]"/>
    <s v="None"/>
    <s v="INDOPACOM"/>
    <x v="94"/>
    <x v="23"/>
    <n v="11"/>
    <x v="3"/>
    <s v="Xu Qiliang"/>
    <m/>
    <s v="CMC Vice Chairman"/>
    <n v="10"/>
    <x v="2"/>
    <s v="CinC Armed Forces"/>
    <x v="0"/>
    <m/>
    <x v="0"/>
    <m/>
    <m/>
    <m/>
    <m/>
    <m/>
    <m/>
    <m/>
  </r>
  <r>
    <x v="1"/>
    <x v="2"/>
    <s v="America and Oceania"/>
    <s v="Strategic Partnership [战略伙伴关系]"/>
    <s v="NATO"/>
    <s v="NORTHCOM"/>
    <x v="17"/>
    <x v="23"/>
    <n v="11"/>
    <x v="3"/>
    <s v="Ma Xiaotian"/>
    <m/>
    <s v="PLAAF Commander; CMC Member"/>
    <n v="8"/>
    <x v="2"/>
    <s v="Air Force Commander"/>
    <x v="0"/>
    <m/>
    <x v="0"/>
    <m/>
    <m/>
    <m/>
    <m/>
    <m/>
    <m/>
    <m/>
  </r>
  <r>
    <x v="0"/>
    <x v="9"/>
    <s v="West Asia and Africa"/>
    <s v="No Specific Relationship"/>
    <s v="None"/>
    <s v="CENTCOM"/>
    <x v="119"/>
    <x v="23"/>
    <n v="11"/>
    <x v="9"/>
    <m/>
    <m/>
    <m/>
    <m/>
    <x v="0"/>
    <m/>
    <x v="0"/>
    <m/>
    <x v="0"/>
    <m/>
    <s v="ETF"/>
    <s v="ETF-18"/>
    <s v="South Sea Fleet"/>
    <s v="LPD989 Changbai Shan, FFG571 Yuncheng, AOR890 Chao Hu"/>
    <m/>
    <m/>
  </r>
  <r>
    <x v="1"/>
    <x v="1"/>
    <s v="Asia"/>
    <s v="Comprehensive Cooperative Partnership [全面合作伙伴关系]"/>
    <s v="None"/>
    <s v="INDOPACOM"/>
    <x v="50"/>
    <x v="23"/>
    <n v="11"/>
    <x v="3"/>
    <s v="Fang Fenghui"/>
    <m/>
    <s v="GSD Commander; CMC Member"/>
    <n v="8"/>
    <x v="2"/>
    <s v="National Defense Force Commander"/>
    <x v="0"/>
    <m/>
    <x v="0"/>
    <m/>
    <m/>
    <m/>
    <m/>
    <m/>
    <m/>
    <m/>
  </r>
  <r>
    <x v="2"/>
    <x v="0"/>
    <s v="Asia"/>
    <s v="Strategic Partnership for Peace and Prosperity [战略伙伴关系]"/>
    <s v="None"/>
    <s v="INDOPACOM"/>
    <x v="6"/>
    <x v="23"/>
    <n v="11"/>
    <x v="5"/>
    <m/>
    <m/>
    <m/>
    <m/>
    <x v="0"/>
    <m/>
    <x v="1"/>
    <s v="Hand-in-Hand 2014"/>
    <x v="1"/>
    <s v="Anti-terrorism"/>
    <m/>
    <m/>
    <m/>
    <m/>
    <m/>
    <m/>
  </r>
  <r>
    <x v="1"/>
    <x v="6"/>
    <s v="Europe and Central Asia"/>
    <s v="Strategic Partnership [战略伙伴关系]"/>
    <s v="None"/>
    <s v="CENTCOM"/>
    <x v="31"/>
    <x v="23"/>
    <n v="11"/>
    <x v="7"/>
    <s v="Chang Wanquan"/>
    <m/>
    <s v="Defense Minister; CMC Member"/>
    <n v="8"/>
    <x v="2"/>
    <s v="Defense Minister"/>
    <x v="0"/>
    <m/>
    <x v="0"/>
    <m/>
    <m/>
    <m/>
    <m/>
    <m/>
    <m/>
    <m/>
  </r>
  <r>
    <x v="1"/>
    <x v="1"/>
    <s v="Asia"/>
    <s v="Comprehensive Strategic Cooperative Partnership [全面战略合作伙伴关系]"/>
    <s v="None"/>
    <s v="INDOPACOM"/>
    <x v="52"/>
    <x v="23"/>
    <n v="11"/>
    <x v="3"/>
    <s v="Zhang Yang"/>
    <m/>
    <s v="GPD Director; CMC Member"/>
    <n v="8"/>
    <x v="2"/>
    <s v="Deputy Director of General Political Department"/>
    <x v="0"/>
    <m/>
    <x v="0"/>
    <m/>
    <m/>
    <m/>
    <m/>
    <m/>
    <m/>
    <m/>
  </r>
  <r>
    <x v="1"/>
    <x v="1"/>
    <s v="Asia"/>
    <s v="Comprehensive Strategic Partnership [全面战略伙伴关系]"/>
    <s v="None"/>
    <s v="INDOPACOM"/>
    <x v="10"/>
    <x v="23"/>
    <n v="11"/>
    <x v="3"/>
    <s v="Fang Fenghui"/>
    <m/>
    <s v="GSD Commander; CMC Member"/>
    <n v="8"/>
    <x v="2"/>
    <s v="Chief of Armed Forces"/>
    <x v="0"/>
    <m/>
    <x v="0"/>
    <m/>
    <m/>
    <m/>
    <m/>
    <m/>
    <m/>
    <m/>
  </r>
  <r>
    <x v="1"/>
    <x v="0"/>
    <s v="West Asia and Africa"/>
    <s v="Comprehensive Friendly Cooperative Partnership [全面友好合作伙伴关系]"/>
    <s v="None"/>
    <s v="INDOPACOM"/>
    <x v="149"/>
    <x v="23"/>
    <n v="11"/>
    <x v="3"/>
    <s v="Chang Wanquan"/>
    <m/>
    <s v="Defense Minister; CMC Member"/>
    <n v="8"/>
    <x v="2"/>
    <s v="Defense Minister"/>
    <x v="0"/>
    <m/>
    <x v="0"/>
    <m/>
    <m/>
    <m/>
    <m/>
    <m/>
    <m/>
    <m/>
  </r>
  <r>
    <x v="1"/>
    <x v="4"/>
    <s v="Asia"/>
    <s v="Comprehensive Strategic Partnership [全面战略伙伴关系]"/>
    <s v="None"/>
    <s v="INDOPACOM"/>
    <x v="53"/>
    <x v="23"/>
    <n v="11"/>
    <x v="3"/>
    <s v="Wang Guanzhong"/>
    <m/>
    <s v="GSD DCGS"/>
    <n v="6"/>
    <x v="2"/>
    <s v="Deputy Secretary of Defense"/>
    <x v="0"/>
    <m/>
    <x v="0"/>
    <m/>
    <m/>
    <m/>
    <m/>
    <m/>
    <m/>
    <m/>
  </r>
  <r>
    <x v="1"/>
    <x v="1"/>
    <s v="Asia"/>
    <s v="Comprehensive Strategic Cooperative Partnership [全面战略合作伙伴关系]"/>
    <s v="None"/>
    <s v="INDOPACOM"/>
    <x v="1"/>
    <x v="23"/>
    <n v="11"/>
    <x v="3"/>
    <s v="Wang Guanzhong"/>
    <m/>
    <s v="GSD DCGS"/>
    <n v="6"/>
    <x v="2"/>
    <s v="Armed Forces Chief of Staff"/>
    <x v="0"/>
    <m/>
    <x v="0"/>
    <m/>
    <m/>
    <m/>
    <m/>
    <m/>
    <m/>
    <m/>
  </r>
  <r>
    <x v="1"/>
    <x v="4"/>
    <s v="Asia"/>
    <s v="N/A"/>
    <s v="None"/>
    <s v="INDOPACOM"/>
    <x v="161"/>
    <x v="23"/>
    <n v="11"/>
    <x v="2"/>
    <s v="Chang Wanquan"/>
    <m/>
    <s v="Defense Minister; CMC Member"/>
    <n v="8"/>
    <x v="2"/>
    <s v="Xiangshan Forum 2014; Defense Minister"/>
    <x v="0"/>
    <m/>
    <x v="0"/>
    <m/>
    <m/>
    <m/>
    <m/>
    <m/>
    <s v="http://eng.mod.gov.cn/SpecialReports/node_46641.htm"/>
    <s v="First Xiangshan Forum to feature foreign government officials"/>
  </r>
  <r>
    <x v="0"/>
    <x v="9"/>
    <s v="West Asia and Africa"/>
    <s v="No Specific Relationship"/>
    <s v="None"/>
    <s v="CENTCOM"/>
    <x v="147"/>
    <x v="23"/>
    <n v="11"/>
    <x v="9"/>
    <m/>
    <m/>
    <m/>
    <m/>
    <x v="0"/>
    <m/>
    <x v="0"/>
    <m/>
    <x v="0"/>
    <m/>
    <s v="ETF"/>
    <s v="ETF-18"/>
    <s v="South Sea Fleet"/>
    <s v="LPD989 Changbai Shan, FFG571 Yuncheng, AOR890 Chao Hu"/>
    <m/>
    <m/>
  </r>
  <r>
    <x v="1"/>
    <x v="0"/>
    <s v="Asia"/>
    <s v="Strategic Partnership [战略伙伴关系]"/>
    <s v="Major Non-NATO Ally"/>
    <s v="CENTCOM"/>
    <x v="2"/>
    <x v="23"/>
    <n v="11"/>
    <x v="3"/>
    <s v="Xu Qiliang"/>
    <m/>
    <s v="CMC Vice Chairman"/>
    <n v="10"/>
    <x v="2"/>
    <s v="Chairman JCS"/>
    <x v="0"/>
    <m/>
    <x v="0"/>
    <m/>
    <m/>
    <m/>
    <m/>
    <m/>
    <m/>
    <m/>
  </r>
  <r>
    <x v="1"/>
    <x v="8"/>
    <s v="Europe and Central Asia"/>
    <s v="Strategic Partnership [战略伙伴关系]"/>
    <s v="NATO"/>
    <s v="EUCOM"/>
    <x v="59"/>
    <x v="23"/>
    <n v="11"/>
    <x v="3"/>
    <s v="Wang Guanzhong"/>
    <m/>
    <s v="GSD DCGS"/>
    <n v="6"/>
    <x v="2"/>
    <s v="Ministry of Defense Undersecretary of State"/>
    <x v="0"/>
    <m/>
    <x v="0"/>
    <m/>
    <m/>
    <m/>
    <m/>
    <m/>
    <m/>
    <m/>
  </r>
  <r>
    <x v="1"/>
    <x v="3"/>
    <s v="Europe and Central Asia"/>
    <s v="Comprehensive Collaborative Strategic Partnership [全面战略协作伙伴关系]"/>
    <s v="None"/>
    <s v="EUCOM"/>
    <x v="7"/>
    <x v="23"/>
    <n v="11"/>
    <x v="3"/>
    <s v="Xu Qiliang"/>
    <m/>
    <s v="CMC Vice Chairman"/>
    <n v="10"/>
    <x v="2"/>
    <s v="Defense Minister"/>
    <x v="0"/>
    <m/>
    <x v="0"/>
    <m/>
    <m/>
    <m/>
    <m/>
    <m/>
    <m/>
    <m/>
  </r>
  <r>
    <x v="1"/>
    <x v="8"/>
    <s v="Europe and Central Asia"/>
    <s v="Strategic Partnership [战略伙伴关系]"/>
    <s v="None"/>
    <s v="EUCOM"/>
    <x v="112"/>
    <x v="23"/>
    <n v="11"/>
    <x v="3"/>
    <s v="Fan Changlong"/>
    <m/>
    <s v="CMC Vice Chairman"/>
    <n v="10"/>
    <x v="2"/>
    <s v="Defense Minister"/>
    <x v="0"/>
    <m/>
    <x v="0"/>
    <m/>
    <m/>
    <m/>
    <m/>
    <m/>
    <m/>
    <m/>
  </r>
  <r>
    <x v="1"/>
    <x v="1"/>
    <s v="Asia"/>
    <s v="No Specific Relationship"/>
    <s v="None"/>
    <s v="INDOPACOM"/>
    <x v="39"/>
    <x v="23"/>
    <n v="11"/>
    <x v="3"/>
    <s v="Xu Qiliang"/>
    <m/>
    <s v="CMC Vice Chairman"/>
    <n v="10"/>
    <x v="2"/>
    <s v="Defense Minister"/>
    <x v="0"/>
    <m/>
    <x v="0"/>
    <m/>
    <m/>
    <m/>
    <m/>
    <m/>
    <m/>
    <m/>
  </r>
  <r>
    <x v="2"/>
    <x v="1"/>
    <s v="Asia"/>
    <s v="No Specific Relationship"/>
    <s v="None"/>
    <s v="INDOPACOM"/>
    <x v="39"/>
    <x v="23"/>
    <n v="11"/>
    <x v="5"/>
    <m/>
    <m/>
    <m/>
    <m/>
    <x v="0"/>
    <m/>
    <x v="1"/>
    <s v="Cooperation 2014"/>
    <x v="1"/>
    <s v="Security training"/>
    <m/>
    <m/>
    <m/>
    <m/>
    <m/>
    <m/>
  </r>
  <r>
    <x v="1"/>
    <x v="7"/>
    <s v="West Asia and Africa"/>
    <s v="Comprehensive Strategic Partnership [全面战略伙伴关系]"/>
    <s v="None"/>
    <s v="AFRICOM"/>
    <x v="15"/>
    <x v="23"/>
    <n v="11"/>
    <x v="3"/>
    <s v="Zhao Keshi"/>
    <m/>
    <s v="GLD Director; CMC Member"/>
    <n v="8"/>
    <x v="2"/>
    <s v="Logistics Department  Director"/>
    <x v="0"/>
    <m/>
    <x v="0"/>
    <m/>
    <m/>
    <m/>
    <m/>
    <m/>
    <m/>
    <m/>
  </r>
  <r>
    <x v="1"/>
    <x v="6"/>
    <s v="Europe and Central Asia"/>
    <s v="Strategic Partnership [战略伙伴关系]"/>
    <s v="None"/>
    <s v="CENTCOM"/>
    <x v="60"/>
    <x v="23"/>
    <n v="11"/>
    <x v="7"/>
    <s v="Chang Wanquan"/>
    <m/>
    <s v="Defense Minister; CMC Member"/>
    <n v="8"/>
    <x v="2"/>
    <s v="Defense Minister"/>
    <x v="0"/>
    <m/>
    <x v="0"/>
    <m/>
    <m/>
    <m/>
    <m/>
    <m/>
    <s v="http://eng.mod.gov.cn/SpecialReports/2014-11/21/content_4553604.htm "/>
    <m/>
  </r>
  <r>
    <x v="1"/>
    <x v="1"/>
    <s v="Asia"/>
    <s v="Comprehensive Strategic Cooperative Partnership [全面战略合作伙伴关系]"/>
    <s v="Bilateral Defense Treaty"/>
    <s v="INDOPACOM"/>
    <x v="5"/>
    <x v="23"/>
    <n v="11"/>
    <x v="3"/>
    <s v="Chang Wanquan"/>
    <m/>
    <s v="Defense Minister; CMC Member"/>
    <n v="8"/>
    <x v="2"/>
    <s v="Defense Minister"/>
    <x v="0"/>
    <m/>
    <x v="0"/>
    <m/>
    <m/>
    <m/>
    <m/>
    <m/>
    <m/>
    <m/>
  </r>
  <r>
    <x v="1"/>
    <x v="2"/>
    <s v="America and Oceania"/>
    <s v="No Specific Relationship"/>
    <s v="N/A"/>
    <s v="NORTHCOM"/>
    <x v="4"/>
    <x v="23"/>
    <n v="11"/>
    <x v="4"/>
    <s v="Sun Jianguo"/>
    <m/>
    <s v="GSD DCGS"/>
    <n v="6"/>
    <x v="1"/>
    <s v="DEP SECDEF Work"/>
    <x v="0"/>
    <m/>
    <x v="0"/>
    <m/>
    <m/>
    <m/>
    <m/>
    <m/>
    <s v="2015 CH Mil Power Report"/>
    <s v=" Also traveled to PACOM and Alaska"/>
  </r>
  <r>
    <x v="1"/>
    <x v="5"/>
    <s v="America and Oceania"/>
    <s v="Comprehensive Strategic Partnership [全面战略伙伴关系]"/>
    <s v="ANZUS Treaty"/>
    <s v="INDOPACOM"/>
    <x v="12"/>
    <x v="23"/>
    <n v="12"/>
    <x v="3"/>
    <s v="Fan Changlong"/>
    <m/>
    <s v="CMC Vice Chairman"/>
    <n v="10"/>
    <x v="2"/>
    <s v="ADF Chief"/>
    <x v="0"/>
    <m/>
    <x v="0"/>
    <m/>
    <m/>
    <m/>
    <m/>
    <m/>
    <m/>
    <m/>
  </r>
  <r>
    <x v="1"/>
    <x v="10"/>
    <s v="America and Oceania"/>
    <s v="No Specific Relationship"/>
    <s v="None"/>
    <s v="SOUTHCOM"/>
    <x v="49"/>
    <x v="23"/>
    <n v="12"/>
    <x v="3"/>
    <s v="Chang Wanquan"/>
    <m/>
    <s v="Defense Minister; CMC Member"/>
    <n v="8"/>
    <x v="2"/>
    <s v="Minister of Armed Forces"/>
    <x v="0"/>
    <m/>
    <x v="0"/>
    <m/>
    <m/>
    <m/>
    <m/>
    <m/>
    <m/>
    <m/>
  </r>
  <r>
    <x v="1"/>
    <x v="8"/>
    <s v="Europe and Central Asia"/>
    <s v="Comprehensive Strategic Partnership [全面战略伙伴关系]"/>
    <s v="NATO"/>
    <s v="EUCOM"/>
    <x v="18"/>
    <x v="23"/>
    <n v="12"/>
    <x v="3"/>
    <s v="Sun Jianguo"/>
    <m/>
    <s v="GSD DCGS"/>
    <n v="6"/>
    <x v="2"/>
    <s v="Delegation for CIISS; former minister of the interior"/>
    <x v="0"/>
    <m/>
    <x v="0"/>
    <m/>
    <m/>
    <m/>
    <m/>
    <m/>
    <m/>
    <m/>
  </r>
  <r>
    <x v="1"/>
    <x v="8"/>
    <s v="Europe and Central Asia"/>
    <s v="Comprehensive Strategic Partnership [全面战略伙伴关系]"/>
    <s v="NATO"/>
    <s v="EUCOM"/>
    <x v="29"/>
    <x v="23"/>
    <n v="12"/>
    <x v="3"/>
    <s v="Sun Jianguo"/>
    <m/>
    <s v="GSD DCGS"/>
    <n v="6"/>
    <x v="2"/>
    <s v="Delegation for CIISS; former chief of defense staff"/>
    <x v="0"/>
    <m/>
    <x v="0"/>
    <m/>
    <m/>
    <m/>
    <m/>
    <m/>
    <m/>
    <m/>
  </r>
  <r>
    <x v="1"/>
    <x v="6"/>
    <s v="Europe and Central Asia"/>
    <s v="Comprehensive Strategic Partnership [全面战略伙伴关系]"/>
    <s v="None"/>
    <s v="CENTCOM"/>
    <x v="30"/>
    <x v="23"/>
    <n v="12"/>
    <x v="3"/>
    <s v="Sun Jianguo"/>
    <m/>
    <s v="GSD DCGS"/>
    <n v="6"/>
    <x v="2"/>
    <s v="Delegation for CIISS; Kazakhstan Military Strategic Research Center"/>
    <x v="0"/>
    <m/>
    <x v="0"/>
    <m/>
    <m/>
    <m/>
    <m/>
    <m/>
    <m/>
    <m/>
  </r>
  <r>
    <x v="1"/>
    <x v="8"/>
    <s v="Europe and Central Asia"/>
    <s v="No Specific Relationship"/>
    <s v="None"/>
    <s v="EUCOM"/>
    <x v="99"/>
    <x v="23"/>
    <n v="12"/>
    <x v="3"/>
    <s v="Chang Wanquan"/>
    <m/>
    <s v="Defense Minister; CMC Member"/>
    <n v="8"/>
    <x v="2"/>
    <s v="State Secretary of Defense Ministry"/>
    <x v="0"/>
    <m/>
    <x v="0"/>
    <m/>
    <m/>
    <m/>
    <m/>
    <m/>
    <m/>
    <m/>
  </r>
  <r>
    <x v="2"/>
    <x v="1"/>
    <s v="Asia"/>
    <s v="Comprehensive Strategic Partnership [全面战略伙伴关系]"/>
    <s v="None"/>
    <s v="INDOPACOM"/>
    <x v="10"/>
    <x v="23"/>
    <n v="12"/>
    <x v="5"/>
    <m/>
    <m/>
    <m/>
    <m/>
    <x v="0"/>
    <m/>
    <x v="2"/>
    <s v="Peace and Friendship 2014"/>
    <x v="3"/>
    <m/>
    <m/>
    <m/>
    <m/>
    <m/>
    <m/>
    <m/>
  </r>
  <r>
    <x v="1"/>
    <x v="5"/>
    <s v="America and Oceania"/>
    <s v="Comprehensive Strategic Partnership [全面战略伙伴关系]"/>
    <s v="ANZUS Treaty"/>
    <s v="INDOPACOM"/>
    <x v="13"/>
    <x v="23"/>
    <n v="12"/>
    <x v="3"/>
    <s v="Chang Wanquan "/>
    <m/>
    <s v="Defense Minister; CMC Member"/>
    <n v="8"/>
    <x v="2"/>
    <s v="Deputy Secretary of Defense"/>
    <x v="0"/>
    <m/>
    <x v="0"/>
    <m/>
    <m/>
    <m/>
    <m/>
    <m/>
    <m/>
    <m/>
  </r>
  <r>
    <x v="1"/>
    <x v="8"/>
    <s v="Europe and Central Asia"/>
    <s v="Comprehensive Strategic Partnership [全面战略伙伴关系]"/>
    <s v="NATO"/>
    <s v="EUCOM"/>
    <x v="48"/>
    <x v="23"/>
    <n v="12"/>
    <x v="3"/>
    <s v="Ma Xiaotian"/>
    <m/>
    <s v="PLAAF Commander; CMC Member"/>
    <n v="8"/>
    <x v="2"/>
    <s v="Air Force Chief of Staff"/>
    <x v="0"/>
    <m/>
    <x v="0"/>
    <m/>
    <m/>
    <m/>
    <m/>
    <m/>
    <m/>
    <m/>
  </r>
  <r>
    <x v="2"/>
    <x v="2"/>
    <s v="America and Oceania"/>
    <s v="No Specific Relationship"/>
    <s v="N/A"/>
    <s v="NORTHCOM"/>
    <x v="4"/>
    <x v="23"/>
    <n v="12"/>
    <x v="5"/>
    <m/>
    <m/>
    <m/>
    <m/>
    <x v="0"/>
    <m/>
    <x v="4"/>
    <s v="None"/>
    <x v="2"/>
    <s v="anti-piracy drill, CUES"/>
    <m/>
    <m/>
    <m/>
    <m/>
    <m/>
    <m/>
  </r>
  <r>
    <x v="1"/>
    <x v="1"/>
    <s v="Asia"/>
    <s v="Comprehensive Strategic Cooperative Partnership [全面战略合作伙伴关系]"/>
    <s v="None"/>
    <s v="INDOPACOM"/>
    <x v="23"/>
    <x v="23"/>
    <n v="12"/>
    <x v="3"/>
    <s v="Jia Tingan"/>
    <m/>
    <s v="GPD Deputy Director"/>
    <n v="6"/>
    <x v="2"/>
    <s v="Political Work delegation"/>
    <x v="0"/>
    <m/>
    <x v="0"/>
    <m/>
    <m/>
    <m/>
    <m/>
    <m/>
    <m/>
    <m/>
  </r>
  <r>
    <x v="0"/>
    <x v="9"/>
    <s v="West Asia and Africa"/>
    <s v="No Specific Relationship"/>
    <s v="None"/>
    <s v="CENTCOM"/>
    <x v="119"/>
    <x v="24"/>
    <n v="1"/>
    <x v="9"/>
    <m/>
    <m/>
    <m/>
    <m/>
    <x v="0"/>
    <m/>
    <x v="0"/>
    <m/>
    <x v="0"/>
    <m/>
    <s v="ETF"/>
    <s v="ETF-19"/>
    <s v="North Sea Fleet"/>
    <s v="FFG547 Linyi, FFG550 Weifang, AOR887 Weishan Hu"/>
    <m/>
    <m/>
  </r>
  <r>
    <x v="0"/>
    <x v="8"/>
    <s v="Europe and Central Asia"/>
    <s v="Comprehensive Strategic Partnership [全面战略伙伴关系]"/>
    <s v="NATO"/>
    <s v="EUCOM"/>
    <x v="18"/>
    <x v="24"/>
    <n v="1"/>
    <x v="0"/>
    <m/>
    <m/>
    <m/>
    <m/>
    <x v="0"/>
    <m/>
    <x v="0"/>
    <m/>
    <x v="0"/>
    <m/>
    <s v="ETF"/>
    <s v="ETF-18"/>
    <s v="South Sea Fleet"/>
    <s v="LPD989 Changbai Shan, FFG571 Yuncheng, AOR890 Chao Hu"/>
    <m/>
    <m/>
  </r>
  <r>
    <x v="0"/>
    <x v="8"/>
    <s v="Europe and Central Asia"/>
    <s v="Comprehensive Cooperative Partnership [全面合作伙伴关系]"/>
    <s v="NATO"/>
    <s v="EUCOM"/>
    <x v="117"/>
    <x v="24"/>
    <n v="1"/>
    <x v="0"/>
    <m/>
    <m/>
    <m/>
    <m/>
    <x v="0"/>
    <m/>
    <x v="0"/>
    <m/>
    <x v="0"/>
    <m/>
    <s v="ETF"/>
    <s v="ETF-18"/>
    <s v="South Sea Fleet"/>
    <s v="LPD989 Changbai Shan, FFG571 Yuncheng, AOR890 Chao Hu"/>
    <m/>
    <m/>
  </r>
  <r>
    <x v="0"/>
    <x v="9"/>
    <s v="West Asia and Africa"/>
    <s v="No Specific Relationship"/>
    <s v="None"/>
    <s v="CENTCOM"/>
    <x v="147"/>
    <x v="24"/>
    <n v="1"/>
    <x v="9"/>
    <m/>
    <m/>
    <m/>
    <m/>
    <x v="0"/>
    <m/>
    <x v="0"/>
    <m/>
    <x v="0"/>
    <m/>
    <s v="ETF"/>
    <s v="ETF-19"/>
    <s v="North Sea Fleet"/>
    <s v="FFG547 Linyi, FFG550 Weifang, AOR887 Weishan Hu"/>
    <m/>
    <m/>
  </r>
  <r>
    <x v="0"/>
    <x v="8"/>
    <s v="Europe and Central Asia"/>
    <s v="Comprehensive Strategic Partnership [全面战略伙伴关系]"/>
    <s v="NATO"/>
    <s v="EUCOM"/>
    <x v="21"/>
    <x v="24"/>
    <n v="1"/>
    <x v="0"/>
    <m/>
    <m/>
    <m/>
    <m/>
    <x v="0"/>
    <m/>
    <x v="0"/>
    <m/>
    <x v="0"/>
    <m/>
    <s v="ETF"/>
    <s v="ETF-19"/>
    <s v="North Sea Fleet"/>
    <s v="FFG547 Linyi, FFG550 Weifang, AOR887 Weishan Hu"/>
    <m/>
    <m/>
  </r>
  <r>
    <x v="2"/>
    <x v="2"/>
    <s v="America and Oceania"/>
    <s v="No Specific Relationship"/>
    <s v="N/A"/>
    <s v="NORTHCOM"/>
    <x v="4"/>
    <x v="24"/>
    <n v="1"/>
    <x v="5"/>
    <m/>
    <m/>
    <m/>
    <m/>
    <x v="0"/>
    <m/>
    <x v="2"/>
    <s v="10th Disaster Management Exchange"/>
    <x v="1"/>
    <s v="Guangzhou and Haikou; HADR with academic discussion, TTX, and field exchange; planned for 2014"/>
    <m/>
    <m/>
    <m/>
    <m/>
    <s v="https://www.pacom.mil/Media/News/Article/565021/china-us-disaster-management-exchange/"/>
    <s v=" "/>
  </r>
  <r>
    <x v="2"/>
    <x v="8"/>
    <s v="Europe and Central Asia"/>
    <s v="Comprehensive Strategic Partnership [全面战略伙伴关系]"/>
    <s v="NATO"/>
    <s v="EUCOM"/>
    <x v="22"/>
    <x v="24"/>
    <n v="2"/>
    <x v="5"/>
    <m/>
    <m/>
    <m/>
    <m/>
    <x v="0"/>
    <m/>
    <x v="2"/>
    <s v="None"/>
    <x v="2"/>
    <s v="communication and fleet maneuvers; ETF-18"/>
    <m/>
    <m/>
    <m/>
    <m/>
    <m/>
    <m/>
  </r>
  <r>
    <x v="0"/>
    <x v="8"/>
    <s v="Europe and Central Asia"/>
    <s v="Comprehensive Strategic Partnership [全面战略伙伴关系]"/>
    <s v="NATO"/>
    <s v="EUCOM"/>
    <x v="22"/>
    <x v="24"/>
    <n v="2"/>
    <x v="0"/>
    <m/>
    <m/>
    <m/>
    <m/>
    <x v="0"/>
    <m/>
    <x v="0"/>
    <m/>
    <x v="0"/>
    <m/>
    <s v="ETF"/>
    <s v="ETF-18"/>
    <s v="South Sea Fleet"/>
    <s v="LPD989 Changbai Shan, FFG571 Yuncheng, AOR890 Chao Hu"/>
    <m/>
    <m/>
  </r>
  <r>
    <x v="2"/>
    <x v="8"/>
    <s v="Europe and Central Asia"/>
    <s v="Comprehensive Strategic Partnership [全面战略伙伴关系]"/>
    <s v="NATO"/>
    <s v="EUCOM"/>
    <x v="29"/>
    <x v="24"/>
    <n v="2"/>
    <x v="5"/>
    <m/>
    <m/>
    <m/>
    <m/>
    <x v="0"/>
    <m/>
    <x v="2"/>
    <s v="None"/>
    <x v="2"/>
    <s v="communication and fleet maneuvers; ETF-18"/>
    <m/>
    <m/>
    <m/>
    <m/>
    <m/>
    <m/>
  </r>
  <r>
    <x v="0"/>
    <x v="8"/>
    <s v="Europe and Central Asia"/>
    <s v="Comprehensive Strategic Partnership [全面战略伙伴关系]"/>
    <s v="NATO"/>
    <s v="EUCOM"/>
    <x v="29"/>
    <x v="24"/>
    <n v="2"/>
    <x v="0"/>
    <m/>
    <m/>
    <m/>
    <m/>
    <x v="0"/>
    <m/>
    <x v="0"/>
    <m/>
    <x v="0"/>
    <m/>
    <s v="ETF"/>
    <s v="ETF-18"/>
    <s v="South Sea Fleet"/>
    <s v="LPD989 Changbai Shan, FFG571 Yuncheng, AOR890 Chao Hu"/>
    <m/>
    <m/>
  </r>
  <r>
    <x v="1"/>
    <x v="8"/>
    <s v="Europe and Central Asia"/>
    <s v="Strategic Partnership [战略伙伴关系]"/>
    <s v="NATO"/>
    <s v="EUCOM"/>
    <x v="59"/>
    <x v="24"/>
    <n v="2"/>
    <x v="3"/>
    <s v="Sun Jianguo"/>
    <m/>
    <s v="GSD DCGS"/>
    <n v="6"/>
    <x v="2"/>
    <s v="Commander, Multi-Service Joint GHQ of Armed Forces"/>
    <x v="0"/>
    <m/>
    <x v="0"/>
    <m/>
    <m/>
    <m/>
    <m/>
    <m/>
    <m/>
    <m/>
  </r>
  <r>
    <x v="1"/>
    <x v="4"/>
    <s v="Asia"/>
    <s v="Strategic Cooperative Partnership [战略合作伙伴关系]"/>
    <s v="Bilateral Defense Treaty"/>
    <s v="INDOPACOM"/>
    <x v="25"/>
    <x v="24"/>
    <n v="2"/>
    <x v="4"/>
    <s v="Chang Wanquan"/>
    <m/>
    <s v="Defense Minister; CMC Member"/>
    <n v="8"/>
    <x v="1"/>
    <m/>
    <x v="0"/>
    <m/>
    <x v="0"/>
    <m/>
    <m/>
    <m/>
    <m/>
    <m/>
    <m/>
    <m/>
  </r>
  <r>
    <x v="1"/>
    <x v="1"/>
    <s v="Asia"/>
    <s v="Comprehensive Strategic Cooperative Partnership [全面战略合作伙伴关系]"/>
    <s v="Bilateral Defense Treaty"/>
    <s v="INDOPACOM"/>
    <x v="5"/>
    <x v="24"/>
    <n v="2"/>
    <x v="4"/>
    <s v="Chang Wanquan"/>
    <m/>
    <s v="Defense Minister; CMC Member"/>
    <n v="8"/>
    <x v="1"/>
    <m/>
    <x v="0"/>
    <m/>
    <x v="0"/>
    <m/>
    <m/>
    <m/>
    <m/>
    <m/>
    <m/>
    <m/>
  </r>
  <r>
    <x v="2"/>
    <x v="1"/>
    <s v="Asia"/>
    <s v="Comprehensive Strategic Cooperative Partnership [全面战略合作伙伴关系]"/>
    <s v="Bilateral Defense Treaty"/>
    <s v="INDOPACOM"/>
    <x v="5"/>
    <x v="24"/>
    <n v="2"/>
    <x v="6"/>
    <m/>
    <m/>
    <m/>
    <m/>
    <x v="0"/>
    <m/>
    <x v="2"/>
    <s v="Cobra Gold 2015"/>
    <x v="1"/>
    <s v="HADR"/>
    <m/>
    <m/>
    <m/>
    <m/>
    <s v="https://th.usembassy.gov/exercise-cobra-gold-2015-to-begin-february-9-2015/"/>
    <m/>
  </r>
  <r>
    <x v="1"/>
    <x v="8"/>
    <s v="Europe and Central Asia"/>
    <s v="No Specific Relationship"/>
    <s v="NATO"/>
    <s v="EUCOM"/>
    <x v="58"/>
    <x v="24"/>
    <n v="3"/>
    <x v="4"/>
    <s v="Sun Jianguo"/>
    <m/>
    <s v="GSD DCGS"/>
    <n v="6"/>
    <x v="1"/>
    <m/>
    <x v="0"/>
    <m/>
    <x v="0"/>
    <m/>
    <m/>
    <m/>
    <m/>
    <m/>
    <m/>
    <m/>
  </r>
  <r>
    <x v="1"/>
    <x v="8"/>
    <s v="Europe and Central Asia"/>
    <s v="Comprehensive Strategic Partnership [全面战略伙伴关系]"/>
    <s v="NATO"/>
    <s v="EUCOM"/>
    <x v="22"/>
    <x v="24"/>
    <n v="3"/>
    <x v="3"/>
    <s v="Wu Shengli"/>
    <m/>
    <s v="PLAN Commander; CMC Member"/>
    <n v="8"/>
    <x v="2"/>
    <s v="Navy Chief of Staff"/>
    <x v="0"/>
    <m/>
    <x v="0"/>
    <m/>
    <m/>
    <m/>
    <m/>
    <m/>
    <m/>
    <m/>
  </r>
  <r>
    <x v="1"/>
    <x v="0"/>
    <s v="Asia"/>
    <s v="Strategic Partnership for Peace and Prosperity [战略伙伴关系]"/>
    <s v="None"/>
    <s v="INDOPACOM"/>
    <x v="6"/>
    <x v="24"/>
    <n v="3"/>
    <x v="3"/>
    <s v="Sun Jianguo"/>
    <m/>
    <s v="GSD DCGS"/>
    <n v="6"/>
    <x v="2"/>
    <s v="Military delegation"/>
    <x v="0"/>
    <m/>
    <x v="0"/>
    <m/>
    <m/>
    <m/>
    <m/>
    <m/>
    <m/>
    <m/>
  </r>
  <r>
    <x v="1"/>
    <x v="7"/>
    <s v="West Asia and Africa"/>
    <s v="No Specific Relationship"/>
    <s v="None"/>
    <s v="AFRICOM"/>
    <x v="69"/>
    <x v="24"/>
    <n v="3"/>
    <x v="4"/>
    <s v="Chang Wanquan"/>
    <m/>
    <s v="Defense Minister; CMC Member"/>
    <n v="8"/>
    <x v="1"/>
    <m/>
    <x v="0"/>
    <m/>
    <x v="0"/>
    <m/>
    <m/>
    <m/>
    <m/>
    <m/>
    <m/>
    <m/>
  </r>
  <r>
    <x v="0"/>
    <x v="9"/>
    <s v="West Asia and Africa"/>
    <s v="No Specific Relationship"/>
    <s v="None"/>
    <s v="CENTCOM"/>
    <x v="147"/>
    <x v="24"/>
    <n v="3"/>
    <x v="9"/>
    <m/>
    <m/>
    <m/>
    <m/>
    <x v="0"/>
    <m/>
    <x v="0"/>
    <m/>
    <x v="0"/>
    <m/>
    <s v="ETF"/>
    <s v="ETF-19"/>
    <s v="North Sea Fleet"/>
    <s v="FFG547 Linyi, FFG550 Weifang, AOR887 Weishan Hu"/>
    <m/>
    <m/>
  </r>
  <r>
    <x v="1"/>
    <x v="0"/>
    <s v="Asia"/>
    <s v="All-Weather Strategic Cooperative Partnership [全天候战略合作伙伴关系]"/>
    <s v="Major Non-NATO Ally"/>
    <s v="CENTCOM"/>
    <x v="2"/>
    <x v="24"/>
    <n v="3"/>
    <x v="3"/>
    <s v="Fan Changlong"/>
    <m/>
    <s v="CMC Vice Chairman"/>
    <n v="10"/>
    <x v="2"/>
    <s v="Navy Chief of Staff"/>
    <x v="0"/>
    <m/>
    <x v="0"/>
    <m/>
    <m/>
    <m/>
    <m/>
    <m/>
    <m/>
    <m/>
  </r>
  <r>
    <x v="1"/>
    <x v="8"/>
    <s v="Europe and Central Asia"/>
    <s v="Strategic Partnership [战略伙伴关系]"/>
    <s v="NATO"/>
    <s v="EUCOM"/>
    <x v="59"/>
    <x v="24"/>
    <n v="3"/>
    <x v="4"/>
    <s v="Sun Jianguo"/>
    <m/>
    <s v="GSD DCGS"/>
    <n v="6"/>
    <x v="1"/>
    <m/>
    <x v="0"/>
    <m/>
    <x v="0"/>
    <m/>
    <m/>
    <m/>
    <m/>
    <m/>
    <m/>
    <m/>
  </r>
  <r>
    <x v="1"/>
    <x v="8"/>
    <s v="Europe and Central Asia"/>
    <s v="Comprehensive Friendly Cooperative Partnership [全面友好合作伙伴关系]"/>
    <s v="NATO"/>
    <s v="EUCOM"/>
    <x v="33"/>
    <x v="24"/>
    <n v="3"/>
    <x v="4"/>
    <s v="Sun Jianguo"/>
    <m/>
    <s v="GSD DCGS"/>
    <n v="6"/>
    <x v="1"/>
    <m/>
    <x v="0"/>
    <m/>
    <x v="0"/>
    <m/>
    <m/>
    <m/>
    <m/>
    <m/>
    <m/>
    <m/>
  </r>
  <r>
    <x v="1"/>
    <x v="3"/>
    <s v="Europe and Central Asia"/>
    <s v="Comprehensive Collaborative Strategic Partnership [全面战略协作伙伴关系]"/>
    <s v="None"/>
    <s v="EUCOM"/>
    <x v="7"/>
    <x v="24"/>
    <n v="3"/>
    <x v="3"/>
    <s v="Qi Jianguo"/>
    <m/>
    <s v="GSD DCGS"/>
    <n v="6"/>
    <x v="2"/>
    <s v="DCOGS and concurrent Chief of Main Communications Directorate"/>
    <x v="0"/>
    <m/>
    <x v="0"/>
    <m/>
    <m/>
    <m/>
    <m/>
    <m/>
    <m/>
    <m/>
  </r>
  <r>
    <x v="0"/>
    <x v="1"/>
    <s v="Asia"/>
    <s v="All-Round Cooperative Partnership [全方合作伙伴关系]"/>
    <s v="None"/>
    <s v="INDOPACOM"/>
    <x v="39"/>
    <x v="24"/>
    <n v="3"/>
    <x v="0"/>
    <m/>
    <m/>
    <m/>
    <m/>
    <x v="0"/>
    <m/>
    <x v="0"/>
    <m/>
    <x v="0"/>
    <m/>
    <s v="ETF"/>
    <s v="ETF-18"/>
    <s v="South Sea Fleet"/>
    <s v="LPD989 Changbai Shan, FFG571 Yuncheng, AOR890 Chao Hu"/>
    <m/>
    <m/>
  </r>
  <r>
    <x v="1"/>
    <x v="1"/>
    <s v="Asia"/>
    <s v="Comprehensive Strategic Cooperative Partnership [全面战略合作伙伴关系]"/>
    <s v="Bilateral Defense Treaty"/>
    <s v="INDOPACOM"/>
    <x v="5"/>
    <x v="24"/>
    <n v="3"/>
    <x v="3"/>
    <s v="Qi Jianguo"/>
    <m/>
    <s v="GSD DCGS"/>
    <n v="6"/>
    <x v="2"/>
    <s v="Commander, Counter-terrorism Center of Supreme Command HQ"/>
    <x v="0"/>
    <m/>
    <x v="0"/>
    <m/>
    <m/>
    <m/>
    <m/>
    <m/>
    <m/>
    <m/>
  </r>
  <r>
    <x v="1"/>
    <x v="8"/>
    <s v="Europe and Central Asia"/>
    <s v="Comprehensive Strategic Partnership [全面战略伙伴关系]"/>
    <s v="NATO"/>
    <s v="EUCOM"/>
    <x v="21"/>
    <x v="24"/>
    <n v="3"/>
    <x v="3"/>
    <s v="Xu Qiliang"/>
    <m/>
    <s v="CMC Vice Chairman"/>
    <n v="10"/>
    <x v="2"/>
    <s v="COGS"/>
    <x v="0"/>
    <m/>
    <x v="0"/>
    <m/>
    <m/>
    <m/>
    <m/>
    <m/>
    <m/>
    <m/>
  </r>
  <r>
    <x v="1"/>
    <x v="2"/>
    <s v="America and Oceania"/>
    <s v="No Specific Relationship"/>
    <s v="N/A"/>
    <s v="NORTHCOM"/>
    <x v="4"/>
    <x v="24"/>
    <n v="3"/>
    <x v="4"/>
    <s v="Sun Jianguo"/>
    <m/>
    <s v="GSD DCGS"/>
    <n v="6"/>
    <x v="1"/>
    <m/>
    <x v="0"/>
    <m/>
    <x v="0"/>
    <m/>
    <m/>
    <m/>
    <m/>
    <m/>
    <m/>
    <m/>
  </r>
  <r>
    <x v="1"/>
    <x v="7"/>
    <s v="West Asia and Africa"/>
    <s v="No Specific Relationship"/>
    <s v="None"/>
    <s v="AFRICOM"/>
    <x v="86"/>
    <x v="24"/>
    <n v="3"/>
    <x v="4"/>
    <s v="Chang Wanquan"/>
    <m/>
    <s v="Defense Minister; CMC Member"/>
    <n v="8"/>
    <x v="1"/>
    <m/>
    <x v="0"/>
    <m/>
    <x v="0"/>
    <m/>
    <m/>
    <m/>
    <m/>
    <m/>
    <m/>
    <m/>
  </r>
  <r>
    <x v="1"/>
    <x v="10"/>
    <s v="America and Oceania"/>
    <s v="Comprehensive Strategic Partnership [全面战略伙伴关系]"/>
    <s v="Major Non-NATO Ally"/>
    <s v="SOUTHCOM"/>
    <x v="62"/>
    <x v="24"/>
    <n v="4"/>
    <x v="4"/>
    <s v="Sun Jianguo"/>
    <m/>
    <s v="GSD DCGS"/>
    <n v="6"/>
    <x v="1"/>
    <m/>
    <x v="0"/>
    <m/>
    <x v="0"/>
    <m/>
    <m/>
    <m/>
    <m/>
    <m/>
    <m/>
    <m/>
  </r>
  <r>
    <x v="1"/>
    <x v="8"/>
    <s v="Europe and Central Asia"/>
    <s v="Comprehensive Strategic Partnership [全面战略伙伴关系]"/>
    <s v="None"/>
    <s v="EUCOM"/>
    <x v="34"/>
    <x v="24"/>
    <n v="4"/>
    <x v="3"/>
    <s v="Xu Qiliang"/>
    <m/>
    <s v="CMC Vice Chairman"/>
    <n v="10"/>
    <x v="2"/>
    <s v="Security Council Secretary"/>
    <x v="0"/>
    <m/>
    <x v="0"/>
    <m/>
    <m/>
    <m/>
    <m/>
    <m/>
    <m/>
    <m/>
  </r>
  <r>
    <x v="1"/>
    <x v="10"/>
    <s v="America and Oceania"/>
    <s v="Comprehensive Strategic Partnership [全面战略伙伴关系]"/>
    <s v="None"/>
    <s v="SOUTHCOM"/>
    <x v="43"/>
    <x v="24"/>
    <n v="4"/>
    <x v="4"/>
    <s v="Sun Jianguo"/>
    <m/>
    <s v="GSD DCGS"/>
    <n v="6"/>
    <x v="1"/>
    <m/>
    <x v="0"/>
    <m/>
    <x v="0"/>
    <m/>
    <m/>
    <m/>
    <m/>
    <m/>
    <m/>
    <m/>
  </r>
  <r>
    <x v="1"/>
    <x v="10"/>
    <s v="America and Oceania"/>
    <s v="Strategic Partnership [战略伙伴关系]"/>
    <s v="None"/>
    <s v="SOUTHCOM"/>
    <x v="66"/>
    <x v="24"/>
    <n v="4"/>
    <x v="3"/>
    <s v="Chang Wanquan"/>
    <m/>
    <s v="Defense Minister; CMC Member"/>
    <n v="8"/>
    <x v="2"/>
    <s v="Air Force Commander"/>
    <x v="0"/>
    <m/>
    <x v="0"/>
    <m/>
    <m/>
    <m/>
    <m/>
    <m/>
    <m/>
    <m/>
  </r>
  <r>
    <x v="1"/>
    <x v="9"/>
    <s v="West Asia and Africa"/>
    <s v="Comprehensive Strategic Partnership [全面战略伙伴关系]"/>
    <s v="Major Non-NATO Ally"/>
    <s v="CENTCOM"/>
    <x v="24"/>
    <x v="24"/>
    <n v="4"/>
    <x v="3"/>
    <s v="Fan Changlong"/>
    <m/>
    <s v="CMC Vice Chairman"/>
    <n v="10"/>
    <x v="2"/>
    <s v="Defense Minister"/>
    <x v="0"/>
    <m/>
    <x v="0"/>
    <m/>
    <m/>
    <m/>
    <m/>
    <m/>
    <m/>
    <m/>
  </r>
  <r>
    <x v="1"/>
    <x v="8"/>
    <s v="Europe and Central Asia"/>
    <s v="No Specific Relationship"/>
    <s v="None"/>
    <s v="EUCOM"/>
    <x v="81"/>
    <x v="24"/>
    <n v="4"/>
    <x v="3"/>
    <s v="Zhao Keshi"/>
    <m/>
    <s v="GLD Director; CMC Member"/>
    <n v="8"/>
    <x v="2"/>
    <s v="DCOGS"/>
    <x v="0"/>
    <m/>
    <x v="0"/>
    <m/>
    <m/>
    <m/>
    <m/>
    <m/>
    <m/>
    <m/>
  </r>
  <r>
    <x v="1"/>
    <x v="8"/>
    <s v="Europe and Central Asia"/>
    <s v="Comprehensive Strategic Partnership [全面战略伙伴关系]"/>
    <s v="NATO"/>
    <s v="EUCOM"/>
    <x v="22"/>
    <x v="24"/>
    <n v="4"/>
    <x v="3"/>
    <s v="Fang Fenghui"/>
    <m/>
    <s v="GSD Commander; CMC Member"/>
    <n v="8"/>
    <x v="2"/>
    <s v="Navy Chief of Staff"/>
    <x v="0"/>
    <m/>
    <x v="0"/>
    <m/>
    <m/>
    <m/>
    <m/>
    <m/>
    <m/>
    <m/>
  </r>
  <r>
    <x v="1"/>
    <x v="0"/>
    <s v="Asia"/>
    <s v="Strategic Partnership for Peace and Prosperity [战略伙伴关系]"/>
    <s v="None"/>
    <s v="INDOPACOM"/>
    <x v="6"/>
    <x v="24"/>
    <n v="4"/>
    <x v="3"/>
    <s v="Chang Wanquan"/>
    <m/>
    <s v="Defense Minister; CMC Member"/>
    <n v="8"/>
    <x v="2"/>
    <s v="Defense Secretary"/>
    <x v="0"/>
    <m/>
    <x v="0"/>
    <m/>
    <m/>
    <m/>
    <m/>
    <m/>
    <m/>
    <m/>
  </r>
  <r>
    <x v="1"/>
    <x v="9"/>
    <s v="West Asia and Africa"/>
    <s v="No Specific Relationship"/>
    <s v="None"/>
    <s v="CENTCOM"/>
    <x v="89"/>
    <x v="24"/>
    <n v="4"/>
    <x v="4"/>
    <s v="Chang Wanquan"/>
    <m/>
    <s v="Defense Minister; CMC Member"/>
    <n v="8"/>
    <x v="1"/>
    <s v="Defense Minister"/>
    <x v="0"/>
    <m/>
    <x v="0"/>
    <m/>
    <m/>
    <m/>
    <m/>
    <m/>
    <m/>
    <m/>
  </r>
  <r>
    <x v="1"/>
    <x v="7"/>
    <s v="West Asia and Africa"/>
    <s v="No Specific Relationship"/>
    <s v="None"/>
    <s v="AFRICOM"/>
    <x v="140"/>
    <x v="24"/>
    <n v="4"/>
    <x v="3"/>
    <s v="Chang Wanquan"/>
    <m/>
    <s v="Defense Minister; CMC Member"/>
    <n v="8"/>
    <x v="2"/>
    <s v="Defense Minister"/>
    <x v="0"/>
    <m/>
    <x v="0"/>
    <m/>
    <m/>
    <m/>
    <m/>
    <m/>
    <m/>
    <m/>
  </r>
  <r>
    <x v="0"/>
    <x v="7"/>
    <s v="West Asia and Africa"/>
    <s v="No Specific Relationship"/>
    <s v="None"/>
    <s v="AFRICOM"/>
    <x v="162"/>
    <x v="24"/>
    <n v="4"/>
    <x v="0"/>
    <m/>
    <m/>
    <m/>
    <m/>
    <x v="0"/>
    <m/>
    <x v="0"/>
    <m/>
    <x v="0"/>
    <m/>
    <s v="NETF"/>
    <s v="2015-04 Zhu Kezhen "/>
    <s v="East Sea Fleet"/>
    <s v="survey ship"/>
    <m/>
    <m/>
  </r>
  <r>
    <x v="1"/>
    <x v="4"/>
    <s v="Asia"/>
    <s v="Comprehensive Strategic Partnership [全面战略伙伴关系]"/>
    <s v="None"/>
    <s v="INDOPACOM"/>
    <x v="53"/>
    <x v="24"/>
    <n v="4"/>
    <x v="3"/>
    <s v="Chang Wanquan"/>
    <m/>
    <s v="Defense Minister; CMC Member"/>
    <n v="8"/>
    <x v="2"/>
    <s v="Commander of General Purpose Troops"/>
    <x v="0"/>
    <m/>
    <x v="0"/>
    <m/>
    <m/>
    <m/>
    <m/>
    <m/>
    <m/>
    <m/>
  </r>
  <r>
    <x v="1"/>
    <x v="1"/>
    <s v="Asia"/>
    <s v="Comprehensive Strategic Cooperative Partnership [全面战略合作伙伴关系]"/>
    <s v="None"/>
    <s v="INDOPACOM"/>
    <x v="1"/>
    <x v="24"/>
    <n v="4"/>
    <x v="3"/>
    <s v="Fang Fenghui"/>
    <m/>
    <s v="GSD Commander; CMC Member"/>
    <n v="8"/>
    <x v="2"/>
    <s v="Chief of Second Bureau of Special Operations, Myanmar Army"/>
    <x v="0"/>
    <m/>
    <x v="0"/>
    <m/>
    <m/>
    <m/>
    <m/>
    <m/>
    <m/>
    <m/>
  </r>
  <r>
    <x v="1"/>
    <x v="3"/>
    <s v="Europe and Central Asia"/>
    <s v="Comprehensive Collaborative Strategic Partnership [全面战略协作伙伴关系]"/>
    <s v="None"/>
    <s v="EUCOM"/>
    <x v="7"/>
    <x v="24"/>
    <n v="4"/>
    <x v="4"/>
    <s v="Chang Wanquan"/>
    <m/>
    <s v="Defense Minister; CMC Member"/>
    <n v="8"/>
    <x v="1"/>
    <m/>
    <x v="0"/>
    <m/>
    <x v="0"/>
    <m/>
    <m/>
    <m/>
    <m/>
    <m/>
    <m/>
    <m/>
  </r>
  <r>
    <x v="2"/>
    <x v="6"/>
    <s v="Europe and Central Asia"/>
    <s v="Member"/>
    <s v="None"/>
    <s v="CENTCOM"/>
    <x v="14"/>
    <x v="24"/>
    <n v="4"/>
    <x v="6"/>
    <m/>
    <m/>
    <m/>
    <m/>
    <x v="0"/>
    <m/>
    <x v="1"/>
    <s v="None"/>
    <x v="1"/>
    <s v="SCO anti-terrorism; Kazakhstan, Kyrgyzstan, Tajikistan,Russia"/>
    <m/>
    <m/>
    <m/>
    <m/>
    <m/>
    <m/>
  </r>
  <r>
    <x v="1"/>
    <x v="1"/>
    <s v="Asia"/>
    <s v="All-Round Cooperative Partnership [全方合作伙伴关系]"/>
    <s v="None"/>
    <s v="INDOPACOM"/>
    <x v="39"/>
    <x v="24"/>
    <n v="4"/>
    <x v="3"/>
    <s v="Chang Wanquan"/>
    <m/>
    <s v="Defense Minister; CMC Member"/>
    <n v="8"/>
    <x v="2"/>
    <s v="Chief of Defense Force"/>
    <x v="0"/>
    <m/>
    <x v="0"/>
    <m/>
    <m/>
    <m/>
    <m/>
    <m/>
    <m/>
    <m/>
  </r>
  <r>
    <x v="0"/>
    <x v="7"/>
    <s v="West Asia and Africa"/>
    <s v="Comprehensive Strategic Partnership [全面战略伙伴关系]"/>
    <s v="None"/>
    <s v="AFRICOM"/>
    <x v="15"/>
    <x v="24"/>
    <n v="4"/>
    <x v="0"/>
    <m/>
    <m/>
    <m/>
    <m/>
    <x v="0"/>
    <m/>
    <x v="0"/>
    <m/>
    <x v="0"/>
    <m/>
    <s v="NETF"/>
    <s v="2015-04 Zhu Kezhen "/>
    <s v="East Sea Fleet"/>
    <s v="survey ship"/>
    <m/>
    <m/>
  </r>
  <r>
    <x v="1"/>
    <x v="1"/>
    <s v="Asia"/>
    <s v="Comprehensive Strategic Cooperative Partnership [全面战略合作伙伴关系]"/>
    <s v="Bilateral Defense Treaty"/>
    <s v="INDOPACOM"/>
    <x v="5"/>
    <x v="24"/>
    <n v="4"/>
    <x v="3"/>
    <s v="Xu Qiliang"/>
    <m/>
    <s v="CMC Vice Chairman"/>
    <n v="10"/>
    <x v="2"/>
    <s v="Defense Minister"/>
    <x v="0"/>
    <m/>
    <x v="0"/>
    <m/>
    <m/>
    <m/>
    <m/>
    <m/>
    <m/>
    <m/>
  </r>
  <r>
    <x v="0"/>
    <x v="9"/>
    <s v="West Asia and Africa"/>
    <s v="No Specific Relationship"/>
    <s v="None"/>
    <s v="CENTCOM"/>
    <x v="135"/>
    <x v="24"/>
    <n v="4"/>
    <x v="14"/>
    <m/>
    <m/>
    <m/>
    <m/>
    <x v="0"/>
    <m/>
    <x v="0"/>
    <m/>
    <x v="0"/>
    <m/>
    <s v="ETF"/>
    <s v="ETF-19"/>
    <s v="North Sea Fleet"/>
    <s v="Linyi FFG, Weifang FFG"/>
    <s v="https://jamestown.org/program/pla-navy-used-for-first-time-in-naval-evacuation-from-yemen-conflict/"/>
    <s v="Yemen NEO"/>
  </r>
  <r>
    <x v="2"/>
    <x v="1"/>
    <s v="Asia"/>
    <s v="Strategic Partnership [战略伙伴关系] for Peace and Prosperity"/>
    <s v="None"/>
    <s v="INDOPACOM"/>
    <x v="153"/>
    <x v="24"/>
    <n v="5"/>
    <x v="6"/>
    <m/>
    <m/>
    <m/>
    <m/>
    <x v="0"/>
    <m/>
    <x v="2"/>
    <s v="ARF Disaster Relief - DiRex 2015"/>
    <x v="2"/>
    <s v="HADR. Other countries: Malaysia, Brunei, Cambodia, India, Indonesia, Singapore, Thailand, Vietnam"/>
    <m/>
    <m/>
    <m/>
    <m/>
    <m/>
    <s v="corrected partnership to strategic partnership for peace and prosperity"/>
  </r>
  <r>
    <x v="1"/>
    <x v="5"/>
    <s v="America and Oceania"/>
    <s v="Comprehensive Strategic Partnership [全面战略伙伴关系]"/>
    <s v="ANZUS Treaty"/>
    <s v="INDOPACOM"/>
    <x v="12"/>
    <x v="24"/>
    <n v="5"/>
    <x v="3"/>
    <s v="Wang Jianping"/>
    <m/>
    <s v="GSD DCGS"/>
    <n v="6"/>
    <x v="2"/>
    <s v="Chief of Joint Operations"/>
    <x v="0"/>
    <m/>
    <x v="0"/>
    <m/>
    <m/>
    <m/>
    <m/>
    <m/>
    <m/>
    <m/>
  </r>
  <r>
    <x v="1"/>
    <x v="8"/>
    <s v="Europe and Central Asia"/>
    <s v="Comprehensive Strategic Partnership [全面战略伙伴关系]"/>
    <s v="None"/>
    <s v="EUCOM"/>
    <x v="34"/>
    <x v="24"/>
    <n v="5"/>
    <x v="3"/>
    <s v="Fan Changlong"/>
    <m/>
    <s v="CMC Vice Chairman"/>
    <n v="10"/>
    <x v="2"/>
    <s v="Defense Minister"/>
    <x v="0"/>
    <m/>
    <x v="0"/>
    <m/>
    <m/>
    <m/>
    <m/>
    <m/>
    <m/>
    <m/>
  </r>
  <r>
    <x v="0"/>
    <x v="10"/>
    <s v="America and Oceania"/>
    <s v="Comprehensive Strategic Partnership [全面战略伙伴关系]"/>
    <s v="None"/>
    <s v="SOUTHCOM"/>
    <x v="43"/>
    <x v="24"/>
    <n v="5"/>
    <x v="0"/>
    <m/>
    <m/>
    <m/>
    <m/>
    <x v="0"/>
    <m/>
    <x v="0"/>
    <m/>
    <x v="0"/>
    <m/>
    <s v="NETF"/>
    <s v="2015-05 Zhu Kezhen "/>
    <s v="East Sea Fleet"/>
    <s v="survey ship"/>
    <m/>
    <m/>
  </r>
  <r>
    <x v="2"/>
    <x v="8"/>
    <s v="Europe and Central Asia"/>
    <s v="Comprehensive Strategic Partnership [全面战略伙伴关系]"/>
    <s v="NATO"/>
    <s v="EUCOM"/>
    <x v="22"/>
    <x v="24"/>
    <n v="5"/>
    <x v="5"/>
    <m/>
    <m/>
    <m/>
    <m/>
    <x v="0"/>
    <m/>
    <x v="2"/>
    <s v="None"/>
    <x v="2"/>
    <s v="FFG529 Zhoushan UNREP sailing, boarding"/>
    <m/>
    <m/>
    <m/>
    <m/>
    <s v="https://www.scmp.com/news/hong-kong/community/article/2135579/pla-garrison-holds-joint-exercise-french-navy-frigate"/>
    <m/>
  </r>
  <r>
    <x v="1"/>
    <x v="1"/>
    <s v="Asia"/>
    <s v="No Specific Relationship"/>
    <s v="None"/>
    <s v="INDOPACOM"/>
    <x v="137"/>
    <x v="24"/>
    <n v="5"/>
    <x v="1"/>
    <s v="Sun Jianguo"/>
    <m/>
    <s v="CMC/JSD DCJS"/>
    <n v="6"/>
    <x v="1"/>
    <s v="Defense Minister; 14th Shangri-la"/>
    <x v="0"/>
    <m/>
    <x v="0"/>
    <m/>
    <m/>
    <m/>
    <m/>
    <m/>
    <m/>
    <m/>
  </r>
  <r>
    <x v="1"/>
    <x v="1"/>
    <s v="Asia"/>
    <s v="Comprehensive Strategic Partnership [全面战略伙伴关系]"/>
    <s v="None"/>
    <s v="INDOPACOM"/>
    <x v="8"/>
    <x v="24"/>
    <n v="5"/>
    <x v="7"/>
    <s v="Sun Jianguo"/>
    <m/>
    <s v="GSD DCGS"/>
    <n v="6"/>
    <x v="1"/>
    <s v="Defense Minister; 14th Shangri-la"/>
    <x v="0"/>
    <m/>
    <x v="0"/>
    <m/>
    <m/>
    <m/>
    <m/>
    <m/>
    <m/>
    <m/>
  </r>
  <r>
    <x v="1"/>
    <x v="8"/>
    <s v="Europe and Central Asia"/>
    <s v="Comprehensive Strategic Partnership [全面战略伙伴关系]"/>
    <s v="NATO"/>
    <s v="EUCOM"/>
    <x v="20"/>
    <x v="24"/>
    <n v="5"/>
    <x v="3"/>
    <s v="Chang Wanquan"/>
    <m/>
    <s v="Defense Minister; CMC Member"/>
    <n v="8"/>
    <x v="2"/>
    <s v="Air Force Chief of Staff"/>
    <x v="0"/>
    <m/>
    <x v="0"/>
    <m/>
    <m/>
    <m/>
    <m/>
    <m/>
    <m/>
    <m/>
  </r>
  <r>
    <x v="1"/>
    <x v="4"/>
    <s v="Asia"/>
    <s v="Mutually Beneficial Strategic Relationship [战略互惠关系]"/>
    <s v="Bilateral Defense Treaty"/>
    <s v="INDOPACOM"/>
    <x v="83"/>
    <x v="24"/>
    <n v="5"/>
    <x v="7"/>
    <s v="Sun Jianguo"/>
    <m/>
    <s v="GSD DCGS"/>
    <n v="6"/>
    <x v="1"/>
    <s v="Director General of Defense Policy Bureau, Ministry of Defense; 14th Shangri-la"/>
    <x v="0"/>
    <m/>
    <x v="0"/>
    <m/>
    <m/>
    <m/>
    <m/>
    <m/>
    <m/>
    <m/>
  </r>
  <r>
    <x v="1"/>
    <x v="1"/>
    <s v="Asia"/>
    <s v="Comprehensive Strategic Cooperative Partnership [全面战略合作伙伴关系]"/>
    <s v="None"/>
    <s v="INDOPACOM"/>
    <x v="52"/>
    <x v="24"/>
    <n v="5"/>
    <x v="4"/>
    <s v="Xu Qiliang"/>
    <m/>
    <s v="CMC Vice Chairman"/>
    <n v="10"/>
    <x v="1"/>
    <m/>
    <x v="0"/>
    <m/>
    <x v="0"/>
    <m/>
    <m/>
    <m/>
    <m/>
    <m/>
    <m/>
    <m/>
  </r>
  <r>
    <x v="1"/>
    <x v="1"/>
    <s v="Asia"/>
    <s v="Comprehensive Strategic Partnership [全面战略伙伴关系]"/>
    <s v="None"/>
    <s v="INDOPACOM"/>
    <x v="10"/>
    <x v="24"/>
    <n v="5"/>
    <x v="3"/>
    <s v="Xu Qiliang"/>
    <m/>
    <s v="CMC Vice Chairman"/>
    <n v="10"/>
    <x v="2"/>
    <s v="Defense Minister"/>
    <x v="0"/>
    <m/>
    <x v="0"/>
    <m/>
    <m/>
    <m/>
    <m/>
    <m/>
    <m/>
    <m/>
  </r>
  <r>
    <x v="1"/>
    <x v="8"/>
    <s v="Europe and Central Asia"/>
    <s v="No Specific Relationship"/>
    <s v="NATO"/>
    <s v="EUCOM"/>
    <x v="151"/>
    <x v="24"/>
    <n v="5"/>
    <x v="7"/>
    <s v="Sun Jianguo"/>
    <m/>
    <s v="GSD DCGS"/>
    <n v="6"/>
    <x v="1"/>
    <s v="Chairman NATO Military Committee ; 14th Shangri-la"/>
    <x v="0"/>
    <m/>
    <x v="0"/>
    <m/>
    <m/>
    <m/>
    <m/>
    <m/>
    <m/>
    <m/>
  </r>
  <r>
    <x v="1"/>
    <x v="5"/>
    <s v="America and Oceania"/>
    <s v="Comprehensive Strategic Partnership [全面战略伙伴关系]"/>
    <s v="ANZUS Treaty"/>
    <s v="INDOPACOM"/>
    <x v="13"/>
    <x v="24"/>
    <n v="5"/>
    <x v="7"/>
    <s v="Sun Jianguo"/>
    <m/>
    <s v="GSD DCGS"/>
    <n v="6"/>
    <x v="1"/>
    <s v="Defense Minister; 14th Shangri-la"/>
    <x v="0"/>
    <m/>
    <x v="0"/>
    <m/>
    <m/>
    <m/>
    <m/>
    <m/>
    <m/>
    <m/>
  </r>
  <r>
    <x v="0"/>
    <x v="9"/>
    <s v="West Asia and Africa"/>
    <s v="No Specific Relationship"/>
    <s v="None"/>
    <s v="CENTCOM"/>
    <x v="147"/>
    <x v="24"/>
    <n v="5"/>
    <x v="9"/>
    <m/>
    <m/>
    <m/>
    <m/>
    <x v="0"/>
    <m/>
    <x v="0"/>
    <m/>
    <x v="0"/>
    <m/>
    <s v="ETF"/>
    <s v="ETF-20"/>
    <s v="East Sea Fleet"/>
    <s v="DDG152 Jinan, FFG548 Yiyang, AOR886 Qiandao Hu "/>
    <m/>
    <m/>
  </r>
  <r>
    <x v="1"/>
    <x v="0"/>
    <s v="Asia"/>
    <s v="All-Weather Strategic Cooperative Partnership [全天候战略合作伙伴关系]"/>
    <s v="Major Non-NATO Ally"/>
    <s v="CENTCOM"/>
    <x v="2"/>
    <x v="24"/>
    <n v="5"/>
    <x v="3"/>
    <s v="Qi Jianguo"/>
    <m/>
    <s v="GSD DCGS"/>
    <n v="6"/>
    <x v="2"/>
    <s v="Director General of Armored Corps, Army GHQ"/>
    <x v="0"/>
    <m/>
    <x v="0"/>
    <m/>
    <m/>
    <m/>
    <m/>
    <m/>
    <m/>
    <m/>
  </r>
  <r>
    <x v="1"/>
    <x v="3"/>
    <s v="Europe and Central Asia"/>
    <s v="Comprehensive Collaborative Strategic Partnership [全面战略协作伙伴关系]"/>
    <s v="None"/>
    <s v="EUCOM"/>
    <x v="7"/>
    <x v="24"/>
    <n v="5"/>
    <x v="4"/>
    <s v="Fan Changlong"/>
    <m/>
    <s v="CMC Vice Chairman"/>
    <n v="10"/>
    <x v="1"/>
    <m/>
    <x v="0"/>
    <m/>
    <x v="0"/>
    <m/>
    <m/>
    <m/>
    <m/>
    <m/>
    <m/>
    <m/>
  </r>
  <r>
    <x v="0"/>
    <x v="3"/>
    <s v="Europe and Central Asia"/>
    <s v="Comprehensive Collaborative Strategic Partnership [全面战略协作伙伴关系]"/>
    <s v="None"/>
    <s v="EUCOM"/>
    <x v="7"/>
    <x v="24"/>
    <n v="5"/>
    <x v="0"/>
    <m/>
    <m/>
    <m/>
    <m/>
    <x v="0"/>
    <m/>
    <x v="0"/>
    <m/>
    <x v="0"/>
    <m/>
    <s v="ETF"/>
    <s v="ETF-19 "/>
    <s v="North Sea Fleet"/>
    <s v="FFG547 Linyi, FFG550 Weifang, AOR887 Weishan Hu; unknown, could also be ETF-20"/>
    <m/>
    <m/>
  </r>
  <r>
    <x v="2"/>
    <x v="3"/>
    <s v="Europe and Central Asia"/>
    <s v="Comprehensive Collaborative Strategic Partnership [全面战略协作伙伴关系]"/>
    <s v="None"/>
    <s v="EUCOM"/>
    <x v="7"/>
    <x v="24"/>
    <n v="5"/>
    <x v="5"/>
    <m/>
    <m/>
    <m/>
    <m/>
    <x v="0"/>
    <m/>
    <x v="3"/>
    <s v="Joint Sea 2015 (I)"/>
    <x v="2"/>
    <s v="Maritime naval exercises in Mediterrean Sea.  May 11-21"/>
    <m/>
    <m/>
    <m/>
    <m/>
    <m/>
    <m/>
  </r>
  <r>
    <x v="1"/>
    <x v="1"/>
    <s v="Asia"/>
    <s v="All-Round Cooperative Partnership [全方合作伙伴关系]"/>
    <s v="None"/>
    <s v="INDOPACOM"/>
    <x v="39"/>
    <x v="24"/>
    <n v="5"/>
    <x v="7"/>
    <s v="Sun Jianguo"/>
    <m/>
    <s v="GSD DCGS"/>
    <n v="6"/>
    <x v="1"/>
    <s v="Defense Minister; 14th Shangri-la"/>
    <x v="0"/>
    <m/>
    <x v="0"/>
    <m/>
    <m/>
    <m/>
    <m/>
    <m/>
    <m/>
    <m/>
  </r>
  <r>
    <x v="2"/>
    <x v="1"/>
    <s v="Asia"/>
    <s v="All-Round Cooperative Partnership [全方合作伙伴关系]"/>
    <s v="None"/>
    <s v="INDOPACOM"/>
    <x v="39"/>
    <x v="24"/>
    <n v="5"/>
    <x v="5"/>
    <m/>
    <m/>
    <m/>
    <m/>
    <x v="0"/>
    <m/>
    <x v="3"/>
    <s v="Maritime Cooperation 2015"/>
    <x v="2"/>
    <s v="maritime naval exercises; gunnery firing and manoeuvring drills; air-defence and other war-fighting drills."/>
    <m/>
    <m/>
    <m/>
    <m/>
    <s v="https://www.mindef.gov.sg/web/portal/mindef/news-and-events/latest-releases/article-detail/2015/may/2015may25-news-releases-02118"/>
    <m/>
  </r>
  <r>
    <x v="1"/>
    <x v="4"/>
    <s v="Asia"/>
    <s v="Strategic Cooperative Partnership [战略合作伙伴关系]"/>
    <s v="Bilateral Defense Treaty"/>
    <s v="INDOPACOM"/>
    <x v="25"/>
    <x v="24"/>
    <n v="5"/>
    <x v="7"/>
    <s v="Sun Jianguo"/>
    <m/>
    <s v="GSD DCGS"/>
    <n v="6"/>
    <x v="1"/>
    <s v="Defense Minister; 14th Shangri-la"/>
    <x v="0"/>
    <m/>
    <x v="0"/>
    <m/>
    <m/>
    <m/>
    <m/>
    <m/>
    <m/>
    <m/>
  </r>
  <r>
    <x v="1"/>
    <x v="0"/>
    <s v="Asia"/>
    <s v="Strategic Cooperative Partnership [战略合作伙伴关系]"/>
    <s v="None"/>
    <s v="INDOPACOM"/>
    <x v="3"/>
    <x v="24"/>
    <n v="5"/>
    <x v="7"/>
    <s v="Sun Jianguo"/>
    <m/>
    <s v="GSD DCGS"/>
    <n v="6"/>
    <x v="1"/>
    <s v="Defense Minister; 14th Shangri-la"/>
    <x v="0"/>
    <m/>
    <x v="0"/>
    <m/>
    <m/>
    <m/>
    <m/>
    <m/>
    <m/>
    <m/>
  </r>
  <r>
    <x v="1"/>
    <x v="8"/>
    <s v="Europe and Central Asia"/>
    <s v="No Specific Relationship"/>
    <s v="None"/>
    <s v="EUCOM"/>
    <x v="78"/>
    <x v="24"/>
    <n v="5"/>
    <x v="4"/>
    <s v="Sun Jianguo"/>
    <m/>
    <s v="GSD DCGS"/>
    <n v="6"/>
    <x v="1"/>
    <s v="Deputy Secretary General of Ministry of Defense; 14th Shangri-la"/>
    <x v="0"/>
    <m/>
    <x v="0"/>
    <m/>
    <m/>
    <m/>
    <m/>
    <m/>
    <m/>
    <m/>
  </r>
  <r>
    <x v="1"/>
    <x v="1"/>
    <s v="Asia"/>
    <s v="Comprehensive Strategic Cooperative Partnership [全面战略合作伙伴关系]"/>
    <s v="Bilateral Defense Treaty"/>
    <s v="INDOPACOM"/>
    <x v="5"/>
    <x v="24"/>
    <n v="5"/>
    <x v="4"/>
    <s v="Xu Qiliang"/>
    <m/>
    <s v="CMC Vice Chairman"/>
    <n v="10"/>
    <x v="1"/>
    <m/>
    <x v="0"/>
    <m/>
    <x v="0"/>
    <m/>
    <m/>
    <m/>
    <m/>
    <m/>
    <m/>
    <m/>
  </r>
  <r>
    <x v="2"/>
    <x v="8"/>
    <s v="Europe and Central Asia"/>
    <s v="Strategic Cooperative Partnership [战略合作伙伴关系]"/>
    <s v="NATO"/>
    <s v="EUCOM"/>
    <x v="38"/>
    <x v="24"/>
    <n v="5"/>
    <x v="5"/>
    <m/>
    <m/>
    <m/>
    <m/>
    <x v="0"/>
    <m/>
    <x v="2"/>
    <s v="None"/>
    <x v="2"/>
    <s v="communication and fleet maneuvers"/>
    <m/>
    <m/>
    <m/>
    <m/>
    <m/>
    <m/>
  </r>
  <r>
    <x v="0"/>
    <x v="8"/>
    <s v="Europe and Central Asia"/>
    <s v="Strategic Cooperative Partnership [战略合作伙伴关系]"/>
    <s v="NATO"/>
    <s v="EUCOM"/>
    <x v="38"/>
    <x v="24"/>
    <n v="5"/>
    <x v="0"/>
    <m/>
    <m/>
    <m/>
    <m/>
    <x v="0"/>
    <m/>
    <x v="0"/>
    <m/>
    <x v="0"/>
    <m/>
    <s v="ETF"/>
    <s v="ETF-19"/>
    <s v="North Sea Fleet"/>
    <s v="FFG547 Linyi, FFG550 Weifang, AOR887 Weishan Hu"/>
    <m/>
    <m/>
  </r>
  <r>
    <x v="1"/>
    <x v="2"/>
    <s v="America and Oceania"/>
    <s v="No Specific Relationship"/>
    <s v="N/A"/>
    <s v="NORTHCOM"/>
    <x v="4"/>
    <x v="24"/>
    <n v="5"/>
    <x v="4"/>
    <s v="Li Zuocheng"/>
    <m/>
    <s v="MR Commander"/>
    <n v="6"/>
    <x v="1"/>
    <s v="PACOM Deputy Commander"/>
    <x v="0"/>
    <m/>
    <x v="0"/>
    <m/>
    <m/>
    <m/>
    <m/>
    <m/>
    <s v="2016 CH Milpower Report"/>
    <m/>
  </r>
  <r>
    <x v="1"/>
    <x v="2"/>
    <s v="America and Oceania"/>
    <s v="No Specific Relationship"/>
    <s v="N/A"/>
    <s v="NORTHCOM"/>
    <x v="4"/>
    <x v="24"/>
    <n v="5"/>
    <x v="3"/>
    <s v="Huang Guoxian"/>
    <m/>
    <s v="MR Deputy Commander"/>
    <n v="5"/>
    <x v="2"/>
    <s v="PACAF Commander"/>
    <x v="0"/>
    <m/>
    <x v="0"/>
    <m/>
    <m/>
    <m/>
    <m/>
    <m/>
    <s v="2016 CH Milpower Report"/>
    <m/>
  </r>
  <r>
    <x v="1"/>
    <x v="1"/>
    <s v="Asia"/>
    <s v="Comprehensive Strategic Cooperative Partnership [全面战略合作伙伴关系]"/>
    <s v="None"/>
    <s v="INDOPACOM"/>
    <x v="23"/>
    <x v="24"/>
    <n v="5"/>
    <x v="3"/>
    <s v="Chang Wanquan"/>
    <m/>
    <s v="Defense Minister; CMC Member"/>
    <n v="8"/>
    <x v="2"/>
    <s v="Defense Minister"/>
    <x v="0"/>
    <m/>
    <x v="0"/>
    <m/>
    <m/>
    <m/>
    <m/>
    <m/>
    <m/>
    <m/>
  </r>
  <r>
    <x v="2"/>
    <x v="4"/>
    <s v="N/A"/>
    <s v="Member"/>
    <s v="None"/>
    <s v="INDOPACOM"/>
    <x v="136"/>
    <x v="24"/>
    <n v="5"/>
    <x v="6"/>
    <m/>
    <m/>
    <m/>
    <m/>
    <x v="0"/>
    <m/>
    <x v="2"/>
    <s v="WPNS 2015"/>
    <x v="2"/>
    <s v="maritime surveillance and SAR. Other countries: Singapore, Indonesia, Thailand, United States"/>
    <m/>
    <m/>
    <m/>
    <m/>
    <m/>
    <m/>
  </r>
  <r>
    <x v="2"/>
    <x v="8"/>
    <s v="Europe and Central Asia"/>
    <s v="Comprehensive Strategic Partnership [全面战略伙伴关系]"/>
    <s v="None"/>
    <s v="EUCOM"/>
    <x v="34"/>
    <x v="24"/>
    <n v="6"/>
    <x v="5"/>
    <m/>
    <m/>
    <m/>
    <m/>
    <x v="0"/>
    <m/>
    <x v="1"/>
    <s v="Divine Eagle 2015"/>
    <x v="5"/>
    <s v="Airborne forces"/>
    <m/>
    <m/>
    <m/>
    <m/>
    <m/>
    <m/>
  </r>
  <r>
    <x v="1"/>
    <x v="10"/>
    <s v="America and Oceania"/>
    <s v="Strategic Partnership [战略伙伴关系]"/>
    <s v="None"/>
    <s v="SOUTHCOM"/>
    <x v="66"/>
    <x v="24"/>
    <n v="6"/>
    <x v="3"/>
    <s v="Chang Wanquan"/>
    <m/>
    <s v="Defense Minister; CMC Member"/>
    <n v="8"/>
    <x v="2"/>
    <s v="Defense Minister"/>
    <x v="0"/>
    <m/>
    <x v="0"/>
    <m/>
    <m/>
    <m/>
    <m/>
    <m/>
    <m/>
    <m/>
  </r>
  <r>
    <x v="0"/>
    <x v="8"/>
    <s v="Europe and Central Asia"/>
    <s v="Comprehensive Cooperative Partnership [全面合作伙伴关系]"/>
    <s v="NATO"/>
    <s v="EUCOM"/>
    <x v="35"/>
    <x v="24"/>
    <n v="6"/>
    <x v="0"/>
    <m/>
    <m/>
    <m/>
    <m/>
    <x v="0"/>
    <m/>
    <x v="0"/>
    <m/>
    <x v="0"/>
    <m/>
    <s v="ETF"/>
    <s v="ETF-19"/>
    <s v="North Sea Fleet"/>
    <s v="FFG547 Linyi, FFG550 Weifang, AOR887 Weishan Hu"/>
    <m/>
    <m/>
  </r>
  <r>
    <x v="1"/>
    <x v="10"/>
    <s v="America and Oceania"/>
    <s v="No Specific Relationship"/>
    <s v="None"/>
    <s v="SOUTHCOM"/>
    <x v="49"/>
    <x v="24"/>
    <n v="6"/>
    <x v="4"/>
    <s v="Fan Changlong"/>
    <m/>
    <s v="CMC Vice Chairman"/>
    <n v="10"/>
    <x v="1"/>
    <m/>
    <x v="0"/>
    <m/>
    <x v="0"/>
    <m/>
    <m/>
    <m/>
    <m/>
    <m/>
    <m/>
    <m/>
  </r>
  <r>
    <x v="0"/>
    <x v="10"/>
    <s v="America and Oceania"/>
    <s v="Strategic Partnership [战略伙伴关系]"/>
    <s v="None"/>
    <s v="SOUTHCOM"/>
    <x v="51"/>
    <x v="24"/>
    <n v="6"/>
    <x v="0"/>
    <m/>
    <m/>
    <m/>
    <m/>
    <x v="0"/>
    <m/>
    <x v="0"/>
    <m/>
    <x v="0"/>
    <m/>
    <s v="NETF"/>
    <s v="2015-05 Zhu Kezhen "/>
    <s v="East Sea Fleet"/>
    <s v="survey ship"/>
    <m/>
    <m/>
  </r>
  <r>
    <x v="1"/>
    <x v="8"/>
    <s v="Europe and Central Asia"/>
    <s v="Comprehensive Strategic Partnership [全面战略伙伴关系]"/>
    <s v="NATO"/>
    <s v="EUCOM"/>
    <x v="29"/>
    <x v="24"/>
    <n v="6"/>
    <x v="3"/>
    <s v="Ma Xiaotian"/>
    <m/>
    <s v="PLAAF Commander; CMC Member"/>
    <n v="8"/>
    <x v="2"/>
    <s v="Air Force COGS"/>
    <x v="0"/>
    <m/>
    <x v="0"/>
    <m/>
    <m/>
    <m/>
    <m/>
    <m/>
    <m/>
    <m/>
  </r>
  <r>
    <x v="0"/>
    <x v="8"/>
    <s v="Europe and Central Asia"/>
    <s v="Comprehensive Strategic Partnership [全面战略伙伴关系]"/>
    <s v="NATO"/>
    <s v="EUCOM"/>
    <x v="20"/>
    <x v="24"/>
    <n v="6"/>
    <x v="0"/>
    <m/>
    <m/>
    <m/>
    <m/>
    <x v="0"/>
    <m/>
    <x v="0"/>
    <m/>
    <x v="0"/>
    <m/>
    <s v="ETF"/>
    <s v="ETF-19"/>
    <s v="North Sea Fleet"/>
    <s v="FFG547 Linyi, FFG550 Weifang, AOR887 Weishan Hu"/>
    <m/>
    <m/>
  </r>
  <r>
    <x v="1"/>
    <x v="6"/>
    <s v="Europe and Central Asia"/>
    <s v="Strategic Partnership [战略伙伴关系]"/>
    <s v="None"/>
    <s v="CENTCOM"/>
    <x v="31"/>
    <x v="24"/>
    <n v="6"/>
    <x v="3"/>
    <s v="Du Jincai"/>
    <m/>
    <s v="GPD Deputy Director"/>
    <n v="6"/>
    <x v="2"/>
    <s v="President of the Military Court"/>
    <x v="0"/>
    <m/>
    <x v="0"/>
    <m/>
    <m/>
    <m/>
    <m/>
    <m/>
    <m/>
    <m/>
  </r>
  <r>
    <x v="0"/>
    <x v="1"/>
    <s v="Asia"/>
    <s v="Comprehensive Strategic Partnership [全面战略伙伴关系]"/>
    <s v="None"/>
    <s v="INDOPACOM"/>
    <x v="10"/>
    <x v="24"/>
    <n v="6"/>
    <x v="13"/>
    <m/>
    <m/>
    <m/>
    <m/>
    <x v="0"/>
    <m/>
    <x v="0"/>
    <m/>
    <x v="0"/>
    <m/>
    <s v="ETF"/>
    <s v="ETF-19"/>
    <s v="North Sea Fleet"/>
    <s v="FFG547 Linyi, FFG550 Weifang, AOR887 Weishan Hu"/>
    <m/>
    <m/>
  </r>
  <r>
    <x v="2"/>
    <x v="4"/>
    <s v="Asia"/>
    <s v="Comprehensive Strategic Partnership [全面战略伙伴关系]"/>
    <s v="None"/>
    <s v="INDOPACOM"/>
    <x v="53"/>
    <x v="24"/>
    <n v="6"/>
    <x v="6"/>
    <m/>
    <m/>
    <m/>
    <m/>
    <x v="0"/>
    <m/>
    <x v="2"/>
    <s v="Khaan Quest 2015"/>
    <x v="1"/>
    <s v="Peacekeeping "/>
    <m/>
    <m/>
    <m/>
    <m/>
    <s v="http://www.pacom.mil/Media/News/Article/600918/exercise-khaan-quest-2015/ "/>
    <m/>
  </r>
  <r>
    <x v="2"/>
    <x v="4"/>
    <s v="Asia"/>
    <s v="Comprehensive Strategic Partnership [全面战略伙伴关系]"/>
    <s v="None"/>
    <s v="INDOPACOM"/>
    <x v="53"/>
    <x v="24"/>
    <n v="6"/>
    <x v="6"/>
    <m/>
    <m/>
    <m/>
    <m/>
    <x v="0"/>
    <m/>
    <x v="2"/>
    <s v="Khaan Quest 2015"/>
    <x v="1"/>
    <s v="PKO and Stability ops. Other countries: refer to source for a complete list of countries "/>
    <m/>
    <m/>
    <m/>
    <m/>
    <m/>
    <m/>
  </r>
  <r>
    <x v="1"/>
    <x v="5"/>
    <s v="America and Oceania"/>
    <s v="Comprehensive Strategic Partnership [全面战略伙伴关系]"/>
    <s v="ANZUS Treaty"/>
    <s v="INDOPACOM"/>
    <x v="13"/>
    <x v="24"/>
    <n v="6"/>
    <x v="3"/>
    <s v="Fang Fenghui"/>
    <m/>
    <s v="GSD Commander; CMC Member"/>
    <n v="8"/>
    <x v="2"/>
    <s v="NZDF Chief"/>
    <x v="0"/>
    <m/>
    <x v="0"/>
    <m/>
    <m/>
    <m/>
    <m/>
    <m/>
    <m/>
    <m/>
  </r>
  <r>
    <x v="1"/>
    <x v="0"/>
    <s v="Asia"/>
    <s v="All-Weather Strategic Cooperative Partnership [全天候战略合作伙伴关系]"/>
    <s v="Major Non-NATO Ally"/>
    <s v="CENTCOM"/>
    <x v="2"/>
    <x v="24"/>
    <n v="6"/>
    <x v="3"/>
    <s v="Fan Changlong"/>
    <m/>
    <s v="CMC Vice Chairman"/>
    <n v="10"/>
    <x v="2"/>
    <s v="Air Force Chief Marshal"/>
    <x v="0"/>
    <m/>
    <x v="0"/>
    <m/>
    <m/>
    <m/>
    <m/>
    <m/>
    <m/>
    <m/>
  </r>
  <r>
    <x v="1"/>
    <x v="0"/>
    <s v="Asia"/>
    <s v="Strategic Cooperative Partnership [战略合作伙伴关系]"/>
    <s v="None"/>
    <s v="INDOPACOM"/>
    <x v="3"/>
    <x v="24"/>
    <n v="6"/>
    <x v="3"/>
    <s v="Chang Wanquan"/>
    <m/>
    <s v="Defense Minister; CMC Member"/>
    <n v="8"/>
    <x v="2"/>
    <s v="Navy Commander"/>
    <x v="0"/>
    <m/>
    <x v="0"/>
    <m/>
    <m/>
    <m/>
    <m/>
    <m/>
    <m/>
    <m/>
  </r>
  <r>
    <x v="2"/>
    <x v="0"/>
    <s v="Asia"/>
    <s v="Strategic Cooperative Partnership [战略合作伙伴关系]"/>
    <s v="None"/>
    <s v="INDOPACOM"/>
    <x v="3"/>
    <x v="24"/>
    <n v="6"/>
    <x v="5"/>
    <m/>
    <m/>
    <m/>
    <m/>
    <x v="0"/>
    <m/>
    <x v="1"/>
    <s v="Silk Road Cooperation 2015"/>
    <x v="4"/>
    <s v="joint drill with Guangdong PAP contingent"/>
    <m/>
    <m/>
    <m/>
    <m/>
    <s v="http://eng.mod.gov.cn/DefenseNews/2015-03/31/content_4577899.htm"/>
    <m/>
  </r>
  <r>
    <x v="1"/>
    <x v="2"/>
    <s v="America and Oceania"/>
    <s v="No Specific Relationship"/>
    <s v="N/A"/>
    <s v="NORTHCOM"/>
    <x v="4"/>
    <x v="24"/>
    <n v="6"/>
    <x v="4"/>
    <s v="Fan Changlong"/>
    <m/>
    <s v="CMC Vice Chairman"/>
    <n v="10"/>
    <x v="1"/>
    <s v="Secretary of Defense Carter"/>
    <x v="0"/>
    <m/>
    <x v="0"/>
    <m/>
    <m/>
    <m/>
    <m/>
    <m/>
    <s v="2016 CH Milpower Report"/>
    <m/>
  </r>
  <r>
    <x v="1"/>
    <x v="1"/>
    <s v="Asia"/>
    <s v="Comprehensive Strategic Cooperative Partnership [全面战略合作伙伴关系]"/>
    <s v="None"/>
    <s v="INDOPACOM"/>
    <x v="94"/>
    <x v="24"/>
    <n v="7"/>
    <x v="3"/>
    <s v="Xu Qiliang"/>
    <m/>
    <s v="CMC Vice Chairman"/>
    <n v="10"/>
    <x v="2"/>
    <s v="Deputy Prime Minister and Minister of Defense"/>
    <x v="0"/>
    <m/>
    <x v="0"/>
    <m/>
    <m/>
    <m/>
    <m/>
    <m/>
    <m/>
    <m/>
  </r>
  <r>
    <x v="1"/>
    <x v="5"/>
    <s v="America and Oceania"/>
    <s v="Strategic Partnership [战略伙伴关系]"/>
    <s v="None"/>
    <s v="INDOPACOM"/>
    <x v="128"/>
    <x v="24"/>
    <n v="7"/>
    <x v="3"/>
    <s v="Fang Fenghui"/>
    <m/>
    <s v="GSD Commander; CMC Member"/>
    <n v="8"/>
    <x v="2"/>
    <s v="Commander of Armed Forces"/>
    <x v="0"/>
    <m/>
    <x v="0"/>
    <m/>
    <m/>
    <m/>
    <m/>
    <m/>
    <m/>
    <s v="Coded as Oceania instead of Southeast Asia"/>
  </r>
  <r>
    <x v="1"/>
    <x v="8"/>
    <s v="Europe and Central Asia"/>
    <s v="No Specific Relationship"/>
    <s v="None"/>
    <s v="EUCOM"/>
    <x v="81"/>
    <x v="24"/>
    <n v="7"/>
    <x v="4"/>
    <s v="Chang Wanquan"/>
    <m/>
    <s v="Defense Minister; CMC Member"/>
    <n v="8"/>
    <x v="1"/>
    <m/>
    <x v="0"/>
    <m/>
    <x v="0"/>
    <m/>
    <m/>
    <m/>
    <m/>
    <m/>
    <m/>
    <m/>
  </r>
  <r>
    <x v="1"/>
    <x v="8"/>
    <s v="Europe and Central Asia"/>
    <s v="Comprehensive Strategic Partnership [全面战略伙伴关系]"/>
    <s v="NATO"/>
    <s v="EUCOM"/>
    <x v="20"/>
    <x v="24"/>
    <n v="7"/>
    <x v="3"/>
    <s v="Xu Qiliang"/>
    <m/>
    <s v="CMC Vice Chairman"/>
    <n v="10"/>
    <x v="2"/>
    <s v="Defense Minister"/>
    <x v="0"/>
    <m/>
    <x v="0"/>
    <m/>
    <m/>
    <m/>
    <m/>
    <m/>
    <m/>
    <m/>
  </r>
  <r>
    <x v="1"/>
    <x v="1"/>
    <s v="Asia"/>
    <s v="Comprehensive Strategic Cooperative Partnership [全面战略合作伙伴关系]"/>
    <s v="None"/>
    <s v="INDOPACOM"/>
    <x v="52"/>
    <x v="24"/>
    <n v="7"/>
    <x v="3"/>
    <s v="Xu Qiliang"/>
    <m/>
    <s v="CMC Vice Chairman"/>
    <n v="10"/>
    <x v="2"/>
    <s v="Defense Minister"/>
    <x v="0"/>
    <m/>
    <x v="0"/>
    <m/>
    <m/>
    <m/>
    <m/>
    <m/>
    <m/>
    <m/>
  </r>
  <r>
    <x v="2"/>
    <x v="0"/>
    <s v="Asia"/>
    <s v="All-Weather Strategic Cooperative Partnership [全天候战略合作伙伴关系]"/>
    <s v="Major Non-NATO Ally"/>
    <s v="CENTCOM"/>
    <x v="2"/>
    <x v="24"/>
    <n v="7"/>
    <x v="5"/>
    <m/>
    <m/>
    <m/>
    <m/>
    <x v="0"/>
    <m/>
    <x v="1"/>
    <s v="Warrior-III"/>
    <x v="1"/>
    <s v="SSG and PLAA SOF"/>
    <m/>
    <m/>
    <m/>
    <m/>
    <m/>
    <m/>
  </r>
  <r>
    <x v="1"/>
    <x v="3"/>
    <s v="Europe and Central Asia"/>
    <s v="Comprehensive Collaborative Strategic Partnership [全面战略协作伙伴关系]"/>
    <s v="None"/>
    <s v="EUCOM"/>
    <x v="7"/>
    <x v="24"/>
    <n v="7"/>
    <x v="4"/>
    <s v="Chang Wanquan"/>
    <m/>
    <s v="Defense Minister; CMC Member"/>
    <n v="8"/>
    <x v="1"/>
    <m/>
    <x v="0"/>
    <m/>
    <x v="0"/>
    <m/>
    <m/>
    <m/>
    <m/>
    <m/>
    <m/>
    <m/>
  </r>
  <r>
    <x v="1"/>
    <x v="6"/>
    <s v="Europe and Central Asia"/>
    <s v="Member"/>
    <s v="None"/>
    <s v="CENTCOM"/>
    <x v="14"/>
    <x v="24"/>
    <n v="7"/>
    <x v="1"/>
    <s v="Chang Wanquan"/>
    <m/>
    <s v="Defense Minister; CMC Member"/>
    <n v="8"/>
    <x v="1"/>
    <s v="12th official meeting of the SCO Ministers' of Defense in St Petersburg; Other countries: Kazakhstan, Kyrgyztan, Russia, Tajikistan, Uzbekistan"/>
    <x v="0"/>
    <m/>
    <x v="0"/>
    <m/>
    <m/>
    <m/>
    <m/>
    <m/>
    <s v="https://www.chinadaily.com.cn/world/2015xiatbricssco/2015-07/01/content_21149740.htm"/>
    <m/>
  </r>
  <r>
    <x v="1"/>
    <x v="1"/>
    <s v="Asia"/>
    <s v="All-Round Cooperative Partnership [全方合作伙伴关系]"/>
    <s v="None"/>
    <s v="INDOPACOM"/>
    <x v="39"/>
    <x v="24"/>
    <n v="7"/>
    <x v="3"/>
    <s v="Wu Shengli"/>
    <m/>
    <s v="PLAN Commander; CMC Member"/>
    <n v="8"/>
    <x v="2"/>
    <s v="Navy Commander"/>
    <x v="0"/>
    <m/>
    <x v="0"/>
    <m/>
    <m/>
    <m/>
    <m/>
    <m/>
    <m/>
    <m/>
  </r>
  <r>
    <x v="1"/>
    <x v="7"/>
    <s v="West Asia and Africa"/>
    <s v="Comprehensive Strategic Partnership [全面战略伙伴关系]"/>
    <s v="None"/>
    <s v="AFRICOM"/>
    <x v="15"/>
    <x v="24"/>
    <n v="7"/>
    <x v="3"/>
    <s v="Ma Xiaotian"/>
    <m/>
    <s v="PLAAF Commander; CMC Member"/>
    <n v="8"/>
    <x v="2"/>
    <s v="Air Force Commander"/>
    <x v="0"/>
    <m/>
    <x v="0"/>
    <m/>
    <m/>
    <m/>
    <m/>
    <m/>
    <m/>
    <m/>
  </r>
  <r>
    <x v="1"/>
    <x v="10"/>
    <s v="America and Oceania"/>
    <s v="Comprehensive Strategic Partnership [全面战略伙伴关系]"/>
    <s v="Major Non-NATO Ally"/>
    <s v="SOUTHCOM"/>
    <x v="62"/>
    <x v="24"/>
    <n v="8"/>
    <x v="3"/>
    <s v="Fang Fenghui"/>
    <m/>
    <s v="GSD Commander; CMC Member"/>
    <n v="8"/>
    <x v="2"/>
    <s v="Chairman JCS"/>
    <x v="0"/>
    <m/>
    <x v="0"/>
    <m/>
    <m/>
    <m/>
    <m/>
    <m/>
    <m/>
    <m/>
  </r>
  <r>
    <x v="2"/>
    <x v="5"/>
    <s v="America and Oceania"/>
    <s v="Comprehensive Strategic Partnership [全面战略伙伴关系]"/>
    <s v="ANZUS Treaty"/>
    <s v="INDOPACOM"/>
    <x v="12"/>
    <x v="24"/>
    <n v="8"/>
    <x v="6"/>
    <m/>
    <m/>
    <m/>
    <m/>
    <x v="0"/>
    <m/>
    <x v="2"/>
    <s v="Kowari 2015"/>
    <x v="1"/>
    <s v="Survival skills"/>
    <m/>
    <m/>
    <m/>
    <m/>
    <s v=" https://www.marines.mil/News/News-Display/Article/617336/exercise-kowari-2015-concludes-in-darwin-australia/"/>
    <m/>
  </r>
  <r>
    <x v="1"/>
    <x v="1"/>
    <s v="Asia"/>
    <s v="Comprehensive Strategic Cooperative Partnership [全面战略合作伙伴关系]"/>
    <s v="None"/>
    <s v="INDOPACOM"/>
    <x v="94"/>
    <x v="24"/>
    <n v="8"/>
    <x v="3"/>
    <s v="Sun Jianguo"/>
    <m/>
    <s v="GSD DCGS"/>
    <n v="6"/>
    <x v="2"/>
    <s v="Deputy CinC Armed Forces "/>
    <x v="0"/>
    <m/>
    <x v="0"/>
    <m/>
    <m/>
    <m/>
    <m/>
    <m/>
    <m/>
    <m/>
  </r>
  <r>
    <x v="2"/>
    <x v="3"/>
    <s v="Europe and Central Asia"/>
    <s v="Comprehensive Collaborative Strategic Partnership [全面战略协作伙伴关系]"/>
    <s v="None"/>
    <s v="EUCOM"/>
    <x v="7"/>
    <x v="24"/>
    <n v="8"/>
    <x v="6"/>
    <m/>
    <m/>
    <m/>
    <m/>
    <x v="0"/>
    <m/>
    <x v="6"/>
    <s v="International Army Games 2015"/>
    <x v="1"/>
    <s v="Competition; Army, AF, Navy"/>
    <m/>
    <m/>
    <m/>
    <m/>
    <s v="http://mil.ru/files/files/armygames/index_en.html"/>
    <s v="MAIN ENTRY FOR IAG2015--coded as Army despite particiation of other services"/>
  </r>
  <r>
    <x v="2"/>
    <x v="3"/>
    <s v="Europe and Central Asia"/>
    <s v="Comprehensive Collaborative Strategic Partnership [全面战略协作伙伴关系]"/>
    <s v="None"/>
    <s v="EUCOM"/>
    <x v="7"/>
    <x v="24"/>
    <n v="8"/>
    <x v="5"/>
    <m/>
    <m/>
    <m/>
    <m/>
    <x v="0"/>
    <m/>
    <x v="3"/>
    <s v="Joint Sea 2015 (II)"/>
    <x v="2"/>
    <s v="The drills took place from Aug. 20-28 in the Peter the Great Gulf, waters off the Clerk Cape, and the Sea of Japan."/>
    <m/>
    <m/>
    <m/>
    <m/>
    <m/>
    <m/>
  </r>
  <r>
    <x v="0"/>
    <x v="7"/>
    <s v="West Asia and Africa"/>
    <s v="Strategic Partnership [战略伙伴关系]"/>
    <s v="None"/>
    <s v="AFRICOM"/>
    <x v="74"/>
    <x v="24"/>
    <n v="8"/>
    <x v="0"/>
    <m/>
    <m/>
    <m/>
    <m/>
    <x v="0"/>
    <m/>
    <x v="0"/>
    <m/>
    <x v="0"/>
    <m/>
    <s v="ETF"/>
    <s v="ETF-20"/>
    <s v="East Sea Fleet"/>
    <s v="DDG152 Jinan, FFG548 Yiyang, AOR886 Qiandao Hu "/>
    <m/>
    <m/>
  </r>
  <r>
    <x v="1"/>
    <x v="1"/>
    <s v="Asia"/>
    <s v="Comprehensive Strategic Cooperative Partnership [全面战略合作伙伴关系]"/>
    <s v="None"/>
    <s v="INDOPACOM"/>
    <x v="23"/>
    <x v="24"/>
    <n v="8"/>
    <x v="4"/>
    <s v="Sun Jianguo"/>
    <m/>
    <s v="GSD DCGS"/>
    <n v="6"/>
    <x v="1"/>
    <m/>
    <x v="0"/>
    <m/>
    <x v="0"/>
    <m/>
    <m/>
    <m/>
    <m/>
    <m/>
    <m/>
    <m/>
  </r>
  <r>
    <x v="1"/>
    <x v="7"/>
    <s v="West Asia and Africa"/>
    <s v="No Specific Relationship"/>
    <s v="None"/>
    <s v="AFRICOM"/>
    <x v="86"/>
    <x v="24"/>
    <n v="8"/>
    <x v="3"/>
    <s v="Ma Xiaotian"/>
    <m/>
    <s v="PLAAF Commander; CMC Member"/>
    <n v="8"/>
    <x v="2"/>
    <s v="Air Force Commander"/>
    <x v="0"/>
    <m/>
    <x v="0"/>
    <m/>
    <m/>
    <m/>
    <m/>
    <m/>
    <m/>
    <m/>
  </r>
  <r>
    <x v="2"/>
    <x v="5"/>
    <s v="America and Oceania"/>
    <s v="Comprehensive Strategic Partnership [全面战略伙伴关系]"/>
    <s v="ANZUS Treaty"/>
    <s v="INDOPACOM"/>
    <x v="12"/>
    <x v="24"/>
    <n v="9"/>
    <x v="5"/>
    <m/>
    <m/>
    <m/>
    <m/>
    <x v="0"/>
    <m/>
    <x v="2"/>
    <s v="Panda-Kangaroo 2015"/>
    <x v="1"/>
    <s v="Survival skills"/>
    <m/>
    <m/>
    <m/>
    <m/>
    <m/>
    <m/>
  </r>
  <r>
    <x v="1"/>
    <x v="10"/>
    <s v="America and Oceania"/>
    <s v="Comprehensive Strategic Partnership [全面战略伙伴关系]"/>
    <s v="None"/>
    <s v="SOUTHCOM"/>
    <x v="43"/>
    <x v="24"/>
    <n v="9"/>
    <x v="3"/>
    <s v="Chang Wanquan"/>
    <m/>
    <s v="Defense Minister; CMC Member"/>
    <n v="8"/>
    <x v="2"/>
    <s v="Special Envoy of the President and Defense Minister"/>
    <x v="0"/>
    <m/>
    <x v="0"/>
    <m/>
    <m/>
    <m/>
    <m/>
    <m/>
    <m/>
    <m/>
  </r>
  <r>
    <x v="1"/>
    <x v="10"/>
    <s v="America and Oceania"/>
    <s v="Strategic Partnership [战略伙伴关系]"/>
    <s v="None"/>
    <s v="SOUTHCOM"/>
    <x v="156"/>
    <x v="24"/>
    <n v="9"/>
    <x v="4"/>
    <s v="Wang Guanzhong"/>
    <m/>
    <s v="GSD DCGS"/>
    <n v="6"/>
    <x v="1"/>
    <m/>
    <x v="0"/>
    <m/>
    <x v="0"/>
    <m/>
    <m/>
    <m/>
    <m/>
    <m/>
    <m/>
    <m/>
  </r>
  <r>
    <x v="1"/>
    <x v="10"/>
    <s v="America and Oceania"/>
    <s v="No Specific Relationship"/>
    <s v="None"/>
    <s v="SOUTHCOM"/>
    <x v="49"/>
    <x v="24"/>
    <n v="9"/>
    <x v="3"/>
    <s v="Fan Changlong"/>
    <m/>
    <s v="CMC Vice Chairman"/>
    <n v="10"/>
    <x v="2"/>
    <s v="First Deputy Minister of Defense and COGS"/>
    <x v="0"/>
    <m/>
    <x v="0"/>
    <m/>
    <m/>
    <m/>
    <m/>
    <m/>
    <m/>
    <m/>
  </r>
  <r>
    <x v="0"/>
    <x v="8"/>
    <s v="Europe and Central Asia"/>
    <s v="Comprehensive Strategic Partnership [全面战略伙伴关系]"/>
    <s v="NATO"/>
    <s v="EUCOM"/>
    <x v="116"/>
    <x v="24"/>
    <n v="9"/>
    <x v="0"/>
    <m/>
    <m/>
    <m/>
    <m/>
    <x v="0"/>
    <m/>
    <x v="0"/>
    <m/>
    <x v="0"/>
    <m/>
    <s v="ETF"/>
    <s v="ETF-20"/>
    <s v="East Sea Fleet"/>
    <s v="DDG152 Jinan, FFG548 Yiyang, AOR886 Qiandao Hu "/>
    <m/>
    <m/>
  </r>
  <r>
    <x v="2"/>
    <x v="8"/>
    <s v="Europe and Central Asia"/>
    <s v="Comprehensive Strategic Partnership [全面战略伙伴关系]"/>
    <s v="NATO"/>
    <s v="EUCOM"/>
    <x v="116"/>
    <x v="24"/>
    <n v="9"/>
    <x v="5"/>
    <m/>
    <m/>
    <m/>
    <m/>
    <x v="0"/>
    <m/>
    <x v="2"/>
    <s v="None"/>
    <x v="2"/>
    <s v="communication and fleet maneuvers"/>
    <m/>
    <m/>
    <m/>
    <m/>
    <m/>
    <m/>
  </r>
  <r>
    <x v="0"/>
    <x v="9"/>
    <s v="West Asia and Africa"/>
    <s v="Comprehensive Strategic Partnership [全面战略伙伴关系]"/>
    <s v="Major Non-NATO Ally"/>
    <s v="CENTCOM"/>
    <x v="24"/>
    <x v="24"/>
    <n v="9"/>
    <x v="10"/>
    <m/>
    <m/>
    <m/>
    <m/>
    <x v="0"/>
    <m/>
    <x v="0"/>
    <m/>
    <x v="0"/>
    <m/>
    <s v="ETF"/>
    <s v="ETF-20"/>
    <s v="East Sea Fleet"/>
    <s v="DDG152 Jinan, FFG548 Yiyang, AOR886 Qiandao Hu "/>
    <m/>
    <m/>
  </r>
  <r>
    <x v="2"/>
    <x v="9"/>
    <s v="West Asia and Africa"/>
    <s v="Comprehensive Strategic Partnership [全面战略伙伴关系]"/>
    <s v="Major Non-NATO Ally"/>
    <s v="CENTCOM"/>
    <x v="24"/>
    <x v="24"/>
    <n v="9"/>
    <x v="5"/>
    <m/>
    <m/>
    <m/>
    <m/>
    <x v="0"/>
    <m/>
    <x v="2"/>
    <s v="None"/>
    <x v="2"/>
    <s v="fleet maneuvers, communications drill, underway replenishment; ETF-20"/>
    <m/>
    <m/>
    <m/>
    <m/>
    <m/>
    <m/>
  </r>
  <r>
    <x v="0"/>
    <x v="8"/>
    <s v="Europe and Central Asia"/>
    <s v="No Specific Relationship"/>
    <s v="None"/>
    <s v="EUCOM"/>
    <x v="81"/>
    <x v="24"/>
    <n v="9"/>
    <x v="0"/>
    <m/>
    <m/>
    <m/>
    <m/>
    <x v="0"/>
    <m/>
    <x v="0"/>
    <m/>
    <x v="0"/>
    <m/>
    <s v="ETF"/>
    <s v="ETF-20"/>
    <s v="East Sea Fleet"/>
    <s v="DDG152 Jinan, FFG548 Yiyang, AOR886 Qiandao Hu "/>
    <m/>
    <m/>
  </r>
  <r>
    <x v="1"/>
    <x v="8"/>
    <s v="Europe and Central Asia"/>
    <s v="No Specific Relationship"/>
    <s v="NATO"/>
    <s v="EUCOM"/>
    <x v="82"/>
    <x v="24"/>
    <n v="9"/>
    <x v="3"/>
    <s v="Chang Wanquan"/>
    <m/>
    <s v="Defense Minister; CMC Member"/>
    <n v="8"/>
    <x v="2"/>
    <s v="Deputy State Secretary at the Defense Ministry"/>
    <x v="0"/>
    <m/>
    <x v="0"/>
    <m/>
    <m/>
    <m/>
    <m/>
    <m/>
    <m/>
    <m/>
  </r>
  <r>
    <x v="1"/>
    <x v="8"/>
    <s v="Europe and Central Asia"/>
    <s v="Comprehensive Strategic Partnership [全面战略伙伴关系]"/>
    <s v="NATO"/>
    <s v="EUCOM"/>
    <x v="20"/>
    <x v="24"/>
    <n v="9"/>
    <x v="4"/>
    <s v="Du Jincai"/>
    <m/>
    <s v="GPD Deputy Director"/>
    <n v="6"/>
    <x v="1"/>
    <m/>
    <x v="0"/>
    <m/>
    <x v="0"/>
    <m/>
    <m/>
    <m/>
    <m/>
    <m/>
    <m/>
    <m/>
  </r>
  <r>
    <x v="2"/>
    <x v="1"/>
    <s v="Asia"/>
    <s v="Comprehensive Strategic Partnership [全面战略伙伴关系]"/>
    <s v="None"/>
    <s v="INDOPACOM"/>
    <x v="10"/>
    <x v="24"/>
    <n v="9"/>
    <x v="5"/>
    <m/>
    <m/>
    <m/>
    <m/>
    <x v="0"/>
    <m/>
    <x v="2"/>
    <s v="Peace and Friendship 2015"/>
    <x v="2"/>
    <s v="HADR, SAREX, anti-terrorism; &quot;weapons use&quot;"/>
    <m/>
    <m/>
    <m/>
    <m/>
    <s v="https://wss.apan.org/3574/Shared%20Documents/Day%201/Multilateral%20Health%20Engagement/3%20ASEAN%20REGIONAL%20FORUM%20DISASTER%20%20RELIEF%20EXERCISE%20(ARF%20DIREx)%202015.pdf; http://eng.mod.gov.cn/DefenseNews/2015-09/22/content_4621771.htm; http://usa"/>
    <m/>
  </r>
  <r>
    <x v="1"/>
    <x v="2"/>
    <s v="America and Oceania"/>
    <s v="Comprehensive Strategic Partnership [全面战略伙伴关系]"/>
    <s v="None"/>
    <s v="NORTHCOM"/>
    <x v="77"/>
    <x v="24"/>
    <n v="9"/>
    <x v="4"/>
    <s v="Wang Guanzhong"/>
    <m/>
    <s v="GSD DCGS"/>
    <n v="6"/>
    <x v="1"/>
    <m/>
    <x v="0"/>
    <m/>
    <x v="0"/>
    <m/>
    <m/>
    <m/>
    <m/>
    <m/>
    <m/>
    <m/>
  </r>
  <r>
    <x v="2"/>
    <x v="4"/>
    <s v="Asia"/>
    <s v="Comprehensive Strategic Partnership [全面战略伙伴关系]"/>
    <s v="None"/>
    <s v="INDOPACOM"/>
    <x v="53"/>
    <x v="24"/>
    <n v="9"/>
    <x v="5"/>
    <m/>
    <m/>
    <m/>
    <m/>
    <x v="0"/>
    <m/>
    <x v="1"/>
    <s v="Eagle 2015"/>
    <x v="4"/>
    <s v="Joint anti-terrorism drill in Mongolia"/>
    <m/>
    <m/>
    <m/>
    <m/>
    <s v="http://www.gywb.cn/content/2015-09/11/content_3800970_all.htm"/>
    <m/>
  </r>
  <r>
    <x v="1"/>
    <x v="7"/>
    <s v="West Asia and Africa"/>
    <s v="No Specific Relationship"/>
    <s v="None"/>
    <s v="AFRICOM"/>
    <x v="69"/>
    <x v="24"/>
    <n v="9"/>
    <x v="3"/>
    <s v="Xu Qiliang"/>
    <m/>
    <s v="CMC Vice Chairman"/>
    <n v="10"/>
    <x v="2"/>
    <s v="Defense Minister"/>
    <x v="0"/>
    <m/>
    <x v="0"/>
    <m/>
    <m/>
    <m/>
    <m/>
    <m/>
    <m/>
    <m/>
  </r>
  <r>
    <x v="1"/>
    <x v="5"/>
    <s v="America and Oceania"/>
    <s v="Comprehensive Strategic Partnership [全面战略伙伴关系]"/>
    <s v="ANZUS Treaty"/>
    <s v="INDOPACOM"/>
    <x v="13"/>
    <x v="24"/>
    <n v="9"/>
    <x v="3"/>
    <s v="Fan Changlong"/>
    <m/>
    <s v="CMC Vice Chairman"/>
    <n v="10"/>
    <x v="2"/>
    <s v="Defense Minister"/>
    <x v="0"/>
    <m/>
    <x v="0"/>
    <m/>
    <m/>
    <m/>
    <m/>
    <m/>
    <m/>
    <m/>
  </r>
  <r>
    <x v="2"/>
    <x v="5"/>
    <s v="America and Oceania"/>
    <s v="Comprehensive Strategic Partnership [全面战略伙伴关系]"/>
    <s v="ANZUS Treaty"/>
    <s v="INDOPACOM"/>
    <x v="13"/>
    <x v="24"/>
    <n v="9"/>
    <x v="6"/>
    <m/>
    <m/>
    <m/>
    <m/>
    <x v="0"/>
    <m/>
    <x v="2"/>
    <s v="Tropic Twilight"/>
    <x v="1"/>
    <s v="Engineering, HADR. Other countries: United Kingdom, United States"/>
    <m/>
    <m/>
    <m/>
    <m/>
    <s v="https://web.archive.org/web/20170414073944/http://www.nzdf.mil.nz/news/media-releases/2015/20151008-nzdfltghoatci.htm"/>
    <m/>
  </r>
  <r>
    <x v="2"/>
    <x v="0"/>
    <s v="Asia"/>
    <s v="All-Weather Strategic Cooperative Partnership [全天候战略合作伙伴关系]"/>
    <s v="Major Non-NATO Ally"/>
    <s v="CENTCOM"/>
    <x v="2"/>
    <x v="24"/>
    <n v="9"/>
    <x v="5"/>
    <m/>
    <m/>
    <m/>
    <m/>
    <x v="0"/>
    <m/>
    <x v="3"/>
    <s v="Shaheen-4"/>
    <x v="5"/>
    <s v="Operational aerial maneuvers"/>
    <m/>
    <m/>
    <m/>
    <m/>
    <m/>
    <m/>
  </r>
  <r>
    <x v="1"/>
    <x v="3"/>
    <s v="Europe and Central Asia"/>
    <s v="Comprehensive Collaborative Strategic Partnership [全面战略协作伙伴关系]"/>
    <s v="None"/>
    <s v="EUCOM"/>
    <x v="7"/>
    <x v="24"/>
    <n v="9"/>
    <x v="3"/>
    <s v="Fan Changlong"/>
    <m/>
    <s v="CMC Vice Chairman"/>
    <n v="10"/>
    <x v="2"/>
    <s v="Defense Minister"/>
    <x v="0"/>
    <m/>
    <x v="0"/>
    <m/>
    <m/>
    <m/>
    <m/>
    <m/>
    <m/>
    <m/>
  </r>
  <r>
    <x v="2"/>
    <x v="6"/>
    <s v="Europe and Central Asia"/>
    <s v="Member"/>
    <s v="None"/>
    <s v="CENTCOM"/>
    <x v="14"/>
    <x v="24"/>
    <n v="9"/>
    <x v="6"/>
    <m/>
    <m/>
    <m/>
    <m/>
    <x v="0"/>
    <m/>
    <x v="1"/>
    <s v="None"/>
    <x v="1"/>
    <s v="SCO anti-terrorism joint-command staff exercise in Kyrgyzstan; Russia, China, Kyrgyzstan, Kazakhstan, Tajikistan, possibly Uzbekistan"/>
    <m/>
    <m/>
    <m/>
    <m/>
    <s v="de Haas Journal of Slavic Military Studies 29:3 (2016)"/>
    <m/>
  </r>
  <r>
    <x v="1"/>
    <x v="8"/>
    <s v="Europe and Central Asia"/>
    <s v="Comprehensive Strategic Partnership [全面战略伙伴关系]"/>
    <s v="NATO"/>
    <s v="EUCOM"/>
    <x v="70"/>
    <x v="24"/>
    <n v="9"/>
    <x v="3"/>
    <s v="Ma Xiaotian"/>
    <m/>
    <s v="PLAAF Commander; CMC Member"/>
    <n v="8"/>
    <x v="2"/>
    <s v="Air Force Chief of Staff"/>
    <x v="0"/>
    <m/>
    <x v="0"/>
    <m/>
    <m/>
    <m/>
    <m/>
    <m/>
    <m/>
    <m/>
  </r>
  <r>
    <x v="2"/>
    <x v="0"/>
    <s v="Asia"/>
    <s v="Strategic Cooperative Partnership [战略合作伙伴关系]"/>
    <s v="None"/>
    <s v="INDOPACOM"/>
    <x v="3"/>
    <x v="24"/>
    <n v="9"/>
    <x v="6"/>
    <m/>
    <m/>
    <m/>
    <m/>
    <x v="0"/>
    <m/>
    <x v="1"/>
    <s v="Cormorant Strike VI 2015"/>
    <x v="1"/>
    <s v="SOF; likely observer. Other countries: Bangladesh, India, Indonesia, Malaysia, Nepal, Pakistan, United  States"/>
    <m/>
    <m/>
    <m/>
    <m/>
    <m/>
    <m/>
  </r>
  <r>
    <x v="1"/>
    <x v="8"/>
    <s v="Europe and Central Asia"/>
    <s v="No Specific Relationship"/>
    <s v="None"/>
    <s v="EUCOM"/>
    <x v="78"/>
    <x v="24"/>
    <n v="9"/>
    <x v="3"/>
    <s v="Chang Wanquan"/>
    <m/>
    <s v="Defense Minister; CMC Member"/>
    <n v="8"/>
    <x v="2"/>
    <s v="Chief of Armed Forces"/>
    <x v="0"/>
    <m/>
    <x v="0"/>
    <m/>
    <m/>
    <m/>
    <m/>
    <m/>
    <m/>
    <m/>
  </r>
  <r>
    <x v="1"/>
    <x v="1"/>
    <s v="Asia"/>
    <s v="Comprehensive Strategic Cooperative Partnership [全面战略合作伙伴关系]"/>
    <s v="Bilateral Defense Treaty"/>
    <s v="INDOPACOM"/>
    <x v="5"/>
    <x v="24"/>
    <n v="9"/>
    <x v="3"/>
    <s v="Xu Qiliang"/>
    <m/>
    <s v="CMC Vice Chairman"/>
    <n v="10"/>
    <x v="2"/>
    <s v="Deputy Prime Minister and Minister of Defense"/>
    <x v="0"/>
    <m/>
    <x v="0"/>
    <m/>
    <m/>
    <m/>
    <m/>
    <m/>
    <m/>
    <m/>
  </r>
  <r>
    <x v="1"/>
    <x v="7"/>
    <s v="West Asia and Africa"/>
    <s v="No Specific Relationship"/>
    <s v="Major Non-NATO Ally"/>
    <s v="AFRICOM"/>
    <x v="85"/>
    <x v="24"/>
    <n v="9"/>
    <x v="3"/>
    <s v="Chang Wanquan"/>
    <m/>
    <s v="Defense Minister; CMC Member"/>
    <n v="8"/>
    <x v="2"/>
    <s v="Defense Minister"/>
    <x v="0"/>
    <m/>
    <x v="0"/>
    <m/>
    <m/>
    <m/>
    <m/>
    <m/>
    <m/>
    <m/>
  </r>
  <r>
    <x v="1"/>
    <x v="8"/>
    <s v="Europe and Central Asia"/>
    <s v="Comprehensive Strategic Partnership [全面战略伙伴关系]"/>
    <s v="NATO"/>
    <s v="EUCOM"/>
    <x v="21"/>
    <x v="24"/>
    <n v="9"/>
    <x v="4"/>
    <s v="Du Jincai"/>
    <m/>
    <s v="GPD Deputy Director"/>
    <n v="6"/>
    <x v="1"/>
    <m/>
    <x v="0"/>
    <m/>
    <x v="0"/>
    <m/>
    <m/>
    <m/>
    <m/>
    <m/>
    <m/>
    <m/>
  </r>
  <r>
    <x v="1"/>
    <x v="0"/>
    <s v="Europe and Central Asia"/>
    <s v="Strategic Partnership [战略伙伴关系]"/>
    <s v="Major Non-NATO Ally"/>
    <s v="CENTCOM"/>
    <x v="123"/>
    <x v="24"/>
    <n v="10"/>
    <x v="3"/>
    <s v="Sun Jianguo"/>
    <m/>
    <s v="GSD DCGS"/>
    <n v="6"/>
    <x v="2"/>
    <s v="Acting Defense Minister"/>
    <x v="0"/>
    <m/>
    <x v="0"/>
    <m/>
    <m/>
    <m/>
    <m/>
    <m/>
    <m/>
    <m/>
  </r>
  <r>
    <x v="1"/>
    <x v="1"/>
    <s v="Asia"/>
    <s v="Strategic Partnership [战略伙伴关系] for Peace and Prosperity"/>
    <s v="None"/>
    <s v="INDOPACOM"/>
    <x v="153"/>
    <x v="24"/>
    <n v="10"/>
    <x v="2"/>
    <s v="Chang Wanquan"/>
    <m/>
    <s v="Defense Minister; CMC Member"/>
    <n v="8"/>
    <x v="2"/>
    <s v="Fifth China-ASEAN Defense Ministers' Informal Meeting in Beijing"/>
    <x v="0"/>
    <m/>
    <x v="0"/>
    <m/>
    <m/>
    <m/>
    <m/>
    <m/>
    <s v="http://asean.chinamission.org.cn/eng/zdjl/t1307777.htm"/>
    <s v="corrected partnership to strategic partnership for peace and prosperity"/>
  </r>
  <r>
    <x v="0"/>
    <x v="5"/>
    <s v="America and Oceania"/>
    <s v="Comprehensive Strategic Partnership [全面战略伙伴关系]"/>
    <s v="ANZUS Treaty"/>
    <s v="INDOPACOM"/>
    <x v="12"/>
    <x v="24"/>
    <n v="10"/>
    <x v="12"/>
    <m/>
    <m/>
    <m/>
    <m/>
    <x v="0"/>
    <m/>
    <x v="0"/>
    <m/>
    <x v="0"/>
    <m/>
    <s v="NETF"/>
    <s v="2015-10 Harmonious Mission "/>
    <s v="East Sea Fleet"/>
    <m/>
    <m/>
    <m/>
  </r>
  <r>
    <x v="1"/>
    <x v="8"/>
    <s v="Europe and Central Asia"/>
    <s v="Comprehensive Strategic Partnership [全面战略伙伴关系]"/>
    <s v="None"/>
    <s v="EUCOM"/>
    <x v="34"/>
    <x v="24"/>
    <n v="10"/>
    <x v="4"/>
    <s v="Sun Jianguo"/>
    <m/>
    <s v="GSD DCGS"/>
    <n v="6"/>
    <x v="1"/>
    <m/>
    <x v="0"/>
    <m/>
    <x v="0"/>
    <m/>
    <m/>
    <m/>
    <m/>
    <m/>
    <m/>
    <m/>
  </r>
  <r>
    <x v="0"/>
    <x v="8"/>
    <s v="Europe and Central Asia"/>
    <s v="Comprehensive Strategic Partnership [全面战略伙伴关系]"/>
    <s v="NATO"/>
    <s v="EUCOM"/>
    <x v="22"/>
    <x v="24"/>
    <n v="10"/>
    <x v="0"/>
    <m/>
    <m/>
    <m/>
    <m/>
    <x v="0"/>
    <m/>
    <x v="0"/>
    <m/>
    <x v="0"/>
    <m/>
    <s v="NETF"/>
    <s v="2015-10 Harmonious Mission "/>
    <s v="East Sea Fleet"/>
    <s v="French Polynesia"/>
    <m/>
    <m/>
  </r>
  <r>
    <x v="2"/>
    <x v="8"/>
    <s v="Europe and Central Asia"/>
    <s v="Comprehensive Strategic Partnership [全面战略伙伴关系]"/>
    <s v="NATO"/>
    <s v="EUCOM"/>
    <x v="22"/>
    <x v="24"/>
    <n v="10"/>
    <x v="5"/>
    <m/>
    <m/>
    <m/>
    <m/>
    <x v="0"/>
    <m/>
    <x v="2"/>
    <s v="None"/>
    <x v="2"/>
    <s v="communication, formation movement in English Channel"/>
    <m/>
    <m/>
    <m/>
    <m/>
    <m/>
    <m/>
  </r>
  <r>
    <x v="2"/>
    <x v="8"/>
    <s v="Europe and Central Asia"/>
    <s v="Comprehensive Strategic Partnership [全面战略伙伴关系]"/>
    <s v="NATO"/>
    <s v="EUCOM"/>
    <x v="22"/>
    <x v="24"/>
    <n v="10"/>
    <x v="5"/>
    <m/>
    <m/>
    <m/>
    <m/>
    <x v="0"/>
    <m/>
    <x v="2"/>
    <s v="None"/>
    <x v="2"/>
    <s v="Peace Ark, HADR"/>
    <m/>
    <m/>
    <m/>
    <m/>
    <m/>
    <m/>
  </r>
  <r>
    <x v="2"/>
    <x v="8"/>
    <s v="Europe and Central Asia"/>
    <s v="Comprehensive Strategic Partnership [全面战略伙伴关系]"/>
    <s v="NATO"/>
    <s v="EUCOM"/>
    <x v="22"/>
    <x v="24"/>
    <n v="10"/>
    <x v="5"/>
    <m/>
    <m/>
    <m/>
    <m/>
    <x v="0"/>
    <m/>
    <x v="2"/>
    <s v="Harmonious Mission 2015"/>
    <x v="2"/>
    <s v="Communication drills"/>
    <m/>
    <m/>
    <m/>
    <m/>
    <m/>
    <m/>
  </r>
  <r>
    <x v="2"/>
    <x v="8"/>
    <s v="Europe and Central Asia"/>
    <s v="Comprehensive Strategic Partnership [全面战略伙伴关系]"/>
    <s v="NATO"/>
    <s v="EUCOM"/>
    <x v="22"/>
    <x v="24"/>
    <n v="10"/>
    <x v="5"/>
    <m/>
    <m/>
    <m/>
    <m/>
    <x v="0"/>
    <m/>
    <x v="2"/>
    <s v="None"/>
    <x v="2"/>
    <s v="Navigation drills"/>
    <m/>
    <m/>
    <m/>
    <m/>
    <m/>
    <m/>
  </r>
  <r>
    <x v="2"/>
    <x v="0"/>
    <s v="Asia"/>
    <s v="Strategic Partnership for Peace and Prosperity [战略伙伴关系]"/>
    <s v="None"/>
    <s v="INDOPACOM"/>
    <x v="6"/>
    <x v="24"/>
    <n v="10"/>
    <x v="5"/>
    <m/>
    <m/>
    <m/>
    <m/>
    <x v="0"/>
    <m/>
    <x v="1"/>
    <s v="Hand-in-Hand 2015"/>
    <x v="1"/>
    <s v="Anti-terrorism"/>
    <m/>
    <m/>
    <m/>
    <m/>
    <m/>
    <m/>
  </r>
  <r>
    <x v="1"/>
    <x v="1"/>
    <s v="Asia"/>
    <s v="Comprehensive Strategic Partnership [全面战略伙伴关系]"/>
    <s v="None"/>
    <s v="INDOPACOM"/>
    <x v="8"/>
    <x v="24"/>
    <n v="10"/>
    <x v="7"/>
    <s v="Chang Wanquan"/>
    <m/>
    <s v="Defense Minister; CMC Member"/>
    <n v="8"/>
    <x v="2"/>
    <s v="Defense Minister"/>
    <x v="0"/>
    <m/>
    <x v="0"/>
    <m/>
    <m/>
    <m/>
    <m/>
    <m/>
    <s v="http://eng.mod.gov.cn/SpecialReports/2015-10/15/content_4624530.htm"/>
    <m/>
  </r>
  <r>
    <x v="1"/>
    <x v="9"/>
    <s v="West Asia and Africa"/>
    <s v="No Specific Relationship"/>
    <s v="None"/>
    <s v="CENTCOM"/>
    <x v="89"/>
    <x v="24"/>
    <n v="10"/>
    <x v="4"/>
    <s v="Sun Jianguo"/>
    <m/>
    <s v="GSD DCGS"/>
    <n v="6"/>
    <x v="1"/>
    <m/>
    <x v="0"/>
    <m/>
    <x v="0"/>
    <m/>
    <m/>
    <m/>
    <m/>
    <m/>
    <m/>
    <m/>
  </r>
  <r>
    <x v="1"/>
    <x v="6"/>
    <s v="Europe and Central Asia"/>
    <s v="Comprehensive Strategic Partnership [全面战略伙伴关系]"/>
    <s v="None"/>
    <s v="CENTCOM"/>
    <x v="30"/>
    <x v="24"/>
    <n v="10"/>
    <x v="4"/>
    <s v="Chang Wanquan"/>
    <m/>
    <s v="Defense Minister; CMC Member"/>
    <n v="8"/>
    <x v="1"/>
    <m/>
    <x v="0"/>
    <m/>
    <x v="0"/>
    <m/>
    <m/>
    <m/>
    <m/>
    <m/>
    <m/>
    <m/>
  </r>
  <r>
    <x v="2"/>
    <x v="6"/>
    <s v="Europe and Central Asia"/>
    <s v="Comprehensive Strategic Partnership [全面战略伙伴关系]"/>
    <s v="None"/>
    <s v="CENTCOM"/>
    <x v="30"/>
    <x v="24"/>
    <n v="10"/>
    <x v="5"/>
    <m/>
    <m/>
    <m/>
    <m/>
    <x v="0"/>
    <m/>
    <x v="1"/>
    <s v="Fox Hunting 2015"/>
    <x v="1"/>
    <s v="Anti-terror drills"/>
    <m/>
    <m/>
    <m/>
    <m/>
    <m/>
    <m/>
  </r>
  <r>
    <x v="1"/>
    <x v="1"/>
    <s v="Asia"/>
    <s v="Comprehensive Strategic Cooperative Partnership [全面战略合作伙伴关系]"/>
    <s v="None"/>
    <s v="INDOPACOM"/>
    <x v="52"/>
    <x v="24"/>
    <n v="10"/>
    <x v="3"/>
    <s v="Sun Jianguo"/>
    <m/>
    <s v="GSD DCGS"/>
    <n v="6"/>
    <x v="2"/>
    <s v="Delegation of senior army officers"/>
    <x v="0"/>
    <m/>
    <x v="0"/>
    <m/>
    <m/>
    <m/>
    <m/>
    <m/>
    <m/>
    <m/>
  </r>
  <r>
    <x v="1"/>
    <x v="8"/>
    <s v="Europe and Central Asia"/>
    <s v="Friendly Cooperative Partnership [友好合作伙伴关系]"/>
    <s v="NATO"/>
    <s v="EUCOM"/>
    <x v="157"/>
    <x v="24"/>
    <n v="10"/>
    <x v="3"/>
    <s v="Fang Fenghui"/>
    <m/>
    <s v="GSD Commander; CMC Member"/>
    <n v="8"/>
    <x v="2"/>
    <s v="CinC Armed Forces"/>
    <x v="0"/>
    <m/>
    <x v="0"/>
    <m/>
    <m/>
    <m/>
    <m/>
    <m/>
    <m/>
    <m/>
  </r>
  <r>
    <x v="1"/>
    <x v="1"/>
    <s v="Asia"/>
    <s v="Comprehensive Strategic Partnership [全面战略伙伴关系]"/>
    <s v="None"/>
    <s v="INDOPACOM"/>
    <x v="10"/>
    <x v="24"/>
    <n v="10"/>
    <x v="3"/>
    <s v="Fan Changlong"/>
    <m/>
    <s v="CMC Vice Chairman"/>
    <n v="10"/>
    <x v="2"/>
    <s v="Defense Minister"/>
    <x v="0"/>
    <m/>
    <x v="0"/>
    <m/>
    <m/>
    <m/>
    <m/>
    <m/>
    <m/>
    <m/>
  </r>
  <r>
    <x v="1"/>
    <x v="4"/>
    <s v="Asia"/>
    <s v="Comprehensive Strategic Partnership [全面战略伙伴关系]"/>
    <s v="None"/>
    <s v="INDOPACOM"/>
    <x v="53"/>
    <x v="24"/>
    <n v="10"/>
    <x v="4"/>
    <s v="Chang Wanquan"/>
    <m/>
    <s v="Defense Minister; CMC Member"/>
    <n v="8"/>
    <x v="1"/>
    <m/>
    <x v="0"/>
    <m/>
    <x v="0"/>
    <m/>
    <m/>
    <m/>
    <m/>
    <m/>
    <m/>
    <m/>
  </r>
  <r>
    <x v="2"/>
    <x v="4"/>
    <s v="Asia"/>
    <s v="Comprehensive Strategic Partnership [全面战略伙伴关系]"/>
    <s v="None"/>
    <s v="INDOPACOM"/>
    <x v="53"/>
    <x v="24"/>
    <n v="10"/>
    <x v="5"/>
    <m/>
    <m/>
    <m/>
    <m/>
    <x v="0"/>
    <m/>
    <x v="1"/>
    <s v="Falcon 2015"/>
    <x v="1"/>
    <s v="PLAA SOF, anti-terrorism"/>
    <m/>
    <m/>
    <m/>
    <m/>
    <m/>
    <m/>
  </r>
  <r>
    <x v="1"/>
    <x v="7"/>
    <s v="West Asia and Africa"/>
    <s v="No Specific Relationship"/>
    <s v="None"/>
    <s v="AFRICOM"/>
    <x v="84"/>
    <x v="24"/>
    <n v="10"/>
    <x v="3"/>
    <s v="Fan Changlong"/>
    <m/>
    <s v="CMC Vice Chairman"/>
    <n v="10"/>
    <x v="2"/>
    <s v="Defense Minister"/>
    <x v="0"/>
    <m/>
    <x v="0"/>
    <m/>
    <m/>
    <m/>
    <m/>
    <m/>
    <m/>
    <m/>
  </r>
  <r>
    <x v="1"/>
    <x v="1"/>
    <s v="Asia"/>
    <s v="Comprehensive Strategic Cooperative Partnership [全面战略合作伙伴关系]"/>
    <s v="None"/>
    <s v="INDOPACOM"/>
    <x v="1"/>
    <x v="24"/>
    <n v="10"/>
    <x v="3"/>
    <s v="Chang Wanquan"/>
    <m/>
    <s v="Defense Minister; CMC Member"/>
    <n v="8"/>
    <x v="2"/>
    <s v="Defense Minister"/>
    <x v="0"/>
    <m/>
    <x v="0"/>
    <m/>
    <m/>
    <m/>
    <m/>
    <m/>
    <m/>
    <m/>
  </r>
  <r>
    <x v="1"/>
    <x v="4"/>
    <s v="Asia"/>
    <s v="N/A"/>
    <s v="None"/>
    <s v="INDOPACOM"/>
    <x v="161"/>
    <x v="24"/>
    <n v="10"/>
    <x v="2"/>
    <s v="Chang Wanquan"/>
    <m/>
    <s v="Defense Minister; CMC Member"/>
    <n v="8"/>
    <x v="2"/>
    <s v="Xiangshan Forum 2015; Defense Minister"/>
    <x v="0"/>
    <m/>
    <x v="0"/>
    <m/>
    <m/>
    <m/>
    <m/>
    <m/>
    <s v="http://eng.mod.gov.cn/SpecialReports/node_46641.htm "/>
    <m/>
  </r>
  <r>
    <x v="0"/>
    <x v="8"/>
    <s v="Europe and Central Asia"/>
    <s v="Strategic Partnership [战略伙伴关系]"/>
    <s v="NATO"/>
    <s v="EUCOM"/>
    <x v="59"/>
    <x v="24"/>
    <n v="10"/>
    <x v="0"/>
    <m/>
    <m/>
    <m/>
    <m/>
    <x v="0"/>
    <m/>
    <x v="0"/>
    <m/>
    <x v="0"/>
    <m/>
    <s v="ETF"/>
    <s v="ETF-20"/>
    <s v="East Sea Fleet"/>
    <s v="DDG152 Jinan, FFG548 Yiyang, AOR886 Qiandao Hu "/>
    <m/>
    <m/>
  </r>
  <r>
    <x v="0"/>
    <x v="8"/>
    <s v="Europe and Central Asia"/>
    <s v="Comprehensive Strategic Partnership [全面战略伙伴关系]"/>
    <s v="NATO"/>
    <s v="EUCOM"/>
    <x v="48"/>
    <x v="24"/>
    <n v="10"/>
    <x v="0"/>
    <m/>
    <m/>
    <m/>
    <m/>
    <x v="0"/>
    <m/>
    <x v="0"/>
    <m/>
    <x v="0"/>
    <m/>
    <s v="ETF"/>
    <s v="ETF-20"/>
    <s v="East Sea Fleet"/>
    <s v="DDG152 Jinan, FFG548 Yiyang, AOR886 Qiandao Hu "/>
    <m/>
    <m/>
  </r>
  <r>
    <x v="1"/>
    <x v="9"/>
    <s v="West Asia and Africa"/>
    <s v="No Specific Relationship"/>
    <s v="None"/>
    <s v="CENTCOM"/>
    <x v="142"/>
    <x v="24"/>
    <n v="10"/>
    <x v="3"/>
    <s v="Wu Shengli"/>
    <m/>
    <s v="PLAN Commander; CMC Member"/>
    <n v="8"/>
    <x v="2"/>
    <s v="Navy Commander"/>
    <x v="0"/>
    <m/>
    <x v="0"/>
    <m/>
    <m/>
    <m/>
    <m/>
    <m/>
    <m/>
    <m/>
  </r>
  <r>
    <x v="1"/>
    <x v="0"/>
    <s v="Asia"/>
    <s v="Strategic Cooperative Partnership [战略合作伙伴关系]"/>
    <s v="None"/>
    <s v="INDOPACOM"/>
    <x v="3"/>
    <x v="24"/>
    <n v="10"/>
    <x v="3"/>
    <s v="Sun Jianguo"/>
    <m/>
    <s v="GSD DCGS"/>
    <n v="6"/>
    <x v="2"/>
    <s v="Secretary to the Defense Minister"/>
    <x v="0"/>
    <m/>
    <x v="0"/>
    <m/>
    <m/>
    <m/>
    <m/>
    <m/>
    <m/>
    <m/>
  </r>
  <r>
    <x v="0"/>
    <x v="8"/>
    <s v="Europe and Central Asia"/>
    <s v="No Specific Relationship"/>
    <s v="None"/>
    <s v="EUCOM"/>
    <x v="92"/>
    <x v="24"/>
    <n v="10"/>
    <x v="0"/>
    <m/>
    <m/>
    <m/>
    <m/>
    <x v="0"/>
    <m/>
    <x v="0"/>
    <m/>
    <x v="0"/>
    <m/>
    <s v="ETF"/>
    <s v="ETF-20"/>
    <s v="East Sea Fleet"/>
    <s v="DDG152 Jinan, FFG548 Yiyang, AOR886 Qiandao Hu "/>
    <m/>
    <m/>
  </r>
  <r>
    <x v="1"/>
    <x v="6"/>
    <s v="Europe and Central Asia"/>
    <s v="Strategic Partnership [战略伙伴关系]"/>
    <s v="None"/>
    <s v="CENTCOM"/>
    <x v="60"/>
    <x v="24"/>
    <n v="10"/>
    <x v="7"/>
    <s v="Chang Wanquan"/>
    <m/>
    <s v="Defense Minister; CMC Member"/>
    <n v="8"/>
    <x v="2"/>
    <s v="Defense Minister"/>
    <x v="0"/>
    <m/>
    <x v="0"/>
    <m/>
    <m/>
    <m/>
    <m/>
    <m/>
    <s v="http://eng.mod.gov.cn/SpecialReports/2015-10/15/content_4624532.htm"/>
    <m/>
  </r>
  <r>
    <x v="0"/>
    <x v="2"/>
    <s v="America and Oceania"/>
    <s v="No Specific Relationship"/>
    <s v="N/A"/>
    <s v="NORTHCOM"/>
    <x v="4"/>
    <x v="24"/>
    <n v="10"/>
    <x v="0"/>
    <m/>
    <m/>
    <m/>
    <m/>
    <x v="0"/>
    <m/>
    <x v="0"/>
    <m/>
    <x v="0"/>
    <m/>
    <s v="NETF"/>
    <s v="2015-10  Zhenghe"/>
    <s v="East Sea Fleet"/>
    <m/>
    <m/>
    <m/>
  </r>
  <r>
    <x v="2"/>
    <x v="2"/>
    <s v="America and Oceania"/>
    <s v="No Specific Relationship"/>
    <s v="N/A"/>
    <s v="NORTHCOM"/>
    <x v="4"/>
    <x v="24"/>
    <n v="10"/>
    <x v="5"/>
    <m/>
    <m/>
    <m/>
    <m/>
    <x v="0"/>
    <m/>
    <x v="5"/>
    <s v="None"/>
    <x v="2"/>
    <s v="Damage control, SAR planning"/>
    <m/>
    <m/>
    <m/>
    <m/>
    <m/>
    <m/>
  </r>
  <r>
    <x v="1"/>
    <x v="1"/>
    <s v="Asia"/>
    <s v="Strategic Partnership [战略伙伴关系] for Peace and Prosperity"/>
    <s v="None"/>
    <s v="INDOPACOM"/>
    <x v="153"/>
    <x v="24"/>
    <n v="11"/>
    <x v="1"/>
    <s v="Chang Wanquan"/>
    <m/>
    <s v="Defense Minister; CMC Member"/>
    <n v="8"/>
    <x v="1"/>
    <s v="3rd ADMM+ Malaysia"/>
    <x v="0"/>
    <m/>
    <x v="0"/>
    <m/>
    <m/>
    <m/>
    <m/>
    <m/>
    <s v="http://www.chinadaily.com.cn/world/2015liattendsASEAN/2015-11/04/content_22504960.htm"/>
    <s v="corrected partnership to strategic partnership for peace and prosperity"/>
  </r>
  <r>
    <x v="1"/>
    <x v="5"/>
    <s v="America and Oceania"/>
    <s v="Comprehensive Strategic Partnership [全面战略伙伴关系]"/>
    <s v="ANZUS Treaty"/>
    <s v="INDOPACOM"/>
    <x v="12"/>
    <x v="24"/>
    <n v="11"/>
    <x v="7"/>
    <s v="Chang Wanquan"/>
    <m/>
    <s v="Defense Minister; CMC Member"/>
    <n v="8"/>
    <x v="1"/>
    <s v="Defense Minister"/>
    <x v="0"/>
    <m/>
    <x v="0"/>
    <m/>
    <m/>
    <m/>
    <m/>
    <m/>
    <s v="http://english.chinamil.com.cn/news-channels/china-military-news/2015-11/04/content_6754945.htm"/>
    <m/>
  </r>
  <r>
    <x v="2"/>
    <x v="5"/>
    <s v="America and Oceania"/>
    <s v="Comprehensive Strategic Partnership [全面战略伙伴关系]"/>
    <s v="ANZUS Treaty"/>
    <s v="INDOPACOM"/>
    <x v="12"/>
    <x v="24"/>
    <n v="11"/>
    <x v="5"/>
    <m/>
    <m/>
    <m/>
    <m/>
    <x v="0"/>
    <m/>
    <x v="2"/>
    <s v="None"/>
    <x v="2"/>
    <s v="Navigation drills"/>
    <m/>
    <m/>
    <m/>
    <m/>
    <m/>
    <m/>
  </r>
  <r>
    <x v="1"/>
    <x v="8"/>
    <s v="Europe and Central Asia"/>
    <s v="Comprehensive Strategic Partnership [全面战略伙伴关系]"/>
    <s v="None"/>
    <s v="EUCOM"/>
    <x v="34"/>
    <x v="24"/>
    <n v="11"/>
    <x v="3"/>
    <s v="Zhao Keshi"/>
    <m/>
    <s v="GLD Director; CMC Member"/>
    <n v="8"/>
    <x v="2"/>
    <s v="Deputy Minister of Defense for Logistics"/>
    <x v="0"/>
    <m/>
    <x v="0"/>
    <m/>
    <m/>
    <m/>
    <m/>
    <m/>
    <m/>
    <m/>
  </r>
  <r>
    <x v="1"/>
    <x v="1"/>
    <s v="Asia"/>
    <s v="Comprehensive Strategic Cooperative Partnership [全面战略合作伙伴关系]"/>
    <s v="None"/>
    <s v="INDOPACOM"/>
    <x v="94"/>
    <x v="24"/>
    <n v="11"/>
    <x v="4"/>
    <s v="Chang Wanquan"/>
    <m/>
    <s v="Defense Minister; CMC Member"/>
    <n v="8"/>
    <x v="1"/>
    <s v="Defense Minister"/>
    <x v="0"/>
    <m/>
    <x v="0"/>
    <m/>
    <m/>
    <m/>
    <m/>
    <m/>
    <m/>
    <m/>
  </r>
  <r>
    <x v="0"/>
    <x v="10"/>
    <s v="America and Oceania"/>
    <s v="No Specific Relationship"/>
    <s v="None"/>
    <s v="SOUTHCOM"/>
    <x v="49"/>
    <x v="24"/>
    <n v="11"/>
    <x v="0"/>
    <m/>
    <m/>
    <m/>
    <m/>
    <x v="0"/>
    <m/>
    <x v="0"/>
    <m/>
    <x v="0"/>
    <m/>
    <s v="ETF"/>
    <s v="ETF-20"/>
    <s v="East Sea Fleet"/>
    <s v="DDG152 Jinan, FFG548 Yiyang, AOR886 Qiandao Hu "/>
    <m/>
    <m/>
  </r>
  <r>
    <x v="2"/>
    <x v="8"/>
    <s v="Europe and Central Asia"/>
    <s v="Comprehensive Strategic Partnership [全面战略伙伴关系]"/>
    <s v="NATO"/>
    <s v="EUCOM"/>
    <x v="116"/>
    <x v="24"/>
    <n v="11"/>
    <x v="5"/>
    <m/>
    <m/>
    <m/>
    <m/>
    <x v="0"/>
    <m/>
    <x v="4"/>
    <s v="None"/>
    <x v="2"/>
    <s v="helicopter landing on each other’s warship, maritime replenishment, visit, board, search and seizure training; UNREP, fleet maneuvers, boarding; ETF-21; anti-piracy"/>
    <m/>
    <m/>
    <m/>
    <m/>
    <s v="http://eng.chinamil.com.cn/news-channels/2015-11/30/content_6792347.htm"/>
    <m/>
  </r>
  <r>
    <x v="1"/>
    <x v="9"/>
    <s v="West Asia and Africa"/>
    <s v="No Specific Relationship"/>
    <s v="None"/>
    <s v="CENTCOM"/>
    <x v="119"/>
    <x v="24"/>
    <n v="11"/>
    <x v="4"/>
    <s v="Fang Fenghui"/>
    <m/>
    <s v="GSD Commander; CMC Member"/>
    <n v="8"/>
    <x v="1"/>
    <m/>
    <x v="0"/>
    <m/>
    <x v="0"/>
    <m/>
    <m/>
    <m/>
    <m/>
    <m/>
    <m/>
    <m/>
  </r>
  <r>
    <x v="0"/>
    <x v="9"/>
    <s v="West Asia and Africa"/>
    <s v="No Specific Relationship"/>
    <s v="None"/>
    <s v="CENTCOM"/>
    <x v="119"/>
    <x v="24"/>
    <n v="11"/>
    <x v="9"/>
    <m/>
    <m/>
    <m/>
    <m/>
    <x v="0"/>
    <m/>
    <x v="0"/>
    <m/>
    <x v="0"/>
    <m/>
    <s v="ETF"/>
    <s v="ETF-21"/>
    <s v="South Sea Fleet"/>
    <s v="FFG573 Liuzhou, FFG574 Sanya, AOR885 Qinghai Hu"/>
    <m/>
    <m/>
  </r>
  <r>
    <x v="1"/>
    <x v="10"/>
    <s v="America and Oceania"/>
    <s v="Strategic Partnership [战略伙伴关系]"/>
    <s v="None"/>
    <s v="SOUTHCOM"/>
    <x v="51"/>
    <x v="24"/>
    <n v="11"/>
    <x v="3"/>
    <s v="Chang Wanquan"/>
    <m/>
    <s v="Defense Minister; CMC Member"/>
    <n v="8"/>
    <x v="2"/>
    <s v="Defense Minister"/>
    <x v="0"/>
    <m/>
    <x v="0"/>
    <m/>
    <m/>
    <m/>
    <m/>
    <m/>
    <m/>
    <m/>
  </r>
  <r>
    <x v="1"/>
    <x v="7"/>
    <s v="West Asia and Africa"/>
    <s v="No Specific Relationship"/>
    <s v="None"/>
    <s v="AFRICOM"/>
    <x v="87"/>
    <x v="24"/>
    <n v="11"/>
    <x v="3"/>
    <s v="Xu Qiliang"/>
    <m/>
    <s v="CMC Vice Chairman"/>
    <n v="10"/>
    <x v="2"/>
    <s v="Defense Minister"/>
    <x v="0"/>
    <m/>
    <x v="0"/>
    <m/>
    <m/>
    <m/>
    <m/>
    <m/>
    <m/>
    <m/>
  </r>
  <r>
    <x v="1"/>
    <x v="8"/>
    <s v="Europe and Central Asia"/>
    <s v="No Specific Relationship"/>
    <s v="NATO"/>
    <s v="EUCOM"/>
    <x v="82"/>
    <x v="24"/>
    <n v="11"/>
    <x v="3"/>
    <s v="Wang Guanzhong"/>
    <m/>
    <s v="GSD DCGS"/>
    <n v="6"/>
    <x v="2"/>
    <s v="Deputy Chairman JCS"/>
    <x v="0"/>
    <m/>
    <x v="0"/>
    <m/>
    <m/>
    <m/>
    <m/>
    <m/>
    <m/>
    <m/>
  </r>
  <r>
    <x v="1"/>
    <x v="0"/>
    <s v="Asia"/>
    <s v="Strategic Partnership for Peace and Prosperity [战略伙伴关系]"/>
    <s v="None"/>
    <s v="INDOPACOM"/>
    <x v="6"/>
    <x v="24"/>
    <n v="11"/>
    <x v="4"/>
    <s v="Fan Changlong"/>
    <m/>
    <s v="CMC Vice Chairman"/>
    <n v="10"/>
    <x v="1"/>
    <m/>
    <x v="0"/>
    <m/>
    <x v="0"/>
    <m/>
    <m/>
    <m/>
    <m/>
    <m/>
    <m/>
    <m/>
  </r>
  <r>
    <x v="1"/>
    <x v="1"/>
    <s v="Asia"/>
    <s v="Comprehensive Strategic Partnership [全面战略伙伴关系]"/>
    <s v="None"/>
    <s v="INDOPACOM"/>
    <x v="8"/>
    <x v="24"/>
    <n v="11"/>
    <x v="4"/>
    <s v="Wu Shengli"/>
    <m/>
    <s v="PLAN Commander; CMC Member"/>
    <n v="8"/>
    <x v="1"/>
    <m/>
    <x v="0"/>
    <m/>
    <x v="0"/>
    <m/>
    <m/>
    <m/>
    <m/>
    <m/>
    <m/>
    <m/>
  </r>
  <r>
    <x v="1"/>
    <x v="9"/>
    <s v="West Asia and Africa"/>
    <s v="No Specific Relationship"/>
    <s v="None"/>
    <s v="CENTCOM"/>
    <x v="89"/>
    <x v="24"/>
    <n v="11"/>
    <x v="3"/>
    <s v="Ma Xiaotian"/>
    <m/>
    <s v="PLAAF Commander; CMC Member"/>
    <n v="8"/>
    <x v="2"/>
    <s v="Air Force Commander"/>
    <x v="0"/>
    <m/>
    <x v="0"/>
    <m/>
    <m/>
    <m/>
    <m/>
    <m/>
    <m/>
    <m/>
  </r>
  <r>
    <x v="1"/>
    <x v="1"/>
    <s v="Asia"/>
    <s v="Comprehensive Strategic Partnership [全面战略伙伴关系]"/>
    <s v="None"/>
    <s v="INDOPACOM"/>
    <x v="10"/>
    <x v="24"/>
    <n v="11"/>
    <x v="4"/>
    <s v="Chang Wanquan"/>
    <m/>
    <s v="Defense Minister; CMC Member"/>
    <n v="8"/>
    <x v="1"/>
    <s v="Defense Minister"/>
    <x v="0"/>
    <m/>
    <x v="0"/>
    <m/>
    <m/>
    <m/>
    <m/>
    <m/>
    <s v="http://english.chinamil.com.cn/news-channels/china-military-news/2015-11/05/content_6756726.htm"/>
    <m/>
  </r>
  <r>
    <x v="1"/>
    <x v="1"/>
    <s v="Asia"/>
    <s v="Comprehensive Strategic Partnership [全面战略伙伴关系]"/>
    <s v="None"/>
    <s v="INDOPACOM"/>
    <x v="10"/>
    <x v="24"/>
    <n v="11"/>
    <x v="4"/>
    <s v="Wu Shengli"/>
    <m/>
    <s v="PLAN Commander; CMC Member"/>
    <n v="8"/>
    <x v="1"/>
    <m/>
    <x v="0"/>
    <m/>
    <x v="0"/>
    <m/>
    <m/>
    <m/>
    <m/>
    <m/>
    <m/>
    <m/>
  </r>
  <r>
    <x v="1"/>
    <x v="0"/>
    <s v="West Asia and Africa"/>
    <s v="Comprehensive Friendly Cooperative Partnership [全面友好合作伙伴关系]"/>
    <s v="None"/>
    <s v="INDOPACOM"/>
    <x v="149"/>
    <x v="24"/>
    <n v="11"/>
    <x v="4"/>
    <s v="Wu Shengli"/>
    <m/>
    <s v="PLAN Commander; CMC Member"/>
    <n v="8"/>
    <x v="1"/>
    <m/>
    <x v="0"/>
    <m/>
    <x v="0"/>
    <m/>
    <m/>
    <m/>
    <m/>
    <m/>
    <m/>
    <m/>
  </r>
  <r>
    <x v="1"/>
    <x v="7"/>
    <s v="West Asia and Africa"/>
    <s v="No Specific Relationship"/>
    <s v="None"/>
    <s v="AFRICOM"/>
    <x v="121"/>
    <x v="24"/>
    <n v="11"/>
    <x v="3"/>
    <s v="Fan Changlong"/>
    <m/>
    <s v="CMC Vice Chairman"/>
    <n v="10"/>
    <x v="2"/>
    <s v="Defense Minister"/>
    <x v="0"/>
    <m/>
    <x v="0"/>
    <m/>
    <m/>
    <m/>
    <m/>
    <m/>
    <m/>
    <m/>
  </r>
  <r>
    <x v="0"/>
    <x v="2"/>
    <s v="America and Oceania"/>
    <s v="Comprehensive Strategic Partnership [全面战略伙伴关系]"/>
    <s v="None"/>
    <s v="NORTHCOM"/>
    <x v="77"/>
    <x v="24"/>
    <n v="11"/>
    <x v="0"/>
    <m/>
    <m/>
    <m/>
    <m/>
    <x v="0"/>
    <m/>
    <x v="0"/>
    <m/>
    <x v="0"/>
    <m/>
    <s v="ETF"/>
    <s v="ETF-20"/>
    <s v="East Sea Fleet"/>
    <s v="DDG152 Jinan, FFG548 Yiyang, AOR886 Qiandao Hu "/>
    <m/>
    <m/>
  </r>
  <r>
    <x v="0"/>
    <x v="2"/>
    <s v="America and Oceania"/>
    <s v="Comprehensive Strategic Partnership [全面战略伙伴关系]"/>
    <s v="None"/>
    <s v="NORTHCOM"/>
    <x v="77"/>
    <x v="24"/>
    <n v="11"/>
    <x v="12"/>
    <m/>
    <m/>
    <m/>
    <m/>
    <x v="0"/>
    <m/>
    <x v="0"/>
    <m/>
    <x v="0"/>
    <m/>
    <s v="NETF"/>
    <s v="2015-11 Harmonious Mission "/>
    <s v="East Sea Fleet"/>
    <m/>
    <m/>
    <s v="recoded to delete drills"/>
  </r>
  <r>
    <x v="1"/>
    <x v="0"/>
    <s v="Asia"/>
    <s v="All-Weather Strategic Cooperative Partnership [全天候战略合作伙伴关系]"/>
    <s v="Major Non-NATO Ally"/>
    <s v="CENTCOM"/>
    <x v="2"/>
    <x v="24"/>
    <n v="11"/>
    <x v="4"/>
    <s v="Fan Changlong"/>
    <m/>
    <s v="CMC Vice Chairman"/>
    <n v="10"/>
    <x v="1"/>
    <m/>
    <x v="0"/>
    <m/>
    <x v="0"/>
    <m/>
    <m/>
    <m/>
    <m/>
    <m/>
    <m/>
    <m/>
  </r>
  <r>
    <x v="1"/>
    <x v="8"/>
    <s v="Europe and Central Asia"/>
    <s v="Comprehensive Strategic Partnership [全面战略伙伴关系]"/>
    <s v="NATO"/>
    <s v="EUCOM"/>
    <x v="48"/>
    <x v="24"/>
    <n v="11"/>
    <x v="3"/>
    <s v="Chang Wanquan "/>
    <m/>
    <s v="Defense Minister; CMC Member"/>
    <n v="8"/>
    <x v="2"/>
    <s v="COGS"/>
    <x v="0"/>
    <m/>
    <x v="0"/>
    <m/>
    <m/>
    <m/>
    <m/>
    <m/>
    <m/>
    <m/>
  </r>
  <r>
    <x v="1"/>
    <x v="9"/>
    <s v="West Asia and Africa"/>
    <s v="Strategic Partnership [战略伙伴关系]"/>
    <s v="None"/>
    <s v="CENTCOM"/>
    <x v="131"/>
    <x v="24"/>
    <n v="11"/>
    <x v="3"/>
    <s v="Fang Fenghui"/>
    <m/>
    <s v="GSD Commander; CMC Member"/>
    <n v="8"/>
    <x v="2"/>
    <s v="COGS"/>
    <x v="0"/>
    <m/>
    <x v="0"/>
    <m/>
    <m/>
    <m/>
    <m/>
    <m/>
    <m/>
    <m/>
  </r>
  <r>
    <x v="1"/>
    <x v="3"/>
    <s v="Europe and Central Asia"/>
    <s v="Comprehensive Collaborative Strategic Partnership [全面战略协作伙伴关系]"/>
    <s v="None"/>
    <s v="EUCOM"/>
    <x v="7"/>
    <x v="24"/>
    <n v="11"/>
    <x v="4"/>
    <s v="Xu Qiliang"/>
    <m/>
    <s v="CMC Vice Chairman"/>
    <n v="10"/>
    <x v="1"/>
    <m/>
    <x v="0"/>
    <m/>
    <x v="0"/>
    <m/>
    <m/>
    <m/>
    <m/>
    <m/>
    <m/>
    <m/>
  </r>
  <r>
    <x v="1"/>
    <x v="1"/>
    <s v="Asia"/>
    <s v="All-Round Cooperative Partnership [全方合作伙伴关系]"/>
    <s v="None"/>
    <s v="INDOPACOM"/>
    <x v="39"/>
    <x v="24"/>
    <n v="11"/>
    <x v="3"/>
    <s v="Zhao Keshi"/>
    <m/>
    <s v="GLD Director; CMC Member"/>
    <n v="8"/>
    <x v="2"/>
    <s v="Head of Joint Logistics Department"/>
    <x v="0"/>
    <m/>
    <x v="0"/>
    <m/>
    <m/>
    <m/>
    <m/>
    <m/>
    <m/>
    <m/>
  </r>
  <r>
    <x v="1"/>
    <x v="7"/>
    <s v="West Asia and Africa"/>
    <s v="Comprehensive Strategic Partnership [全面战略伙伴关系]"/>
    <s v="None"/>
    <s v="AFRICOM"/>
    <x v="15"/>
    <x v="24"/>
    <n v="11"/>
    <x v="3"/>
    <s v="Wu Shengli"/>
    <m/>
    <s v="PLAN Commander; CMC Member"/>
    <n v="8"/>
    <x v="2"/>
    <s v="Navy Commander"/>
    <x v="0"/>
    <m/>
    <x v="0"/>
    <m/>
    <m/>
    <m/>
    <m/>
    <m/>
    <m/>
    <m/>
  </r>
  <r>
    <x v="1"/>
    <x v="4"/>
    <s v="Asia"/>
    <s v="Strategic Cooperative Partnership [战略合作伙伴关系]"/>
    <s v="Bilateral Defense Treaty"/>
    <s v="INDOPACOM"/>
    <x v="25"/>
    <x v="24"/>
    <n v="11"/>
    <x v="7"/>
    <s v="Chang Wanquan"/>
    <m/>
    <s v="Defense Minister; CMC Member"/>
    <n v="8"/>
    <x v="1"/>
    <s v="Defense Minister"/>
    <x v="0"/>
    <m/>
    <x v="0"/>
    <m/>
    <m/>
    <m/>
    <m/>
    <m/>
    <s v="https://www.upi.com/Top_News/World-News/2015/11/04/South-Korea-agrees-to-military-hotline-with-China/4351446662720/"/>
    <m/>
  </r>
  <r>
    <x v="2"/>
    <x v="4"/>
    <s v="Asia"/>
    <s v="Strategic Cooperative Partnership [战略合作伙伴关系]"/>
    <s v="Bilateral Defense Treaty"/>
    <s v="INDOPACOM"/>
    <x v="25"/>
    <x v="24"/>
    <n v="11"/>
    <x v="5"/>
    <m/>
    <m/>
    <m/>
    <m/>
    <x v="0"/>
    <m/>
    <x v="4"/>
    <s v="None"/>
    <x v="2"/>
    <s v="anti-piracy in Gulf of Aden"/>
    <m/>
    <m/>
    <m/>
    <m/>
    <m/>
    <m/>
  </r>
  <r>
    <x v="2"/>
    <x v="1"/>
    <s v="Asia"/>
    <s v="Comprehensive Strategic Cooperative Partnership [全面战略合作伙伴关系]"/>
    <s v="Bilateral Defense Treaty"/>
    <s v="INDOPACOM"/>
    <x v="5"/>
    <x v="24"/>
    <n v="11"/>
    <x v="5"/>
    <m/>
    <m/>
    <m/>
    <m/>
    <x v="0"/>
    <m/>
    <x v="3"/>
    <s v="Falcon Strike 2015"/>
    <x v="5"/>
    <s v="Aerial maneuvers"/>
    <m/>
    <m/>
    <m/>
    <m/>
    <s v="https://web.archive.org/web/20150926012801/https://www.news.lk/news/sri-lanka/item/9929-exercise-cormorant-exercise-vi-draws-to-a-close"/>
    <m/>
  </r>
  <r>
    <x v="1"/>
    <x v="2"/>
    <s v="America and Oceania"/>
    <s v="No Specific Relationship"/>
    <s v="N/A"/>
    <s v="NORTHCOM"/>
    <x v="4"/>
    <x v="24"/>
    <n v="11"/>
    <x v="7"/>
    <s v="Chang Wanquan"/>
    <m/>
    <s v="Defense Minister; CMC Member"/>
    <n v="8"/>
    <x v="1"/>
    <s v="Secretary of Defense Carter"/>
    <x v="0"/>
    <m/>
    <x v="0"/>
    <m/>
    <m/>
    <m/>
    <m/>
    <m/>
    <s v="https://www.defense.gov/Newsroom/Releases/Release/Article/627162/readout-of-secretary-of-defense-ash-carters-meeting-with-peoples-republic-of-ch/"/>
    <s v="on margins of ADMM+"/>
  </r>
  <r>
    <x v="1"/>
    <x v="2"/>
    <s v="America and Oceania"/>
    <s v="No Specific Relationship"/>
    <s v="N/A"/>
    <s v="NORTHCOM"/>
    <x v="4"/>
    <x v="24"/>
    <n v="11"/>
    <x v="3"/>
    <s v="Fan Changlong"/>
    <m/>
    <s v="CMC Vice Chairman"/>
    <n v="10"/>
    <x v="2"/>
    <s v="PACOM Commander Harris"/>
    <x v="0"/>
    <m/>
    <x v="0"/>
    <m/>
    <m/>
    <m/>
    <m/>
    <m/>
    <s v="2016 CH Milpower Report"/>
    <m/>
  </r>
  <r>
    <x v="0"/>
    <x v="2"/>
    <s v="America and Oceania"/>
    <s v="No Specific Relationship"/>
    <s v="N/A"/>
    <s v="NORTHCOM"/>
    <x v="4"/>
    <x v="24"/>
    <n v="11"/>
    <x v="10"/>
    <m/>
    <m/>
    <m/>
    <m/>
    <x v="0"/>
    <m/>
    <x v="0"/>
    <m/>
    <x v="0"/>
    <m/>
    <s v="ETF"/>
    <s v="ETF-20"/>
    <s v="East Sea Fleet"/>
    <s v="DDG152 Jinan, FFG548 Yiyang, AOR886 Qiandao Hu; Florida and Hawaii"/>
    <s v="2016 CH Milpower Report"/>
    <m/>
  </r>
  <r>
    <x v="0"/>
    <x v="2"/>
    <s v="America and Oceania"/>
    <s v="No Specific Relationship"/>
    <s v="N/A"/>
    <s v="NORTHCOM"/>
    <x v="4"/>
    <x v="24"/>
    <n v="11"/>
    <x v="12"/>
    <m/>
    <m/>
    <m/>
    <m/>
    <x v="0"/>
    <m/>
    <x v="0"/>
    <m/>
    <x v="0"/>
    <m/>
    <s v="NETF"/>
    <s v="2015-11  Harmonious Mission "/>
    <s v="East Sea Fleet"/>
    <s v="Peace Ark to San Diego"/>
    <m/>
    <s v="recoded to delete drills"/>
  </r>
  <r>
    <x v="2"/>
    <x v="2"/>
    <s v="America and Oceania"/>
    <s v="No Specific Relationship"/>
    <s v="N/A"/>
    <s v="NORTHCOM"/>
    <x v="4"/>
    <x v="24"/>
    <n v="11"/>
    <x v="5"/>
    <m/>
    <m/>
    <m/>
    <m/>
    <x v="0"/>
    <m/>
    <x v="2"/>
    <s v="11th Disaster Management Exchange"/>
    <x v="1"/>
    <s v="Joint Base Lewis-McChord; HADR with academic discussion, TTX, and field exchange"/>
    <m/>
    <m/>
    <m/>
    <m/>
    <m/>
    <m/>
  </r>
  <r>
    <x v="2"/>
    <x v="2"/>
    <s v="America and Oceania"/>
    <s v="No Specific Relationship"/>
    <s v="N/A"/>
    <s v="NORTHCOM"/>
    <x v="4"/>
    <x v="24"/>
    <n v="11"/>
    <x v="5"/>
    <m/>
    <m/>
    <m/>
    <m/>
    <x v="0"/>
    <m/>
    <x v="2"/>
    <s v="None"/>
    <x v="2"/>
    <s v="Communications and SAR exercise; USS Stethem"/>
    <m/>
    <m/>
    <m/>
    <m/>
    <s v="https://www.cpf.navy.mil/Newsroom/News/Article/2745342/uss-stethem-joins-with-plan-to-conduct-exercise/"/>
    <m/>
  </r>
  <r>
    <x v="1"/>
    <x v="5"/>
    <s v="America and Oceania"/>
    <s v="Comprehensive Strategic Partnership [全面战略伙伴关系]"/>
    <s v="ANZUS Treaty"/>
    <s v="INDOPACOM"/>
    <x v="12"/>
    <x v="24"/>
    <n v="12"/>
    <x v="4"/>
    <s v="Fang Fenghui"/>
    <m/>
    <s v="GSD Commander; CMC Member"/>
    <n v="8"/>
    <x v="1"/>
    <m/>
    <x v="0"/>
    <m/>
    <x v="0"/>
    <m/>
    <m/>
    <m/>
    <m/>
    <m/>
    <s v="http://english.chinamil.com.cn/view/2017-11/10/content_7819995.htm"/>
    <m/>
  </r>
  <r>
    <x v="1"/>
    <x v="0"/>
    <s v="Asia"/>
    <s v="Comprehensive Cooperative Partnership [全面合作伙伴关系]"/>
    <s v="None"/>
    <s v="INDOPACOM"/>
    <x v="0"/>
    <x v="24"/>
    <n v="12"/>
    <x v="3"/>
    <s v="Chang Wanquan"/>
    <m/>
    <s v="Defense Minister; CMC Member"/>
    <n v="8"/>
    <x v="2"/>
    <s v="Army Chief of Staff"/>
    <x v="0"/>
    <m/>
    <x v="0"/>
    <m/>
    <m/>
    <m/>
    <m/>
    <m/>
    <s v="http://english.chinamil.com.cn/view/2017-11/02/content_7810455.htm"/>
    <m/>
  </r>
  <r>
    <x v="0"/>
    <x v="10"/>
    <s v="America and Oceania"/>
    <s v="No Specific Relationship"/>
    <s v="None"/>
    <s v="SOUTHCOM"/>
    <x v="103"/>
    <x v="24"/>
    <n v="12"/>
    <x v="12"/>
    <m/>
    <m/>
    <m/>
    <m/>
    <x v="0"/>
    <m/>
    <x v="0"/>
    <m/>
    <x v="0"/>
    <m/>
    <s v="NETF"/>
    <s v="2015-12 Harmonious Mission "/>
    <s v="East Sea Fleet"/>
    <m/>
    <m/>
    <s v="recoded to delete drills"/>
  </r>
  <r>
    <x v="1"/>
    <x v="8"/>
    <s v="Europe and Central Asia"/>
    <s v="Comprehensive Strategic Partnership [全面战略伙伴关系]"/>
    <s v="NATO"/>
    <s v="EUCOM"/>
    <x v="18"/>
    <x v="24"/>
    <n v="12"/>
    <x v="3"/>
    <s v="Sun Jianguo"/>
    <m/>
    <s v="GSD DCGS"/>
    <n v="6"/>
    <x v="2"/>
    <s v="Delegation of senior military officers"/>
    <x v="0"/>
    <m/>
    <x v="0"/>
    <m/>
    <m/>
    <m/>
    <m/>
    <m/>
    <s v="http://english.chinamil.com.cn/view/2017-11/20/content_7833802.htm"/>
    <m/>
  </r>
  <r>
    <x v="0"/>
    <x v="10"/>
    <s v="America and Oceania"/>
    <s v="No Specific Relationship"/>
    <s v="None"/>
    <s v="SOUTHCOM"/>
    <x v="138"/>
    <x v="24"/>
    <n v="12"/>
    <x v="12"/>
    <m/>
    <m/>
    <m/>
    <m/>
    <x v="0"/>
    <m/>
    <x v="0"/>
    <m/>
    <x v="0"/>
    <m/>
    <s v="NETF"/>
    <s v="2015-12 Harmonious Mission "/>
    <s v="East Sea Fleet"/>
    <m/>
    <m/>
    <s v="recoded to delete drills"/>
  </r>
  <r>
    <x v="1"/>
    <x v="0"/>
    <s v="Asia"/>
    <s v="Strategic Partnership for Peace and Prosperity [战略伙伴关系]"/>
    <s v="None"/>
    <s v="INDOPACOM"/>
    <x v="6"/>
    <x v="24"/>
    <n v="12"/>
    <x v="3"/>
    <s v="Qi Jianguo"/>
    <m/>
    <s v="GSD DCGS"/>
    <n v="6"/>
    <x v="2"/>
    <s v="CinC Indian Army Northern Command"/>
    <x v="0"/>
    <m/>
    <x v="0"/>
    <m/>
    <m/>
    <m/>
    <m/>
    <m/>
    <s v="http://english.chinamil.com.cn/view/2017-11/30/content_7851222.htm"/>
    <m/>
  </r>
  <r>
    <x v="2"/>
    <x v="0"/>
    <s v="Asia"/>
    <s v="All-Weather Strategic Cooperative Partnership [全天候战略合作伙伴关系]"/>
    <s v="Major Non-NATO Ally"/>
    <s v="CENTCOM"/>
    <x v="2"/>
    <x v="24"/>
    <n v="12"/>
    <x v="5"/>
    <m/>
    <m/>
    <m/>
    <m/>
    <x v="0"/>
    <m/>
    <x v="3"/>
    <s v="Friends"/>
    <x v="2"/>
    <s v="live-fire drills, joint escort, anti-piracy with FFGs Xuzhou, Yangzhou, and Shamsheer; ASW"/>
    <m/>
    <m/>
    <m/>
    <m/>
    <m/>
    <m/>
  </r>
  <r>
    <x v="2"/>
    <x v="0"/>
    <s v="Asia"/>
    <s v="All-Weather Strategic Cooperative Partnership [全天候战略合作伙伴关系]"/>
    <s v="Major Non-NATO Ally"/>
    <s v="CENTCOM"/>
    <x v="2"/>
    <x v="24"/>
    <n v="12"/>
    <x v="5"/>
    <m/>
    <m/>
    <m/>
    <m/>
    <x v="0"/>
    <m/>
    <x v="1"/>
    <s v="Friendship 2015"/>
    <x v="1"/>
    <s v="anti-terrorism"/>
    <m/>
    <m/>
    <m/>
    <m/>
    <s v="http://eng.chinamil.com.cn/news-channels/2016-01/04/content_6843101_2.htm"/>
    <m/>
  </r>
  <r>
    <x v="0"/>
    <x v="10"/>
    <s v="America and Oceania"/>
    <s v="Comprehensive Strategic Partnership [全面战略伙伴关系]"/>
    <s v="None"/>
    <s v="SOUTHCOM"/>
    <x v="54"/>
    <x v="24"/>
    <n v="12"/>
    <x v="12"/>
    <m/>
    <m/>
    <m/>
    <m/>
    <x v="0"/>
    <m/>
    <x v="0"/>
    <m/>
    <x v="0"/>
    <m/>
    <s v="NETF"/>
    <s v="2015-12 Harmonious Mission "/>
    <s v="East Sea Fleet"/>
    <m/>
    <m/>
    <s v="recoded to delete drills"/>
  </r>
  <r>
    <x v="2"/>
    <x v="5"/>
    <s v="America and Oceania"/>
    <s v="Comprehensive Strategic Partnership [全面战略伙伴关系]"/>
    <s v="ANZUS Treaty"/>
    <s v="INDOPACOM"/>
    <x v="12"/>
    <x v="25"/>
    <n v="1"/>
    <x v="5"/>
    <m/>
    <m/>
    <m/>
    <m/>
    <x v="0"/>
    <m/>
    <x v="5"/>
    <s v="None"/>
    <x v="2"/>
    <s v="FFG Yiyang and FFG Darwin maritime exercises"/>
    <m/>
    <m/>
    <m/>
    <m/>
    <m/>
    <m/>
  </r>
  <r>
    <x v="0"/>
    <x v="5"/>
    <s v="America and Oceania"/>
    <s v="Comprehensive Strategic Partnership [全面战略伙伴关系]"/>
    <s v="ANZUS Treaty"/>
    <s v="INDOPACOM"/>
    <x v="12"/>
    <x v="25"/>
    <n v="1"/>
    <x v="10"/>
    <m/>
    <m/>
    <m/>
    <m/>
    <x v="0"/>
    <m/>
    <x v="0"/>
    <m/>
    <x v="0"/>
    <m/>
    <s v="ETF"/>
    <s v="ETF-20"/>
    <s v="East Sea Fleet"/>
    <s v="DDG152 Jinan, FFG548 Yiyang, AOR886 Qiandao Hu "/>
    <m/>
    <m/>
  </r>
  <r>
    <x v="2"/>
    <x v="0"/>
    <s v="Asia"/>
    <s v="Comprehensive Cooperative Partnership [全面合作伙伴关系]"/>
    <s v="None"/>
    <s v="INDOPACOM"/>
    <x v="0"/>
    <x v="25"/>
    <n v="1"/>
    <x v="5"/>
    <m/>
    <m/>
    <m/>
    <m/>
    <x v="0"/>
    <m/>
    <x v="2"/>
    <s v="None"/>
    <x v="2"/>
    <s v="fleet maneuvers, communications drill, SAR, UNREP; ETF-21"/>
    <m/>
    <m/>
    <m/>
    <m/>
    <m/>
    <m/>
  </r>
  <r>
    <x v="0"/>
    <x v="0"/>
    <s v="Asia"/>
    <s v="Comprehensive Cooperative Partnership [全面合作伙伴关系]"/>
    <s v="None"/>
    <s v="INDOPACOM"/>
    <x v="0"/>
    <x v="25"/>
    <n v="1"/>
    <x v="10"/>
    <m/>
    <m/>
    <m/>
    <m/>
    <x v="0"/>
    <m/>
    <x v="0"/>
    <m/>
    <x v="0"/>
    <m/>
    <s v="ETF"/>
    <s v="ETF-21"/>
    <s v="South Sea Fleet"/>
    <s v="FFG573 Liuzhou, FFG574 Sanya, AOR885 Qinghai Hu"/>
    <m/>
    <m/>
  </r>
  <r>
    <x v="0"/>
    <x v="1"/>
    <s v="Asia"/>
    <s v="Comprehensive Cooperative Partnership [全面合作伙伴关系]"/>
    <s v="None"/>
    <s v="INDOPACOM"/>
    <x v="50"/>
    <x v="25"/>
    <n v="1"/>
    <x v="0"/>
    <m/>
    <m/>
    <m/>
    <m/>
    <x v="0"/>
    <m/>
    <x v="0"/>
    <m/>
    <x v="0"/>
    <m/>
    <s v="ETF"/>
    <s v="ETF-20"/>
    <s v="East Sea Fleet"/>
    <s v="DDG152 Jinan, FFG548 Yiyang, AOR886 Qiandao Hu "/>
    <m/>
    <m/>
  </r>
  <r>
    <x v="0"/>
    <x v="1"/>
    <s v="Asia"/>
    <s v="Comprehensive Strategic Partnership [全面战略伙伴关系]"/>
    <s v="None"/>
    <s v="INDOPACOM"/>
    <x v="8"/>
    <x v="25"/>
    <n v="1"/>
    <x v="0"/>
    <m/>
    <m/>
    <m/>
    <m/>
    <x v="0"/>
    <m/>
    <x v="0"/>
    <m/>
    <x v="0"/>
    <m/>
    <s v="ETF"/>
    <s v="ETF-20"/>
    <s v="East Sea Fleet"/>
    <s v="DDG152 Jinan, FFG548 Yiyang, AOR886 Qiandao Hu "/>
    <m/>
    <m/>
  </r>
  <r>
    <x v="2"/>
    <x v="0"/>
    <s v="Asia"/>
    <s v="All-Weather Strategic Cooperative Partnership [全天候战略合作伙伴关系]"/>
    <s v="Major Non-NATO Ally"/>
    <s v="CENTCOM"/>
    <x v="2"/>
    <x v="25"/>
    <n v="1"/>
    <x v="5"/>
    <m/>
    <m/>
    <m/>
    <m/>
    <x v="0"/>
    <m/>
    <x v="5"/>
    <s v="None"/>
    <x v="2"/>
    <s v="ETF-21, formation maneuver, replenishment, formation air defense, cross-deck helo landing"/>
    <m/>
    <m/>
    <m/>
    <m/>
    <m/>
    <m/>
  </r>
  <r>
    <x v="0"/>
    <x v="0"/>
    <s v="Asia"/>
    <s v="All-Weather Strategic Cooperative Partnership [全天候战略合作伙伴关系]"/>
    <s v="Major Non-NATO Ally"/>
    <s v="CENTCOM"/>
    <x v="2"/>
    <x v="25"/>
    <n v="1"/>
    <x v="10"/>
    <m/>
    <m/>
    <m/>
    <m/>
    <x v="0"/>
    <m/>
    <x v="0"/>
    <m/>
    <x v="0"/>
    <m/>
    <s v="ETF"/>
    <s v="ETF-21"/>
    <s v="South Sea Fleet"/>
    <s v="FFG573 Liuzhou, FFG574 Sanya, AOR885 Qinghai Hu; communications drills"/>
    <s v="http://eng.chinamil.com.cn/news-channels/2016-01/04/content_6843101_2.htm"/>
    <m/>
  </r>
  <r>
    <x v="2"/>
    <x v="0"/>
    <s v="Asia"/>
    <s v="Strategic Cooperative Partnership [战略合作伙伴关系]"/>
    <s v="None"/>
    <s v="INDOPACOM"/>
    <x v="3"/>
    <x v="25"/>
    <n v="1"/>
    <x v="5"/>
    <m/>
    <m/>
    <m/>
    <m/>
    <x v="0"/>
    <m/>
    <x v="2"/>
    <s v="None"/>
    <x v="2"/>
    <s v="fleet maneuvers, communications drill, SAR,ETF-21"/>
    <m/>
    <m/>
    <m/>
    <m/>
    <m/>
    <m/>
  </r>
  <r>
    <x v="0"/>
    <x v="0"/>
    <s v="Asia"/>
    <s v="Strategic Cooperative Partnership [战略合作伙伴关系]"/>
    <s v="None"/>
    <s v="INDOPACOM"/>
    <x v="3"/>
    <x v="25"/>
    <n v="1"/>
    <x v="10"/>
    <m/>
    <m/>
    <m/>
    <m/>
    <x v="0"/>
    <m/>
    <x v="0"/>
    <m/>
    <x v="0"/>
    <m/>
    <s v="ETF"/>
    <s v="ETF-21"/>
    <s v="South Sea Fleet"/>
    <s v="FFG573 Liuzhou, FFG574 Sanya, AOR885 Qinghai Hu"/>
    <m/>
    <m/>
  </r>
  <r>
    <x v="1"/>
    <x v="1"/>
    <s v="Asia"/>
    <s v="Comprehensive Strategic Cooperative Partnership [全面战略合作伙伴关系]"/>
    <s v="Bilateral Defense Treaty"/>
    <s v="INDOPACOM"/>
    <x v="5"/>
    <x v="25"/>
    <n v="1"/>
    <x v="3"/>
    <s v="Chang Wanquan"/>
    <m/>
    <s v="Defense Minister; CMC Member"/>
    <n v="8"/>
    <x v="2"/>
    <s v="Chief of Army"/>
    <x v="0"/>
    <m/>
    <x v="0"/>
    <m/>
    <m/>
    <m/>
    <m/>
    <m/>
    <m/>
    <m/>
  </r>
  <r>
    <x v="1"/>
    <x v="1"/>
    <s v="Asia"/>
    <s v="Comprehensive Strategic Cooperative Partnership [全面战略合作伙伴关系]"/>
    <s v="None"/>
    <s v="INDOPACOM"/>
    <x v="23"/>
    <x v="25"/>
    <n v="1"/>
    <x v="3"/>
    <s v="Sun Jianguo"/>
    <m/>
    <s v="CMC/JSD DCJS"/>
    <n v="6"/>
    <x v="2"/>
    <s v="Vice Defense Minister"/>
    <x v="0"/>
    <m/>
    <x v="0"/>
    <m/>
    <m/>
    <m/>
    <m/>
    <m/>
    <m/>
    <m/>
  </r>
  <r>
    <x v="1"/>
    <x v="0"/>
    <s v="Europe and Central Asia"/>
    <s v="Strategic Partnership [战略伙伴关系]"/>
    <s v="Major Non-NATO Ally"/>
    <s v="CENTCOM"/>
    <x v="123"/>
    <x v="25"/>
    <n v="2"/>
    <x v="4"/>
    <s v="Fang Fenghui"/>
    <m/>
    <s v="CMC/JSD Commander; CMC Member"/>
    <n v="8"/>
    <x v="1"/>
    <m/>
    <x v="0"/>
    <m/>
    <x v="0"/>
    <m/>
    <m/>
    <m/>
    <m/>
    <m/>
    <m/>
    <m/>
  </r>
  <r>
    <x v="0"/>
    <x v="1"/>
    <s v="Asia"/>
    <s v="Comprehensive Strategic Cooperative Partnership [全面战略合作伙伴关系]"/>
    <s v="None"/>
    <s v="INDOPACOM"/>
    <x v="94"/>
    <x v="25"/>
    <n v="2"/>
    <x v="0"/>
    <m/>
    <m/>
    <m/>
    <m/>
    <x v="0"/>
    <m/>
    <x v="0"/>
    <m/>
    <x v="0"/>
    <m/>
    <s v="ETF"/>
    <s v="ETF-21"/>
    <s v="South Sea Fleet"/>
    <s v="FFG573 Liuzhou, FFG574 Sanya, AOR885 Qinghai Hu"/>
    <m/>
    <m/>
  </r>
  <r>
    <x v="2"/>
    <x v="8"/>
    <s v="Europe and Central Asia"/>
    <s v="Comprehensive Cooperative Partnership [全面合作伙伴关系]"/>
    <s v="None"/>
    <s v="EUCOM"/>
    <x v="158"/>
    <x v="25"/>
    <n v="2"/>
    <x v="6"/>
    <m/>
    <m/>
    <m/>
    <m/>
    <x v="0"/>
    <m/>
    <x v="4"/>
    <s v="None"/>
    <x v="2"/>
    <s v="ETF-22 anti-piracy drills with EU Combined Task Force 465"/>
    <m/>
    <m/>
    <m/>
    <m/>
    <m/>
    <m/>
  </r>
  <r>
    <x v="2"/>
    <x v="0"/>
    <s v="Asia"/>
    <s v="Strategic Partnership for Peace and Prosperity [战略伙伴关系]"/>
    <s v="None"/>
    <s v="INDOPACOM"/>
    <x v="6"/>
    <x v="25"/>
    <n v="2"/>
    <x v="6"/>
    <m/>
    <m/>
    <m/>
    <m/>
    <x v="0"/>
    <m/>
    <x v="2"/>
    <s v="Indian Fleet Review 2016"/>
    <x v="2"/>
    <s v="navigation and formation maneuvers; ETF-21. Other countries: refer to source for a complete list of countries"/>
    <m/>
    <m/>
    <m/>
    <m/>
    <s v="http://english.chinamil.com.cn/news-channels/china-military-news/2016-02/15/content_6908979.htm;  https://www.indiannavy.nic.in/content/international-fleet-review-2016-1l https://www.indiannavy.nic.in/content/international-fleet-review-2016-1; "/>
    <m/>
  </r>
  <r>
    <x v="1"/>
    <x v="6"/>
    <s v="Europe and Central Asia"/>
    <s v="Strategic Partnership [战略伙伴关系]"/>
    <s v="None"/>
    <s v="CENTCOM"/>
    <x v="60"/>
    <x v="25"/>
    <n v="2"/>
    <x v="4"/>
    <s v="Fang Fenghui"/>
    <m/>
    <s v="CMC/JSD Commander; CMC Member"/>
    <n v="8"/>
    <x v="1"/>
    <s v="Defense Minister"/>
    <x v="0"/>
    <m/>
    <x v="0"/>
    <m/>
    <m/>
    <m/>
    <m/>
    <m/>
    <m/>
    <m/>
  </r>
  <r>
    <x v="2"/>
    <x v="1"/>
    <s v="Asia"/>
    <s v="Comprehensive Strategic Cooperative Partnership [全面战略合作伙伴关系]"/>
    <s v="Bilateral Defense Treaty"/>
    <s v="INDOPACOM"/>
    <x v="5"/>
    <x v="25"/>
    <n v="2"/>
    <x v="6"/>
    <m/>
    <m/>
    <m/>
    <m/>
    <x v="0"/>
    <m/>
    <x v="2"/>
    <s v="Cobra Gold 2016"/>
    <x v="1"/>
    <s v="HADR"/>
    <m/>
    <m/>
    <m/>
    <m/>
    <s v="https://www.marines.mil/News/News-Display/Article/644293/exercise-cobra-gold-2016-to-begin-february-9/"/>
    <m/>
  </r>
  <r>
    <x v="0"/>
    <x v="1"/>
    <s v="Asia"/>
    <s v="Comprehensive Strategic Cooperative Partnership [全面战略合作伙伴关系]"/>
    <s v="Bilateral Defense Treaty"/>
    <s v="INDOPACOM"/>
    <x v="5"/>
    <x v="25"/>
    <n v="2"/>
    <x v="10"/>
    <m/>
    <m/>
    <m/>
    <m/>
    <x v="0"/>
    <m/>
    <x v="0"/>
    <m/>
    <x v="0"/>
    <m/>
    <s v="ETF"/>
    <s v="ETF-21"/>
    <s v="South Sea Fleet"/>
    <s v="FFG573 Liuzhou, FFG574 Sanya, AOR885 Qinghai Hu"/>
    <m/>
    <m/>
  </r>
  <r>
    <x v="2"/>
    <x v="1"/>
    <s v="Asia"/>
    <s v="Strategic Partnership [战略伙伴关系] for Peace and Prosperity"/>
    <s v="None"/>
    <s v="INDOPACOM"/>
    <x v="153"/>
    <x v="25"/>
    <n v="3"/>
    <x v="6"/>
    <m/>
    <m/>
    <m/>
    <m/>
    <x v="0"/>
    <m/>
    <x v="2"/>
    <s v="Force 18"/>
    <x v="1"/>
    <s v="ADMM-Plus Humanitarian Mine Action and Peacekeeping Operations: Hosted by India with ASEAN and 8 dialogue partners"/>
    <m/>
    <m/>
    <m/>
    <m/>
    <s v="https://thediplomat.com/2016/03/india-concludes-watershed-military-exercise-with-asean-plus-nations/"/>
    <s v="corrected partnership to strategic partnership for peace and prosperity"/>
  </r>
  <r>
    <x v="1"/>
    <x v="9"/>
    <s v="West Asia and Africa"/>
    <s v="All-Round Partnership for Innovation [创新全面伙伴关系]"/>
    <s v="Major Non-NATO Ally"/>
    <s v="CENTCOM"/>
    <x v="100"/>
    <x v="25"/>
    <n v="3"/>
    <x v="3"/>
    <s v="Zhao Keshi"/>
    <m/>
    <s v="CMC/LSD Director; CMC Member"/>
    <n v="8"/>
    <x v="2"/>
    <m/>
    <x v="0"/>
    <m/>
    <x v="0"/>
    <m/>
    <m/>
    <m/>
    <m/>
    <m/>
    <m/>
    <m/>
  </r>
  <r>
    <x v="1"/>
    <x v="0"/>
    <s v="Asia"/>
    <s v="All-Round Strategic Partnership [全方位战略伙伴关系]"/>
    <s v="None"/>
    <s v="INDOPACOM"/>
    <x v="32"/>
    <x v="25"/>
    <n v="3"/>
    <x v="3"/>
    <s v="Xu Qiliang"/>
    <m/>
    <s v="CMC Vice Chairman"/>
    <n v="10"/>
    <x v="2"/>
    <s v="Chief of Army Staff"/>
    <x v="0"/>
    <m/>
    <x v="0"/>
    <m/>
    <m/>
    <m/>
    <m/>
    <m/>
    <m/>
    <m/>
  </r>
  <r>
    <x v="2"/>
    <x v="8"/>
    <s v="Europe and Central Asia"/>
    <s v="Comprehensive Strategic Partnership [全面战略伙伴关系]"/>
    <s v="NATO"/>
    <s v="EUCOM"/>
    <x v="21"/>
    <x v="25"/>
    <n v="3"/>
    <x v="5"/>
    <m/>
    <m/>
    <m/>
    <m/>
    <x v="0"/>
    <m/>
    <x v="2"/>
    <s v="Joint Evacuation 2016"/>
    <x v="2"/>
    <s v="TTX; NEO"/>
    <m/>
    <m/>
    <m/>
    <m/>
    <m/>
    <m/>
  </r>
  <r>
    <x v="1"/>
    <x v="1"/>
    <s v="Asia"/>
    <s v="Comprehensive Strategic Cooperative Partnership [全面战略合作伙伴关系]"/>
    <s v="None"/>
    <s v="INDOPACOM"/>
    <x v="23"/>
    <x v="25"/>
    <n v="3"/>
    <x v="4"/>
    <s v="Chang Wanquan"/>
    <m/>
    <s v="Defense Minister; CMC Member"/>
    <n v="8"/>
    <x v="1"/>
    <s v="Defense Minister"/>
    <x v="0"/>
    <m/>
    <x v="0"/>
    <m/>
    <m/>
    <m/>
    <m/>
    <m/>
    <m/>
    <m/>
  </r>
  <r>
    <x v="1"/>
    <x v="0"/>
    <s v="Europe and Central Asia"/>
    <s v="Strategic Partnership [战略伙伴关系]"/>
    <s v="Major Non-NATO Ally"/>
    <s v="CENTCOM"/>
    <x v="123"/>
    <x v="25"/>
    <n v="4"/>
    <x v="3"/>
    <s v="Fang Fenghui"/>
    <m/>
    <s v="CMC/JSD Commander; CMC Member"/>
    <n v="8"/>
    <x v="2"/>
    <s v="National Security Advisor"/>
    <x v="0"/>
    <m/>
    <x v="0"/>
    <m/>
    <m/>
    <m/>
    <m/>
    <m/>
    <m/>
    <m/>
  </r>
  <r>
    <x v="1"/>
    <x v="0"/>
    <s v="Asia"/>
    <s v="Strategic Partnership for Peace and Prosperity [战略伙伴关系]"/>
    <s v="None"/>
    <s v="INDOPACOM"/>
    <x v="6"/>
    <x v="25"/>
    <n v="4"/>
    <x v="3"/>
    <s v="Chang Wanquan"/>
    <m/>
    <s v="Defense Minister; CMC Member"/>
    <n v="8"/>
    <x v="2"/>
    <s v="Defense Minister"/>
    <x v="0"/>
    <m/>
    <x v="0"/>
    <m/>
    <m/>
    <m/>
    <m/>
    <m/>
    <m/>
    <m/>
  </r>
  <r>
    <x v="2"/>
    <x v="1"/>
    <s v="Asia"/>
    <s v="Comprehensive Strategic Partnership [全面战略伙伴关系]"/>
    <s v="None"/>
    <s v="INDOPACOM"/>
    <x v="8"/>
    <x v="25"/>
    <n v="4"/>
    <x v="6"/>
    <m/>
    <m/>
    <m/>
    <m/>
    <x v="0"/>
    <m/>
    <x v="5"/>
    <s v="None"/>
    <x v="2"/>
    <s v="port-and-shore activities, maritime drills, engineering and rescue ashore; Russia; France; US"/>
    <m/>
    <m/>
    <m/>
    <m/>
    <m/>
    <m/>
  </r>
  <r>
    <x v="2"/>
    <x v="1"/>
    <s v="Asia"/>
    <s v="Comprehensive Strategic Partnership [全面战略伙伴关系]"/>
    <s v="None"/>
    <s v="INDOPACOM"/>
    <x v="8"/>
    <x v="25"/>
    <n v="4"/>
    <x v="6"/>
    <m/>
    <m/>
    <m/>
    <m/>
    <x v="0"/>
    <m/>
    <x v="2"/>
    <s v="Komodo 2016"/>
    <x v="2"/>
    <s v="HADR TTX; formation maneuvers, communication drills. Other countries: refer to source for a complete list of countries "/>
    <m/>
    <m/>
    <m/>
    <m/>
    <s v="http://www.navy.mil/submit/display.asp?story_id=94132"/>
    <m/>
  </r>
  <r>
    <x v="2"/>
    <x v="0"/>
    <s v="Asia"/>
    <s v="All-Weather Strategic Cooperative Partnership [全天候战略合作伙伴关系]"/>
    <s v="Major Non-NATO Ally"/>
    <s v="CENTCOM"/>
    <x v="2"/>
    <x v="25"/>
    <n v="4"/>
    <x v="5"/>
    <m/>
    <m/>
    <m/>
    <m/>
    <x v="0"/>
    <m/>
    <x v="3"/>
    <s v="Shaheen 5"/>
    <x v="5"/>
    <s v="combat exercises"/>
    <m/>
    <m/>
    <m/>
    <m/>
    <m/>
    <m/>
  </r>
  <r>
    <x v="1"/>
    <x v="3"/>
    <s v="Europe and Central Asia"/>
    <s v="Comprehensive Collaborative Strategic Partnership [全面战略协作伙伴关系]"/>
    <s v="None"/>
    <s v="EUCOM"/>
    <x v="7"/>
    <x v="25"/>
    <n v="4"/>
    <x v="4"/>
    <s v="Chang Wanquan"/>
    <m/>
    <s v="Defense Minister; CMC Member"/>
    <n v="8"/>
    <x v="1"/>
    <s v="Defense Minister"/>
    <x v="0"/>
    <m/>
    <x v="0"/>
    <m/>
    <m/>
    <m/>
    <m/>
    <m/>
    <m/>
    <m/>
  </r>
  <r>
    <x v="1"/>
    <x v="8"/>
    <s v="Europe and Central Asia"/>
    <s v="Comprehensive Strategic Partnership [全面战略伙伴关系]"/>
    <s v="NATO"/>
    <s v="EUCOM"/>
    <x v="21"/>
    <x v="25"/>
    <n v="4"/>
    <x v="3"/>
    <s v="Ma Xiaotian"/>
    <m/>
    <s v="PLAAF Commander; CMC Member"/>
    <n v="8"/>
    <x v="2"/>
    <s v="Air Chief Marshal"/>
    <x v="0"/>
    <m/>
    <x v="0"/>
    <m/>
    <m/>
    <m/>
    <m/>
    <m/>
    <m/>
    <m/>
  </r>
  <r>
    <x v="1"/>
    <x v="1"/>
    <s v="Asia"/>
    <s v="Strategic Partnership [战略伙伴关系] for Peace and Prosperity"/>
    <s v="None"/>
    <s v="INDOPACOM"/>
    <x v="153"/>
    <x v="25"/>
    <n v="5"/>
    <x v="1"/>
    <s v="Chang Wanquan"/>
    <m/>
    <s v="Defense Minister; CMC Member"/>
    <n v="8"/>
    <x v="1"/>
    <s v="Sixth China-ASEAN Defense Ministers' Informal Meeting in Laos"/>
    <x v="0"/>
    <m/>
    <x v="0"/>
    <m/>
    <m/>
    <m/>
    <m/>
    <m/>
    <s v="http://en.people.cn/n3/2016/0526/c90883-9063888.html"/>
    <s v="corrected partnership to strategic partnership for peace and prosperity"/>
  </r>
  <r>
    <x v="2"/>
    <x v="1"/>
    <s v="Asia"/>
    <s v="Strategic Partnership [战略伙伴关系] for Peace and Prosperity"/>
    <s v="None"/>
    <s v="INDOPACOM"/>
    <x v="153"/>
    <x v="25"/>
    <n v="5"/>
    <x v="6"/>
    <m/>
    <m/>
    <m/>
    <m/>
    <x v="0"/>
    <m/>
    <x v="1"/>
    <s v="ADMM-Plus Maritime Security and Counter Terrorism Exercise"/>
    <x v="1"/>
    <s v="ADMM-Plus Maritime Security and Counter Terrorism Exercise; Brunei and Singapore hosted"/>
    <m/>
    <m/>
    <m/>
    <m/>
    <m/>
    <s v="corrected partnership to strategic partnership for peace and prosperity"/>
  </r>
  <r>
    <x v="1"/>
    <x v="5"/>
    <s v="America and Oceania"/>
    <s v="Comprehensive Strategic Partnership [全面战略伙伴关系]"/>
    <s v="ANZUS Treaty"/>
    <s v="INDOPACOM"/>
    <x v="12"/>
    <x v="25"/>
    <n v="5"/>
    <x v="3"/>
    <s v="Sun Jianguo"/>
    <m/>
    <s v="CMC/JSD DCJS"/>
    <n v="6"/>
    <x v="2"/>
    <s v="Vice Chief ADF"/>
    <x v="0"/>
    <m/>
    <x v="0"/>
    <m/>
    <m/>
    <m/>
    <m/>
    <m/>
    <m/>
    <m/>
  </r>
  <r>
    <x v="2"/>
    <x v="5"/>
    <s v="America and Oceania"/>
    <s v="Comprehensive Strategic Partnership [全面战略伙伴关系]"/>
    <s v="ANZUS Treaty"/>
    <s v="INDOPACOM"/>
    <x v="12"/>
    <x v="25"/>
    <n v="5"/>
    <x v="6"/>
    <m/>
    <m/>
    <m/>
    <m/>
    <x v="0"/>
    <m/>
    <x v="6"/>
    <s v="Australian Army Skill At Arms Meeting (AASAM)"/>
    <x v="1"/>
    <s v="27th Combined Corps Chinese Central TC; sharpshooting competition. Other countries: Canada, France, Indonesia, Malaysia, Philippines, South Korea, United Kingdom, United States"/>
    <m/>
    <m/>
    <m/>
    <m/>
    <m/>
    <m/>
  </r>
  <r>
    <x v="1"/>
    <x v="0"/>
    <s v="Asia"/>
    <s v="Comprehensive Cooperative Partnership [全面合作伙伴关系]"/>
    <s v="None"/>
    <s v="INDOPACOM"/>
    <x v="0"/>
    <x v="25"/>
    <n v="5"/>
    <x v="4"/>
    <s v="Chang Wanquan"/>
    <m/>
    <s v="Defense Minister; CMC Member"/>
    <n v="8"/>
    <x v="1"/>
    <m/>
    <x v="0"/>
    <m/>
    <x v="0"/>
    <m/>
    <m/>
    <m/>
    <m/>
    <m/>
    <m/>
    <m/>
  </r>
  <r>
    <x v="0"/>
    <x v="9"/>
    <s v="West Asia and Africa"/>
    <s v="No Specific Relationship"/>
    <s v="None"/>
    <s v="CENTCOM"/>
    <x v="119"/>
    <x v="25"/>
    <n v="5"/>
    <x v="9"/>
    <m/>
    <m/>
    <m/>
    <m/>
    <x v="0"/>
    <m/>
    <x v="0"/>
    <m/>
    <x v="0"/>
    <m/>
    <s v="ETF"/>
    <s v="ETF-22"/>
    <s v="North Sea Fleet"/>
    <s v="DDG113 Qingdao, FFG576 Daqing, AOR889 Tai Hu "/>
    <m/>
    <m/>
  </r>
  <r>
    <x v="1"/>
    <x v="9"/>
    <s v="West Asia and Africa"/>
    <s v="Comprehensive Strategic Partnership [全面战略伙伴关系]"/>
    <s v="Major Non-NATO Ally"/>
    <s v="CENTCOM"/>
    <x v="24"/>
    <x v="25"/>
    <n v="5"/>
    <x v="4"/>
    <s v="Wu Shengli"/>
    <m/>
    <s v="PLAN Commander; CMC Member"/>
    <n v="8"/>
    <x v="1"/>
    <m/>
    <x v="0"/>
    <m/>
    <x v="0"/>
    <m/>
    <m/>
    <m/>
    <m/>
    <m/>
    <m/>
    <m/>
  </r>
  <r>
    <x v="1"/>
    <x v="1"/>
    <s v="Asia"/>
    <s v="Comprehensive Strategic Partnership [全面战略伙伴关系]"/>
    <s v="None"/>
    <s v="INDOPACOM"/>
    <x v="8"/>
    <x v="25"/>
    <n v="5"/>
    <x v="4"/>
    <s v="Chang Wanquan"/>
    <m/>
    <s v="Defense Minister; CMC Member"/>
    <n v="8"/>
    <x v="1"/>
    <s v="Defense Minister"/>
    <x v="0"/>
    <m/>
    <x v="0"/>
    <m/>
    <m/>
    <m/>
    <m/>
    <m/>
    <m/>
    <m/>
  </r>
  <r>
    <x v="1"/>
    <x v="8"/>
    <s v="Europe and Central Asia"/>
    <s v="Comprehensive Strategic Partnership [全面战略伙伴关系]"/>
    <s v="NATO"/>
    <s v="EUCOM"/>
    <x v="20"/>
    <x v="25"/>
    <n v="5"/>
    <x v="4"/>
    <s v="Zhang Youxia"/>
    <m/>
    <s v="CMC/EDD Director; CMC Member"/>
    <n v="8"/>
    <x v="1"/>
    <s v="Secretary General of Defense and National Armaments Director"/>
    <x v="0"/>
    <m/>
    <x v="0"/>
    <m/>
    <m/>
    <m/>
    <m/>
    <m/>
    <m/>
    <m/>
  </r>
  <r>
    <x v="1"/>
    <x v="1"/>
    <s v="Asia"/>
    <s v="Comprehensive Strategic Cooperative Partnership [全面战略合作伙伴关系]"/>
    <s v="None"/>
    <s v="INDOPACOM"/>
    <x v="52"/>
    <x v="25"/>
    <n v="5"/>
    <x v="4"/>
    <s v="Chang Wanquan"/>
    <m/>
    <s v="Defense Minister; CMC Member"/>
    <n v="8"/>
    <x v="1"/>
    <s v="Defense Minister"/>
    <x v="0"/>
    <m/>
    <x v="0"/>
    <m/>
    <m/>
    <m/>
    <m/>
    <m/>
    <m/>
    <m/>
  </r>
  <r>
    <x v="1"/>
    <x v="1"/>
    <s v="Asia"/>
    <s v="Comprehensive Strategic Partnership [全面战略伙伴关系]"/>
    <s v="None"/>
    <s v="INDOPACOM"/>
    <x v="10"/>
    <x v="25"/>
    <n v="5"/>
    <x v="3"/>
    <s v="Xu Qiliang"/>
    <m/>
    <s v="CMC Vice Chairman"/>
    <n v="10"/>
    <x v="2"/>
    <s v="Navy Chief"/>
    <x v="0"/>
    <m/>
    <x v="0"/>
    <m/>
    <m/>
    <m/>
    <m/>
    <m/>
    <m/>
    <m/>
  </r>
  <r>
    <x v="1"/>
    <x v="0"/>
    <s v="Asia"/>
    <s v="All-Weather Strategic Cooperative Partnership [全天候战略合作伙伴关系]"/>
    <s v="Major Non-NATO Ally"/>
    <s v="CENTCOM"/>
    <x v="2"/>
    <x v="25"/>
    <n v="5"/>
    <x v="3"/>
    <s v="Fan Changlong"/>
    <m/>
    <s v="CMC Vice Chairman"/>
    <n v="10"/>
    <x v="2"/>
    <s v="Chief of Army Staff"/>
    <x v="0"/>
    <m/>
    <x v="0"/>
    <m/>
    <m/>
    <m/>
    <m/>
    <m/>
    <m/>
    <m/>
  </r>
  <r>
    <x v="1"/>
    <x v="3"/>
    <s v="Europe and Central Asia"/>
    <s v="Comprehensive Collaborative Strategic Partnership [全面战略协作伙伴关系]"/>
    <s v="None"/>
    <s v="EUCOM"/>
    <x v="7"/>
    <x v="25"/>
    <n v="5"/>
    <x v="4"/>
    <s v="Sun Jianguo"/>
    <m/>
    <s v="CMC/JSD DCJS"/>
    <n v="6"/>
    <x v="1"/>
    <s v="DCOGS"/>
    <x v="0"/>
    <m/>
    <x v="0"/>
    <m/>
    <m/>
    <m/>
    <m/>
    <m/>
    <m/>
    <m/>
  </r>
  <r>
    <x v="2"/>
    <x v="3"/>
    <s v="Europe and Central Asia"/>
    <s v="Comprehensive Collaborative Strategic Partnership [全面战略协作伙伴关系]"/>
    <s v="None"/>
    <s v="EUCOM"/>
    <x v="7"/>
    <x v="25"/>
    <n v="5"/>
    <x v="5"/>
    <m/>
    <m/>
    <m/>
    <m/>
    <x v="0"/>
    <m/>
    <x v="1"/>
    <s v="Cooperation 2016"/>
    <x v="4"/>
    <s v="&quot;fighting, tactical shooting, helicopter fast-roping, fast evacuation, building climbing and units tactical comprehensive exercises and other subjects&quot;; Falcon Commando Unit, Snow Leopard Commando Unit"/>
    <m/>
    <m/>
    <m/>
    <m/>
    <s v="https://web.archive.org/web/20180821103143/http://news.ifeng.com/a/20160519/48800334_0.shtml"/>
    <m/>
  </r>
  <r>
    <x v="2"/>
    <x v="3"/>
    <s v="Europe and Central Asia"/>
    <s v="Comprehensive Collaborative Strategic Partnership [全面战略协作伙伴关系]"/>
    <s v="None"/>
    <s v="EUCOM"/>
    <x v="7"/>
    <x v="25"/>
    <n v="5"/>
    <x v="5"/>
    <m/>
    <m/>
    <m/>
    <m/>
    <x v="0"/>
    <m/>
    <x v="7"/>
    <s v="Aerospace Security 2016"/>
    <x v="5"/>
    <s v="Computer-enabled missile defense exercise (TTX)"/>
    <m/>
    <m/>
    <m/>
    <m/>
    <m/>
    <s v="Included even though it is a CPX due to the strategic significance of the exercise subject"/>
  </r>
  <r>
    <x v="1"/>
    <x v="7"/>
    <s v="West Asia and Africa"/>
    <s v="Comprehensive Strategic Partnership [全面战略伙伴关系]"/>
    <s v="None"/>
    <s v="AFRICOM"/>
    <x v="15"/>
    <x v="25"/>
    <n v="5"/>
    <x v="4"/>
    <s v="Wu Shengli"/>
    <m/>
    <s v="PLAN Commander; CMC Member"/>
    <n v="8"/>
    <x v="1"/>
    <m/>
    <x v="0"/>
    <m/>
    <x v="0"/>
    <m/>
    <m/>
    <m/>
    <m/>
    <m/>
    <m/>
    <m/>
  </r>
  <r>
    <x v="2"/>
    <x v="7"/>
    <s v="West Asia and Africa"/>
    <s v="Comprehensive Strategic Partnership [全面战略伙伴关系]"/>
    <s v="None"/>
    <s v="AFRICOM"/>
    <x v="15"/>
    <x v="25"/>
    <n v="5"/>
    <x v="5"/>
    <m/>
    <m/>
    <m/>
    <m/>
    <x v="0"/>
    <m/>
    <x v="2"/>
    <s v="None"/>
    <x v="2"/>
    <s v="unspecified communications and maneuvers drills with South African Navy; ETF-22"/>
    <m/>
    <m/>
    <m/>
    <m/>
    <m/>
    <m/>
  </r>
  <r>
    <x v="0"/>
    <x v="7"/>
    <s v="West Asia and Africa"/>
    <s v="Comprehensive Strategic Partnership [全面战略伙伴关系]"/>
    <s v="None"/>
    <s v="AFRICOM"/>
    <x v="15"/>
    <x v="25"/>
    <n v="5"/>
    <x v="10"/>
    <m/>
    <m/>
    <m/>
    <m/>
    <x v="0"/>
    <m/>
    <x v="0"/>
    <m/>
    <x v="0"/>
    <m/>
    <s v="ETF"/>
    <s v="ETF-22"/>
    <s v="North Sea Fleet"/>
    <s v="DDG113 Qingdao, FFG576 Daqing, AOR889 Tai Hu "/>
    <m/>
    <m/>
  </r>
  <r>
    <x v="1"/>
    <x v="6"/>
    <s v="Europe and Central Asia"/>
    <s v="Strategic Partnership [战略伙伴关系]"/>
    <s v="None"/>
    <s v="CENTCOM"/>
    <x v="60"/>
    <x v="25"/>
    <n v="5"/>
    <x v="4"/>
    <s v="Xu Fenlin"/>
    <m/>
    <s v="CMC/JSD DCJS"/>
    <n v="6"/>
    <x v="1"/>
    <s v="Defense Minister"/>
    <x v="0"/>
    <m/>
    <x v="0"/>
    <m/>
    <m/>
    <m/>
    <m/>
    <m/>
    <m/>
    <m/>
  </r>
  <r>
    <x v="1"/>
    <x v="1"/>
    <s v="Asia"/>
    <s v="Comprehensive Strategic Cooperative Partnership [全面战略合作伙伴关系]"/>
    <s v="Bilateral Defense Treaty"/>
    <s v="INDOPACOM"/>
    <x v="5"/>
    <x v="25"/>
    <n v="5"/>
    <x v="4"/>
    <s v="Chang Wanquan"/>
    <m/>
    <s v="Defense Minister; CMC Member"/>
    <n v="8"/>
    <x v="1"/>
    <s v="Defense Minister"/>
    <x v="0"/>
    <m/>
    <x v="0"/>
    <m/>
    <m/>
    <m/>
    <m/>
    <m/>
    <m/>
    <m/>
  </r>
  <r>
    <x v="1"/>
    <x v="2"/>
    <s v="America and Oceania"/>
    <s v="No Specific Relationship"/>
    <s v="N/A"/>
    <s v="NORTHCOM"/>
    <x v="4"/>
    <x v="25"/>
    <n v="5"/>
    <x v="4"/>
    <s v="Ma Yiming"/>
    <m/>
    <s v="CMC/JSD Assistant Commander"/>
    <n v="5"/>
    <x v="1"/>
    <s v="ASD Christine Wormuth"/>
    <x v="0"/>
    <m/>
    <x v="0"/>
    <m/>
    <m/>
    <m/>
    <m/>
    <m/>
    <s v="2017 CH Mil Power Report "/>
    <m/>
  </r>
  <r>
    <x v="1"/>
    <x v="5"/>
    <s v="America and Oceania"/>
    <s v="Comprehensive Strategic Partnership [全面战略伙伴关系]"/>
    <s v="ANZUS Treaty"/>
    <s v="INDOPACOM"/>
    <x v="12"/>
    <x v="25"/>
    <n v="6"/>
    <x v="7"/>
    <s v="Sun Jianguo"/>
    <m/>
    <s v="CMC/JSD DCJS"/>
    <n v="6"/>
    <x v="1"/>
    <s v="Chief ADF"/>
    <x v="0"/>
    <m/>
    <x v="0"/>
    <m/>
    <m/>
    <m/>
    <m/>
    <m/>
    <m/>
    <s v="15th Shangri-La Dialogue"/>
  </r>
  <r>
    <x v="1"/>
    <x v="10"/>
    <s v="America and Oceania"/>
    <s v="No Specific Relationship"/>
    <s v="None"/>
    <s v="SOUTHCOM"/>
    <x v="49"/>
    <x v="25"/>
    <n v="6"/>
    <x v="3"/>
    <s v="Fan Changlong"/>
    <m/>
    <s v="CMC Vice Chairman"/>
    <n v="10"/>
    <x v="2"/>
    <s v="Deputy Defense Minister"/>
    <x v="0"/>
    <m/>
    <x v="0"/>
    <m/>
    <m/>
    <m/>
    <m/>
    <m/>
    <m/>
    <m/>
  </r>
  <r>
    <x v="0"/>
    <x v="8"/>
    <s v="Europe and Central Asia"/>
    <s v="Comprehensive Strategic Partnership [全面战略伙伴关系]"/>
    <s v="NATO"/>
    <s v="EUCOM"/>
    <x v="18"/>
    <x v="25"/>
    <n v="6"/>
    <x v="0"/>
    <m/>
    <m/>
    <m/>
    <m/>
    <x v="0"/>
    <m/>
    <x v="0"/>
    <m/>
    <x v="0"/>
    <m/>
    <s v="ETF"/>
    <s v="ETF-23"/>
    <s v="East Sea Fleet"/>
    <s v="FFG531 Xiangtan, FFG529 Zhoushan, AOR890 Chao Hu"/>
    <m/>
    <m/>
  </r>
  <r>
    <x v="1"/>
    <x v="1"/>
    <s v="Asia"/>
    <s v="No Specific Relationship"/>
    <s v="None"/>
    <s v="INDOPACOM"/>
    <x v="137"/>
    <x v="25"/>
    <n v="6"/>
    <x v="1"/>
    <s v="Sun Jianguo"/>
    <m/>
    <s v="CMC/JSD DCJS"/>
    <n v="6"/>
    <x v="1"/>
    <s v="Defense Minister; 15th Shangri-la"/>
    <x v="0"/>
    <m/>
    <x v="0"/>
    <m/>
    <m/>
    <m/>
    <m/>
    <m/>
    <m/>
    <m/>
  </r>
  <r>
    <x v="1"/>
    <x v="4"/>
    <s v="Asia"/>
    <s v="Mutually Beneficial Strategic Relationship [战略互惠关系]"/>
    <s v="Bilateral Defense Treaty"/>
    <s v="INDOPACOM"/>
    <x v="83"/>
    <x v="25"/>
    <n v="6"/>
    <x v="3"/>
    <s v="Chang Wanquan"/>
    <m/>
    <s v="Defense Minister; CMC Member"/>
    <n v="8"/>
    <x v="2"/>
    <s v="Former Chief of Staff Army"/>
    <x v="0"/>
    <m/>
    <x v="0"/>
    <m/>
    <m/>
    <m/>
    <m/>
    <m/>
    <m/>
    <m/>
  </r>
  <r>
    <x v="1"/>
    <x v="6"/>
    <s v="Europe and Central Asia"/>
    <s v="Comprehensive Strategic Partnership [全面战略伙伴关系]"/>
    <s v="None"/>
    <s v="CENTCOM"/>
    <x v="30"/>
    <x v="25"/>
    <n v="6"/>
    <x v="4"/>
    <s v="Chang Wanquan"/>
    <m/>
    <s v="Defense Minister; CMC Member"/>
    <n v="8"/>
    <x v="1"/>
    <s v="Defense Minister"/>
    <x v="0"/>
    <m/>
    <x v="0"/>
    <m/>
    <m/>
    <m/>
    <m/>
    <m/>
    <m/>
    <m/>
  </r>
  <r>
    <x v="1"/>
    <x v="6"/>
    <s v="Europe and Central Asia"/>
    <s v="Strategic Partnership [战略伙伴关系]"/>
    <s v="None"/>
    <s v="CENTCOM"/>
    <x v="31"/>
    <x v="25"/>
    <n v="6"/>
    <x v="7"/>
    <s v="Chang Wanquan"/>
    <m/>
    <s v="Defense Minister; CMC Member"/>
    <n v="8"/>
    <x v="1"/>
    <s v="Defense Minister"/>
    <x v="0"/>
    <m/>
    <x v="0"/>
    <m/>
    <m/>
    <m/>
    <m/>
    <m/>
    <m/>
    <m/>
  </r>
  <r>
    <x v="1"/>
    <x v="1"/>
    <s v="Asia"/>
    <s v="Comprehensive Strategic Cooperative Partnership [全面战略合作伙伴关系]"/>
    <s v="None"/>
    <s v="INDOPACOM"/>
    <x v="52"/>
    <x v="25"/>
    <n v="6"/>
    <x v="7"/>
    <s v="Sun Jianguo"/>
    <m/>
    <s v="CMC/JSD DCJS"/>
    <n v="6"/>
    <x v="1"/>
    <s v="Deputy Defense Minister"/>
    <x v="0"/>
    <m/>
    <x v="0"/>
    <m/>
    <m/>
    <m/>
    <m/>
    <m/>
    <m/>
    <s v="15th Shangri-La Dialogue"/>
  </r>
  <r>
    <x v="1"/>
    <x v="8"/>
    <s v="Europe and Central Asia"/>
    <s v="No Specific Relationship"/>
    <s v="NATO"/>
    <s v="EUCOM"/>
    <x v="151"/>
    <x v="25"/>
    <n v="6"/>
    <x v="7"/>
    <s v="Sun Jianguo"/>
    <m/>
    <s v="CMC/JSD DCJS"/>
    <n v="6"/>
    <x v="1"/>
    <s v="Chairman NATO Military Committee"/>
    <x v="0"/>
    <m/>
    <x v="0"/>
    <m/>
    <m/>
    <m/>
    <m/>
    <m/>
    <m/>
    <s v="15th Shangri-La Dialogue"/>
  </r>
  <r>
    <x v="1"/>
    <x v="0"/>
    <s v="Asia"/>
    <s v="All-Round Strategic Partnership [全方位战略伙伴关系]"/>
    <s v="None"/>
    <s v="INDOPACOM"/>
    <x v="32"/>
    <x v="25"/>
    <n v="6"/>
    <x v="7"/>
    <s v="Sun Jianguo"/>
    <m/>
    <s v="CMC/JSD DCJS"/>
    <n v="6"/>
    <x v="1"/>
    <s v="Chief of Army Staff"/>
    <x v="0"/>
    <m/>
    <x v="0"/>
    <m/>
    <m/>
    <m/>
    <m/>
    <m/>
    <m/>
    <s v="15th Shangri-La Dialogue"/>
  </r>
  <r>
    <x v="1"/>
    <x v="5"/>
    <s v="America and Oceania"/>
    <s v="Comprehensive Strategic Partnership [全面战略伙伴关系]"/>
    <s v="ANZUS Treaty"/>
    <s v="INDOPACOM"/>
    <x v="13"/>
    <x v="25"/>
    <n v="6"/>
    <x v="7"/>
    <s v="Sun Jianguo"/>
    <m/>
    <s v="CMC/JSD DCJS"/>
    <n v="6"/>
    <x v="2"/>
    <s v="National Defense Secretary"/>
    <x v="0"/>
    <m/>
    <x v="0"/>
    <m/>
    <m/>
    <m/>
    <m/>
    <m/>
    <m/>
    <s v="15th Shangri-La Dialogue"/>
  </r>
  <r>
    <x v="1"/>
    <x v="3"/>
    <s v="Europe and Central Asia"/>
    <s v="Comprehensive Collaborative Strategic Partnership [全面战略协作伙伴关系]"/>
    <s v="None"/>
    <s v="EUCOM"/>
    <x v="7"/>
    <x v="25"/>
    <n v="6"/>
    <x v="7"/>
    <s v="Chang Wanquan"/>
    <m/>
    <s v="Defense Minister; CMC Member"/>
    <n v="8"/>
    <x v="1"/>
    <s v="Defense Minister"/>
    <x v="0"/>
    <m/>
    <x v="0"/>
    <m/>
    <m/>
    <m/>
    <m/>
    <m/>
    <m/>
    <m/>
  </r>
  <r>
    <x v="1"/>
    <x v="6"/>
    <s v="Europe and Central Asia"/>
    <s v="Member"/>
    <s v="None"/>
    <s v="CENTCOM"/>
    <x v="14"/>
    <x v="25"/>
    <n v="6"/>
    <x v="1"/>
    <s v="Chang Wanquan"/>
    <m/>
    <s v="Defense Minister; CMC Member"/>
    <n v="8"/>
    <x v="1"/>
    <s v="13th official meeting of the SCO Ministers' of Defense in Astana; Other countries: Kazakhstan, Kyrgyztan, Russia, Tajikistan, Uzbekistan"/>
    <x v="0"/>
    <m/>
    <x v="0"/>
    <m/>
    <m/>
    <m/>
    <m/>
    <m/>
    <m/>
    <m/>
  </r>
  <r>
    <x v="1"/>
    <x v="8"/>
    <s v="Europe and Central Asia"/>
    <s v="Comprehensive Strategic Partnership [全面战略伙伴关系]"/>
    <s v="None"/>
    <s v="EUCOM"/>
    <x v="112"/>
    <x v="25"/>
    <n v="6"/>
    <x v="3"/>
    <s v="Fan Changlong"/>
    <m/>
    <s v="CMC Vice Chairman"/>
    <n v="10"/>
    <x v="2"/>
    <s v="Chief Armed Forces"/>
    <x v="0"/>
    <m/>
    <x v="0"/>
    <m/>
    <m/>
    <m/>
    <m/>
    <m/>
    <m/>
    <m/>
  </r>
  <r>
    <x v="1"/>
    <x v="1"/>
    <s v="Asia"/>
    <s v="All-Round Cooperative Partnership [全方合作伙伴关系]"/>
    <s v="None"/>
    <s v="INDOPACOM"/>
    <x v="39"/>
    <x v="25"/>
    <n v="6"/>
    <x v="4"/>
    <s v="Sun Jianguo"/>
    <m/>
    <s v="CMC/JSD DCJS"/>
    <n v="6"/>
    <x v="1"/>
    <s v="Defense Minister"/>
    <x v="0"/>
    <m/>
    <x v="0"/>
    <m/>
    <m/>
    <m/>
    <m/>
    <m/>
    <m/>
    <m/>
  </r>
  <r>
    <x v="0"/>
    <x v="4"/>
    <s v="Asia"/>
    <s v="Strategic Cooperative Partnership [战略合作伙伴关系]"/>
    <s v="Bilateral Defense Treaty"/>
    <s v="INDOPACOM"/>
    <x v="25"/>
    <x v="25"/>
    <n v="6"/>
    <x v="0"/>
    <m/>
    <m/>
    <m/>
    <m/>
    <x v="0"/>
    <m/>
    <x v="0"/>
    <m/>
    <x v="0"/>
    <m/>
    <s v="ETF"/>
    <s v="ETF-22"/>
    <s v="North Sea Fleet"/>
    <s v="DDG113 Qingdao, FFG576 Daqing, AOR889 Tai Hu "/>
    <m/>
    <m/>
  </r>
  <r>
    <x v="2"/>
    <x v="1"/>
    <s v="Asia"/>
    <s v="Comprehensive Strategic Cooperative Partnership [全面战略合作伙伴关系]"/>
    <s v="Bilateral Defense Treaty"/>
    <s v="INDOPACOM"/>
    <x v="5"/>
    <x v="25"/>
    <n v="6"/>
    <x v="5"/>
    <m/>
    <m/>
    <m/>
    <m/>
    <x v="0"/>
    <m/>
    <x v="5"/>
    <s v="Blue Strike 2016"/>
    <x v="2"/>
    <s v="Marines"/>
    <m/>
    <m/>
    <m/>
    <m/>
    <m/>
    <m/>
  </r>
  <r>
    <x v="1"/>
    <x v="8"/>
    <s v="Europe and Central Asia"/>
    <s v="Comprehensive Strategic Partnership [全面战略伙伴关系]"/>
    <s v="NATO"/>
    <s v="EUCOM"/>
    <x v="21"/>
    <x v="25"/>
    <n v="6"/>
    <x v="7"/>
    <s v="Sun Jianguo"/>
    <m/>
    <s v="CMC/JSD DCJS"/>
    <n v="6"/>
    <x v="1"/>
    <s v="COGS"/>
    <x v="0"/>
    <m/>
    <x v="0"/>
    <m/>
    <m/>
    <m/>
    <m/>
    <m/>
    <m/>
    <s v="15th Shangri-La Dialogue"/>
  </r>
  <r>
    <x v="1"/>
    <x v="11"/>
    <s v="N/A"/>
    <s v="Member"/>
    <s v="N/A"/>
    <s v="N/A"/>
    <x v="163"/>
    <x v="25"/>
    <n v="6"/>
    <x v="3"/>
    <s v="Yi Xiaoguang"/>
    <m/>
    <s v="CMC/JSD DCJS"/>
    <n v="6"/>
    <x v="2"/>
    <s v="Deputy General Secretary"/>
    <x v="0"/>
    <m/>
    <x v="0"/>
    <m/>
    <m/>
    <m/>
    <m/>
    <m/>
    <m/>
    <m/>
  </r>
  <r>
    <x v="1"/>
    <x v="6"/>
    <s v="Europe and Central Asia"/>
    <s v="Comprehensive Strategic Partnership [全面战略伙伴关系]"/>
    <s v="None"/>
    <s v="CENTCOM"/>
    <x v="73"/>
    <x v="25"/>
    <n v="6"/>
    <x v="7"/>
    <s v="Chang Wanquan"/>
    <m/>
    <s v="Defense Minister; CMC Member"/>
    <n v="8"/>
    <x v="1"/>
    <s v="Army Chief"/>
    <x v="0"/>
    <m/>
    <x v="0"/>
    <m/>
    <m/>
    <m/>
    <m/>
    <m/>
    <m/>
    <m/>
  </r>
  <r>
    <x v="1"/>
    <x v="1"/>
    <s v="Asia"/>
    <s v="Comprehensive Strategic Cooperative Partnership [全面战略合作伙伴关系]"/>
    <s v="None"/>
    <s v="INDOPACOM"/>
    <x v="94"/>
    <x v="25"/>
    <n v="7"/>
    <x v="3"/>
    <s v="Sun Jianguo"/>
    <m/>
    <s v="CMC/JSD DCJS"/>
    <n v="6"/>
    <x v="2"/>
    <s v="Director General MoD Policy and Foreign Affairs"/>
    <x v="0"/>
    <m/>
    <x v="0"/>
    <m/>
    <m/>
    <m/>
    <m/>
    <m/>
    <m/>
    <m/>
  </r>
  <r>
    <x v="1"/>
    <x v="10"/>
    <s v="America and Oceania"/>
    <s v="Comprehensive Cooperative Partnership [全面合作伙伴关系]"/>
    <s v="None"/>
    <s v="SOUTHCOM"/>
    <x v="159"/>
    <x v="25"/>
    <n v="7"/>
    <x v="2"/>
    <s v="Chang Wanquan"/>
    <m/>
    <s v="Defense Minister; CMC Member"/>
    <n v="8"/>
    <x v="2"/>
    <s v="Third China-Latin America Defense Forum"/>
    <x v="0"/>
    <m/>
    <x v="0"/>
    <m/>
    <m/>
    <m/>
    <m/>
    <m/>
    <s v="http://www.cdsndu.org/html_en/to_articleContent_article.id=40288a8556065bc90156d938284d0134.html"/>
    <m/>
  </r>
  <r>
    <x v="1"/>
    <x v="8"/>
    <s v="Europe and Central Asia"/>
    <s v="Comprehensive Cooperative Partnership [全面合作伙伴关系]"/>
    <s v="None"/>
    <s v="EUCOM"/>
    <x v="158"/>
    <x v="25"/>
    <n v="7"/>
    <x v="3"/>
    <s v="Chang Wanquan"/>
    <m/>
    <s v="Defense Minister; CMC Member"/>
    <n v="8"/>
    <x v="2"/>
    <s v="High Representative for Foreign Affairs and Security Policy"/>
    <x v="0"/>
    <m/>
    <x v="0"/>
    <m/>
    <m/>
    <m/>
    <m/>
    <m/>
    <m/>
    <m/>
  </r>
  <r>
    <x v="1"/>
    <x v="5"/>
    <s v="America and Oceania"/>
    <s v="Comprehensive Strategic Partnership [全面战略伙伴关系]"/>
    <s v="ANZUS Treaty"/>
    <s v="INDOPACOM"/>
    <x v="13"/>
    <x v="25"/>
    <n v="7"/>
    <x v="3"/>
    <s v="Zhao Keshi"/>
    <m/>
    <s v="CMC/LSD Director; CMC Member"/>
    <n v="8"/>
    <x v="2"/>
    <s v="Logistics Commander"/>
    <x v="0"/>
    <m/>
    <x v="0"/>
    <m/>
    <m/>
    <m/>
    <m/>
    <m/>
    <m/>
    <m/>
  </r>
  <r>
    <x v="1"/>
    <x v="8"/>
    <s v="Europe and Central Asia"/>
    <s v="No Specific Relationship"/>
    <s v="None"/>
    <s v="EUCOM"/>
    <x v="92"/>
    <x v="25"/>
    <n v="7"/>
    <x v="3"/>
    <s v="Sun Jianguo"/>
    <m/>
    <s v="CMC/JSD DCJS"/>
    <n v="6"/>
    <x v="2"/>
    <s v="Chief of Staff"/>
    <x v="0"/>
    <m/>
    <x v="0"/>
    <m/>
    <m/>
    <m/>
    <m/>
    <m/>
    <m/>
    <m/>
  </r>
  <r>
    <x v="1"/>
    <x v="1"/>
    <s v="Asia"/>
    <s v="Comprehensive Strategic Cooperative Partnership [全面战略合作伙伴关系]"/>
    <s v="Bilateral Defense Treaty"/>
    <s v="INDOPACOM"/>
    <x v="5"/>
    <x v="25"/>
    <n v="7"/>
    <x v="3"/>
    <s v="Fang Fenghui"/>
    <m/>
    <s v="CMC/JSD Commander; CMC Member"/>
    <n v="8"/>
    <x v="2"/>
    <s v="Chief of Joint Staff"/>
    <x v="0"/>
    <m/>
    <x v="0"/>
    <m/>
    <m/>
    <m/>
    <m/>
    <m/>
    <m/>
    <m/>
  </r>
  <r>
    <x v="1"/>
    <x v="2"/>
    <s v="America and Oceania"/>
    <s v="No Specific Relationship"/>
    <s v="N/A"/>
    <s v="NORTHCOM"/>
    <x v="4"/>
    <x v="25"/>
    <n v="7"/>
    <x v="3"/>
    <s v="Wu Shengli"/>
    <m/>
    <s v="PLAN Commander; CMC Member"/>
    <n v="8"/>
    <x v="2"/>
    <s v="CNO Richardson"/>
    <x v="0"/>
    <m/>
    <x v="0"/>
    <m/>
    <m/>
    <m/>
    <m/>
    <m/>
    <s v="2017 CH Mil Power Report "/>
    <m/>
  </r>
  <r>
    <x v="1"/>
    <x v="0"/>
    <s v="Europe and Central Asia"/>
    <s v="Strategic Partnership [战略伙伴关系]"/>
    <s v="Major Non-NATO Ally"/>
    <s v="CENTCOM"/>
    <x v="123"/>
    <x v="25"/>
    <n v="8"/>
    <x v="3"/>
    <s v="Chang Wanquan"/>
    <m/>
    <s v="Defense Minister; CMC Member"/>
    <n v="8"/>
    <x v="2"/>
    <s v="COGS Army"/>
    <x v="0"/>
    <m/>
    <x v="0"/>
    <m/>
    <m/>
    <m/>
    <m/>
    <m/>
    <m/>
    <m/>
  </r>
  <r>
    <x v="2"/>
    <x v="5"/>
    <s v="America and Oceania"/>
    <s v="Comprehensive Strategic Partnership [全面战略伙伴关系]"/>
    <s v="ANZUS Treaty"/>
    <s v="INDOPACOM"/>
    <x v="12"/>
    <x v="25"/>
    <n v="8"/>
    <x v="6"/>
    <m/>
    <m/>
    <m/>
    <m/>
    <x v="0"/>
    <m/>
    <x v="2"/>
    <s v="Kowari 2016"/>
    <x v="1"/>
    <s v="Army field survival training"/>
    <m/>
    <m/>
    <m/>
    <m/>
    <s v="https://www.pacom.mil/Media/News/News-Article-View/Article/929481/exercise-kowari-us-australia-china-set-to-survive-inside-the-outback/"/>
    <m/>
  </r>
  <r>
    <x v="2"/>
    <x v="10"/>
    <s v="America and Oceania"/>
    <s v="Comprehensive Strategic Partnership [全面战略伙伴关系]"/>
    <s v="None"/>
    <s v="SOUTHCOM"/>
    <x v="43"/>
    <x v="25"/>
    <n v="8"/>
    <x v="6"/>
    <m/>
    <m/>
    <m/>
    <m/>
    <x v="0"/>
    <m/>
    <x v="6"/>
    <s v="Jungle Patrol Competition"/>
    <x v="1"/>
    <s v="PLAA team from &quot;14th Combined Corps&quot;. Other countries: Colombia, France, Germany "/>
    <m/>
    <m/>
    <m/>
    <m/>
    <s v="http://english.chinamil.com.cn/news-channels/china-military-news/2016-08/11/content_7202787.htm"/>
    <m/>
  </r>
  <r>
    <x v="1"/>
    <x v="8"/>
    <s v="Europe and Central Asia"/>
    <s v="Comprehensive Strategic Partnership [全面战略伙伴关系]"/>
    <s v="NATO"/>
    <s v="EUCOM"/>
    <x v="18"/>
    <x v="25"/>
    <n v="8"/>
    <x v="3"/>
    <s v="Wu Shengli"/>
    <m/>
    <s v="PLAN Commander; CMC Member"/>
    <n v="8"/>
    <x v="2"/>
    <s v="Navy Inspector General"/>
    <x v="0"/>
    <m/>
    <x v="0"/>
    <m/>
    <m/>
    <m/>
    <m/>
    <m/>
    <m/>
    <m/>
  </r>
  <r>
    <x v="1"/>
    <x v="4"/>
    <s v="Asia"/>
    <s v="Comprehensive Strategic Partnership [全面战略伙伴关系]"/>
    <s v="None"/>
    <s v="INDOPACOM"/>
    <x v="53"/>
    <x v="25"/>
    <n v="8"/>
    <x v="4"/>
    <s v="Sun Jianguo"/>
    <m/>
    <s v="CMC/JSD DCJS"/>
    <n v="6"/>
    <x v="1"/>
    <s v="COGS"/>
    <x v="0"/>
    <m/>
    <x v="0"/>
    <m/>
    <m/>
    <m/>
    <m/>
    <m/>
    <m/>
    <m/>
  </r>
  <r>
    <x v="1"/>
    <x v="0"/>
    <s v="Asia"/>
    <s v="All-Weather Strategic Cooperative Partnership [全天候战略合作伙伴关系]"/>
    <s v="Major Non-NATO Ally"/>
    <s v="CENTCOM"/>
    <x v="2"/>
    <x v="25"/>
    <n v="8"/>
    <x v="3"/>
    <s v="Zhao Keshi"/>
    <m/>
    <s v="CMC/LSD Director; CMC Member"/>
    <n v="8"/>
    <x v="2"/>
    <s v="Army Logistics Chief"/>
    <x v="0"/>
    <m/>
    <x v="0"/>
    <m/>
    <m/>
    <m/>
    <m/>
    <m/>
    <m/>
    <m/>
  </r>
  <r>
    <x v="2"/>
    <x v="3"/>
    <s v="Europe and Central Asia"/>
    <s v="Comprehensive Collaborative Strategic Partnership [全面战略协作伙伴关系]"/>
    <s v="None"/>
    <s v="EUCOM"/>
    <x v="7"/>
    <x v="25"/>
    <n v="8"/>
    <x v="6"/>
    <m/>
    <m/>
    <m/>
    <m/>
    <x v="0"/>
    <m/>
    <x v="6"/>
    <s v="International Army Games 2016"/>
    <x v="1"/>
    <s v="Competition. Other countries: refer to source for a complete list of countries "/>
    <m/>
    <m/>
    <m/>
    <m/>
    <s v="https://sputniknews.com/military/201606291042146258-airborne-platoon-2016/"/>
    <m/>
  </r>
  <r>
    <x v="1"/>
    <x v="9"/>
    <s v="West Asia and Africa"/>
    <s v="Comprehensive Strategic Partnership [全面战略伙伴关系]"/>
    <s v="None"/>
    <s v="CENTCOM"/>
    <x v="142"/>
    <x v="25"/>
    <n v="8"/>
    <x v="3"/>
    <s v="Chang Wanquan"/>
    <m/>
    <s v="Defense Minister; CMC Member"/>
    <n v="8"/>
    <x v="2"/>
    <s v="2nd Prime Minister; Defense Minister"/>
    <x v="0"/>
    <m/>
    <x v="0"/>
    <m/>
    <m/>
    <m/>
    <m/>
    <m/>
    <m/>
    <m/>
  </r>
  <r>
    <x v="1"/>
    <x v="6"/>
    <s v="Europe and Central Asia"/>
    <s v="Strategic Partnership [战略伙伴关系]"/>
    <s v="None"/>
    <s v="CENTCOM"/>
    <x v="60"/>
    <x v="25"/>
    <n v="8"/>
    <x v="3"/>
    <s v="Fang Fenghui"/>
    <m/>
    <s v="CMC/JSD Commander; CMC Member"/>
    <n v="8"/>
    <x v="2"/>
    <s v="Deputy Defense Minister"/>
    <x v="0"/>
    <m/>
    <x v="0"/>
    <m/>
    <m/>
    <m/>
    <m/>
    <m/>
    <m/>
    <m/>
  </r>
  <r>
    <x v="1"/>
    <x v="2"/>
    <s v="America and Oceania"/>
    <s v="No Specific Relationship"/>
    <s v="N/A"/>
    <s v="NORTHCOM"/>
    <x v="4"/>
    <x v="25"/>
    <n v="8"/>
    <x v="3"/>
    <s v="Li Zuocheng"/>
    <m/>
    <s v="PLAA Commander"/>
    <n v="6"/>
    <x v="2"/>
    <s v="Army Chief of Staff Milley"/>
    <x v="0"/>
    <m/>
    <x v="0"/>
    <m/>
    <m/>
    <m/>
    <m/>
    <m/>
    <s v="2017 CH Mil Power Report "/>
    <m/>
  </r>
  <r>
    <x v="2"/>
    <x v="2"/>
    <s v="America and Oceania"/>
    <s v="No Specific Relationship"/>
    <s v="N/A"/>
    <s v="NORTHCOM"/>
    <x v="4"/>
    <x v="25"/>
    <n v="8"/>
    <x v="6"/>
    <m/>
    <m/>
    <m/>
    <m/>
    <x v="0"/>
    <m/>
    <x v="3"/>
    <s v="RIMPAC 2016"/>
    <x v="2"/>
    <s v="Maritime docking; Combined Task Force 175; PLAN flotilla is FFG572 Hengshui (ESF), DDG153 Xi'an (ESF), AOR966 Gaoyou Hu, AS867 Changdao (NSF), 866 Peace Ark. Other countries: refer to source for a complete list of countries "/>
    <m/>
    <m/>
    <m/>
    <m/>
    <s v="https://navaltoday.com/2016/06/01/record-number-of-countries-to-take-part-in-rimpac-2016/"/>
    <m/>
  </r>
  <r>
    <x v="1"/>
    <x v="1"/>
    <s v="Asia"/>
    <s v="Comprehensive Strategic Cooperative Partnership [全面战略合作伙伴关系]"/>
    <s v="None"/>
    <s v="INDOPACOM"/>
    <x v="23"/>
    <x v="25"/>
    <n v="8"/>
    <x v="3"/>
    <s v="Fan Changlong"/>
    <m/>
    <s v="CMC Vice Chairman"/>
    <n v="10"/>
    <x v="2"/>
    <s v="Defense Minister"/>
    <x v="0"/>
    <m/>
    <x v="0"/>
    <m/>
    <m/>
    <m/>
    <m/>
    <m/>
    <m/>
    <m/>
  </r>
  <r>
    <x v="2"/>
    <x v="1"/>
    <s v="Asia"/>
    <s v="Strategic Partnership [战略伙伴关系] for Peace and Prosperity"/>
    <s v="None"/>
    <s v="INDOPACOM"/>
    <x v="153"/>
    <x v="25"/>
    <n v="9"/>
    <x v="6"/>
    <m/>
    <m/>
    <m/>
    <m/>
    <x v="0"/>
    <m/>
    <x v="2"/>
    <s v="AMHex 2016"/>
    <x v="3"/>
    <s v="HADR, rescue operations. Other countries: Refer to source of a complete list of countries; hosted by Thailand"/>
    <m/>
    <m/>
    <m/>
    <m/>
    <m/>
    <s v="corrected partnership to strategic partnership for peace and prosperity"/>
  </r>
  <r>
    <x v="2"/>
    <x v="5"/>
    <s v="America and Oceania"/>
    <s v="Comprehensive Strategic Partnership [全面战略伙伴关系]"/>
    <s v="ANZUS Treaty"/>
    <s v="INDOPACOM"/>
    <x v="12"/>
    <x v="25"/>
    <n v="9"/>
    <x v="5"/>
    <m/>
    <m/>
    <m/>
    <m/>
    <x v="0"/>
    <m/>
    <x v="2"/>
    <s v="Pandaroo-2016"/>
    <x v="1"/>
    <s v="Canoeing and abseiling"/>
    <m/>
    <m/>
    <m/>
    <m/>
    <m/>
    <m/>
  </r>
  <r>
    <x v="1"/>
    <x v="0"/>
    <s v="Asia"/>
    <s v="Comprehensive Cooperative Partnership [全面合作伙伴关系]"/>
    <s v="None"/>
    <s v="INDOPACOM"/>
    <x v="0"/>
    <x v="25"/>
    <n v="9"/>
    <x v="3"/>
    <s v="Ma Xiaotian"/>
    <m/>
    <s v="PLAAF Commander; CMC Member"/>
    <n v="8"/>
    <x v="2"/>
    <s v="Air Force Chief of Staff"/>
    <x v="0"/>
    <m/>
    <x v="0"/>
    <m/>
    <m/>
    <m/>
    <m/>
    <m/>
    <m/>
    <m/>
  </r>
  <r>
    <x v="1"/>
    <x v="10"/>
    <s v="America and Oceania"/>
    <s v="Comprehensive Strategic Cooperative Partnership [全面战略合作伙伴关系]"/>
    <s v="None"/>
    <s v="SOUTHCOM"/>
    <x v="66"/>
    <x v="25"/>
    <n v="9"/>
    <x v="3"/>
    <s v="Wu Shengli"/>
    <m/>
    <s v="PLAN Commander; CMC Member"/>
    <n v="8"/>
    <x v="2"/>
    <s v="Navy Commander"/>
    <x v="0"/>
    <m/>
    <x v="0"/>
    <m/>
    <m/>
    <m/>
    <m/>
    <m/>
    <m/>
    <m/>
  </r>
  <r>
    <x v="1"/>
    <x v="8"/>
    <s v="Europe and Central Asia"/>
    <s v="No Specific Relationship"/>
    <s v="None"/>
    <s v="EUCOM"/>
    <x v="81"/>
    <x v="25"/>
    <n v="9"/>
    <x v="3"/>
    <s v="Chang Wanquan"/>
    <m/>
    <s v="Defense Minister; CMC Member"/>
    <n v="8"/>
    <x v="2"/>
    <s v="Defense Minister"/>
    <x v="0"/>
    <m/>
    <x v="0"/>
    <m/>
    <m/>
    <m/>
    <m/>
    <m/>
    <m/>
    <m/>
  </r>
  <r>
    <x v="0"/>
    <x v="9"/>
    <s v="West Asia and Africa"/>
    <s v="No Specific Relationship"/>
    <s v="None"/>
    <s v="CENTCOM"/>
    <x v="147"/>
    <x v="25"/>
    <n v="9"/>
    <x v="9"/>
    <m/>
    <m/>
    <m/>
    <m/>
    <x v="0"/>
    <m/>
    <x v="0"/>
    <m/>
    <x v="0"/>
    <m/>
    <s v="ETF"/>
    <s v="ETF-24"/>
    <s v="North Sea Fleet"/>
    <s v="DDG112 Harbin, FFG579 Handan, AOR960 Dongping Hu"/>
    <m/>
    <m/>
  </r>
  <r>
    <x v="1"/>
    <x v="1"/>
    <s v="Asia"/>
    <s v="Strategic Cooperative Partnership [战略合作伙伴关系]"/>
    <s v="Bilateral Defense Treaty"/>
    <s v="INDOPACOM"/>
    <x v="11"/>
    <x v="25"/>
    <n v="9"/>
    <x v="4"/>
    <s v="Sun Jianguo"/>
    <m/>
    <s v="CMC/JSD DCJS"/>
    <n v="6"/>
    <x v="1"/>
    <m/>
    <x v="0"/>
    <m/>
    <x v="0"/>
    <m/>
    <m/>
    <m/>
    <m/>
    <m/>
    <m/>
    <m/>
  </r>
  <r>
    <x v="2"/>
    <x v="3"/>
    <s v="Europe and Central Asia"/>
    <s v="Comprehensive Collaborative Strategic Partnership [全面战略协作伙伴关系]"/>
    <s v="None"/>
    <s v="EUCOM"/>
    <x v="7"/>
    <x v="25"/>
    <n v="9"/>
    <x v="5"/>
    <m/>
    <m/>
    <m/>
    <m/>
    <x v="0"/>
    <m/>
    <x v="3"/>
    <s v="Joint Sea 2016"/>
    <x v="2"/>
    <s v="Amphibious operations, island seizure; occurred in South China Sea. September 12-19"/>
    <m/>
    <m/>
    <m/>
    <m/>
    <m/>
    <m/>
  </r>
  <r>
    <x v="1"/>
    <x v="3"/>
    <s v="Europe and Central Asia"/>
    <s v="Comprehensive Collaborative Strategic Partnership [全面战略协作伙伴关系]"/>
    <s v="None"/>
    <s v="EUCOM"/>
    <x v="7"/>
    <x v="25"/>
    <n v="9"/>
    <x v="7"/>
    <s v="Xu Fenlin"/>
    <m/>
    <s v="CMC/JSD DCJS"/>
    <n v="6"/>
    <x v="1"/>
    <s v="DCOGS"/>
    <x v="0"/>
    <m/>
    <x v="0"/>
    <m/>
    <m/>
    <m/>
    <m/>
    <m/>
    <m/>
    <m/>
  </r>
  <r>
    <x v="1"/>
    <x v="6"/>
    <s v="Europe and Central Asia"/>
    <s v="Member"/>
    <s v="None"/>
    <s v="CENTCOM"/>
    <x v="14"/>
    <x v="25"/>
    <n v="9"/>
    <x v="1"/>
    <s v="Xu Fenlin"/>
    <m/>
    <s v="CMC/JSD DCJS"/>
    <n v="6"/>
    <x v="1"/>
    <s v="Fourth meeting of SCO military chiefs of staff in Kyrgyzstan"/>
    <x v="0"/>
    <m/>
    <x v="0"/>
    <m/>
    <m/>
    <m/>
    <m/>
    <m/>
    <s v="http://eng.chinamil.com.cn/view/2016-09/22/content_7271778.htm"/>
    <m/>
  </r>
  <r>
    <x v="2"/>
    <x v="6"/>
    <s v="Europe and Central Asia"/>
    <s v="Member"/>
    <s v="None"/>
    <s v="CENTCOM"/>
    <x v="14"/>
    <x v="25"/>
    <n v="9"/>
    <x v="6"/>
    <m/>
    <m/>
    <m/>
    <m/>
    <x v="0"/>
    <m/>
    <x v="3"/>
    <s v="Peace Mission 2016"/>
    <x v="3"/>
    <s v="Held at the Edelweiss range located in Kyrgyzstan’s Issyk-Kul region.  September 15-21"/>
    <m/>
    <m/>
    <m/>
    <m/>
    <s v="http://english.chinamil.com.cn/view/2016-09/18/content_7263185.htm"/>
    <m/>
  </r>
  <r>
    <x v="1"/>
    <x v="6"/>
    <s v="Europe and Central Asia"/>
    <s v="Strategic Partnership [战略伙伴关系]"/>
    <s v="None"/>
    <s v="CENTCOM"/>
    <x v="60"/>
    <x v="25"/>
    <n v="9"/>
    <x v="7"/>
    <s v="Xu Fenlin"/>
    <m/>
    <s v="CMC/JSD DCJS"/>
    <n v="6"/>
    <x v="1"/>
    <s v="COGS"/>
    <x v="0"/>
    <m/>
    <x v="0"/>
    <m/>
    <m/>
    <m/>
    <m/>
    <m/>
    <m/>
    <m/>
  </r>
  <r>
    <x v="1"/>
    <x v="8"/>
    <s v="Europe and Central Asia"/>
    <s v="Comprehensive Strategic Partnership [全面战略伙伴关系]"/>
    <s v="NATO"/>
    <s v="EUCOM"/>
    <x v="21"/>
    <x v="25"/>
    <n v="9"/>
    <x v="4"/>
    <s v="Chang Wanquan"/>
    <m/>
    <s v="Defense Minister; CMC Member"/>
    <n v="8"/>
    <x v="1"/>
    <s v="Secretary of State for Defense"/>
    <x v="0"/>
    <m/>
    <x v="0"/>
    <m/>
    <m/>
    <m/>
    <m/>
    <m/>
    <m/>
    <m/>
  </r>
  <r>
    <x v="1"/>
    <x v="2"/>
    <s v="America and Oceania"/>
    <s v="No Specific Relationship"/>
    <s v="N/A"/>
    <s v="NORTHCOM"/>
    <x v="4"/>
    <x v="25"/>
    <n v="9"/>
    <x v="4"/>
    <s v="Sun Jianguo"/>
    <m/>
    <s v="CMC/JSD DCJS"/>
    <n v="6"/>
    <x v="1"/>
    <s v="PACOM Commander Harris"/>
    <x v="0"/>
    <m/>
    <x v="0"/>
    <m/>
    <m/>
    <m/>
    <m/>
    <m/>
    <s v="2017 CH Mil Power Report "/>
    <s v="2016 PACOM CHOD conference in Manila; Sun attended and met with Harris on the margins"/>
  </r>
  <r>
    <x v="1"/>
    <x v="1"/>
    <s v="Asia"/>
    <s v="Comprehensive Strategic Cooperative Partnership [全面战略合作伙伴关系]"/>
    <s v="None"/>
    <s v="INDOPACOM"/>
    <x v="23"/>
    <x v="25"/>
    <n v="9"/>
    <x v="3"/>
    <s v="Qi Jianguo"/>
    <m/>
    <s v="CMC/JSD DCJS"/>
    <n v="6"/>
    <x v="2"/>
    <s v="Deputy Defense Minister"/>
    <x v="0"/>
    <m/>
    <x v="0"/>
    <m/>
    <m/>
    <m/>
    <m/>
    <m/>
    <m/>
    <m/>
  </r>
  <r>
    <x v="1"/>
    <x v="0"/>
    <s v="Europe and Central Asia"/>
    <s v="Strategic Partnership [战略伙伴关系]"/>
    <s v="Major Non-NATO Ally"/>
    <s v="CENTCOM"/>
    <x v="123"/>
    <x v="25"/>
    <n v="10"/>
    <x v="3"/>
    <s v="Sun Jianguo"/>
    <m/>
    <s v="CMC/JSD DCJS"/>
    <n v="6"/>
    <x v="2"/>
    <s v="Deputy Defense Minister"/>
    <x v="0"/>
    <m/>
    <x v="0"/>
    <m/>
    <m/>
    <m/>
    <m/>
    <m/>
    <m/>
    <m/>
  </r>
  <r>
    <x v="1"/>
    <x v="8"/>
    <s v="Europe and Central Asia"/>
    <s v="Comprehensive Strategic Partnership [全面战略伙伴关系]"/>
    <s v="None"/>
    <s v="EUCOM"/>
    <x v="34"/>
    <x v="25"/>
    <n v="10"/>
    <x v="3"/>
    <s v="Fang Fenghui"/>
    <m/>
    <s v="CMC/JSD Commander; CMC Member"/>
    <n v="8"/>
    <x v="2"/>
    <s v="Deputy Defense Minister and COGS"/>
    <x v="0"/>
    <m/>
    <x v="0"/>
    <m/>
    <m/>
    <m/>
    <m/>
    <m/>
    <m/>
    <m/>
  </r>
  <r>
    <x v="1"/>
    <x v="1"/>
    <s v="Asia"/>
    <s v="No Specific Relationship"/>
    <s v="None"/>
    <s v="INDOPACOM"/>
    <x v="44"/>
    <x v="25"/>
    <n v="10"/>
    <x v="3"/>
    <s v="Xu Qiliang"/>
    <m/>
    <s v="CMC Vice Chairman"/>
    <n v="10"/>
    <x v="2"/>
    <s v="Deputy Defense Minister"/>
    <x v="0"/>
    <m/>
    <x v="0"/>
    <m/>
    <m/>
    <m/>
    <m/>
    <m/>
    <m/>
    <m/>
  </r>
  <r>
    <x v="1"/>
    <x v="1"/>
    <s v="Asia"/>
    <s v="Comprehensive Strategic Cooperative Partnership [全面战略合作伙伴关系]"/>
    <s v="None"/>
    <s v="INDOPACOM"/>
    <x v="94"/>
    <x v="25"/>
    <n v="10"/>
    <x v="3"/>
    <s v="Fan Changlong"/>
    <m/>
    <s v="CMC Vice Chairman"/>
    <n v="10"/>
    <x v="2"/>
    <s v="Defense Minister"/>
    <x v="0"/>
    <m/>
    <x v="0"/>
    <m/>
    <m/>
    <m/>
    <m/>
    <m/>
    <m/>
    <m/>
  </r>
  <r>
    <x v="0"/>
    <x v="1"/>
    <s v="Asia"/>
    <s v="Comprehensive Strategic Cooperative Partnership [全面战略合作伙伴关系]"/>
    <s v="None"/>
    <s v="INDOPACOM"/>
    <x v="94"/>
    <x v="25"/>
    <n v="10"/>
    <x v="0"/>
    <m/>
    <m/>
    <m/>
    <m/>
    <x v="0"/>
    <m/>
    <x v="0"/>
    <m/>
    <x v="0"/>
    <m/>
    <s v="ETF"/>
    <s v="ETF-23"/>
    <s v="East Sea Fleet"/>
    <s v="FFG531 Xiangtan, FFG529 Zhoushan, AOR890 Chao Hu"/>
    <m/>
    <m/>
  </r>
  <r>
    <x v="1"/>
    <x v="8"/>
    <s v="Europe and Central Asia"/>
    <s v="Strategic Partnership [战略伙伴关系]"/>
    <s v="NATO"/>
    <s v="EUCOM"/>
    <x v="58"/>
    <x v="25"/>
    <n v="10"/>
    <x v="3"/>
    <s v="Sun Jianguo"/>
    <m/>
    <s v="CMC/JSD DCJS"/>
    <n v="6"/>
    <x v="2"/>
    <s v="DCOGS"/>
    <x v="0"/>
    <m/>
    <x v="0"/>
    <m/>
    <m/>
    <m/>
    <m/>
    <m/>
    <m/>
    <m/>
  </r>
  <r>
    <x v="1"/>
    <x v="9"/>
    <s v="West Asia and Africa"/>
    <s v="Comprehensive Strategic Partnership [全面战略伙伴关系]"/>
    <s v="Major Non-NATO Ally"/>
    <s v="CENTCOM"/>
    <x v="24"/>
    <x v="25"/>
    <n v="10"/>
    <x v="3"/>
    <s v="Sun Jianguo"/>
    <m/>
    <s v="CMC/JSD DCJS"/>
    <n v="6"/>
    <x v="2"/>
    <s v="Deputy Defense Minister"/>
    <x v="0"/>
    <m/>
    <x v="0"/>
    <m/>
    <m/>
    <m/>
    <m/>
    <m/>
    <m/>
    <m/>
  </r>
  <r>
    <x v="2"/>
    <x v="8"/>
    <s v="Europe and Central Asia"/>
    <s v="Comprehensive Strategic Partnership [全面战略伙伴关系]"/>
    <s v="NATO"/>
    <s v="EUCOM"/>
    <x v="18"/>
    <x v="25"/>
    <n v="10"/>
    <x v="5"/>
    <m/>
    <m/>
    <m/>
    <m/>
    <x v="0"/>
    <m/>
    <x v="2"/>
    <s v="Combined Aid 2016"/>
    <x v="1"/>
    <s v="HADR"/>
    <m/>
    <m/>
    <m/>
    <m/>
    <m/>
    <m/>
  </r>
  <r>
    <x v="2"/>
    <x v="0"/>
    <s v="Asia"/>
    <s v="Strategic Partnership for Peace and Prosperity [战略伙伴关系]"/>
    <s v="None"/>
    <s v="INDOPACOM"/>
    <x v="6"/>
    <x v="25"/>
    <n v="10"/>
    <x v="5"/>
    <m/>
    <m/>
    <m/>
    <m/>
    <x v="0"/>
    <m/>
    <x v="2"/>
    <s v="None"/>
    <x v="1"/>
    <s v="HADR"/>
    <m/>
    <m/>
    <m/>
    <m/>
    <m/>
    <m/>
  </r>
  <r>
    <x v="0"/>
    <x v="1"/>
    <s v="Asia"/>
    <s v="Comprehensive Strategic Partnership [全面战略伙伴关系]"/>
    <s v="None"/>
    <s v="INDOPACOM"/>
    <x v="8"/>
    <x v="25"/>
    <n v="10"/>
    <x v="0"/>
    <m/>
    <m/>
    <m/>
    <m/>
    <x v="0"/>
    <m/>
    <x v="0"/>
    <m/>
    <x v="0"/>
    <m/>
    <s v="NETF"/>
    <s v="2016-10 Zhenghe "/>
    <s v="North Sea Fleet"/>
    <m/>
    <m/>
    <m/>
  </r>
  <r>
    <x v="1"/>
    <x v="9"/>
    <s v="West Asia and Africa"/>
    <s v="Comprehensive Strategic Partnership [全面战略伙伴关系]"/>
    <s v="None"/>
    <s v="CENTCOM"/>
    <x v="89"/>
    <x v="25"/>
    <n v="10"/>
    <x v="3"/>
    <s v="Sun Jianguo"/>
    <m/>
    <s v="CMC/JSD DCJS"/>
    <n v="6"/>
    <x v="2"/>
    <s v="Director Foreign Affairs, General Staff Office Iran Armed Forces"/>
    <x v="0"/>
    <m/>
    <x v="0"/>
    <m/>
    <m/>
    <m/>
    <m/>
    <m/>
    <m/>
    <m/>
  </r>
  <r>
    <x v="1"/>
    <x v="1"/>
    <s v="Asia"/>
    <s v="Comprehensive Strategic Partnership [全面战略伙伴关系]"/>
    <s v="None"/>
    <s v="INDOPACOM"/>
    <x v="10"/>
    <x v="25"/>
    <n v="10"/>
    <x v="3"/>
    <s v="Fang Fenghui"/>
    <m/>
    <s v="CMC/JSD Commander; CMC Member"/>
    <n v="8"/>
    <x v="2"/>
    <s v="Chief of Defense Forces"/>
    <x v="0"/>
    <m/>
    <x v="0"/>
    <m/>
    <m/>
    <m/>
    <m/>
    <m/>
    <m/>
    <m/>
  </r>
  <r>
    <x v="0"/>
    <x v="1"/>
    <s v="Asia"/>
    <s v="Comprehensive Strategic Partnership [全面战略伙伴关系]"/>
    <s v="None"/>
    <s v="INDOPACOM"/>
    <x v="10"/>
    <x v="25"/>
    <n v="10"/>
    <x v="0"/>
    <m/>
    <m/>
    <m/>
    <m/>
    <x v="0"/>
    <m/>
    <x v="0"/>
    <m/>
    <x v="0"/>
    <m/>
    <s v="ETF"/>
    <s v="ETF-23"/>
    <s v="East Sea Fleet"/>
    <s v="FFG531 Xiangtan, FFG529 Zhoushan, AOR890 Chao Hu"/>
    <m/>
    <m/>
  </r>
  <r>
    <x v="1"/>
    <x v="2"/>
    <s v="America and Oceania"/>
    <s v="Comprehensive Strategic Partnership [全面战略伙伴关系]"/>
    <s v="None"/>
    <s v="NORTHCOM"/>
    <x v="77"/>
    <x v="25"/>
    <n v="10"/>
    <x v="3"/>
    <s v="Fan Changlong"/>
    <m/>
    <s v="CMC Vice Chairman"/>
    <n v="10"/>
    <x v="2"/>
    <s v="Navy Minister"/>
    <x v="0"/>
    <m/>
    <x v="0"/>
    <m/>
    <m/>
    <m/>
    <m/>
    <m/>
    <m/>
    <m/>
  </r>
  <r>
    <x v="1"/>
    <x v="4"/>
    <s v="Asia"/>
    <s v="Comprehensive Strategic Partnership [全面战略伙伴关系]"/>
    <s v="None"/>
    <s v="INDOPACOM"/>
    <x v="53"/>
    <x v="25"/>
    <n v="10"/>
    <x v="3"/>
    <s v="Xu Qiliang"/>
    <m/>
    <s v="CMC Vice Chairman"/>
    <n v="10"/>
    <x v="2"/>
    <s v="COGS"/>
    <x v="0"/>
    <m/>
    <x v="0"/>
    <m/>
    <m/>
    <m/>
    <m/>
    <m/>
    <m/>
    <m/>
  </r>
  <r>
    <x v="1"/>
    <x v="4"/>
    <s v="Asia"/>
    <s v="N/A"/>
    <s v="None"/>
    <s v="INDOPACOM"/>
    <x v="161"/>
    <x v="25"/>
    <n v="10"/>
    <x v="2"/>
    <s v="Chang Wanquan"/>
    <m/>
    <s v="Defense Minister; CMC Member"/>
    <n v="8"/>
    <x v="2"/>
    <s v="Xiangshan Forum 2016; Defense Minister"/>
    <x v="0"/>
    <m/>
    <x v="0"/>
    <m/>
    <m/>
    <m/>
    <m/>
    <m/>
    <s v="http://en.people.cn/n3/2016/1012/c90883-9125693.html"/>
    <m/>
  </r>
  <r>
    <x v="1"/>
    <x v="5"/>
    <s v="America and Oceania"/>
    <s v="Comprehensive Strategic Partnership [全面战略伙伴关系]"/>
    <s v="ANZUS Treaty"/>
    <s v="INDOPACOM"/>
    <x v="13"/>
    <x v="25"/>
    <n v="10"/>
    <x v="3"/>
    <s v="Sun Jianguo"/>
    <m/>
    <s v="CMC/JSD DCJS"/>
    <n v="6"/>
    <x v="2"/>
    <s v="Defense Minister"/>
    <x v="0"/>
    <m/>
    <x v="0"/>
    <m/>
    <m/>
    <m/>
    <m/>
    <m/>
    <m/>
    <m/>
  </r>
  <r>
    <x v="1"/>
    <x v="0"/>
    <s v="Asia"/>
    <s v="All-Weather Strategic Cooperative Partnership [全天候战略合作伙伴关系]"/>
    <s v="Major Non-NATO Ally"/>
    <s v="CENTCOM"/>
    <x v="2"/>
    <x v="25"/>
    <n v="10"/>
    <x v="3"/>
    <s v="Fang Fenghui"/>
    <m/>
    <s v="CMC/JSD Commander; CMC Member"/>
    <n v="8"/>
    <x v="2"/>
    <s v="Army Chief of Staff"/>
    <x v="0"/>
    <m/>
    <x v="0"/>
    <m/>
    <m/>
    <m/>
    <m/>
    <m/>
    <m/>
    <m/>
  </r>
  <r>
    <x v="2"/>
    <x v="0"/>
    <s v="Asia"/>
    <s v="All-Weather Strategic Cooperative Partnership [全天候战略合作伙伴关系]"/>
    <s v="Major Non-NATO Ally"/>
    <s v="CENTCOM"/>
    <x v="2"/>
    <x v="25"/>
    <n v="10"/>
    <x v="6"/>
    <m/>
    <m/>
    <m/>
    <m/>
    <x v="0"/>
    <m/>
    <x v="6"/>
    <s v="International Physical Agility and Combat Efficiency System (PACES)"/>
    <x v="1"/>
    <s v="PLAA team from 14th GA. Other countries: Nepal, Saudi Arabia "/>
    <m/>
    <m/>
    <m/>
    <m/>
    <m/>
    <m/>
  </r>
  <r>
    <x v="2"/>
    <x v="0"/>
    <s v="Asia"/>
    <s v="All-Weather Strategic Cooperative Partnership [全天候战略合作伙伴关系]"/>
    <s v="Major Non-NATO Ally"/>
    <s v="CENTCOM"/>
    <x v="2"/>
    <x v="25"/>
    <n v="10"/>
    <x v="5"/>
    <m/>
    <m/>
    <m/>
    <m/>
    <x v="0"/>
    <m/>
    <x v="1"/>
    <s v="Friendship 2016"/>
    <x v="1"/>
    <s v="21st GA SOF brigade and SSG commandos; CQB, recon, maneuver and penetration, search and capture, ambush/anti-ambush"/>
    <m/>
    <m/>
    <m/>
    <m/>
    <m/>
    <m/>
  </r>
  <r>
    <x v="1"/>
    <x v="1"/>
    <s v="America and Oceania"/>
    <s v="Strategic Partnership [战略伙伴关系]"/>
    <s v="None"/>
    <s v="INDOPACOM"/>
    <x v="122"/>
    <x v="25"/>
    <n v="10"/>
    <x v="3"/>
    <s v="Fang Fenghui"/>
    <m/>
    <s v="CMC/JSD Commander; CMC Member"/>
    <n v="8"/>
    <x v="2"/>
    <s v="Commander Armed Forces"/>
    <x v="0"/>
    <m/>
    <x v="0"/>
    <m/>
    <m/>
    <m/>
    <m/>
    <m/>
    <m/>
    <m/>
  </r>
  <r>
    <x v="1"/>
    <x v="1"/>
    <s v="Asia"/>
    <s v="Strategic Cooperative Partnership [战略合作伙伴关系]"/>
    <s v="Bilateral Defense Treaty"/>
    <s v="INDOPACOM"/>
    <x v="11"/>
    <x v="25"/>
    <n v="10"/>
    <x v="3"/>
    <s v="Chang Wanquan"/>
    <m/>
    <s v="Defense Minister; CMC Member"/>
    <n v="8"/>
    <x v="2"/>
    <s v="Defense Minister"/>
    <x v="0"/>
    <m/>
    <x v="0"/>
    <m/>
    <m/>
    <m/>
    <m/>
    <m/>
    <m/>
    <m/>
  </r>
  <r>
    <x v="2"/>
    <x v="9"/>
    <s v="West Asia and Africa"/>
    <s v="Comprehensive Strategic Partnership [全面战略伙伴关系]"/>
    <s v="None"/>
    <s v="CENTCOM"/>
    <x v="142"/>
    <x v="25"/>
    <n v="10"/>
    <x v="5"/>
    <m/>
    <m/>
    <m/>
    <m/>
    <x v="0"/>
    <m/>
    <x v="1"/>
    <s v="None"/>
    <x v="1"/>
    <s v="anti-terrorism drills"/>
    <m/>
    <m/>
    <m/>
    <m/>
    <m/>
    <m/>
  </r>
  <r>
    <x v="1"/>
    <x v="1"/>
    <s v="Asia"/>
    <s v="All-Round Cooperative Partnership [全方合作伙伴关系]"/>
    <s v="None"/>
    <s v="INDOPACOM"/>
    <x v="39"/>
    <x v="25"/>
    <n v="10"/>
    <x v="3"/>
    <s v="Sun Jianguo"/>
    <m/>
    <s v="CMC/JSD DCJS"/>
    <n v="6"/>
    <x v="2"/>
    <s v="Senior Minister of State for MoD"/>
    <x v="0"/>
    <m/>
    <x v="0"/>
    <m/>
    <m/>
    <m/>
    <m/>
    <m/>
    <m/>
    <m/>
  </r>
  <r>
    <x v="2"/>
    <x v="6"/>
    <s v="Europe and Central Asia"/>
    <s v="Strategic Partnership [战略伙伴关系]"/>
    <s v="None"/>
    <s v="CENTCOM"/>
    <x v="60"/>
    <x v="25"/>
    <n v="10"/>
    <x v="5"/>
    <m/>
    <m/>
    <m/>
    <m/>
    <x v="0"/>
    <m/>
    <x v="1"/>
    <s v="Cooperation-2016 Joint Anti-Terrorism Exercise "/>
    <x v="1"/>
    <s v="anti-terrorism drills"/>
    <m/>
    <m/>
    <m/>
    <m/>
    <s v="2019 PRC Defense White Paper"/>
    <m/>
  </r>
  <r>
    <x v="1"/>
    <x v="2"/>
    <s v="America and Oceania"/>
    <s v="No Specific Relationship"/>
    <s v="N/A"/>
    <s v="NORTHCOM"/>
    <x v="4"/>
    <x v="25"/>
    <n v="10"/>
    <x v="7"/>
    <s v="Sun Jianguo"/>
    <m/>
    <s v="CMC/JSD DCJS"/>
    <n v="6"/>
    <x v="2"/>
    <s v="NDU President MajGen Padilla"/>
    <x v="0"/>
    <m/>
    <x v="0"/>
    <m/>
    <m/>
    <m/>
    <m/>
    <m/>
    <m/>
    <s v="On margins of Xiangshan Forum"/>
  </r>
  <r>
    <x v="0"/>
    <x v="1"/>
    <s v="Asia"/>
    <s v="Comprehensive Strategic Cooperative Partnership [全面战略合作伙伴关系]"/>
    <s v="None"/>
    <s v="INDOPACOM"/>
    <x v="23"/>
    <x v="25"/>
    <n v="10"/>
    <x v="0"/>
    <m/>
    <m/>
    <m/>
    <m/>
    <x v="0"/>
    <m/>
    <x v="0"/>
    <m/>
    <x v="0"/>
    <m/>
    <s v="ETF"/>
    <s v="ETF-23"/>
    <s v="East Sea Fleet"/>
    <s v="FFG531 Xiangtan, FFG529 Zhoushan, AOR890 Chao Hu"/>
    <m/>
    <m/>
  </r>
  <r>
    <x v="2"/>
    <x v="1"/>
    <s v="Asia"/>
    <s v="Strategic Partnership [战略伙伴关系] for Peace and Prosperity"/>
    <s v="None"/>
    <s v="INDOPACOM"/>
    <x v="153"/>
    <x v="25"/>
    <n v="11"/>
    <x v="6"/>
    <m/>
    <m/>
    <m/>
    <m/>
    <x v="0"/>
    <m/>
    <x v="5"/>
    <s v="ADMM-Plus Maritime Security Exercise 2016"/>
    <x v="2"/>
    <s v="likely formation maneuvers, SAR, other combat support. Other countries: Indonesia, New Zealand ;boarding operations, manoeuvring serials and maritime security patrols"/>
    <m/>
    <m/>
    <m/>
    <m/>
    <m/>
    <s v="corrected partnership to strategic partnership for peace and prosperity"/>
  </r>
  <r>
    <x v="0"/>
    <x v="5"/>
    <s v="America and Oceania"/>
    <s v="Comprehensive Strategic Partnership [全面战略伙伴关系]"/>
    <s v="ANZUS Treaty"/>
    <s v="INDOPACOM"/>
    <x v="12"/>
    <x v="25"/>
    <n v="11"/>
    <x v="0"/>
    <m/>
    <m/>
    <m/>
    <m/>
    <x v="0"/>
    <m/>
    <x v="0"/>
    <m/>
    <x v="0"/>
    <m/>
    <s v="NETF"/>
    <s v="2016-11 Zhenghe "/>
    <s v="North Sea Fleet"/>
    <m/>
    <m/>
    <m/>
  </r>
  <r>
    <x v="1"/>
    <x v="0"/>
    <s v="Asia"/>
    <s v="Comprehensive Cooperative Partnership [全面合作伙伴关系]"/>
    <s v="None"/>
    <s v="INDOPACOM"/>
    <x v="0"/>
    <x v="25"/>
    <n v="11"/>
    <x v="3"/>
    <s v="Xu Qiliang"/>
    <m/>
    <s v="CMC Vice Chairman"/>
    <n v="10"/>
    <x v="2"/>
    <s v="Chief of Navy Staff"/>
    <x v="0"/>
    <m/>
    <x v="0"/>
    <m/>
    <m/>
    <m/>
    <m/>
    <m/>
    <m/>
    <m/>
  </r>
  <r>
    <x v="1"/>
    <x v="10"/>
    <s v="America and Oceania"/>
    <s v="Comprehensive Strategic Partnership [全面战略伙伴关系]"/>
    <s v="None"/>
    <s v="SOUTHCOM"/>
    <x v="43"/>
    <x v="25"/>
    <n v="11"/>
    <x v="3"/>
    <s v="Sun Jianguo"/>
    <m/>
    <s v="CMC/JSD DCJS"/>
    <n v="6"/>
    <x v="2"/>
    <s v="Secretary of Strategy and International Affairs MoD"/>
    <x v="0"/>
    <m/>
    <x v="0"/>
    <m/>
    <m/>
    <m/>
    <m/>
    <m/>
    <m/>
    <m/>
  </r>
  <r>
    <x v="1"/>
    <x v="9"/>
    <s v="West Asia and Africa"/>
    <s v="No Specific Relationship"/>
    <s v="None"/>
    <s v="CENTCOM"/>
    <x v="119"/>
    <x v="25"/>
    <n v="11"/>
    <x v="4"/>
    <s v="Fan Changlong"/>
    <m/>
    <s v="CMC Vice Chairman"/>
    <n v="10"/>
    <x v="1"/>
    <m/>
    <x v="0"/>
    <m/>
    <x v="0"/>
    <m/>
    <m/>
    <m/>
    <m/>
    <m/>
    <m/>
    <m/>
  </r>
  <r>
    <x v="1"/>
    <x v="7"/>
    <s v="West Asia and Africa"/>
    <s v="Comprehensive Cooperative Partnership [全面合作伙伴关系]"/>
    <s v="None"/>
    <s v="AFRICOM"/>
    <x v="95"/>
    <x v="25"/>
    <n v="11"/>
    <x v="4"/>
    <s v="Fan Changlong"/>
    <m/>
    <s v="CMC Vice Chairman"/>
    <n v="10"/>
    <x v="1"/>
    <s v="Defense Minister"/>
    <x v="0"/>
    <m/>
    <x v="0"/>
    <m/>
    <m/>
    <m/>
    <m/>
    <m/>
    <m/>
    <m/>
  </r>
  <r>
    <x v="1"/>
    <x v="0"/>
    <s v="Asia"/>
    <s v="Strategic Partnership for Peace and Prosperity [战略伙伴关系]"/>
    <s v="None"/>
    <s v="INDOPACOM"/>
    <x v="6"/>
    <x v="25"/>
    <n v="11"/>
    <x v="3"/>
    <s v="Xu Qiliang"/>
    <m/>
    <s v="CMC Vice Chairman"/>
    <n v="10"/>
    <x v="2"/>
    <s v="Chief of Army Staff"/>
    <x v="0"/>
    <m/>
    <x v="0"/>
    <m/>
    <m/>
    <m/>
    <m/>
    <m/>
    <m/>
    <m/>
  </r>
  <r>
    <x v="2"/>
    <x v="0"/>
    <s v="Asia"/>
    <s v="Strategic Partnership for Peace and Prosperity [战略伙伴关系]"/>
    <s v="None"/>
    <s v="INDOPACOM"/>
    <x v="6"/>
    <x v="25"/>
    <n v="11"/>
    <x v="5"/>
    <m/>
    <m/>
    <m/>
    <m/>
    <x v="0"/>
    <m/>
    <x v="1"/>
    <s v="Hand-in-Hand 2016"/>
    <x v="1"/>
    <s v="anti-terrorism drills"/>
    <m/>
    <m/>
    <m/>
    <m/>
    <m/>
    <m/>
  </r>
  <r>
    <x v="1"/>
    <x v="9"/>
    <s v="West Asia and Africa"/>
    <s v="Comprehensive Strategic Partnership [全面战略伙伴关系]"/>
    <s v="None"/>
    <s v="CENTCOM"/>
    <x v="89"/>
    <x v="25"/>
    <n v="11"/>
    <x v="4"/>
    <s v="Chang Wanquan"/>
    <m/>
    <s v="Defense Minister; CMC Member"/>
    <n v="8"/>
    <x v="1"/>
    <s v="Defense Minister"/>
    <x v="0"/>
    <m/>
    <x v="0"/>
    <m/>
    <m/>
    <m/>
    <m/>
    <m/>
    <m/>
    <m/>
  </r>
  <r>
    <x v="1"/>
    <x v="8"/>
    <s v="Europe and Central Asia"/>
    <s v="Comprehensive Strategic Partnership [全面战略伙伴关系]"/>
    <s v="NATO"/>
    <s v="EUCOM"/>
    <x v="20"/>
    <x v="25"/>
    <n v="11"/>
    <x v="3"/>
    <s v="Li Zuocheng"/>
    <m/>
    <s v="PLAA Commander"/>
    <n v="6"/>
    <x v="2"/>
    <s v="Army Chief of Staff"/>
    <x v="0"/>
    <m/>
    <x v="0"/>
    <m/>
    <m/>
    <m/>
    <m/>
    <m/>
    <m/>
    <m/>
  </r>
  <r>
    <x v="1"/>
    <x v="9"/>
    <s v="West Asia and Africa"/>
    <s v="No Specific Relationship"/>
    <s v="None"/>
    <s v="CENTCOM"/>
    <x v="110"/>
    <x v="25"/>
    <n v="11"/>
    <x v="4"/>
    <s v="Fan Changlong"/>
    <m/>
    <s v="CMC Vice Chairman"/>
    <n v="10"/>
    <x v="1"/>
    <s v="Army Chief"/>
    <x v="0"/>
    <m/>
    <x v="0"/>
    <m/>
    <m/>
    <m/>
    <m/>
    <m/>
    <m/>
    <m/>
  </r>
  <r>
    <x v="1"/>
    <x v="1"/>
    <s v="Asia"/>
    <s v="Comprehensive Strategic Partnership [全面战略伙伴关系]"/>
    <s v="None"/>
    <s v="INDOPACOM"/>
    <x v="10"/>
    <x v="25"/>
    <n v="11"/>
    <x v="3"/>
    <s v="Chang Wanquan"/>
    <m/>
    <s v="Defense Minister; CMC Member"/>
    <n v="8"/>
    <x v="2"/>
    <s v="Defense Minister"/>
    <x v="0"/>
    <m/>
    <x v="0"/>
    <m/>
    <m/>
    <m/>
    <m/>
    <m/>
    <m/>
    <m/>
  </r>
  <r>
    <x v="2"/>
    <x v="1"/>
    <s v="Asia"/>
    <s v="Comprehensive Strategic Partnership [全面战略伙伴关系]"/>
    <s v="None"/>
    <s v="INDOPACOM"/>
    <x v="10"/>
    <x v="25"/>
    <n v="11"/>
    <x v="5"/>
    <m/>
    <m/>
    <m/>
    <m/>
    <x v="0"/>
    <m/>
    <x v="2"/>
    <s v="Peace and Friendship 2016"/>
    <x v="1"/>
    <m/>
    <m/>
    <m/>
    <m/>
    <m/>
    <s v="http://eng.mod.gov.cn/news/2016-11/18/content_4778131.htm"/>
    <m/>
  </r>
  <r>
    <x v="1"/>
    <x v="1"/>
    <s v="Asia"/>
    <s v="Comprehensive Strategic Cooperative Partnership [全面战略合作伙伴关系]"/>
    <s v="None"/>
    <s v="INDOPACOM"/>
    <x v="1"/>
    <x v="25"/>
    <n v="11"/>
    <x v="3"/>
    <s v="Xu Qiliang"/>
    <m/>
    <s v="CMC Vice Chairman"/>
    <n v="10"/>
    <x v="2"/>
    <s v="CinC Armed Forces"/>
    <x v="0"/>
    <m/>
    <x v="0"/>
    <m/>
    <m/>
    <m/>
    <m/>
    <m/>
    <m/>
    <m/>
  </r>
  <r>
    <x v="1"/>
    <x v="5"/>
    <s v="America and Oceania"/>
    <s v="Comprehensive Strategic Partnership [全面战略伙伴关系]"/>
    <s v="ANZUS Treaty"/>
    <s v="INDOPACOM"/>
    <x v="13"/>
    <x v="25"/>
    <n v="11"/>
    <x v="3"/>
    <s v="Ma Xiaotian"/>
    <m/>
    <s v="PLAAF Commander; CMC Member"/>
    <n v="8"/>
    <x v="2"/>
    <s v="Air Force Commander"/>
    <x v="0"/>
    <m/>
    <x v="0"/>
    <m/>
    <m/>
    <m/>
    <m/>
    <m/>
    <m/>
    <m/>
  </r>
  <r>
    <x v="0"/>
    <x v="5"/>
    <s v="America and Oceania"/>
    <s v="Comprehensive Strategic Partnership [全面战略伙伴关系]"/>
    <s v="ANZUS Treaty"/>
    <s v="INDOPACOM"/>
    <x v="13"/>
    <x v="25"/>
    <n v="11"/>
    <x v="0"/>
    <m/>
    <m/>
    <m/>
    <m/>
    <x v="0"/>
    <m/>
    <x v="0"/>
    <m/>
    <x v="0"/>
    <m/>
    <s v="NETF"/>
    <s v="2016-11 DDG546 Yancheng"/>
    <s v="North Sea Fleet"/>
    <s v="unknown if other PLAN ships present"/>
    <m/>
    <m/>
  </r>
  <r>
    <x v="1"/>
    <x v="0"/>
    <s v="Asia"/>
    <s v="All-Weather Strategic Cooperative Partnership [全天候战略合作伙伴关系]"/>
    <s v="Major Non-NATO Ally"/>
    <s v="CENTCOM"/>
    <x v="2"/>
    <x v="25"/>
    <n v="11"/>
    <x v="3"/>
    <s v="Chang Wanquan"/>
    <m/>
    <s v="Defense Minister; CMC Member"/>
    <n v="8"/>
    <x v="2"/>
    <s v="Chief of Air Staff"/>
    <x v="0"/>
    <m/>
    <x v="0"/>
    <m/>
    <m/>
    <m/>
    <m/>
    <m/>
    <m/>
    <m/>
  </r>
  <r>
    <x v="0"/>
    <x v="0"/>
    <s v="Asia"/>
    <s v="All-Weather Strategic Cooperative Partnership [全天候战略合作伙伴关系]"/>
    <s v="Major Non-NATO Ally"/>
    <s v="CENTCOM"/>
    <x v="2"/>
    <x v="25"/>
    <n v="11"/>
    <x v="10"/>
    <m/>
    <m/>
    <m/>
    <m/>
    <x v="0"/>
    <m/>
    <x v="0"/>
    <m/>
    <x v="0"/>
    <m/>
    <s v="ETF"/>
    <s v="ETF-24"/>
    <s v="North Sea Fleet"/>
    <s v="DDG112 Harbin, FFG579 Handan, AOR960 Dongping Hu"/>
    <m/>
    <m/>
  </r>
  <r>
    <x v="2"/>
    <x v="0"/>
    <s v="Asia"/>
    <s v="All-Weather Strategic Cooperative Partnership [全天候战略合作伙伴关系]"/>
    <s v="Major Non-NATO Ally"/>
    <s v="CENTCOM"/>
    <x v="2"/>
    <x v="25"/>
    <n v="11"/>
    <x v="5"/>
    <m/>
    <m/>
    <m/>
    <m/>
    <x v="0"/>
    <m/>
    <x v="4"/>
    <s v="None"/>
    <x v="2"/>
    <s v="ETF-24; Marines; anti-piracy drills, special operations"/>
    <m/>
    <m/>
    <m/>
    <m/>
    <m/>
    <m/>
  </r>
  <r>
    <x v="1"/>
    <x v="9"/>
    <s v="West Asia and Africa"/>
    <s v="Strategic Partnership [战略伙伴关系]"/>
    <s v="None"/>
    <s v="CENTCOM"/>
    <x v="131"/>
    <x v="25"/>
    <n v="11"/>
    <x v="3"/>
    <s v="Chang Wanquan"/>
    <m/>
    <s v="Defense Minister; CMC Member"/>
    <n v="8"/>
    <x v="2"/>
    <s v="Defense Minister"/>
    <x v="0"/>
    <m/>
    <x v="0"/>
    <m/>
    <m/>
    <m/>
    <m/>
    <m/>
    <m/>
    <m/>
  </r>
  <r>
    <x v="1"/>
    <x v="3"/>
    <s v="Europe and Central Asia"/>
    <s v="Comprehensive Collaborative Strategic Partnership [全面战略协作伙伴关系]"/>
    <s v="None"/>
    <s v="EUCOM"/>
    <x v="7"/>
    <x v="25"/>
    <n v="11"/>
    <x v="3"/>
    <s v="Xu Qiliang"/>
    <m/>
    <s v="CMC Vice Chairman"/>
    <n v="10"/>
    <x v="2"/>
    <s v="Defense Minister"/>
    <x v="0"/>
    <m/>
    <x v="0"/>
    <m/>
    <m/>
    <m/>
    <m/>
    <m/>
    <m/>
    <m/>
  </r>
  <r>
    <x v="2"/>
    <x v="6"/>
    <s v="Europe and Central Asia"/>
    <s v="Member"/>
    <s v="None"/>
    <s v="CENTCOM"/>
    <x v="14"/>
    <x v="25"/>
    <n v="11"/>
    <x v="6"/>
    <m/>
    <m/>
    <m/>
    <m/>
    <x v="0"/>
    <m/>
    <x v="3"/>
    <s v="None"/>
    <x v="1"/>
    <s v="mountain infantry troops; actual combat abilities but few details;SCO; Counries: Kazakhstan, Kyrgyzstan, Tajikistan, Uzbekistan, Russia"/>
    <m/>
    <m/>
    <m/>
    <m/>
    <m/>
    <m/>
  </r>
  <r>
    <x v="1"/>
    <x v="7"/>
    <s v="West Asia and Africa"/>
    <s v="No Specific Relationship"/>
    <s v="None"/>
    <s v="AFRICOM"/>
    <x v="139"/>
    <x v="25"/>
    <n v="11"/>
    <x v="3"/>
    <s v="Wang Guanzhong"/>
    <m/>
    <s v="CMC/JSD DCJS"/>
    <n v="6"/>
    <x v="2"/>
    <s v="President"/>
    <x v="0"/>
    <m/>
    <x v="0"/>
    <m/>
    <m/>
    <m/>
    <m/>
    <m/>
    <m/>
    <m/>
  </r>
  <r>
    <x v="1"/>
    <x v="7"/>
    <s v="West Asia and Africa"/>
    <s v="Comprehensive Cooperative Partnership [全面合作伙伴关系]"/>
    <s v="None"/>
    <s v="AFRICOM"/>
    <x v="16"/>
    <x v="25"/>
    <n v="11"/>
    <x v="4"/>
    <s v="Fan Changlong"/>
    <m/>
    <s v="CMC Vice Chairman"/>
    <n v="10"/>
    <x v="1"/>
    <s v="Defense Minister"/>
    <x v="0"/>
    <m/>
    <x v="0"/>
    <m/>
    <m/>
    <m/>
    <m/>
    <m/>
    <m/>
    <m/>
  </r>
  <r>
    <x v="1"/>
    <x v="2"/>
    <s v="America and Oceania"/>
    <s v="No Specific Relationship"/>
    <s v="N/A"/>
    <s v="NORTHCOM"/>
    <x v="4"/>
    <x v="25"/>
    <n v="11"/>
    <x v="4"/>
    <s v="Zhao Zongqi"/>
    <m/>
    <s v="Western TC Commander"/>
    <n v="6"/>
    <x v="1"/>
    <s v="PACOM Commander Harris"/>
    <x v="0"/>
    <m/>
    <x v="0"/>
    <m/>
    <m/>
    <m/>
    <m/>
    <s v="2017 CH Mil Power Report "/>
    <s v="2017 CH Mil Power Report "/>
    <s v="Also visited JB Lewis-McChord"/>
  </r>
  <r>
    <x v="2"/>
    <x v="2"/>
    <s v="America and Oceania"/>
    <s v="No Specific Relationship"/>
    <s v="N/A"/>
    <s v="NORTHCOM"/>
    <x v="4"/>
    <x v="25"/>
    <n v="11"/>
    <x v="5"/>
    <m/>
    <m/>
    <m/>
    <m/>
    <x v="0"/>
    <m/>
    <x v="2"/>
    <s v="12th Disaster Management Exchange TTX"/>
    <x v="1"/>
    <s v="Kunming; HADR academic discussion; TTX; and field exchange"/>
    <m/>
    <m/>
    <m/>
    <m/>
    <m/>
    <m/>
  </r>
  <r>
    <x v="1"/>
    <x v="1"/>
    <s v="Asia"/>
    <s v="Comprehensive Strategic Cooperative Partnership [全面战略合作伙伴关系]"/>
    <s v="None"/>
    <s v="INDOPACOM"/>
    <x v="23"/>
    <x v="25"/>
    <n v="11"/>
    <x v="3"/>
    <s v="Chang Wanquan"/>
    <m/>
    <s v="Defense Minister; CMC Member"/>
    <n v="8"/>
    <x v="2"/>
    <s v="Deputy Defense Minister"/>
    <x v="0"/>
    <m/>
    <x v="0"/>
    <m/>
    <m/>
    <m/>
    <m/>
    <m/>
    <m/>
    <m/>
  </r>
  <r>
    <x v="1"/>
    <x v="9"/>
    <s v="West Asia and Africa"/>
    <s v="No Specific Relationship"/>
    <s v="None"/>
    <s v="CENTCOM"/>
    <x v="119"/>
    <x v="25"/>
    <n v="12"/>
    <x v="3"/>
    <s v="Fan Changlong"/>
    <m/>
    <s v="CMC Vice Chairman"/>
    <n v="10"/>
    <x v="2"/>
    <s v="COGS"/>
    <x v="0"/>
    <m/>
    <x v="0"/>
    <m/>
    <m/>
    <m/>
    <m/>
    <m/>
    <m/>
    <m/>
  </r>
  <r>
    <x v="0"/>
    <x v="5"/>
    <s v="America and Oceania"/>
    <s v="Strategic Partnership [战略伙伴关系]"/>
    <s v="None"/>
    <s v="INDOPACOM"/>
    <x v="128"/>
    <x v="25"/>
    <n v="12"/>
    <x v="0"/>
    <m/>
    <m/>
    <m/>
    <m/>
    <x v="0"/>
    <m/>
    <x v="0"/>
    <m/>
    <x v="0"/>
    <m/>
    <s v="NETF"/>
    <s v="2016-12 Zhenghe "/>
    <s v="North Sea Fleet"/>
    <m/>
    <m/>
    <s v="Coded as Oceania instead of Southeast Asia"/>
  </r>
  <r>
    <x v="0"/>
    <x v="5"/>
    <s v="America and Oceania"/>
    <s v="Comprehensive Strategic Partnership [全面战略伙伴关系]"/>
    <s v="ANZUS Treaty"/>
    <s v="INDOPACOM"/>
    <x v="13"/>
    <x v="25"/>
    <n v="12"/>
    <x v="0"/>
    <m/>
    <m/>
    <m/>
    <m/>
    <x v="0"/>
    <m/>
    <x v="0"/>
    <m/>
    <x v="0"/>
    <m/>
    <s v="NETF"/>
    <s v="2016-12 Zhenghe "/>
    <s v="North Sea Fleet"/>
    <m/>
    <m/>
    <m/>
  </r>
  <r>
    <x v="1"/>
    <x v="0"/>
    <s v="Asia"/>
    <s v="All-Weather Strategic Cooperative Partnership [全天候战略合作伙伴关系]"/>
    <s v="Major Non-NATO Ally"/>
    <s v="CENTCOM"/>
    <x v="2"/>
    <x v="25"/>
    <n v="12"/>
    <x v="4"/>
    <s v="Zhao Zongqi"/>
    <m/>
    <s v="Western TC Commander"/>
    <n v="6"/>
    <x v="1"/>
    <s v="Army Chief of Staff"/>
    <x v="0"/>
    <m/>
    <x v="0"/>
    <m/>
    <m/>
    <m/>
    <m/>
    <m/>
    <m/>
    <m/>
  </r>
  <r>
    <x v="0"/>
    <x v="2"/>
    <s v="America and Oceania"/>
    <s v="No Specific Relationship"/>
    <s v="N/A"/>
    <s v="NORTHCOM"/>
    <x v="4"/>
    <x v="25"/>
    <n v="12"/>
    <x v="0"/>
    <m/>
    <m/>
    <m/>
    <m/>
    <x v="0"/>
    <m/>
    <x v="8"/>
    <s v=" "/>
    <x v="6"/>
    <s v=" "/>
    <s v="NETF"/>
    <s v="2016-12"/>
    <s v="North Sea Fleet"/>
    <s v="Yancheng FFG, Daqing, FFG, Tai Hu oiler visited San Diego"/>
    <s v="https://thaimilitaryandasianregion.blogspot.com/2016/12/chinese-naval-ships-visit-san-diego.html"/>
    <m/>
  </r>
  <r>
    <x v="0"/>
    <x v="9"/>
    <s v="West Asia and Africa"/>
    <s v="Strategic Partnership [战略伙伴关系]"/>
    <s v="None"/>
    <s v="CENTCOM"/>
    <x v="131"/>
    <x v="26"/>
    <n v="1"/>
    <x v="0"/>
    <m/>
    <m/>
    <m/>
    <m/>
    <x v="0"/>
    <m/>
    <x v="0"/>
    <m/>
    <x v="0"/>
    <m/>
    <s v="ETF"/>
    <s v="ETF-24"/>
    <s v="North Sea Fleet"/>
    <s v="DDG112 Harbin, FFG579 Handan"/>
    <s v="http://eng.mod.gov.cn/DefenseNews/2017-01/23/content_4770731.htm"/>
    <m/>
  </r>
  <r>
    <x v="2"/>
    <x v="9"/>
    <s v="West Asia and Africa"/>
    <s v="Strategic Partnership [战略伙伴关系]"/>
    <s v="None"/>
    <s v="CENTCOM"/>
    <x v="106"/>
    <x v="26"/>
    <n v="1"/>
    <x v="5"/>
    <m/>
    <m/>
    <m/>
    <m/>
    <x v="0"/>
    <m/>
    <x v="2"/>
    <s v="Unnamed "/>
    <x v="2"/>
    <s v="Maritime "/>
    <m/>
    <m/>
    <m/>
    <m/>
    <m/>
    <m/>
  </r>
  <r>
    <x v="1"/>
    <x v="1"/>
    <s v="Asia"/>
    <s v="Comprehensive Strategic Cooperative Partnership [全面战略合作伙伴关系]"/>
    <s v="None"/>
    <s v="INDOPACOM"/>
    <x v="23"/>
    <x v="26"/>
    <n v="1"/>
    <x v="3"/>
    <s v="Fan Changlong"/>
    <m/>
    <s v="CMC Vice Chairman"/>
    <n v="10"/>
    <x v="2"/>
    <s v="Defense Minister"/>
    <x v="0"/>
    <m/>
    <x v="0"/>
    <m/>
    <m/>
    <m/>
    <m/>
    <m/>
    <m/>
    <m/>
  </r>
  <r>
    <x v="1"/>
    <x v="7"/>
    <s v="West Asia and Africa"/>
    <s v="Comprehensive Cooperative Partnership [全面合作伙伴关系]"/>
    <s v="None"/>
    <s v="AFRICOM"/>
    <x v="95"/>
    <x v="26"/>
    <n v="2"/>
    <x v="3"/>
    <s v="Chang Wanquan"/>
    <m/>
    <s v="Defense Minister; CMC Member"/>
    <n v="8"/>
    <x v="2"/>
    <s v="Defense Minister"/>
    <x v="0"/>
    <m/>
    <x v="0"/>
    <m/>
    <m/>
    <m/>
    <m/>
    <m/>
    <s v="http://eng.mod.gov.cn/DefenseNews/2017-02/24/content_4773595.htm"/>
    <m/>
  </r>
  <r>
    <x v="1"/>
    <x v="9"/>
    <s v="West Asia and Africa"/>
    <s v="All-Round Partnership for Innovation [创新全面伙伴关系]"/>
    <s v="Major Non-NATO Ally"/>
    <s v="CENTCOM"/>
    <x v="100"/>
    <x v="26"/>
    <n v="2"/>
    <x v="3"/>
    <s v="Zhao Keshi"/>
    <m/>
    <s v="CMC/LSD Director; CMC Member"/>
    <n v="8"/>
    <x v="2"/>
    <s v="Major General"/>
    <x v="0"/>
    <m/>
    <x v="0"/>
    <m/>
    <m/>
    <m/>
    <m/>
    <m/>
    <s v="http://eng.mod.gov.cn/DefenseNews/2017-02/21/content_4773208.htm"/>
    <m/>
  </r>
  <r>
    <x v="2"/>
    <x v="9"/>
    <s v="West Asia and Africa"/>
    <s v="No Specific Relationship"/>
    <s v="Major Non-NATO Ally"/>
    <s v="CENTCOM"/>
    <x v="72"/>
    <x v="26"/>
    <n v="2"/>
    <x v="5"/>
    <m/>
    <m/>
    <m/>
    <m/>
    <x v="0"/>
    <m/>
    <x v="2"/>
    <s v="Unnamed"/>
    <x v="2"/>
    <s v="Maritime"/>
    <m/>
    <m/>
    <m/>
    <m/>
    <m/>
    <m/>
  </r>
  <r>
    <x v="0"/>
    <x v="9"/>
    <s v="West Asia and Africa"/>
    <s v="No Specific Relationship"/>
    <s v="Major Non-NATO Ally"/>
    <s v="CENTCOM"/>
    <x v="72"/>
    <x v="26"/>
    <n v="2"/>
    <x v="0"/>
    <m/>
    <m/>
    <s v=" "/>
    <m/>
    <x v="0"/>
    <m/>
    <x v="0"/>
    <m/>
    <x v="0"/>
    <m/>
    <s v="ETF"/>
    <s v="ETF-24"/>
    <s v="North Sea Fleet"/>
    <s v="DDG112 Harbin, FFG579 Handan"/>
    <s v="http://eng.mod.gov.cn/DefenseNews/2017-02/03/content_4771399.htm"/>
    <m/>
  </r>
  <r>
    <x v="1"/>
    <x v="0"/>
    <s v="Asia"/>
    <s v="All-Round Strategic Partnership [全方位战略伙伴关系]"/>
    <s v="None"/>
    <s v="INDOPACOM"/>
    <x v="32"/>
    <x v="26"/>
    <n v="2"/>
    <x v="4"/>
    <s v="Zhao Jinsong"/>
    <m/>
    <s v="Western TC Deputy Commander"/>
    <n v="8"/>
    <x v="1"/>
    <s v="Chief of the Army Staff"/>
    <x v="0"/>
    <m/>
    <x v="0"/>
    <m/>
    <m/>
    <m/>
    <m/>
    <m/>
    <s v="http://eng.mod.gov.cn/DefenseNews/2017-02/20/content_4773000.htm"/>
    <s v="Recoded as South Asia"/>
  </r>
  <r>
    <x v="2"/>
    <x v="0"/>
    <s v="Asia"/>
    <s v="All-Weather Strategic Cooperative Partnership [全天候战略合作伙伴关系]"/>
    <s v="Major Non-NATO Ally"/>
    <s v="CENTCOM"/>
    <x v="2"/>
    <x v="26"/>
    <n v="2"/>
    <x v="6"/>
    <m/>
    <m/>
    <m/>
    <m/>
    <x v="0"/>
    <m/>
    <x v="2"/>
    <s v="Aman-17"/>
    <x v="2"/>
    <s v="Maritime "/>
    <m/>
    <m/>
    <m/>
    <m/>
    <m/>
    <m/>
  </r>
  <r>
    <x v="2"/>
    <x v="1"/>
    <s v="Asia"/>
    <s v="Comprehensive Strategic Cooperative Partnership [全面战略合作伙伴关系]"/>
    <s v="Bilateral Defense Treaty"/>
    <s v="INDOPACOM"/>
    <x v="5"/>
    <x v="26"/>
    <n v="2"/>
    <x v="6"/>
    <m/>
    <m/>
    <m/>
    <m/>
    <x v="0"/>
    <m/>
    <x v="2"/>
    <s v="Cobra Gold 2017"/>
    <x v="1"/>
    <s v="Humanitarian assistance and disaster relief"/>
    <m/>
    <m/>
    <m/>
    <m/>
    <m/>
    <m/>
  </r>
  <r>
    <x v="0"/>
    <x v="9"/>
    <s v="West Asia and Africa"/>
    <s v="Strategic Partnership [战略伙伴关系]"/>
    <s v="None"/>
    <s v="CENTCOM"/>
    <x v="106"/>
    <x v="26"/>
    <n v="2"/>
    <x v="0"/>
    <m/>
    <m/>
    <m/>
    <m/>
    <x v="0"/>
    <m/>
    <x v="0"/>
    <m/>
    <x v="0"/>
    <m/>
    <s v="ETF"/>
    <s v="ETF-24"/>
    <s v="North Sea Fleet"/>
    <s v="DDG112 Harbin, FFG579 Handan"/>
    <s v="http://eng.mod.gov.cn/DefenseNews/2017-02/03/content_4771404.htm"/>
    <m/>
  </r>
  <r>
    <x v="1"/>
    <x v="10"/>
    <s v="America and Oceania"/>
    <s v="No Specific Relationship"/>
    <s v="None"/>
    <s v="SOUTHCOM"/>
    <x v="49"/>
    <x v="26"/>
    <n v="3"/>
    <x v="3"/>
    <s v="Chang Wanquan"/>
    <m/>
    <s v="Defense Minister; CMC Member"/>
    <n v="8"/>
    <x v="2"/>
    <s v="Defense Minister "/>
    <x v="0"/>
    <m/>
    <x v="0"/>
    <m/>
    <m/>
    <m/>
    <m/>
    <m/>
    <m/>
    <m/>
  </r>
  <r>
    <x v="1"/>
    <x v="6"/>
    <s v="Europe and Central Asia"/>
    <s v="Strategic Partnership [战略伙伴关系]"/>
    <s v="None"/>
    <s v="CENTCOM"/>
    <x v="31"/>
    <x v="26"/>
    <n v="3"/>
    <x v="3"/>
    <s v="Chang Wanquan"/>
    <m/>
    <s v="Defense Minister; CMC Member"/>
    <n v="8"/>
    <x v="2"/>
    <s v="Chief of Staff"/>
    <x v="0"/>
    <m/>
    <x v="0"/>
    <m/>
    <m/>
    <m/>
    <m/>
    <m/>
    <s v="http://english.chinamil.com.cn/view/2017-03/17/content_7529919.htm"/>
    <m/>
  </r>
  <r>
    <x v="1"/>
    <x v="1"/>
    <s v="Asia"/>
    <s v="Comprehensive Strategic Partnership [全面战略伙伴关系]"/>
    <s v="None"/>
    <s v="INDOPACOM"/>
    <x v="10"/>
    <x v="26"/>
    <n v="3"/>
    <x v="4"/>
    <s v="Xu Qiliang"/>
    <m/>
    <s v="CMC Vice Chairman"/>
    <n v="10"/>
    <x v="1"/>
    <s v="Defense Minister"/>
    <x v="0"/>
    <m/>
    <x v="0"/>
    <m/>
    <m/>
    <m/>
    <m/>
    <m/>
    <s v="http://eng.mod.gov.cn/DefenseNews/2017-03/28/content_4776738.htm; http://eng.mod.gov.cn/DefenseNews/2017-03/29/content_4776836.htm"/>
    <m/>
  </r>
  <r>
    <x v="1"/>
    <x v="0"/>
    <s v="Asia"/>
    <s v="All-Round Strategic Partnership [全方位战略伙伴关系]"/>
    <s v="None"/>
    <s v="INDOPACOM"/>
    <x v="32"/>
    <x v="26"/>
    <n v="3"/>
    <x v="4"/>
    <s v="Chang Wanquan"/>
    <m/>
    <s v="Defense Minister; CMC Member"/>
    <n v="8"/>
    <x v="2"/>
    <s v="President "/>
    <x v="0"/>
    <m/>
    <x v="0"/>
    <m/>
    <m/>
    <m/>
    <m/>
    <m/>
    <m/>
    <s v="Recoded as South Asia"/>
  </r>
  <r>
    <x v="1"/>
    <x v="0"/>
    <s v="Asia"/>
    <s v="All-Weather Strategic Cooperative Partnership [全天候战略合作伙伴关系]"/>
    <s v="Major Non-NATO Ally"/>
    <s v="CENTCOM"/>
    <x v="2"/>
    <x v="26"/>
    <n v="3"/>
    <x v="3"/>
    <s v="Fan Changlong"/>
    <m/>
    <s v="CMC Vice Chairman"/>
    <n v="10"/>
    <x v="2"/>
    <s v="Chief General"/>
    <x v="0"/>
    <m/>
    <x v="0"/>
    <m/>
    <m/>
    <m/>
    <m/>
    <m/>
    <s v="http://www.xinhuanet.com/english/2017-03/16/c_136134589.htm"/>
    <m/>
  </r>
  <r>
    <x v="1"/>
    <x v="9"/>
    <s v="West Asia and Africa"/>
    <s v="Comprehensive Strategic Partnership [全面战略伙伴关系]"/>
    <s v="None"/>
    <s v="CENTCOM"/>
    <x v="142"/>
    <x v="26"/>
    <n v="3"/>
    <x v="4"/>
    <s v="Xu Qiliang"/>
    <m/>
    <s v="CMC Vice Chairman"/>
    <n v="10"/>
    <x v="1"/>
    <s v="Defense Minister"/>
    <x v="0"/>
    <m/>
    <x v="0"/>
    <m/>
    <m/>
    <m/>
    <m/>
    <m/>
    <s v="http://eng.mod.gov.cn/DefenseNews/2017-03/28/content_4776738.htm"/>
    <m/>
  </r>
  <r>
    <x v="2"/>
    <x v="8"/>
    <s v="Europe and Central Asia"/>
    <s v="Comprehensive Strategic Partnership [全面战略伙伴关系]"/>
    <s v="NATO"/>
    <s v="EUCOM"/>
    <x v="21"/>
    <x v="26"/>
    <n v="3"/>
    <x v="5"/>
    <m/>
    <m/>
    <m/>
    <m/>
    <x v="0"/>
    <m/>
    <x v="2"/>
    <s v="Joint Evacuation 2017"/>
    <x v="2"/>
    <m/>
    <m/>
    <m/>
    <m/>
    <m/>
    <m/>
    <m/>
  </r>
  <r>
    <x v="1"/>
    <x v="8"/>
    <s v="Europe and Central Asia"/>
    <s v="Friendly Cooperative Partnership [友好合作伙伴关系]"/>
    <s v="None"/>
    <s v="EUCOM"/>
    <x v="63"/>
    <x v="26"/>
    <n v="4"/>
    <x v="4"/>
    <s v="Guan Youfei"/>
    <m/>
    <s v="CMC/OIMC Director"/>
    <n v="5"/>
    <x v="1"/>
    <s v="Defense Minister "/>
    <x v="0"/>
    <m/>
    <x v="0"/>
    <m/>
    <m/>
    <m/>
    <m/>
    <m/>
    <s v="http://english.chinamil.com.cn/view/2017-04/12/content_7559734.htm"/>
    <s v="Head of CMC/OIMC is not senior enough, but is meeting with Armenian MINDEF.  KEEP?"/>
  </r>
  <r>
    <x v="1"/>
    <x v="5"/>
    <s v="America and Oceania"/>
    <s v="Comprehensive Strategic Partnership [全面战略伙伴关系]"/>
    <s v="ANZUS Treaty"/>
    <s v="INDOPACOM"/>
    <x v="12"/>
    <x v="26"/>
    <n v="4"/>
    <x v="3"/>
    <s v="Li Zuocheng"/>
    <m/>
    <s v="PLAA Commander"/>
    <n v="6"/>
    <x v="2"/>
    <s v="Army Lieutenant General "/>
    <x v="0"/>
    <m/>
    <x v="0"/>
    <m/>
    <m/>
    <m/>
    <m/>
    <m/>
    <s v="http://eng.mod.gov.cn/DefenseNews/2017-04/06/content_4777529.htm"/>
    <m/>
  </r>
  <r>
    <x v="2"/>
    <x v="5"/>
    <s v="America and Oceania"/>
    <s v="Comprehensive Strategic Partnership [全面战略伙伴关系]"/>
    <s v="ANZUS Treaty"/>
    <s v="INDOPACOM"/>
    <x v="12"/>
    <x v="26"/>
    <n v="4"/>
    <x v="5"/>
    <m/>
    <m/>
    <m/>
    <m/>
    <x v="0"/>
    <m/>
    <x v="2"/>
    <s v="Unnamed"/>
    <x v="2"/>
    <s v="Maritime "/>
    <m/>
    <m/>
    <m/>
    <m/>
    <m/>
    <m/>
  </r>
  <r>
    <x v="1"/>
    <x v="8"/>
    <s v="Europe and Central Asia"/>
    <s v="Comprehensive Strategic Partnership [全面战略伙伴关系]"/>
    <s v="None"/>
    <s v="EUCOM"/>
    <x v="34"/>
    <x v="26"/>
    <n v="4"/>
    <x v="3"/>
    <s v="Chang Wanquan"/>
    <m/>
    <s v="Defense Minister; CMC Member"/>
    <n v="8"/>
    <x v="2"/>
    <s v="Chairman of State Border Committee "/>
    <x v="0"/>
    <m/>
    <x v="0"/>
    <m/>
    <m/>
    <m/>
    <m/>
    <m/>
    <m/>
    <m/>
  </r>
  <r>
    <x v="1"/>
    <x v="8"/>
    <s v="Europe and Central Asia"/>
    <s v="Comprehensive Strategic Partnership [全面战略伙伴关系]"/>
    <s v="NATO"/>
    <s v="EUCOM"/>
    <x v="22"/>
    <x v="26"/>
    <n v="4"/>
    <x v="3"/>
    <s v="Chang Wanquan"/>
    <m/>
    <s v="Defense Minister; CMC Member"/>
    <n v="8"/>
    <x v="2"/>
    <s v="Vice Admiral "/>
    <x v="0"/>
    <m/>
    <x v="0"/>
    <m/>
    <m/>
    <m/>
    <m/>
    <m/>
    <m/>
    <m/>
  </r>
  <r>
    <x v="1"/>
    <x v="7"/>
    <s v="West Asia and Africa"/>
    <s v="Comprehensive Cooperative Partnership [全面合作伙伴关系]"/>
    <s v="None"/>
    <s v="AFRICOM"/>
    <x v="47"/>
    <x v="26"/>
    <n v="4"/>
    <x v="3"/>
    <s v="Xu Qiliang"/>
    <m/>
    <s v="CMC Vice Chairman"/>
    <n v="10"/>
    <x v="2"/>
    <s v="Secretary for Defense"/>
    <x v="0"/>
    <m/>
    <x v="0"/>
    <m/>
    <m/>
    <m/>
    <m/>
    <m/>
    <m/>
    <m/>
  </r>
  <r>
    <x v="1"/>
    <x v="1"/>
    <s v="Asia"/>
    <s v="Comprehensive Strategic Partnership [全面战略伙伴关系]"/>
    <s v="None"/>
    <s v="INDOPACOM"/>
    <x v="10"/>
    <x v="26"/>
    <n v="4"/>
    <x v="3"/>
    <s v="Xu Qiliang"/>
    <m/>
    <s v="CMC Vice Chairman"/>
    <n v="10"/>
    <x v="2"/>
    <s v="Defense Minister"/>
    <x v="0"/>
    <m/>
    <x v="0"/>
    <m/>
    <m/>
    <m/>
    <m/>
    <m/>
    <s v="http://english.chinamil.com.cn/view/2017-04/21/content_7571498.htm"/>
    <m/>
  </r>
  <r>
    <x v="2"/>
    <x v="0"/>
    <s v="Asia"/>
    <s v="All-Round Strategic Partnership [全方位战略伙伴关系]"/>
    <s v="None"/>
    <s v="INDOPACOM"/>
    <x v="32"/>
    <x v="26"/>
    <n v="4"/>
    <x v="5"/>
    <m/>
    <m/>
    <m/>
    <m/>
    <x v="0"/>
    <m/>
    <x v="1"/>
    <s v="Sagarmatha Friendship 2017"/>
    <x v="1"/>
    <s v="Competition "/>
    <m/>
    <m/>
    <m/>
    <m/>
    <s v="http://eng.mod.gov.cn/DefenseNews/2017-04/17/content_4778533.htm"/>
    <m/>
  </r>
  <r>
    <x v="2"/>
    <x v="0"/>
    <s v="Asia"/>
    <s v="All-Weather Strategic Cooperative Partnership [全天候战略合作伙伴关系]"/>
    <s v="Major Non-NATO Ally"/>
    <s v="CENTCOM"/>
    <x v="2"/>
    <x v="26"/>
    <n v="4"/>
    <x v="5"/>
    <m/>
    <m/>
    <m/>
    <m/>
    <x v="0"/>
    <m/>
    <x v="1"/>
    <s v="Pakistan Army Team  Spirit"/>
    <x v="1"/>
    <s v="Competition "/>
    <m/>
    <m/>
    <m/>
    <m/>
    <s v="http://eng.mod.gov.cn/DefenseNews/2017-04/05/content_4777417.htm"/>
    <m/>
  </r>
  <r>
    <x v="2"/>
    <x v="1"/>
    <s v="Asia"/>
    <s v="All-Round Cooperative Partnership [全方合作伙伴关系]"/>
    <s v="None"/>
    <s v="INDOPACOM"/>
    <x v="39"/>
    <x v="26"/>
    <n v="4"/>
    <x v="5"/>
    <m/>
    <m/>
    <m/>
    <m/>
    <x v="0"/>
    <m/>
    <x v="2"/>
    <s v="Unnamed"/>
    <x v="2"/>
    <s v="Maritime "/>
    <m/>
    <m/>
    <m/>
    <m/>
    <s v="http://english.chinamil.com.cn/view/2017-05/09/content_7594109.htm; https://navaltoday.com/2017/05/15/singapore-navy-hosts-its-first-international-maritime-review/"/>
    <m/>
  </r>
  <r>
    <x v="1"/>
    <x v="8"/>
    <s v="Europe and Central Asia"/>
    <s v="Strategic Partnership [战略伙伴关系]"/>
    <s v="None"/>
    <s v="EUCOM"/>
    <x v="78"/>
    <x v="26"/>
    <n v="4"/>
    <x v="3"/>
    <s v="Fan Changlong"/>
    <m/>
    <s v="CMC Vice Chairman"/>
    <n v="10"/>
    <x v="2"/>
    <s v="Head of Department of Defense "/>
    <x v="0"/>
    <m/>
    <x v="0"/>
    <m/>
    <m/>
    <m/>
    <m/>
    <m/>
    <m/>
    <m/>
  </r>
  <r>
    <x v="1"/>
    <x v="7"/>
    <s v="West Asia and Africa"/>
    <s v="Comprehensive Cooperative Partnership [全面合作伙伴关系]"/>
    <s v="None"/>
    <s v="AFRICOM"/>
    <x v="16"/>
    <x v="26"/>
    <n v="4"/>
    <x v="3"/>
    <s v="Ma Xiaotian"/>
    <m/>
    <s v="PLAAF Commander; CMC Member"/>
    <n v="8"/>
    <x v="2"/>
    <s v="Commander of Air Force "/>
    <x v="0"/>
    <m/>
    <x v="0"/>
    <m/>
    <m/>
    <m/>
    <m/>
    <m/>
    <s v="http://english.chinamil.com.cn/view/2017-04/25/content_7577039.htm"/>
    <m/>
  </r>
  <r>
    <x v="1"/>
    <x v="7"/>
    <s v="West Asia and Africa"/>
    <s v="Strategic Partnership [战略伙伴关系]"/>
    <s v="None"/>
    <s v="AFRICOM"/>
    <x v="105"/>
    <x v="26"/>
    <n v="5"/>
    <x v="3"/>
    <s v="Zhang Yang"/>
    <m/>
    <s v="GPD Director; CMC Member"/>
    <n v="8"/>
    <x v="2"/>
    <s v="Deputy Chief of General Staff"/>
    <x v="0"/>
    <m/>
    <x v="0"/>
    <m/>
    <m/>
    <m/>
    <m/>
    <m/>
    <s v="https://web.archive.org/web/20170522140635/http://english.chinamil.com.cn/view/2017-05/22/content_7612829.htm"/>
    <m/>
  </r>
  <r>
    <x v="0"/>
    <x v="0"/>
    <s v="Asia"/>
    <s v="Strategic Cooperative Partnership [战略合作伙伴关系]"/>
    <s v="None"/>
    <s v="INDOPACOM"/>
    <x v="0"/>
    <x v="26"/>
    <n v="5"/>
    <x v="0"/>
    <m/>
    <m/>
    <m/>
    <m/>
    <x v="0"/>
    <m/>
    <x v="0"/>
    <m/>
    <x v="0"/>
    <m/>
    <s v="NETF"/>
    <s v="2017-05 DDG150 Changchun"/>
    <s v="East Sea Fleet"/>
    <s v="DDG150 Changchun, FFG532 Jingzhou"/>
    <s v="http://english.chinamil.com.cn/view/2017-05/24/content_7616128.htm"/>
    <m/>
  </r>
  <r>
    <x v="2"/>
    <x v="0"/>
    <s v="Asia"/>
    <s v="Strategic Cooperative Partnership [战略合作伙伴关系]"/>
    <s v="None"/>
    <s v="INDOPACOM"/>
    <x v="0"/>
    <x v="26"/>
    <n v="5"/>
    <x v="5"/>
    <m/>
    <m/>
    <m/>
    <m/>
    <x v="0"/>
    <m/>
    <x v="2"/>
    <s v="Unnamed "/>
    <x v="2"/>
    <s v="Maritime "/>
    <m/>
    <m/>
    <m/>
    <m/>
    <s v="http://english.chinamil.com.cn/view/2017-05/27/content_7620906.htm"/>
    <m/>
  </r>
  <r>
    <x v="1"/>
    <x v="8"/>
    <s v="Europe and Central Asia"/>
    <s v="Comprehensive Strategic Partnership [全面战略伙伴关系]"/>
    <s v="None"/>
    <s v="EUCOM"/>
    <x v="34"/>
    <x v="26"/>
    <n v="5"/>
    <x v="3"/>
    <s v="Zhang Youxia"/>
    <m/>
    <s v="CMC/EDD Director; CMC Member"/>
    <n v="8"/>
    <x v="1"/>
    <s v="Defense Minister"/>
    <x v="0"/>
    <m/>
    <x v="0"/>
    <m/>
    <m/>
    <m/>
    <m/>
    <m/>
    <s v="http://english.chinamil.com.cn/view/2017-05/18/content_7607981.htm"/>
    <m/>
  </r>
  <r>
    <x v="1"/>
    <x v="8"/>
    <s v="Europe and Central Asia"/>
    <s v="No Specific Relationship"/>
    <s v="None"/>
    <s v="EUCOM"/>
    <x v="124"/>
    <x v="26"/>
    <n v="5"/>
    <x v="3"/>
    <s v="Chang Wanquan"/>
    <m/>
    <s v="Defense Minister; CMC Member"/>
    <n v="8"/>
    <x v="2"/>
    <s v="Defense Minister"/>
    <x v="0"/>
    <m/>
    <x v="0"/>
    <m/>
    <m/>
    <m/>
    <m/>
    <m/>
    <s v="http://english.chinamil.com.cn/view/2017-05/17/content_7606327.htm"/>
    <m/>
  </r>
  <r>
    <x v="2"/>
    <x v="8"/>
    <s v="Europe and Central Asia"/>
    <s v="Comprehensive Strategic Partnership [全面战略伙伴关系]"/>
    <s v="NATO"/>
    <s v="EUCOM"/>
    <x v="22"/>
    <x v="26"/>
    <n v="5"/>
    <x v="5"/>
    <m/>
    <m/>
    <m/>
    <m/>
    <x v="0"/>
    <m/>
    <x v="2"/>
    <s v="Unnamed"/>
    <x v="2"/>
    <s v="VBSS "/>
    <m/>
    <m/>
    <m/>
    <m/>
    <s v="http://english.chinamil.com.cn/view/2017-05/08/content_7592399.htm"/>
    <m/>
  </r>
  <r>
    <x v="1"/>
    <x v="8"/>
    <s v="Europe and Central Asia"/>
    <s v="Comprehensive Strategic Partnership [全面战略伙伴关系]"/>
    <s v="NATO"/>
    <s v="EUCOM"/>
    <x v="82"/>
    <x v="26"/>
    <n v="5"/>
    <x v="4"/>
    <s v="Zhang Youxia"/>
    <m/>
    <s v="CMC/EDD Director; CMC Member"/>
    <n v="8"/>
    <x v="1"/>
    <s v="Defense Minister"/>
    <x v="0"/>
    <m/>
    <x v="0"/>
    <m/>
    <m/>
    <m/>
    <m/>
    <m/>
    <s v="http://english.chinamil.com.cn/view/2017-05/18/content_7607981.htm"/>
    <m/>
  </r>
  <r>
    <x v="0"/>
    <x v="7"/>
    <s v="West Asia and Africa"/>
    <s v="Comprehensive Partnership [全面伙伴关系]"/>
    <s v="None"/>
    <s v="AFRICOM"/>
    <x v="141"/>
    <x v="26"/>
    <n v="5"/>
    <x v="0"/>
    <m/>
    <m/>
    <m/>
    <m/>
    <x v="0"/>
    <m/>
    <x v="0"/>
    <m/>
    <x v="0"/>
    <m/>
    <s v="ETF"/>
    <s v="ETF-25"/>
    <s v="South Sea Fleet"/>
    <s v="FFG568 Hengyang, FFG569 Yulin, AOR 963 Honghu "/>
    <s v="http://english.chinamil.com.cn/view/2017-05/14/content_7600876.htm"/>
    <m/>
  </r>
  <r>
    <x v="0"/>
    <x v="1"/>
    <s v="Asia"/>
    <s v="Comprehensive Strategic Partnership [全面战略伙伴关系]"/>
    <s v="None"/>
    <s v="INDOPACOM"/>
    <x v="10"/>
    <x v="26"/>
    <n v="5"/>
    <x v="0"/>
    <m/>
    <m/>
    <m/>
    <m/>
    <x v="0"/>
    <m/>
    <x v="0"/>
    <m/>
    <x v="0"/>
    <m/>
    <s v="NETF"/>
    <s v="2017-05 DDG150 Changchun"/>
    <s v="East Sea Fleet"/>
    <s v="DDG150 Changchun, FFG532 Jingzhou"/>
    <s v="http://english.chinamil.com.cn/view/2017-05/16/content_7604554.htm"/>
    <m/>
  </r>
  <r>
    <x v="2"/>
    <x v="1"/>
    <s v="Asia"/>
    <s v="Comprehensive Strategic Cooperative Partnership [全面战略合作伙伴关系]"/>
    <s v="None"/>
    <s v="INDOPACOM"/>
    <x v="1"/>
    <x v="26"/>
    <n v="5"/>
    <x v="5"/>
    <m/>
    <m/>
    <m/>
    <m/>
    <x v="0"/>
    <m/>
    <x v="2"/>
    <s v="Unnamed"/>
    <x v="2"/>
    <s v="Maritime"/>
    <m/>
    <m/>
    <m/>
    <m/>
    <s v="http://english.chinamil.com.cn/view/2017-05/22/content_7612831.htm"/>
    <s v="DUPLICATE?"/>
  </r>
  <r>
    <x v="2"/>
    <x v="1"/>
    <s v="Asia"/>
    <s v="Comprehensive Strategic Cooperative Partnership [全面战略合作伙伴关系]"/>
    <s v="None"/>
    <s v="INDOPACOM"/>
    <x v="1"/>
    <x v="26"/>
    <n v="5"/>
    <x v="5"/>
    <m/>
    <m/>
    <m/>
    <m/>
    <x v="0"/>
    <m/>
    <x v="2"/>
    <s v="Unnamed "/>
    <x v="2"/>
    <s v="Maritime "/>
    <m/>
    <m/>
    <m/>
    <m/>
    <m/>
    <s v="DUPLICATE?"/>
  </r>
  <r>
    <x v="0"/>
    <x v="1"/>
    <s v="Asia"/>
    <s v="Comprehensive Strategic Cooperative Partnership [全面战略合作伙伴关系]"/>
    <s v="None"/>
    <s v="INDOPACOM"/>
    <x v="1"/>
    <x v="26"/>
    <n v="5"/>
    <x v="0"/>
    <m/>
    <m/>
    <m/>
    <m/>
    <x v="0"/>
    <m/>
    <x v="0"/>
    <m/>
    <x v="0"/>
    <m/>
    <s v="NETF"/>
    <s v="2017-05 DDG150 Changchun"/>
    <s v="East Sea Fleet"/>
    <s v="DDG150 Changchun, FFG532 Jingzhou"/>
    <m/>
    <m/>
  </r>
  <r>
    <x v="1"/>
    <x v="0"/>
    <s v="Asia"/>
    <s v="All-Weather Strategic Cooperative Partnership [全天候战略合作伙伴关系]"/>
    <s v="Major Non-NATO Ally"/>
    <s v="CENTCOM"/>
    <x v="2"/>
    <x v="26"/>
    <n v="5"/>
    <x v="3"/>
    <s v="Shen Jinlong"/>
    <m/>
    <s v="PLAN Commander "/>
    <n v="6"/>
    <x v="2"/>
    <s v="Chief of the Naval Staff"/>
    <x v="0"/>
    <m/>
    <x v="0"/>
    <m/>
    <m/>
    <m/>
    <m/>
    <m/>
    <m/>
    <m/>
  </r>
  <r>
    <x v="0"/>
    <x v="1"/>
    <s v="Asia"/>
    <s v="Strategic Cooperative Partnership [战略合作伙伴关系]"/>
    <s v="Bilateral Defense Treaty"/>
    <s v="INDOPACOM"/>
    <x v="11"/>
    <x v="26"/>
    <n v="5"/>
    <x v="0"/>
    <m/>
    <m/>
    <m/>
    <m/>
    <x v="0"/>
    <m/>
    <x v="0"/>
    <m/>
    <x v="0"/>
    <m/>
    <s v="NETF"/>
    <s v="2017-05 DDG150 Changchun"/>
    <s v="East Sea Fleet"/>
    <s v="DDG150 Changchun, FFG532 Jingzhou"/>
    <s v="http://www.xinhuanet.com/english/2017-05/02/c_136251579.htm"/>
    <s v="First stop on 20 country, six month series of port calls"/>
  </r>
  <r>
    <x v="1"/>
    <x v="1"/>
    <s v="Asia"/>
    <s v="Comprehensive Strategic Cooperative Partnership [全面战略合作伙伴关系]"/>
    <s v="Bilateral Defense Treaty"/>
    <s v="INDOPACOM"/>
    <x v="5"/>
    <x v="26"/>
    <n v="5"/>
    <x v="3"/>
    <s v="Fang Fenghui"/>
    <m/>
    <s v="CMC/JSD Commander; CMC Member"/>
    <n v="8"/>
    <x v="2"/>
    <s v="Prime Minister "/>
    <x v="0"/>
    <m/>
    <x v="0"/>
    <m/>
    <m/>
    <m/>
    <m/>
    <m/>
    <m/>
    <m/>
  </r>
  <r>
    <x v="1"/>
    <x v="8"/>
    <s v="Europe and Central Asia"/>
    <s v="Strategic Cooperative Partnership [战略合作伙伴关系]"/>
    <s v="NATO"/>
    <s v="EUCOM"/>
    <x v="38"/>
    <x v="26"/>
    <n v="5"/>
    <x v="3"/>
    <s v="Fang Fenghui"/>
    <m/>
    <s v="CMC/JSD Commander; CMC Member"/>
    <n v="8"/>
    <x v="2"/>
    <s v="Chief of General Staff"/>
    <x v="0"/>
    <m/>
    <x v="0"/>
    <m/>
    <m/>
    <m/>
    <m/>
    <m/>
    <m/>
    <m/>
  </r>
  <r>
    <x v="1"/>
    <x v="9"/>
    <s v="West Asia and Africa"/>
    <s v="Strategic Partnership [战略伙伴关系]"/>
    <s v="None"/>
    <s v="CENTCOM"/>
    <x v="106"/>
    <x v="26"/>
    <n v="5"/>
    <x v="3"/>
    <s v="Fan Changlong"/>
    <m/>
    <s v="CMC Vice Chairman"/>
    <n v="10"/>
    <x v="2"/>
    <s v="Visiting Minister of State"/>
    <x v="0"/>
    <m/>
    <x v="0"/>
    <m/>
    <m/>
    <m/>
    <m/>
    <m/>
    <m/>
    <m/>
  </r>
  <r>
    <x v="1"/>
    <x v="1"/>
    <s v="Asia"/>
    <s v="Comprehensive Strategic Cooperative Partnership [全面战略合作伙伴关系]"/>
    <s v="None"/>
    <s v="INDOPACOM"/>
    <x v="23"/>
    <x v="26"/>
    <n v="5"/>
    <x v="3"/>
    <s v="Fan Changlong"/>
    <m/>
    <s v="CMC Vice Chairman"/>
    <n v="10"/>
    <x v="2"/>
    <s v="Defense Minister "/>
    <x v="0"/>
    <m/>
    <x v="0"/>
    <m/>
    <m/>
    <m/>
    <m/>
    <m/>
    <s v="http://english.chinamil.com.cn/view/2017-05/12/content_7599711.htm"/>
    <m/>
  </r>
  <r>
    <x v="0"/>
    <x v="1"/>
    <s v="Asia"/>
    <s v="Comprehensive Strategic Cooperative Partnership [全面战略合作伙伴关系]"/>
    <s v="None"/>
    <s v="INDOPACOM"/>
    <x v="23"/>
    <x v="26"/>
    <n v="5"/>
    <x v="0"/>
    <m/>
    <m/>
    <m/>
    <m/>
    <x v="0"/>
    <m/>
    <x v="0"/>
    <m/>
    <x v="0"/>
    <m/>
    <s v="NETF"/>
    <s v="2017-05 DDG150 Changchun"/>
    <s v="East Sea Fleet"/>
    <s v="DDG150 Changchun, FFG532 Jingzhou"/>
    <s v="http://english.chinamil.com.cn/view/2017-05/10/content_7596291.htm; http://english.chinamil.com.cn/view/2017-05/18/content_7607843.htm"/>
    <s v="Second stop on 20 country series of port calls"/>
  </r>
  <r>
    <x v="2"/>
    <x v="4"/>
    <s v="N/A"/>
    <s v="Member"/>
    <s v="None"/>
    <s v="INDOPACOM"/>
    <x v="136"/>
    <x v="26"/>
    <n v="5"/>
    <x v="6"/>
    <m/>
    <m/>
    <m/>
    <m/>
    <x v="0"/>
    <m/>
    <x v="2"/>
    <s v="WPNS 2017"/>
    <x v="2"/>
    <s v="Second Multilateral held off of Guam; Countries: Australia, Canada, Chile, Indonesia, Japan, Republic of Korea, Singapore, United Kingdom, and the United States."/>
    <m/>
    <m/>
    <m/>
    <m/>
    <s v="https://www.navy.mil/submit/display.asp?story_id=100979#:~:text=Western%20Pacific%20Naval%20Symposium%20Diving%20Exercise%202017%20is%20a%20biennial,held%20in%20Singapore%20in%202015."/>
    <m/>
  </r>
  <r>
    <x v="0"/>
    <x v="5"/>
    <s v="America and Oceania"/>
    <s v="Comprehensive Strategic Partnership [全面战略伙伴关系]"/>
    <s v="ANZUS Treaty"/>
    <s v="INDOPACOM"/>
    <x v="12"/>
    <x v="26"/>
    <n v="6"/>
    <x v="0"/>
    <m/>
    <m/>
    <m/>
    <m/>
    <x v="0"/>
    <m/>
    <x v="0"/>
    <m/>
    <x v="0"/>
    <m/>
    <s v="ETF"/>
    <s v="ETF-25 "/>
    <s v="South Sea Fleet"/>
    <s v="FFG568 Hengyang, FFG569 Yulin, AOR 963 Honghu  "/>
    <s v="http://english.chinamil.com.cn/view/2017-06/09/content_7633894.htm"/>
    <m/>
  </r>
  <r>
    <x v="2"/>
    <x v="2"/>
    <s v="America and Oceania"/>
    <s v="Strategic Partnership [战略伙伴关系]"/>
    <s v="NATO"/>
    <s v="NORTHCOM"/>
    <x v="17"/>
    <x v="26"/>
    <n v="6"/>
    <x v="5"/>
    <m/>
    <m/>
    <m/>
    <m/>
    <x v="0"/>
    <m/>
    <x v="2"/>
    <s v="Unnamed"/>
    <x v="2"/>
    <s v="Maritime "/>
    <m/>
    <m/>
    <m/>
    <m/>
    <m/>
    <m/>
  </r>
  <r>
    <x v="0"/>
    <x v="9"/>
    <s v="West Asia and Africa"/>
    <s v="Strategic Partnership [战略伙伴关系]"/>
    <s v="None"/>
    <s v="CENTCOM"/>
    <x v="119"/>
    <x v="26"/>
    <n v="6"/>
    <x v="0"/>
    <m/>
    <m/>
    <m/>
    <m/>
    <x v="0"/>
    <m/>
    <x v="0"/>
    <m/>
    <x v="0"/>
    <m/>
    <s v="NETF"/>
    <s v="2017-05 DDG150 Changchun"/>
    <s v="East Sea Fleet"/>
    <s v="DDG150 Changchun, FFG532 Jingzhou"/>
    <s v="http://english.chinamil.com.cn/view/2017-06/30/content_7658357.htm"/>
    <m/>
  </r>
  <r>
    <x v="1"/>
    <x v="8"/>
    <s v="Europe and Central Asia"/>
    <s v="New Type of Cooperative Partnership [新型合作伙伴关系]"/>
    <s v="None"/>
    <s v="EUCOM"/>
    <x v="81"/>
    <x v="26"/>
    <n v="6"/>
    <x v="4"/>
    <s v="Fan Changlong"/>
    <m/>
    <s v="CMC Vice Chairman"/>
    <n v="10"/>
    <x v="1"/>
    <s v="Defense Minister"/>
    <x v="0"/>
    <m/>
    <x v="0"/>
    <m/>
    <m/>
    <m/>
    <m/>
    <m/>
    <m/>
    <m/>
  </r>
  <r>
    <x v="1"/>
    <x v="1"/>
    <s v="Asia"/>
    <s v="No Specific Relationship"/>
    <s v="None"/>
    <s v="INDOPACOM"/>
    <x v="137"/>
    <x v="26"/>
    <n v="6"/>
    <x v="1"/>
    <s v="He Lei "/>
    <m/>
    <s v="AMS Vice President"/>
    <n v="6"/>
    <x v="1"/>
    <s v="16th Shangri-La"/>
    <x v="0"/>
    <m/>
    <x v="0"/>
    <m/>
    <m/>
    <m/>
    <m/>
    <m/>
    <m/>
    <m/>
  </r>
  <r>
    <x v="0"/>
    <x v="9"/>
    <s v="West Asia and Africa"/>
    <s v="Comprehensive Strategic Partnership [全面战略伙伴关系]"/>
    <s v="None"/>
    <s v="CENTCOM"/>
    <x v="89"/>
    <x v="26"/>
    <n v="6"/>
    <x v="0"/>
    <m/>
    <m/>
    <m/>
    <m/>
    <x v="0"/>
    <m/>
    <x v="0"/>
    <m/>
    <x v="0"/>
    <m/>
    <s v="NETF"/>
    <s v="2017-05 DDG150 Changchun"/>
    <s v="East Sea Fleet"/>
    <s v="DDG150 Changchun, FFG532 Jingzhou"/>
    <s v="http://english.chinamil.com.cn/view/2017-06/16/content_7642344.htm"/>
    <m/>
  </r>
  <r>
    <x v="2"/>
    <x v="9"/>
    <s v="West Asia and Africa"/>
    <s v="Comprehensive Strategic Partnership [全面战略伙伴关系]"/>
    <s v="None"/>
    <s v="CENTCOM"/>
    <x v="89"/>
    <x v="26"/>
    <n v="6"/>
    <x v="5"/>
    <m/>
    <m/>
    <m/>
    <m/>
    <x v="0"/>
    <m/>
    <x v="2"/>
    <s v="Unnamed"/>
    <x v="2"/>
    <s v="Maritime "/>
    <m/>
    <m/>
    <m/>
    <m/>
    <m/>
    <m/>
  </r>
  <r>
    <x v="1"/>
    <x v="6"/>
    <s v="Europe and Central Asia"/>
    <s v="Strategic Partnership [战略伙伴关系]"/>
    <s v="None"/>
    <s v="CENTCOM"/>
    <x v="31"/>
    <x v="26"/>
    <n v="6"/>
    <x v="3"/>
    <s v="Chang Wanquan"/>
    <m/>
    <s v="Defense Minister; CMC Member"/>
    <n v="8"/>
    <x v="2"/>
    <s v="Deputy Chief of General Staff"/>
    <x v="0"/>
    <m/>
    <x v="0"/>
    <m/>
    <m/>
    <m/>
    <m/>
    <m/>
    <s v="http://english.chinamil.com.cn/view/2017-06/30/content_7658542.htm"/>
    <m/>
  </r>
  <r>
    <x v="1"/>
    <x v="5"/>
    <s v="America and Oceania"/>
    <s v="Comprehensive Strategic Partnership [全面战略伙伴关系]"/>
    <s v="ANZUS Treaty"/>
    <s v="INDOPACOM"/>
    <x v="13"/>
    <x v="26"/>
    <n v="6"/>
    <x v="3"/>
    <s v="Shen Jinlong"/>
    <m/>
    <s v="PLAN Commander "/>
    <n v="6"/>
    <x v="2"/>
    <s v="Chief of the Navy "/>
    <x v="0"/>
    <m/>
    <x v="0"/>
    <m/>
    <m/>
    <m/>
    <m/>
    <m/>
    <m/>
    <m/>
  </r>
  <r>
    <x v="2"/>
    <x v="5"/>
    <s v="America and Oceania"/>
    <s v="Comprehensive Strategic Partnership [全面战略伙伴关系]"/>
    <s v="ANZUS Treaty"/>
    <s v="INDOPACOM"/>
    <x v="13"/>
    <x v="26"/>
    <n v="6"/>
    <x v="5"/>
    <m/>
    <m/>
    <m/>
    <m/>
    <x v="0"/>
    <m/>
    <x v="2"/>
    <s v="Unnamed"/>
    <x v="2"/>
    <s v="Maritime "/>
    <m/>
    <m/>
    <m/>
    <m/>
    <m/>
    <m/>
  </r>
  <r>
    <x v="0"/>
    <x v="5"/>
    <s v="America and Oceania"/>
    <s v="Comprehensive Strategic Partnership [全面战略伙伴关系]"/>
    <s v="ANZUS Treaty"/>
    <s v="INDOPACOM"/>
    <x v="13"/>
    <x v="26"/>
    <n v="6"/>
    <x v="0"/>
    <m/>
    <m/>
    <m/>
    <m/>
    <x v="0"/>
    <m/>
    <x v="0"/>
    <m/>
    <x v="0"/>
    <m/>
    <s v="ETF"/>
    <s v="ETF-25"/>
    <s v="South Sea Fleet"/>
    <s v="FFG568 Hengyang, FFG569 Yulin, AOR 963 Honghu  "/>
    <s v="http://english.chinamil.com.cn/view/2017-06/16/content_7642495.htm"/>
    <m/>
  </r>
  <r>
    <x v="2"/>
    <x v="9"/>
    <s v="West Asia and Africa"/>
    <s v="No Specific Relationship"/>
    <s v="None"/>
    <s v="CENTCOM"/>
    <x v="147"/>
    <x v="26"/>
    <n v="6"/>
    <x v="5"/>
    <m/>
    <m/>
    <m/>
    <m/>
    <x v="0"/>
    <m/>
    <x v="2"/>
    <s v="Unnamed"/>
    <x v="2"/>
    <s v="Maritime "/>
    <m/>
    <m/>
    <m/>
    <m/>
    <m/>
    <m/>
  </r>
  <r>
    <x v="0"/>
    <x v="9"/>
    <s v="West Asia and Africa"/>
    <s v="No Specific Relationship"/>
    <s v="None"/>
    <s v="CENTCOM"/>
    <x v="147"/>
    <x v="26"/>
    <n v="6"/>
    <x v="0"/>
    <m/>
    <m/>
    <m/>
    <m/>
    <x v="0"/>
    <m/>
    <x v="0"/>
    <m/>
    <x v="0"/>
    <m/>
    <s v="NETF"/>
    <s v="2017-05 DDG150 Changchun"/>
    <s v="East Sea Fleet"/>
    <s v="DDG150 Changchun, FFG532 Jingzhou"/>
    <s v="http://english.chinamil.com.cn/view/2017-06/20/content_7646396.htm"/>
    <m/>
  </r>
  <r>
    <x v="1"/>
    <x v="0"/>
    <s v="Asia"/>
    <s v="All-Weather Strategic Cooperative Partnership [全天候战略合作伙伴关系]"/>
    <s v="Major Non-NATO Ally"/>
    <s v="CENTCOM"/>
    <x v="2"/>
    <x v="26"/>
    <n v="6"/>
    <x v="3"/>
    <s v="Xu Qiliang"/>
    <m/>
    <s v="CMC Vice Chairman"/>
    <n v="10"/>
    <x v="2"/>
    <s v="Chairman of Joint Chiefs of Staff Committee"/>
    <x v="0"/>
    <m/>
    <x v="0"/>
    <m/>
    <m/>
    <m/>
    <m/>
    <m/>
    <s v="http://english.chinamil.com.cn/view/2017-06/19/content_7644422.htm"/>
    <m/>
  </r>
  <r>
    <x v="2"/>
    <x v="0"/>
    <s v="Asia"/>
    <s v="All-Weather Strategic Cooperative Partnership [全天候战略合作伙伴关系]"/>
    <s v="Major Non-NATO Ally"/>
    <s v="CENTCOM"/>
    <x v="2"/>
    <x v="26"/>
    <n v="6"/>
    <x v="5"/>
    <m/>
    <m/>
    <m/>
    <m/>
    <x v="0"/>
    <m/>
    <x v="2"/>
    <s v="Unnamed "/>
    <x v="2"/>
    <s v="Maritime"/>
    <m/>
    <m/>
    <m/>
    <m/>
    <s v="http://english.chinamil.com.cn/view/2017-06/13/content_7637523.htm"/>
    <m/>
  </r>
  <r>
    <x v="0"/>
    <x v="0"/>
    <s v="Asia"/>
    <s v="All-Weather Strategic Cooperative Partnership [全天候战略合作伙伴关系]"/>
    <s v="Major Non-NATO Ally"/>
    <s v="CENTCOM"/>
    <x v="2"/>
    <x v="26"/>
    <n v="6"/>
    <x v="10"/>
    <m/>
    <m/>
    <m/>
    <m/>
    <x v="0"/>
    <m/>
    <x v="0"/>
    <m/>
    <x v="0"/>
    <m/>
    <s v="NETF"/>
    <s v="2017-05 DDG150 Changchun"/>
    <s v="East Sea Fleet"/>
    <s v="DDG150 Changchun, FFG532 Jingzhou"/>
    <s v="http://english.chinamil.com.cn/view/2017-06/14/content_7639359.htm"/>
    <m/>
  </r>
  <r>
    <x v="1"/>
    <x v="1"/>
    <s v="Asia"/>
    <s v="Strategic Cooperative Partnership [战略合作伙伴关系]"/>
    <s v="Bilateral Defense Treaty"/>
    <s v="INDOPACOM"/>
    <x v="11"/>
    <x v="26"/>
    <n v="6"/>
    <x v="3"/>
    <s v="Chang Wanquan"/>
    <m/>
    <s v="Defense Minister; CMC Member"/>
    <n v="8"/>
    <x v="2"/>
    <s v="Secretary of Foreign Affairs "/>
    <x v="0"/>
    <m/>
    <x v="0"/>
    <m/>
    <m/>
    <m/>
    <m/>
    <m/>
    <s v="http://english.chinamil.com.cn/view/2017-06/30/content_7658903.htm"/>
    <m/>
  </r>
  <r>
    <x v="1"/>
    <x v="3"/>
    <s v="Europe and Central Asia"/>
    <s v="Comprehensive Collaborative Strategic Partnership [全面战略协作伙伴关系]"/>
    <s v="None"/>
    <s v="EUCOM"/>
    <x v="7"/>
    <x v="26"/>
    <n v="6"/>
    <x v="4"/>
    <s v="He Lei "/>
    <m/>
    <s v="AMS Vice President"/>
    <n v="6"/>
    <x v="1"/>
    <s v="Deputy Minister"/>
    <x v="0"/>
    <m/>
    <x v="0"/>
    <m/>
    <m/>
    <m/>
    <m/>
    <m/>
    <s v="http://english.chinamil.com.cn/view/2017-06/03/content_7627210.htm"/>
    <m/>
  </r>
  <r>
    <x v="1"/>
    <x v="6"/>
    <s v="Europe and Central Asia"/>
    <s v="Member"/>
    <s v="None"/>
    <s v="CENTCOM"/>
    <x v="14"/>
    <x v="26"/>
    <n v="6"/>
    <x v="1"/>
    <s v="Chang Wanquan"/>
    <m/>
    <s v="Defense Minister; CMC Member"/>
    <n v="8"/>
    <x v="1"/>
    <s v="14th official meeting of the SCO Ministers' of Defense in Kyrgyzstan; Other countries: Kazakhstan, Kyrgyztan, Russia, Tajikistan, Uzbekistan"/>
    <x v="0"/>
    <m/>
    <x v="0"/>
    <m/>
    <m/>
    <m/>
    <m/>
    <m/>
    <s v="http://eng.sectsco.org/news/20170607/287235.html"/>
    <m/>
  </r>
  <r>
    <x v="1"/>
    <x v="8"/>
    <s v="Europe and Central Asia"/>
    <s v="Comprehensive Strategic Partnership [全面战略伙伴关系]"/>
    <s v="NATO"/>
    <s v="EUCOM"/>
    <x v="70"/>
    <x v="26"/>
    <n v="6"/>
    <x v="4"/>
    <s v="Fan Changlong"/>
    <m/>
    <s v="CMC Vice Chairman"/>
    <n v="10"/>
    <x v="1"/>
    <s v="Defense Minister"/>
    <x v="0"/>
    <m/>
    <x v="0"/>
    <m/>
    <m/>
    <m/>
    <m/>
    <m/>
    <m/>
    <m/>
  </r>
  <r>
    <x v="2"/>
    <x v="0"/>
    <s v="Asia"/>
    <s v="Strategic Cooperative Partnership [战略合作伙伴关系]"/>
    <s v="None"/>
    <s v="INDOPACOM"/>
    <x v="3"/>
    <x v="26"/>
    <n v="6"/>
    <x v="5"/>
    <m/>
    <m/>
    <m/>
    <m/>
    <x v="0"/>
    <m/>
    <x v="2"/>
    <s v="Unnamed"/>
    <x v="2"/>
    <s v="Maritime "/>
    <m/>
    <m/>
    <m/>
    <m/>
    <m/>
    <m/>
  </r>
  <r>
    <x v="0"/>
    <x v="0"/>
    <s v="Asia"/>
    <s v="Strategic Cooperative Partnership [战略合作伙伴关系]"/>
    <s v="None"/>
    <s v="INDOPACOM"/>
    <x v="3"/>
    <x v="26"/>
    <n v="6"/>
    <x v="10"/>
    <m/>
    <m/>
    <m/>
    <m/>
    <x v="0"/>
    <m/>
    <x v="0"/>
    <m/>
    <x v="0"/>
    <m/>
    <s v="NETF"/>
    <s v="2017-05 DDG150 Changchun"/>
    <s v="East Sea Fleet"/>
    <s v="DDG150 Changchun, FFG532 Jingzhou"/>
    <s v="http://english.chinamil.com.cn/view/2017-06/05/content_7628604.htm"/>
    <m/>
  </r>
  <r>
    <x v="1"/>
    <x v="8"/>
    <s v="Europe and Central Asia"/>
    <s v="Comprehensive Strategic Partnership [全面战略伙伴关系]"/>
    <s v="NATO"/>
    <s v="EUCOM"/>
    <x v="21"/>
    <x v="26"/>
    <n v="6"/>
    <x v="3"/>
    <s v="Zhao Keshi"/>
    <m/>
    <s v="CMC/LSD Director; CMC Member"/>
    <n v="8"/>
    <x v="2"/>
    <s v="Major General"/>
    <x v="0"/>
    <m/>
    <x v="0"/>
    <m/>
    <m/>
    <m/>
    <m/>
    <m/>
    <m/>
    <m/>
  </r>
  <r>
    <x v="1"/>
    <x v="2"/>
    <s v="America and Oceania"/>
    <s v="No Specific Relationship"/>
    <s v="N/A"/>
    <s v="NORTHCOM"/>
    <x v="4"/>
    <x v="26"/>
    <n v="6"/>
    <x v="4"/>
    <s v="Fang Fenghui"/>
    <m/>
    <s v="CMC/JSD Commander; CMC Member"/>
    <n v="8"/>
    <x v="1"/>
    <s v="Secretary of State"/>
    <x v="0"/>
    <m/>
    <x v="0"/>
    <m/>
    <m/>
    <m/>
    <m/>
    <m/>
    <s v="http://www.xinhuanet.com/english/2017-06/21/c_136384259.htm"/>
    <m/>
  </r>
  <r>
    <x v="2"/>
    <x v="2"/>
    <s v="America and Oceania"/>
    <s v="No Specific Relationship"/>
    <s v="N/A"/>
    <s v="NORTHCOM"/>
    <x v="4"/>
    <x v="26"/>
    <n v="6"/>
    <x v="5"/>
    <m/>
    <m/>
    <m/>
    <m/>
    <x v="0"/>
    <m/>
    <x v="2"/>
    <s v="Unnamed"/>
    <x v="2"/>
    <s v="Maritime "/>
    <m/>
    <m/>
    <m/>
    <m/>
    <m/>
    <m/>
  </r>
  <r>
    <x v="0"/>
    <x v="5"/>
    <s v="America and Oceania"/>
    <s v="Strategic Partnership [战略伙伴关系]"/>
    <s v="None"/>
    <s v="INDOPACOM"/>
    <x v="120"/>
    <x v="26"/>
    <n v="6"/>
    <x v="0"/>
    <m/>
    <m/>
    <m/>
    <m/>
    <x v="0"/>
    <m/>
    <x v="0"/>
    <m/>
    <x v="0"/>
    <m/>
    <s v="ETF"/>
    <s v="ETF-25 "/>
    <s v="South Sea Fleet"/>
    <s v="FFG568 Hengyang, FFG569 Yulin, AOR 963 Honghu  "/>
    <s v="http://english.chinamil.com.cn/view/2017-06/26/content_7652811.htm"/>
    <m/>
  </r>
  <r>
    <x v="1"/>
    <x v="1"/>
    <s v="Asia"/>
    <s v="Comprehensive Strategic Cooperative Partnership [全面战略合作伙伴关系]"/>
    <s v="None"/>
    <s v="INDOPACOM"/>
    <x v="23"/>
    <x v="26"/>
    <n v="6"/>
    <x v="4"/>
    <s v="Fan Changlong"/>
    <m/>
    <s v="CMC Vice Chairman"/>
    <n v="10"/>
    <x v="1"/>
    <s v="President"/>
    <x v="0"/>
    <m/>
    <x v="0"/>
    <m/>
    <m/>
    <m/>
    <m/>
    <m/>
    <m/>
    <m/>
  </r>
  <r>
    <x v="1"/>
    <x v="7"/>
    <s v="West Asia and Africa"/>
    <s v="Strategic Partnership [战略伙伴关系]"/>
    <s v="None"/>
    <s v="AFRICOM"/>
    <x v="105"/>
    <x v="26"/>
    <n v="7"/>
    <x v="4"/>
    <s v="Chang Wanquan"/>
    <m/>
    <s v="Defense Minister; CMC Member"/>
    <n v="8"/>
    <x v="1"/>
    <s v="Vice President"/>
    <x v="0"/>
    <m/>
    <x v="0"/>
    <m/>
    <m/>
    <m/>
    <m/>
    <m/>
    <s v="http://english.chinamil.com.cn/view/2017-07/14/content_7675380.htm"/>
    <m/>
  </r>
  <r>
    <x v="2"/>
    <x v="8"/>
    <s v="Europe and Central Asia"/>
    <s v="Comprehensive Strategic Partnership [全面战略伙伴关系]"/>
    <s v="None"/>
    <s v="EUCOM"/>
    <x v="34"/>
    <x v="26"/>
    <n v="7"/>
    <x v="5"/>
    <m/>
    <m/>
    <m/>
    <m/>
    <x v="0"/>
    <m/>
    <x v="1"/>
    <s v="United-Shield 2017"/>
    <x v="4"/>
    <s v="Anti-terrorism drills"/>
    <m/>
    <m/>
    <m/>
    <m/>
    <s v="http://english.chinamil.com.cn/view/2017-07/12/content_7673496.htm"/>
    <m/>
  </r>
  <r>
    <x v="1"/>
    <x v="10"/>
    <s v="America and Oceania"/>
    <s v="Comprehensive Strategic Cooperative Partnership [全面战略合作伙伴关系]"/>
    <s v="None"/>
    <s v="SOUTHCOM"/>
    <x v="66"/>
    <x v="26"/>
    <n v="7"/>
    <x v="3"/>
    <s v="Li Zuocheng"/>
    <m/>
    <s v="PLAA Commander"/>
    <n v="6"/>
    <x v="2"/>
    <s v="Commander in Chief "/>
    <x v="0"/>
    <m/>
    <x v="0"/>
    <m/>
    <m/>
    <m/>
    <m/>
    <m/>
    <s v="http://english.chinamil.com.cn/view/2017-07/19/content_7682288.htm"/>
    <m/>
  </r>
  <r>
    <x v="2"/>
    <x v="9"/>
    <s v="West Asia and Africa"/>
    <s v="Strategic Partnership [战略伙伴关系]"/>
    <s v="None"/>
    <s v="CENTCOM"/>
    <x v="119"/>
    <x v="26"/>
    <n v="7"/>
    <x v="5"/>
    <m/>
    <m/>
    <m/>
    <m/>
    <x v="0"/>
    <m/>
    <x v="2"/>
    <s v="Unnamed"/>
    <x v="2"/>
    <s v="Maritime "/>
    <m/>
    <m/>
    <m/>
    <m/>
    <m/>
    <m/>
  </r>
  <r>
    <x v="0"/>
    <x v="8"/>
    <s v="Europe and Central Asia"/>
    <s v="Comprehensive Strategic Partnership [全面战略伙伴关系]"/>
    <s v="NATO"/>
    <s v="EUCOM"/>
    <x v="29"/>
    <x v="26"/>
    <n v="7"/>
    <x v="0"/>
    <m/>
    <m/>
    <m/>
    <m/>
    <x v="0"/>
    <m/>
    <x v="0"/>
    <m/>
    <x v="0"/>
    <m/>
    <s v="NETF"/>
    <s v="2017-05 DDG150 Changchun"/>
    <s v="East Sea Fleet"/>
    <s v="DDG150 Changchun, FFG532 Jingzhou"/>
    <s v="http://english.chinamil.com.cn/view/2017-07/24/content_7686625.htm"/>
    <m/>
  </r>
  <r>
    <x v="2"/>
    <x v="8"/>
    <s v="Europe and Central Asia"/>
    <s v="Comprehensive Strategic Partnership [全面战略伙伴关系]"/>
    <s v="NATO"/>
    <s v="EUCOM"/>
    <x v="29"/>
    <x v="26"/>
    <n v="7"/>
    <x v="5"/>
    <m/>
    <m/>
    <m/>
    <m/>
    <x v="0"/>
    <m/>
    <x v="2"/>
    <s v="Unnamed"/>
    <x v="2"/>
    <s v="Maritime "/>
    <m/>
    <m/>
    <m/>
    <m/>
    <m/>
    <m/>
  </r>
  <r>
    <x v="1"/>
    <x v="7"/>
    <s v="West Asia and Africa"/>
    <s v="Comprehensive Strategic Cooperative Partnership [全面战略合作伙伴关系]"/>
    <s v="None"/>
    <s v="AFRICOM"/>
    <x v="80"/>
    <x v="26"/>
    <n v="7"/>
    <x v="3"/>
    <s v="Xu Qiliang"/>
    <m/>
    <s v="CMC Vice Chairman"/>
    <n v="10"/>
    <x v="2"/>
    <s v="Vice President"/>
    <x v="0"/>
    <m/>
    <x v="0"/>
    <m/>
    <m/>
    <m/>
    <m/>
    <m/>
    <m/>
    <m/>
  </r>
  <r>
    <x v="1"/>
    <x v="8"/>
    <s v="Europe and Central Asia"/>
    <s v="Comprehensive Strategic Partnership [全面战略伙伴关系]"/>
    <s v="NATO"/>
    <s v="EUCOM"/>
    <x v="20"/>
    <x v="26"/>
    <n v="7"/>
    <x v="3"/>
    <s v="Xu Qiliang"/>
    <m/>
    <s v="CMC Vice Chairman"/>
    <n v="10"/>
    <x v="2"/>
    <s v="Secretary General of Defense "/>
    <x v="0"/>
    <m/>
    <x v="0"/>
    <m/>
    <m/>
    <m/>
    <m/>
    <m/>
    <m/>
    <m/>
  </r>
  <r>
    <x v="0"/>
    <x v="8"/>
    <s v="Europe and Central Asia"/>
    <s v="Comprehensive Strategic Partnership [全面战略伙伴关系]"/>
    <s v="NATO"/>
    <s v="EUCOM"/>
    <x v="20"/>
    <x v="26"/>
    <n v="7"/>
    <x v="0"/>
    <m/>
    <m/>
    <m/>
    <m/>
    <x v="0"/>
    <m/>
    <x v="0"/>
    <m/>
    <x v="0"/>
    <m/>
    <s v="NETF"/>
    <s v="2017-05 DDG150 Changchun"/>
    <s v="East Sea Fleet "/>
    <s v="DDG150 Changchun, FFG532 Jingzhou"/>
    <s v="http://english.chinamil.com.cn/view/2017-07/12/content_7673162.htm"/>
    <m/>
  </r>
  <r>
    <x v="2"/>
    <x v="8"/>
    <s v="Europe and Central Asia"/>
    <s v="Comprehensive Strategic Partnership [全面战略伙伴关系]"/>
    <s v="NATO"/>
    <s v="EUCOM"/>
    <x v="20"/>
    <x v="26"/>
    <n v="7"/>
    <x v="5"/>
    <m/>
    <m/>
    <m/>
    <m/>
    <x v="0"/>
    <m/>
    <x v="2"/>
    <s v="Unnamed"/>
    <x v="2"/>
    <s v="Maritime "/>
    <m/>
    <m/>
    <m/>
    <m/>
    <m/>
    <m/>
  </r>
  <r>
    <x v="1"/>
    <x v="7"/>
    <s v="West Asia and Africa"/>
    <s v="Comprehensive Cooperative Partnership [全面合作伙伴关系]"/>
    <s v="None"/>
    <s v="AFRICOM"/>
    <x v="47"/>
    <x v="26"/>
    <n v="7"/>
    <x v="4"/>
    <s v="Chang Wanquan"/>
    <m/>
    <s v="Defense Minister; CMC Member"/>
    <n v="8"/>
    <x v="2"/>
    <s v="President "/>
    <x v="0"/>
    <m/>
    <x v="0"/>
    <m/>
    <m/>
    <m/>
    <m/>
    <m/>
    <s v="http://english.chinamil.com.cn/view/2017-07/09/content_7669819.htm"/>
    <m/>
  </r>
  <r>
    <x v="1"/>
    <x v="7"/>
    <s v="West Asia and Africa"/>
    <s v="Comprehensive Strategic Cooperative Partnership [全面战略合作伙伴关系]"/>
    <s v="None"/>
    <s v="AFRICOM"/>
    <x v="84"/>
    <x v="26"/>
    <n v="7"/>
    <x v="4"/>
    <s v="Chang Wanquan"/>
    <m/>
    <s v="Defense Minister; CMC Member"/>
    <n v="8"/>
    <x v="1"/>
    <s v="President"/>
    <x v="0"/>
    <m/>
    <x v="0"/>
    <m/>
    <m/>
    <m/>
    <m/>
    <m/>
    <s v="http://english.chinamil.com.cn/view/2017-07/12/content_7673794.htm"/>
    <m/>
  </r>
  <r>
    <x v="2"/>
    <x v="3"/>
    <s v="Europe and Central Asia"/>
    <s v="Comprehensive Collaborative Strategic Partnership [全面战略协作伙伴关系]"/>
    <s v="None"/>
    <s v="EUCOM"/>
    <x v="7"/>
    <x v="26"/>
    <n v="7"/>
    <x v="6"/>
    <m/>
    <m/>
    <m/>
    <m/>
    <x v="0"/>
    <m/>
    <x v="6"/>
    <s v="International Army Games"/>
    <x v="1"/>
    <s v="Fighting capabilities. Other countries: Belarus, Azerbaijan, Kazakhstan, Armenia, Iran, Zimbabwe, Pakistan, Venezuela, Sudan, Uzbekistan, Egypt, Vietnam, Syria"/>
    <m/>
    <m/>
    <m/>
    <m/>
    <s v="https://armedforcessports.defense.gov/CISM/Military-World-Games/6th-Military-World-Games/"/>
    <m/>
  </r>
  <r>
    <x v="2"/>
    <x v="3"/>
    <s v="Europe and Central Asia"/>
    <s v="Comprehensive Collaborative Strategic Partnership [全面战略协作伙伴关系]"/>
    <s v="None"/>
    <s v="EUCOM"/>
    <x v="7"/>
    <x v="26"/>
    <n v="7"/>
    <x v="5"/>
    <m/>
    <m/>
    <m/>
    <m/>
    <x v="0"/>
    <m/>
    <x v="3"/>
    <s v="Joint Sea 2017 (I)"/>
    <x v="2"/>
    <s v=" Location: Baltic Sea.  July 21-28"/>
    <m/>
    <m/>
    <m/>
    <m/>
    <s v="http://english.chinamil.com.cn/view/2017-06/19/content_7643658.htm"/>
    <s v="RECODED as COMBAT based on closer analysis of exercise activities"/>
  </r>
  <r>
    <x v="0"/>
    <x v="8"/>
    <s v="Europe and Central Asia"/>
    <s v="Strategic Cooperative Partnership [战略合作伙伴关系]"/>
    <s v="NATO"/>
    <s v="EUCOM"/>
    <x v="38"/>
    <x v="26"/>
    <n v="7"/>
    <x v="0"/>
    <m/>
    <m/>
    <m/>
    <m/>
    <x v="0"/>
    <m/>
    <x v="0"/>
    <m/>
    <x v="0"/>
    <m/>
    <s v="NETF"/>
    <s v="2017-05 DDG150 Changchun"/>
    <s v="East Sea Fleet"/>
    <s v="DDG150 Changchun, FFG532 Jingzhou"/>
    <s v="http://english.chinamil.com.cn/view/2017-07/17/content_7678654.htm"/>
    <s v="Source refers to Turkey as next stop; wrap up report includes a port call in Turkey"/>
  </r>
  <r>
    <x v="1"/>
    <x v="8"/>
    <s v="Europe and Central Asia"/>
    <s v="Comprehensive Strategic Partnership [全面战略伙伴关系]"/>
    <s v="NATO"/>
    <s v="EUCOM"/>
    <x v="21"/>
    <x v="26"/>
    <n v="7"/>
    <x v="3"/>
    <s v="Chang Wanquan"/>
    <m/>
    <s v="Defense Minister; CMC Member"/>
    <n v="8"/>
    <x v="2"/>
    <s v="National Security Advisor "/>
    <x v="0"/>
    <m/>
    <x v="0"/>
    <m/>
    <m/>
    <m/>
    <m/>
    <m/>
    <s v="http://english.chinamil.com.cn/view/2017-07/21/content_7684472.htm"/>
    <m/>
  </r>
  <r>
    <x v="1"/>
    <x v="0"/>
    <s v="Europe and Central Asia"/>
    <s v="Strategic Partnership [战略伙伴关系]"/>
    <s v="Major Non-NATO Ally"/>
    <s v="CENTCOM"/>
    <x v="123"/>
    <x v="26"/>
    <n v="8"/>
    <x v="4"/>
    <s v="Li Zuocheng"/>
    <m/>
    <s v="PLAA Commander"/>
    <n v="6"/>
    <x v="1"/>
    <s v="Chief of General Staff"/>
    <x v="0"/>
    <m/>
    <x v="0"/>
    <m/>
    <m/>
    <m/>
    <m/>
    <m/>
    <m/>
    <m/>
  </r>
  <r>
    <x v="2"/>
    <x v="5"/>
    <s v="America and Oceania"/>
    <s v="Comprehensive Strategic Partnership [全面战略伙伴关系]"/>
    <s v="ANZUS Treaty"/>
    <s v="INDOPACOM"/>
    <x v="12"/>
    <x v="26"/>
    <n v="8"/>
    <x v="6"/>
    <m/>
    <m/>
    <m/>
    <m/>
    <x v="0"/>
    <m/>
    <x v="2"/>
    <s v="Kowari 2017"/>
    <x v="1"/>
    <s v="Survival Exercise"/>
    <m/>
    <m/>
    <m/>
    <m/>
    <m/>
    <m/>
  </r>
  <r>
    <x v="1"/>
    <x v="5"/>
    <s v="America and Oceania"/>
    <s v="Comprehensive Strategic Partnership [全面战略伙伴关系]"/>
    <s v="ANZUS Treaty"/>
    <s v="INDOPACOM"/>
    <x v="12"/>
    <x v="26"/>
    <n v="8"/>
    <x v="4"/>
    <s v="Shao Yuanming"/>
    <m/>
    <s v="CMC/JSD DCJS"/>
    <n v="5"/>
    <x v="1"/>
    <s v="Vice Chief of Defence Force"/>
    <x v="0"/>
    <m/>
    <x v="0"/>
    <m/>
    <m/>
    <m/>
    <m/>
    <m/>
    <s v="http://english.chinamil.com.cn/view/2017-08/29/content_7735681.htm"/>
    <s v="JSD/DCJS position downgraded to TC deputy grade; position weights adjusted"/>
  </r>
  <r>
    <x v="1"/>
    <x v="1"/>
    <s v="Asia"/>
    <s v="Comprehensive Strategic Cooperative Partnership [全面战略合作伙伴关系]"/>
    <s v="None"/>
    <s v="INDOPACOM"/>
    <x v="94"/>
    <x v="26"/>
    <n v="8"/>
    <x v="3"/>
    <s v="Xu Qiliang"/>
    <m/>
    <s v="CMC Vice Chairman"/>
    <n v="10"/>
    <x v="2"/>
    <s v="Commander of Air Force"/>
    <x v="0"/>
    <m/>
    <x v="0"/>
    <m/>
    <m/>
    <m/>
    <m/>
    <m/>
    <m/>
    <m/>
  </r>
  <r>
    <x v="0"/>
    <x v="9"/>
    <s v="West Asia and Africa"/>
    <s v="Strategic Partnership [战略伙伴关系]"/>
    <s v="None"/>
    <s v="CENTCOM"/>
    <x v="119"/>
    <x v="26"/>
    <n v="8"/>
    <x v="0"/>
    <m/>
    <m/>
    <m/>
    <m/>
    <x v="0"/>
    <m/>
    <x v="0"/>
    <m/>
    <x v="0"/>
    <m/>
    <s v="NETF"/>
    <s v="2017-08 Peace Ark"/>
    <s v="East Sea Fleet"/>
    <m/>
    <s v="http://english.chinamil.com.cn/view/2017-08/24/content_7729644.htm"/>
    <m/>
  </r>
  <r>
    <x v="1"/>
    <x v="7"/>
    <s v="West Asia and Africa"/>
    <s v="Comprehensive Cooperative Partnership [全面合作伙伴关系]"/>
    <s v="None"/>
    <s v="AFRICOM"/>
    <x v="95"/>
    <x v="26"/>
    <n v="8"/>
    <x v="3"/>
    <s v="Fan Changlong"/>
    <m/>
    <s v="CMC Vice Chairman"/>
    <n v="10"/>
    <x v="2"/>
    <s v="Chief of Staff of National Defense Forces"/>
    <x v="0"/>
    <m/>
    <x v="0"/>
    <m/>
    <m/>
    <m/>
    <m/>
    <m/>
    <s v="http://english.chinamil.com.cn/view/2017-08/19/content_7723327.htm"/>
    <m/>
  </r>
  <r>
    <x v="0"/>
    <x v="8"/>
    <s v="Europe and Central Asia"/>
    <s v="New Type of Cooperative Partnership [新型合作伙伴关系]"/>
    <s v="None"/>
    <s v="EUCOM"/>
    <x v="81"/>
    <x v="26"/>
    <n v="8"/>
    <x v="0"/>
    <m/>
    <m/>
    <m/>
    <m/>
    <x v="0"/>
    <m/>
    <x v="0"/>
    <m/>
    <x v="0"/>
    <m/>
    <s v="NETF"/>
    <s v="2017-08 DDG174 Hefei"/>
    <s v="South Sea Fleet"/>
    <s v="DDGHefei, FFG571 Yuncheng"/>
    <s v="http://english.chinamil.com.cn/view/2017-08/02/content_7699947.htm; http://english.chinamil.com.cn/view/2017-08/16/content_7720657.htm"/>
    <s v="In conjunction with Joint Sea 2017 exercise with Russian Navy"/>
  </r>
  <r>
    <x v="0"/>
    <x v="1"/>
    <s v="Asia"/>
    <s v="Comprehensive Strategic Cooperative Partnership [全面战略合作伙伴关系]"/>
    <s v="None"/>
    <s v="INDOPACOM"/>
    <x v="52"/>
    <x v="26"/>
    <n v="8"/>
    <x v="0"/>
    <m/>
    <m/>
    <m/>
    <m/>
    <x v="0"/>
    <m/>
    <x v="0"/>
    <m/>
    <x v="0"/>
    <m/>
    <s v="NETF"/>
    <s v="2017-08 Peace Ark"/>
    <s v="East Sea Fleet"/>
    <m/>
    <s v="http://english.chinamil.com.cn/view/2017-08/22/content_7725742.htm"/>
    <m/>
  </r>
  <r>
    <x v="0"/>
    <x v="8"/>
    <s v="Europe and Central Asia"/>
    <s v="Friendly Cooperative Partnership [友好合作伙伴关系]"/>
    <s v="NATO"/>
    <s v="EUCOM"/>
    <x v="157"/>
    <x v="26"/>
    <n v="8"/>
    <x v="0"/>
    <m/>
    <m/>
    <m/>
    <m/>
    <x v="0"/>
    <m/>
    <x v="0"/>
    <m/>
    <x v="0"/>
    <m/>
    <s v="NETF"/>
    <s v="2017-08 DDG174 Hefei"/>
    <s v="South Sea Fleet"/>
    <s v="DDGHefei, FFG571 Yuncheng, AOR Luomahu"/>
    <s v="http://english.chinamil.com.cn/view/2017-08/06/content_7705899.htm; http://english.chinamil.com.cn/view/2017-08/16/content_7720657.htm"/>
    <s v="In conjunction with Joint Sea 2017 exercise with Russian Navy"/>
  </r>
  <r>
    <x v="0"/>
    <x v="0"/>
    <s v="West Asia and Africa"/>
    <s v="Comprehensive Friendly Cooperative Partnership [全面友好合作伙伴关系]"/>
    <s v="None"/>
    <s v="INDOPACOM"/>
    <x v="149"/>
    <x v="26"/>
    <n v="8"/>
    <x v="0"/>
    <m/>
    <m/>
    <m/>
    <m/>
    <x v="0"/>
    <m/>
    <x v="0"/>
    <m/>
    <x v="0"/>
    <m/>
    <s v="NETF"/>
    <s v="2017-08 DDG150 Changchun"/>
    <s v="East Sea Fleet"/>
    <s v="DDG150 Changchun, FFG532 Jingzhou, AOR890 Chaohu"/>
    <s v="http://english.chinamil.com.cn/view/2017-08/28/content_7733398.htm; http://www.xinhuanet.com/mil/2017-08/27/c_129690040.htm"/>
    <m/>
  </r>
  <r>
    <x v="2"/>
    <x v="0"/>
    <s v="West Asia and Africa"/>
    <s v="Comprehensive Friendly Cooperative Partnership [全面友好合作伙伴关系]"/>
    <s v="None"/>
    <s v="INDOPACOM"/>
    <x v="149"/>
    <x v="26"/>
    <n v="8"/>
    <x v="5"/>
    <m/>
    <m/>
    <m/>
    <m/>
    <x v="0"/>
    <m/>
    <x v="2"/>
    <s v="Unnamed"/>
    <x v="2"/>
    <s v="Unknown "/>
    <m/>
    <m/>
    <m/>
    <m/>
    <m/>
    <m/>
  </r>
  <r>
    <x v="2"/>
    <x v="4"/>
    <s v="Asia"/>
    <s v="Comprehensive Strategic Partnership [全面战略伙伴关系]"/>
    <s v="None"/>
    <s v="INDOPACOM"/>
    <x v="53"/>
    <x v="26"/>
    <n v="8"/>
    <x v="6"/>
    <m/>
    <m/>
    <m/>
    <m/>
    <x v="0"/>
    <m/>
    <x v="2"/>
    <s v="Khaan Quest 2017"/>
    <x v="1"/>
    <s v="Peacekeeping "/>
    <m/>
    <m/>
    <m/>
    <m/>
    <m/>
    <m/>
  </r>
  <r>
    <x v="1"/>
    <x v="5"/>
    <s v="America and Oceania"/>
    <s v="Comprehensive Strategic Partnership [全面战略伙伴关系]"/>
    <s v="ANZUS Treaty"/>
    <s v="INDOPACOM"/>
    <x v="13"/>
    <x v="26"/>
    <n v="8"/>
    <x v="3"/>
    <s v="Shao Yuanming"/>
    <m/>
    <s v="CMC/JSD DCJS"/>
    <n v="5"/>
    <x v="2"/>
    <s v="Deputy Chief of Defense Force "/>
    <x v="0"/>
    <m/>
    <x v="0"/>
    <m/>
    <m/>
    <m/>
    <m/>
    <m/>
    <s v="https://web.archive.org/web/20170920220529/http://english.chinamil.com.cn/view/2017-08/15/content_7719318.htm; http://english.chinamil.com.cn/view/2017-08/28/content_7733889.htm"/>
    <s v="JSD/DCJS position downgraded to TC deputy grade; position weights adjusted"/>
  </r>
  <r>
    <x v="1"/>
    <x v="0"/>
    <s v="Asia"/>
    <s v="All-Weather Strategic Cooperative Partnership [全天候战略合作伙伴关系]"/>
    <s v="Major Non-NATO Ally"/>
    <s v="CENTCOM"/>
    <x v="2"/>
    <x v="26"/>
    <n v="8"/>
    <x v="4"/>
    <s v="Li Zuocheng"/>
    <m/>
    <s v="PLAA Commander"/>
    <n v="6"/>
    <x v="1"/>
    <s v="Chief of Army Staff "/>
    <x v="0"/>
    <m/>
    <x v="0"/>
    <m/>
    <m/>
    <m/>
    <m/>
    <m/>
    <s v="http://english.chinamil.com.cn/view/2017-08/28/content_7733909.htm"/>
    <m/>
  </r>
  <r>
    <x v="0"/>
    <x v="9"/>
    <s v="West Asia and Africa"/>
    <s v="Comprehensive Strategic Partnership [全面战略伙伴关系]"/>
    <s v="None"/>
    <s v="CENTCOM"/>
    <x v="142"/>
    <x v="26"/>
    <n v="8"/>
    <x v="0"/>
    <m/>
    <m/>
    <m/>
    <m/>
    <x v="0"/>
    <m/>
    <x v="0"/>
    <m/>
    <x v="0"/>
    <m/>
    <s v="NETF"/>
    <s v="2017-05 DDG150 Changchun"/>
    <s v="East Sea Fleet"/>
    <s v="DDG150 Changchun, FFG532 Jingzhou"/>
    <s v="http://english.chinamil.com.cn/view/2017-08/01/content_7699372.htm"/>
    <m/>
  </r>
  <r>
    <x v="0"/>
    <x v="0"/>
    <s v="Asia"/>
    <s v="Strategic Cooperative Partnership [战略合作伙伴关系]"/>
    <s v="None"/>
    <s v="INDOPACOM"/>
    <x v="3"/>
    <x v="26"/>
    <n v="8"/>
    <x v="0"/>
    <m/>
    <m/>
    <m/>
    <m/>
    <x v="0"/>
    <m/>
    <x v="0"/>
    <m/>
    <x v="0"/>
    <m/>
    <s v="NETF"/>
    <s v="2017-08 Peace Ark"/>
    <s v="East Sea Fleet"/>
    <m/>
    <s v="http://eng.chinamil.com.cn/view/2017-08/11/content_7715167.htm"/>
    <m/>
  </r>
  <r>
    <x v="2"/>
    <x v="0"/>
    <s v="Asia"/>
    <s v="Strategic Cooperative Partnership [战略合作伙伴关系]"/>
    <s v="None"/>
    <s v="INDOPACOM"/>
    <x v="3"/>
    <x v="26"/>
    <n v="8"/>
    <x v="5"/>
    <m/>
    <m/>
    <m/>
    <m/>
    <x v="0"/>
    <m/>
    <x v="2"/>
    <s v="Harmonious Mission-2017"/>
    <x v="1"/>
    <s v="Rescue drill"/>
    <m/>
    <m/>
    <m/>
    <m/>
    <s v="http://english.chinamil.com.cn/view/2017-08/11/content_7715167.htm"/>
    <m/>
  </r>
  <r>
    <x v="1"/>
    <x v="6"/>
    <s v="Europe and Central Asia"/>
    <s v="Comprehensive Strategic Partnership [全面战略伙伴关系]"/>
    <s v="None"/>
    <s v="CENTCOM"/>
    <x v="60"/>
    <x v="26"/>
    <n v="8"/>
    <x v="4"/>
    <s v="Li Zuocheng"/>
    <m/>
    <s v="PLAA Commander"/>
    <n v="6"/>
    <x v="1"/>
    <s v="President "/>
    <x v="0"/>
    <m/>
    <x v="0"/>
    <m/>
    <m/>
    <m/>
    <m/>
    <m/>
    <m/>
    <m/>
  </r>
  <r>
    <x v="0"/>
    <x v="7"/>
    <s v="West Asia and Africa"/>
    <s v="Comprehensive Cooperative Partnership [全面合作伙伴关系]"/>
    <s v="None"/>
    <s v="AFRICOM"/>
    <x v="16"/>
    <x v="26"/>
    <n v="8"/>
    <x v="0"/>
    <m/>
    <m/>
    <m/>
    <m/>
    <x v="0"/>
    <m/>
    <x v="0"/>
    <m/>
    <x v="0"/>
    <m/>
    <s v="NETF"/>
    <s v="2017-08 DDG150 Changchun"/>
    <s v="East Sea Fleet"/>
    <s v="DDG150 Changchun, FFG532 Jingzhou, AOR890 Chaohu"/>
    <s v="http://english.chinamil.com.cn/view/2017-08/17/content_7720968.htm"/>
    <m/>
  </r>
  <r>
    <x v="2"/>
    <x v="7"/>
    <s v="West Asia and Africa"/>
    <s v="Comprehensive Cooperative Partnership [全面合作伙伴关系]"/>
    <s v="None"/>
    <s v="AFRICOM"/>
    <x v="16"/>
    <x v="26"/>
    <n v="8"/>
    <x v="5"/>
    <m/>
    <m/>
    <m/>
    <m/>
    <x v="0"/>
    <m/>
    <x v="2"/>
    <s v="Unnamed"/>
    <x v="2"/>
    <s v="Maritime"/>
    <m/>
    <m/>
    <m/>
    <m/>
    <m/>
    <m/>
  </r>
  <r>
    <x v="1"/>
    <x v="1"/>
    <s v="Asia"/>
    <s v="Comprehensive Strategic Cooperative Partnership [全面战略合作伙伴关系]"/>
    <s v="Bilateral Defense Treaty"/>
    <s v="INDOPACOM"/>
    <x v="5"/>
    <x v="26"/>
    <n v="8"/>
    <x v="3"/>
    <s v="Chang Wanquan"/>
    <m/>
    <s v="Defense Minister; CMC Member"/>
    <n v="8"/>
    <x v="2"/>
    <s v="Chief of Defense Forces"/>
    <x v="0"/>
    <m/>
    <x v="0"/>
    <m/>
    <m/>
    <m/>
    <m/>
    <m/>
    <s v="http://english.chinamil.com.cn/view/2017-08/17/content_7721898.htm"/>
    <m/>
  </r>
  <r>
    <x v="2"/>
    <x v="1"/>
    <s v="Asia"/>
    <s v="Comprehensive Strategic Cooperative Partnership [全面战略合作伙伴关系]"/>
    <s v="Bilateral Defense Treaty"/>
    <s v="INDOPACOM"/>
    <x v="5"/>
    <x v="26"/>
    <n v="8"/>
    <x v="5"/>
    <m/>
    <m/>
    <m/>
    <m/>
    <x v="0"/>
    <m/>
    <x v="3"/>
    <s v="Falcon Strike 2017"/>
    <x v="5"/>
    <s v="Joint training exercise "/>
    <m/>
    <m/>
    <m/>
    <m/>
    <m/>
    <m/>
  </r>
  <r>
    <x v="1"/>
    <x v="2"/>
    <s v="America and Oceania"/>
    <s v="No Specific Relationship"/>
    <s v="N/A"/>
    <s v="NORTHCOM"/>
    <x v="4"/>
    <x v="26"/>
    <n v="8"/>
    <x v="3"/>
    <s v="Fang Fenghui"/>
    <m/>
    <s v="CMC/JSD Commander; CMC Member"/>
    <n v="8"/>
    <x v="2"/>
    <s v="Marine Crops General "/>
    <x v="0"/>
    <m/>
    <x v="0"/>
    <m/>
    <m/>
    <m/>
    <m/>
    <m/>
    <m/>
    <m/>
  </r>
  <r>
    <x v="1"/>
    <x v="8"/>
    <s v="Europe and Central Asia"/>
    <s v="Friendly Cooperative Partnership [友好合作伙伴关系]"/>
    <s v="None"/>
    <s v="EUCOM"/>
    <x v="63"/>
    <x v="26"/>
    <n v="9"/>
    <x v="3"/>
    <s v="Xu Qiliang"/>
    <m/>
    <s v="CMC Vice Chairman"/>
    <n v="10"/>
    <x v="2"/>
    <s v="Defense Minister"/>
    <x v="0"/>
    <m/>
    <x v="0"/>
    <m/>
    <m/>
    <m/>
    <m/>
    <m/>
    <m/>
    <m/>
  </r>
  <r>
    <x v="2"/>
    <x v="5"/>
    <s v="America and Oceania"/>
    <s v="Comprehensive Strategic Partnership [全面战略伙伴关系]"/>
    <s v="ANZUS Treaty"/>
    <s v="INDOPACOM"/>
    <x v="12"/>
    <x v="26"/>
    <n v="9"/>
    <x v="5"/>
    <m/>
    <m/>
    <m/>
    <m/>
    <x v="0"/>
    <m/>
    <x v="2"/>
    <s v="Panda-Kangaroo 2017"/>
    <x v="1"/>
    <s v="Joint training "/>
    <m/>
    <m/>
    <m/>
    <m/>
    <s v="http://english.chinamil.com.cn/view/2017-09/11/content_7751741.htm"/>
    <m/>
  </r>
  <r>
    <x v="1"/>
    <x v="8"/>
    <s v="Europe and Central Asia"/>
    <s v="No Specific Relationship"/>
    <s v="NATO"/>
    <s v="EUCOM"/>
    <x v="108"/>
    <x v="26"/>
    <n v="9"/>
    <x v="3"/>
    <s v="Chang Wanquan"/>
    <m/>
    <s v="Defense Minister; CMC Member"/>
    <n v="8"/>
    <x v="2"/>
    <s v="Chief of Defense Forces"/>
    <x v="0"/>
    <m/>
    <x v="0"/>
    <m/>
    <m/>
    <m/>
    <m/>
    <m/>
    <s v="http://english.chinamil.com.cn/view/2017-09/08/content_7749343.htm"/>
    <m/>
  </r>
  <r>
    <x v="0"/>
    <x v="8"/>
    <s v="Europe and Central Asia"/>
    <s v="All-Round Strategic Partnership [全方位战略伙伴关系]"/>
    <s v="NATO"/>
    <s v="EUCOM"/>
    <x v="68"/>
    <x v="26"/>
    <n v="9"/>
    <x v="0"/>
    <m/>
    <m/>
    <m/>
    <m/>
    <x v="0"/>
    <m/>
    <x v="0"/>
    <m/>
    <x v="0"/>
    <m/>
    <s v="ETF"/>
    <s v="ETF-26"/>
    <s v="East Sea Fleet"/>
    <s v="FFG577 Huanggang, FFG578 Yangzhou, AOR966 Gaoyouhu"/>
    <s v="http://english.chinamil.com.cn/view/2017-09/15/content_7757901.htm; http://english.chinamil.com.cn/view/2017-10/17/content_7790399.htm"/>
    <m/>
  </r>
  <r>
    <x v="0"/>
    <x v="1"/>
    <s v="Asia"/>
    <s v="No Specific Relationship"/>
    <s v="None"/>
    <s v="INDOPACOM"/>
    <x v="44"/>
    <x v="26"/>
    <n v="9"/>
    <x v="10"/>
    <m/>
    <m/>
    <m/>
    <m/>
    <x v="0"/>
    <m/>
    <x v="0"/>
    <m/>
    <x v="0"/>
    <m/>
    <s v="NETF"/>
    <s v="2017-09 DDG150 Changchun"/>
    <s v="East Sea Fleet"/>
    <s v="DDG150 Changchun, FFG532 Jingzhou, AOR890 Chaohu"/>
    <s v="http://english.chinamil.com.cn/view/2017-09/29/content_7774095.htm"/>
    <m/>
  </r>
  <r>
    <x v="1"/>
    <x v="1"/>
    <s v="Asia"/>
    <s v="Comprehensive Strategic Cooperative Partnership [全面战略合作伙伴关系]"/>
    <s v="None"/>
    <s v="INDOPACOM"/>
    <x v="94"/>
    <x v="26"/>
    <n v="9"/>
    <x v="3"/>
    <s v="Shen Jinlong"/>
    <m/>
    <s v="PLAN Commander "/>
    <n v="6"/>
    <x v="2"/>
    <s v="Navy Commander"/>
    <x v="0"/>
    <m/>
    <x v="0"/>
    <m/>
    <m/>
    <m/>
    <m/>
    <m/>
    <s v="http://english.chinamil.com.cn/view/2017-09/01/content_7740479.htm"/>
    <m/>
  </r>
  <r>
    <x v="0"/>
    <x v="8"/>
    <s v="Europe and Central Asia"/>
    <s v="Comprehensive Strategic Partnership [全面战略伙伴关系]"/>
    <s v="NATO"/>
    <s v="EUCOM"/>
    <x v="116"/>
    <x v="26"/>
    <n v="9"/>
    <x v="0"/>
    <m/>
    <m/>
    <m/>
    <m/>
    <x v="0"/>
    <m/>
    <x v="0"/>
    <m/>
    <x v="0"/>
    <m/>
    <s v="ETF"/>
    <s v="ETF-26"/>
    <s v="East Sea Fleet"/>
    <s v="FFG577 Huanggang, FFG578 Yangzhou"/>
    <s v="http://english.chinamil.com.cn/view/2017-09/26/content_7769056.htm; http://english.chinamil.com.cn/view/2017-09/26/content_7769059.htm"/>
    <m/>
  </r>
  <r>
    <x v="2"/>
    <x v="8"/>
    <s v="Europe and Central Asia"/>
    <s v="Comprehensive Strategic Partnership [全面战略伙伴关系]"/>
    <s v="NATO"/>
    <s v="EUCOM"/>
    <x v="116"/>
    <x v="26"/>
    <n v="9"/>
    <x v="5"/>
    <m/>
    <m/>
    <m/>
    <m/>
    <x v="0"/>
    <m/>
    <x v="2"/>
    <s v="Unnamed"/>
    <x v="2"/>
    <s v="Maritime"/>
    <m/>
    <m/>
    <m/>
    <m/>
    <m/>
    <m/>
  </r>
  <r>
    <x v="1"/>
    <x v="10"/>
    <s v="America and Oceania"/>
    <s v="Comprehensive Strategic Partnership [全面战略伙伴关系]"/>
    <s v="None"/>
    <s v="SOUTHCOM"/>
    <x v="51"/>
    <x v="26"/>
    <n v="9"/>
    <x v="4"/>
    <s v="Ma Yiming"/>
    <m/>
    <s v="CMC/JSD DCJS"/>
    <n v="5"/>
    <x v="1"/>
    <s v="Minister of National Defense "/>
    <x v="0"/>
    <m/>
    <x v="0"/>
    <m/>
    <m/>
    <m/>
    <m/>
    <m/>
    <s v="http://english.chinamil.com.cn/view/2017-09/11/content_7751586.htm"/>
    <s v="JSD/DCJS position downgraded to TC deputy grade; position weights adjusted"/>
  </r>
  <r>
    <x v="1"/>
    <x v="8"/>
    <s v="Europe and Central Asia"/>
    <s v="Comprehensive Strategic Partnership [全面战略伙伴关系]"/>
    <s v="NATO"/>
    <s v="EUCOM"/>
    <x v="18"/>
    <x v="26"/>
    <n v="9"/>
    <x v="3"/>
    <s v="Shao Yuanming"/>
    <m/>
    <s v="CMC/JSD DCJS"/>
    <n v="5"/>
    <x v="2"/>
    <s v="Former General Inspector of Defense Force "/>
    <x v="0"/>
    <m/>
    <x v="0"/>
    <m/>
    <m/>
    <m/>
    <m/>
    <m/>
    <s v="http://english.chinamil.com.cn/view/2017-09/25/content_7768600.htm"/>
    <s v="JSD/DCJS position downgraded to TC deputy grade; position weights adjusted"/>
  </r>
  <r>
    <x v="1"/>
    <x v="1"/>
    <s v="Asia"/>
    <s v="Comprehensive Strategic Partnership [全面战略伙伴关系]"/>
    <s v="None"/>
    <s v="INDOPACOM"/>
    <x v="8"/>
    <x v="26"/>
    <n v="9"/>
    <x v="3"/>
    <s v="Shen Jinlong"/>
    <m/>
    <s v="PLAN Commander "/>
    <n v="6"/>
    <x v="2"/>
    <s v="Chief of Staff"/>
    <x v="0"/>
    <m/>
    <x v="0"/>
    <m/>
    <m/>
    <m/>
    <m/>
    <m/>
    <s v="http://english.chinamil.com.cn/view/2017-09/07/content_7747221.htm"/>
    <m/>
  </r>
  <r>
    <x v="0"/>
    <x v="1"/>
    <s v="Asia"/>
    <s v="Comprehensive Strategic Partnership [全面战略伙伴关系]"/>
    <s v="None"/>
    <s v="INDOPACOM"/>
    <x v="8"/>
    <x v="26"/>
    <n v="9"/>
    <x v="0"/>
    <m/>
    <m/>
    <m/>
    <m/>
    <x v="0"/>
    <m/>
    <x v="0"/>
    <m/>
    <x v="0"/>
    <m/>
    <s v="NETF"/>
    <s v="2017-09 DDG150 Changchun"/>
    <s v="East Sea Fleet"/>
    <s v="DDG150 Changchun, FFG532 Jingzhou, AOR890 Chaohu"/>
    <s v="http://english.chinamil.com.cn/view/2017-10/16/content_7788876.htm"/>
    <s v="Date inferred from Brunei visit date and wrapup article"/>
  </r>
  <r>
    <x v="2"/>
    <x v="0"/>
    <s v="Asia"/>
    <s v="All-Weather Strategic Cooperative Partnership [全天候战略合作伙伴关系]"/>
    <s v="Major Non-NATO Ally"/>
    <s v="CENTCOM"/>
    <x v="2"/>
    <x v="26"/>
    <n v="9"/>
    <x v="5"/>
    <m/>
    <m/>
    <m/>
    <m/>
    <x v="0"/>
    <m/>
    <x v="3"/>
    <s v="Shaheen-VI"/>
    <x v="5"/>
    <s v="Joint air training "/>
    <m/>
    <m/>
    <m/>
    <m/>
    <s v="http://english.chinamil.com.cn/view/2017-09/26/content_7770309.htm"/>
    <m/>
  </r>
  <r>
    <x v="2"/>
    <x v="3"/>
    <s v="Europe and Central Asia"/>
    <s v="Comprehensive Collaborative Strategic Partnership [全面战略协作伙伴关系]"/>
    <s v="None"/>
    <s v="EUCOM"/>
    <x v="7"/>
    <x v="26"/>
    <n v="9"/>
    <x v="5"/>
    <m/>
    <m/>
    <m/>
    <m/>
    <x v="0"/>
    <m/>
    <x v="3"/>
    <s v="Joint Sea 2017 (II)"/>
    <x v="2"/>
    <s v="Maritime in Sea of Japan and Sea of Okhotsk.  &quot;This exercise is the first to organize a joint submarine rescue drill and a joint anti-submarine exercise with multiple arms, aircraft, and ships.&quot;  "/>
    <m/>
    <m/>
    <m/>
    <m/>
    <s v="https://www.chinanews.com.cn/mil/2017/09-17/8333127.shtml "/>
    <m/>
  </r>
  <r>
    <x v="0"/>
    <x v="7"/>
    <s v="West Asia and Africa"/>
    <s v="Comprehensive Strategic Cooperative Partnership [全面战略合作伙伴关系]"/>
    <s v="None"/>
    <s v="AFRICOM"/>
    <x v="90"/>
    <x v="26"/>
    <n v="9"/>
    <x v="0"/>
    <m/>
    <m/>
    <m/>
    <m/>
    <x v="0"/>
    <m/>
    <x v="0"/>
    <m/>
    <x v="0"/>
    <m/>
    <s v="NETF"/>
    <s v="2017-09 Peace Ark"/>
    <s v="East Sea Fleet"/>
    <m/>
    <s v="http://english.chinamil.com.cn/view/2017-09/13/content_7754313.htm"/>
    <m/>
  </r>
  <r>
    <x v="1"/>
    <x v="1"/>
    <s v="Asia"/>
    <s v="All-Round Cooperative Partnership [全方合作伙伴关系]"/>
    <s v="None"/>
    <s v="INDOPACOM"/>
    <x v="39"/>
    <x v="26"/>
    <n v="9"/>
    <x v="3"/>
    <s v="Chang Wanquan"/>
    <m/>
    <s v="Defense Minister; CMC Member"/>
    <n v="8"/>
    <x v="2"/>
    <s v="Defense Minister"/>
    <x v="0"/>
    <m/>
    <x v="0"/>
    <m/>
    <m/>
    <m/>
    <m/>
    <m/>
    <s v="http://english.chinamil.com.cn/view/2017-09/22/content_7765269.htm"/>
    <m/>
  </r>
  <r>
    <x v="0"/>
    <x v="8"/>
    <s v="Europe and Central Asia"/>
    <s v="Comprehensive Strategic Partnership [全面战略伙伴关系]"/>
    <s v="NATO"/>
    <s v="EUCOM"/>
    <x v="70"/>
    <x v="26"/>
    <n v="9"/>
    <x v="0"/>
    <m/>
    <m/>
    <m/>
    <m/>
    <x v="0"/>
    <m/>
    <x v="0"/>
    <m/>
    <x v="0"/>
    <m/>
    <s v="NETF"/>
    <s v="2017-09 Peace Ark"/>
    <s v="East Sea Fleet"/>
    <m/>
    <s v="http://english.chinamil.com.cn/view/2017-09/11/content_7751723.htm"/>
    <m/>
  </r>
  <r>
    <x v="2"/>
    <x v="0"/>
    <s v="Asia"/>
    <s v="Strategic Cooperative Partnership [战略合作伙伴关系]"/>
    <s v="None"/>
    <s v="INDOPACOM"/>
    <x v="3"/>
    <x v="26"/>
    <n v="9"/>
    <x v="6"/>
    <m/>
    <m/>
    <m/>
    <m/>
    <x v="0"/>
    <m/>
    <x v="3"/>
    <s v="Cormorant Strike VIII - 2017"/>
    <x v="2"/>
    <s v="Special Operations"/>
    <m/>
    <m/>
    <m/>
    <m/>
    <m/>
    <m/>
  </r>
  <r>
    <x v="1"/>
    <x v="2"/>
    <s v="America and Oceania"/>
    <s v="No Specific Relationship"/>
    <s v="N/A"/>
    <s v="NORTHCOM"/>
    <x v="4"/>
    <x v="26"/>
    <n v="9"/>
    <x v="3"/>
    <s v="Shao Yuanming"/>
    <m/>
    <s v="CMC/JSD DCJS"/>
    <n v="5"/>
    <x v="2"/>
    <s v="US Congress "/>
    <x v="0"/>
    <m/>
    <x v="0"/>
    <m/>
    <m/>
    <m/>
    <m/>
    <m/>
    <m/>
    <s v="JSD/DCJS position downgraded to TC deputy grade; position weights adjusted"/>
  </r>
  <r>
    <x v="1"/>
    <x v="1"/>
    <s v="Asia"/>
    <s v="Comprehensive Strategic Cooperative Partnership [全面战略合作伙伴关系]"/>
    <s v="None"/>
    <s v="INDOPACOM"/>
    <x v="23"/>
    <x v="26"/>
    <n v="9"/>
    <x v="3"/>
    <s v="Fan Changlong"/>
    <m/>
    <s v="CMC Vice Chairman"/>
    <n v="10"/>
    <x v="2"/>
    <s v="Defense Minister"/>
    <x v="0"/>
    <m/>
    <x v="0"/>
    <m/>
    <m/>
    <m/>
    <m/>
    <m/>
    <m/>
    <m/>
  </r>
  <r>
    <x v="2"/>
    <x v="1"/>
    <s v="Asia"/>
    <s v="Comprehensive Strategic Cooperative Partnership [全面战略合作伙伴关系]"/>
    <s v="None"/>
    <s v="INDOPACOM"/>
    <x v="23"/>
    <x v="26"/>
    <n v="9"/>
    <x v="5"/>
    <m/>
    <m/>
    <m/>
    <m/>
    <x v="0"/>
    <m/>
    <x v="1"/>
    <s v="Unnamed"/>
    <x v="1"/>
    <s v="Anti-terrorism drills "/>
    <m/>
    <m/>
    <m/>
    <m/>
    <m/>
    <m/>
  </r>
  <r>
    <x v="0"/>
    <x v="7"/>
    <s v="West Asia and Africa"/>
    <s v="Strategic Partnership [战略伙伴关系]"/>
    <s v="None"/>
    <s v="AFRICOM"/>
    <x v="105"/>
    <x v="26"/>
    <n v="10"/>
    <x v="0"/>
    <m/>
    <m/>
    <m/>
    <m/>
    <x v="0"/>
    <m/>
    <x v="0"/>
    <m/>
    <x v="0"/>
    <m/>
    <s v="NETF"/>
    <s v="2017-10 Peace Ark"/>
    <s v="East Sea Fleet"/>
    <m/>
    <s v="http://english.chinamil.com.cn/view/2017-10/20/content_7794034.htm"/>
    <m/>
  </r>
  <r>
    <x v="1"/>
    <x v="1"/>
    <s v="Asia"/>
    <s v="Strategic Partnership [战略伙伴关系] for Peace and Prosperity"/>
    <s v="None"/>
    <s v="INDOPACOM"/>
    <x v="153"/>
    <x v="26"/>
    <n v="10"/>
    <x v="1"/>
    <s v="Chang Wanquan"/>
    <m/>
    <s v="Defense Minister; CMC Member"/>
    <n v="8"/>
    <x v="1"/>
    <s v="Seventh China-ASEAN Defense Ministers' Informal Meeting in Laos"/>
    <x v="0"/>
    <m/>
    <x v="0"/>
    <m/>
    <m/>
    <m/>
    <m/>
    <m/>
    <s v="http://en.people.cn/n3/2016/0526/c90883-9063888.html"/>
    <s v="corrected partnership to strategic partnership for peace and prosperity"/>
  </r>
  <r>
    <x v="1"/>
    <x v="1"/>
    <s v="Asia"/>
    <s v="Strategic Partnership [战略伙伴关系] for Peace and Prosperity"/>
    <s v="None"/>
    <s v="INDOPACOM"/>
    <x v="153"/>
    <x v="26"/>
    <n v="10"/>
    <x v="1"/>
    <s v="Chang Wanquan"/>
    <m/>
    <s v="Defense Minister; CMC Member"/>
    <n v="8"/>
    <x v="1"/>
    <s v="4th ADMM+ Philippines"/>
    <x v="0"/>
    <m/>
    <x v="0"/>
    <m/>
    <m/>
    <m/>
    <m/>
    <m/>
    <s v="http://www.china.org.cn/world/2017-10/25/content_41788870.htm"/>
    <s v="corrected partnership to strategic partnership for peace and prosperity"/>
  </r>
  <r>
    <x v="1"/>
    <x v="8"/>
    <s v="Europe and Central Asia"/>
    <s v="Comprehensive Strategic Partnership [全面战略伙伴关系]"/>
    <s v="None"/>
    <s v="EUCOM"/>
    <x v="34"/>
    <x v="26"/>
    <n v="10"/>
    <x v="3"/>
    <s v="Chang Wanquan"/>
    <m/>
    <s v="Defense Minister; CMC Member"/>
    <n v="8"/>
    <x v="2"/>
    <s v="Defense Minister"/>
    <x v="0"/>
    <m/>
    <x v="0"/>
    <m/>
    <m/>
    <m/>
    <m/>
    <m/>
    <s v="http://english.chinamil.com.cn/view/2017-10/31/content_7806844.htm"/>
    <m/>
  </r>
  <r>
    <x v="2"/>
    <x v="1"/>
    <s v="Asia"/>
    <s v="Comprehensive Strategic Cooperative Partnership [全面战略合作伙伴关系]"/>
    <s v="None"/>
    <s v="INDOPACOM"/>
    <x v="94"/>
    <x v="26"/>
    <n v="10"/>
    <x v="5"/>
    <m/>
    <m/>
    <m/>
    <m/>
    <x v="0"/>
    <m/>
    <x v="2"/>
    <s v="Unnamed"/>
    <x v="2"/>
    <s v="Maritime"/>
    <m/>
    <m/>
    <m/>
    <m/>
    <m/>
    <m/>
  </r>
  <r>
    <x v="0"/>
    <x v="1"/>
    <s v="Asia"/>
    <s v="Comprehensive Strategic Cooperative Partnership [全面战略合作伙伴关系]"/>
    <s v="None"/>
    <s v="INDOPACOM"/>
    <x v="94"/>
    <x v="26"/>
    <n v="10"/>
    <x v="0"/>
    <m/>
    <m/>
    <m/>
    <m/>
    <x v="0"/>
    <m/>
    <x v="0"/>
    <m/>
    <x v="0"/>
    <m/>
    <s v="NETF"/>
    <s v="2017-10 DDG150 Changchun"/>
    <s v="East Sea Fleet"/>
    <s v="DDG150 Changchun, FFG532 Jingzhou, AOR890 Chaohu"/>
    <s v="http://www.chinadaily.com.cn/china/2017-10/06/content_32901405.htm"/>
    <s v="Date inferred from Brunei and Thailand visit dates and wrapup article, which suggests this is the 19th of 20 port calls"/>
  </r>
  <r>
    <x v="0"/>
    <x v="7"/>
    <s v="West Asia and Africa"/>
    <s v="Comprehensive Strategic Partnership [全面战略伙伴关系]"/>
    <s v="None"/>
    <s v="AFRICOM"/>
    <x v="28"/>
    <x v="26"/>
    <n v="10"/>
    <x v="0"/>
    <m/>
    <m/>
    <m/>
    <m/>
    <x v="0"/>
    <m/>
    <x v="0"/>
    <m/>
    <x v="0"/>
    <m/>
    <s v="NETF"/>
    <s v="2017-10 Peace Ark"/>
    <s v="East Sea Fleet"/>
    <m/>
    <s v="http://english.chinamil.com.cn/view/2017-10/11/content_7783463.htm"/>
    <m/>
  </r>
  <r>
    <x v="0"/>
    <x v="8"/>
    <s v="Europe and Central Asia"/>
    <s v="Comprehensive Strategic Partnership [全面战略伙伴关系]"/>
    <s v="NATO"/>
    <s v="EUCOM"/>
    <x v="22"/>
    <x v="26"/>
    <n v="10"/>
    <x v="0"/>
    <m/>
    <m/>
    <m/>
    <m/>
    <x v="0"/>
    <m/>
    <x v="0"/>
    <m/>
    <x v="0"/>
    <m/>
    <s v="ETF"/>
    <s v="ETF-26"/>
    <s v="East Sea Fleet"/>
    <s v="FFG577 Huanggang, FFG578 Yangzhou"/>
    <s v="http://english.chinamil.com.cn/view/2017-10/17/content_7790399.htm"/>
    <m/>
  </r>
  <r>
    <x v="2"/>
    <x v="8"/>
    <s v="Europe and Central Asia"/>
    <s v="Comprehensive Strategic Partnership [全面战略伙伴关系]"/>
    <s v="NATO"/>
    <s v="EUCOM"/>
    <x v="22"/>
    <x v="26"/>
    <n v="10"/>
    <x v="5"/>
    <m/>
    <m/>
    <m/>
    <m/>
    <x v="0"/>
    <m/>
    <x v="2"/>
    <s v="Unnamed"/>
    <x v="2"/>
    <s v="Maritime"/>
    <m/>
    <m/>
    <m/>
    <m/>
    <m/>
    <m/>
  </r>
  <r>
    <x v="0"/>
    <x v="7"/>
    <s v="West Asia and Africa"/>
    <s v="Comprehensive Cooperative Partnership [全面合作伙伴关系]"/>
    <s v="None"/>
    <s v="AFRICOM"/>
    <x v="67"/>
    <x v="26"/>
    <n v="10"/>
    <x v="0"/>
    <m/>
    <m/>
    <m/>
    <m/>
    <x v="0"/>
    <m/>
    <x v="0"/>
    <m/>
    <x v="0"/>
    <m/>
    <s v="NETF"/>
    <s v="2017-10 Peace Ark"/>
    <s v="East Sea Fleet"/>
    <m/>
    <s v="http://eng.chinamil.com.cn/view/2017-10/09/content_7779858.htm"/>
    <m/>
  </r>
  <r>
    <x v="0"/>
    <x v="8"/>
    <s v="Europe and Central Asia"/>
    <s v="Comprehensive Strategic Partnership [全面战略伙伴关系]"/>
    <s v="NATO"/>
    <s v="EUCOM"/>
    <x v="20"/>
    <x v="26"/>
    <n v="10"/>
    <x v="0"/>
    <m/>
    <m/>
    <m/>
    <m/>
    <x v="0"/>
    <m/>
    <x v="0"/>
    <m/>
    <x v="0"/>
    <m/>
    <s v="NETF"/>
    <s v="2017-10 TS83 Qi Jiguang"/>
    <s v="East Sea Fleet"/>
    <s v="TS83 QiJiguang"/>
    <s v="http://english.chinamil.com.cn/view/2017-10/30/content_7805014.htm"/>
    <m/>
  </r>
  <r>
    <x v="1"/>
    <x v="1"/>
    <s v="Asia"/>
    <s v="Comprehensive Strategic Cooperative Partnership [全面战略合作伙伴关系]"/>
    <s v="None"/>
    <s v="INDOPACOM"/>
    <x v="52"/>
    <x v="26"/>
    <n v="10"/>
    <x v="4"/>
    <s v="Chang Wanquan"/>
    <m/>
    <s v="Defense Minister; CMC Member"/>
    <n v="8"/>
    <x v="1"/>
    <s v="Defense Minister"/>
    <x v="0"/>
    <m/>
    <x v="0"/>
    <m/>
    <m/>
    <m/>
    <m/>
    <m/>
    <m/>
    <m/>
  </r>
  <r>
    <x v="1"/>
    <x v="1"/>
    <s v="Asia"/>
    <s v="Comprehensive Strategic Partnership [全面战略伙伴关系]"/>
    <s v="None"/>
    <s v="INDOPACOM"/>
    <x v="10"/>
    <x v="26"/>
    <n v="10"/>
    <x v="7"/>
    <s v="Chang Wanquan"/>
    <m/>
    <s v="Defense Minister; CMC Member"/>
    <n v="8"/>
    <x v="1"/>
    <s v="Defense Minister"/>
    <x v="0"/>
    <m/>
    <x v="0"/>
    <m/>
    <m/>
    <m/>
    <m/>
    <m/>
    <s v="http://www.china.org.cn/world/2017-10/25/content_41788870.htm"/>
    <m/>
  </r>
  <r>
    <x v="1"/>
    <x v="1"/>
    <s v="Asia"/>
    <s v="Strategic Cooperative Partnership [战略合作伙伴关系]"/>
    <s v="Bilateral Defense Treaty"/>
    <s v="INDOPACOM"/>
    <x v="11"/>
    <x v="26"/>
    <n v="10"/>
    <x v="4"/>
    <s v="Chang Wanquan"/>
    <m/>
    <s v="Defense Minister; CMC Member"/>
    <n v="8"/>
    <x v="1"/>
    <s v="President"/>
    <x v="0"/>
    <m/>
    <x v="0"/>
    <m/>
    <m/>
    <m/>
    <m/>
    <m/>
    <s v="http://www.xinhuanet.com//english/2017-10/26/c_136706834.htm; https://www.philstar.com/headlines/2017/10/25/1752613/philippines-china-agree-strengthen-defense-ties"/>
    <m/>
  </r>
  <r>
    <x v="0"/>
    <x v="8"/>
    <s v="Europe and Central Asia"/>
    <s v="Comprehensive Strategic Partnership [全面战略伙伴关系]"/>
    <s v="NATO"/>
    <s v="EUCOM"/>
    <x v="48"/>
    <x v="26"/>
    <n v="10"/>
    <x v="0"/>
    <m/>
    <m/>
    <m/>
    <m/>
    <x v="0"/>
    <m/>
    <x v="0"/>
    <m/>
    <x v="0"/>
    <m/>
    <s v="NETF"/>
    <s v="2017-10 TS83 Qi Jiguang"/>
    <s v="East Sea Fleet"/>
    <s v="TS83 QiJiguang"/>
    <s v="http://english.chinamil.com.cn/view/2017-10/17/content_7790455.htm"/>
    <m/>
  </r>
  <r>
    <x v="1"/>
    <x v="3"/>
    <s v="Europe and Central Asia"/>
    <s v="Comprehensive Collaborative Strategic Partnership [全面战略协作伙伴关系]"/>
    <s v="None"/>
    <s v="EUCOM"/>
    <x v="7"/>
    <x v="26"/>
    <n v="10"/>
    <x v="7"/>
    <s v="Chang Wanquan"/>
    <m/>
    <s v="Defense Minister; CMC Member"/>
    <n v="8"/>
    <x v="1"/>
    <s v="Defense Minister"/>
    <x v="0"/>
    <m/>
    <x v="0"/>
    <m/>
    <m/>
    <m/>
    <m/>
    <m/>
    <s v="http://eng.mil.ru/en/news_page/country/more.htm?id=12148169@egNews"/>
    <m/>
  </r>
  <r>
    <x v="1"/>
    <x v="1"/>
    <s v="Asia"/>
    <s v="All-Round Cooperative Partnership [全方合作伙伴关系]"/>
    <s v="None"/>
    <s v="INDOPACOM"/>
    <x v="39"/>
    <x v="26"/>
    <n v="10"/>
    <x v="7"/>
    <s v="Chang Wanquan"/>
    <m/>
    <s v="Defense Minister; CMC Member"/>
    <n v="8"/>
    <x v="1"/>
    <s v="Defense Minister"/>
    <x v="0"/>
    <m/>
    <x v="0"/>
    <m/>
    <m/>
    <m/>
    <m/>
    <m/>
    <s v="http://english.chinamil.com.cn/view/2017-10/24/content_7798270.htm"/>
    <m/>
  </r>
  <r>
    <x v="1"/>
    <x v="4"/>
    <s v="Asia"/>
    <s v="Strategic Cooperative Partnership [战略合作伙伴关系]"/>
    <s v="Bilateral Defense Treaty"/>
    <s v="INDOPACOM"/>
    <x v="25"/>
    <x v="26"/>
    <n v="10"/>
    <x v="7"/>
    <s v="Chang Wanquan"/>
    <m/>
    <s v="Defense Minister; CMC Member"/>
    <n v="8"/>
    <x v="1"/>
    <s v="Defense Minister"/>
    <x v="0"/>
    <m/>
    <x v="0"/>
    <m/>
    <m/>
    <m/>
    <m/>
    <m/>
    <s v="http://www.china.org.cn/world/2017-10/25/content_41788870.htm"/>
    <m/>
  </r>
  <r>
    <x v="2"/>
    <x v="1"/>
    <s v="Asia"/>
    <s v="Comprehensive Strategic Cooperative Partnership [全面战略合作伙伴关系]"/>
    <s v="Bilateral Defense Treaty"/>
    <s v="INDOPACOM"/>
    <x v="5"/>
    <x v="26"/>
    <n v="10"/>
    <x v="5"/>
    <m/>
    <m/>
    <m/>
    <m/>
    <x v="0"/>
    <m/>
    <x v="2"/>
    <s v="Unnamed"/>
    <x v="2"/>
    <s v="Maritime"/>
    <m/>
    <m/>
    <m/>
    <m/>
    <m/>
    <m/>
  </r>
  <r>
    <x v="0"/>
    <x v="1"/>
    <s v="Asia"/>
    <s v="Comprehensive Strategic Cooperative Partnership [全面战略合作伙伴关系]"/>
    <s v="Bilateral Defense Treaty"/>
    <s v="INDOPACOM"/>
    <x v="5"/>
    <x v="26"/>
    <n v="10"/>
    <x v="0"/>
    <m/>
    <m/>
    <m/>
    <m/>
    <x v="0"/>
    <m/>
    <x v="0"/>
    <m/>
    <x v="0"/>
    <m/>
    <s v="NETF"/>
    <s v="2017-10 DDG150 Changchun"/>
    <s v="East Sea Fleet"/>
    <s v="DDG150 Changchun, FFG532 Jingzhou, AOR890 Chaohu"/>
    <s v="http://www.chinadaily.com.cn/china/2017-10/06/content_32901405.htm"/>
    <s v="Last stop of 20 country, six month series of port calls"/>
  </r>
  <r>
    <x v="0"/>
    <x v="8"/>
    <s v="Europe and Central Asia"/>
    <s v="Comprehensive Strategic Partnership [全面战略伙伴关系]"/>
    <s v="NATO"/>
    <s v="EUCOM"/>
    <x v="21"/>
    <x v="26"/>
    <n v="10"/>
    <x v="0"/>
    <m/>
    <m/>
    <m/>
    <m/>
    <x v="0"/>
    <m/>
    <x v="0"/>
    <m/>
    <x v="0"/>
    <m/>
    <s v="ETF"/>
    <s v="ETF-26"/>
    <s v="East Sea Fleet"/>
    <s v="FFG577 Huanggang, FFG578 Yangzhou"/>
    <s v="http://english.chinamil.com.cn/view/2017-10/06/content_7778058.htm"/>
    <m/>
  </r>
  <r>
    <x v="0"/>
    <x v="0"/>
    <s v="Asia"/>
    <s v="Strategic Cooperative Partnership [战略合作伙伴关系]"/>
    <s v="None"/>
    <s v="INDOPACOM"/>
    <x v="0"/>
    <x v="26"/>
    <n v="11"/>
    <x v="0"/>
    <m/>
    <m/>
    <m/>
    <m/>
    <x v="0"/>
    <m/>
    <x v="0"/>
    <m/>
    <x v="0"/>
    <m/>
    <s v="NETF"/>
    <s v="2017-11 FFG571 Yuncheng"/>
    <s v="East Sea Fleet"/>
    <s v="FFG571 Yuncheng"/>
    <s v=" http://english.chinamil.com.cn/view/2017-11/27/content_7845199.htm; http://english.chinamil.com.cn/view/2017-11/28/content_7847148.htm"/>
    <s v="Had previously participated in Joint Sea 2017 with DDG Hefei"/>
  </r>
  <r>
    <x v="1"/>
    <x v="8"/>
    <s v="Europe and Central Asia"/>
    <s v="Comprehensive Friendly Cooperative Partnership [全面友好合作伙伴关系]"/>
    <s v="NATO"/>
    <s v="EUCOM"/>
    <x v="79"/>
    <x v="26"/>
    <n v="11"/>
    <x v="3"/>
    <s v="Ding Laihang "/>
    <m/>
    <s v="PLAAF Commander "/>
    <n v="6"/>
    <x v="2"/>
    <s v="Commander of Air Force"/>
    <x v="0"/>
    <m/>
    <x v="0"/>
    <m/>
    <m/>
    <m/>
    <m/>
    <m/>
    <s v="http://english.chinamil.com.cn/view/2017-11/28/content_7847062.htm"/>
    <m/>
  </r>
  <r>
    <x v="1"/>
    <x v="7"/>
    <s v="West Asia and Africa"/>
    <s v="No Specific Relationship"/>
    <s v="None"/>
    <s v="AFRICOM"/>
    <x v="132"/>
    <x v="26"/>
    <n v="11"/>
    <x v="3"/>
    <s v="Chang Wanquan"/>
    <m/>
    <s v="Defense Minister; CMC Member"/>
    <n v="8"/>
    <x v="2"/>
    <s v="Minister for Foreign Affairs "/>
    <x v="0"/>
    <m/>
    <x v="0"/>
    <m/>
    <m/>
    <m/>
    <m/>
    <m/>
    <s v="http://english.chinamil.com.cn/view/2017-11/10/content_7819995.htm"/>
    <m/>
  </r>
  <r>
    <x v="2"/>
    <x v="0"/>
    <s v="Asia"/>
    <s v="No Specific Relationship"/>
    <s v="None"/>
    <s v="INDOPACOM"/>
    <x v="164"/>
    <x v="26"/>
    <n v="11"/>
    <x v="6"/>
    <m/>
    <m/>
    <m/>
    <m/>
    <x v="0"/>
    <m/>
    <x v="2"/>
    <s v="International Maritime Search and Rescue Exercise"/>
    <x v="2"/>
    <s v="Search and rescue; held in Bangladesh"/>
    <m/>
    <m/>
    <m/>
    <m/>
    <m/>
    <m/>
  </r>
  <r>
    <x v="0"/>
    <x v="7"/>
    <s v="West Asia and Africa"/>
    <s v="Comprehensive Strategic Cooperative Partnership [全面战略合作伙伴关系]"/>
    <s v="None"/>
    <s v="AFRICOM"/>
    <x v="84"/>
    <x v="26"/>
    <n v="11"/>
    <x v="0"/>
    <m/>
    <m/>
    <m/>
    <m/>
    <x v="0"/>
    <m/>
    <x v="0"/>
    <m/>
    <x v="0"/>
    <m/>
    <s v="NETF"/>
    <s v="2017-11 Peace Ark"/>
    <s v="East Sea Fleet"/>
    <m/>
    <s v="http://english.chinamil.com.cn/view/2017-11/08/content_7816817.htm"/>
    <m/>
  </r>
  <r>
    <x v="1"/>
    <x v="1"/>
    <s v="Asia"/>
    <s v="Comprehensive Strategic Cooperative Partnership [全面战略合作伙伴关系]"/>
    <s v="None"/>
    <s v="INDOPACOM"/>
    <x v="1"/>
    <x v="26"/>
    <n v="11"/>
    <x v="3"/>
    <s v="Xu Qiliang"/>
    <m/>
    <s v="CMC Vice Chairman"/>
    <n v="10"/>
    <x v="2"/>
    <s v="Visiting Commander in Chief"/>
    <x v="0"/>
    <m/>
    <x v="0"/>
    <m/>
    <m/>
    <m/>
    <m/>
    <m/>
    <m/>
    <m/>
  </r>
  <r>
    <x v="1"/>
    <x v="5"/>
    <s v="America and Oceania"/>
    <s v="Comprehensive Strategic Partnership [全面战略伙伴关系]"/>
    <s v="ANZUS Treaty"/>
    <s v="INDOPACOM"/>
    <x v="13"/>
    <x v="26"/>
    <n v="11"/>
    <x v="3"/>
    <s v="Song Puxuan"/>
    <m/>
    <s v="CMC/LSD Director"/>
    <n v="8"/>
    <x v="2"/>
    <s v="Commander of the Logistics Command "/>
    <x v="0"/>
    <m/>
    <x v="0"/>
    <m/>
    <m/>
    <m/>
    <m/>
    <m/>
    <s v="http://english.chinamil.com.cn/view/2017-11/02/content_7810455.htm"/>
    <m/>
  </r>
  <r>
    <x v="1"/>
    <x v="0"/>
    <s v="Asia"/>
    <s v="All-Weather Strategic Cooperative Partnership [全天候战略合作伙伴关系]"/>
    <s v="Major Non-NATO Ally"/>
    <s v="CENTCOM"/>
    <x v="2"/>
    <x v="26"/>
    <n v="11"/>
    <x v="3"/>
    <s v="Li Zuocheng"/>
    <m/>
    <s v="PLAA Commander"/>
    <n v="6"/>
    <x v="2"/>
    <s v="Chief of General Staff"/>
    <x v="0"/>
    <m/>
    <x v="0"/>
    <m/>
    <m/>
    <m/>
    <m/>
    <m/>
    <s v="http://english.chinamil.com.cn/view/2017-11/20/content_7833802.htm"/>
    <m/>
  </r>
  <r>
    <x v="2"/>
    <x v="0"/>
    <s v="Asia"/>
    <s v="All-Weather Strategic Cooperative Partnership [全天候战略合作伙伴关系]"/>
    <s v="Major Non-NATO Ally"/>
    <s v="CENTCOM"/>
    <x v="2"/>
    <x v="26"/>
    <n v="11"/>
    <x v="5"/>
    <m/>
    <m/>
    <m/>
    <m/>
    <x v="0"/>
    <m/>
    <x v="2"/>
    <s v="Unnamed"/>
    <x v="2"/>
    <s v="Maritime"/>
    <m/>
    <m/>
    <m/>
    <m/>
    <m/>
    <m/>
  </r>
  <r>
    <x v="0"/>
    <x v="0"/>
    <s v="Asia"/>
    <s v="Strategic Cooperative Partnership [战略合作伙伴关系]"/>
    <s v="None"/>
    <s v="INDOPACOM"/>
    <x v="3"/>
    <x v="26"/>
    <n v="11"/>
    <x v="0"/>
    <m/>
    <m/>
    <m/>
    <m/>
    <x v="0"/>
    <m/>
    <x v="0"/>
    <m/>
    <x v="0"/>
    <m/>
    <s v="NETF"/>
    <s v="2017-11 TS83 Qi Jiguang"/>
    <s v="East Sea Fleet"/>
    <s v="TS83 QiJiguang"/>
    <s v="http://english.chinamil.com.cn/view/2017-11/15/content_7827412.htm"/>
    <m/>
  </r>
  <r>
    <x v="0"/>
    <x v="7"/>
    <s v="West Asia and Africa"/>
    <s v="Comprehensive Cooperative Partnership [全面合作伙伴关系]"/>
    <s v="None"/>
    <s v="AFRICOM"/>
    <x v="16"/>
    <x v="26"/>
    <n v="11"/>
    <x v="0"/>
    <m/>
    <m/>
    <m/>
    <m/>
    <x v="0"/>
    <m/>
    <x v="0"/>
    <m/>
    <x v="0"/>
    <m/>
    <s v="NETF"/>
    <s v="2017-11 Peace Ark"/>
    <s v="East Sea Fleet"/>
    <m/>
    <s v="http://english.chinamil.com.cn/view/2017-11/20/content_7832446.htm"/>
    <m/>
  </r>
  <r>
    <x v="0"/>
    <x v="1"/>
    <s v="Asia"/>
    <s v="Comprehensive Strategic Cooperative Partnership [全面战略合作伙伴关系]"/>
    <s v="Bilateral Defense Treaty"/>
    <s v="INDOPACOM"/>
    <x v="5"/>
    <x v="26"/>
    <n v="11"/>
    <x v="0"/>
    <m/>
    <m/>
    <m/>
    <m/>
    <x v="0"/>
    <m/>
    <x v="0"/>
    <m/>
    <x v="0"/>
    <m/>
    <s v="NETF"/>
    <s v="2017-11 TS83 Qi Jiguang"/>
    <s v="East Sea Fleet"/>
    <s v="TS83 QiJiguang"/>
    <s v="http://eng.chinamil.com.cn/view/2017-11/27/content_7845180.htm"/>
    <m/>
  </r>
  <r>
    <x v="0"/>
    <x v="1"/>
    <s v="Asia"/>
    <s v="Comprehensive Strategic Cooperative Partnership [全面战略合作伙伴关系]"/>
    <s v="Bilateral Defense Treaty"/>
    <s v="INDOPACOM"/>
    <x v="5"/>
    <x v="26"/>
    <n v="11"/>
    <x v="0"/>
    <m/>
    <m/>
    <m/>
    <m/>
    <x v="0"/>
    <m/>
    <x v="0"/>
    <m/>
    <x v="0"/>
    <m/>
    <s v="NETF"/>
    <s v="2017-11 DDG150 Changchun"/>
    <s v="East Sea Fleet"/>
    <s v="DDG150 Changchun"/>
    <s v="http://english.chinamil.com.cn/view/2017-11/10/content_7820123.htm"/>
    <s v="Participated in International Fleet Review 2017; sailed from Zhoushan"/>
  </r>
  <r>
    <x v="2"/>
    <x v="2"/>
    <s v="America and Oceania"/>
    <s v="No Specific Relationship"/>
    <s v="N/A"/>
    <s v="NORTHCOM"/>
    <x v="4"/>
    <x v="26"/>
    <n v="11"/>
    <x v="5"/>
    <m/>
    <m/>
    <m/>
    <m/>
    <x v="0"/>
    <m/>
    <x v="2"/>
    <s v="13th China-US Disaster Management TTX"/>
    <x v="1"/>
    <s v="Oregon; HADR academic discussion; TTX; and field exchange"/>
    <m/>
    <m/>
    <m/>
    <m/>
    <s v="http://english.chinamil.com.cn/view/2017-11/20/content_7833799.htm; https://www.defense.gov/News/News-Stories/Article/Article/1380334/us-chinese-troops-attend-disaster-management-exchange/"/>
    <m/>
  </r>
  <r>
    <x v="1"/>
    <x v="2"/>
    <s v="America and Oceania"/>
    <s v="No Specific Relationship"/>
    <s v="N/A"/>
    <s v="NORTHCOM"/>
    <x v="4"/>
    <x v="26"/>
    <n v="11"/>
    <x v="4"/>
    <s v="Shao Yuanming"/>
    <m/>
    <s v="CMC/JSD DCJS"/>
    <n v="5"/>
    <x v="1"/>
    <s v="Director for Strategic Plans and Policy of the Joint Chiefs of Staff"/>
    <x v="0"/>
    <m/>
    <x v="0"/>
    <m/>
    <m/>
    <m/>
    <m/>
    <m/>
    <s v="http://english.chinamil.com.cn/view/2017-11/30/content_7851222.htm"/>
    <s v="JSD/DCJS position downgraded to TC deputy grade; position weights adjusted"/>
  </r>
  <r>
    <x v="1"/>
    <x v="7"/>
    <s v="West Asia and Africa"/>
    <s v="No Specific Relationship"/>
    <s v="None"/>
    <s v="AFRICOM"/>
    <x v="61"/>
    <x v="26"/>
    <n v="11"/>
    <x v="3"/>
    <s v="Ding Laihang "/>
    <m/>
    <s v="PLAAF Commander "/>
    <n v="6"/>
    <x v="2"/>
    <s v="Commander of Air Force"/>
    <x v="0"/>
    <m/>
    <x v="0"/>
    <m/>
    <m/>
    <m/>
    <m/>
    <m/>
    <s v="http://english.chinamil.com.cn/view/2017-11/17/content_7831111.htm"/>
    <m/>
  </r>
  <r>
    <x v="1"/>
    <x v="7"/>
    <s v="West Asia and Africa"/>
    <s v="No Specific Relationship"/>
    <s v="None"/>
    <s v="AFRICOM"/>
    <x v="86"/>
    <x v="26"/>
    <n v="11"/>
    <x v="3"/>
    <s v="Chang Wanquan"/>
    <m/>
    <s v="Defense Minister; CMC Member"/>
    <n v="8"/>
    <x v="2"/>
    <s v="Commander of Defense Forces"/>
    <x v="0"/>
    <m/>
    <x v="0"/>
    <m/>
    <m/>
    <m/>
    <m/>
    <m/>
    <s v="http://english.chinamil.com.cn/view/2017-11/09/content_7818645.htm"/>
    <m/>
  </r>
  <r>
    <x v="1"/>
    <x v="0"/>
    <s v="Europe and Central Asia"/>
    <s v="Strategic Partnership [战略伙伴关系]"/>
    <s v="Major Non-NATO Ally"/>
    <s v="CENTCOM"/>
    <x v="123"/>
    <x v="26"/>
    <n v="12"/>
    <x v="3"/>
    <s v="Chang Wanquan"/>
    <m/>
    <s v="Defense Minister; CMC Member"/>
    <n v="8"/>
    <x v="2"/>
    <s v="Defense Minister"/>
    <x v="0"/>
    <m/>
    <x v="0"/>
    <m/>
    <m/>
    <m/>
    <m/>
    <m/>
    <s v="http://english.chinamil.com.cn/view/2017-12/27/content_7886245.htm"/>
    <m/>
  </r>
  <r>
    <x v="2"/>
    <x v="5"/>
    <s v="America and Oceania"/>
    <s v="Comprehensive Strategic Partnership [全面战略伙伴关系]"/>
    <s v="ANZUS Treaty"/>
    <s v="INDOPACOM"/>
    <x v="12"/>
    <x v="26"/>
    <n v="12"/>
    <x v="6"/>
    <m/>
    <m/>
    <m/>
    <m/>
    <x v="0"/>
    <m/>
    <x v="2"/>
    <s v="Cooperation Spirit 2017"/>
    <x v="2"/>
    <s v="Humanitarian aid "/>
    <m/>
    <m/>
    <m/>
    <m/>
    <s v="http://english.chinamil.com.cn/view/2017-12/07/content_7858238.htm"/>
    <m/>
  </r>
  <r>
    <x v="1"/>
    <x v="1"/>
    <s v="Asia"/>
    <s v="Comprehensive Strategic Cooperative Partnership [全面战略合作伙伴关系]"/>
    <s v="None"/>
    <s v="INDOPACOM"/>
    <x v="94"/>
    <x v="26"/>
    <n v="12"/>
    <x v="3"/>
    <s v="Ma Yiming"/>
    <m/>
    <s v="CMC/JSD DCJS"/>
    <n v="5"/>
    <x v="2"/>
    <s v="Deputy Commander in Chief"/>
    <x v="0"/>
    <m/>
    <x v="0"/>
    <m/>
    <m/>
    <m/>
    <m/>
    <m/>
    <m/>
    <s v="JSD/DCJS position downgraded to TC deputy grade; position weights adjusted"/>
  </r>
  <r>
    <x v="0"/>
    <x v="1"/>
    <s v="Asia"/>
    <s v="Comprehensive Cooperative Partnership [全面合作伙伴关系]"/>
    <s v="None"/>
    <s v="INDOPACOM"/>
    <x v="50"/>
    <x v="26"/>
    <n v="12"/>
    <x v="0"/>
    <m/>
    <m/>
    <m/>
    <m/>
    <x v="0"/>
    <m/>
    <x v="0"/>
    <m/>
    <x v="0"/>
    <m/>
    <s v="NETF"/>
    <s v="2017-12 Peace Ark"/>
    <s v="East Sea Fleet "/>
    <m/>
    <s v="http://eng.chinamil.com.cn/view/2017-12/15/content_7870166.htm"/>
    <m/>
  </r>
  <r>
    <x v="2"/>
    <x v="1"/>
    <s v="Asia"/>
    <s v="Comprehensive Cooperative Partnership [全面合作伙伴关系]"/>
    <s v="None"/>
    <s v="INDOPACOM"/>
    <x v="50"/>
    <x v="26"/>
    <n v="12"/>
    <x v="5"/>
    <m/>
    <m/>
    <m/>
    <m/>
    <x v="0"/>
    <m/>
    <x v="2"/>
    <s v="Unnamed"/>
    <x v="2"/>
    <s v="Humanitarian assistance and disaster relief"/>
    <m/>
    <m/>
    <m/>
    <m/>
    <m/>
    <m/>
  </r>
  <r>
    <x v="1"/>
    <x v="7"/>
    <s v="West Asia and Africa"/>
    <s v="Comprehensive Cooperative Partnership [全面合作伙伴关系]"/>
    <s v="None"/>
    <s v="AFRICOM"/>
    <x v="67"/>
    <x v="26"/>
    <n v="12"/>
    <x v="3"/>
    <s v="Chang Wanquan"/>
    <m/>
    <s v="Defense Minister; CMC Member"/>
    <n v="8"/>
    <x v="2"/>
    <s v="Defense Minister"/>
    <x v="0"/>
    <m/>
    <x v="0"/>
    <m/>
    <m/>
    <m/>
    <m/>
    <m/>
    <s v="http://english.chinamil.com.cn/view/2017-12/19/content_7873974.htm"/>
    <m/>
  </r>
  <r>
    <x v="1"/>
    <x v="9"/>
    <s v="West Asia and Africa"/>
    <s v="Comprehensive Strategic Partnership [全面战略伙伴关系]"/>
    <s v="None"/>
    <s v="CENTCOM"/>
    <x v="89"/>
    <x v="26"/>
    <n v="12"/>
    <x v="3"/>
    <s v="Chang Wanquan"/>
    <m/>
    <s v="Defense Minister; CMC Member"/>
    <n v="8"/>
    <x v="2"/>
    <s v="Defense Minister"/>
    <x v="0"/>
    <m/>
    <x v="0"/>
    <m/>
    <m/>
    <m/>
    <m/>
    <m/>
    <s v="http://english.chinamil.com.cn/view/2017-12/11/content_7863222.htm"/>
    <m/>
  </r>
  <r>
    <x v="1"/>
    <x v="7"/>
    <s v="West Asia and Africa"/>
    <s v="Comprehensive Strategic Cooperative Partnership [全面战略合作伙伴关系]"/>
    <s v="None"/>
    <s v="AFRICOM"/>
    <x v="84"/>
    <x v="26"/>
    <n v="12"/>
    <x v="3"/>
    <s v="Li Zuocheng"/>
    <m/>
    <s v="CMC/JSD CJS"/>
    <n v="8"/>
    <x v="2"/>
    <s v="Chief of General Staff"/>
    <x v="0"/>
    <m/>
    <x v="0"/>
    <m/>
    <m/>
    <m/>
    <m/>
    <m/>
    <s v="http://english.chinamil.com.cn/view/2017-12/13/content_7865423.htm; http://english.chinamil.com.cn/view/2017-12/21/content_7878182.htm"/>
    <m/>
  </r>
  <r>
    <x v="2"/>
    <x v="0"/>
    <s v="Asia"/>
    <s v="All-Weather Strategic Cooperative Partnership [全天候战略合作伙伴关系]"/>
    <s v="Major Non-NATO Ally"/>
    <s v="CENTCOM"/>
    <x v="2"/>
    <x v="26"/>
    <n v="12"/>
    <x v="5"/>
    <m/>
    <m/>
    <m/>
    <m/>
    <x v="0"/>
    <m/>
    <x v="4"/>
    <s v="Friend-2017"/>
    <x v="2"/>
    <s v="Anti-piracy"/>
    <m/>
    <m/>
    <m/>
    <m/>
    <s v="http://english.chinamil.com.cn/view/2017-12/05/content_7855318.htm"/>
    <m/>
  </r>
  <r>
    <x v="1"/>
    <x v="3"/>
    <s v="Europe and Central Asia"/>
    <s v="Comprehensive Collaborative Strategic Partnership [全面战略协作伙伴关系]"/>
    <s v="None"/>
    <s v="EUCOM"/>
    <x v="7"/>
    <x v="26"/>
    <n v="12"/>
    <x v="4"/>
    <s v="Zhang Youxia"/>
    <m/>
    <s v="CMC Vice Chairman"/>
    <n v="10"/>
    <x v="1"/>
    <s v="Defense Minister"/>
    <x v="0"/>
    <m/>
    <x v="0"/>
    <m/>
    <m/>
    <m/>
    <m/>
    <m/>
    <s v="http://english.chinamil.com.cn/view/2017-12/21/content_7878182.htm; http://english.chinamil.com.cn/view/2017-12/06/content_7857475.htm"/>
    <m/>
  </r>
  <r>
    <x v="2"/>
    <x v="3"/>
    <s v="Europe and Central Asia"/>
    <s v="Comprehensive Collaborative Strategic Partnership [全面战略协作伙伴关系]"/>
    <s v="None"/>
    <s v="EUCOM"/>
    <x v="7"/>
    <x v="26"/>
    <n v="12"/>
    <x v="5"/>
    <m/>
    <m/>
    <m/>
    <m/>
    <x v="0"/>
    <m/>
    <x v="1"/>
    <s v="Cooperation 2017"/>
    <x v="4"/>
    <s v="Held in Yinchuan; &quot;training of assault into buildings, searching and combating in blocks and anti-hijacking of bus&quot;"/>
    <m/>
    <m/>
    <m/>
    <m/>
    <s v="http://english.chinamil.com.cn/view/2017-12/09/content_7861253.htm"/>
    <m/>
  </r>
  <r>
    <x v="2"/>
    <x v="3"/>
    <s v="Europe and Central Asia"/>
    <s v="Comprehensive Collaborative Strategic Partnership [全面战略协作伙伴关系]"/>
    <s v="None"/>
    <s v="EUCOM"/>
    <x v="7"/>
    <x v="26"/>
    <n v="12"/>
    <x v="5"/>
    <m/>
    <m/>
    <m/>
    <m/>
    <x v="0"/>
    <m/>
    <x v="7"/>
    <s v="Aerospace Security 2017"/>
    <x v="5"/>
    <s v="Computer-enabled missile defense exercise (TTX).  Held at  Air Defense and Anti-Missile Defense Research Institute of the Air Force Academy of the Chinese People's Liberation Army in Beijing."/>
    <m/>
    <m/>
    <m/>
    <m/>
    <s v="2019 Defense White Paper "/>
    <s v="Included even though it is a CPX due to the strategic significance of the exercise subject"/>
  </r>
  <r>
    <x v="1"/>
    <x v="1"/>
    <s v="Asia"/>
    <s v="All-Round Cooperative Partnership [全方合作伙伴关系]"/>
    <s v="None"/>
    <s v="INDOPACOM"/>
    <x v="39"/>
    <x v="26"/>
    <n v="12"/>
    <x v="4"/>
    <s v="Jiang Guoping"/>
    <m/>
    <s v="CMC/JSD Assistant Commander"/>
    <n v="5"/>
    <x v="1"/>
    <s v="Defense Minister"/>
    <x v="0"/>
    <m/>
    <x v="0"/>
    <m/>
    <m/>
    <m/>
    <m/>
    <m/>
    <s v="http://english.chinamil.com.cn/view/2017-12/13/content_7866854.htm"/>
    <s v="Added source"/>
  </r>
  <r>
    <x v="1"/>
    <x v="6"/>
    <s v="Europe and Central Asia"/>
    <s v="Comprehensive Strategic Partnership [全面战略伙伴关系]"/>
    <s v="None"/>
    <s v="CENTCOM"/>
    <x v="73"/>
    <x v="26"/>
    <n v="12"/>
    <x v="4"/>
    <s v="Chang Wanquan"/>
    <m/>
    <s v="Defense Minister; CMC Member"/>
    <n v="8"/>
    <x v="1"/>
    <s v="Major General"/>
    <x v="0"/>
    <m/>
    <x v="0"/>
    <m/>
    <m/>
    <m/>
    <m/>
    <m/>
    <s v="http://english.chinamil.com.cn/view/2017-12/14/content_7868625.htm; http://english.chinamil.com.cn/view/2017-12/20/content_7877799.htm"/>
    <m/>
  </r>
  <r>
    <x v="0"/>
    <x v="7"/>
    <s v="West Asia and Africa"/>
    <s v="Comprehensive Strategic Partnership [全面战略伙伴关系]"/>
    <s v="None"/>
    <s v="AFRICOM"/>
    <x v="76"/>
    <x v="27"/>
    <n v="1"/>
    <x v="0"/>
    <m/>
    <m/>
    <m/>
    <m/>
    <x v="0"/>
    <m/>
    <x v="0"/>
    <m/>
    <x v="0"/>
    <m/>
    <s v="ETF"/>
    <s v="ETF-27"/>
    <s v="South Sea Fleet"/>
    <s v="DDG171 Haikou, FFG575 Yueyang"/>
    <s v="http://english.chinamil.com.cn/view/2018-01/09/content_7901186.htm"/>
    <m/>
  </r>
  <r>
    <x v="0"/>
    <x v="7"/>
    <s v="West Asia and Africa"/>
    <s v="Strategic Partnership [战略伙伴关系]"/>
    <s v="Major Non-NATO Ally"/>
    <s v="AFRICOM"/>
    <x v="27"/>
    <x v="27"/>
    <n v="1"/>
    <x v="0"/>
    <m/>
    <m/>
    <m/>
    <m/>
    <x v="0"/>
    <m/>
    <x v="0"/>
    <m/>
    <x v="0"/>
    <m/>
    <s v="ETF"/>
    <s v="ETF-27"/>
    <s v="South Sea Fleet"/>
    <s v="DDG171 Haikou, FFG575 Yueyang"/>
    <s v="http://english.chinamil.com.cn/view/2018-01/30/content_7926171.htm"/>
    <m/>
  </r>
  <r>
    <x v="1"/>
    <x v="1"/>
    <s v="Asia"/>
    <s v="Comprehensive Strategic Cooperative Partnership [全面战略合作伙伴关系]"/>
    <s v="None"/>
    <s v="INDOPACOM"/>
    <x v="1"/>
    <x v="27"/>
    <n v="1"/>
    <x v="3"/>
    <s v="Chang Wanquan"/>
    <m/>
    <s v="Defense Minister; CMC Member"/>
    <n v="8"/>
    <x v="2"/>
    <s v="Navy Commander"/>
    <x v="0"/>
    <m/>
    <x v="0"/>
    <m/>
    <m/>
    <m/>
    <m/>
    <m/>
    <s v="http://www.81.cn/jwzb/2018-01/12/content_7906916.htm; http://english.chinamil.com.cn/view/2018-01/17/content_7912398.htm"/>
    <s v="Added; MINDEF and MY Navy Chief as participants"/>
  </r>
  <r>
    <x v="1"/>
    <x v="1"/>
    <s v="Asia"/>
    <s v="Comprehensive Strategic Cooperative Partnership [全面战略合作伙伴关系]"/>
    <s v="None"/>
    <s v="INDOPACOM"/>
    <x v="1"/>
    <x v="27"/>
    <n v="1"/>
    <x v="4"/>
    <s v="Shao Yuanming"/>
    <m/>
    <s v="CMC/JSD DCJS"/>
    <n v="5"/>
    <x v="2"/>
    <s v="Minister of International Cooperation "/>
    <x v="0"/>
    <m/>
    <x v="0"/>
    <m/>
    <m/>
    <m/>
    <m/>
    <m/>
    <s v="http://english.chinamil.com.cn/view/2018-01/17/content_7912398.htm; http://www.xinhuanet.com/english/2018-01/17/c_136903260.htm"/>
    <s v="diplomacy and defense talks; original entry miscoded as hosted visit; JSD/DCJS position downgraded so position weight adjusted"/>
  </r>
  <r>
    <x v="0"/>
    <x v="7"/>
    <s v="West Asia and Africa"/>
    <s v="No Specific Relationship"/>
    <s v="Major Non-NATO Ally"/>
    <s v="AFRICOM"/>
    <x v="85"/>
    <x v="27"/>
    <n v="1"/>
    <x v="0"/>
    <m/>
    <m/>
    <m/>
    <m/>
    <x v="0"/>
    <m/>
    <x v="0"/>
    <m/>
    <x v="0"/>
    <m/>
    <s v="ETF"/>
    <s v="ETF-27"/>
    <s v="South Sea Fleet"/>
    <s v="DDG171 Haikou, FFG575 Yueyang"/>
    <s v="http://english.chinamil.com.cn/view/2018-01/23/content_7918716.htm"/>
    <m/>
  </r>
  <r>
    <x v="1"/>
    <x v="1"/>
    <s v="Asia"/>
    <s v="Strategic Partnership [战略伙伴关系] for Peace and Prosperity"/>
    <s v="None"/>
    <s v="INDOPACOM"/>
    <x v="153"/>
    <x v="27"/>
    <n v="2"/>
    <x v="1"/>
    <s v="Chang Wanquan"/>
    <m/>
    <s v="Defense Minister; CMC Member"/>
    <n v="8"/>
    <x v="1"/>
    <s v="Eighth China-ASEAN Defense Ministers' Informal Meeting in Singapore"/>
    <x v="0"/>
    <m/>
    <x v="0"/>
    <m/>
    <m/>
    <m/>
    <m/>
    <m/>
    <s v="http://eng.chinamil.com.cn/view/2018-02/08/content_7938520.htm"/>
    <s v="corrected partnership to strategic partnership for peace and prosperity"/>
  </r>
  <r>
    <x v="1"/>
    <x v="7"/>
    <s v="West Asia and Africa"/>
    <s v="Comprehensive Cooperative Partnership [全面合作伙伴关系]"/>
    <s v="None"/>
    <s v="AFRICOM"/>
    <x v="46"/>
    <x v="27"/>
    <n v="2"/>
    <x v="4"/>
    <s v="Chang Wanquan"/>
    <m/>
    <s v="Defense Minister; CMC Member"/>
    <n v="8"/>
    <x v="1"/>
    <s v="Defense Minister"/>
    <x v="0"/>
    <m/>
    <x v="0"/>
    <m/>
    <m/>
    <m/>
    <m/>
    <m/>
    <s v="http://www.xinhuanet.com/english/2018-02/26/c_137001512.htm"/>
    <m/>
  </r>
  <r>
    <x v="1"/>
    <x v="7"/>
    <s v="West Asia and Africa"/>
    <s v="Comprehensive Cooperative Partnership [全面合作伙伴关系]"/>
    <s v="None"/>
    <s v="AFRICOM"/>
    <x v="67"/>
    <x v="27"/>
    <n v="2"/>
    <x v="4"/>
    <s v="Chang Wanquan"/>
    <m/>
    <s v="Defense Minister; CMC Member"/>
    <n v="8"/>
    <x v="1"/>
    <s v="Defense Minister"/>
    <x v="0"/>
    <m/>
    <x v="0"/>
    <m/>
    <m/>
    <m/>
    <m/>
    <m/>
    <s v="http://english.chinamil.com.cn/view/2018-02/26/content_7952675.htm"/>
    <m/>
  </r>
  <r>
    <x v="1"/>
    <x v="1"/>
    <s v="Asia"/>
    <s v="All-Round Cooperative Partnership [全方合作伙伴关系]"/>
    <s v="None"/>
    <s v="INDOPACOM"/>
    <x v="39"/>
    <x v="27"/>
    <n v="2"/>
    <x v="4"/>
    <s v="Chang Wanquan"/>
    <m/>
    <s v="Defense Minister; CMC Member"/>
    <n v="8"/>
    <x v="1"/>
    <s v="Defense Minister"/>
    <x v="0"/>
    <m/>
    <x v="0"/>
    <m/>
    <m/>
    <m/>
    <m/>
    <m/>
    <s v="http://english.chinamil.com.cn/view/2018-02/06/content_7934820.htm; http://www.xinhuanet.com/overseas/2018-02/07/c_1122383474.htm."/>
    <s v="BL with SG and informal meeting with ASEAN Defense Ministers"/>
  </r>
  <r>
    <x v="0"/>
    <x v="7"/>
    <s v="West Asia and Africa"/>
    <s v="Comprehensive Strategic Partnership [全面战略伙伴关系]"/>
    <s v="None"/>
    <s v="AFRICOM"/>
    <x v="15"/>
    <x v="27"/>
    <n v="2"/>
    <x v="9"/>
    <m/>
    <m/>
    <m/>
    <m/>
    <x v="0"/>
    <m/>
    <x v="0"/>
    <m/>
    <x v="0"/>
    <m/>
    <s v="ETF"/>
    <s v="ETF-27"/>
    <s v="South Sea Fleet"/>
    <s v="DDG171 Haikou, FFG575 Yueyang"/>
    <s v="http://english.chinamil.com.cn/view/2018-02/24/content_7950974.htm; http://www.mod.gov.cn/action/2018-02/22/content_4805180.htm"/>
    <s v="Recoded as replenishment port call based on Chinese source"/>
  </r>
  <r>
    <x v="2"/>
    <x v="1"/>
    <s v="Asia"/>
    <s v="Comprehensive Strategic Cooperative Partnership [全面战略合作伙伴关系]"/>
    <s v="Bilateral Defense Treaty"/>
    <s v="INDOPACOM"/>
    <x v="5"/>
    <x v="27"/>
    <n v="2"/>
    <x v="6"/>
    <m/>
    <m/>
    <m/>
    <m/>
    <x v="0"/>
    <m/>
    <x v="2"/>
    <s v="Cobra Gold 2018"/>
    <x v="1"/>
    <s v="Humanitarian assistance and disaster relief. Other countries: United States, Japan, Malaysia, Singapore."/>
    <m/>
    <m/>
    <m/>
    <m/>
    <s v="https://www.marines.mil/News/News-Display/Article/1448893/cobra-gold-18-hadr-x/"/>
    <m/>
  </r>
  <r>
    <x v="2"/>
    <x v="1"/>
    <s v="Asia"/>
    <s v="Comprehensive Strategic Cooperative Partnership [全面战略合作伙伴关系]"/>
    <s v="None"/>
    <s v="INDOPACOM"/>
    <x v="94"/>
    <x v="27"/>
    <n v="3"/>
    <x v="5"/>
    <m/>
    <m/>
    <m/>
    <m/>
    <x v="0"/>
    <m/>
    <x v="1"/>
    <s v="Golden Dragon 2018"/>
    <x v="1"/>
    <s v="Anti-terrorism drills"/>
    <m/>
    <m/>
    <m/>
    <m/>
    <s v="http://english.chinamil.com.cn/view/2018-03/13/content_7970888.htm"/>
    <m/>
  </r>
  <r>
    <x v="2"/>
    <x v="8"/>
    <s v="Europe and Central Asia"/>
    <s v="Comprehensive Strategic Partnership [全面战略伙伴关系]"/>
    <s v="NATO"/>
    <s v="EUCOM"/>
    <x v="22"/>
    <x v="27"/>
    <n v="3"/>
    <x v="5"/>
    <m/>
    <m/>
    <m/>
    <m/>
    <x v="0"/>
    <m/>
    <x v="2"/>
    <s v="Unknown"/>
    <x v="2"/>
    <s v="search and rescue and communications drills with Qinzhou [钦州舰] and the French Navy’s frigate Vendémiaire; 1st foreign exercise by PLA HK Garrison"/>
    <m/>
    <m/>
    <m/>
    <m/>
    <s v="http://tv.cctv.com/2018/03/03/VIDEVzo6ryVONOpaWJEKh2h8180303.shtml"/>
    <s v="added source and exercise details; still coded as MOOTW"/>
  </r>
  <r>
    <x v="1"/>
    <x v="1"/>
    <s v="Asia"/>
    <s v="Comprehensive Strategic Cooperative Partnership [全面战略合作伙伴关系]"/>
    <s v="Bilateral Defense Treaty"/>
    <s v="INDOPACOM"/>
    <x v="5"/>
    <x v="27"/>
    <n v="3"/>
    <x v="3"/>
    <s v="Wei Fenghe"/>
    <m/>
    <s v="Defense Minister; CMC Member"/>
    <n v="8"/>
    <x v="2"/>
    <s v="Defense Minister"/>
    <x v="0"/>
    <m/>
    <x v="0"/>
    <m/>
    <m/>
    <m/>
    <m/>
    <m/>
    <s v="http://english.chinamil.com.cn/view/2018-03/26/content_7984027.htm"/>
    <m/>
  </r>
  <r>
    <x v="1"/>
    <x v="8"/>
    <s v="Europe and Central Asia"/>
    <s v="Friendly Cooperative Partnership [友好合作伙伴关系]"/>
    <s v="None"/>
    <s v="EUCOM"/>
    <x v="57"/>
    <x v="27"/>
    <n v="4"/>
    <x v="3"/>
    <s v="Xu Qiliang"/>
    <m/>
    <s v="CMC Vice Chairman"/>
    <n v="10"/>
    <x v="2"/>
    <s v="Defense Minister"/>
    <x v="0"/>
    <m/>
    <x v="0"/>
    <m/>
    <m/>
    <m/>
    <m/>
    <m/>
    <s v="http://english.chinamil.com.cn/view/2018-04/28/content_8019280.htm; http://www.81.cn/jwzb/2018-04/27/content_8018327.htm"/>
    <s v="Hosted by DEFMIN Wei"/>
  </r>
  <r>
    <x v="1"/>
    <x v="8"/>
    <s v="Europe and Central Asia"/>
    <s v="Comprehensive Strategic Partnership [全面战略伙伴关系]"/>
    <s v="None"/>
    <s v="EUCOM"/>
    <x v="34"/>
    <x v="27"/>
    <n v="4"/>
    <x v="4"/>
    <s v="Wei Fenghe"/>
    <m/>
    <s v="Defense Minister; CMC Member"/>
    <n v="8"/>
    <x v="1"/>
    <s v="Defense Minister"/>
    <x v="0"/>
    <m/>
    <x v="0"/>
    <m/>
    <m/>
    <m/>
    <m/>
    <m/>
    <s v="http://english.chinamil.com.cn/view/2018-03/30/content_7988151.htm"/>
    <m/>
  </r>
  <r>
    <x v="1"/>
    <x v="8"/>
    <s v="Europe and Central Asia"/>
    <s v="Comprehensive Strategic Partnership [全面战略伙伴关系]"/>
    <s v="None"/>
    <s v="EUCOM"/>
    <x v="34"/>
    <x v="27"/>
    <n v="4"/>
    <x v="3"/>
    <s v="Zhang Youxia"/>
    <m/>
    <s v="CMC Vice Chairman"/>
    <n v="10"/>
    <x v="2"/>
    <s v="Defense Minister"/>
    <x v="0"/>
    <m/>
    <x v="0"/>
    <m/>
    <m/>
    <m/>
    <m/>
    <m/>
    <s v="http://english.chinamil.com.cn/view/2018-04/25/content_8014470.htm"/>
    <m/>
  </r>
  <r>
    <x v="1"/>
    <x v="1"/>
    <s v="Asia"/>
    <s v="Comprehensive Strategic Cooperative Partnership [全面战略合作伙伴关系]"/>
    <s v="None"/>
    <s v="INDOPACOM"/>
    <x v="94"/>
    <x v="27"/>
    <n v="4"/>
    <x v="3"/>
    <s v="Wei Fenghe"/>
    <m/>
    <s v="Defense Minister; CMC Member"/>
    <n v="8"/>
    <x v="2"/>
    <s v="Deputy Commander in Chief"/>
    <x v="0"/>
    <m/>
    <x v="0"/>
    <m/>
    <m/>
    <m/>
    <m/>
    <m/>
    <s v="http://english.chinamil.com.cn/view/2018-04/26/content_8017075.htm"/>
    <m/>
  </r>
  <r>
    <x v="1"/>
    <x v="0"/>
    <s v="Asia"/>
    <s v="Strategic Partnership for Peace and Prosperity [战略伙伴关系]"/>
    <s v="None"/>
    <s v="INDOPACOM"/>
    <x v="6"/>
    <x v="27"/>
    <n v="4"/>
    <x v="7"/>
    <s v="Wei Fenghe"/>
    <m/>
    <s v="Defense Minister; CMC Member"/>
    <n v="8"/>
    <x v="2"/>
    <s v="Defense Minister; BL at SCO"/>
    <x v="0"/>
    <m/>
    <x v="0"/>
    <m/>
    <m/>
    <m/>
    <m/>
    <m/>
    <s v="http://www.81.cn/jmywyl/2018-04/24/content_8013935.htm"/>
    <s v="BL on margins of SCO DEFMIN meeting in Beijing"/>
  </r>
  <r>
    <x v="1"/>
    <x v="6"/>
    <s v="Europe and Central Asia"/>
    <s v="Comprehensive Strategic Partnership [全面战略伙伴关系]"/>
    <s v="None"/>
    <s v="CENTCOM"/>
    <x v="30"/>
    <x v="27"/>
    <n v="4"/>
    <x v="7"/>
    <s v="Wei Fenghe"/>
    <m/>
    <s v="Defense Minister; CMC Member"/>
    <n v="8"/>
    <x v="2"/>
    <s v="Defense Minister; BL at SCO"/>
    <x v="0"/>
    <m/>
    <x v="0"/>
    <m/>
    <m/>
    <m/>
    <m/>
    <m/>
    <s v="http://lenta.inform.kz/en/kazakh-chinese-defense-ministers-praise-high-level-of-coop_a3229921"/>
    <s v="Reflect BL at SCO"/>
  </r>
  <r>
    <x v="1"/>
    <x v="6"/>
    <s v="Europe and Central Asia"/>
    <s v="Comprehensive Strategic Partnership [全面战略伙伴关系]"/>
    <s v="None"/>
    <s v="CENTCOM"/>
    <x v="31"/>
    <x v="27"/>
    <n v="4"/>
    <x v="7"/>
    <s v="Wei Fenghe"/>
    <m/>
    <s v="Defense Minister; CMC Member"/>
    <n v="8"/>
    <x v="2"/>
    <s v="Defense Minister; BL at SCO"/>
    <x v="0"/>
    <m/>
    <x v="0"/>
    <m/>
    <m/>
    <m/>
    <m/>
    <m/>
    <s v="http://lenta.inform.kz/en/kazakh-chinese-defense-ministers-praise-high-level-of-coop_a3229921 "/>
    <m/>
  </r>
  <r>
    <x v="1"/>
    <x v="1"/>
    <s v="Asia"/>
    <s v="Comprehensive Strategic Cooperative Partnership [全面战略合作伙伴关系]"/>
    <s v="None"/>
    <s v="INDOPACOM"/>
    <x v="52"/>
    <x v="27"/>
    <n v="4"/>
    <x v="3"/>
    <s v="Zhang Youxia"/>
    <m/>
    <s v="CMC Vice Chairman"/>
    <n v="10"/>
    <x v="2"/>
    <s v="Defense Minister"/>
    <x v="0"/>
    <m/>
    <x v="0"/>
    <m/>
    <m/>
    <m/>
    <m/>
    <m/>
    <s v="http://english.chinamil.com.cn/view/2018-04/25/content_8014470.htm"/>
    <m/>
  </r>
  <r>
    <x v="1"/>
    <x v="0"/>
    <s v="Asia"/>
    <s v="All-Weather Strategic Cooperative Partnership [全天候战略合作伙伴关系]"/>
    <s v="Major Non-NATO Ally"/>
    <s v="CENTCOM"/>
    <x v="2"/>
    <x v="27"/>
    <n v="4"/>
    <x v="7"/>
    <s v="Wei Fenghe"/>
    <m/>
    <s v="Defense Minister; CMC Member"/>
    <n v="8"/>
    <x v="2"/>
    <s v="Defense Minister; BL at SCO "/>
    <x v="0"/>
    <m/>
    <x v="0"/>
    <m/>
    <m/>
    <m/>
    <m/>
    <m/>
    <s v="http://www.81.cn/jmywyl/2018-04/24/content_8013935.htm "/>
    <s v="BL on margins of SCO DEFMIN meeting in Beijing"/>
  </r>
  <r>
    <x v="1"/>
    <x v="0"/>
    <s v="Asia"/>
    <s v="All-Weather Strategic Cooperative Partnership [全天候战略合作伙伴关系]"/>
    <s v="Major Non-NATO Ally"/>
    <s v="CENTCOM"/>
    <x v="2"/>
    <x v="27"/>
    <n v="4"/>
    <x v="3"/>
    <s v="Wei Fenghe"/>
    <m/>
    <s v="Defense Minister; CMC Member"/>
    <n v="8"/>
    <x v="2"/>
    <s v="Navy Chief of Staff"/>
    <x v="0"/>
    <m/>
    <x v="0"/>
    <m/>
    <m/>
    <m/>
    <m/>
    <m/>
    <s v="http://english.chinamil.com.cn/view/2018-04/19/content_8009037.htm"/>
    <m/>
  </r>
  <r>
    <x v="1"/>
    <x v="3"/>
    <s v="Europe and Central Asia"/>
    <s v="Comprehensive Collaborative Strategic Partnership [全面战略协作伙伴关系]"/>
    <s v="None"/>
    <s v="EUCOM"/>
    <x v="7"/>
    <x v="27"/>
    <n v="4"/>
    <x v="4"/>
    <s v="Wei Fenghe"/>
    <m/>
    <s v="Defense Minister; CMC Member"/>
    <n v="8"/>
    <x v="1"/>
    <s v="Defense Minister"/>
    <x v="0"/>
    <m/>
    <x v="0"/>
    <m/>
    <m/>
    <m/>
    <m/>
    <m/>
    <s v="http://english.chinamil.com.cn/view/2018-03/30/content_7988151.htm"/>
    <s v="Wei made remarks at 7th Moscow Conference on International Security; first trip abroad as DEFMIN"/>
  </r>
  <r>
    <x v="1"/>
    <x v="3"/>
    <s v="Europe and Central Asia"/>
    <s v="Comprehensive Collaborative Strategic Partnership [全面战略协作伙伴关系]"/>
    <s v="None"/>
    <s v="EUCOM"/>
    <x v="7"/>
    <x v="27"/>
    <n v="4"/>
    <x v="3"/>
    <s v="Xu Qiliang"/>
    <m/>
    <s v="CMC Vice Chairman"/>
    <n v="10"/>
    <x v="2"/>
    <s v="Defense Minister"/>
    <x v="0"/>
    <m/>
    <x v="0"/>
    <m/>
    <m/>
    <m/>
    <m/>
    <m/>
    <s v="http://english.chinamil.com.cn/view/2018-04/24/content_8013937.htm"/>
    <m/>
  </r>
  <r>
    <x v="1"/>
    <x v="6"/>
    <s v="Europe and Central Asia"/>
    <s v="Member"/>
    <s v="None"/>
    <s v="CENTCOM"/>
    <x v="14"/>
    <x v="27"/>
    <n v="4"/>
    <x v="2"/>
    <s v="Wei Fenghe"/>
    <m/>
    <s v="Defense Minister; CMC Member"/>
    <n v="8"/>
    <x v="2"/>
    <s v="15th official meeting of the SCO Defense Ministers"/>
    <x v="0"/>
    <m/>
    <x v="0"/>
    <m/>
    <m/>
    <m/>
    <m/>
    <m/>
    <s v="http://eng.sectsco.org/news/20190430/533861.html"/>
    <m/>
  </r>
  <r>
    <x v="1"/>
    <x v="6"/>
    <s v="Europe and Central Asia"/>
    <s v="Comprehensive Strategic Partnership [全面战略伙伴关系]"/>
    <s v="None"/>
    <s v="CENTCOM"/>
    <x v="60"/>
    <x v="27"/>
    <n v="4"/>
    <x v="7"/>
    <s v="Wei Fenghe"/>
    <m/>
    <s v="Defense Minister; CMC Member"/>
    <n v="8"/>
    <x v="2"/>
    <s v="Defense Minister; BL at SCO"/>
    <x v="0"/>
    <m/>
    <x v="0"/>
    <m/>
    <m/>
    <m/>
    <m/>
    <m/>
    <s v="http://www.81.cn/jmywyl/2018-04/24/content_8013935.htm"/>
    <s v="BL on margins of SCO DEFMIN meeting in Beijing"/>
  </r>
  <r>
    <x v="1"/>
    <x v="6"/>
    <s v="Europe and Central Asia"/>
    <s v="Comprehensive Strategic Partnership [全面战略伙伴关系]"/>
    <s v="None"/>
    <s v="CENTCOM"/>
    <x v="73"/>
    <x v="27"/>
    <n v="4"/>
    <x v="3"/>
    <s v="Zhang Youxia"/>
    <m/>
    <s v="CMC Vice Chairman"/>
    <n v="10"/>
    <x v="2"/>
    <s v="Defense Minister"/>
    <x v="0"/>
    <m/>
    <x v="0"/>
    <m/>
    <m/>
    <m/>
    <m/>
    <m/>
    <s v="http://english.chinamil.com.cn/view/2018-04/23/content_8012465.htm; http://www.81.cn/jwzb/2018-04/24/content_8014051_1.htm"/>
    <s v="Hosted by DEFMIN Wei"/>
  </r>
  <r>
    <x v="1"/>
    <x v="8"/>
    <s v="Europe and Central Asia"/>
    <s v="Friendly Strategic Partnership [战略伙伴关系]"/>
    <s v="NATO"/>
    <s v="EUCOM"/>
    <x v="108"/>
    <x v="27"/>
    <n v="5"/>
    <x v="3"/>
    <s v="Wei Fenghe"/>
    <m/>
    <s v="Defense Minister; CMC Member"/>
    <n v="8"/>
    <x v="2"/>
    <s v="Chief of Defense Forces"/>
    <x v="0"/>
    <m/>
    <x v="0"/>
    <m/>
    <m/>
    <m/>
    <m/>
    <m/>
    <s v="http://english.chinamil.com.cn/view/2018-05/30/content_8046045.htm"/>
    <m/>
  </r>
  <r>
    <x v="0"/>
    <x v="9"/>
    <s v="West Asia and Africa"/>
    <s v="Strategic Partnership [战略伙伴关系]"/>
    <s v="None"/>
    <s v="CENTCOM"/>
    <x v="119"/>
    <x v="27"/>
    <n v="5"/>
    <x v="9"/>
    <m/>
    <m/>
    <m/>
    <m/>
    <x v="0"/>
    <m/>
    <x v="0"/>
    <m/>
    <x v="0"/>
    <m/>
    <s v="ETF"/>
    <s v="ETF-29"/>
    <s v="East Sea Fleet"/>
    <s v="FFG530 Xuzhou"/>
    <s v="http://english.pladaily.com.cn/view/2018-05/16/content_8033911.htm"/>
    <m/>
  </r>
  <r>
    <x v="0"/>
    <x v="8"/>
    <s v="Europe and Central Asia"/>
    <s v="Comprehensive Strategic Partnership [全面战略伙伴关系]"/>
    <s v="NATO"/>
    <s v="EUCOM"/>
    <x v="29"/>
    <x v="27"/>
    <n v="5"/>
    <x v="0"/>
    <m/>
    <m/>
    <m/>
    <m/>
    <x v="0"/>
    <m/>
    <x v="0"/>
    <m/>
    <x v="0"/>
    <m/>
    <s v="ETF"/>
    <s v="ETF-28"/>
    <s v="North Sea Fleet"/>
    <s v="FFG546 Yancheng"/>
    <s v="http://english.chinamil.com.cn/view/2018-10/04/content_9303573.htm "/>
    <m/>
  </r>
  <r>
    <x v="2"/>
    <x v="1"/>
    <s v="Asia"/>
    <s v="Comprehensive Strategic Partnership [全面战略伙伴关系]"/>
    <s v="None"/>
    <s v="INDOPACOM"/>
    <x v="8"/>
    <x v="27"/>
    <n v="5"/>
    <x v="6"/>
    <m/>
    <m/>
    <m/>
    <m/>
    <x v="0"/>
    <m/>
    <x v="2"/>
    <s v="Komodo 2018"/>
    <x v="2"/>
    <s v="Maritime. Other countries: United States, France, United Kingdom"/>
    <m/>
    <m/>
    <m/>
    <m/>
    <s v="http://www.mod.gov.cn/action/2018-05/08/content_4812778.htm; http://english.chinamil.com.cn/view/2018-04/26/content_8017093.htm"/>
    <s v="Recoded as MOOTW based on description of activities, which are mostly HA/DR"/>
  </r>
  <r>
    <x v="2"/>
    <x v="9"/>
    <s v="West Asia and Africa"/>
    <s v="Strategic Partnership [战略伙伴关系]"/>
    <s v="Major Non-NATO Ally"/>
    <s v="CENTCOM"/>
    <x v="101"/>
    <x v="27"/>
    <n v="5"/>
    <x v="6"/>
    <m/>
    <m/>
    <m/>
    <m/>
    <x v="0"/>
    <m/>
    <x v="6"/>
    <s v="10th Annual Warrior Competition"/>
    <x v="4"/>
    <s v="2 PAP Special Operations units; one was &quot;Snow Leopards&quot;. Other countries: United States, Saudi Arabia, Lebanon, Kuwait, Qatar"/>
    <m/>
    <m/>
    <m/>
    <m/>
    <s v="CPP20020603000088; http://english.chinamil.com.cn/view/2018-05/09/content_8027376.htm; http://english.chinamil.com.cn/view/2018-05/09/content_8027376.htm"/>
    <m/>
  </r>
  <r>
    <x v="1"/>
    <x v="4"/>
    <s v="Asia"/>
    <s v="Comprehensive Strategic Partnership [全面战略伙伴关系]"/>
    <s v="None"/>
    <s v="INDOPACOM"/>
    <x v="53"/>
    <x v="27"/>
    <n v="5"/>
    <x v="3"/>
    <s v="Xu Qiliang"/>
    <m/>
    <s v="CMC Vice Chairman"/>
    <n v="10"/>
    <x v="2"/>
    <s v="Defense Minister"/>
    <x v="0"/>
    <m/>
    <x v="0"/>
    <m/>
    <m/>
    <m/>
    <m/>
    <m/>
    <s v="http://english.chinamil.com.cn/view/2018-05/28/content_8043876.htm"/>
    <m/>
  </r>
  <r>
    <x v="2"/>
    <x v="7"/>
    <s v="West Asia and Africa"/>
    <s v="Strategic Partnership [战略伙伴关系]"/>
    <s v="None"/>
    <s v="AFRICOM"/>
    <x v="36"/>
    <x v="27"/>
    <n v="5"/>
    <x v="6"/>
    <m/>
    <m/>
    <m/>
    <m/>
    <x v="0"/>
    <m/>
    <x v="4"/>
    <s v="Eku Kugbe; 2nd Nigeria international maritime conference and regional naval exercise"/>
    <x v="2"/>
    <s v="Ships will carry out drills of ship formation movement, naval gun firing, and maritime warning and patrol; one ship each from Cameroon, Ghana, Togo, France, Portugal and China"/>
    <m/>
    <s v="ETF-28"/>
    <s v="North Sea Fleet"/>
    <s v="FFG546Yancheng"/>
    <s v="http://english.chinamil.com.cn/view/2018-05/31/content_8045922.htm; https://www.thedefensepost.com/2018/05/31/china-eku-kugbe-exercise-west-africa/"/>
    <m/>
  </r>
  <r>
    <x v="1"/>
    <x v="0"/>
    <s v="Asia"/>
    <s v="All-Weather Strategic Cooperative Partnership [全天候战略合作伙伴关系]"/>
    <s v="Major Non-NATO Ally"/>
    <s v="CENTCOM"/>
    <x v="2"/>
    <x v="27"/>
    <n v="5"/>
    <x v="4"/>
    <s v="Zhang Youxia"/>
    <m/>
    <s v="CMC Vice Chairman"/>
    <n v="10"/>
    <x v="1"/>
    <s v="Prime Minister"/>
    <x v="0"/>
    <m/>
    <x v="0"/>
    <m/>
    <m/>
    <m/>
    <m/>
    <m/>
    <s v="http://english.chinamil.com.cn/view/2018-05/21/content_8038257.htm"/>
    <m/>
  </r>
  <r>
    <x v="1"/>
    <x v="3"/>
    <s v="Europe and Central Asia"/>
    <s v="Comprehensive Collaborative Strategic Partnership [全面战略协作伙伴关系]"/>
    <s v="None"/>
    <s v="EUCOM"/>
    <x v="7"/>
    <x v="27"/>
    <n v="5"/>
    <x v="3"/>
    <s v="Shao Yuanming"/>
    <m/>
    <s v="CMC/JSD DCJS"/>
    <n v="5"/>
    <x v="2"/>
    <s v="Chief of General Staff Main Operational Directorate (J-5 equivalent)"/>
    <x v="0"/>
    <m/>
    <x v="0"/>
    <m/>
    <m/>
    <m/>
    <m/>
    <m/>
    <s v="http://english.chinamil.com.cn/view/2018-05/30/content_8045918.htm; http://www.81.cn/jmywyl/2018-05/30/content_8045689.htm"/>
    <s v="Colonel General Sergei RUDSKOY, Chief of the Main Operational Directorate of the Russian General Staff; JSD/DCJS position downgraded so position weight adjusted"/>
  </r>
  <r>
    <x v="0"/>
    <x v="8"/>
    <s v="Europe and Central Asia"/>
    <s v="Comprehensive Strategic Partnership [全面战略伙伴关系]"/>
    <s v="NATO"/>
    <s v="EUCOM"/>
    <x v="70"/>
    <x v="27"/>
    <n v="5"/>
    <x v="9"/>
    <m/>
    <m/>
    <m/>
    <m/>
    <x v="0"/>
    <m/>
    <x v="0"/>
    <m/>
    <x v="0"/>
    <m/>
    <s v="ETF"/>
    <s v="ETF-28"/>
    <s v="North Sea Fleet"/>
    <s v="FFG546 Yancheng"/>
    <s v="http://english.chinamil.com.cn/view/2018-05/17/content_8035093.htm; http://www.xinhuanet.com/world/2018-05/16/c_1122842782.htm"/>
    <s v="Recoded because it is called a &quot;technical stop&quot; in sources."/>
  </r>
  <r>
    <x v="1"/>
    <x v="7"/>
    <s v="West Asia and Africa"/>
    <s v="Comprehensive Cooperative Partnership [全面合作伙伴关系]"/>
    <s v="None"/>
    <s v="AFRICOM"/>
    <x v="16"/>
    <x v="27"/>
    <n v="5"/>
    <x v="3"/>
    <s v="Wei Fenghe"/>
    <m/>
    <s v="Defense Minister; CMC Member"/>
    <n v="8"/>
    <x v="2"/>
    <s v="Chief of Defense Forces"/>
    <x v="0"/>
    <m/>
    <x v="0"/>
    <m/>
    <m/>
    <m/>
    <m/>
    <m/>
    <s v="http://english.chinamil.com.cn/view/2018-05/24/content_8041205.htm"/>
    <m/>
  </r>
  <r>
    <x v="1"/>
    <x v="7"/>
    <s v="West Asia and Africa"/>
    <s v="Comprehensive Strategic Cooperative Partnership [全面战略合作伙伴关系]"/>
    <s v="None"/>
    <s v="AFRICOM"/>
    <x v="165"/>
    <x v="27"/>
    <n v="6"/>
    <x v="2"/>
    <s v="Hu Changming"/>
    <m/>
    <s v="CMC/OIMC Director"/>
    <n v="6"/>
    <x v="2"/>
    <s v="First China-Africa Defense and Security Forum"/>
    <x v="0"/>
    <m/>
    <x v="0"/>
    <m/>
    <m/>
    <m/>
    <m/>
    <m/>
    <s v="http://www.mod.gov.cn/shouye/2018-06/26/content_4817721.htm; http://eng.chinamil.com.cn/CHINA_209163/TopStories_209189/9560795.html"/>
    <s v="first China-Africa Defense and Security Forum; Senior military officials (15 DEFMINs) from 50 African countries and the African Union (AU); no noted bilaterals"/>
  </r>
  <r>
    <x v="1"/>
    <x v="1"/>
    <s v="Asia"/>
    <s v="Comprehensive Strategic Cooperative Partnership [全面战略合作伙伴关系]"/>
    <s v="None"/>
    <s v="INDOPACOM"/>
    <x v="94"/>
    <x v="27"/>
    <n v="6"/>
    <x v="4"/>
    <s v="Wei Fenghe"/>
    <m/>
    <s v="Defense Minister; CMC Member"/>
    <n v="8"/>
    <x v="1"/>
    <s v="Prime Minister; Defense Minister"/>
    <x v="0"/>
    <m/>
    <x v="0"/>
    <m/>
    <m/>
    <m/>
    <m/>
    <m/>
    <s v="http://eng.chinamil.com.cn/view/2018-06/19/content_8065411.htm"/>
    <m/>
  </r>
  <r>
    <x v="0"/>
    <x v="7"/>
    <s v="West Asia and Africa"/>
    <s v="Friendly Cooperative Relationship [友好合作关系]"/>
    <s v="None"/>
    <s v="AFRICOM"/>
    <x v="65"/>
    <x v="27"/>
    <n v="6"/>
    <x v="0"/>
    <m/>
    <m/>
    <m/>
    <m/>
    <x v="0"/>
    <m/>
    <x v="0"/>
    <m/>
    <x v="0"/>
    <m/>
    <s v="ETF"/>
    <s v="ETF-28"/>
    <s v="North Sea Fleet"/>
    <m/>
    <s v="http://navy.81.cn/content/2018-06/14/content_8061838.htm "/>
    <s v="Added source; recategorized as port call"/>
  </r>
  <r>
    <x v="2"/>
    <x v="7"/>
    <s v="West Asia and Africa"/>
    <s v="Friendly Cooperative Relationship [友好合作关系]"/>
    <s v="None"/>
    <s v="AFRICOM"/>
    <x v="65"/>
    <x v="27"/>
    <n v="6"/>
    <x v="5"/>
    <m/>
    <m/>
    <m/>
    <m/>
    <x v="0"/>
    <m/>
    <x v="2"/>
    <s v="28th Chinese naval escort taskforce's African tour"/>
    <x v="2"/>
    <m/>
    <m/>
    <m/>
    <m/>
    <m/>
    <m/>
    <m/>
  </r>
  <r>
    <x v="0"/>
    <x v="7"/>
    <s v="West Asia and Africa"/>
    <s v="Comprehensive Cooperative Partnership [全面合作伙伴关系]"/>
    <s v="None"/>
    <s v="AFRICOM"/>
    <x v="67"/>
    <x v="27"/>
    <n v="6"/>
    <x v="0"/>
    <m/>
    <m/>
    <m/>
    <m/>
    <x v="0"/>
    <m/>
    <x v="0"/>
    <m/>
    <x v="0"/>
    <m/>
    <s v="ETF"/>
    <s v="ETF-28"/>
    <s v="North Sea Fleet"/>
    <s v="ETF28-Yancheng GMF; Weifeng GMF; Taihu supply ship; Gabon President and MINDEF visited ships "/>
    <s v="http://english.chinamil.com.cn/view/2018-06/20/content_8066846.htm"/>
    <s v="Recategorized as port call"/>
  </r>
  <r>
    <x v="2"/>
    <x v="7"/>
    <s v="West Asia and Africa"/>
    <s v="Comprehensive Cooperative Partnership [全面合作伙伴关系]"/>
    <s v="None"/>
    <s v="AFRICOM"/>
    <x v="67"/>
    <x v="27"/>
    <n v="6"/>
    <x v="5"/>
    <m/>
    <m/>
    <m/>
    <m/>
    <x v="0"/>
    <m/>
    <x v="2"/>
    <s v="28th Chinese naval escort taskforce's African tour"/>
    <x v="2"/>
    <m/>
    <m/>
    <m/>
    <m/>
    <m/>
    <m/>
    <m/>
  </r>
  <r>
    <x v="0"/>
    <x v="8"/>
    <s v="Europe and Central Asia"/>
    <s v="Comprehensive Strategic Partnership [全面战略伙伴关系]"/>
    <s v="NATO"/>
    <s v="EUCOM"/>
    <x v="18"/>
    <x v="27"/>
    <n v="6"/>
    <x v="0"/>
    <m/>
    <m/>
    <m/>
    <m/>
    <x v="0"/>
    <m/>
    <x v="0"/>
    <m/>
    <x v="0"/>
    <m/>
    <s v="ETF"/>
    <s v="ETF-29"/>
    <s v="East Sea Fleet"/>
    <s v="FFG515 Binzhou"/>
    <s v="http://www.xinhuanet.com/english/2018-06/17/c_137260582.htm"/>
    <m/>
  </r>
  <r>
    <x v="0"/>
    <x v="7"/>
    <s v="West Asia and Africa"/>
    <s v="No Specific Relationship"/>
    <s v="None"/>
    <s v="AFRICOM"/>
    <x v="87"/>
    <x v="27"/>
    <n v="6"/>
    <x v="0"/>
    <m/>
    <m/>
    <m/>
    <m/>
    <x v="0"/>
    <m/>
    <x v="0"/>
    <m/>
    <x v="0"/>
    <m/>
    <s v="ETF"/>
    <s v="ETF-28"/>
    <s v="North Sea Fleet"/>
    <s v="ETF28-Yancheng GMF; Weifeng GMF; Taihu supply ship"/>
    <s v="http://eng.chinamil.com.cn/view/2018-06/05/content_8053122.htm"/>
    <s v="Recategorized as port call"/>
  </r>
  <r>
    <x v="2"/>
    <x v="7"/>
    <s v="West Asia and Africa"/>
    <s v="No Specific Relationship"/>
    <s v="None"/>
    <s v="AFRICOM"/>
    <x v="87"/>
    <x v="27"/>
    <n v="6"/>
    <x v="5"/>
    <m/>
    <m/>
    <m/>
    <m/>
    <x v="0"/>
    <m/>
    <x v="2"/>
    <s v="28th Chinese naval escort taskforce's African tour"/>
    <x v="2"/>
    <s v="Joint military exercise"/>
    <m/>
    <m/>
    <m/>
    <m/>
    <s v="http://english.chinamil.com.cn/view/2018-06/05/content_8053122.htm"/>
    <m/>
  </r>
  <r>
    <x v="1"/>
    <x v="1"/>
    <s v="Asia"/>
    <s v="No Specific Relationship"/>
    <s v="None"/>
    <s v="INDOPACOM"/>
    <x v="137"/>
    <x v="27"/>
    <n v="6"/>
    <x v="1"/>
    <s v="He Lei "/>
    <m/>
    <s v="AMS Deputy Commandant "/>
    <n v="6"/>
    <x v="1"/>
    <s v="17th Shangri-La"/>
    <x v="0"/>
    <m/>
    <x v="0"/>
    <m/>
    <m/>
    <m/>
    <m/>
    <m/>
    <m/>
    <m/>
  </r>
  <r>
    <x v="2"/>
    <x v="4"/>
    <s v="Asia"/>
    <s v="Comprehensive Strategic Partnership [全面战略伙伴关系]"/>
    <s v="None"/>
    <s v="INDOPACOM"/>
    <x v="53"/>
    <x v="27"/>
    <n v="6"/>
    <x v="6"/>
    <m/>
    <m/>
    <m/>
    <m/>
    <x v="0"/>
    <m/>
    <x v="2"/>
    <s v="Khaan Quest 2018"/>
    <x v="1"/>
    <s v="Peacekeeping. Other countries: United States, Indonesia, Malaysia. "/>
    <m/>
    <m/>
    <m/>
    <m/>
    <s v="http://english.chinamil.com.cn/view/2018-06/11/content_8058428.htm"/>
    <m/>
  </r>
  <r>
    <x v="1"/>
    <x v="1"/>
    <s v="Asia"/>
    <s v="Comprehensive Strategic Cooperative Partnership [全面战略合作伙伴关系]"/>
    <s v="None"/>
    <s v="INDOPACOM"/>
    <x v="1"/>
    <x v="27"/>
    <n v="6"/>
    <x v="4"/>
    <s v="Wei Fenghe"/>
    <m/>
    <s v="Defense Minister; CMC Member"/>
    <n v="8"/>
    <x v="1"/>
    <s v="Commander-in-Chief of Myanmar’s Defence Services; State Counselor Aung San Suu Kyi"/>
    <x v="0"/>
    <m/>
    <x v="0"/>
    <m/>
    <m/>
    <m/>
    <m/>
    <m/>
    <s v="http://www.81.cn/jmywyl/2018-06/16/content_8063956.htm"/>
    <m/>
  </r>
  <r>
    <x v="2"/>
    <x v="5"/>
    <s v="America and Oceania"/>
    <s v="Comprehensive Strategic Partnership [全面战略伙伴关系]"/>
    <s v="ANZUS Treaty"/>
    <s v="INDOPACOM"/>
    <x v="13"/>
    <x v="27"/>
    <n v="6"/>
    <x v="5"/>
    <m/>
    <m/>
    <m/>
    <m/>
    <x v="0"/>
    <m/>
    <x v="2"/>
    <s v="Skytrain"/>
    <x v="5"/>
    <s v="Humanitarian assistance and disaster relief; the first joint exercise ever conducted between the two countries’ air forces; PLAAF Il-76"/>
    <m/>
    <m/>
    <m/>
    <m/>
    <s v="http://english.chinamil.com.cn/view/2018-06/12/content_8058599.htm"/>
    <m/>
  </r>
  <r>
    <x v="0"/>
    <x v="9"/>
    <s v="West Asia and Africa"/>
    <s v="Strategic Partnership [战略伙伴关系]"/>
    <s v="None"/>
    <s v="CENTCOM"/>
    <x v="147"/>
    <x v="27"/>
    <n v="6"/>
    <x v="9"/>
    <m/>
    <m/>
    <m/>
    <m/>
    <x v="0"/>
    <m/>
    <x v="0"/>
    <m/>
    <x v="0"/>
    <m/>
    <s v="ETF"/>
    <s v="ETF-29"/>
    <s v="East Sea Fleet"/>
    <s v="FFG530 Xuzhou"/>
    <s v="http://english.chinamil.com.cn/view/2018-06/19/content_8065381.htm"/>
    <m/>
  </r>
  <r>
    <x v="1"/>
    <x v="0"/>
    <s v="Asia"/>
    <s v="All-Weather Strategic Cooperative Partnership [全天候战略合作伙伴关系]"/>
    <s v="Major Non-NATO Ally"/>
    <s v="CENTCOM"/>
    <x v="2"/>
    <x v="27"/>
    <n v="6"/>
    <x v="4"/>
    <s v="Liu Xiaowu"/>
    <m/>
    <s v="Western TC Deputy Commander"/>
    <n v="6"/>
    <x v="1"/>
    <s v="Military Commanders"/>
    <x v="0"/>
    <m/>
    <x v="0"/>
    <m/>
    <m/>
    <m/>
    <m/>
    <m/>
    <s v="https://economictimes.indiatimes.com/news/defence/chinese-army-delegation-arrives-in-india-to-improve-coordination-along-border/articleshow/64845285.cms"/>
    <m/>
  </r>
  <r>
    <x v="0"/>
    <x v="8"/>
    <s v="Europe and Central Asia"/>
    <s v="Comprehensive Strategic Partnership [全面战略伙伴关系]"/>
    <s v="NATO"/>
    <s v="EUCOM"/>
    <x v="59"/>
    <x v="27"/>
    <n v="6"/>
    <x v="0"/>
    <m/>
    <m/>
    <m/>
    <m/>
    <x v="0"/>
    <m/>
    <x v="0"/>
    <m/>
    <x v="0"/>
    <m/>
    <s v="ETF"/>
    <s v="ETF-29"/>
    <s v="East Sea Fleet"/>
    <s v="FFG515 Binzhou"/>
    <s v="http://english.chinamil.com.cn/view/2018-10/04/content_9303573.htm "/>
    <m/>
  </r>
  <r>
    <x v="1"/>
    <x v="1"/>
    <s v="Asia"/>
    <s v="All-Round Cooperative Partnership [全方合作伙伴关系]"/>
    <s v="None"/>
    <s v="INDOPACOM"/>
    <x v="39"/>
    <x v="27"/>
    <n v="6"/>
    <x v="4"/>
    <s v="He Lei"/>
    <m/>
    <s v="AMS Deputy Commandant "/>
    <n v="6"/>
    <x v="1"/>
    <s v="Defense Minister"/>
    <x v="0"/>
    <m/>
    <x v="0"/>
    <m/>
    <m/>
    <m/>
    <m/>
    <m/>
    <s v="http://eng.chinamil.com.cn/view/2018-06/04/content_8051700.htm; http://english.chinamil.com.cn/view/2018-06/05/content_8052619.htm"/>
    <s v="LTG"/>
  </r>
  <r>
    <x v="0"/>
    <x v="7"/>
    <s v="West Asia and Africa"/>
    <s v="Comprehensive Strategic Partnership [全面战略伙伴关系]"/>
    <s v="None"/>
    <s v="AFRICOM"/>
    <x v="15"/>
    <x v="27"/>
    <n v="6"/>
    <x v="0"/>
    <m/>
    <m/>
    <m/>
    <m/>
    <x v="0"/>
    <m/>
    <x v="0"/>
    <m/>
    <x v="0"/>
    <m/>
    <s v="ETF"/>
    <s v="ETF-28"/>
    <s v="North Sea Fleet"/>
    <s v="FFG546 Yancheng"/>
    <s v="http://eng.chinamil.com.cn/view/2018-06/29/content_8075174.htm"/>
    <m/>
  </r>
  <r>
    <x v="2"/>
    <x v="7"/>
    <s v="West Asia and Africa"/>
    <s v="Comprehensive Strategic Partnership [全面战略伙伴关系]"/>
    <s v="None"/>
    <s v="AFRICOM"/>
    <x v="15"/>
    <x v="27"/>
    <n v="6"/>
    <x v="5"/>
    <m/>
    <m/>
    <m/>
    <m/>
    <x v="0"/>
    <m/>
    <x v="2"/>
    <s v="28th Chinese naval escort taskforce's African tour"/>
    <x v="2"/>
    <m/>
    <m/>
    <m/>
    <m/>
    <m/>
    <m/>
    <m/>
  </r>
  <r>
    <x v="1"/>
    <x v="1"/>
    <s v="Asia"/>
    <s v="Comprehensive Strategic Cooperative Partnership [全面战略合作伙伴关系]"/>
    <s v="Bilateral Defense Treaty"/>
    <s v="INDOPACOM"/>
    <x v="5"/>
    <x v="27"/>
    <n v="6"/>
    <x v="3"/>
    <s v="Han Weiguo"/>
    <m/>
    <s v="PLAA Commander"/>
    <n v="6"/>
    <x v="2"/>
    <s v="Army Chief"/>
    <x v="0"/>
    <m/>
    <x v="0"/>
    <m/>
    <m/>
    <m/>
    <m/>
    <m/>
    <s v="http://eng.chinamil.com.cn/view/2018-06/12/content_8059671.htm"/>
    <s v="1-7-19 version listed as visit to Thailand; actually Thai visit to China"/>
  </r>
  <r>
    <x v="1"/>
    <x v="2"/>
    <s v="America and Oceania"/>
    <s v="No Specific Relationship"/>
    <s v="N/A"/>
    <s v="NORTHCOM"/>
    <x v="4"/>
    <x v="27"/>
    <n v="6"/>
    <x v="3"/>
    <s v="Xu Qiliang"/>
    <m/>
    <s v="CMC Vice Chairman"/>
    <n v="10"/>
    <x v="2"/>
    <s v="Secretary of Defense"/>
    <x v="0"/>
    <m/>
    <x v="0"/>
    <m/>
    <m/>
    <m/>
    <m/>
    <m/>
    <s v="http://eng.chinamil.com.cn/view/2018-06/28/content_8074433.htm "/>
    <m/>
  </r>
  <r>
    <x v="0"/>
    <x v="8"/>
    <s v="Europe and Central Asia"/>
    <s v="Comprehensive Strategic Partnership [全面战略伙伴关系]"/>
    <s v="NATO"/>
    <s v="EUCOM"/>
    <x v="22"/>
    <x v="27"/>
    <n v="7"/>
    <x v="9"/>
    <m/>
    <m/>
    <m/>
    <m/>
    <x v="0"/>
    <m/>
    <x v="0"/>
    <m/>
    <x v="0"/>
    <m/>
    <s v="ETF"/>
    <s v="ETF-29"/>
    <s v="East Sea Fleet"/>
    <s v="FFG515 Binzhou"/>
    <s v="http://navy.81.cn/content/2018-07/03/content_8078834.htm"/>
    <s v="Updated to reflect technical stop"/>
  </r>
  <r>
    <x v="2"/>
    <x v="8"/>
    <s v="Europe and Central Asia"/>
    <s v="Comprehensive Strategic Partnership [全面战略伙伴关系]"/>
    <s v="NATO"/>
    <s v="EUCOM"/>
    <x v="18"/>
    <x v="27"/>
    <n v="7"/>
    <x v="5"/>
    <m/>
    <m/>
    <m/>
    <m/>
    <x v="0"/>
    <m/>
    <x v="2"/>
    <s v="Combined Aid 2019"/>
    <x v="1"/>
    <s v="paramedical forces in complete units and field equipment have been deployed in Europe"/>
    <m/>
    <m/>
    <m/>
    <m/>
    <s v="http://www.xinhuanet.com/english/2019-07/05/c_138202550.htm"/>
    <m/>
  </r>
  <r>
    <x v="1"/>
    <x v="0"/>
    <s v="Asia"/>
    <s v="Strategic Partnership for Peace and Prosperity [战略伙伴关系]"/>
    <s v="None"/>
    <s v="INDOPACOM"/>
    <x v="6"/>
    <x v="27"/>
    <n v="7"/>
    <x v="4"/>
    <s v="Liu Xiaowu"/>
    <m/>
    <s v="Western TC Deputy Commander"/>
    <n v="6"/>
    <x v="1"/>
    <s v="Army Vice Chief"/>
    <x v="0"/>
    <m/>
    <x v="0"/>
    <m/>
    <m/>
    <m/>
    <m/>
    <m/>
    <s v="https://economictimes.indiatimes.com/news/defence/chinese-army-delegation-arrives-in-india-to-improve-coordination-along-border/articleshow/64845285.cms; https://www.thehindu.com/news/national/chinese-army-team-visits-delhi-agra/article24323330.ece"/>
    <s v="Updated to reflect LGEN Liu Xiaowu's specific role"/>
  </r>
  <r>
    <x v="0"/>
    <x v="1"/>
    <s v="Asia"/>
    <s v="Comprehensive Strategic Partnership [全面战略伙伴关系]"/>
    <s v="None"/>
    <s v="INDOPACOM"/>
    <x v="8"/>
    <x v="27"/>
    <n v="7"/>
    <x v="9"/>
    <m/>
    <m/>
    <m/>
    <m/>
    <x v="0"/>
    <m/>
    <x v="0"/>
    <m/>
    <x v="0"/>
    <m/>
    <s v="ETF"/>
    <s v="ETF-28"/>
    <s v="North Sea Fleet"/>
    <s v="FFG546 Yancheng"/>
    <s v="http://navy.81.cn/content/2018-07/30/content_8103223.htm"/>
    <m/>
  </r>
  <r>
    <x v="0"/>
    <x v="8"/>
    <s v="Europe and Central Asia"/>
    <s v="Comprehensive Strategic Partnership [全面战略伙伴关系]"/>
    <s v="NATO"/>
    <s v="EUCOM"/>
    <x v="20"/>
    <x v="27"/>
    <n v="7"/>
    <x v="9"/>
    <m/>
    <m/>
    <m/>
    <m/>
    <x v="0"/>
    <m/>
    <x v="0"/>
    <m/>
    <x v="0"/>
    <m/>
    <s v="ETF"/>
    <s v="ETF-29"/>
    <s v="East Sea Fleet"/>
    <s v="FFG515 Binzhou"/>
    <s v="http://www.81.cn/jwgz/2018-07/12/content_8088025.htm"/>
    <s v="Updated to &quot;technical visit&quot;"/>
  </r>
  <r>
    <x v="2"/>
    <x v="1"/>
    <s v="Asia"/>
    <s v="Comprehensive Strategic Cooperative Partnership [全面战略合作伙伴关系]"/>
    <s v="None"/>
    <s v="INDOPACOM"/>
    <x v="52"/>
    <x v="27"/>
    <n v="7"/>
    <x v="5"/>
    <m/>
    <m/>
    <m/>
    <m/>
    <x v="0"/>
    <m/>
    <x v="2"/>
    <s v="Peace Train 2018"/>
    <x v="3"/>
    <s v="Humanitarian assistance and disaster relief"/>
    <m/>
    <m/>
    <m/>
    <m/>
    <s v="http://eng.mod.gov.cn/news/2018-07/26/content_4820578.htm"/>
    <m/>
  </r>
  <r>
    <x v="1"/>
    <x v="0"/>
    <s v="Asia"/>
    <s v="All-Round Strategic Partnership [全方位战略伙伴关系]"/>
    <s v="None"/>
    <s v="INDOPACOM"/>
    <x v="32"/>
    <x v="27"/>
    <n v="7"/>
    <x v="3"/>
    <s v="Wei Fenghe"/>
    <m/>
    <s v="Defense Minister; CMC Member"/>
    <n v="8"/>
    <x v="2"/>
    <s v="Chief of Army Staff"/>
    <x v="0"/>
    <m/>
    <x v="0"/>
    <m/>
    <m/>
    <m/>
    <m/>
    <m/>
    <s v="http://www.xinhuanet.com/world/2018-07/11/c_1123112181.htm"/>
    <s v="Recoded as South Asia"/>
  </r>
  <r>
    <x v="1"/>
    <x v="0"/>
    <s v="Asia"/>
    <s v="All-Weather Strategic Cooperative Partnership [全天候战略合作伙伴关系]"/>
    <s v="Major Non-NATO Ally"/>
    <s v="CENTCOM"/>
    <x v="2"/>
    <x v="27"/>
    <n v="7"/>
    <x v="4"/>
    <s v="Liu Xiaowu"/>
    <m/>
    <s v="Western TC Deputy Commander"/>
    <n v="6"/>
    <x v="1"/>
    <s v="Commanders"/>
    <x v="0"/>
    <m/>
    <x v="0"/>
    <m/>
    <m/>
    <m/>
    <m/>
    <m/>
    <s v="http://www.81.cn/xwfyr/2018-07/26/content_8100593_4.htm"/>
    <s v="Unclear counterparts"/>
  </r>
  <r>
    <x v="1"/>
    <x v="0"/>
    <s v="Asia"/>
    <s v="All-Weather Strategic Cooperative Partnership [全天候战略合作伙伴关系]"/>
    <s v="Major Non-NATO Ally"/>
    <s v="CENTCOM"/>
    <x v="2"/>
    <x v="27"/>
    <n v="7"/>
    <x v="3"/>
    <s v="Zhang Youxia"/>
    <m/>
    <s v="CMc Vice Chairman"/>
    <n v="10"/>
    <x v="2"/>
    <s v="Chief of Air Staff"/>
    <x v="0"/>
    <m/>
    <x v="0"/>
    <m/>
    <m/>
    <m/>
    <m/>
    <m/>
    <s v="http://english.chinamil.com.cn/view/2018-07/20/content_8095190.htm"/>
    <s v="Not actually &quot;abroad&quot; - in Urumqi. Could be recategorized to indicate travel was necessary."/>
  </r>
  <r>
    <x v="0"/>
    <x v="1"/>
    <s v="America and Oceania"/>
    <s v="Comprehensive Strategic Partnership [全面战略伙伴关系]"/>
    <s v="None"/>
    <s v="INDOPACOM"/>
    <x v="122"/>
    <x v="27"/>
    <n v="7"/>
    <x v="0"/>
    <m/>
    <m/>
    <m/>
    <m/>
    <x v="0"/>
    <m/>
    <x v="0"/>
    <m/>
    <x v="0"/>
    <m/>
    <s v="NETF"/>
    <s v="2018-7 Peace Ark"/>
    <s v="East Sea Fleet"/>
    <s v="Prime Minister visited the ship"/>
    <s v="https://seawaves.com/2018/07/10/plan-peace-ark-in-papua-new-guinea-july-12-18/"/>
    <s v="Updated to reflect PNG PM's visit to ship"/>
  </r>
  <r>
    <x v="2"/>
    <x v="1"/>
    <s v="America and Oceania"/>
    <s v="Comprehensive Strategic Partnership [全面战略伙伴关系]"/>
    <s v="None"/>
    <s v="INDOPACOM"/>
    <x v="122"/>
    <x v="27"/>
    <n v="7"/>
    <x v="5"/>
    <m/>
    <m/>
    <m/>
    <m/>
    <x v="0"/>
    <m/>
    <x v="2"/>
    <s v="Unnamed"/>
    <x v="2"/>
    <s v="Joint medical aid exercise"/>
    <m/>
    <s v="2018-7 Peace Ark"/>
    <s v="East Sea Fleet"/>
    <m/>
    <s v="http://chinaplus.cri.cn/news/china/9/20180719/159486.html"/>
    <m/>
  </r>
  <r>
    <x v="1"/>
    <x v="3"/>
    <s v="Europe and Central Asia"/>
    <s v="Comprehensive Collaborative Strategic Partnership [全面战略协作伙伴关系]"/>
    <s v="None"/>
    <s v="EUCOM"/>
    <x v="7"/>
    <x v="27"/>
    <n v="7"/>
    <x v="4"/>
    <s v="Shen Jinlong"/>
    <m/>
    <s v="PLAN Commander "/>
    <n v="6"/>
    <x v="1"/>
    <s v="Commander of Northern Fleet"/>
    <x v="0"/>
    <m/>
    <x v="0"/>
    <m/>
    <m/>
    <m/>
    <m/>
    <m/>
    <s v="http://eng.chinamil.com.cn/view/2018-07/31/content_9237410.htm"/>
    <m/>
  </r>
  <r>
    <x v="1"/>
    <x v="3"/>
    <s v="Europe and Central Asia"/>
    <s v="Comprehensive Collaborative Strategic Partnership [全面战略协作伙伴关系]"/>
    <s v="None"/>
    <s v="EUCOM"/>
    <x v="7"/>
    <x v="27"/>
    <n v="7"/>
    <x v="3"/>
    <s v="Wei Fenghe"/>
    <m/>
    <s v="Defense Minister; CMC Member"/>
    <n v="8"/>
    <x v="2"/>
    <s v="Commander in Chief of Ground Forces"/>
    <x v="0"/>
    <m/>
    <x v="0"/>
    <m/>
    <m/>
    <m/>
    <m/>
    <m/>
    <s v="http://eng.chinamil.com.cn/view/2018-07/03/content_8078931.htm"/>
    <s v="Updated to reflect Salyukov's correct role"/>
  </r>
  <r>
    <x v="2"/>
    <x v="3"/>
    <s v="Europe and Central Asia"/>
    <s v="Comprehensive Collaborative Strategic Partnership [全面战略协作伙伴关系]"/>
    <s v="None"/>
    <s v="EUCOM"/>
    <x v="7"/>
    <x v="27"/>
    <n v="7"/>
    <x v="6"/>
    <m/>
    <m/>
    <m/>
    <m/>
    <x v="0"/>
    <m/>
    <x v="6"/>
    <s v="International Army Games"/>
    <x v="1"/>
    <s v="Fighting capabilities. Other countries: Belarus, Azerbaijan, Kazakhstan, Armenia, Iran, Zimbabwe, Pakistan, Venezuela, Sudan, Uzbekistan, Egypt, Vietnam, Syria"/>
    <m/>
    <m/>
    <m/>
    <m/>
    <s v="http://www.81.cn/jmywyl/2018-07/19/content_8093131.htm; http://eng.chinamil.com.cn/view/2018-07/18/content_8092542.htm; http://english.chinamil.com.cn/view/2018-07/12/content_8088139.htm; http://eng.chinamil.com.cn/view/2018-07/26/content_8099395.htm; htt"/>
    <s v="Updated branch to joint - included seaborne, army, and airborn competitions; added country participants"/>
  </r>
  <r>
    <x v="1"/>
    <x v="8"/>
    <s v="Europe and Central Asia"/>
    <s v="Comprehensive Strategic Partnership [全面战略伙伴关系]"/>
    <s v="None"/>
    <s v="EUCOM"/>
    <x v="112"/>
    <x v="27"/>
    <n v="7"/>
    <x v="3"/>
    <s v="Zhang Youxia"/>
    <m/>
    <s v="CMC Vice Chairman"/>
    <n v="10"/>
    <x v="2"/>
    <s v="Defense Minister"/>
    <x v="0"/>
    <m/>
    <x v="0"/>
    <m/>
    <m/>
    <m/>
    <m/>
    <m/>
    <s v="http://eng.chinamil.com.cn/view/2018-07/27/content_8101532.htm"/>
    <m/>
  </r>
  <r>
    <x v="0"/>
    <x v="7"/>
    <s v="West Asia and Africa"/>
    <s v="Comprehensive Strategic Partnership [全面战略伙伴关系]"/>
    <s v="None"/>
    <s v="AFRICOM"/>
    <x v="15"/>
    <x v="27"/>
    <n v="7"/>
    <x v="0"/>
    <m/>
    <m/>
    <m/>
    <m/>
    <x v="0"/>
    <m/>
    <x v="0"/>
    <m/>
    <x v="0"/>
    <m/>
    <s v="NETF"/>
    <s v="2018-7 Qian Weichang"/>
    <s v=" "/>
    <s v="HSS876 Qian Weichang"/>
    <s v="https://www.defenceweb.co.za/sea/sea-sea/chinese-survey-vessel-visits-south-africa/"/>
    <m/>
  </r>
  <r>
    <x v="1"/>
    <x v="8"/>
    <s v="Europe and Central Asia"/>
    <s v="Strategic Partnership [战略伙伴关系]"/>
    <s v="None"/>
    <s v="EUCOM"/>
    <x v="78"/>
    <x v="27"/>
    <n v="7"/>
    <x v="3"/>
    <s v="Wei Fenghe"/>
    <m/>
    <s v="Defense Minister; CMC Member"/>
    <n v="8"/>
    <x v="2"/>
    <s v="Chief of the Armed Forces"/>
    <x v="0"/>
    <m/>
    <x v="0"/>
    <m/>
    <m/>
    <m/>
    <m/>
    <m/>
    <s v=", http://www.mod.gov.cn/topnews/2018-07/19/content_4819745.htm"/>
    <m/>
  </r>
  <r>
    <x v="0"/>
    <x v="5"/>
    <s v="America and Oceania"/>
    <s v="Comprehensive Strategic Partnership [全面战略伙伴关系]"/>
    <s v="None"/>
    <s v="INDOPACOM"/>
    <x v="120"/>
    <x v="27"/>
    <n v="7"/>
    <x v="0"/>
    <m/>
    <m/>
    <m/>
    <m/>
    <x v="0"/>
    <m/>
    <x v="0"/>
    <m/>
    <x v="0"/>
    <m/>
    <s v="NETF"/>
    <s v="2018-7 Peace Ark"/>
    <s v="East Sea Fleet"/>
    <m/>
    <s v="http://eng.mod.gov.cn/news/2018-07/24/content_4820284.htm"/>
    <m/>
  </r>
  <r>
    <x v="1"/>
    <x v="1"/>
    <s v="Asia"/>
    <s v="Comprehensive Strategic Cooperative Partnership [全面战略合作伙伴关系]"/>
    <s v="None"/>
    <s v="INDOPACOM"/>
    <x v="23"/>
    <x v="27"/>
    <n v="7"/>
    <x v="3"/>
    <s v="Zhang Youxia"/>
    <m/>
    <s v="CMC Vice Chairman"/>
    <n v="10"/>
    <x v="2"/>
    <s v="Vietnam CMC Standing Committee Member/Chief of the General Political Department of the Vietnamese People’s Army "/>
    <x v="0"/>
    <m/>
    <x v="0"/>
    <m/>
    <m/>
    <m/>
    <m/>
    <m/>
    <s v="http://www.mod.gov.cn/shouye/2018-07/25/content_4820516.htm"/>
    <m/>
  </r>
  <r>
    <x v="0"/>
    <x v="5"/>
    <s v="America and Oceania"/>
    <s v="Comprehensive Strategic Partnership [全面战略伙伴关系]"/>
    <s v="ANZUS Treaty"/>
    <s v="INDOPACOM"/>
    <x v="12"/>
    <x v="27"/>
    <n v="8"/>
    <x v="10"/>
    <m/>
    <m/>
    <m/>
    <m/>
    <x v="0"/>
    <m/>
    <x v="0"/>
    <m/>
    <x v="0"/>
    <m/>
    <s v="ETF"/>
    <s v="ETF-29"/>
    <s v="North Sea Fleet"/>
    <s v="FFG570 Huangshan"/>
    <m/>
    <m/>
  </r>
  <r>
    <x v="1"/>
    <x v="8"/>
    <s v="Europe and Central Asia"/>
    <s v="Comprehensive Strategic Partnership [全面战略伙伴关系]"/>
    <s v="None"/>
    <s v="EUCOM"/>
    <x v="34"/>
    <x v="27"/>
    <n v="8"/>
    <x v="4"/>
    <s v="Li Zuocheng"/>
    <m/>
    <s v="PLAA Commander"/>
    <n v="6"/>
    <x v="1"/>
    <s v="Chief of Defense Forces"/>
    <x v="0"/>
    <m/>
    <x v="0"/>
    <m/>
    <m/>
    <m/>
    <m/>
    <m/>
    <s v="https://www.belarus.by/en/government/events/belarus-china-to-discuss-cooperation-in-joint-military-training_i_0000084076.html"/>
    <m/>
  </r>
  <r>
    <x v="2"/>
    <x v="8"/>
    <s v="Europe and Central Asia"/>
    <s v="Comprehensive Strategic Partnership [全面战略伙伴关系]"/>
    <s v="None"/>
    <s v="EUCOM"/>
    <x v="34"/>
    <x v="27"/>
    <n v="8"/>
    <x v="5"/>
    <m/>
    <m/>
    <m/>
    <m/>
    <x v="0"/>
    <m/>
    <x v="1"/>
    <s v="Eagle Assault 2018/Hunting Falcon 2018"/>
    <x v="1"/>
    <s v="Joint training in anti-terrorism"/>
    <m/>
    <m/>
    <m/>
    <m/>
    <s v="http://english.chinamil.com.cn/view/2018-08/07/content_9244657.htm"/>
    <m/>
  </r>
  <r>
    <x v="0"/>
    <x v="9"/>
    <s v="West Asia and Africa"/>
    <s v="Strategic Partnership [战略伙伴关系]"/>
    <s v="None"/>
    <s v="CENTCOM"/>
    <x v="119"/>
    <x v="27"/>
    <n v="8"/>
    <x v="0"/>
    <m/>
    <m/>
    <m/>
    <m/>
    <x v="0"/>
    <m/>
    <x v="0"/>
    <m/>
    <x v="0"/>
    <m/>
    <s v="NETF"/>
    <s v="2018-8 Peace Ark"/>
    <s v="East Sea Fleet"/>
    <m/>
    <s v="http://english.chinamil.com.cn/view/2018-08/07/content_9244658.htm"/>
    <m/>
  </r>
  <r>
    <x v="0"/>
    <x v="5"/>
    <s v="America and Oceania"/>
    <s v="Comprehensive Strategic Partnership [全面战略伙伴关系]"/>
    <s v="None"/>
    <s v="INDOPACOM"/>
    <x v="128"/>
    <x v="27"/>
    <n v="8"/>
    <x v="0"/>
    <m/>
    <m/>
    <m/>
    <m/>
    <x v="0"/>
    <m/>
    <x v="0"/>
    <m/>
    <x v="0"/>
    <m/>
    <s v="NETF"/>
    <s v="2018-7 Peace Ark"/>
    <s v="East Sea Fleet"/>
    <m/>
    <s v="http://www.xinhuanet.com/english/2018-07/23/c_137342667.htm"/>
    <s v="Chnaged month to August - Peace Ark was in Vanuatu until July 30, Fiji Aug 2-9; coded as Oceania"/>
  </r>
  <r>
    <x v="1"/>
    <x v="0"/>
    <s v="Asia"/>
    <s v="Strategic Partnership for Peace and Prosperity [战略伙伴关系]"/>
    <s v="None"/>
    <s v="INDOPACOM"/>
    <x v="6"/>
    <x v="27"/>
    <n v="8"/>
    <x v="4"/>
    <s v="Wei Fenghe"/>
    <m/>
    <s v="Defense Minister; CMC Member"/>
    <n v="8"/>
    <x v="1"/>
    <s v="Prime Minister"/>
    <x v="0"/>
    <m/>
    <x v="0"/>
    <m/>
    <m/>
    <m/>
    <m/>
    <m/>
    <s v="http://english.chinamil.com.cn/view/2018-08/22/content_9260060.htm; http://english.chinamil.com.cn/view/2018-08/21/content_9258810.htm"/>
    <s v="Updated to reflect meeting with PM, higher rank than Defense Minister"/>
  </r>
  <r>
    <x v="1"/>
    <x v="3"/>
    <s v="Europe and Central Asia"/>
    <s v="Comprehensive Collaborative Strategic Partnership [全面战略协作伙伴关系]"/>
    <s v="None"/>
    <s v="EUCOM"/>
    <x v="7"/>
    <x v="27"/>
    <n v="8"/>
    <x v="4"/>
    <s v="Li Zuocheng"/>
    <m/>
    <s v="PLAA Commander"/>
    <n v="6"/>
    <x v="1"/>
    <s v="Chief of Defense Forces"/>
    <x v="0"/>
    <m/>
    <x v="0"/>
    <m/>
    <m/>
    <m/>
    <m/>
    <m/>
    <s v="http://english.chinamil.com.cn/view/2018-08/28/content_9265435.htm"/>
    <m/>
  </r>
  <r>
    <x v="1"/>
    <x v="6"/>
    <s v="Europe and Central Asia"/>
    <s v="Member"/>
    <s v="None"/>
    <s v="CENTCOM"/>
    <x v="14"/>
    <x v="27"/>
    <n v="8"/>
    <x v="1"/>
    <s v="Li Zuocheng"/>
    <m/>
    <s v="PLAA Commander"/>
    <n v="6"/>
    <x v="1"/>
    <s v="Fifth meeting of SCO military chiefs of staff in Moscow"/>
    <x v="0"/>
    <m/>
    <x v="0"/>
    <m/>
    <m/>
    <m/>
    <m/>
    <m/>
    <s v="http://eng.chinamil.com.cn/view/2018-08/28/content_9265435.htm"/>
    <m/>
  </r>
  <r>
    <x v="2"/>
    <x v="6"/>
    <s v="Europe and Central Asia"/>
    <s v="Member"/>
    <s v="None"/>
    <s v="CENTCOM"/>
    <x v="14"/>
    <x v="27"/>
    <n v="8"/>
    <x v="6"/>
    <m/>
    <m/>
    <m/>
    <m/>
    <x v="0"/>
    <m/>
    <x v="3"/>
    <s v="Peace Mission 2018"/>
    <x v="3"/>
    <s v="Other countries: Russia, Kazakhstan, Tajikistan, India, Pakistan. August 24-29, 2018"/>
    <m/>
    <m/>
    <m/>
    <m/>
    <s v="http://www.81.cn/xwfyr/2018-08/25/content_9262875.htm"/>
    <s v="Updated with source; RECODED as combat based on closer analysis"/>
  </r>
  <r>
    <x v="1"/>
    <x v="7"/>
    <s v="West Asia and Africa"/>
    <s v="Comprehensive Strategic Partnership [全面战略伙伴关系]"/>
    <s v="None"/>
    <s v="AFRICOM"/>
    <x v="15"/>
    <x v="27"/>
    <n v="8"/>
    <x v="3"/>
    <s v="Li Zuocheng"/>
    <m/>
    <s v="PLAA Commander"/>
    <n v="6"/>
    <x v="2"/>
    <s v="Chief of Defense Forces"/>
    <x v="0"/>
    <m/>
    <x v="0"/>
    <m/>
    <m/>
    <m/>
    <m/>
    <m/>
    <s v="http://english.chinamil.com.cn/view/2018-08/24/content_9262529.htm"/>
    <s v="Updated to reflect highest rank participant (Li higher rank than CMC JSD Shao Yuanming)"/>
  </r>
  <r>
    <x v="0"/>
    <x v="0"/>
    <s v="Asia"/>
    <s v="Strategic Cooperative Partnership [战略合作伙伴关系]"/>
    <s v="None"/>
    <s v="INDOPACOM"/>
    <x v="3"/>
    <x v="27"/>
    <n v="8"/>
    <x v="0"/>
    <m/>
    <m/>
    <m/>
    <m/>
    <x v="0"/>
    <m/>
    <x v="0"/>
    <m/>
    <x v="0"/>
    <m/>
    <s v="NETF"/>
    <s v="2018-8 Qian Weichang"/>
    <s v=" "/>
    <s v="HSS876 Qian Weichang"/>
    <s v="http://www.defence.lk/new.asp?fname=Qian_Weichang_arrives_to_Sri_Lanka_20180808_02; https://www.ndtv.com/world-news/chinese-hydrographic-survey-ship-arrives-in-sri-lanka-on-goodwill-visit-1898036"/>
    <s v="Hydrographic survey ship; not associated with specific fleet?"/>
  </r>
  <r>
    <x v="2"/>
    <x v="6"/>
    <s v="Europe and Central Asia"/>
    <s v="Comprehensive Strategic Partnership [全面战略伙伴关系]"/>
    <s v="None"/>
    <s v="CENTCOM"/>
    <x v="60"/>
    <x v="27"/>
    <n v="8"/>
    <x v="5"/>
    <m/>
    <m/>
    <m/>
    <m/>
    <x v="0"/>
    <m/>
    <x v="1"/>
    <s v="Unknown"/>
    <x v="1"/>
    <m/>
    <m/>
    <m/>
    <m/>
    <m/>
    <m/>
    <m/>
  </r>
  <r>
    <x v="0"/>
    <x v="5"/>
    <s v="America and Oceania"/>
    <s v="Strategic Partnership [战略伙伴关系]"/>
    <s v="None"/>
    <s v="INDOPACOM"/>
    <x v="144"/>
    <x v="27"/>
    <n v="8"/>
    <x v="0"/>
    <m/>
    <m/>
    <m/>
    <m/>
    <x v="0"/>
    <m/>
    <x v="0"/>
    <m/>
    <x v="0"/>
    <m/>
    <s v="NETF"/>
    <s v="2018-8 Peace Ark"/>
    <s v="East Sea Fleet"/>
    <m/>
    <s v="http://english.chinamil.com.cn/view/2018-08/16/content_9255121.htm"/>
    <m/>
  </r>
  <r>
    <x v="2"/>
    <x v="1"/>
    <s v="Asia"/>
    <s v="Comprehensive Strategic Cooperative Partnership [全面战略合作伙伴关系]"/>
    <s v="None"/>
    <s v="INDOPACOM"/>
    <x v="23"/>
    <x v="27"/>
    <n v="8"/>
    <x v="5"/>
    <m/>
    <m/>
    <m/>
    <m/>
    <x v="0"/>
    <m/>
    <x v="2"/>
    <s v="Unnamed"/>
    <x v="1"/>
    <s v="Joint free medical examination"/>
    <m/>
    <m/>
    <m/>
    <m/>
    <s v="http://english.chinamil.com.cn/view/2018-08/23/content_9261764.htm"/>
    <m/>
  </r>
  <r>
    <x v="2"/>
    <x v="5"/>
    <s v="America and Oceania"/>
    <s v="Comprehensive Strategic Partnership [全面战略伙伴关系]"/>
    <s v="ANZUS Treaty"/>
    <s v="INDOPACOM"/>
    <x v="12"/>
    <x v="27"/>
    <n v="9"/>
    <x v="6"/>
    <m/>
    <m/>
    <m/>
    <m/>
    <x v="0"/>
    <m/>
    <x v="3"/>
    <s v="Kakadu 2018"/>
    <x v="2"/>
    <s v="Maritime exercises,both combat and support. Sent frigate Huangshan. 27 countries total: India, Japan, BG, Brunei, CB, CA, Chile, Cook Islands, East Timor, Fiji, FR, IN, ID, MY, NZ, PL, PNG, PH, SG, KS, CE, TH, Tonga, UAE, VM"/>
    <m/>
    <m/>
    <m/>
    <m/>
    <s v=" http://english.chinamil.com.cn/view/2018-08/22/content_9260566.htm; http://eng.chinamil.com.cn/view/2018-08/31/content_9268853.htm"/>
    <s v="Recategorized as combat exercise (live fire drills, confrontation drills, air defense drills, firing missiles). Added frigate name."/>
  </r>
  <r>
    <x v="2"/>
    <x v="5"/>
    <s v="America and Oceania"/>
    <s v="Comprehensive Strategic Partnership [全面战略伙伴关系]"/>
    <s v="ANZUS Treaty"/>
    <s v="INDOPACOM"/>
    <x v="12"/>
    <x v="27"/>
    <n v="9"/>
    <x v="5"/>
    <m/>
    <m/>
    <m/>
    <m/>
    <x v="0"/>
    <m/>
    <x v="2"/>
    <s v="Pandaroo 2018"/>
    <x v="1"/>
    <s v="Joint training exercise - &quot;adventure training&quot; like seakayaking and rapelling"/>
    <m/>
    <m/>
    <m/>
    <m/>
    <s v="http://english.chinamil.com.cn/view/2018-09/17/content_9284969.htm"/>
    <s v="Added detail to the activities"/>
  </r>
  <r>
    <x v="2"/>
    <x v="5"/>
    <s v="America and Oceania"/>
    <s v="Comprehensive Strategic Partnership [全面战略伙伴关系]"/>
    <s v="ANZUS Treaty"/>
    <s v="INDOPACOM"/>
    <x v="12"/>
    <x v="27"/>
    <n v="9"/>
    <x v="6"/>
    <m/>
    <m/>
    <m/>
    <m/>
    <x v="0"/>
    <m/>
    <x v="2"/>
    <s v="Kowari 2018"/>
    <x v="1"/>
    <s v="Survival Training Exercise. Other countries: United States."/>
    <m/>
    <m/>
    <m/>
    <m/>
    <s v="http://eng.chinamil.com.cn/view/2018-09/05/content_9272890.htm"/>
    <m/>
  </r>
  <r>
    <x v="0"/>
    <x v="9"/>
    <s v="West Asia and Africa"/>
    <s v="Strategic Partnership [战略伙伴关系]"/>
    <s v="None"/>
    <s v="CENTCOM"/>
    <x v="119"/>
    <x v="27"/>
    <n v="9"/>
    <x v="9"/>
    <m/>
    <m/>
    <m/>
    <m/>
    <x v="0"/>
    <m/>
    <x v="0"/>
    <m/>
    <x v="0"/>
    <m/>
    <s v="ETF"/>
    <s v="ETF-30"/>
    <s v="North Sea Fleet"/>
    <s v="FFG539 Wuhu"/>
    <s v="http://www.mod.gov.cn/shouye/2018-09/27/content_4825790.htm"/>
    <m/>
  </r>
  <r>
    <x v="1"/>
    <x v="9"/>
    <s v="West Asia and Africa"/>
    <s v="Comprehensive Strategic Partnership [全面战略伙伴关系]"/>
    <s v="None"/>
    <s v="CENTCOM"/>
    <x v="89"/>
    <x v="27"/>
    <n v="9"/>
    <x v="3"/>
    <s v="Zhang Youxia"/>
    <m/>
    <s v="CMC Vice Chairman"/>
    <n v="10"/>
    <x v="2"/>
    <s v="Defense Minister"/>
    <x v="0"/>
    <m/>
    <x v="0"/>
    <m/>
    <m/>
    <m/>
    <m/>
    <m/>
    <s v="http://english.chinamil.com.cn/view/2018-09/10/content_9277330.htm"/>
    <m/>
  </r>
  <r>
    <x v="1"/>
    <x v="6"/>
    <s v="Europe and Central Asia"/>
    <s v="Comprehensive Strategic Partnership [全面战略伙伴关系]"/>
    <s v="None"/>
    <s v="CENTCOM"/>
    <x v="30"/>
    <x v="27"/>
    <n v="9"/>
    <x v="4"/>
    <s v="Xu Qiliang"/>
    <m/>
    <s v="CMC Vice Chairman"/>
    <n v="10"/>
    <x v="1"/>
    <s v="Defense Minister"/>
    <x v="0"/>
    <m/>
    <x v="0"/>
    <m/>
    <m/>
    <m/>
    <m/>
    <m/>
    <s v="http://english.chinamil.com.cn/view/2018-09/05/content_9272625.htm"/>
    <m/>
  </r>
  <r>
    <x v="1"/>
    <x v="6"/>
    <s v="Europe and Central Asia"/>
    <s v="Comprehensive Strategic Partnership [全面战略伙伴关系]"/>
    <s v="None"/>
    <s v="CENTCOM"/>
    <x v="31"/>
    <x v="27"/>
    <n v="9"/>
    <x v="4"/>
    <s v="Xu Qiliang"/>
    <m/>
    <s v="CMC Vice Chairman"/>
    <n v="10"/>
    <x v="1"/>
    <s v="Defense Minister"/>
    <x v="0"/>
    <m/>
    <x v="0"/>
    <m/>
    <m/>
    <m/>
    <m/>
    <m/>
    <s v="https://thediplomat.com/2018/09/why-is-chinas-top-military-official-visiting-central-asia/"/>
    <m/>
  </r>
  <r>
    <x v="2"/>
    <x v="0"/>
    <s v="Asia"/>
    <s v="All-Round Strategic Partnership [全方位战略伙伴关系]"/>
    <s v="None"/>
    <s v="INDOPACOM"/>
    <x v="32"/>
    <x v="27"/>
    <n v="9"/>
    <x v="5"/>
    <m/>
    <m/>
    <m/>
    <m/>
    <x v="0"/>
    <m/>
    <x v="1"/>
    <s v="Mt. Everest Friendship 2018"/>
    <x v="1"/>
    <s v="Joint training exercise; removing explosives and shooting"/>
    <m/>
    <m/>
    <m/>
    <m/>
    <s v="http://english.chinamil.com.cn/view/2018-09/19/content_9293261.htm"/>
    <s v="Added detail to the activities"/>
  </r>
  <r>
    <x v="2"/>
    <x v="7"/>
    <s v="West Asia and Africa"/>
    <s v="Strategic Partnership [战略伙伴关系]"/>
    <s v="None"/>
    <s v="AFRICOM"/>
    <x v="36"/>
    <x v="27"/>
    <n v="9"/>
    <x v="5"/>
    <m/>
    <m/>
    <m/>
    <m/>
    <x v="0"/>
    <m/>
    <x v="1"/>
    <s v="Unnamed"/>
    <x v="4"/>
    <s v="Held in Mali, response to recent security situation. Simulated attack on a UN camp. Chinese 6th peacekeeping engineers detachment participated with Nigeria's peacekeeping infantry battalion."/>
    <m/>
    <m/>
    <m/>
    <m/>
    <s v="http://english.chinamil.com.cn/view/2018-09/03/content_9271041.htm"/>
    <m/>
  </r>
  <r>
    <x v="1"/>
    <x v="0"/>
    <s v="Asia"/>
    <s v="All-Weather Strategic Cooperative Partnership [全天候战略合作伙伴关系]"/>
    <s v="Major Non-NATO Ally"/>
    <s v="CENTCOM"/>
    <x v="2"/>
    <x v="27"/>
    <n v="9"/>
    <x v="3"/>
    <s v="Zhang Youxia"/>
    <m/>
    <s v="CMC Vice Chairman"/>
    <n v="10"/>
    <x v="2"/>
    <s v="Chief of Army Staff"/>
    <x v="0"/>
    <m/>
    <x v="0"/>
    <m/>
    <m/>
    <m/>
    <m/>
    <m/>
    <s v="http://english.chinamil.com.cn/view/2018-09/19/content_9292412.htm"/>
    <m/>
  </r>
  <r>
    <x v="1"/>
    <x v="3"/>
    <s v="Europe and Central Asia"/>
    <s v="Comprehensive Collaborative Strategic Partnership [全面战略协作伙伴关系]"/>
    <s v="None"/>
    <s v="EUCOM"/>
    <x v="7"/>
    <x v="27"/>
    <n v="9"/>
    <x v="4"/>
    <s v="Wei Fenghe"/>
    <m/>
    <s v="Defense Minister; CMC Member"/>
    <n v="8"/>
    <x v="1"/>
    <s v="President"/>
    <x v="0"/>
    <m/>
    <x v="0"/>
    <m/>
    <m/>
    <m/>
    <m/>
    <m/>
    <s v="http://www.mod.gov.cn/action/2018-09/14/content_4824917_2.htm"/>
    <s v="Meeting with Putin on sidelines of Vostok 2018"/>
  </r>
  <r>
    <x v="2"/>
    <x v="3"/>
    <s v="Europe and Central Asia"/>
    <s v="Comprehensive Collaborative Strategic Partnership [全面战略协作伙伴关系]"/>
    <s v="None"/>
    <s v="EUCOM"/>
    <x v="7"/>
    <x v="27"/>
    <n v="9"/>
    <x v="6"/>
    <m/>
    <m/>
    <m/>
    <m/>
    <x v="0"/>
    <m/>
    <x v="3"/>
    <s v="Vostok 2018"/>
    <x v="3"/>
    <s v="Mobile defense, firepower striking, and counter-offensive; Mongolia also participated"/>
    <m/>
    <m/>
    <m/>
    <m/>
    <s v="https://www.nato.int/docu/review/articles/2018/12/20/vostok-2018-ten-years-of-russian-strategic-exercises-and-warfare-preparation/index.html"/>
    <s v="RECODED as JOINT based on PLAAF participation"/>
  </r>
  <r>
    <x v="1"/>
    <x v="1"/>
    <s v="Asia"/>
    <s v="All-Round Cooperative Partnership [全方合作伙伴关系]"/>
    <s v="None"/>
    <s v="INDOPACOM"/>
    <x v="39"/>
    <x v="27"/>
    <n v="9"/>
    <x v="3"/>
    <s v="Wei Fenghe"/>
    <m/>
    <s v="Defense Minister; CMC Member"/>
    <n v="8"/>
    <x v="2"/>
    <s v="Chief of Defense Forces"/>
    <x v="0"/>
    <m/>
    <x v="0"/>
    <m/>
    <m/>
    <m/>
    <m/>
    <m/>
    <s v="http://english.chinamil.com.cn/view/2018-09/06/content_9273156.htm"/>
    <m/>
  </r>
  <r>
    <x v="2"/>
    <x v="0"/>
    <s v="Asia"/>
    <s v="Strategic Cooperative Partnership [战略合作伙伴关系]"/>
    <s v="None"/>
    <s v="INDOPACOM"/>
    <x v="3"/>
    <x v="27"/>
    <n v="9"/>
    <x v="6"/>
    <m/>
    <m/>
    <m/>
    <m/>
    <x v="0"/>
    <m/>
    <x v="3"/>
    <s v="Cormorant Strike IX 2018"/>
    <x v="1"/>
    <s v="Special operations"/>
    <m/>
    <m/>
    <m/>
    <m/>
    <m/>
    <m/>
  </r>
  <r>
    <x v="1"/>
    <x v="6"/>
    <s v="Europe and Central Asia"/>
    <s v="Comprehensive Strategic Partnership [全面战略伙伴关系]"/>
    <s v="None"/>
    <s v="CENTCOM"/>
    <x v="60"/>
    <x v="27"/>
    <n v="9"/>
    <x v="4"/>
    <s v="Xu Qiliang"/>
    <m/>
    <s v="CMC Vice Chairman"/>
    <n v="10"/>
    <x v="1"/>
    <s v="President"/>
    <x v="0"/>
    <m/>
    <x v="0"/>
    <m/>
    <m/>
    <m/>
    <m/>
    <m/>
    <s v="http://english.chinamil.com.cn/view/2018-09/06/content_9274052.htm"/>
    <s v="Updated with higher level counterpart (President)"/>
  </r>
  <r>
    <x v="2"/>
    <x v="1"/>
    <s v="Asia"/>
    <s v="Comprehensive Strategic Cooperative Partnership [全面战略合作伙伴关系]"/>
    <s v="Bilateral Defense Treaty"/>
    <s v="INDOPACOM"/>
    <x v="5"/>
    <x v="27"/>
    <n v="9"/>
    <x v="5"/>
    <m/>
    <m/>
    <m/>
    <m/>
    <x v="0"/>
    <m/>
    <x v="3"/>
    <s v="Falcon Strike 2018"/>
    <x v="5"/>
    <s v="Combat tactics and methods"/>
    <m/>
    <m/>
    <m/>
    <m/>
    <s v="http://english.chinamil.com.cn/view/2018-09/07/content_9275202.htm"/>
    <m/>
  </r>
  <r>
    <x v="1"/>
    <x v="2"/>
    <s v="America and Oceania"/>
    <s v="No Specific Relationship"/>
    <s v="N/A"/>
    <s v="NORTHCOM"/>
    <x v="4"/>
    <x v="27"/>
    <n v="9"/>
    <x v="3"/>
    <s v="Song Puxuan"/>
    <m/>
    <s v="CMC/LSD Director"/>
    <n v="6"/>
    <x v="2"/>
    <s v="Dir of LSD"/>
    <x v="0"/>
    <m/>
    <x v="0"/>
    <m/>
    <m/>
    <m/>
    <m/>
    <m/>
    <s v="http://eng.chinamil.com.cn/view/2018-09/18/content_9289907.htm"/>
    <s v="Asia-Pacific Military Health Exchange co-hosted by US and China in China. US counterpart unspecified."/>
  </r>
  <r>
    <x v="0"/>
    <x v="10"/>
    <s v="America and Oceania"/>
    <s v="Comprehensive Strategic Partnership [全面战略伙伴关系]"/>
    <s v="None"/>
    <s v="SOUTHCOM"/>
    <x v="56"/>
    <x v="27"/>
    <n v="9"/>
    <x v="0"/>
    <m/>
    <m/>
    <m/>
    <m/>
    <x v="0"/>
    <m/>
    <x v="0"/>
    <m/>
    <x v="0"/>
    <m/>
    <s v="NETF"/>
    <s v="2018-9 Peace Ark"/>
    <s v="East Sea Fleet"/>
    <m/>
    <s v="http://english.chinamil.com.cn/view/2018-09/25/content_9297699.htm"/>
    <m/>
  </r>
  <r>
    <x v="0"/>
    <x v="10"/>
    <s v="America and Oceania"/>
    <s v="Friendly Cooperative Partnership [友好合作伙伴关系]"/>
    <s v="None"/>
    <s v="SOUTHCOM"/>
    <x v="41"/>
    <x v="27"/>
    <n v="10"/>
    <x v="0"/>
    <m/>
    <m/>
    <m/>
    <m/>
    <x v="0"/>
    <m/>
    <x v="0"/>
    <m/>
    <x v="0"/>
    <m/>
    <s v="NETF"/>
    <s v="2018-10 Peace Ark"/>
    <s v="East Sea Fleet"/>
    <m/>
    <s v="http://english.chinamil.com.cn/view/2018-10/31/content_9327912.htm"/>
    <m/>
  </r>
  <r>
    <x v="1"/>
    <x v="1"/>
    <s v="Asia"/>
    <s v="Strategic Partnership [战略伙伴关系] for Peace and Prosperity"/>
    <s v="None"/>
    <s v="INDOPACOM"/>
    <x v="153"/>
    <x v="27"/>
    <n v="10"/>
    <x v="1"/>
    <s v="Wei Fenghe"/>
    <m/>
    <s v="Defense Minister; CMC Member"/>
    <n v="8"/>
    <x v="1"/>
    <s v="5th ADMM+ Defense Minister"/>
    <x v="0"/>
    <m/>
    <x v="0"/>
    <m/>
    <m/>
    <m/>
    <m/>
    <m/>
    <s v="https://thediplomat.com/tag/admm-plus/"/>
    <s v="corrected partnership to strategic partnership for peace and prosperity"/>
  </r>
  <r>
    <x v="2"/>
    <x v="1"/>
    <s v="Asia"/>
    <s v="Strategic Partnership [战略伙伴关系] for Peace and Prosperity"/>
    <s v="None"/>
    <s v="INDOPACOM"/>
    <x v="153"/>
    <x v="27"/>
    <n v="10"/>
    <x v="6"/>
    <m/>
    <m/>
    <m/>
    <m/>
    <x v="0"/>
    <m/>
    <x v="2"/>
    <s v="ASEAN-China Maritime Exercise"/>
    <x v="2"/>
    <s v="Exchange activities; SG=lead planner for ASEAN; Other countries: Singapore, Vietnam, Thailand, Brunei, Philippines (first PLA exercise with Philippines)"/>
    <m/>
    <m/>
    <m/>
    <m/>
    <s v="http://eng.chinamil.com.cn/view/2018-10/22/content_9319771.htm"/>
    <s v="corrected partnership to strategic partnership for peace and prosperity"/>
  </r>
  <r>
    <x v="1"/>
    <x v="5"/>
    <s v="America and Oceania"/>
    <s v="Comprehensive Strategic Partnership [全面战略伙伴关系]"/>
    <s v="ANZUS Treaty"/>
    <s v="INDOPACOM"/>
    <x v="12"/>
    <x v="27"/>
    <n v="10"/>
    <x v="7"/>
    <s v="Wei Fenghe"/>
    <m/>
    <s v="Defense Minister; CMC Member"/>
    <n v="8"/>
    <x v="1"/>
    <s v="BL with Defense Minister at ADMM+"/>
    <x v="0"/>
    <m/>
    <x v="0"/>
    <m/>
    <m/>
    <m/>
    <m/>
    <m/>
    <s v="http://www.xinhuanet.com/english/2018-10/21/c_137547767.htm"/>
    <m/>
  </r>
  <r>
    <x v="1"/>
    <x v="5"/>
    <s v="America and Oceania"/>
    <s v="Comprehensive Strategic Partnership [全面战略伙伴关系]"/>
    <s v="ANZUS Treaty"/>
    <s v="INDOPACOM"/>
    <x v="12"/>
    <x v="27"/>
    <n v="10"/>
    <x v="3"/>
    <s v="Xu Qiliang"/>
    <m/>
    <s v="CMC Vice Chairman"/>
    <n v="10"/>
    <x v="2"/>
    <s v="Defense Minister"/>
    <x v="0"/>
    <m/>
    <x v="0"/>
    <m/>
    <m/>
    <m/>
    <m/>
    <m/>
    <s v="http://english.chinamil.com.cn/view/2018-10/30/content_9326986.htm"/>
    <m/>
  </r>
  <r>
    <x v="1"/>
    <x v="5"/>
    <s v="America and Oceania"/>
    <s v="Comprehensive Strategic Partnership [全面战略伙伴关系]"/>
    <s v="ANZUS Treaty"/>
    <s v="INDOPACOM"/>
    <x v="12"/>
    <x v="27"/>
    <n v="10"/>
    <x v="3"/>
    <s v="Xu Qiliang"/>
    <m/>
    <s v="CMC Vice Chairman"/>
    <n v="10"/>
    <x v="2"/>
    <s v="Defense Minister and CHOD for 21st Strategic Consultation"/>
    <x v="0"/>
    <m/>
    <x v="0"/>
    <m/>
    <m/>
    <m/>
    <m/>
    <m/>
    <s v="http://eng.chinamil.com.cn/view/2018-10/30/content_9326986.htm"/>
    <m/>
  </r>
  <r>
    <x v="1"/>
    <x v="10"/>
    <s v="America and Oceania"/>
    <s v="Strategic Partnership [战略伙伴关系]"/>
    <s v="None"/>
    <s v="SOUTHCOM"/>
    <x v="42"/>
    <x v="27"/>
    <n v="10"/>
    <x v="7"/>
    <s v="Wei Fenghe"/>
    <m/>
    <s v="Defense Minister; CMC Member"/>
    <n v="8"/>
    <x v="1"/>
    <s v="Defense Minister; BL at 4th China-Latin America Defense Forum"/>
    <x v="0"/>
    <m/>
    <x v="0"/>
    <m/>
    <m/>
    <m/>
    <m/>
    <m/>
    <s v="http://www.xinhuanet.com/politics/2018-11/02/c_1123656109.htm"/>
    <m/>
  </r>
  <r>
    <x v="1"/>
    <x v="1"/>
    <s v="Asia"/>
    <s v="Comprehensive Strategic Cooperative Partnership [全面战略合作伙伴关系]"/>
    <s v="None"/>
    <s v="INDOPACOM"/>
    <x v="94"/>
    <x v="27"/>
    <n v="10"/>
    <x v="7"/>
    <s v="Xu Qiliang"/>
    <m/>
    <s v="CMC Vice Chairman"/>
    <n v="10"/>
    <x v="2"/>
    <s v="Defense Minister; BL at Xiangshan"/>
    <x v="0"/>
    <m/>
    <x v="0"/>
    <m/>
    <m/>
    <m/>
    <m/>
    <m/>
    <s v="http://eng.mod.gov.cn/news/2018-10/29/content_4828199.htm"/>
    <m/>
  </r>
  <r>
    <x v="1"/>
    <x v="10"/>
    <s v="America and Oceania"/>
    <s v="Comprehensive Cooperative Partnership [全面合作伙伴关系]"/>
    <s v="None"/>
    <s v="SOUTHCOM"/>
    <x v="159"/>
    <x v="27"/>
    <n v="10"/>
    <x v="2"/>
    <s v="Wei Fenghe"/>
    <m/>
    <s v="Defense Minister; CMC Member"/>
    <n v="8"/>
    <x v="2"/>
    <s v="Fourth China-Latin America High-level Defense Forum"/>
    <x v="0"/>
    <m/>
    <x v="0"/>
    <m/>
    <m/>
    <m/>
    <m/>
    <m/>
    <s v="http://eng.chinamil.com.cn/view/2018-10/30/content_9326872.htm "/>
    <s v="source says &quot;Major General Shao Yuanming, Vice-Chief of Staff at the Joint Staff Department&quot; gave remarks"/>
  </r>
  <r>
    <x v="1"/>
    <x v="10"/>
    <s v="America and Oceania"/>
    <s v="Strategic Partnership [战略伙伴关系]"/>
    <s v="None"/>
    <s v="SOUTHCOM"/>
    <x v="156"/>
    <x v="27"/>
    <n v="10"/>
    <x v="7"/>
    <s v="Wei Fenghe"/>
    <m/>
    <s v="Defense Minister; CMC Member"/>
    <n v="8"/>
    <x v="1"/>
    <s v="Public Security Minister; BL at 4th China-Latin America Defense Forum"/>
    <x v="0"/>
    <m/>
    <x v="0"/>
    <m/>
    <m/>
    <m/>
    <m/>
    <m/>
    <s v="http://www.xinhuanet.com/politics/2018-11/02/c_1123656109.htm"/>
    <m/>
  </r>
  <r>
    <x v="0"/>
    <x v="10"/>
    <s v="America and Oceania"/>
    <s v="No Specific Relationship"/>
    <s v="None"/>
    <s v="SOUTHCOM"/>
    <x v="166"/>
    <x v="27"/>
    <n v="10"/>
    <x v="0"/>
    <m/>
    <m/>
    <m/>
    <m/>
    <x v="0"/>
    <m/>
    <x v="0"/>
    <m/>
    <x v="0"/>
    <m/>
    <s v="NETF"/>
    <s v="2018-10 Peace Ark"/>
    <s v="East Sea Fleet"/>
    <m/>
    <s v="http://english.chinamil.com.cn/view/2018-10/15/content_9313496.htm"/>
    <m/>
  </r>
  <r>
    <x v="1"/>
    <x v="10"/>
    <s v="America and Oceania"/>
    <s v="Comprehensive Strategic Partnership [全面战略伙伴关系]"/>
    <s v="None"/>
    <s v="SOUTHCOM"/>
    <x v="51"/>
    <x v="27"/>
    <n v="10"/>
    <x v="7"/>
    <s v="Wei Fenghe"/>
    <m/>
    <s v="Defense Minister; CMC Member"/>
    <n v="8"/>
    <x v="2"/>
    <s v="BL with Defense Minister at Xiangshan Forum"/>
    <x v="0"/>
    <m/>
    <x v="0"/>
    <m/>
    <m/>
    <m/>
    <m/>
    <m/>
    <s v="http://english.chinamil.com.cn/view/2018-10/26/content_9324154.htm"/>
    <m/>
  </r>
  <r>
    <x v="1"/>
    <x v="7"/>
    <s v="West Asia and Africa"/>
    <s v="Comprehensive Cooperative Partnership [全面合作伙伴关系]"/>
    <s v="None"/>
    <s v="AFRICOM"/>
    <x v="46"/>
    <x v="27"/>
    <n v="10"/>
    <x v="7"/>
    <s v="Wei Fenghe"/>
    <m/>
    <s v="Defense Minister; CMC Member"/>
    <n v="8"/>
    <x v="2"/>
    <s v="BL with Defense Minister at Xiangshan Forum"/>
    <x v="0"/>
    <m/>
    <x v="0"/>
    <m/>
    <m/>
    <m/>
    <m/>
    <m/>
    <s v="http://english.chinamil.com.cn/view/2018-10/26/content_9324154.htm"/>
    <m/>
  </r>
  <r>
    <x v="2"/>
    <x v="8"/>
    <s v="Europe and Central Asia"/>
    <s v="Comprehensive Cooperative Partnership [全面合作伙伴关系]"/>
    <s v="None"/>
    <s v="EUCOM"/>
    <x v="158"/>
    <x v="27"/>
    <n v="10"/>
    <x v="6"/>
    <m/>
    <m/>
    <m/>
    <m/>
    <x v="0"/>
    <m/>
    <x v="2"/>
    <s v="Cooperation EU Joint Medical Exercise"/>
    <x v="2"/>
    <s v="Led by Italy; Joint medical rescue with European Union Naval Force Combined Task Force (EU NAVFOR CTF) and PLA Djibouti Support Base; joint air-sea medical rescue in the West Gulf of Aden"/>
    <m/>
    <m/>
    <m/>
    <m/>
    <s v="http://english.chinamil.com.cn/view/2018-10/15/content_9313491.htm"/>
    <s v="Updated to reflect collaboration with EU, with Italy as key counterpart."/>
  </r>
  <r>
    <x v="1"/>
    <x v="5"/>
    <s v="America and Oceania"/>
    <s v="Comprehensive Strategic Partnership [全面战略伙伴关系]"/>
    <s v="None"/>
    <s v="INDOPACOM"/>
    <x v="128"/>
    <x v="27"/>
    <n v="10"/>
    <x v="7"/>
    <s v="Wei Fenghe"/>
    <m/>
    <s v="Defense Minister; CMC Member"/>
    <n v="8"/>
    <x v="2"/>
    <s v="BL with Defense Minister at Xiangshan Forum"/>
    <x v="0"/>
    <m/>
    <x v="0"/>
    <m/>
    <m/>
    <m/>
    <m/>
    <m/>
    <s v="http://www.xinhuanet.com/politics/2018-10/26/c_1123618438.htm"/>
    <s v="Coded as Oceania instead of Southeast Asia"/>
  </r>
  <r>
    <x v="1"/>
    <x v="8"/>
    <s v="Europe and Central Asia"/>
    <s v="Comprehensive Strategic Partnership [全面战略伙伴关系]"/>
    <s v="NATO"/>
    <s v="EUCOM"/>
    <x v="18"/>
    <x v="27"/>
    <n v="10"/>
    <x v="3"/>
    <s v="Xu Qiliang"/>
    <m/>
    <s v="CMC Vice Chairman"/>
    <n v="10"/>
    <x v="2"/>
    <s v="Defense Minister"/>
    <x v="0"/>
    <m/>
    <x v="0"/>
    <m/>
    <m/>
    <m/>
    <m/>
    <m/>
    <s v="http://english.chinamil.com.cn/view/2018-10/23/content_9320430.htm"/>
    <m/>
  </r>
  <r>
    <x v="0"/>
    <x v="10"/>
    <s v="America and Oceania"/>
    <s v="No Specific Relationship"/>
    <s v="None"/>
    <s v="SOUTHCOM"/>
    <x v="138"/>
    <x v="27"/>
    <n v="10"/>
    <x v="0"/>
    <m/>
    <m/>
    <m/>
    <m/>
    <x v="0"/>
    <m/>
    <x v="0"/>
    <m/>
    <x v="0"/>
    <m/>
    <s v="NETF"/>
    <s v="2018-10 Peace Ark"/>
    <s v="East Sea Fleet"/>
    <m/>
    <s v="http://english.chinamil.com.cn/view/2018-10/10/content_9307556.htm"/>
    <m/>
  </r>
  <r>
    <x v="1"/>
    <x v="4"/>
    <s v="Asia"/>
    <s v="Mutually Beneficial Strategic Relationship [战略互惠关系]"/>
    <s v="Bilateral Defense Treaty"/>
    <s v="INDOPACOM"/>
    <x v="83"/>
    <x v="27"/>
    <n v="10"/>
    <x v="7"/>
    <s v="Wei Fenghe"/>
    <m/>
    <s v="Defense Minister; CMC Member"/>
    <n v="8"/>
    <x v="1"/>
    <s v="BL with Defense Minister at ADMM+"/>
    <x v="0"/>
    <m/>
    <x v="0"/>
    <m/>
    <m/>
    <m/>
    <m/>
    <m/>
    <s v="http://www.xinhuanet.com/english/2018-10/21/c_137547767.htm"/>
    <m/>
  </r>
  <r>
    <x v="1"/>
    <x v="1"/>
    <s v="Asia"/>
    <s v="Comprehensive Strategic Cooperative Partnership [全面战略合作伙伴关系]"/>
    <s v="None"/>
    <s v="INDOPACOM"/>
    <x v="52"/>
    <x v="27"/>
    <n v="10"/>
    <x v="7"/>
    <s v="Wei Fenghe"/>
    <m/>
    <s v="Defense Minister; CMC Member"/>
    <n v="8"/>
    <x v="1"/>
    <s v="BL with Defense Minister at ADMM+"/>
    <x v="0"/>
    <m/>
    <x v="0"/>
    <m/>
    <m/>
    <m/>
    <m/>
    <m/>
    <s v="http://www.xinhuanet.com/english/2018-10/21/c_137547767.htm"/>
    <m/>
  </r>
  <r>
    <x v="2"/>
    <x v="1"/>
    <s v="Asia"/>
    <s v="Comprehensive Strategic Partnership [全面战略伙伴关系]"/>
    <s v="None"/>
    <s v="INDOPACOM"/>
    <x v="10"/>
    <x v="27"/>
    <n v="10"/>
    <x v="6"/>
    <m/>
    <m/>
    <m/>
    <m/>
    <x v="0"/>
    <m/>
    <x v="3"/>
    <s v="Peace and Friendship 2018"/>
    <x v="3"/>
    <s v="Joint training on security threats; staff HQ exercise and combat training; survival training. Other countries: Thailand "/>
    <m/>
    <m/>
    <m/>
    <m/>
    <s v="http://english.chinamil.com.cn/view/2018-10/14/content_9312024.htm"/>
    <s v="Updated service type (included Navy), updated exercise type, and added specifics on drill types."/>
  </r>
  <r>
    <x v="1"/>
    <x v="1"/>
    <s v="Asia"/>
    <s v="Comprehensive Strategic Partnership [全面战略伙伴关系]"/>
    <s v="None"/>
    <s v="INDOPACOM"/>
    <x v="10"/>
    <x v="27"/>
    <n v="10"/>
    <x v="7"/>
    <s v="Xu Qiliang"/>
    <m/>
    <s v="CMC Vice Chairman"/>
    <n v="10"/>
    <x v="2"/>
    <s v="Defense Minister; BL at Xiangshan"/>
    <x v="0"/>
    <m/>
    <x v="0"/>
    <m/>
    <m/>
    <m/>
    <m/>
    <m/>
    <s v="http://eng.mod.gov.cn/news/2018-10/29/content_4828199.htm"/>
    <m/>
  </r>
  <r>
    <x v="1"/>
    <x v="7"/>
    <s v="West Asia and Africa"/>
    <s v="Comprehensive Strategic Cooperative Partnership [全面战略合作伙伴关系]"/>
    <s v="None"/>
    <s v="AFRICOM"/>
    <x v="84"/>
    <x v="27"/>
    <n v="10"/>
    <x v="7"/>
    <s v="Wei Fenghe"/>
    <m/>
    <s v="Defense Minister; CMC Member"/>
    <n v="8"/>
    <x v="2"/>
    <s v="BL with Defense Minister at Xiangshan Forum"/>
    <x v="0"/>
    <m/>
    <x v="0"/>
    <m/>
    <m/>
    <m/>
    <m/>
    <m/>
    <s v="http://english.chinamil.com.cn/view/2018-10/26/content_9324154.htm"/>
    <m/>
  </r>
  <r>
    <x v="1"/>
    <x v="1"/>
    <s v="Asia"/>
    <s v="Comprehensive Strategic Cooperative Partnership [全面战略合作伙伴关系]"/>
    <s v="None"/>
    <s v="INDOPACOM"/>
    <x v="1"/>
    <x v="27"/>
    <n v="10"/>
    <x v="7"/>
    <s v="Wei Fenghe"/>
    <m/>
    <s v="Defense Minister; CMC Member"/>
    <n v="8"/>
    <x v="2"/>
    <s v="BL with Defense Minister at Xiangshan Forum"/>
    <x v="0"/>
    <m/>
    <x v="0"/>
    <m/>
    <m/>
    <m/>
    <m/>
    <m/>
    <s v="http://www.xinhuanet.com/politics/2018-10/26/c_1123618438.htm"/>
    <m/>
  </r>
  <r>
    <x v="2"/>
    <x v="4"/>
    <s v="Asia"/>
    <s v="N/A"/>
    <s v="None"/>
    <s v="INDOPACOM"/>
    <x v="161"/>
    <x v="27"/>
    <n v="10"/>
    <x v="6"/>
    <m/>
    <m/>
    <m/>
    <m/>
    <x v="0"/>
    <m/>
    <x v="1"/>
    <s v="Sharp Blade 2018"/>
    <x v="4"/>
    <s v="Anti-terrorism. Other countries: Hungary, Israel, Pakistan, CAR; Hosted by PAP, but PLAN, PLAA, and PLAAF sent teams. "/>
    <m/>
    <m/>
    <m/>
    <m/>
    <s v="http://worlddefencenews.blogspot.com/2018/10/china-sharp-blade-2018-international.html#:~:text=The%20%22Sharp%20Blade%202018%E2%80%9D%20International,as%20reported%20by%20Chinamil.com."/>
    <s v="Updated branch to PAP; changed partner country to N/A and CCMD to PACOM"/>
  </r>
  <r>
    <x v="1"/>
    <x v="4"/>
    <s v="Asia"/>
    <s v="N/A"/>
    <s v="None"/>
    <s v="INDOPACOM"/>
    <x v="161"/>
    <x v="27"/>
    <n v="10"/>
    <x v="2"/>
    <s v="Wei Fenghe"/>
    <m/>
    <s v="Defense Minister; CMC Member"/>
    <n v="8"/>
    <x v="2"/>
    <s v="Xiangshan Forum 2018; Defense Minister"/>
    <x v="0"/>
    <m/>
    <x v="0"/>
    <m/>
    <m/>
    <m/>
    <m/>
    <m/>
    <s v="http://english.chinamil.com.cn/view/2018-10/26/content_9324154.htm"/>
    <m/>
  </r>
  <r>
    <x v="1"/>
    <x v="8"/>
    <s v="Europe and Central Asia"/>
    <s v="Comprehensive Strategic Partnership [全面战略伙伴关系]"/>
    <s v="NATO"/>
    <s v="EUCOM"/>
    <x v="151"/>
    <x v="27"/>
    <n v="10"/>
    <x v="7"/>
    <s v="Yang Xuejun"/>
    <m/>
    <s v="President Academy of Military Sciences"/>
    <n v="6"/>
    <x v="2"/>
    <s v="NATO Deputy Secretary General"/>
    <x v="0"/>
    <m/>
    <x v="0"/>
    <m/>
    <m/>
    <m/>
    <m/>
    <m/>
    <s v="https://www.nato.int/cps/en/natohq/news_160122.htm; https://www.ceris.be/blog/nato-china-relations-charting-the-way-forward/"/>
    <s v="BL on margins of 8th Xiangshan Forum; counterpart not specified but likely AMS President"/>
  </r>
  <r>
    <x v="1"/>
    <x v="0"/>
    <s v="Asia"/>
    <s v="All-Round Strategic Partnership [全方位战略伙伴关系]"/>
    <s v="None"/>
    <s v="INDOPACOM"/>
    <x v="32"/>
    <x v="27"/>
    <n v="10"/>
    <x v="7"/>
    <s v="Xu Qiliang"/>
    <m/>
    <s v="CMC Vice Chairman"/>
    <n v="10"/>
    <x v="2"/>
    <s v="Deputy Defense Minister; BL at Xiangshan"/>
    <x v="0"/>
    <m/>
    <x v="0"/>
    <m/>
    <m/>
    <m/>
    <m/>
    <m/>
    <s v="http://eng.mod.gov.cn/news/2018-10/29/content_4828199.htm"/>
    <s v="Updated counterpart's role; recoded as South Asia"/>
  </r>
  <r>
    <x v="1"/>
    <x v="5"/>
    <s v="America and Oceania"/>
    <s v="Comprehensive Strategic Partnership [全面战略伙伴关系]"/>
    <s v="ANZUS Treaty"/>
    <s v="INDOPACOM"/>
    <x v="13"/>
    <x v="27"/>
    <n v="10"/>
    <x v="7"/>
    <s v="Wei Fenghe"/>
    <m/>
    <s v="Defense Minister; CMC Member"/>
    <n v="8"/>
    <x v="1"/>
    <s v="BL with Defense Minister at ADMM+"/>
    <x v="0"/>
    <m/>
    <x v="0"/>
    <m/>
    <m/>
    <m/>
    <m/>
    <m/>
    <s v="http://www.xinhuanet.com/english/2018-10/21/c_137547767.htm"/>
    <m/>
  </r>
  <r>
    <x v="1"/>
    <x v="7"/>
    <s v="West Asia and Africa"/>
    <s v="Strategic Partnership [战略伙伴关系]"/>
    <s v="None"/>
    <s v="AFRICOM"/>
    <x v="36"/>
    <x v="27"/>
    <n v="10"/>
    <x v="7"/>
    <s v="Wei Fenghe"/>
    <m/>
    <s v="Defense Minister; CMC Member"/>
    <n v="8"/>
    <x v="2"/>
    <s v="BL with Nigerian Defense Minister at Xiangshan Forum"/>
    <x v="0"/>
    <m/>
    <x v="0"/>
    <m/>
    <m/>
    <m/>
    <m/>
    <m/>
    <s v="http://www.xinhuanet.com/english/2018-10/23/c_137553157.htm"/>
    <m/>
  </r>
  <r>
    <x v="1"/>
    <x v="4"/>
    <s v="Asia"/>
    <s v="Bilateral Defense Treaty"/>
    <s v="None"/>
    <s v="INDOPACOM"/>
    <x v="9"/>
    <x v="27"/>
    <n v="10"/>
    <x v="7"/>
    <s v="Wei Fenghe"/>
    <m/>
    <s v="Defense Minister; CMC Member"/>
    <n v="8"/>
    <x v="2"/>
    <s v="BL with Vice Defense Minister Kim Hyong Ryong at Xiangshan Forum"/>
    <x v="0"/>
    <m/>
    <x v="0"/>
    <m/>
    <m/>
    <m/>
    <m/>
    <m/>
    <s v="http://eng.chinamil.com.cn/view/2018-10/25/content_9322261.htm"/>
    <m/>
  </r>
  <r>
    <x v="2"/>
    <x v="0"/>
    <s v="Asia"/>
    <s v="All-Weather Strategic Cooperative Partnership [全天候战略合作伙伴关系]"/>
    <s v="Major Non-NATO Ally"/>
    <s v="CENTCOM"/>
    <x v="2"/>
    <x v="27"/>
    <n v="10"/>
    <x v="6"/>
    <m/>
    <m/>
    <m/>
    <m/>
    <x v="0"/>
    <m/>
    <x v="6"/>
    <s v="2nd International PACES Competition"/>
    <x v="1"/>
    <s v="Comprehensive Combat Skills. Other countries: South Africa, Maldives, Kuwait"/>
    <m/>
    <m/>
    <m/>
    <m/>
    <s v="http://english.chinamil.com.cn/view/2018-10/10/content_9307555.htm"/>
    <s v="Added source"/>
  </r>
  <r>
    <x v="1"/>
    <x v="3"/>
    <s v="Europe and Central Asia"/>
    <s v="Comprehensive Collaborative Strategic Partnership [全面战略协作伙伴关系]"/>
    <s v="None"/>
    <s v="EUCOM"/>
    <x v="7"/>
    <x v="27"/>
    <n v="10"/>
    <x v="3"/>
    <s v="Zhang Youxia"/>
    <m/>
    <s v="CMC Vice Chairman"/>
    <n v="10"/>
    <x v="2"/>
    <s v="Defense Minister"/>
    <x v="0"/>
    <m/>
    <x v="0"/>
    <m/>
    <m/>
    <m/>
    <m/>
    <m/>
    <s v="http://english.chinamil.com.cn/view/2018-10/22/content_9319696.htm"/>
    <m/>
  </r>
  <r>
    <x v="1"/>
    <x v="8"/>
    <s v="Europe and Central Asia"/>
    <s v="Comprehensive Strategic Partnership [全面战略伙伴关系]"/>
    <s v="None"/>
    <s v="EUCOM"/>
    <x v="112"/>
    <x v="27"/>
    <n v="10"/>
    <x v="7"/>
    <s v="Wei Fenghe"/>
    <m/>
    <s v="Defense Minister; CMC Member"/>
    <n v="8"/>
    <x v="2"/>
    <s v="BL with Defense Minister at Xiangshan Forum"/>
    <x v="0"/>
    <m/>
    <x v="0"/>
    <m/>
    <m/>
    <m/>
    <m/>
    <m/>
    <s v="http://english.chinamil.com.cn/view/2018-10/26/content_9324154.htm"/>
    <m/>
  </r>
  <r>
    <x v="1"/>
    <x v="1"/>
    <s v="Asia"/>
    <s v="All-Round Cooperative Partnership [全方合作伙伴关系]"/>
    <s v="None"/>
    <s v="INDOPACOM"/>
    <x v="39"/>
    <x v="27"/>
    <n v="10"/>
    <x v="7"/>
    <s v="Wei Fenghe"/>
    <m/>
    <s v="Defense Minister; CMC Member"/>
    <n v="8"/>
    <x v="2"/>
    <s v="Chief of Navy; Wei also met with ASEAN cty reps participating in the China-ASEAN Navy exercise"/>
    <x v="0"/>
    <m/>
    <x v="0"/>
    <m/>
    <m/>
    <m/>
    <m/>
    <m/>
    <s v="http://eng.chinamil.com.cn/view/2018-10/22/content_9319744.htm"/>
    <m/>
  </r>
  <r>
    <x v="1"/>
    <x v="1"/>
    <s v="Asia"/>
    <s v="All-Round Cooperative Partnership [全方合作伙伴关系]"/>
    <s v="None"/>
    <s v="INDOPACOM"/>
    <x v="39"/>
    <x v="27"/>
    <n v="10"/>
    <x v="7"/>
    <s v="Wei Fenghe"/>
    <m/>
    <s v="Defense Minister; CMC Member"/>
    <n v="8"/>
    <x v="1"/>
    <s v="SG Defense Minister at ADMM+"/>
    <x v="0"/>
    <m/>
    <x v="0"/>
    <m/>
    <m/>
    <m/>
    <m/>
    <m/>
    <s v="http://www.xinhuanet.com/english/2018-10/21/c_137547767.htm"/>
    <m/>
  </r>
  <r>
    <x v="1"/>
    <x v="1"/>
    <s v="Asia"/>
    <s v="All-Round Cooperative Partnership [全方合作伙伴关系]"/>
    <s v="None"/>
    <s v="INDOPACOM"/>
    <x v="39"/>
    <x v="27"/>
    <n v="10"/>
    <x v="7"/>
    <s v="Xu Qiliang"/>
    <m/>
    <s v="CMC Vice Chairman"/>
    <n v="10"/>
    <x v="2"/>
    <s v="Defense Minister; BL at Xiangshan"/>
    <x v="0"/>
    <m/>
    <x v="0"/>
    <m/>
    <m/>
    <m/>
    <m/>
    <m/>
    <s v="http://eng.mod.gov.cn/news/2018-10/29/content_4828199.htm"/>
    <m/>
  </r>
  <r>
    <x v="1"/>
    <x v="4"/>
    <s v="Asia"/>
    <s v="Strategic Cooperative Partnership [战略合作伙伴关系]"/>
    <s v="Bilateral Defense Treaty"/>
    <s v="INDOPACOM"/>
    <x v="25"/>
    <x v="27"/>
    <n v="10"/>
    <x v="7"/>
    <s v="Wei Fenghe"/>
    <m/>
    <s v="Defense Minister; CMC Member"/>
    <n v="8"/>
    <x v="1"/>
    <s v="BL with Defense Minister at ADMM+"/>
    <x v="0"/>
    <m/>
    <x v="0"/>
    <m/>
    <m/>
    <m/>
    <m/>
    <m/>
    <s v="http://www.xinhuanet.com/english/2018-10/21/c_137547767.htm"/>
    <m/>
  </r>
  <r>
    <x v="1"/>
    <x v="1"/>
    <s v="Asia"/>
    <s v="Comprehensive Strategic Cooperative Partnership [全面战略合作伙伴关系]"/>
    <s v="Bilateral Defense Treaty"/>
    <s v="INDOPACOM"/>
    <x v="5"/>
    <x v="27"/>
    <n v="10"/>
    <x v="7"/>
    <s v="Wei Fenghe"/>
    <m/>
    <s v="Defense Minister; CMC Member"/>
    <n v="8"/>
    <x v="1"/>
    <s v="BL with Defense Minister at ADMM+"/>
    <x v="0"/>
    <m/>
    <x v="0"/>
    <m/>
    <m/>
    <m/>
    <m/>
    <m/>
    <s v="http://www.xinhuanet.com/english/2018-10/21/c_137547767.htm"/>
    <m/>
  </r>
  <r>
    <x v="1"/>
    <x v="5"/>
    <s v="America and Oceania"/>
    <s v="Comprehensive Strategic Partnership [全面战略伙伴关系]"/>
    <s v="None"/>
    <s v="INDOPACOM"/>
    <x v="144"/>
    <x v="27"/>
    <n v="10"/>
    <x v="7"/>
    <s v="Wei Fenghe"/>
    <m/>
    <s v="Defense Minister; CMC Member"/>
    <n v="8"/>
    <x v="2"/>
    <s v="BL with Chief of Defense Staff at Xiangshan Forum"/>
    <x v="0"/>
    <m/>
    <x v="0"/>
    <m/>
    <m/>
    <m/>
    <m/>
    <m/>
    <s v="http://www.xinhuanet.com/politics/2018-10/26/c_1123618438.htm"/>
    <m/>
  </r>
  <r>
    <x v="1"/>
    <x v="2"/>
    <s v="America and Oceania"/>
    <s v="No Specific Relationship"/>
    <s v="N/A"/>
    <s v="NORTHCOM"/>
    <x v="4"/>
    <x v="27"/>
    <n v="10"/>
    <x v="7"/>
    <s v="Wei Fenghe"/>
    <m/>
    <s v="Defense Minister; CMC Member"/>
    <n v="8"/>
    <x v="1"/>
    <s v="BL with SECDEF Mattis at ADMM+"/>
    <x v="0"/>
    <m/>
    <x v="0"/>
    <m/>
    <m/>
    <m/>
    <m/>
    <m/>
    <s v="https://dod.defense.gov/News/News-Releases/News-Release-View/Article/1669428/readout-of-secretary-of-defense-james-n-mattis-bilateral-engagement-with-chines/"/>
    <m/>
  </r>
  <r>
    <x v="1"/>
    <x v="5"/>
    <s v="America and Oceania"/>
    <s v="No Specific Relationship"/>
    <s v="None"/>
    <s v="INDOPACOM"/>
    <x v="120"/>
    <x v="27"/>
    <n v="10"/>
    <x v="7"/>
    <s v="Wei Fenghe"/>
    <m/>
    <s v="Defense Minister; CMC Member"/>
    <n v="8"/>
    <x v="2"/>
    <s v="BL with Minister of Internal Affairs at Xiangshan Forum"/>
    <x v="0"/>
    <m/>
    <x v="0"/>
    <m/>
    <m/>
    <m/>
    <m/>
    <m/>
    <s v="http://www.xinhuanet.com/politics/2018-10/26/c_1123618438.htm"/>
    <m/>
  </r>
  <r>
    <x v="1"/>
    <x v="10"/>
    <s v="America and Oceania"/>
    <s v="Comprehensive Strategic Partnership [全面战略伙伴关系]"/>
    <s v="None"/>
    <s v="SOUTHCOM"/>
    <x v="56"/>
    <x v="27"/>
    <n v="10"/>
    <x v="7"/>
    <s v="Wei Fenghe"/>
    <m/>
    <s v="Defense Minister; CMC Member"/>
    <n v="8"/>
    <x v="2"/>
    <s v="BL with Defense Minister at Xiangshan Forum"/>
    <x v="0"/>
    <m/>
    <x v="0"/>
    <m/>
    <m/>
    <m/>
    <m/>
    <m/>
    <s v="http://english.chinamil.com.cn/view/2018-10/26/content_9324154.htm"/>
    <m/>
  </r>
  <r>
    <x v="1"/>
    <x v="1"/>
    <s v="Asia"/>
    <s v="Comprehensive Strategic Cooperative Partnership [全面战略合作伙伴关系]"/>
    <s v="None"/>
    <s v="INDOPACOM"/>
    <x v="23"/>
    <x v="27"/>
    <n v="10"/>
    <x v="7"/>
    <s v="Xu Qiliang"/>
    <m/>
    <s v="CMC Vice Chairman"/>
    <n v="10"/>
    <x v="2"/>
    <s v="Defense Minister; BL at Xiangshan"/>
    <x v="0"/>
    <m/>
    <x v="0"/>
    <m/>
    <m/>
    <m/>
    <m/>
    <m/>
    <s v="http://eng.mod.gov.cn/news/2018-10/29/content_4828199.htm"/>
    <m/>
  </r>
  <r>
    <x v="1"/>
    <x v="10"/>
    <s v="America and Oceania"/>
    <s v="No Specific Relationship"/>
    <s v="None"/>
    <s v="SOUTHCOM"/>
    <x v="49"/>
    <x v="27"/>
    <n v="11"/>
    <x v="3"/>
    <s v="Xu Qiliang"/>
    <m/>
    <s v="CMC Vice Chairman"/>
    <n v="10"/>
    <x v="2"/>
    <s v="Defense Minister"/>
    <x v="0"/>
    <m/>
    <x v="0"/>
    <m/>
    <m/>
    <m/>
    <m/>
    <m/>
    <s v="http://www.xinhuanet.com/english/2018-11/24/c_137627401.htm"/>
    <s v="Updated with highest rank interlocutor (also met with Wei Fenghe)"/>
  </r>
  <r>
    <x v="0"/>
    <x v="10"/>
    <s v="America and Oceania"/>
    <s v="No Specific Relationship"/>
    <s v="None"/>
    <s v="SOUTHCOM"/>
    <x v="167"/>
    <x v="27"/>
    <n v="11"/>
    <x v="0"/>
    <m/>
    <m/>
    <m/>
    <m/>
    <x v="0"/>
    <m/>
    <x v="0"/>
    <m/>
    <x v="0"/>
    <m/>
    <s v="NETF"/>
    <s v="2018-11 Peace Ark"/>
    <s v="East Sea Fleet"/>
    <m/>
    <s v="http://english.chinamil.com.cn/view/2018-11/02/content_9330152.htm"/>
    <m/>
  </r>
  <r>
    <x v="0"/>
    <x v="10"/>
    <s v="America and Oceania"/>
    <s v="Comprehensive Strategic Partnership [全面战略伙伴关系]"/>
    <s v="None"/>
    <s v="SOUTHCOM"/>
    <x v="51"/>
    <x v="27"/>
    <n v="11"/>
    <x v="0"/>
    <m/>
    <m/>
    <m/>
    <m/>
    <x v="0"/>
    <m/>
    <x v="0"/>
    <m/>
    <x v="0"/>
    <m/>
    <s v="NETF"/>
    <s v="2018-11 Peace Ark"/>
    <s v="East Sea Fleet"/>
    <m/>
    <s v="http://english.pladaily.com.cn/view/2018-11/23/content_9354406.htm"/>
    <m/>
  </r>
  <r>
    <x v="1"/>
    <x v="9"/>
    <s v="West Asia and Africa"/>
    <s v="Comprehensive Strategic Partnership [全面战略伙伴关系]"/>
    <s v="Major Non-NATO Ally"/>
    <s v="CENTCOM"/>
    <x v="24"/>
    <x v="27"/>
    <n v="11"/>
    <x v="3"/>
    <s v="Wei Fenghe"/>
    <m/>
    <s v="Defense Minister; CMC Member"/>
    <n v="8"/>
    <x v="2"/>
    <s v="BL with Egyptian Chief of Staff"/>
    <x v="0"/>
    <m/>
    <x v="0"/>
    <m/>
    <m/>
    <m/>
    <m/>
    <m/>
    <s v="http://www.xinhuanet.com/english/2018-11/23/c_137625085.htm "/>
    <m/>
  </r>
  <r>
    <x v="1"/>
    <x v="0"/>
    <s v="Asia"/>
    <s v="Strategic Partnership for Peace and Prosperity [战略伙伴关系]"/>
    <s v="None"/>
    <s v="INDOPACOM"/>
    <x v="6"/>
    <x v="27"/>
    <n v="11"/>
    <x v="3"/>
    <s v="Wei Fenghe"/>
    <m/>
    <s v="Defense Minister; CMC Member"/>
    <n v="8"/>
    <x v="2"/>
    <s v="BL with Indian Defense Minister"/>
    <x v="0"/>
    <m/>
    <x v="0"/>
    <m/>
    <m/>
    <m/>
    <m/>
    <m/>
    <s v="http://www.xinhuanet.com/english/2018-11/15/c_137609320.htm "/>
    <m/>
  </r>
  <r>
    <x v="1"/>
    <x v="4"/>
    <s v="Asia"/>
    <s v="Comprehensive Strategic Partnership [全面战略伙伴关系]"/>
    <s v="None"/>
    <s v="INDOPACOM"/>
    <x v="53"/>
    <x v="27"/>
    <n v="11"/>
    <x v="3"/>
    <s v="Wei Fenghe"/>
    <m/>
    <s v="Defense Minister; CMC Member"/>
    <n v="8"/>
    <x v="2"/>
    <s v="BL with Mongolian Defense Minister"/>
    <x v="0"/>
    <m/>
    <x v="0"/>
    <m/>
    <m/>
    <m/>
    <m/>
    <m/>
    <s v="http://www.xinhuanet.com/english/2018-11/15/c_137609320.htm"/>
    <m/>
  </r>
  <r>
    <x v="1"/>
    <x v="1"/>
    <s v="Asia"/>
    <s v="Comprehensive Strategic Cooperative Partnership [全面战略合作伙伴关系]"/>
    <s v="None"/>
    <s v="INDOPACOM"/>
    <x v="1"/>
    <x v="27"/>
    <n v="11"/>
    <x v="3"/>
    <s v="Wei Fenghe"/>
    <m/>
    <s v="Defense Minister; CMC Member"/>
    <n v="8"/>
    <x v="2"/>
    <s v="Deputy Commander in Chief of Tatmadaw"/>
    <x v="0"/>
    <m/>
    <x v="0"/>
    <m/>
    <m/>
    <m/>
    <m/>
    <m/>
    <s v="http://www.xinhuanet.com/politics/2018-11/16/c_1123726590.htm"/>
    <m/>
  </r>
  <r>
    <x v="1"/>
    <x v="1"/>
    <s v="Asia"/>
    <s v="Comprehensive Strategic Cooperative Partnership [全面战略合作伙伴关系]"/>
    <s v="Bilateral Defense Treaty"/>
    <s v="INDOPACOM"/>
    <x v="5"/>
    <x v="27"/>
    <n v="11"/>
    <x v="3"/>
    <s v="Wei Fenghe"/>
    <m/>
    <s v="Defense Minister; CMC Member"/>
    <n v="8"/>
    <x v="2"/>
    <s v="Commander of Navy"/>
    <x v="0"/>
    <m/>
    <x v="0"/>
    <m/>
    <m/>
    <m/>
    <m/>
    <m/>
    <s v="http://www.xinhuanet.com/politics/2018-11/16/c_1123726590.htm "/>
    <m/>
  </r>
  <r>
    <x v="1"/>
    <x v="11"/>
    <s v="N/A"/>
    <s v="Member"/>
    <s v="None"/>
    <s v="N/A"/>
    <x v="163"/>
    <x v="27"/>
    <n v="11"/>
    <x v="2"/>
    <s v="Wei Fenghe"/>
    <m/>
    <s v="Defense Minister; CMC Member"/>
    <n v="8"/>
    <x v="2"/>
    <s v="ML with Permanent Representatives to the UN of France, Ethiopia, and delegation of permanent security council members' representatives"/>
    <x v="0"/>
    <m/>
    <x v="0"/>
    <m/>
    <m/>
    <m/>
    <m/>
    <m/>
    <s v="http://www.xinhuanet.com/english/2018-11/17/c_137614133.htm"/>
    <s v="Coded as France, but France and Ethiopia spoke for the delegation, and represented UN peacekeeping interests"/>
  </r>
  <r>
    <x v="1"/>
    <x v="2"/>
    <s v="America and Oceania"/>
    <s v="No Specific Relationship"/>
    <s v="N/A"/>
    <s v="NORTHCOM"/>
    <x v="4"/>
    <x v="27"/>
    <n v="11"/>
    <x v="4"/>
    <s v="Wei Fenghe"/>
    <m/>
    <s v="Defense Minister; CMC Member"/>
    <n v="8"/>
    <x v="1"/>
    <s v="Secretary of Defense"/>
    <x v="0"/>
    <m/>
    <x v="0"/>
    <m/>
    <m/>
    <m/>
    <m/>
    <m/>
    <s v="http://english.chinamil.com.cn/view/2018-11/10/content_9340354.htm"/>
    <m/>
  </r>
  <r>
    <x v="1"/>
    <x v="2"/>
    <s v="America and Oceania"/>
    <s v="No Specific Relationship"/>
    <s v="N/A"/>
    <s v="NORTHCOM"/>
    <x v="4"/>
    <x v="27"/>
    <n v="11"/>
    <x v="3"/>
    <s v="Xu Qiliang"/>
    <m/>
    <s v="CMC Vice Chairman"/>
    <n v="10"/>
    <x v="2"/>
    <s v="Former Secretary of State Kissinger"/>
    <x v="0"/>
    <m/>
    <x v="0"/>
    <m/>
    <m/>
    <m/>
    <m/>
    <m/>
    <s v="http://www.mod.gov.cn/topnews/2018-11/10/content_4829139.htm"/>
    <m/>
  </r>
  <r>
    <x v="2"/>
    <x v="2"/>
    <s v="America and Oceania"/>
    <s v="No Specific Relationship"/>
    <s v="N/A"/>
    <s v="NORTHCOM"/>
    <x v="4"/>
    <x v="27"/>
    <n v="11"/>
    <x v="5"/>
    <m/>
    <m/>
    <m/>
    <m/>
    <x v="0"/>
    <m/>
    <x v="2"/>
    <s v="14th China-US Disaster Management TTX"/>
    <x v="1"/>
    <s v="Nanjing; HADR academic discussion; TTX; and field exchange"/>
    <m/>
    <m/>
    <m/>
    <m/>
    <s v="http://eng.mod.gov.cn/news/2018-11/13/content_4829300.htm; https://thediplomat.com/2018/11/us-army-pla-conclude-disaster-management-exchange-despite-frictions/"/>
    <m/>
  </r>
  <r>
    <x v="1"/>
    <x v="1"/>
    <s v="Asia"/>
    <s v="Comprehensive Strategic Cooperative Partnership [全面战略合作伙伴关系]"/>
    <s v="None"/>
    <s v="INDOPACOM"/>
    <x v="23"/>
    <x v="27"/>
    <n v="11"/>
    <x v="4"/>
    <s v="Wei Fenghe"/>
    <m/>
    <s v="Defense Minister; CMC Member"/>
    <n v="8"/>
    <x v="1"/>
    <s v="Defense Minister"/>
    <x v="0"/>
    <m/>
    <x v="0"/>
    <m/>
    <m/>
    <m/>
    <m/>
    <m/>
    <s v="https://en.vietnamplus.vn/cao-bang-to-host-5th-vnchina-border-defence-friendship-exchange/141870.vnp"/>
    <s v="Visit was in Vietnam; originally entered as hosted visit;"/>
  </r>
  <r>
    <x v="2"/>
    <x v="0"/>
    <s v="Asia"/>
    <s v="Strategic Cooperative Partnership [战略合作伙伴关系]"/>
    <s v="None"/>
    <s v="INDOPACOM"/>
    <x v="0"/>
    <x v="27"/>
    <n v="12"/>
    <x v="5"/>
    <m/>
    <m/>
    <m/>
    <m/>
    <x v="0"/>
    <m/>
    <x v="1"/>
    <s v="Unnamed"/>
    <x v="1"/>
    <s v="Emergency response, support operations"/>
    <m/>
    <m/>
    <m/>
    <m/>
    <s v="http://english.chinamil.com.cn/view/2018-12/07/content_9372156.htm"/>
    <m/>
  </r>
  <r>
    <x v="0"/>
    <x v="10"/>
    <s v="America and Oceania"/>
    <s v="Comprehensive Strategic Cooperative Partnership [全面战略合作伙伴关系]"/>
    <s v="None"/>
    <s v="SOUTHCOM"/>
    <x v="66"/>
    <x v="27"/>
    <n v="12"/>
    <x v="0"/>
    <m/>
    <m/>
    <m/>
    <m/>
    <x v="0"/>
    <m/>
    <x v="0"/>
    <m/>
    <x v="0"/>
    <m/>
    <s v="NETF"/>
    <s v="2018-12 Peace Ark"/>
    <s v="East Sea Fleet"/>
    <m/>
    <s v="http://eng.chinamil.com.cn/view/2018-12/03/content_9365771.htm"/>
    <m/>
  </r>
  <r>
    <x v="2"/>
    <x v="10"/>
    <s v="America and Oceania"/>
    <s v="Comprehensive Strategic Cooperative Partnership [全面战略合作伙伴关系]"/>
    <s v="None"/>
    <s v="SOUTHCOM"/>
    <x v="66"/>
    <x v="27"/>
    <n v="12"/>
    <x v="6"/>
    <m/>
    <m/>
    <m/>
    <m/>
    <x v="0"/>
    <m/>
    <x v="2"/>
    <s v="Unnamed"/>
    <x v="2"/>
    <s v="international fleet review and maritime exercises; other countries: US, UK"/>
    <m/>
    <s v="2018-12 Peace Ark"/>
    <s v="East Sea Fleet"/>
    <m/>
    <s v="http://eng.chinamil.com.cn/view/2018-12/03/content_9365771.htm"/>
    <m/>
  </r>
  <r>
    <x v="2"/>
    <x v="0"/>
    <s v="Asia"/>
    <s v="Strategic Partnership for Peace and Prosperity [战略伙伴关系]"/>
    <s v="None"/>
    <s v="INDOPACOM"/>
    <x v="6"/>
    <x v="27"/>
    <n v="12"/>
    <x v="5"/>
    <m/>
    <m/>
    <m/>
    <m/>
    <x v="0"/>
    <m/>
    <x v="1"/>
    <s v="Hand-in-Hand 2018"/>
    <x v="1"/>
    <s v="adaptive training, basic training, combat-realistic shooting, and comprehensive drills"/>
    <m/>
    <m/>
    <m/>
    <m/>
    <s v="http://eng.mod.gov.cn/news/2018-12/24/content_4832710.htm"/>
    <s v=" added drill details"/>
  </r>
  <r>
    <x v="1"/>
    <x v="1"/>
    <s v="Asia"/>
    <s v="Comprehensive Strategic Cooperative Partnership [全面战略合作伙伴关系]"/>
    <s v="None"/>
    <s v="INDOPACOM"/>
    <x v="1"/>
    <x v="27"/>
    <n v="12"/>
    <x v="3"/>
    <s v="Shao Yuanming; Kong Xuanyou"/>
    <m/>
    <s v="CMC/JSD DCJS"/>
    <n v="5"/>
    <x v="2"/>
    <s v="Minister of the Ministry of International Cooperation; Chief of SpecOps"/>
    <x v="0"/>
    <m/>
    <x v="0"/>
    <m/>
    <m/>
    <m/>
    <m/>
    <m/>
    <s v="http://www.xinhuanet.com/world/2018-12/18/c_1123872310.htm"/>
    <s v="Fourth round of 2+2 talks; Held in Kunming, focused on border regions; JSD/DCJS position downgraded so position weight adjusted"/>
  </r>
  <r>
    <x v="2"/>
    <x v="0"/>
    <s v="Asia"/>
    <s v="All-Weather Strategic Cooperative Partnership [全天候战略合作伙伴关系]"/>
    <s v="Major Non-NATO Ally"/>
    <s v="CENTCOM"/>
    <x v="2"/>
    <x v="27"/>
    <n v="12"/>
    <x v="5"/>
    <m/>
    <m/>
    <m/>
    <m/>
    <x v="0"/>
    <m/>
    <x v="3"/>
    <s v="Shaheen-VII "/>
    <x v="5"/>
    <s v="Joint exercise"/>
    <m/>
    <m/>
    <m/>
    <m/>
    <s v="https://www.pakistantoday.com.pk/2018/11/30/china-to-advance-its-military-ties-with-pakistan-spokesperson/"/>
    <m/>
  </r>
  <r>
    <x v="1"/>
    <x v="8"/>
    <s v="Europe and Central Asia"/>
    <s v="Comprehensive Collaborative Strategic Partnership [全面战略协作伙伴关系]"/>
    <s v="None"/>
    <s v="EUCOM"/>
    <x v="7"/>
    <x v="27"/>
    <n v="12"/>
    <x v="3"/>
    <s v="Wei Fenghe"/>
    <m/>
    <s v="Defense Minister; CMC Member"/>
    <n v="8"/>
    <x v="2"/>
    <s v="Deputy Defense Minister Andrey Kartapolov"/>
    <x v="0"/>
    <m/>
    <x v="0"/>
    <m/>
    <m/>
    <m/>
    <m/>
    <m/>
    <s v="http://english.chinamil.com.cn/view/2018-12/20/content_9384360.htm"/>
    <m/>
  </r>
  <r>
    <x v="2"/>
    <x v="8"/>
    <s v="Europe and Central Asia"/>
    <s v="Comprehensive Strategic Partnership [全面战略伙伴关系]"/>
    <s v="NATO"/>
    <s v="EUCOM"/>
    <x v="70"/>
    <x v="27"/>
    <n v="12"/>
    <x v="5"/>
    <m/>
    <m/>
    <m/>
    <m/>
    <x v="0"/>
    <m/>
    <x v="2"/>
    <s v="military Medical Drill in Djibouti"/>
    <x v="2"/>
    <s v="PLA base Djibouti with Spanish navy amphibious ship"/>
    <m/>
    <m/>
    <m/>
    <m/>
    <s v="http://english.chinamil.com.cn/view/2018-12/04/content_9366133.htm"/>
    <m/>
  </r>
  <r>
    <x v="1"/>
    <x v="5"/>
    <s v="America and Oceania"/>
    <s v="Comprehensive Strategic Partnership [全面战略伙伴关系]"/>
    <s v="ANZUS Treaty"/>
    <s v="INDOPACOM"/>
    <x v="12"/>
    <x v="28"/>
    <n v="1"/>
    <x v="3"/>
    <s v="Xu Qiliang"/>
    <m/>
    <s v="CMC Vice Chairman"/>
    <n v="10"/>
    <x v="2"/>
    <s v="Defense Minister"/>
    <x v="0"/>
    <m/>
    <x v="0"/>
    <m/>
    <m/>
    <m/>
    <m/>
    <m/>
    <s v="http://www.mod.gov.cn/topnews/2019-01/24/content_4835146.htm"/>
    <s v="added source and higher rank interlocutor"/>
  </r>
  <r>
    <x v="0"/>
    <x v="1"/>
    <s v="Asia"/>
    <s v="Comprehensive Strategic Cooperative Partnership [全面战略合作伙伴关系]"/>
    <s v="None"/>
    <s v="INDOPACOM"/>
    <x v="94"/>
    <x v="28"/>
    <n v="1"/>
    <x v="0"/>
    <m/>
    <m/>
    <m/>
    <m/>
    <x v="0"/>
    <m/>
    <x v="0"/>
    <m/>
    <x v="0"/>
    <m/>
    <s v="ETF"/>
    <s v="ETF-30"/>
    <s v="North Sea Fleet"/>
    <s v="FFG539 Wuhu; FFG579 Handan; AOR960 Dongping Hu"/>
    <s v="http://navy.81.cn/content/2019-01/10/content_9401604.htm"/>
    <s v="added source, fleet type, and ship names (ETF-30 has been in the Sea of Aden);changed from NETF-30 to ETF-30"/>
  </r>
  <r>
    <x v="1"/>
    <x v="1"/>
    <s v="Asia"/>
    <s v="Comprehensive Strategic Cooperative Partnership [全面战略合作伙伴关系]"/>
    <s v="None"/>
    <s v="INDOPACOM"/>
    <x v="52"/>
    <x v="28"/>
    <n v="1"/>
    <x v="4"/>
    <s v="Miao Hua"/>
    <m/>
    <s v="CMC/PWD Director; CMC Member"/>
    <n v="8"/>
    <x v="1"/>
    <s v="Laotian President "/>
    <x v="0"/>
    <m/>
    <x v="0"/>
    <m/>
    <m/>
    <m/>
    <m/>
    <m/>
    <s v="http://www.81.cn/jmywyl/2019-01/20/content_9408890.htm"/>
    <s v="Added source"/>
  </r>
  <r>
    <x v="2"/>
    <x v="0"/>
    <s v="Asia"/>
    <s v="All-Weather Strategic Cooperative Partnership [全天候战略合作伙伴关系]"/>
    <s v="Major Non-NATO Ally"/>
    <s v="CENTCOM"/>
    <x v="2"/>
    <x v="28"/>
    <n v="1"/>
    <x v="6"/>
    <m/>
    <m/>
    <m/>
    <m/>
    <x v="0"/>
    <m/>
    <x v="1"/>
    <s v="Warrior VI"/>
    <x v="1"/>
    <s v="multi-dimensional search and reconnaissance, three-dimensional maneuvers and deployment, comprehensive fire assaults, searching and clearing buildings, coordinated air-ground attacks, joint defense and control"/>
    <m/>
    <m/>
    <m/>
    <m/>
    <s v="http://www.xinhuanet.com/mil/2019-01/06/c_1210031329.htm"/>
    <s v="Added source, drill details"/>
  </r>
  <r>
    <x v="1"/>
    <x v="1"/>
    <s v="Asia"/>
    <s v="Comprehensive Strategic Partnership [全面战略伙伴关系]"/>
    <s v="Bilateral Defense Treaty"/>
    <s v="INDOPACOM"/>
    <x v="11"/>
    <x v="28"/>
    <n v="1"/>
    <x v="3"/>
    <s v="Wei Fenghe"/>
    <m/>
    <s v="Defense Minister; CMC Member"/>
    <n v="8"/>
    <x v="2"/>
    <s v="Philippine Defense Undersecretary "/>
    <x v="0"/>
    <m/>
    <x v="0"/>
    <m/>
    <m/>
    <m/>
    <m/>
    <m/>
    <s v="http://www.xinhuanet.com/world/2019-01/25/c_1124044584.htm"/>
    <s v="Updated counterpart title; added source"/>
  </r>
  <r>
    <x v="0"/>
    <x v="1"/>
    <s v="Asia"/>
    <s v="Comprehensive Strategic Partnership [全面战略伙伴关系]"/>
    <s v="Bilateral Defense Treaty"/>
    <s v="INDOPACOM"/>
    <x v="11"/>
    <x v="28"/>
    <n v="1"/>
    <x v="0"/>
    <m/>
    <m/>
    <m/>
    <m/>
    <x v="0"/>
    <m/>
    <x v="0"/>
    <m/>
    <x v="0"/>
    <m/>
    <s v="ETF"/>
    <s v="ETF-30"/>
    <s v="North Sea Fleet"/>
    <s v="FFG539 Wuhu; FFG579 Handan; AOR960 Dongping Hu"/>
    <s v="http://www.xinhuanet.com/english/2019-01/27/c_137779068.htm"/>
    <s v="added source, fleet type, and ship names (ETF-30 has been in the Sea of Aden);changed from NETF-30 to ETF-30"/>
  </r>
  <r>
    <x v="1"/>
    <x v="1"/>
    <s v="Asia"/>
    <s v="All-Round Cooperative Partnership [全方合作伙伴关系]"/>
    <s v="None"/>
    <s v="INDOPACOM"/>
    <x v="39"/>
    <x v="28"/>
    <n v="1"/>
    <x v="3"/>
    <s v="Wei Fenghe"/>
    <m/>
    <s v="Defense Minister; CMC Member"/>
    <n v="8"/>
    <x v="2"/>
    <s v="Permanent Secretary Ministry of Defence"/>
    <x v="0"/>
    <m/>
    <x v="0"/>
    <m/>
    <m/>
    <m/>
    <m/>
    <m/>
    <s v="http://www.mod.gov.cn/topnews/2019-01/18/content_4834837.htm"/>
    <s v="Added specific source"/>
  </r>
  <r>
    <x v="1"/>
    <x v="1"/>
    <s v="Asia"/>
    <s v="Comprehensive Strategic Cooperative Partnership [全面战略合作伙伴关系]"/>
    <s v="Bilateral Defense Treaty"/>
    <s v="INDOPACOM"/>
    <x v="5"/>
    <x v="28"/>
    <n v="1"/>
    <x v="3"/>
    <s v="Wei Fenghe"/>
    <m/>
    <s v="Defense Minister; CMC Member"/>
    <n v="8"/>
    <x v="2"/>
    <s v="Royal Thai Army Commander"/>
    <x v="0"/>
    <m/>
    <x v="0"/>
    <m/>
    <m/>
    <m/>
    <m/>
    <m/>
    <s v="http://www.mod.gov.cn/topnews/2019-01/07/content_4833811.htm"/>
    <s v="Added specific source"/>
  </r>
  <r>
    <x v="2"/>
    <x v="1"/>
    <s v="Asia"/>
    <s v="Comprehensive Strategic Cooperative Partnership [全面战略合作伙伴关系]"/>
    <s v="Bilateral Defense Treaty"/>
    <s v="INDOPACOM"/>
    <x v="5"/>
    <x v="28"/>
    <n v="1"/>
    <x v="5"/>
    <m/>
    <m/>
    <m/>
    <m/>
    <x v="0"/>
    <m/>
    <x v="1"/>
    <s v="Joint Assault 2019 "/>
    <x v="1"/>
    <m/>
    <m/>
    <m/>
    <m/>
    <m/>
    <s v=", http://www.81.cn/jwgz/2019-01/07/content_9397541.htm"/>
    <s v="Added source, added branch"/>
  </r>
  <r>
    <x v="1"/>
    <x v="2"/>
    <s v="America and Oceania"/>
    <s v="No Specific Relationship"/>
    <s v="N/A"/>
    <s v="NORTHCOM"/>
    <x v="4"/>
    <x v="28"/>
    <n v="1"/>
    <x v="3"/>
    <s v="Li Zuocheng"/>
    <m/>
    <s v="CMC/JSD Commander; CMC Member"/>
    <n v="8"/>
    <x v="2"/>
    <s v="US Chief of Naval Operations Admiral"/>
    <x v="0"/>
    <m/>
    <x v="0"/>
    <m/>
    <m/>
    <m/>
    <m/>
    <m/>
    <s v="http://www.mod.gov.cn/topnews/2019-01/15/content_4834535.htm"/>
    <s v="Added specific source"/>
  </r>
  <r>
    <x v="1"/>
    <x v="1"/>
    <s v="Asia"/>
    <s v="Comprehensive Strategic Cooperative Partnership [全面战略合作伙伴关系]"/>
    <s v="None"/>
    <s v="INDOPACOM"/>
    <x v="94"/>
    <x v="28"/>
    <n v="2"/>
    <x v="3"/>
    <s v="Xu Qiliang"/>
    <m/>
    <s v="CMC Vice Chairman"/>
    <n v="10"/>
    <x v="2"/>
    <s v="Deputy Commander in Chief, Royal Cambodian Army"/>
    <x v="0"/>
    <m/>
    <x v="0"/>
    <m/>
    <m/>
    <m/>
    <m/>
    <m/>
    <s v="http://www.mod.gov.cn/topnews/2019-02/26/content_4836791.htm"/>
    <s v="Added source, updated rank of both sets of interlocutors"/>
  </r>
  <r>
    <x v="1"/>
    <x v="6"/>
    <s v="Europe and Central Asia"/>
    <s v="Comprehensive Strategic Partnership [全面战略伙伴关系]"/>
    <s v="None"/>
    <s v="CENTCOM"/>
    <x v="31"/>
    <x v="28"/>
    <n v="2"/>
    <x v="3"/>
    <s v="Wei Fenghe"/>
    <m/>
    <s v="Defense Minister; CMC Member"/>
    <n v="8"/>
    <x v="2"/>
    <s v="Chief of the General Staff "/>
    <x v="0"/>
    <m/>
    <x v="0"/>
    <m/>
    <m/>
    <m/>
    <m/>
    <m/>
    <m/>
    <m/>
  </r>
  <r>
    <x v="2"/>
    <x v="0"/>
    <s v="Asia"/>
    <s v="All-Weather Strategic Cooperative Partnership [全天候战略合作伙伴关系]"/>
    <s v="Major Non-NATO Ally"/>
    <s v="CENTCOM"/>
    <x v="2"/>
    <x v="28"/>
    <n v="2"/>
    <x v="6"/>
    <m/>
    <m/>
    <m/>
    <m/>
    <x v="0"/>
    <m/>
    <x v="1"/>
    <s v="Aman 2019"/>
    <x v="2"/>
    <s v="Two phases: harbor (conference) and sea (anti-terrorism, replenishment-at-sea, counterterrorism, anti-piracy, combined anti-submarine exercises, live-fire exercises, flight formations, ship formation maneuvers, communications, and visit, board, search, an"/>
    <m/>
    <m/>
    <m/>
    <m/>
    <s v="www.81.cn/jfjbmap/content/2019-02/13/content_227195.htm; https://www.scmp.com/news/china/military/article/2186181/pakistan-and-china-build-friendship-ties-aman-19-multinational"/>
    <s v="Added source, added drill details"/>
  </r>
  <r>
    <x v="2"/>
    <x v="1"/>
    <s v="Asia"/>
    <s v="Comprehensive Strategic Cooperative Partnership [全面战略合作伙伴关系]"/>
    <s v="Bilateral Defense Treaty"/>
    <s v="INDOPACOM"/>
    <x v="5"/>
    <x v="28"/>
    <n v="2"/>
    <x v="6"/>
    <m/>
    <m/>
    <m/>
    <m/>
    <x v="0"/>
    <m/>
    <x v="2"/>
    <s v="Cobra Gold 2019"/>
    <x v="1"/>
    <s v="The role of the Chinese troops is limited to humanitarian relief drills, including providing engineering support and medical aid."/>
    <m/>
    <m/>
    <m/>
    <m/>
    <s v="https://www.scmp.com/news/china/article/1425918/chinese-troops-join-asia-us-drills-positive-step-amid-regional-tensions"/>
    <m/>
  </r>
  <r>
    <x v="0"/>
    <x v="9"/>
    <s v="West Asia and Africa"/>
    <s v="Comprehensive Strategic Partnership [全面战略伙伴关系]"/>
    <s v="None"/>
    <s v="CENTCOM"/>
    <x v="106"/>
    <x v="28"/>
    <n v="2"/>
    <x v="0"/>
    <m/>
    <m/>
    <m/>
    <m/>
    <x v="0"/>
    <m/>
    <x v="0"/>
    <m/>
    <x v="0"/>
    <m/>
    <s v="ETF"/>
    <s v="ETF-31"/>
    <s v="South Sea Fleet"/>
    <s v="LPD998 Kunlun Shan; Participating in IDEX 2019"/>
    <s v="http://eng.chinamil.com.cn/view/2019-02/20/content_9431163.htm"/>
    <s v="updated with source and ship details"/>
  </r>
  <r>
    <x v="1"/>
    <x v="1"/>
    <s v="Asia"/>
    <s v="Comprehensive Strategic Cooperative Partnership [全面战略合作伙伴关系]"/>
    <s v="None"/>
    <s v="INDOPACOM"/>
    <x v="23"/>
    <x v="28"/>
    <n v="2"/>
    <x v="3"/>
    <s v="Wei Fenghe"/>
    <m/>
    <s v="Defense Minister; CMC Member"/>
    <n v="8"/>
    <x v="2"/>
    <s v="Deputy Defense Minister "/>
    <x v="0"/>
    <m/>
    <x v="0"/>
    <m/>
    <m/>
    <m/>
    <m/>
    <m/>
    <s v="http://www.xinhuanet.com/english/2019-02/19/c_137834753.htm"/>
    <s v="Added source"/>
  </r>
  <r>
    <x v="2"/>
    <x v="1"/>
    <s v="Asia"/>
    <s v="Comprehensive Strategic Cooperative Partnership [全面战略合作伙伴关系]"/>
    <s v="None"/>
    <s v="INDOPACOM"/>
    <x v="94"/>
    <x v="28"/>
    <n v="3"/>
    <x v="5"/>
    <m/>
    <m/>
    <m/>
    <m/>
    <x v="0"/>
    <m/>
    <x v="1"/>
    <s v="Golden Dragon 2019 "/>
    <x v="1"/>
    <m/>
    <m/>
    <m/>
    <m/>
    <m/>
    <s v="http://english.chinamil.com.cn/view/2019-03/14/content_9450012.htm"/>
    <m/>
  </r>
  <r>
    <x v="1"/>
    <x v="9"/>
    <s v="West Asia and Africa"/>
    <s v="Comprehensive Strategic Partnership [全面战略伙伴关系]"/>
    <s v="Major Non-NATO Ally"/>
    <s v="AFRICOM"/>
    <x v="24"/>
    <x v="28"/>
    <n v="3"/>
    <x v="4"/>
    <s v="Wei Fenghe"/>
    <m/>
    <s v="Defense Minister; CMC Member"/>
    <n v="8"/>
    <x v="1"/>
    <s v="Egyptian President"/>
    <x v="0"/>
    <m/>
    <x v="0"/>
    <m/>
    <m/>
    <m/>
    <m/>
    <m/>
    <s v="http://m.xinhuanet.com/2019-03/25/c_1124281295.htm"/>
    <s v="Added source"/>
  </r>
  <r>
    <x v="2"/>
    <x v="1"/>
    <s v="Asia"/>
    <s v="Comprehensive Strategic Partnership [全面战略伙伴关系]"/>
    <s v="None"/>
    <s v="INDOPACOM"/>
    <x v="10"/>
    <x v="28"/>
    <n v="3"/>
    <x v="6"/>
    <m/>
    <m/>
    <m/>
    <m/>
    <x v="0"/>
    <m/>
    <x v="2"/>
    <s v="Langkawi International Maritime and Aerospace Exhibition (LIMA) "/>
    <x v="2"/>
    <s v="FFG575Yueyang participating in maritime displays, warship inspections, and maritime exercises; Other countries included: Australia, US, India"/>
    <m/>
    <m/>
    <m/>
    <m/>
    <s v="http://eng.chinamil.com.cn/view/2019-03/22/content_9456821.htm"/>
    <s v="Updated with exercise details, branch"/>
  </r>
  <r>
    <x v="1"/>
    <x v="9"/>
    <s v="West Asia and Africa"/>
    <s v="Comprehensive Strategic Partnership [全面战略伙伴关系]"/>
    <s v="None"/>
    <s v="CENTCOM"/>
    <x v="142"/>
    <x v="28"/>
    <n v="3"/>
    <x v="4"/>
    <s v="Wei Fenghe"/>
    <m/>
    <s v="Defense Minister; CMC Member"/>
    <n v="8"/>
    <x v="1"/>
    <s v="Saudi King Salman, Crown Prince"/>
    <x v="0"/>
    <m/>
    <x v="0"/>
    <m/>
    <m/>
    <m/>
    <m/>
    <m/>
    <s v="http://www.mod.gov.cn/topnews/2019-03/27/content_4838275.htm"/>
    <s v="Updated counterpart titles, added source"/>
  </r>
  <r>
    <x v="1"/>
    <x v="4"/>
    <s v="Asia"/>
    <s v="Strategic Cooperative Partnership [战略合作伙伴关系]"/>
    <s v="Bilateral Defense Treaty"/>
    <s v="INDOPACOM"/>
    <x v="25"/>
    <x v="28"/>
    <n v="3"/>
    <x v="3"/>
    <s v="Xu Qiliang"/>
    <m/>
    <s v="CMC Vice Chairman"/>
    <n v="10"/>
    <x v="2"/>
    <s v="Army Chief of Staff General "/>
    <x v="0"/>
    <m/>
    <x v="0"/>
    <m/>
    <m/>
    <m/>
    <m/>
    <m/>
    <s v="http://news.cctv.com/2019/04/22/VIDEPSOwkA2HlgfBbtVTamk2190422.shtml"/>
    <s v="Added source, updated highest rank participant"/>
  </r>
  <r>
    <x v="1"/>
    <x v="9"/>
    <s v="West Asia and Africa"/>
    <s v="Comprehensive Strategic Partnership [全面战略伙伴关系]"/>
    <s v="None"/>
    <s v="CENTCOM"/>
    <x v="106"/>
    <x v="28"/>
    <n v="3"/>
    <x v="4"/>
    <s v="Wei Fenghe"/>
    <m/>
    <s v="Defense Minister; CMC Member"/>
    <n v="8"/>
    <x v="1"/>
    <s v="Crown Prince, Commander of the Armed Forces"/>
    <x v="0"/>
    <m/>
    <x v="0"/>
    <m/>
    <m/>
    <m/>
    <m/>
    <m/>
    <m/>
    <m/>
  </r>
  <r>
    <x v="2"/>
    <x v="1"/>
    <s v="Asia"/>
    <s v="Strategic Partnership [战略伙伴关系] for Peace and Prosperity"/>
    <s v="None"/>
    <s v="INDOPACOM"/>
    <x v="153"/>
    <x v="28"/>
    <n v="4"/>
    <x v="6"/>
    <m/>
    <m/>
    <m/>
    <m/>
    <x v="0"/>
    <m/>
    <x v="2"/>
    <s v="ASEAN - China Naval Exercise"/>
    <x v="2"/>
    <s v="Subjects: formation departures, formation communications, formation maneuvers, joint search and rescue, formation separations, vessel inspections, and medical treatments; Other countries: Philippines, Singapore, Vietnam, Indonesia, Laos"/>
    <m/>
    <m/>
    <m/>
    <m/>
    <s v="https://www.scmp.com/news/china/military/article/3007804/china-begins-joint-naval-drills-six-southeast-asian-nations"/>
    <s v="Updated drill details; corrected partnership label"/>
  </r>
  <r>
    <x v="1"/>
    <x v="10"/>
    <s v="America and Oceania"/>
    <s v="No Specific Relationship"/>
    <s v="None"/>
    <s v="SOUTHCOM"/>
    <x v="167"/>
    <x v="28"/>
    <n v="4"/>
    <x v="4"/>
    <s v="Huang Xueping"/>
    <m/>
    <s v="CMC/OMIC Deputy Director"/>
    <n v="5"/>
    <x v="1"/>
    <s v="Defense Minister"/>
    <x v="0"/>
    <m/>
    <x v="0"/>
    <m/>
    <m/>
    <m/>
    <m/>
    <m/>
    <m/>
    <m/>
  </r>
  <r>
    <x v="1"/>
    <x v="0"/>
    <s v="Asia"/>
    <s v="Strategic Partnership for Peace and Prosperity [战略伙伴关系]"/>
    <s v="None"/>
    <s v="INDOPACOM"/>
    <x v="6"/>
    <x v="28"/>
    <n v="4"/>
    <x v="7"/>
    <s v="Wei Fenghe"/>
    <m/>
    <s v="Defense Minister; CMC Member"/>
    <n v="8"/>
    <x v="1"/>
    <s v="Defense Minister "/>
    <x v="0"/>
    <m/>
    <x v="0"/>
    <m/>
    <m/>
    <m/>
    <m/>
    <m/>
    <s v="http://www.xinhuanet.com/world/2019-04/30/c_1124435056.htm"/>
    <s v="Added source"/>
  </r>
  <r>
    <x v="1"/>
    <x v="9"/>
    <s v="West Asia and Africa"/>
    <s v="Comprehensive Strategic Partnership [全面战略伙伴关系]"/>
    <s v="None"/>
    <s v="CENTCOM"/>
    <x v="89"/>
    <x v="28"/>
    <n v="4"/>
    <x v="4"/>
    <s v="Wei Fenghe"/>
    <m/>
    <s v="Defense Minister; CMC Member"/>
    <n v="8"/>
    <x v="1"/>
    <s v="Defense Minister"/>
    <x v="0"/>
    <m/>
    <x v="0"/>
    <m/>
    <m/>
    <m/>
    <m/>
    <m/>
    <s v="http://www.81.cn/jwzb/2019-04/25/content_9489144.htm"/>
    <m/>
  </r>
  <r>
    <x v="1"/>
    <x v="6"/>
    <s v="Europe and Central Asia"/>
    <s v="Comprehensive Strategic Partnership [全面战略伙伴关系]"/>
    <s v="None"/>
    <s v="CENTCOM"/>
    <x v="30"/>
    <x v="28"/>
    <n v="4"/>
    <x v="7"/>
    <s v="Wei Fenghe"/>
    <m/>
    <s v="Defense Minister; CMC Member"/>
    <n v="8"/>
    <x v="1"/>
    <s v="Defense Minsiter"/>
    <x v="0"/>
    <m/>
    <x v="0"/>
    <m/>
    <m/>
    <m/>
    <m/>
    <m/>
    <s v="http://www.xinhuanet.com/world/2019-04/30/c_1124435056.htm"/>
    <s v="Added source"/>
  </r>
  <r>
    <x v="1"/>
    <x v="6"/>
    <s v="Europe and Central Asia"/>
    <s v="Comprehensive Strategic Partnership [全面战略伙伴关系]"/>
    <s v="None"/>
    <s v="CENTCOM"/>
    <x v="31"/>
    <x v="28"/>
    <n v="4"/>
    <x v="4"/>
    <s v="Wei Fenghe"/>
    <m/>
    <s v="Defense Minister; CMC Member"/>
    <n v="8"/>
    <x v="1"/>
    <s v="President"/>
    <x v="0"/>
    <m/>
    <x v="0"/>
    <m/>
    <m/>
    <m/>
    <m/>
    <m/>
    <s v="http://english.chinamil.com.cn/view/2019-04/30/content_9493922.htm"/>
    <s v="Added source and Kyrgyzstan details"/>
  </r>
  <r>
    <x v="1"/>
    <x v="4"/>
    <s v="Asia"/>
    <s v="Comprehensive Strategic Partnership [全面战略伙伴关系]"/>
    <s v="None"/>
    <s v="INDOPACOM"/>
    <x v="53"/>
    <x v="28"/>
    <n v="4"/>
    <x v="4"/>
    <s v="Liu Xiaowu"/>
    <m/>
    <s v="Western TC Deputy Commander"/>
    <n v="6"/>
    <x v="2"/>
    <s v="General staff of armed forces"/>
    <x v="0"/>
    <m/>
    <x v="0"/>
    <m/>
    <m/>
    <m/>
    <m/>
    <m/>
    <s v="https://www.fmprc.gov.cn/ce/cemn/chn/tpxw/t1654922.htm"/>
    <m/>
  </r>
  <r>
    <x v="1"/>
    <x v="1"/>
    <s v="Asia"/>
    <s v="Comprehensive Strategic Cooperative Partnership [全面战略合作伙伴关系]"/>
    <s v="None"/>
    <s v="INDOPACOM"/>
    <x v="1"/>
    <x v="28"/>
    <n v="4"/>
    <x v="3"/>
    <s v="Xu Qiliang"/>
    <m/>
    <s v="CMC Vice Chairman"/>
    <n v="10"/>
    <x v="2"/>
    <s v="Commander in Chief of Tatmadaw"/>
    <x v="0"/>
    <m/>
    <x v="0"/>
    <m/>
    <m/>
    <m/>
    <m/>
    <m/>
    <s v="https://thediplomat.com/2019/04/china-myanmar-extol-eternal-friendship-as-commander-in-chief-visits-beijing/"/>
    <m/>
  </r>
  <r>
    <x v="2"/>
    <x v="4"/>
    <s v="Asia"/>
    <s v="N/A"/>
    <s v="None"/>
    <s v="INDOPACOM"/>
    <x v="161"/>
    <x v="28"/>
    <n v="4"/>
    <x v="6"/>
    <m/>
    <m/>
    <m/>
    <m/>
    <x v="0"/>
    <m/>
    <x v="2"/>
    <s v="70th Anniversary of PLA Navy Fleet Review "/>
    <x v="2"/>
    <s v="Naval Parade including Russia, Thailand, Vietnam,  India, Japan, the Philippines, Bangladesh, Brunei, Australia, Malaysia, and Myanmar "/>
    <m/>
    <m/>
    <m/>
    <m/>
    <s v="http://www.81.cn/jfjbmap/content/2019-04/26/content_232574.htm"/>
    <s v="Added source, added country participants; ; changed partner country to N/A and CCMD to PACOM"/>
  </r>
  <r>
    <x v="1"/>
    <x v="0"/>
    <s v="Asia"/>
    <s v="All-Weather Strategic Cooperative Partnership [全天候战略合作伙伴关系]"/>
    <s v="Major Non-NATO Ally"/>
    <s v="CENTCOM"/>
    <x v="2"/>
    <x v="28"/>
    <n v="4"/>
    <x v="7"/>
    <s v="Wei Fenghe"/>
    <m/>
    <s v="Defense Minister; CMC Member"/>
    <n v="8"/>
    <x v="1"/>
    <s v="Defense Secretary"/>
    <x v="0"/>
    <m/>
    <x v="0"/>
    <m/>
    <m/>
    <m/>
    <m/>
    <m/>
    <s v="http://www.xinhuanet.com/world/2019-04/30/c_1124435056.htm"/>
    <s v="Added source"/>
  </r>
  <r>
    <x v="1"/>
    <x v="0"/>
    <s v="Asia"/>
    <s v="All-Weather Strategic Cooperative Partnership [全天候战略合作伙伴关系]"/>
    <s v="Major Non-NATO Ally"/>
    <s v="CENTCOM"/>
    <x v="2"/>
    <x v="28"/>
    <n v="4"/>
    <x v="3"/>
    <s v="Wei Fenghe"/>
    <m/>
    <s v="Defense Minister; CMC Member"/>
    <n v="8"/>
    <x v="2"/>
    <s v="Chief of the Naval Staff "/>
    <x v="0"/>
    <m/>
    <x v="0"/>
    <m/>
    <m/>
    <m/>
    <m/>
    <m/>
    <s v="http://www.mod.gov.cn/diplomacy/2019-04/21/content_4839952.htm"/>
    <s v="Added source"/>
  </r>
  <r>
    <x v="2"/>
    <x v="3"/>
    <s v="Europe and Central Asia"/>
    <s v="Comprehensive Strategic Partnership of Coordination in the New Era [新时代中俄全面战略协作伙伴关系]"/>
    <s v="None"/>
    <s v="EUCOM"/>
    <x v="7"/>
    <x v="28"/>
    <n v="4"/>
    <x v="5"/>
    <m/>
    <m/>
    <m/>
    <m/>
    <x v="0"/>
    <m/>
    <x v="3"/>
    <s v="Joint Sea 2019 "/>
    <x v="2"/>
    <s v="Joint air defense, joint anti-submarine operations, joint submarine rescue, and joint search and rescue in Yellow Sea off Qiangdao.  April 29-May 4."/>
    <m/>
    <m/>
    <m/>
    <m/>
    <s v="http://www.xinhuanet.com/english/2019-04/30/c_138025460.htm"/>
    <s v="Added source, added details"/>
  </r>
  <r>
    <x v="1"/>
    <x v="3"/>
    <s v="Europe and Central Asia"/>
    <s v="Comprehensive Strategic Partnership of Coordination in the New Era [新时代中俄全面战略协作伙伴关系]"/>
    <s v="None"/>
    <s v="EUCOM"/>
    <x v="7"/>
    <x v="28"/>
    <n v="4"/>
    <x v="7"/>
    <s v="Wei Fenghe"/>
    <m/>
    <s v="Defense Minister; CMC Member"/>
    <n v="8"/>
    <x v="1"/>
    <s v="Russian Defense Minister"/>
    <x v="0"/>
    <m/>
    <x v="0"/>
    <m/>
    <m/>
    <m/>
    <m/>
    <m/>
    <s v="http://www.81.cn/jwzb/2019-04/25/content_9489144.htm"/>
    <s v="Added specific source"/>
  </r>
  <r>
    <x v="1"/>
    <x v="6"/>
    <s v="Europe and Central Asia"/>
    <s v="Member"/>
    <s v="None"/>
    <s v="CENTCOM"/>
    <x v="14"/>
    <x v="28"/>
    <n v="4"/>
    <x v="1"/>
    <s v="Wei Fenghe"/>
    <m/>
    <s v="Defense Minister; CMC Member"/>
    <n v="8"/>
    <x v="1"/>
    <s v="16th official meeting of the SCO Ministers' of Defense in Kyrgyzstan; Other countries: Kazakhstan, Kyrgyztan, Russia, Tajikistan, Uzbekistan"/>
    <x v="0"/>
    <m/>
    <x v="0"/>
    <m/>
    <m/>
    <m/>
    <m/>
    <m/>
    <s v="http://eng.sectsco.org/news/20190430/533861.html#:~:text=On%2029%20April%202019%2C%20the,to%20as%20SCO%20or%20Organisation."/>
    <m/>
  </r>
  <r>
    <x v="1"/>
    <x v="8"/>
    <s v="Europe and Central Asia"/>
    <s v="Comprehensive Strategic Partnership [全面战略伙伴关系]"/>
    <s v="None"/>
    <s v="EUCOM"/>
    <x v="112"/>
    <x v="28"/>
    <n v="4"/>
    <x v="4"/>
    <s v="Wei Fenghe"/>
    <m/>
    <s v="Defense Minister; CMC Member"/>
    <n v="8"/>
    <x v="1"/>
    <s v="Defense Minister"/>
    <x v="0"/>
    <m/>
    <x v="0"/>
    <m/>
    <m/>
    <m/>
    <m/>
    <m/>
    <s v="http://www.81.cn/jwzb/2019-04/25/content_9489144.htm"/>
    <s v="Added source"/>
  </r>
  <r>
    <x v="0"/>
    <x v="7"/>
    <s v="West Asia and Africa"/>
    <s v="No Specific Relationship"/>
    <s v="None"/>
    <s v="AFRICOM"/>
    <x v="168"/>
    <x v="28"/>
    <n v="4"/>
    <x v="0"/>
    <m/>
    <m/>
    <m/>
    <m/>
    <x v="0"/>
    <m/>
    <x v="0"/>
    <m/>
    <x v="0"/>
    <m/>
    <s v="ETF"/>
    <s v="ETF-32"/>
    <m/>
    <m/>
    <m/>
    <s v="can’t find original source"/>
  </r>
  <r>
    <x v="1"/>
    <x v="6"/>
    <s v="Europe and Central Asia"/>
    <s v="Comprehensive Strategic Partnership [全面战略伙伴关系]"/>
    <s v="None"/>
    <s v="CENTCOM"/>
    <x v="73"/>
    <x v="28"/>
    <n v="4"/>
    <x v="7"/>
    <s v="Wei Fenghe"/>
    <m/>
    <s v="Defense Minister; CMC Member"/>
    <n v="8"/>
    <x v="1"/>
    <s v="Prime Minister"/>
    <x v="0"/>
    <m/>
    <x v="0"/>
    <m/>
    <m/>
    <m/>
    <m/>
    <m/>
    <s v="http://www.81.cn/jwzb/2019-04/27/content_9490734.htm"/>
    <s v="Added source"/>
  </r>
  <r>
    <x v="2"/>
    <x v="1"/>
    <s v="Asia"/>
    <s v="Strategic Partnership [战略伙伴关系] for Peace and Prosperity"/>
    <s v="None"/>
    <s v="INDOPACOM"/>
    <x v="153"/>
    <x v="28"/>
    <n v="5"/>
    <x v="6"/>
    <m/>
    <m/>
    <m/>
    <m/>
    <x v="0"/>
    <m/>
    <x v="2"/>
    <s v="ASEAN ADMM Plus Live Fire Exercise"/>
    <x v="2"/>
    <s v="Co-sponsored by Singapore and South Korea "/>
    <m/>
    <m/>
    <m/>
    <m/>
    <s v="http://eng.chinamil.com.cn/view/2019-04/28/content_9491510.htm"/>
    <s v="Added source, revised exercise type to MOOTW (not planning for military adversaries, just piracy/terrorism/more); "/>
  </r>
  <r>
    <x v="1"/>
    <x v="1"/>
    <s v="Asia"/>
    <s v="Comprehensive Strategic Cooperative Partnership [全面战略合作伙伴关系]"/>
    <s v="None"/>
    <s v="INDOPACOM"/>
    <x v="94"/>
    <x v="28"/>
    <n v="5"/>
    <x v="3"/>
    <s v="Wei Fenghe"/>
    <m/>
    <s v="Defense Minister; CMC Member"/>
    <n v="8"/>
    <x v="2"/>
    <s v="Deputy Commander in Chief of RCAF"/>
    <x v="0"/>
    <m/>
    <x v="0"/>
    <m/>
    <m/>
    <m/>
    <m/>
    <m/>
    <s v="http://www.81.cn/jmywyl/2019-05/24/content_9513202.htm"/>
    <s v="Added source"/>
  </r>
  <r>
    <x v="1"/>
    <x v="10"/>
    <s v="America and Oceania"/>
    <s v="No Specific Relationship"/>
    <s v="None"/>
    <s v="SOUTHCOM"/>
    <x v="49"/>
    <x v="28"/>
    <n v="5"/>
    <x v="4"/>
    <s v="Miao Hua"/>
    <m/>
    <s v="CMC/PWD Director; CMC Member"/>
    <n v="8"/>
    <x v="1"/>
    <s v="First Secretary "/>
    <x v="0"/>
    <m/>
    <x v="0"/>
    <m/>
    <m/>
    <m/>
    <m/>
    <m/>
    <s v="http://www.mod.gov.cn/topnews/2019-05/17/content_4841806.htm"/>
    <s v="Added source"/>
  </r>
  <r>
    <x v="1"/>
    <x v="1"/>
    <s v="Asia"/>
    <s v="No Specific Relationship"/>
    <s v="None"/>
    <s v="INDOPACOM"/>
    <x v="137"/>
    <x v="28"/>
    <n v="5"/>
    <x v="1"/>
    <s v="Wei Fenghe"/>
    <m/>
    <s v="Defense Minister; CMC Member"/>
    <n v="8"/>
    <x v="1"/>
    <s v="18th Shangri-La"/>
    <x v="0"/>
    <m/>
    <x v="0"/>
    <m/>
    <m/>
    <m/>
    <m/>
    <m/>
    <s v="http://www.xinhuanet.com/english/2019-06/01/c_138106931.htm"/>
    <s v="Shangri-La Dialogue"/>
  </r>
  <r>
    <x v="1"/>
    <x v="1"/>
    <s v="Asia"/>
    <s v="All-Round Cooperative Partnership [全方合作伙伴关系]"/>
    <s v="None"/>
    <s v="INDOPACOM"/>
    <x v="39"/>
    <x v="28"/>
    <n v="5"/>
    <x v="4"/>
    <s v="Wei Fenghe"/>
    <m/>
    <s v="Defense Minister; CMC Member"/>
    <n v="8"/>
    <x v="1"/>
    <s v="Defense Minister"/>
    <x v="0"/>
    <m/>
    <x v="0"/>
    <m/>
    <m/>
    <m/>
    <m/>
    <m/>
    <s v="https://www.straitstimes.com/singapore/reassuring-to-have-gen-wei-present-at-forum-says-ng-eng-hen"/>
    <m/>
  </r>
  <r>
    <x v="2"/>
    <x v="1"/>
    <s v="Asia"/>
    <s v="Comprehensive Strategic Cooperative Partnership [全面战略合作伙伴关系]"/>
    <s v="Bilateral Defense Treaty"/>
    <s v="INDOPACOM"/>
    <x v="5"/>
    <x v="28"/>
    <n v="5"/>
    <x v="5"/>
    <m/>
    <m/>
    <m/>
    <m/>
    <x v="0"/>
    <m/>
    <x v="2"/>
    <s v="Blue Commando 2019"/>
    <x v="2"/>
    <s v="shooting, grappling, helicopter rappelling, combat tactics, communications, replenishment-at-sea, joint rescue, live-fire shooting, and amphibious activities"/>
    <m/>
    <m/>
    <m/>
    <m/>
    <s v="http://www.xinhuanet.com/politics/2019-05/01/c_1124442748.htm"/>
    <s v="Added source, drill details"/>
  </r>
  <r>
    <x v="1"/>
    <x v="2"/>
    <s v="America and Oceania"/>
    <s v="No Specific Relationship"/>
    <s v="N/A"/>
    <s v="NORTHCOM"/>
    <x v="4"/>
    <x v="28"/>
    <n v="5"/>
    <x v="7"/>
    <s v="Wei Fenghe"/>
    <m/>
    <s v="Defense Minister; CMC Member"/>
    <n v="8"/>
    <x v="1"/>
    <s v="Secretary of Defense; BL at Shangri-La "/>
    <x v="0"/>
    <m/>
    <x v="0"/>
    <m/>
    <m/>
    <m/>
    <m/>
    <m/>
    <s v="http://www.xinhuanet.com/english/2019-06/01/c_138106931.htm"/>
    <s v="Added source"/>
  </r>
  <r>
    <x v="2"/>
    <x v="6"/>
    <s v="Europe and Central Asia"/>
    <s v="Comprehensive Strategic Partnership [全面战略伙伴关系]"/>
    <s v="None"/>
    <s v="CENTCOM"/>
    <x v="73"/>
    <x v="28"/>
    <n v="5"/>
    <x v="5"/>
    <m/>
    <m/>
    <m/>
    <m/>
    <x v="0"/>
    <m/>
    <x v="1"/>
    <s v="Cooperation 2019"/>
    <x v="4"/>
    <s v="Snow leopard combat unit"/>
    <m/>
    <m/>
    <m/>
    <m/>
    <s v="http://www.xinhuanet.com/world/2019-05/16/c_1124502442.htm"/>
    <s v="Added source, drill details"/>
  </r>
  <r>
    <x v="1"/>
    <x v="1"/>
    <s v="Asia"/>
    <s v="Comprehensive Strategic Cooperative Partnership [全面战略合作伙伴关系]"/>
    <s v="None"/>
    <s v="INDOPACOM"/>
    <x v="23"/>
    <x v="28"/>
    <n v="5"/>
    <x v="4"/>
    <s v="Wei Fenghe"/>
    <m/>
    <s v="Defense Minister; CMC Member"/>
    <n v="8"/>
    <x v="1"/>
    <s v="National Assembly Chairwoman &amp; defense minister"/>
    <x v="0"/>
    <m/>
    <x v="0"/>
    <m/>
    <m/>
    <m/>
    <m/>
    <m/>
    <s v="http://www.xinhuanet.com/english/2019-05/29/c_138099645.htm"/>
    <s v="Added source"/>
  </r>
  <r>
    <x v="1"/>
    <x v="7"/>
    <s v="West Asia and Africa"/>
    <s v="Comprehensive Strategic Cooperative Partnership [全面战略合作伙伴关系]"/>
    <s v="None"/>
    <s v="AFRICOM"/>
    <x v="86"/>
    <x v="28"/>
    <n v="5"/>
    <x v="3"/>
    <s v="Wei Fenghe"/>
    <m/>
    <s v="Defense Minister; CMC Member"/>
    <n v="8"/>
    <x v="2"/>
    <s v="Defense Minister"/>
    <x v="0"/>
    <m/>
    <x v="0"/>
    <m/>
    <m/>
    <m/>
    <m/>
    <m/>
    <s v="http://english.chinamil.com.cn/view/2019-05/09/content_9499547.htm"/>
    <s v="Added source"/>
  </r>
  <r>
    <x v="1"/>
    <x v="7"/>
    <s v="West Asia and Africa"/>
    <s v="Strategic Partnership [战略伙伴关系]"/>
    <s v="None"/>
    <s v="AFRICOM"/>
    <x v="105"/>
    <x v="28"/>
    <n v="6"/>
    <x v="4"/>
    <s v="Xu Qiliang"/>
    <m/>
    <s v="CMC Vice Chairman "/>
    <n v="10"/>
    <x v="1"/>
    <s v="Defense Minister"/>
    <x v="0"/>
    <m/>
    <x v="0"/>
    <m/>
    <m/>
    <m/>
    <m/>
    <m/>
    <s v="http://www.xinhuanet.com/2019-06/26/c_1124670811.htm"/>
    <s v="Added source"/>
  </r>
  <r>
    <x v="0"/>
    <x v="5"/>
    <s v="America and Oceania"/>
    <s v="Comprehensive Strategic Partnership [全面战略伙伴关系]"/>
    <s v="ANZUS Treaty"/>
    <s v="INDOPACOM"/>
    <x v="12"/>
    <x v="28"/>
    <n v="6"/>
    <x v="0"/>
    <m/>
    <m/>
    <m/>
    <m/>
    <x v="0"/>
    <m/>
    <x v="0"/>
    <m/>
    <x v="0"/>
    <m/>
    <s v="ETF"/>
    <s v="ETF-31"/>
    <s v="South Sea Fleet"/>
    <s v="LPD998 Kunlun Shan; FFG536 Xuchang; AOR964 Luoma Hu"/>
    <s v="http://eng.chinamil.com.cn/view/2019-06/10/content_9526660.htm"/>
    <s v="Added source"/>
  </r>
  <r>
    <x v="2"/>
    <x v="1"/>
    <s v="Asia"/>
    <s v="Comprehensive Strategic Cooperative Partnership [全面战略合作伙伴关系]"/>
    <s v="None"/>
    <s v="INDOPACOM"/>
    <x v="52"/>
    <x v="28"/>
    <n v="6"/>
    <x v="5"/>
    <m/>
    <m/>
    <m/>
    <m/>
    <x v="0"/>
    <m/>
    <x v="1"/>
    <s v="Second China-Laos National Defense Friendship Activities Along the Border"/>
    <x v="1"/>
    <s v="drill is part of the China-Laos border defense friendly exchange activities"/>
    <m/>
    <m/>
    <m/>
    <m/>
    <s v="http://en.people.cn/n3/2019/0531/c90000-9583271.html"/>
    <m/>
  </r>
  <r>
    <x v="2"/>
    <x v="4"/>
    <s v="Asia"/>
    <s v="Comprehensive Strategic Partnership [全面战略伙伴关系]"/>
    <s v="None"/>
    <s v="INDOPACOM"/>
    <x v="53"/>
    <x v="28"/>
    <n v="6"/>
    <x v="6"/>
    <m/>
    <m/>
    <m/>
    <m/>
    <x v="0"/>
    <m/>
    <x v="2"/>
    <s v="Khaan Quest 2019"/>
    <x v="1"/>
    <s v="Multilateral peacekeeping exercise; Cosponsored by US; 38 countries participated"/>
    <m/>
    <m/>
    <m/>
    <m/>
    <s v="http://www.xinhuanet.com/english/2019-06/15/c_138145899.htm"/>
    <m/>
  </r>
  <r>
    <x v="1"/>
    <x v="7"/>
    <s v="West Asia and Africa"/>
    <s v="Comprehensive Strategic Cooperative Partnership [全面战略合作伙伴关系]"/>
    <s v="None"/>
    <s v="AFRICOM"/>
    <x v="84"/>
    <x v="28"/>
    <n v="6"/>
    <x v="4"/>
    <s v="Xu Qiliang"/>
    <m/>
    <s v="CMC Vice Chairman "/>
    <n v="10"/>
    <x v="1"/>
    <s v="President"/>
    <x v="0"/>
    <m/>
    <x v="0"/>
    <m/>
    <m/>
    <m/>
    <m/>
    <m/>
    <s v="http://www.xinhuanet.com/world/2019-06/27/c_1124680590.htm"/>
    <s v="Added source"/>
  </r>
  <r>
    <x v="1"/>
    <x v="0"/>
    <s v="Asia"/>
    <s v="Development-oriented Strategic Cooperative Partnership [面向发展与繁荣的世代友好的战略合作伙伴关系]."/>
    <s v="None"/>
    <s v="INDOPACOM"/>
    <x v="32"/>
    <x v="28"/>
    <n v="6"/>
    <x v="3"/>
    <s v="Wei Fenghe"/>
    <m/>
    <s v="Defense Minister; CMC Member"/>
    <n v="8"/>
    <x v="2"/>
    <s v="Nepalese Chief of Army Staff General"/>
    <x v="0"/>
    <m/>
    <x v="0"/>
    <s v="Also met JSD commander Li during week long visit"/>
    <m/>
    <m/>
    <m/>
    <m/>
    <s v="https://economictimes.indiatimes.com/news/defence/nepal-army-chief-meets-chinas-defence-ministry-discusses-plans-to-upgrade-military-ties/articleshow/69885746.cms?from=mdr"/>
    <m/>
  </r>
  <r>
    <x v="1"/>
    <x v="0"/>
    <s v="Asia"/>
    <s v="All-Weather Strategic Cooperative Partnership [全天候战略合作伙伴关系]"/>
    <s v="Major Non-NATO Ally"/>
    <s v="CENTCOM"/>
    <x v="2"/>
    <x v="28"/>
    <n v="6"/>
    <x v="3"/>
    <s v="Wei Fenghe"/>
    <m/>
    <s v="Defense Minister; CMC Member"/>
    <n v="8"/>
    <x v="2"/>
    <s v="Ambassador to China"/>
    <x v="0"/>
    <m/>
    <x v="0"/>
    <m/>
    <m/>
    <m/>
    <m/>
    <m/>
    <s v="http://www.mod.gov.cn/topnews/2019-06/21/content_4844064.htm"/>
    <s v="Added source"/>
  </r>
  <r>
    <x v="1"/>
    <x v="0"/>
    <s v="Asia"/>
    <s v="All-Weather Strategic Cooperative Partnership [全天候战略合作伙伴关系]"/>
    <s v="Major Non-NATO Ally"/>
    <s v="CENTCOM"/>
    <x v="2"/>
    <x v="28"/>
    <n v="6"/>
    <x v="4"/>
    <s v="Han Weiguo"/>
    <m/>
    <s v="PLAA Commander"/>
    <n v="6"/>
    <x v="1"/>
    <s v="Chief of Army Staff "/>
    <x v="0"/>
    <m/>
    <x v="0"/>
    <m/>
    <m/>
    <m/>
    <m/>
    <m/>
    <s v="https://defence.pk/pdf/threads/general-han-weiguo-commander-people-liberation-army-visits-pakistan.623614/"/>
    <m/>
  </r>
  <r>
    <x v="1"/>
    <x v="1"/>
    <s v="Asia"/>
    <s v="All-Round Cooperative Partnership [全方合作伙伴关系]"/>
    <s v="None"/>
    <s v="INDOPACOM"/>
    <x v="39"/>
    <x v="28"/>
    <n v="6"/>
    <x v="7"/>
    <s v="Wei Fenghe"/>
    <m/>
    <s v="Defense Minister; CMC Member"/>
    <n v="8"/>
    <x v="1"/>
    <s v="Defense Minister; BL at Shangri-La"/>
    <x v="0"/>
    <m/>
    <x v="0"/>
    <m/>
    <m/>
    <m/>
    <m/>
    <m/>
    <s v="https://www.chinadaily.com.cn/a/201905/30/WS5cef9188a3104842260beb7a.html"/>
    <m/>
  </r>
  <r>
    <x v="1"/>
    <x v="8"/>
    <s v="Europe and Central Asia"/>
    <s v="Strategic Cooperative Partnership [战略合作伙伴关系]"/>
    <s v="NATO"/>
    <s v="EUCOM"/>
    <x v="38"/>
    <x v="28"/>
    <n v="6"/>
    <x v="3"/>
    <s v="Wei Fenghe"/>
    <m/>
    <s v="Defense Minister; CMC Member"/>
    <n v="8"/>
    <x v="2"/>
    <s v="Turkish Air Forces Commander"/>
    <x v="0"/>
    <m/>
    <x v="0"/>
    <m/>
    <m/>
    <m/>
    <m/>
    <m/>
    <s v="http://www.xinhuanet.com/english/2019-06/18/c_138153879.htm"/>
    <m/>
  </r>
  <r>
    <x v="1"/>
    <x v="7"/>
    <s v="West Asia and Africa"/>
    <s v="Friendly Cooperative Relationship [友好合作关系]"/>
    <s v="None"/>
    <s v="AFRICOM"/>
    <x v="64"/>
    <x v="28"/>
    <n v="7"/>
    <x v="3"/>
    <s v="Wei Fenghe"/>
    <m/>
    <s v="Defense Minister; CMC Member"/>
    <n v="8"/>
    <x v="2"/>
    <s v="Defense Minister"/>
    <x v="0"/>
    <m/>
    <x v="0"/>
    <m/>
    <m/>
    <m/>
    <m/>
    <m/>
    <s v="http://www.mod.gov.cn/topnews/2019-07/17/content_4846021.htm"/>
    <s v="Added source"/>
  </r>
  <r>
    <x v="0"/>
    <x v="8"/>
    <s v="Europe and Central Asia"/>
    <s v="Comprehensive Strategic Partnership [全面战略伙伴关系]"/>
    <s v="NATO"/>
    <s v="EUCOM"/>
    <x v="22"/>
    <x v="28"/>
    <n v="7"/>
    <x v="0"/>
    <m/>
    <m/>
    <m/>
    <m/>
    <x v="0"/>
    <m/>
    <x v="0"/>
    <m/>
    <x v="0"/>
    <m/>
    <s v="ETF"/>
    <s v="ETF-32"/>
    <s v="East Sea Fleet"/>
    <s v="DDG153 Xi'an FFG599 Anyang AOR966 Gaoyuhu"/>
    <s v="http://www.xinhuanet.com/english/2019-07/02/c_138191762.htm"/>
    <m/>
  </r>
  <r>
    <x v="2"/>
    <x v="8"/>
    <s v="Europe and Central Asia"/>
    <s v="Comprehensive Strategic Partnership [全面战略伙伴关系]"/>
    <s v="NATO"/>
    <s v="EUCOM"/>
    <x v="18"/>
    <x v="28"/>
    <n v="7"/>
    <x v="5"/>
    <m/>
    <m/>
    <m/>
    <m/>
    <x v="0"/>
    <m/>
    <x v="2"/>
    <s v="Combined Aid 2019"/>
    <x v="1"/>
    <m/>
    <m/>
    <m/>
    <m/>
    <m/>
    <s v="https://www.stripes.com/news/in-a-first-chinese-military-deploys-for-medical-drill-with-german-forces-in-europe-1.589687"/>
    <m/>
  </r>
  <r>
    <x v="1"/>
    <x v="7"/>
    <s v="West Asia and Africa"/>
    <s v="No Specific Relationship"/>
    <s v="None"/>
    <s v="AFRICOM"/>
    <x v="87"/>
    <x v="28"/>
    <n v="7"/>
    <x v="3"/>
    <s v="Wei Fenghe"/>
    <m/>
    <s v="Defense Minister; CMC Member"/>
    <n v="8"/>
    <x v="2"/>
    <s v="Defense Minister"/>
    <x v="0"/>
    <m/>
    <x v="0"/>
    <m/>
    <m/>
    <m/>
    <m/>
    <m/>
    <s v="http://www.mod.gov.cn/topnews/2019-07/17/content_4846021.htm"/>
    <s v="Added source"/>
  </r>
  <r>
    <x v="1"/>
    <x v="10"/>
    <s v="America and Oceania"/>
    <s v="No Specific Relationship"/>
    <s v="None"/>
    <s v="SOUTHCOM"/>
    <x v="88"/>
    <x v="28"/>
    <n v="7"/>
    <x v="3"/>
    <s v="Wei Fenghe"/>
    <m/>
    <s v="Defense Minister; CMC Member"/>
    <n v="8"/>
    <x v="2"/>
    <s v="Chief of Staff of the Guyana Defense Force Brigadier Patrick West"/>
    <x v="0"/>
    <m/>
    <x v="0"/>
    <s v="Guyana represented nations at the Fourth Forum for Senior Defense Officials from Caribbean and South Pacific Countries"/>
    <m/>
    <m/>
    <m/>
    <m/>
    <s v="http://www.xinhuanet.com/english/2019-07/08/c_138209338.htm"/>
    <s v="Revised &quot;country&quot; to Guyana (from Caribbean), added comments on details of the event"/>
  </r>
  <r>
    <x v="1"/>
    <x v="5"/>
    <s v="America and Oceania"/>
    <s v="Comprehensive Strategic Partnership [全面战略伙伴关系]"/>
    <s v="ANZUS Treaty"/>
    <s v="INDOPACOM"/>
    <x v="13"/>
    <x v="28"/>
    <n v="7"/>
    <x v="3"/>
    <s v="Xu Qiliang"/>
    <m/>
    <s v=" CMC Vice Chairman "/>
    <n v="10"/>
    <x v="2"/>
    <s v="Defense Minister"/>
    <x v="0"/>
    <m/>
    <x v="0"/>
    <s v="Met with CMC chair Xu; and Counterpart Wei Fenghe"/>
    <m/>
    <m/>
    <m/>
    <m/>
    <s v="https://www.army-technology.com/news/new-zealand-china-defence-ties/"/>
    <m/>
  </r>
  <r>
    <x v="1"/>
    <x v="0"/>
    <s v="Asia"/>
    <s v="All-Weather Strategic Cooperative Partnership [全天候战略合作伙伴关系]"/>
    <s v="Major Non-NATO Ally"/>
    <s v="CENTCOM"/>
    <x v="2"/>
    <x v="28"/>
    <n v="7"/>
    <x v="3"/>
    <s v="Zhang Youxia"/>
    <m/>
    <s v="CMC Vice Chairman"/>
    <n v="10"/>
    <x v="2"/>
    <s v="Chairman of the Joint Chiefs"/>
    <x v="0"/>
    <m/>
    <x v="0"/>
    <m/>
    <m/>
    <m/>
    <m/>
    <m/>
    <s v=", http://www.81.cn/jwzb/2019-07/28/content_9571066.htm"/>
    <s v="Added source"/>
  </r>
  <r>
    <x v="0"/>
    <x v="3"/>
    <s v="Europe and Central Asia"/>
    <s v="Comprehensive Strategic Partnership of Coordination in the New Era [新时代中俄全面战略协作伙伴关系]"/>
    <s v="None"/>
    <s v="EUCOM"/>
    <x v="7"/>
    <x v="28"/>
    <n v="7"/>
    <x v="8"/>
    <m/>
    <m/>
    <m/>
    <m/>
    <x v="0"/>
    <m/>
    <x v="0"/>
    <m/>
    <x v="0"/>
    <m/>
    <s v="ETF"/>
    <s v="ETF-32"/>
    <s v="East Sea Fleet"/>
    <s v="DDG153 Xi'an FFG599 Anyang AOR966 Gaoyuhu"/>
    <m/>
    <m/>
  </r>
  <r>
    <x v="2"/>
    <x v="3"/>
    <s v="Europe and Central Asia"/>
    <s v="Comprehensive Strategic Partnership of Coordination in the New Era [新时代中俄全面战略协作伙伴关系]"/>
    <s v="None"/>
    <s v="EUCOM"/>
    <x v="7"/>
    <x v="28"/>
    <n v="7"/>
    <x v="5"/>
    <m/>
    <m/>
    <m/>
    <m/>
    <x v="0"/>
    <m/>
    <x v="9"/>
    <s v="Joint Aerial Strategic Patrol 2019"/>
    <x v="5"/>
    <s v="First-ever China-Russia joint strategic air patrol"/>
    <m/>
    <m/>
    <m/>
    <m/>
    <s v="http://www.mod.gov.cn/jzhzt/2019-08/29/content_4849311.htm"/>
    <m/>
  </r>
  <r>
    <x v="0"/>
    <x v="9"/>
    <s v="West Asia and Africa"/>
    <s v="Comprehensive Strategic Partnership [全面战略伙伴关系]"/>
    <s v="Major Non-NATO Ally"/>
    <s v="CENTCOM"/>
    <x v="24"/>
    <x v="28"/>
    <n v="8"/>
    <x v="9"/>
    <m/>
    <m/>
    <m/>
    <m/>
    <x v="0"/>
    <m/>
    <x v="0"/>
    <m/>
    <x v="0"/>
    <m/>
    <s v="ETF"/>
    <s v="ETF-32"/>
    <s v="East Sea Fleet"/>
    <s v="DDG153 Xi'an FFG599 Anyang AOR966 Gaoyuhu"/>
    <s v="http://www.xinhuanet.com/world/2019-08/17/c_1124886473.htm"/>
    <s v="Added source and ship name"/>
  </r>
  <r>
    <x v="2"/>
    <x v="9"/>
    <s v="West Asia and Africa"/>
    <s v="Comprehensive Strategic Partnership [全面战略伙伴关系]"/>
    <s v="Major Non-NATO Ally"/>
    <s v="CENTCOM"/>
    <x v="24"/>
    <x v="28"/>
    <n v="8"/>
    <x v="5"/>
    <m/>
    <m/>
    <m/>
    <m/>
    <x v="0"/>
    <m/>
    <x v="1"/>
    <s v="Unnamed"/>
    <x v="2"/>
    <m/>
    <m/>
    <s v="ETF-32"/>
    <m/>
    <s v="DDG153 Xi'an"/>
    <s v="http://navy.81.cn/content/2019-08/21/content_9596339.htm"/>
    <m/>
  </r>
  <r>
    <x v="2"/>
    <x v="6"/>
    <s v="Europe and Central Asia"/>
    <s v="Comprehensive Strategic Partnership [全面战略伙伴关系]"/>
    <s v="None"/>
    <s v="CENTCOM"/>
    <x v="31"/>
    <x v="28"/>
    <n v="8"/>
    <x v="5"/>
    <m/>
    <m/>
    <m/>
    <m/>
    <x v="0"/>
    <m/>
    <x v="1"/>
    <s v="Cooperation 2019"/>
    <x v="4"/>
    <s v="joint command, basic technical training, cooperative tactical training, and integrated countermeasure training; PAP's &quot;Mountain Eagle&quot; commando unit"/>
    <m/>
    <m/>
    <m/>
    <m/>
    <s v="http://eng.mod.gov.cn/news/2019-08/13/content_4848137.htm"/>
    <s v="Added details"/>
  </r>
  <r>
    <x v="2"/>
    <x v="1"/>
    <s v="Asia"/>
    <s v="Comprehensive Strategic Cooperative Partnership [全面战略合作伙伴关系]"/>
    <s v="None"/>
    <s v="INDOPACOM"/>
    <x v="52"/>
    <x v="28"/>
    <n v="8"/>
    <x v="5"/>
    <m/>
    <m/>
    <m/>
    <m/>
    <x v="0"/>
    <m/>
    <x v="2"/>
    <s v="Peace Train 2019"/>
    <x v="1"/>
    <m/>
    <m/>
    <m/>
    <m/>
    <m/>
    <s v="http://www.xinhuanet.com/english/2019-08/16/c_138314743.htm"/>
    <m/>
  </r>
  <r>
    <x v="2"/>
    <x v="0"/>
    <s v="Asia"/>
    <s v="Development-oriented Strategic Cooperative Partnership [面向发展与繁荣的世代友好的战略合作伙伴关系]."/>
    <s v="None"/>
    <s v="INDOPACOM"/>
    <x v="32"/>
    <x v="28"/>
    <n v="8"/>
    <x v="5"/>
    <m/>
    <m/>
    <m/>
    <m/>
    <x v="0"/>
    <m/>
    <x v="1"/>
    <s v="Mt. Everest Friendship 2019"/>
    <x v="1"/>
    <s v="included hostage rescue, fast-roping, and sniper rifle training"/>
    <m/>
    <m/>
    <m/>
    <m/>
    <s v="http://eng.mod.gov.cn/news/2019-08/30/content_4849442.htm"/>
    <s v="changed to anti-terrorism from MOOTW"/>
  </r>
  <r>
    <x v="1"/>
    <x v="4"/>
    <s v="Asia"/>
    <s v="Bilateral Defense Treaty"/>
    <s v="None"/>
    <s v="INDOPACOM"/>
    <x v="9"/>
    <x v="28"/>
    <n v="8"/>
    <x v="3"/>
    <s v="Zhang Youxia"/>
    <m/>
    <s v="CMC Vice Chairman"/>
    <n v="10"/>
    <x v="2"/>
    <s v="Director of the General Political Bureau of the Korean People’s Army"/>
    <x v="0"/>
    <m/>
    <x v="0"/>
    <m/>
    <m/>
    <m/>
    <m/>
    <m/>
    <s v="http://www.xinhuanet.com/2019-08/17/c_1124888081.htm"/>
    <s v="Added source"/>
  </r>
  <r>
    <x v="1"/>
    <x v="0"/>
    <s v="Asia"/>
    <s v="All-Weather Strategic Cooperative Partnership [全天候战略合作伙伴关系]"/>
    <s v="Major Non-NATO Ally"/>
    <s v="CENTCOM"/>
    <x v="2"/>
    <x v="28"/>
    <n v="8"/>
    <x v="4"/>
    <s v="Xu Qiliang"/>
    <m/>
    <s v="CMC Vice Chairman "/>
    <n v="10"/>
    <x v="1"/>
    <s v="Prime Minister "/>
    <x v="0"/>
    <m/>
    <x v="0"/>
    <m/>
    <m/>
    <m/>
    <m/>
    <m/>
    <s v="http://www.81.cn/jwzb/2019-08/28/content_9604591.htm"/>
    <s v="Added source"/>
  </r>
  <r>
    <x v="0"/>
    <x v="8"/>
    <s v="Europe and Central Asia"/>
    <s v="Comprehensive Strategic Partnership [全面战略伙伴关系]"/>
    <s v="NATO"/>
    <s v="EUCOM"/>
    <x v="48"/>
    <x v="28"/>
    <n v="8"/>
    <x v="9"/>
    <m/>
    <m/>
    <m/>
    <m/>
    <x v="0"/>
    <m/>
    <x v="0"/>
    <m/>
    <x v="0"/>
    <m/>
    <s v="ETF"/>
    <s v="ETF-32"/>
    <s v="East Sea Fleet"/>
    <s v="DDG153 Xi'an FFG599 Anyang AOR966 Gaoyuhu"/>
    <s v="http://eng.chinamil.com.cn/view/2019-08/07/content_9582726.htm"/>
    <s v="Added source"/>
  </r>
  <r>
    <x v="2"/>
    <x v="3"/>
    <s v="Europe and Central Asia"/>
    <s v="Comprehensive Strategic Partnership of Coordination in the New Era [新时代中俄全面战略协作伙伴关系]"/>
    <s v="None"/>
    <s v="EUCOM"/>
    <x v="7"/>
    <x v="28"/>
    <n v="8"/>
    <x v="6"/>
    <m/>
    <m/>
    <m/>
    <m/>
    <x v="0"/>
    <m/>
    <x v="6"/>
    <s v="International Army Games 2019"/>
    <x v="1"/>
    <s v="Hosted in China; Other countries:Armenia, Iran, Kazakhstan, Uzbekistan, Belarus, Egypt, Pakistan, and Venezuela; &quot;Clear Sky&quot; and &quot;Gunsmith Master&quot;"/>
    <m/>
    <m/>
    <m/>
    <m/>
    <s v="http://eng.chinamil.com.cn/view/2019-08/15/content_9591061.htm"/>
    <m/>
  </r>
  <r>
    <x v="2"/>
    <x v="1"/>
    <s v="Asia"/>
    <s v="All-Round Cooperative Partnership [全方合作伙伴关系]"/>
    <s v="None"/>
    <s v="INDOPACOM"/>
    <x v="39"/>
    <x v="28"/>
    <n v="8"/>
    <x v="5"/>
    <m/>
    <m/>
    <m/>
    <m/>
    <x v="0"/>
    <m/>
    <x v="1"/>
    <s v="Cooperation 2019 Joint Army Training"/>
    <x v="1"/>
    <s v="urban counterterrorist operations, conducted in two phases, namely mixed group subject training and comprehensive troop drill"/>
    <m/>
    <m/>
    <m/>
    <m/>
    <s v="http://www.xinhuanet.com/world/2019-07/27/c_1124806729.htm"/>
    <s v="Added details, recategorized exercise type to counterterrorism, added source"/>
  </r>
  <r>
    <x v="2"/>
    <x v="6"/>
    <s v="Europe and Central Asia"/>
    <s v="Comprehensive Strategic Partnership [全面战略伙伴关系]"/>
    <s v="None"/>
    <s v="CENTCOM"/>
    <x v="60"/>
    <x v="28"/>
    <n v="8"/>
    <x v="5"/>
    <m/>
    <m/>
    <m/>
    <m/>
    <x v="0"/>
    <m/>
    <x v="1"/>
    <s v="Cooperation 2019"/>
    <x v="3"/>
    <s v="Gorno-Badakhshan Autonomous Region; originally planned for July 2019; changed to August 2019"/>
    <m/>
    <m/>
    <m/>
    <m/>
    <s v="https://www.rferl.org/a/tajikistan-china-counterterror-drills-gorno-badakhshan/30107427.html; http://eng.chinamil.com.cn/view/2019-08/12/content_9587478.htm"/>
    <s v="Revised to Joint (PLAAF participated)"/>
  </r>
  <r>
    <x v="2"/>
    <x v="1"/>
    <s v="Asia"/>
    <s v="Comprehensive Strategic Cooperative Partnership [全面战略合作伙伴关系]"/>
    <s v="Bilateral Defense Treaty"/>
    <s v="INDOPACOM"/>
    <x v="5"/>
    <x v="28"/>
    <n v="8"/>
    <x v="5"/>
    <m/>
    <m/>
    <m/>
    <m/>
    <x v="0"/>
    <m/>
    <x v="3"/>
    <s v="Falcon Strike 2019"/>
    <x v="5"/>
    <s v="For the 2019 training, the PLAAF sent J-10C, J-10S, and KJ-500 Airborne Early Warning aircraft – this signifies that the 2019 iteration is a higher-level air exercise"/>
    <m/>
    <m/>
    <m/>
    <m/>
    <s v="http://mil.huanqiu.com/world/2019-08/15340220.html?agt=15422"/>
    <s v="Added source, recategorized as combat rather than combat support, added details"/>
  </r>
  <r>
    <x v="1"/>
    <x v="10"/>
    <s v="America and Oceania"/>
    <s v="Comprehensive Strategic Partnership [全面战略伙伴关系]"/>
    <s v="Major Non-NATO Ally"/>
    <s v="SOUTHCOM"/>
    <x v="62"/>
    <x v="28"/>
    <n v="9"/>
    <x v="4"/>
    <s v="Wei Fenghe"/>
    <m/>
    <s v="Defense Minister; CMC Member"/>
    <n v="8"/>
    <x v="1"/>
    <s v="President and Defense Minister"/>
    <x v="0"/>
    <m/>
    <x v="0"/>
    <m/>
    <m/>
    <m/>
    <m/>
    <m/>
    <s v="http://www.xinhuanet.com/world/2019-09/05/c_1124964052.htm"/>
    <s v="Added source"/>
  </r>
  <r>
    <x v="2"/>
    <x v="5"/>
    <s v="America and Oceania"/>
    <s v="Comprehensive Strategic Partnership [全面战略伙伴关系]"/>
    <s v="ANZUS Treaty"/>
    <s v="INDOPACOM"/>
    <x v="12"/>
    <x v="28"/>
    <n v="9"/>
    <x v="6"/>
    <m/>
    <m/>
    <m/>
    <m/>
    <x v="0"/>
    <m/>
    <x v="2"/>
    <s v="Kowari 2019"/>
    <x v="5"/>
    <s v="Other Countries: USA"/>
    <m/>
    <m/>
    <m/>
    <m/>
    <s v="http://www.xinhuanet.com/world/2019-09/04/c_1124959809.htm"/>
    <s v="Added source and drill details"/>
  </r>
  <r>
    <x v="2"/>
    <x v="5"/>
    <s v="America and Oceania"/>
    <s v="Comprehensive Strategic Partnership [全面战略伙伴关系]"/>
    <s v="ANZUS Treaty"/>
    <s v="INDOPACOM"/>
    <x v="12"/>
    <x v="28"/>
    <n v="9"/>
    <x v="5"/>
    <m/>
    <m/>
    <m/>
    <m/>
    <x v="0"/>
    <m/>
    <x v="2"/>
    <s v="Pandaroo 2019"/>
    <x v="1"/>
    <s v="Survival training in jungle environments"/>
    <m/>
    <m/>
    <m/>
    <m/>
    <s v="http://www.81.cn/jmywyl/2019-10/20/content_9656464.htm"/>
    <m/>
  </r>
  <r>
    <x v="1"/>
    <x v="0"/>
    <s v="Asia"/>
    <s v="Strategic Cooperative Partnership [战略合作伙伴关系]"/>
    <s v="None"/>
    <s v="INDOPACOM"/>
    <x v="0"/>
    <x v="28"/>
    <n v="9"/>
    <x v="3"/>
    <s v="Wei Fenghe"/>
    <m/>
    <s v="Defense Minister; CMC Member"/>
    <n v="8"/>
    <x v="2"/>
    <s v="Air Chief Marshal "/>
    <x v="0"/>
    <m/>
    <x v="0"/>
    <m/>
    <m/>
    <m/>
    <m/>
    <m/>
    <s v="http://www.xinhuanet.com/mil/2019-09/18/c_1210283868.htm"/>
    <s v="Added source"/>
  </r>
  <r>
    <x v="1"/>
    <x v="10"/>
    <s v="America and Oceania"/>
    <s v="Comprehensive Strategic Partnership [全面战略伙伴关系]"/>
    <s v="None"/>
    <s v="SOUTHCOM"/>
    <x v="43"/>
    <x v="28"/>
    <n v="9"/>
    <x v="4"/>
    <s v="Wei Fenghe"/>
    <m/>
    <s v="Defense Minister; CMC Member"/>
    <n v="8"/>
    <x v="1"/>
    <s v="President, Defense Minister"/>
    <x v="0"/>
    <m/>
    <x v="0"/>
    <m/>
    <m/>
    <m/>
    <m/>
    <m/>
    <s v="http://www.xinhuanet.com/world/2019-09/08/c_1124973784.htm"/>
    <s v="Added source"/>
  </r>
  <r>
    <x v="0"/>
    <x v="1"/>
    <s v="Asia"/>
    <s v="Strategic Cooperative Partnership [战略合作伙伴关系]"/>
    <s v="None"/>
    <s v="INDOPACOM"/>
    <x v="44"/>
    <x v="28"/>
    <n v="9"/>
    <x v="0"/>
    <m/>
    <m/>
    <m/>
    <m/>
    <x v="0"/>
    <m/>
    <x v="0"/>
    <m/>
    <x v="0"/>
    <m/>
    <s v="NETF"/>
    <s v="Training Ship Qi Jiguang"/>
    <s v="South Sea Fleet"/>
    <s v="Qi Jiguang training ship"/>
    <s v="http://eng.chinamil.com.cn/view/2019-09/29/content_9639678.htm"/>
    <s v="Added source"/>
  </r>
  <r>
    <x v="1"/>
    <x v="1"/>
    <s v="Asia"/>
    <s v="Comprehensive Strategic Cooperative Partnership [全面战略合作伙伴关系]"/>
    <s v="None"/>
    <s v="INDOPACOM"/>
    <x v="94"/>
    <x v="28"/>
    <n v="9"/>
    <x v="3"/>
    <s v="Wei Fenghe"/>
    <m/>
    <s v="Defense Minister; CMC Member"/>
    <n v="8"/>
    <x v="2"/>
    <s v="General"/>
    <x v="0"/>
    <m/>
    <x v="0"/>
    <m/>
    <m/>
    <m/>
    <m/>
    <m/>
    <s v="http://www.mod.gov.cn/topnews/2019-09/24/content_4851085.htm"/>
    <s v="Added source"/>
  </r>
  <r>
    <x v="1"/>
    <x v="2"/>
    <s v="America and Oceania"/>
    <s v="No Specific Relationship"/>
    <s v="None"/>
    <s v="SOUTHCOM"/>
    <x v="49"/>
    <x v="28"/>
    <n v="9"/>
    <x v="3"/>
    <s v="Xu Qiliang"/>
    <m/>
    <s v=" CMC Vice Chairman "/>
    <n v="10"/>
    <x v="2"/>
    <s v="Sen. Lt. General"/>
    <x v="0"/>
    <m/>
    <x v="0"/>
    <m/>
    <m/>
    <m/>
    <m/>
    <m/>
    <s v="http://mod.gov.cn/leaders/2019-09/27/content_4851571.htm"/>
    <s v="Added source"/>
  </r>
  <r>
    <x v="1"/>
    <x v="9"/>
    <s v="West Asia and Africa"/>
    <s v="Comprehensive Strategic Partnership [全面战略伙伴关系]"/>
    <s v="None"/>
    <s v="CENTCOM"/>
    <x v="89"/>
    <x v="28"/>
    <n v="9"/>
    <x v="3"/>
    <s v="Xu Qiliang"/>
    <m/>
    <s v=" CMC Vice Chairman "/>
    <n v="10"/>
    <x v="2"/>
    <s v="Chief of Staff, Iranian Armed Forces "/>
    <x v="0"/>
    <m/>
    <x v="0"/>
    <m/>
    <m/>
    <m/>
    <m/>
    <m/>
    <s v="http://www.xinhuanet.com/2019-09/11/c_1124988205.htm"/>
    <s v="Added source"/>
  </r>
  <r>
    <x v="0"/>
    <x v="1"/>
    <s v="Asia"/>
    <s v="Comprehensive Strategic Partnership [全面战略伙伴关系]"/>
    <s v="None"/>
    <s v="INDOPACOM"/>
    <x v="10"/>
    <x v="28"/>
    <n v="9"/>
    <x v="0"/>
    <m/>
    <m/>
    <m/>
    <m/>
    <x v="0"/>
    <m/>
    <x v="0"/>
    <m/>
    <x v="0"/>
    <m/>
    <s v="ETF"/>
    <s v="ETF-32"/>
    <s v="East Sea Fleet"/>
    <s v="DDG153 Xi'an FFG599 Anyang AOR966 Gaoyuhu"/>
    <s v="http://eng.chinamil.com.cn/view/2019-11/01/content_9666626.htm"/>
    <m/>
  </r>
  <r>
    <x v="0"/>
    <x v="7"/>
    <s v="West Asia and Africa"/>
    <s v="Comprehensive Strategic Cooperative Partnership [全面战略合作伙伴关系]"/>
    <s v="None"/>
    <s v="AFRICOM"/>
    <x v="84"/>
    <x v="28"/>
    <n v="9"/>
    <x v="0"/>
    <m/>
    <m/>
    <m/>
    <m/>
    <x v="0"/>
    <m/>
    <x v="0"/>
    <m/>
    <x v="0"/>
    <m/>
    <s v="ETF"/>
    <s v="ETF-32"/>
    <s v="East Sea Fleet"/>
    <s v="DDG153 Xi'an FFG599 Anyang AOR966 Gaoyuhu"/>
    <s v="http://eng.chinamil.com.cn/view/2019-11/01/content_9666626.htm"/>
    <m/>
  </r>
  <r>
    <x v="1"/>
    <x v="4"/>
    <s v="Asia"/>
    <s v="Bilateral Defense Treaty"/>
    <s v="None"/>
    <s v="INDOPACOM"/>
    <x v="9"/>
    <x v="28"/>
    <n v="9"/>
    <x v="3"/>
    <s v="Wei Fenghe"/>
    <m/>
    <s v="Defense Minister; CMC Member"/>
    <n v="8"/>
    <x v="2"/>
    <s v="General"/>
    <x v="0"/>
    <m/>
    <x v="0"/>
    <m/>
    <m/>
    <m/>
    <m/>
    <m/>
    <s v="http://www.mod.gov.cn/topnews/2019-09/24/content_4851085.htm"/>
    <s v="Added source"/>
  </r>
  <r>
    <x v="2"/>
    <x v="0"/>
    <s v="Asia"/>
    <s v="All-Weather Strategic Cooperative Partnership [全天候战略合作伙伴关系]"/>
    <s v="Major Non-NATO Ally"/>
    <s v="CENTCOM"/>
    <x v="2"/>
    <x v="28"/>
    <n v="9"/>
    <x v="5"/>
    <m/>
    <m/>
    <m/>
    <m/>
    <x v="0"/>
    <m/>
    <x v="3"/>
    <s v="Shaheen VIII"/>
    <x v="5"/>
    <s v=" operational command, system control, air superiority, suppression of ground targets, air attack, and joint air defense"/>
    <m/>
    <m/>
    <m/>
    <m/>
    <s v="http://www.xinhuanet.com/mil/2019-09/07/c_1210271265.htm"/>
    <s v="Added source and drill details"/>
  </r>
  <r>
    <x v="2"/>
    <x v="3"/>
    <s v="Europe and Central Asia"/>
    <s v="Comprehensive Strategic Partnership of Coordination in the New Era [新时代中俄全面战略协作伙伴关系]"/>
    <s v="None"/>
    <s v="EUCOM"/>
    <x v="7"/>
    <x v="28"/>
    <n v="9"/>
    <x v="6"/>
    <m/>
    <m/>
    <m/>
    <m/>
    <x v="0"/>
    <m/>
    <x v="3"/>
    <s v="Tsentr-2019 (Center-2019)"/>
    <x v="1"/>
    <s v="ML exercise against insurgency supported by major power; Other countries:India, Kazakhstan, Kyrgyzstan, Tajikistan, Pakistan, and Uzbekistan "/>
    <m/>
    <m/>
    <m/>
    <m/>
    <s v="http://www.xinhuanet.com/english/2019-08/20/c_138323880.htm"/>
    <s v="Added source, recategorized as multilateral, listed other country partners"/>
  </r>
  <r>
    <x v="1"/>
    <x v="3"/>
    <s v="Europe and Central Asia"/>
    <s v="Comprehensive Strategic Partnership of Coordination in the New Era [新时代中俄全面战略协作伙伴关系]"/>
    <s v="None"/>
    <s v="EUCOM"/>
    <x v="7"/>
    <x v="28"/>
    <n v="9"/>
    <x v="4"/>
    <s v="Wei Fenghe"/>
    <m/>
    <s v="Defense Minister; CMC Member"/>
    <n v="8"/>
    <x v="1"/>
    <s v="President"/>
    <x v="0"/>
    <m/>
    <x v="0"/>
    <s v="Met with Putin on the sidelines of the Tsenter exercise"/>
    <m/>
    <m/>
    <m/>
    <m/>
    <s v="http://www.81.cn/jmywyl/2019-09/20/content_9630153.htm"/>
    <m/>
  </r>
  <r>
    <x v="1"/>
    <x v="3"/>
    <s v="Europe and Central Asia"/>
    <s v="Comprehensive Strategic Partnership of Coordination in the New Era [新时代中俄全面战略协作伙伴关系]"/>
    <s v="None"/>
    <s v="EUCOM"/>
    <x v="7"/>
    <x v="28"/>
    <n v="9"/>
    <x v="4"/>
    <s v="Zhang Youxia"/>
    <m/>
    <s v="CMC Vice Chairman"/>
    <n v="10"/>
    <x v="1"/>
    <s v="Russian Defense Minister General of the Army "/>
    <x v="0"/>
    <m/>
    <x v="0"/>
    <m/>
    <m/>
    <m/>
    <m/>
    <m/>
    <s v="http://www.xinhuanet.com/world/2019-09/05/c_1124965436.htm"/>
    <s v="Added source"/>
  </r>
  <r>
    <x v="1"/>
    <x v="8"/>
    <s v="Europe and Central Asia"/>
    <s v="Comprehensive Strategic Partnership [全面战略伙伴关系]"/>
    <s v="None"/>
    <s v="EUCOM"/>
    <x v="112"/>
    <x v="28"/>
    <n v="9"/>
    <x v="4"/>
    <s v="Zhang Youxia"/>
    <m/>
    <s v="CMC Vice Chairman"/>
    <n v="10"/>
    <x v="1"/>
    <s v="President, Defense Minister"/>
    <x v="0"/>
    <m/>
    <x v="0"/>
    <m/>
    <m/>
    <m/>
    <m/>
    <m/>
    <s v="http://www.xinhuanet.com/world/2019-09/07/c_1124972363.htm "/>
    <s v="Added source"/>
  </r>
  <r>
    <x v="2"/>
    <x v="1"/>
    <s v="Asia"/>
    <s v="Comprehensive Strategic Cooperative Partnership [全面战略合作伙伴关系]"/>
    <s v="Bilateral Defense Treaty"/>
    <s v="INDOPACOM"/>
    <x v="5"/>
    <x v="28"/>
    <n v="9"/>
    <x v="6"/>
    <m/>
    <m/>
    <m/>
    <m/>
    <x v="0"/>
    <m/>
    <x v="2"/>
    <s v="Unnamed"/>
    <x v="1"/>
    <s v="Tabletop exercise hosted by Thailand under the ADMM-Plus Experts’ Working Group on Counterterrorism; 18 participating countries"/>
    <m/>
    <m/>
    <m/>
    <m/>
    <s v="http://www.mod.gov.cn/action/2019-09/08/content_4849983.htm "/>
    <s v="CODED as Army because no indication of partiicpation by other services"/>
  </r>
  <r>
    <x v="0"/>
    <x v="1"/>
    <s v="Asia"/>
    <s v="Comprehensive Cooperative Partnership [全面合作伙伴关系]"/>
    <s v="None"/>
    <s v="INDOPACOM"/>
    <x v="169"/>
    <x v="28"/>
    <n v="9"/>
    <x v="0"/>
    <m/>
    <m/>
    <m/>
    <m/>
    <x v="0"/>
    <m/>
    <x v="0"/>
    <m/>
    <x v="0"/>
    <m/>
    <s v="NETF"/>
    <s v="Training Ship Qi Jiguang"/>
    <s v="South Sea Fleet"/>
    <s v="Qi Jiguang training ship"/>
    <s v="http://eng.chinamil.com.cn/view/2019-10/11/content_9648913.htm"/>
    <s v="Added source"/>
  </r>
  <r>
    <x v="1"/>
    <x v="10"/>
    <s v="America and Oceania"/>
    <s v="Strategic Partnership [战略伙伴关系]"/>
    <s v="None"/>
    <s v="SOUTHCOM"/>
    <x v="107"/>
    <x v="28"/>
    <n v="9"/>
    <x v="4"/>
    <s v="Wei Fenghe"/>
    <m/>
    <s v="Defense Minister; CMC Member"/>
    <n v="8"/>
    <x v="1"/>
    <s v="Uruguayan Defense Minister Jose Bayardi"/>
    <x v="0"/>
    <m/>
    <x v="0"/>
    <m/>
    <m/>
    <m/>
    <m/>
    <m/>
    <s v="https://www.chinadaily.com.cn/a/201909/04/WS5d6f1580a310cf3e35569985.html"/>
    <m/>
  </r>
  <r>
    <x v="1"/>
    <x v="7"/>
    <s v="West Asia and Africa"/>
    <s v="Strategic Partnership [战略伙伴关系]"/>
    <s v="None"/>
    <s v="AFRICOM"/>
    <x v="105"/>
    <x v="28"/>
    <n v="10"/>
    <x v="7"/>
    <s v="Wei Fenghe"/>
    <m/>
    <s v="Defense Minister; CMC Member"/>
    <n v="8"/>
    <x v="2"/>
    <s v="Defense Minister; BL at Xiangshan"/>
    <x v="0"/>
    <m/>
    <x v="0"/>
    <m/>
    <m/>
    <m/>
    <m/>
    <m/>
    <s v="http://www.gov.cn/guowuyuan/2019-10/22/content_5443690.htm"/>
    <m/>
  </r>
  <r>
    <x v="1"/>
    <x v="8"/>
    <s v="Europe and Central Asia"/>
    <s v="Friendly Cooperative Partnership [友好合作伙伴关系]"/>
    <s v="None"/>
    <s v="EUCOM"/>
    <x v="63"/>
    <x v="28"/>
    <n v="10"/>
    <x v="7"/>
    <s v="Wei Fenghe"/>
    <m/>
    <s v="Defense Minister; CMC Member"/>
    <n v="8"/>
    <x v="2"/>
    <s v="Defense Minister; BL at Xiangshan"/>
    <x v="0"/>
    <m/>
    <x v="0"/>
    <m/>
    <m/>
    <m/>
    <m/>
    <m/>
    <s v="http://www.gov.cn/guowuyuan/2019-10/22/content_5443690.htm"/>
    <s v="Added source"/>
  </r>
  <r>
    <x v="1"/>
    <x v="8"/>
    <s v="Europe and Central Asia"/>
    <s v="Friendly Cooperative Partnership [友好合作伙伴关系]"/>
    <s v="None"/>
    <s v="EUCOM"/>
    <x v="57"/>
    <x v="28"/>
    <n v="10"/>
    <x v="7"/>
    <s v="Wei Fenghe"/>
    <m/>
    <s v="Defense Minister; CMC Member"/>
    <n v="8"/>
    <x v="2"/>
    <s v="Defense Minister; BL at Xiangshan"/>
    <x v="0"/>
    <m/>
    <x v="0"/>
    <m/>
    <m/>
    <m/>
    <m/>
    <m/>
    <s v="http://www.gov.cn/guowuyuan/2019-10/22/content_5443690.htm"/>
    <m/>
  </r>
  <r>
    <x v="1"/>
    <x v="8"/>
    <s v="Europe and Central Asia"/>
    <s v="Comprehensive Strategic Partnership [全面战略伙伴关系]"/>
    <s v="None"/>
    <s v="EUCOM"/>
    <x v="34"/>
    <x v="28"/>
    <n v="10"/>
    <x v="7"/>
    <s v="Wei Fenghe"/>
    <m/>
    <s v="Defense Minister; CMC Member"/>
    <n v="8"/>
    <x v="2"/>
    <s v="Defense Minister; BL at Xiangshan"/>
    <x v="0"/>
    <m/>
    <x v="0"/>
    <m/>
    <m/>
    <m/>
    <m/>
    <m/>
    <s v="http://www.gov.cn/guowuyuan/2019-10/22/content_5443690.htm"/>
    <m/>
  </r>
  <r>
    <x v="1"/>
    <x v="1"/>
    <s v="Asia"/>
    <s v="Strategic Cooperative Partnership [战略合作伙伴关系]"/>
    <s v="None"/>
    <s v="INDOPACOM"/>
    <x v="44"/>
    <x v="28"/>
    <n v="10"/>
    <x v="3"/>
    <s v="Wei Fenghe"/>
    <m/>
    <s v="Defense Minister; CMC Member"/>
    <n v="8"/>
    <x v="2"/>
    <s v="Second Minister of Defense"/>
    <x v="0"/>
    <m/>
    <x v="0"/>
    <m/>
    <m/>
    <m/>
    <m/>
    <m/>
    <s v="http://www.xinhuanet.com/politics/2019-10/17/c_1125118575.htm"/>
    <s v="Added source"/>
  </r>
  <r>
    <x v="0"/>
    <x v="1"/>
    <s v="Asia"/>
    <s v="Strategic Cooperative Partnership [战略合作伙伴关系]"/>
    <s v="None"/>
    <s v="INDOPACOM"/>
    <x v="44"/>
    <x v="28"/>
    <n v="10"/>
    <x v="0"/>
    <m/>
    <m/>
    <m/>
    <m/>
    <x v="0"/>
    <m/>
    <x v="0"/>
    <m/>
    <x v="0"/>
    <m/>
    <s v="NETF"/>
    <s v="Training Ship Qi Jiguang"/>
    <s v="South Sea Fleet"/>
    <s v="Qi Jiguang training ship"/>
    <m/>
    <m/>
  </r>
  <r>
    <x v="1"/>
    <x v="1"/>
    <s v="Asia"/>
    <s v="Comprehensive Strategic Cooperative Partnership [全面战略合作伙伴关系]"/>
    <s v="None"/>
    <s v="INDOPACOM"/>
    <x v="94"/>
    <x v="28"/>
    <n v="10"/>
    <x v="3"/>
    <s v="Wei Fenghe"/>
    <m/>
    <s v="Defense Minister; CMC Member"/>
    <n v="8"/>
    <x v="2"/>
    <s v="Defense Minister"/>
    <x v="0"/>
    <m/>
    <x v="0"/>
    <m/>
    <m/>
    <m/>
    <m/>
    <m/>
    <m/>
    <m/>
  </r>
  <r>
    <x v="0"/>
    <x v="9"/>
    <s v="West Asia and Africa"/>
    <s v="Strategic Partnership [战略伙伴关系]"/>
    <s v="None"/>
    <s v="CENTCOM"/>
    <x v="119"/>
    <x v="28"/>
    <n v="10"/>
    <x v="9"/>
    <m/>
    <m/>
    <m/>
    <m/>
    <x v="0"/>
    <m/>
    <x v="0"/>
    <m/>
    <x v="0"/>
    <m/>
    <s v="ETF"/>
    <s v="ETF-33"/>
    <s v="North Sea Fleet"/>
    <s v="AOR968 Hoh Xil Hu"/>
    <s v="http://navy.81.cn/content/2019-10/09/content_9646250.ht"/>
    <s v="Added source and details"/>
  </r>
  <r>
    <x v="0"/>
    <x v="1"/>
    <s v="Asia"/>
    <s v="Comprehensive Cooperative Partnership [全面合作伙伴关系]"/>
    <s v="None"/>
    <s v="INDOPACOM"/>
    <x v="50"/>
    <x v="28"/>
    <n v="10"/>
    <x v="0"/>
    <m/>
    <m/>
    <m/>
    <m/>
    <x v="0"/>
    <m/>
    <x v="0"/>
    <m/>
    <x v="0"/>
    <m/>
    <s v="NETF"/>
    <s v="Training Ship Qi Jiguang"/>
    <s v="South Sea Fleet"/>
    <s v="Qi Jiguang training ship"/>
    <s v="http://eng.chinamil.com.cn/view/2019-10/08/content_9645234.htm"/>
    <m/>
  </r>
  <r>
    <x v="1"/>
    <x v="9"/>
    <s v="West Asia and Africa"/>
    <s v="Comprehensive Strategic Partnership [全面战略伙伴关系]"/>
    <s v="Major Non-NATO Ally"/>
    <s v="CENTCOM"/>
    <x v="24"/>
    <x v="28"/>
    <n v="10"/>
    <x v="7"/>
    <s v="Wei Fenghe"/>
    <m/>
    <s v="Defense Minister; CMC Member"/>
    <n v="8"/>
    <x v="2"/>
    <s v="Defense Minister; BL at Xiangshan"/>
    <x v="0"/>
    <m/>
    <x v="0"/>
    <m/>
    <m/>
    <m/>
    <m/>
    <m/>
    <s v="https://sis.gov.eg/Story/142249/Defense-Minister-back-home-after-China-visit?lang=en-us"/>
    <m/>
  </r>
  <r>
    <x v="1"/>
    <x v="7"/>
    <s v="West Asia and Africa"/>
    <s v="Comprehensive Strategic Cooperative Partnership [全面战略合作伙伴关系]"/>
    <s v="None"/>
    <s v="AFRICOM"/>
    <x v="80"/>
    <x v="28"/>
    <n v="10"/>
    <x v="7"/>
    <s v="Wei Fenghe"/>
    <m/>
    <s v="Defense Minister; CMC Member"/>
    <n v="8"/>
    <x v="2"/>
    <s v="Defense Minister; BL at Xiangshan"/>
    <x v="0"/>
    <m/>
    <x v="0"/>
    <m/>
    <m/>
    <m/>
    <m/>
    <m/>
    <s v="http://www.gov.cn/guowuyuan/2019-10/22/content_5443690.htm"/>
    <m/>
  </r>
  <r>
    <x v="1"/>
    <x v="6"/>
    <s v="Europe and Central Asia"/>
    <s v="Comprehensive Strategic Partnership [全面战略伙伴关系]"/>
    <s v="None"/>
    <s v="CENTCOM"/>
    <x v="30"/>
    <x v="28"/>
    <n v="10"/>
    <x v="7"/>
    <s v="Wei Fenghe"/>
    <m/>
    <s v="Defense Minister; CMC Member"/>
    <n v="8"/>
    <x v="2"/>
    <s v="Defense Minister; BL at Xiangshan"/>
    <x v="0"/>
    <m/>
    <x v="0"/>
    <m/>
    <m/>
    <m/>
    <m/>
    <m/>
    <s v="http://www.gov.cn/guowuyuan/2019-10/22/content_5443690.htm"/>
    <m/>
  </r>
  <r>
    <x v="2"/>
    <x v="6"/>
    <s v="Europe and Central Asia"/>
    <s v="Comprehensive Strategic Partnership [全面战略伙伴关系]"/>
    <s v="None"/>
    <s v="CENTCOM"/>
    <x v="30"/>
    <x v="28"/>
    <n v="10"/>
    <x v="5"/>
    <m/>
    <m/>
    <m/>
    <m/>
    <x v="0"/>
    <m/>
    <x v="1"/>
    <s v="Fox Hunting-2019"/>
    <x v="1"/>
    <s v="76th group army in Ust-Kamenogorsk"/>
    <m/>
    <m/>
    <m/>
    <m/>
    <s v="http://english.chinamil.com.cn/view/2019-10/16/content_9653518.htm"/>
    <m/>
  </r>
  <r>
    <x v="1"/>
    <x v="6"/>
    <s v="Europe and Central Asia"/>
    <s v="Comprehensive Strategic Partnership [全面战略伙伴关系]"/>
    <s v="None"/>
    <s v="CENTCOM"/>
    <x v="31"/>
    <x v="28"/>
    <n v="10"/>
    <x v="7"/>
    <s v="Wei Fenghe"/>
    <m/>
    <s v="Defense Minister; CMC Member"/>
    <n v="8"/>
    <x v="2"/>
    <s v="Chief of Staff of Armed Forces; BL at Xiangshan"/>
    <x v="0"/>
    <m/>
    <x v="0"/>
    <m/>
    <m/>
    <m/>
    <m/>
    <m/>
    <s v="http://www.gov.cn/guowuyuan/2019-10/22/content_5443690.htm"/>
    <m/>
  </r>
  <r>
    <x v="1"/>
    <x v="8"/>
    <s v="Europe and Central Asia"/>
    <s v="Friendly Cooperative Partnership [友好合作伙伴关系]"/>
    <s v="NATO"/>
    <s v="EUCOM"/>
    <x v="157"/>
    <x v="28"/>
    <n v="10"/>
    <x v="7"/>
    <s v="Wei Fenghe"/>
    <m/>
    <s v="Defense Minister; CMC Member"/>
    <n v="8"/>
    <x v="2"/>
    <s v="Defense Minister; Deputy PM; BL at Xiangshan"/>
    <x v="0"/>
    <m/>
    <x v="0"/>
    <m/>
    <m/>
    <m/>
    <m/>
    <m/>
    <s v="http://www.gov.cn/guowuyuan/2019-10/22/content_5443690.htm"/>
    <m/>
  </r>
  <r>
    <x v="1"/>
    <x v="4"/>
    <s v="Asia"/>
    <s v="Comprehensive Strategic Partnership [全面战略伙伴关系]"/>
    <s v="None"/>
    <s v="INDOPACOM"/>
    <x v="53"/>
    <x v="28"/>
    <n v="10"/>
    <x v="3"/>
    <s v="Wei Fenghe"/>
    <m/>
    <s v="Defense Minister; CMC Member"/>
    <n v="8"/>
    <x v="2"/>
    <s v="Minister of Defense"/>
    <x v="0"/>
    <m/>
    <x v="0"/>
    <m/>
    <m/>
    <m/>
    <m/>
    <m/>
    <m/>
    <m/>
  </r>
  <r>
    <x v="1"/>
    <x v="4"/>
    <s v="Asia"/>
    <s v="N/A"/>
    <s v="None"/>
    <s v="INDOPACOM"/>
    <x v="161"/>
    <x v="28"/>
    <n v="10"/>
    <x v="2"/>
    <s v="Wei Fenghe"/>
    <m/>
    <s v="Defense Minister; CMC Member"/>
    <n v="8"/>
    <x v="2"/>
    <s v="Xiangshan Forum 2019; Defense Minister"/>
    <x v="0"/>
    <m/>
    <x v="0"/>
    <m/>
    <m/>
    <m/>
    <m/>
    <m/>
    <s v="http://english.chinamil.com.cn/view/2018-10/26/content_9324154.htm"/>
    <m/>
  </r>
  <r>
    <x v="0"/>
    <x v="5"/>
    <s v="America and Oceania"/>
    <s v="Comprehensive Strategic Partnership [全面战略伙伴关系]"/>
    <s v="ANZUS Treaty"/>
    <s v="INDOPACOM"/>
    <x v="13"/>
    <x v="28"/>
    <n v="10"/>
    <x v="0"/>
    <m/>
    <m/>
    <m/>
    <m/>
    <x v="0"/>
    <m/>
    <x v="0"/>
    <m/>
    <x v="0"/>
    <m/>
    <s v="NETF"/>
    <s v="Training Ship Qi Jiguang"/>
    <s v="South Sea Fleet"/>
    <s v="Qi Jiguang training ship"/>
    <s v="http://eng.chinamil.com.cn/view/2019-10/28/content_9662812.htm"/>
    <s v="Added source"/>
  </r>
  <r>
    <x v="1"/>
    <x v="4"/>
    <s v="Asia"/>
    <s v="Bilateral Defense Treaty"/>
    <s v="None"/>
    <s v="INDOPACOM"/>
    <x v="9"/>
    <x v="28"/>
    <n v="10"/>
    <x v="4"/>
    <s v="Miao Hua"/>
    <m/>
    <s v="CMC/PWD Director; CMC Member"/>
    <n v="8"/>
    <x v="1"/>
    <s v="Director of the General Political Bureau "/>
    <x v="0"/>
    <m/>
    <x v="0"/>
    <m/>
    <m/>
    <m/>
    <m/>
    <m/>
    <s v="http://www.mod.gov.cn/jzhzt/2019-10/31/content_4854245.htm"/>
    <s v="Added source"/>
  </r>
  <r>
    <x v="1"/>
    <x v="4"/>
    <s v="Asia"/>
    <s v="Bilateral Defense Treaty"/>
    <s v="None"/>
    <s v="INDOPACOM"/>
    <x v="9"/>
    <x v="28"/>
    <n v="10"/>
    <x v="3"/>
    <s v="Wei Fenghe"/>
    <m/>
    <s v="Defense Minister; CMC Member"/>
    <n v="8"/>
    <x v="2"/>
    <s v="Defense Minister"/>
    <x v="0"/>
    <m/>
    <x v="0"/>
    <m/>
    <m/>
    <m/>
    <m/>
    <m/>
    <m/>
    <m/>
  </r>
  <r>
    <x v="1"/>
    <x v="0"/>
    <s v="Asia"/>
    <s v="All-Weather Strategic Cooperative Partnership [全天候战略合作伙伴关系]"/>
    <s v="Major Non-NATO Ally"/>
    <s v="CENTCOM"/>
    <x v="2"/>
    <x v="28"/>
    <n v="10"/>
    <x v="3"/>
    <s v="Xu Qiliang"/>
    <m/>
    <s v="CMC Vice Chairman"/>
    <n v="10"/>
    <x v="2"/>
    <s v="Chief of Army Staff"/>
    <x v="0"/>
    <m/>
    <x v="0"/>
    <m/>
    <m/>
    <m/>
    <m/>
    <m/>
    <s v="http://www.xinhuanet.com/2019-10/08/c_1125079099.htm"/>
    <s v="Added source"/>
  </r>
  <r>
    <x v="1"/>
    <x v="1"/>
    <s v="America and Oceania"/>
    <s v="Comprehensive Strategic Partnership [全面战略伙伴关系]"/>
    <s v="None"/>
    <s v="INDOPACOM"/>
    <x v="122"/>
    <x v="28"/>
    <n v="10"/>
    <x v="7"/>
    <s v="Wei Fenghe"/>
    <m/>
    <s v="Defense Minister; CMC Member"/>
    <n v="8"/>
    <x v="2"/>
    <s v="Defense Minister; BL at Xiangshan"/>
    <x v="0"/>
    <m/>
    <x v="0"/>
    <m/>
    <m/>
    <m/>
    <m/>
    <m/>
    <s v="http://www.gov.cn/guowuyuan/2019-10/22/content_5443690.htm"/>
    <m/>
  </r>
  <r>
    <x v="0"/>
    <x v="1"/>
    <s v="America and Oceania"/>
    <s v="Comprehensive Strategic Partnership [全面战略伙伴关系]"/>
    <s v="None"/>
    <s v="INDOPACOM"/>
    <x v="122"/>
    <x v="28"/>
    <n v="10"/>
    <x v="0"/>
    <m/>
    <m/>
    <m/>
    <m/>
    <x v="0"/>
    <m/>
    <x v="0"/>
    <m/>
    <x v="0"/>
    <m/>
    <s v="NETF"/>
    <s v="Training Ship Qi Jiguang"/>
    <s v="South Sea Fleet"/>
    <s v="Qi Jiguang training ship"/>
    <s v="http://www.xinhuanet.com/2019-10/10/c_1125088603.htm"/>
    <s v="Added source"/>
  </r>
  <r>
    <x v="1"/>
    <x v="3"/>
    <s v="Europe and Central Asia"/>
    <s v="Comprehensive Strategic Partnership of Coordination in the New Era [新时代中俄全面战略协作伙伴关系]"/>
    <s v="None"/>
    <s v="EUCOM"/>
    <x v="7"/>
    <x v="28"/>
    <n v="10"/>
    <x v="7"/>
    <s v="Zhang Youxia"/>
    <m/>
    <s v="CMC Vice Chairman"/>
    <n v="10"/>
    <x v="2"/>
    <s v="Defense Minister; BL at Xiangshan"/>
    <x v="0"/>
    <m/>
    <x v="0"/>
    <m/>
    <m/>
    <m/>
    <m/>
    <m/>
    <s v="http://www.xinhuanet.com/2019-10/22/c_1125138601.htm"/>
    <s v="Originally a reference to a different meeting - changed location and source"/>
  </r>
  <r>
    <x v="2"/>
    <x v="3"/>
    <s v="Europe and Central Asia"/>
    <s v="Comprehensive Strategic Partnership of Coordination in the New Era [新时代中俄全面战略协作伙伴关系]"/>
    <s v="None"/>
    <s v="EUCOM"/>
    <x v="7"/>
    <x v="28"/>
    <n v="10"/>
    <x v="5"/>
    <m/>
    <m/>
    <m/>
    <m/>
    <x v="0"/>
    <m/>
    <x v="1"/>
    <s v="Cooperation 2019"/>
    <x v="4"/>
    <s v="Falcon Commando Unit"/>
    <m/>
    <m/>
    <m/>
    <m/>
    <s v="http://www.81.cn/jmywyl/2019-10/11/content_9648915.htm"/>
    <s v="Added source, recategorized as anti-terrorism"/>
  </r>
  <r>
    <x v="1"/>
    <x v="7"/>
    <s v="West Asia and Africa"/>
    <s v="No Specific Relationship"/>
    <s v="None"/>
    <s v="AFRICOM"/>
    <x v="129"/>
    <x v="28"/>
    <n v="10"/>
    <x v="7"/>
    <s v="Wei Fenghe"/>
    <m/>
    <s v="Defense Minister; CMC Member"/>
    <n v="8"/>
    <x v="2"/>
    <s v="Defense Minister; BL at Xiangshan"/>
    <x v="0"/>
    <m/>
    <x v="0"/>
    <m/>
    <m/>
    <m/>
    <m/>
    <m/>
    <s v="http://www.gov.cn/guowuyuan/2019-10/22/content_5443690.htm"/>
    <m/>
  </r>
  <r>
    <x v="0"/>
    <x v="9"/>
    <s v="West Asia and Africa"/>
    <s v="Comprehensive Strategic Partnership [全面战略伙伴关系]"/>
    <s v="None"/>
    <s v="CENTCOM"/>
    <x v="142"/>
    <x v="28"/>
    <n v="10"/>
    <x v="9"/>
    <m/>
    <m/>
    <m/>
    <m/>
    <x v="0"/>
    <m/>
    <x v="0"/>
    <m/>
    <x v="0"/>
    <m/>
    <s v="ETF"/>
    <s v="ETF-33"/>
    <s v="North Sea Fleet"/>
    <s v="DDG117 Xining FFG550 Weifang AOR968 Kekexili"/>
    <m/>
    <m/>
  </r>
  <r>
    <x v="1"/>
    <x v="8"/>
    <s v="Europe and Central Asia"/>
    <s v="Comprehensive Strategic Partnership [全面战略伙伴关系]"/>
    <s v="None"/>
    <s v="EUCOM"/>
    <x v="112"/>
    <x v="28"/>
    <n v="10"/>
    <x v="7"/>
    <s v="Zhang Youxia"/>
    <m/>
    <s v="CMC Vice Chairman"/>
    <n v="10"/>
    <x v="2"/>
    <s v="Defense Minister; BL at Xiangshan"/>
    <x v="0"/>
    <m/>
    <x v="0"/>
    <m/>
    <m/>
    <m/>
    <m/>
    <m/>
    <s v="http://www.xinhuanet.com/2019-10/22/c_1125138601.htm "/>
    <s v="Originally a reference to a different meeting - changed location and source"/>
  </r>
  <r>
    <x v="1"/>
    <x v="1"/>
    <s v="Asia"/>
    <s v="All-Round Cooperative Partnership [全方合作伙伴关系]"/>
    <s v="None"/>
    <s v="INDOPACOM"/>
    <x v="39"/>
    <x v="28"/>
    <n v="10"/>
    <x v="3"/>
    <s v="Wei Fenghe"/>
    <m/>
    <s v="Defense Minister; CMC Member"/>
    <n v="8"/>
    <x v="2"/>
    <s v="Defense Minister"/>
    <x v="0"/>
    <m/>
    <x v="0"/>
    <m/>
    <m/>
    <m/>
    <m/>
    <m/>
    <s v="http://eng.mod.gov.cn/news/2019-11/01/content_4854326.htm"/>
    <s v="signing of the revised Agreement on Defense Exchanges and Security Cooperation Between the Ministry of National Defense of The People’s Republic of China and the Ministry of Defense of the Republic of Singapore"/>
  </r>
  <r>
    <x v="1"/>
    <x v="1"/>
    <s v="Asia"/>
    <s v="All-Round Cooperative Partnership [全方合作伙伴关系]"/>
    <s v="None"/>
    <s v="INDOPACOM"/>
    <x v="39"/>
    <x v="28"/>
    <n v="10"/>
    <x v="7"/>
    <s v="Xu Qiliang"/>
    <m/>
    <s v=" CMC Vice Chairman "/>
    <n v="10"/>
    <x v="2"/>
    <s v="Defense Minister Dr. Ng Eng Hen; BL at Xiangshan"/>
    <x v="0"/>
    <m/>
    <x v="0"/>
    <m/>
    <m/>
    <m/>
    <m/>
    <m/>
    <s v="http://www.xinhuanet.com/mil/2019-10/21/c_1125132102.htm"/>
    <s v=" "/>
  </r>
  <r>
    <x v="1"/>
    <x v="4"/>
    <s v="Asia"/>
    <s v="Strategic Cooperative Partnership [战略合作伙伴关系]"/>
    <s v="Bilateral Defense Treaty"/>
    <s v="INDOPACOM"/>
    <x v="25"/>
    <x v="28"/>
    <n v="10"/>
    <x v="3"/>
    <s v="Wei Fenghe"/>
    <m/>
    <s v="Defense Minister; CMC Member"/>
    <n v="8"/>
    <x v="2"/>
    <s v="Defense Minister"/>
    <x v="0"/>
    <m/>
    <x v="0"/>
    <s v="5th Strategic Defense Dialogue held between China and South Korea "/>
    <m/>
    <m/>
    <m/>
    <m/>
    <s v="http://eng.mod.gov.cn/news/2019-11/01/content_4854326.htm"/>
    <s v="Added details"/>
  </r>
  <r>
    <x v="1"/>
    <x v="10"/>
    <s v="America and Oceania"/>
    <s v="Strategic Cooperative Partnership [战略合作伙伴关系]"/>
    <s v="None"/>
    <s v="SOUTHCOM"/>
    <x v="91"/>
    <x v="28"/>
    <n v="10"/>
    <x v="7"/>
    <s v="Wei Fenghe"/>
    <m/>
    <s v="Defense Minister; CMC Member"/>
    <n v="8"/>
    <x v="2"/>
    <s v="Defense Minister; BL at Xiangshan"/>
    <x v="0"/>
    <m/>
    <x v="0"/>
    <m/>
    <m/>
    <m/>
    <m/>
    <m/>
    <s v="http://www.gov.cn/guowuyuan/2019-10/22/content_5443690.htm"/>
    <m/>
  </r>
  <r>
    <x v="1"/>
    <x v="9"/>
    <s v="West Asia and Africa"/>
    <s v="Comprehensive Strategic Partnership [全面战略伙伴关系]"/>
    <s v="None"/>
    <s v="CENTCOM"/>
    <x v="106"/>
    <x v="28"/>
    <n v="10"/>
    <x v="3"/>
    <s v="Wei Fenghe"/>
    <m/>
    <s v="Defense Minister; CMC Member"/>
    <n v="8"/>
    <x v="2"/>
    <s v="Minister of State for Defence Affairs"/>
    <x v="0"/>
    <m/>
    <x v="0"/>
    <m/>
    <m/>
    <m/>
    <m/>
    <m/>
    <m/>
    <m/>
  </r>
  <r>
    <x v="1"/>
    <x v="5"/>
    <s v="America and Oceania"/>
    <s v="No Specific Relationship"/>
    <s v="None"/>
    <s v="INDOPACOM"/>
    <x v="120"/>
    <x v="28"/>
    <n v="10"/>
    <x v="7"/>
    <s v="Wei Fenghe"/>
    <m/>
    <s v="Defense Minister; CMC Member"/>
    <n v="8"/>
    <x v="2"/>
    <s v="International Affairs Minister; BL at Xiangshan"/>
    <x v="0"/>
    <m/>
    <x v="0"/>
    <m/>
    <m/>
    <m/>
    <m/>
    <m/>
    <s v="http://www.gov.cn/guowuyuan/2019-10/22/content_5443690.htm"/>
    <m/>
  </r>
  <r>
    <x v="1"/>
    <x v="1"/>
    <s v="Asia"/>
    <s v="Comprehensive Strategic Cooperative Partnership [全面战略合作伙伴关系]"/>
    <s v="None"/>
    <s v="INDOPACOM"/>
    <x v="23"/>
    <x v="28"/>
    <n v="10"/>
    <x v="7"/>
    <s v="Xu Qiliang"/>
    <m/>
    <s v=" CMC Vice Chairman "/>
    <n v="10"/>
    <x v="2"/>
    <s v="Defense Minister; BL at Xiangshan"/>
    <x v="0"/>
    <m/>
    <x v="0"/>
    <m/>
    <m/>
    <m/>
    <m/>
    <m/>
    <s v="http://www.xinhuanet.com/mil/2019-10/21/c_1125132102.htm"/>
    <s v="Added source"/>
  </r>
  <r>
    <x v="1"/>
    <x v="1"/>
    <s v="Asia"/>
    <s v="Strategic Partnership [战略伙伴关系] for Peace and Prosperity"/>
    <s v="None"/>
    <s v="INDOPACOM"/>
    <x v="153"/>
    <x v="28"/>
    <n v="11"/>
    <x v="1"/>
    <s v="Wei Fenghe"/>
    <m/>
    <s v="Defense Minister; CMC Member"/>
    <n v="8"/>
    <x v="1"/>
    <s v="6th ADMM+;Defense Secretary"/>
    <x v="0"/>
    <m/>
    <x v="0"/>
    <m/>
    <m/>
    <m/>
    <m/>
    <m/>
    <s v="http://www.xinhuanet.com/2019-11/18/c_1125246416.htm"/>
    <s v="ADMM+; corrected partnership name"/>
  </r>
  <r>
    <x v="1"/>
    <x v="1"/>
    <s v="Asia"/>
    <s v="Strategic Partnership [战略伙伴关系] for Peace and Prosperity"/>
    <s v="None"/>
    <s v="INDOPACOM"/>
    <x v="153"/>
    <x v="28"/>
    <n v="11"/>
    <x v="1"/>
    <s v="Wei Fenghe"/>
    <m/>
    <s v="Defense Minister; CMC Member"/>
    <n v="8"/>
    <x v="1"/>
    <s v="Ninth China-ASEAN Defense Ministers' Informal Meeting in Bangkok"/>
    <x v="0"/>
    <m/>
    <x v="0"/>
    <m/>
    <m/>
    <m/>
    <m/>
    <m/>
    <s v="http://www.xinhuanet.com/english/2019-11/17/c_138561957.htm"/>
    <s v="corrected partnership to strategic partnership for peace and prosperity"/>
  </r>
  <r>
    <x v="2"/>
    <x v="1"/>
    <s v="Asia"/>
    <s v="Strategic Partnership [战略伙伴关系] for Peace and Prosperity"/>
    <s v="None"/>
    <s v="INDOPACOM"/>
    <x v="153"/>
    <x v="28"/>
    <n v="11"/>
    <x v="6"/>
    <m/>
    <m/>
    <m/>
    <m/>
    <x v="0"/>
    <m/>
    <x v="1"/>
    <s v="ADMM Plus Joint Counter-terrorism drill"/>
    <x v="1"/>
    <s v="Southern Theater Command; Other countries: 10 ASEAN countries + China, US, Russia, India"/>
    <m/>
    <m/>
    <m/>
    <m/>
    <s v="http://www.globaltimes.cn/content/1169981.shtml"/>
    <s v="Added source, updated drill details, recategorized as multilateral; corrected partnership name"/>
  </r>
  <r>
    <x v="1"/>
    <x v="5"/>
    <s v="America and Oceania"/>
    <s v="Comprehensive Strategic Partnership [全面战略伙伴关系]"/>
    <s v="ANZUS Treaty"/>
    <s v="INDOPACOM"/>
    <x v="12"/>
    <x v="28"/>
    <n v="11"/>
    <x v="7"/>
    <s v="Wei Fenghe"/>
    <m/>
    <s v="Defense Minister; CMC Member"/>
    <n v="8"/>
    <x v="1"/>
    <s v="Defense Secretary; BL at ADMM+"/>
    <x v="0"/>
    <m/>
    <x v="0"/>
    <m/>
    <m/>
    <m/>
    <m/>
    <m/>
    <s v="http://www.xinhuanet.com/2019-11/18/c_1125246416.htm"/>
    <m/>
  </r>
  <r>
    <x v="1"/>
    <x v="5"/>
    <s v="America and Oceania"/>
    <s v="Comprehensive Strategic Partnership [全面战略伙伴关系]"/>
    <s v="ANZUS Treaty"/>
    <s v="INDOPACOM"/>
    <x v="12"/>
    <x v="28"/>
    <n v="11"/>
    <x v="4"/>
    <s v="Li Zuocheng"/>
    <m/>
    <s v="CMC/JSD Commander; CMC Member"/>
    <n v="8"/>
    <x v="1"/>
    <s v="Defense Secretary"/>
    <x v="0"/>
    <m/>
    <x v="0"/>
    <s v="22nd defense strategic dialogue "/>
    <m/>
    <m/>
    <m/>
    <m/>
    <s v="http://www.xinhuanet.com/world/2019-11/15/c_1125236542.htm"/>
    <m/>
  </r>
  <r>
    <x v="1"/>
    <x v="0"/>
    <s v="Asia"/>
    <s v="Strategic Cooperative Partnership [战略合作伙伴关系]"/>
    <s v="None"/>
    <s v="INDOPACOM"/>
    <x v="0"/>
    <x v="28"/>
    <n v="11"/>
    <x v="3"/>
    <s v="Wei Fenghe"/>
    <m/>
    <s v="Defense Minister; CMC Member"/>
    <n v="8"/>
    <x v="2"/>
    <s v="Chief of Bangladesh Army Staff"/>
    <x v="0"/>
    <m/>
    <x v="0"/>
    <m/>
    <m/>
    <m/>
    <m/>
    <m/>
    <s v="http://www.xinhuanet.com/mil/2019-11/06/c_1210343454.htm"/>
    <s v="Added source"/>
  </r>
  <r>
    <x v="1"/>
    <x v="5"/>
    <s v="America and Oceania"/>
    <s v="Comprehensive Strategic Partnership [全面战略伙伴关系]"/>
    <s v="None"/>
    <s v="INDOPACOM"/>
    <x v="128"/>
    <x v="28"/>
    <n v="11"/>
    <x v="4"/>
    <s v="Li Zuocheng"/>
    <m/>
    <s v="CMC/JSD Commander; CMC Member"/>
    <n v="8"/>
    <x v="2"/>
    <s v="Prime Minister"/>
    <x v="0"/>
    <m/>
    <x v="0"/>
    <m/>
    <m/>
    <m/>
    <m/>
    <m/>
    <s v="http://www.xinhuanet.com/world/2019-11/12/c_1125221813.htm"/>
    <s v="Added source"/>
  </r>
  <r>
    <x v="0"/>
    <x v="5"/>
    <s v="America and Oceania"/>
    <s v="Comprehensive Strategic Partnership [全面战略伙伴关系]"/>
    <s v="None"/>
    <s v="INDOPACOM"/>
    <x v="128"/>
    <x v="28"/>
    <n v="11"/>
    <x v="0"/>
    <m/>
    <m/>
    <m/>
    <m/>
    <x v="0"/>
    <m/>
    <x v="0"/>
    <m/>
    <x v="0"/>
    <m/>
    <s v="NETF"/>
    <s v="Training Ship Qi Jiguang"/>
    <s v="South Sea Fleet"/>
    <s v="Qi Jiguang training ship"/>
    <s v="http://eng.chinamil.com.cn/view/2019-10/28/content_9662812.htm"/>
    <s v="Added source and changed month; coded as Oceania"/>
  </r>
  <r>
    <x v="1"/>
    <x v="8"/>
    <s v="Europe and Central Asia"/>
    <s v="Comprehensive Strategic Partnership [全面战略伙伴关系]"/>
    <s v="NATO"/>
    <s v="EUCOM"/>
    <x v="82"/>
    <x v="28"/>
    <n v="11"/>
    <x v="3"/>
    <s v="Wei Fenghe"/>
    <m/>
    <s v="Defense Minister; CMC Member"/>
    <n v="8"/>
    <x v="2"/>
    <s v="Defense Minister"/>
    <x v="0"/>
    <m/>
    <x v="0"/>
    <m/>
    <m/>
    <m/>
    <m/>
    <m/>
    <s v="http://www.xinhuanet.com/2019-11/26/c_1125277668.htm"/>
    <s v="Added source"/>
  </r>
  <r>
    <x v="1"/>
    <x v="1"/>
    <s v="Asia"/>
    <s v="Comprehensive Strategic Partnership [全面战略伙伴关系]"/>
    <s v="None"/>
    <s v="INDOPACOM"/>
    <x v="8"/>
    <x v="28"/>
    <n v="11"/>
    <x v="7"/>
    <s v="Wei Fenghe"/>
    <m/>
    <s v="Defense Minister; CMC Member"/>
    <n v="8"/>
    <x v="1"/>
    <s v="Defense Chief; BL at ADMM+"/>
    <x v="0"/>
    <m/>
    <x v="0"/>
    <m/>
    <m/>
    <m/>
    <m/>
    <m/>
    <s v="http://www.xinhuanet.com/2019-11/18/c_1125246416.htm"/>
    <s v="Added source"/>
  </r>
  <r>
    <x v="1"/>
    <x v="1"/>
    <s v="Asia"/>
    <s v="Comprehensive Strategic Cooperative Partnership [全面战略合作伙伴关系]"/>
    <s v="None"/>
    <s v="INDOPACOM"/>
    <x v="52"/>
    <x v="28"/>
    <n v="11"/>
    <x v="4"/>
    <s v="Wei Fenghe"/>
    <m/>
    <s v="Defense Minister; CMC Member"/>
    <n v="8"/>
    <x v="2"/>
    <s v="President"/>
    <x v="0"/>
    <m/>
    <x v="0"/>
    <m/>
    <m/>
    <m/>
    <m/>
    <m/>
    <s v="http://www.xinhuanet.com/english/2019-11/15/c_138557129.htm"/>
    <s v="Changed position of counterpart"/>
  </r>
  <r>
    <x v="1"/>
    <x v="1"/>
    <s v="Asia"/>
    <s v="Comprehensive Strategic Partnership [全面战略伙伴关系]"/>
    <s v="None"/>
    <s v="INDOPACOM"/>
    <x v="10"/>
    <x v="28"/>
    <n v="11"/>
    <x v="7"/>
    <s v="Wei Fenghe"/>
    <m/>
    <s v="Defense Minister; CMC Member"/>
    <n v="8"/>
    <x v="1"/>
    <s v="Defense Chief; BL at ADMM+ "/>
    <x v="0"/>
    <m/>
    <x v="0"/>
    <m/>
    <m/>
    <m/>
    <m/>
    <m/>
    <s v="http://www.xinhuanet.com/2019-11/18/c_1125246416.htm"/>
    <s v="Gave all information about meeting but participants"/>
  </r>
  <r>
    <x v="1"/>
    <x v="5"/>
    <s v="America and Oceania"/>
    <s v="Comprehensive Strategic Partnership [全面战略伙伴关系]"/>
    <s v="ANZUS Treaty"/>
    <s v="INDOPACOM"/>
    <x v="13"/>
    <x v="28"/>
    <n v="11"/>
    <x v="7"/>
    <s v="Wei Fenghe"/>
    <m/>
    <s v="Defense Minister; CMC Member"/>
    <n v="8"/>
    <x v="1"/>
    <s v="Defense Minister; BL at ADMM+"/>
    <x v="0"/>
    <m/>
    <x v="0"/>
    <m/>
    <m/>
    <m/>
    <m/>
    <m/>
    <s v="http://www.xinhuanet.com/2019-11/18/c_1125246416.htm"/>
    <m/>
  </r>
  <r>
    <x v="1"/>
    <x v="5"/>
    <s v="America and Oceania"/>
    <s v="Comprehensive Strategic Partnership [全面战略伙伴关系]"/>
    <s v="ANZUS Treaty"/>
    <s v="INDOPACOM"/>
    <x v="13"/>
    <x v="28"/>
    <n v="11"/>
    <x v="4"/>
    <s v="Li Zuocheng"/>
    <m/>
    <s v="CMC/JSD Commander; CMC Member"/>
    <n v="8"/>
    <x v="1"/>
    <s v="Chief of NZ Defense Force"/>
    <x v="0"/>
    <m/>
    <x v="0"/>
    <s v="10th strategic dialogue "/>
    <m/>
    <m/>
    <m/>
    <m/>
    <s v="http://www.xinhuanet.com/world/2019-11/09/c_1125212142.htm"/>
    <s v="PCS: ordinarily these dialogues would not be included, but this one is at a higher level on th New Zealand side. Added source"/>
  </r>
  <r>
    <x v="1"/>
    <x v="3"/>
    <s v="Europe and Central Asia"/>
    <s v="Comprehensive Strategic Partnership of Coordination in the New Era [新时代中俄全面战略协作伙伴关系]"/>
    <s v="None"/>
    <s v="EUCOM"/>
    <x v="7"/>
    <x v="28"/>
    <n v="11"/>
    <x v="3"/>
    <s v="Wei Fenghe"/>
    <m/>
    <s v="Defense Minister; CMC Member"/>
    <n v="8"/>
    <x v="2"/>
    <s v="Deputy Director Federal Security Service "/>
    <x v="0"/>
    <m/>
    <x v="0"/>
    <m/>
    <m/>
    <m/>
    <m/>
    <m/>
    <s v="http://www.xinhuanet.com/mil/2019-11/21/c_1210363767.htm"/>
    <s v="Added source"/>
  </r>
  <r>
    <x v="2"/>
    <x v="9"/>
    <s v="West Asia and Africa"/>
    <s v="Comprehensive Strategic Partnership [全面战略伙伴关系]"/>
    <s v="None"/>
    <s v="CENTCOM"/>
    <x v="142"/>
    <x v="28"/>
    <n v="11"/>
    <x v="5"/>
    <m/>
    <m/>
    <m/>
    <m/>
    <x v="0"/>
    <m/>
    <x v="2"/>
    <s v="Blue Sword 2019"/>
    <x v="2"/>
    <m/>
    <m/>
    <m/>
    <m/>
    <m/>
    <s v="http://eng.chinamil.com.cn/view/2019-11/20/content_9679466.htm"/>
    <m/>
  </r>
  <r>
    <x v="2"/>
    <x v="7"/>
    <s v="West Asia and Africa"/>
    <s v="Comprehensive Strategic Partnership [全面战略伙伴关系]"/>
    <s v="None"/>
    <s v="AFRICOM"/>
    <x v="15"/>
    <x v="28"/>
    <n v="11"/>
    <x v="6"/>
    <m/>
    <m/>
    <m/>
    <m/>
    <x v="0"/>
    <m/>
    <x v="3"/>
    <s v="Mosi "/>
    <x v="2"/>
    <s v="first Russia-China-South Africa TL exercise; guided-missile frigate Weifang;  surface gunnery exercise, helicopter cross-deck landings "/>
    <m/>
    <m/>
    <m/>
    <m/>
    <s v="https://www.navyrecognition.com/index.php/news/defence-news/2019/november/7732-joint-naval-military-exercise-code-named-mosi-in-south-africa.html"/>
    <s v="TL exercise CODED as South Africa because of the location of the exercise"/>
  </r>
  <r>
    <x v="1"/>
    <x v="4"/>
    <s v="Asia"/>
    <s v="Strategic Cooperative Partnership [战略合作伙伴关系]"/>
    <s v="Bilateral Defense Treaty"/>
    <s v="INDOPACOM"/>
    <x v="25"/>
    <x v="28"/>
    <n v="11"/>
    <x v="7"/>
    <s v="Wei Fenghe"/>
    <m/>
    <s v="Defense Minister; CMC Member"/>
    <n v="8"/>
    <x v="1"/>
    <s v="Defense Minister; BL at ADMM+"/>
    <x v="0"/>
    <m/>
    <x v="0"/>
    <m/>
    <m/>
    <m/>
    <m/>
    <m/>
    <s v="http://www.xinhuanet.com/2019-11/18/c_1125246416.htm"/>
    <m/>
  </r>
  <r>
    <x v="1"/>
    <x v="1"/>
    <s v="Asia"/>
    <s v="Comprehensive Strategic Cooperative Partnership [全面战略合作伙伴关系]"/>
    <s v="Bilateral Defense Treaty"/>
    <s v="INDOPACOM"/>
    <x v="5"/>
    <x v="28"/>
    <n v="11"/>
    <x v="4"/>
    <s v="Wei Fenghe"/>
    <m/>
    <s v="Defense Minister; CMC Member"/>
    <n v="8"/>
    <x v="1"/>
    <s v="Prime Minister; BL at ADMM+"/>
    <x v="0"/>
    <m/>
    <x v="0"/>
    <m/>
    <m/>
    <m/>
    <m/>
    <m/>
    <s v="http://www.xinhuanet.com/world/2019-11/17/c_1125242224.htm; http://www.xinhuanet.com/english/2019-11/17/c_138562358.htm"/>
    <s v="Added source, updated counterpart to PM; PCS changed to &quot;BL abroad&quot; because Wei came a day early for meeting with Thai MOD"/>
  </r>
  <r>
    <x v="1"/>
    <x v="2"/>
    <s v="America and Oceania"/>
    <s v="No Specific Relationship"/>
    <s v="N/A"/>
    <s v="NORTHCOM"/>
    <x v="4"/>
    <x v="28"/>
    <n v="11"/>
    <x v="7"/>
    <s v="Wei Fenghe"/>
    <m/>
    <s v="Defense Minister; CMC Member"/>
    <n v="8"/>
    <x v="1"/>
    <s v="Secretary of Defense; BL at ADMM+"/>
    <x v="0"/>
    <m/>
    <x v="0"/>
    <m/>
    <m/>
    <m/>
    <m/>
    <m/>
    <s v="http://www.xinhuanet.com/world/2019-11/18/c_1125246591.htm"/>
    <s v="Added source"/>
  </r>
  <r>
    <x v="2"/>
    <x v="2"/>
    <s v="America and Oceania"/>
    <s v="No Specific Relationship"/>
    <s v="N/A"/>
    <s v="NORTHCOM"/>
    <x v="4"/>
    <x v="28"/>
    <n v="11"/>
    <x v="5"/>
    <m/>
    <m/>
    <m/>
    <m/>
    <x v="0"/>
    <m/>
    <x v="2"/>
    <s v="15th China-US Disaster Management Exchange"/>
    <x v="1"/>
    <s v="Hawaii; HADR academic discussion, TTX, and field exchange"/>
    <m/>
    <m/>
    <m/>
    <m/>
    <s v="http://www.xinhuanet.com/2019-11/19/c_1125248816.htm; https://www.army.mil/article/230491/us_china_hold_15th_annual_disaster_management_exchange"/>
    <m/>
  </r>
  <r>
    <x v="2"/>
    <x v="9"/>
    <s v="West Asia and Africa"/>
    <s v="Strategic Partnership [战略伙伴关系]"/>
    <s v="None"/>
    <s v="CENTCOM"/>
    <x v="119"/>
    <x v="28"/>
    <n v="12"/>
    <x v="5"/>
    <m/>
    <m/>
    <m/>
    <m/>
    <x v="0"/>
    <m/>
    <x v="2"/>
    <s v="Bright Eyes Operation"/>
    <x v="1"/>
    <s v="Medical Service Operation"/>
    <m/>
    <m/>
    <m/>
    <m/>
    <s v="http://www.mod.gov.cn/jzhzt/2019-11/28/content_4855867.htm"/>
    <s v="Added source"/>
  </r>
  <r>
    <x v="2"/>
    <x v="0"/>
    <s v="Asia"/>
    <s v="Strategic Partnership for Peace and Prosperity [战略伙伴关系]"/>
    <s v="None"/>
    <s v="INDOPACOM"/>
    <x v="6"/>
    <x v="28"/>
    <n v="12"/>
    <x v="5"/>
    <m/>
    <m/>
    <m/>
    <m/>
    <x v="0"/>
    <m/>
    <x v="1"/>
    <s v="Hand-in-Hand Exercise "/>
    <x v="1"/>
    <s v="joint counterterrorism drills, semi-urban environment, "/>
    <m/>
    <m/>
    <m/>
    <m/>
    <s v="https://thediplomat.com/2019/12/hand-in-hand-2019-indian-and-chinese-armies-come-together-for-joint-military-exercise/"/>
    <s v="Added source, drill details"/>
  </r>
  <r>
    <x v="1"/>
    <x v="1"/>
    <s v="Asia"/>
    <s v="Comprehensive Strategic Partnership [全面战略伙伴关系]"/>
    <s v="None"/>
    <s v="INDOPACOM"/>
    <x v="8"/>
    <x v="28"/>
    <n v="12"/>
    <x v="3"/>
    <s v="Xu Qiliang"/>
    <m/>
    <s v="CMC Vice Chairman"/>
    <n v="10"/>
    <x v="2"/>
    <s v="Indonesian Minister of Defense Prabowo Subianto"/>
    <x v="0"/>
    <m/>
    <x v="0"/>
    <m/>
    <m/>
    <m/>
    <m/>
    <m/>
    <s v="http://eng.mod.gov.cn/news/2019-12/17/content_4856899.htm"/>
    <s v="Updated highest ranking counterpart"/>
  </r>
  <r>
    <x v="2"/>
    <x v="9"/>
    <s v="West Asia and Africa"/>
    <s v="Comprehensive Strategic Partnership [全面战略伙伴关系]"/>
    <s v="None"/>
    <s v="CENTCOM"/>
    <x v="89"/>
    <x v="28"/>
    <n v="12"/>
    <x v="6"/>
    <m/>
    <m/>
    <m/>
    <m/>
    <x v="0"/>
    <m/>
    <x v="4"/>
    <s v="Marine Security Belt"/>
    <x v="2"/>
    <s v="Xining, guided missile destroyer "/>
    <m/>
    <m/>
    <m/>
    <m/>
    <s v="https://www.cnn.com/2019/12/27/asia/china-russia-iran-military-drills-intl-hnk/index.html"/>
    <m/>
  </r>
  <r>
    <x v="2"/>
    <x v="3"/>
    <s v="Europe and Central Asia"/>
    <s v="Comprehensive Strategic Partnership of Coordination in the New Era [新时代中俄全面战略协作伙伴关系]"/>
    <s v="None"/>
    <s v="EUCOM"/>
    <x v="89"/>
    <x v="28"/>
    <n v="12"/>
    <x v="6"/>
    <m/>
    <m/>
    <m/>
    <m/>
    <x v="0"/>
    <m/>
    <x v="3"/>
    <s v="Operation Marine Security Belt"/>
    <x v="2"/>
    <s v="Gulf of Oman security, anti-piracy, anti-terrorism, combat, tactical drills. 4 days. Other country: Iran"/>
    <m/>
    <m/>
    <m/>
    <m/>
    <s v="https://www.cnn.com/2019/12/27/asia/china-russia-iran-military-drills-intl-hnk/index.html"/>
    <s v="TL exercise RECODED with Iran as the lead partner because of location of the exercise."/>
  </r>
  <r>
    <x v="1"/>
    <x v="4"/>
    <s v="Asia"/>
    <s v="Mutually Beneficial Strategic Relationship [战略互惠关系]"/>
    <s v="Bilateral Defense Treaty"/>
    <s v="INDOPACOM"/>
    <x v="83"/>
    <x v="28"/>
    <n v="12"/>
    <x v="3"/>
    <s v="Xu Qiliang"/>
    <m/>
    <s v="CMC Vice Chairman"/>
    <n v="10"/>
    <x v="2"/>
    <s v="Japanese Defense Minister Taro Kono"/>
    <x v="0"/>
    <m/>
    <x v="0"/>
    <m/>
    <m/>
    <m/>
    <m/>
    <m/>
    <s v="http://eng.mod.gov.cn/news/2019-12/18/content_4857053.htm"/>
    <s v="Updated highest ranking counterpart"/>
  </r>
  <r>
    <x v="0"/>
    <x v="7"/>
    <s v="West Asia and Africa"/>
    <s v="Comprehensive Cooperative Partnership [全面合作伙伴关系]"/>
    <s v="None"/>
    <s v="AFRICOM"/>
    <x v="47"/>
    <x v="28"/>
    <n v="12"/>
    <x v="9"/>
    <m/>
    <m/>
    <m/>
    <m/>
    <x v="0"/>
    <m/>
    <x v="0"/>
    <m/>
    <x v="0"/>
    <m/>
    <s v="ETF"/>
    <s v="ETF-33"/>
    <s v="North Sea Fleet"/>
    <s v="DDG117 Xining FFG550 Weifang AOR968 Kekexili"/>
    <m/>
    <m/>
  </r>
  <r>
    <x v="2"/>
    <x v="0"/>
    <s v="Asia"/>
    <s v="All-Weather Strategic Cooperative Partnership [全天候战略合作伙伴关系]"/>
    <s v="Major Non-NATO Ally"/>
    <s v="CENTCOM"/>
    <x v="2"/>
    <x v="28"/>
    <n v="12"/>
    <x v="5"/>
    <m/>
    <m/>
    <m/>
    <m/>
    <x v="0"/>
    <m/>
    <x v="3"/>
    <s v="Sharp Sword-2019"/>
    <x v="1"/>
    <s v="Joint training with Pakistani Air Defense troops. Comprehensive, consecutive drills were conduncted in the last pase of the training. "/>
    <m/>
    <m/>
    <m/>
    <m/>
    <s v="http://www.js7tv.cn/video/201912_201883.html; http://tv.81.cn/jshjj/2019-12/20/content_9700730.htm"/>
    <s v="ADD. Accidentally Omitted from 3.01"/>
  </r>
  <r>
    <x v="1"/>
    <x v="0"/>
    <s v="Asia"/>
    <s v="All-Weather Strategic Cooperative Partnership [全天候战略合作伙伴关系]"/>
    <s v="Major Non-NATO Ally"/>
    <s v="CENTCOM"/>
    <x v="2"/>
    <x v="28"/>
    <n v="12"/>
    <x v="3"/>
    <s v="Wei Fenghe"/>
    <m/>
    <s v="Defense Minister; CMC Member"/>
    <n v="8"/>
    <x v="2"/>
    <s v="Air Chief Marshal Mujahid Anwar Khan, Chief of the Air Staff of Pakistan Air Force"/>
    <x v="0"/>
    <m/>
    <x v="0"/>
    <m/>
    <m/>
    <m/>
    <m/>
    <m/>
    <s v="http://eng.mod.gov.cn/news/2019-12/17/content_4856979.htm"/>
    <m/>
  </r>
  <r>
    <x v="2"/>
    <x v="0"/>
    <s v="Asia"/>
    <s v="All-Weather Strategic Cooperative Partnership [全天候战略合作伙伴关系]"/>
    <s v="Major Non-NATO Ally"/>
    <s v="CENTCOM"/>
    <x v="2"/>
    <x v="28"/>
    <n v="12"/>
    <x v="5"/>
    <m/>
    <m/>
    <m/>
    <m/>
    <x v="0"/>
    <m/>
    <x v="1"/>
    <s v="Warrior-VII"/>
    <x v="1"/>
    <s v="Monthlong, counter-terrorism and target defense"/>
    <m/>
    <m/>
    <m/>
    <m/>
    <s v="http://eng.chinamil.com.cn/view/2019-12/06/content_9691028.htm"/>
    <s v="Added source, branch, drill details"/>
  </r>
  <r>
    <x v="0"/>
    <x v="7"/>
    <s v="West Asia and Africa"/>
    <s v="Comprehensive Strategic Partnership [全面战略伙伴关系]"/>
    <s v="None"/>
    <s v="AFRICOM"/>
    <x v="15"/>
    <x v="28"/>
    <n v="12"/>
    <x v="0"/>
    <m/>
    <m/>
    <m/>
    <m/>
    <x v="0"/>
    <m/>
    <x v="0"/>
    <m/>
    <x v="0"/>
    <m/>
    <s v="ETF"/>
    <s v="ETF-33"/>
    <s v="North Sea Fleet"/>
    <s v="DDG117 Xining FFG550 Weifang AOR968 Kekexili"/>
    <m/>
    <m/>
  </r>
  <r>
    <x v="2"/>
    <x v="7"/>
    <s v="West Asia and Africa"/>
    <s v="Comprehensive Cooperative Partnership [全面合作伙伴关系]"/>
    <s v="None"/>
    <s v="AFRICOM"/>
    <x v="16"/>
    <x v="28"/>
    <n v="12"/>
    <x v="5"/>
    <m/>
    <m/>
    <m/>
    <m/>
    <x v="0"/>
    <m/>
    <x v="3"/>
    <s v="Sincere Partners"/>
    <x v="1"/>
    <s v="the exchange of combat experience and skills, joint actual-troop drill and command post exercise; elements of 73 GA"/>
    <m/>
    <m/>
    <m/>
    <m/>
    <s v="http://english.pladaily.com.cn/view/2019-12/30/content_9706488.htm"/>
    <m/>
  </r>
  <r>
    <x v="1"/>
    <x v="2"/>
    <s v="America and Oceania"/>
    <s v="No Specific Relationship"/>
    <s v="N/A"/>
    <s v="NORTHCOM"/>
    <x v="4"/>
    <x v="28"/>
    <n v="12"/>
    <x v="3"/>
    <s v="Xu Qiliang"/>
    <m/>
    <s v="CMC Vice Chairman"/>
    <n v="10"/>
    <x v="2"/>
    <s v="Former Secretary of State Kissinger"/>
    <x v="0"/>
    <m/>
    <x v="0"/>
    <m/>
    <m/>
    <m/>
    <m/>
    <m/>
    <s v="http://www.xinhuanet.com/politics/2019-11/22/c_1125264635.htm"/>
    <m/>
  </r>
  <r>
    <x v="1"/>
    <x v="0"/>
    <s v="Asia"/>
    <s v="Strategic Partnership for Peace and Prosperity [战略伙伴关系]"/>
    <s v="None"/>
    <s v="INDOPACOM"/>
    <x v="6"/>
    <x v="29"/>
    <n v="1"/>
    <x v="3"/>
    <s v="Han Weiguo"/>
    <m/>
    <s v="PLAA Commander"/>
    <n v="6"/>
    <x v="2"/>
    <s v="India Northern Army Commander "/>
    <x v="0"/>
    <m/>
    <x v="0"/>
    <m/>
    <m/>
    <m/>
    <m/>
    <m/>
    <s v="https://economictimes.indiatimes.com/news/defence/northern-army-commander-on-china-visit-meets-plas-ground-forces-commander/articleshow/73157296.cms"/>
    <m/>
  </r>
  <r>
    <x v="2"/>
    <x v="0"/>
    <s v="Asia"/>
    <s v="All-Weather Strategic Cooperative Partnership [全天候战略合作伙伴关系]"/>
    <s v="Major Non-NATO Ally"/>
    <s v="CENTCOM"/>
    <x v="2"/>
    <x v="29"/>
    <n v="1"/>
    <x v="5"/>
    <m/>
    <m/>
    <m/>
    <m/>
    <x v="0"/>
    <m/>
    <x v="3"/>
    <s v="Sea Guardians Naval Exercise"/>
    <x v="2"/>
    <s v="Northern Arabian Sea exercise that ended in Karachi. Largest joint exercise with Pakistan to date. Says counterterror but lots of maritime ops, to include anti-sub, anti-aircraft, and anti-missile; PLAN participants from ETF-34 did this exercise en route "/>
    <m/>
    <m/>
    <m/>
    <m/>
    <s v="http://www.81.cn/jfjbmap/content/2020-01/07/content_251619.htm; https://navalpost.com/chinese-naval-escort-task-group-returns-home/"/>
    <m/>
  </r>
  <r>
    <x v="2"/>
    <x v="1"/>
    <s v="Asia"/>
    <s v="Comprehensive Strategic Partnership [全面战略伙伴关系]"/>
    <s v="Bilateral Defense Treaty"/>
    <s v="INDOPACOM"/>
    <x v="11"/>
    <x v="29"/>
    <n v="1"/>
    <x v="5"/>
    <m/>
    <m/>
    <m/>
    <m/>
    <x v="0"/>
    <m/>
    <x v="2"/>
    <m/>
    <x v="7"/>
    <s v="Coast Guard SAREX; combating fire at sea; improving interoperability"/>
    <m/>
    <m/>
    <m/>
    <s v="Series of friendship activities for China-Philippine Joint Coast Guard Committee on Maritime Cooperation Third Session "/>
    <s v="http://eng.chinamil.com.cn/view/2020-01/15/content_9718029.htm; http://eng.chinamil.com.cn/view/2020-01/16/content_9718789.htm"/>
    <m/>
  </r>
  <r>
    <x v="0"/>
    <x v="9"/>
    <s v="West Asia and Africa"/>
    <s v="Comprehensive Strategic Partnership [全面战略伙伴关系]"/>
    <s v="None"/>
    <s v="CENTCOM"/>
    <x v="106"/>
    <x v="29"/>
    <n v="1"/>
    <x v="0"/>
    <m/>
    <m/>
    <m/>
    <m/>
    <x v="0"/>
    <m/>
    <x v="0"/>
    <m/>
    <x v="0"/>
    <m/>
    <s v="ETF"/>
    <s v="ETF-33"/>
    <s v="North Sea Fleet"/>
    <s v="DDG117 Xining FFG550 Weifang AOR968 Kekexili"/>
    <s v="http://eng.chinamil.com.cn/view/2020-03/26/content_9778165.htm; http://navy.81.cn/content/2020-02/01/content_9729507.htm"/>
    <s v="Port call on way home after Aden CP deployment"/>
  </r>
  <r>
    <x v="0"/>
    <x v="0"/>
    <s v="Asia "/>
    <s v="Strategic Cooperative Partnership [战略合作伙伴关系]"/>
    <s v="None"/>
    <s v="INDOPACOM"/>
    <x v="0"/>
    <x v="29"/>
    <n v="2"/>
    <x v="0"/>
    <m/>
    <m/>
    <m/>
    <m/>
    <x v="0"/>
    <m/>
    <x v="0"/>
    <m/>
    <x v="0"/>
    <m/>
    <s v="ETF"/>
    <s v="ETF-33"/>
    <s v="North Sea Fleet"/>
    <s v="DDG117 Xining FFG550 Weifang AOR968 Kekexili"/>
    <s v="http://eng.chinamil.com.cn/view/2020-03/26/content_9778165.htm"/>
    <s v="Port call on way home after Aden CP deployment"/>
  </r>
  <r>
    <x v="2"/>
    <x v="0"/>
    <s v="Asia"/>
    <s v="Comprehensive Strategic Cooperative Partnership [全面战略合作伙伴关系]"/>
    <s v="Bilateral Defense Treaty"/>
    <s v="INDOPACOM"/>
    <x v="5"/>
    <x v="29"/>
    <n v="2"/>
    <x v="6"/>
    <m/>
    <m/>
    <m/>
    <m/>
    <x v="0"/>
    <m/>
    <x v="2"/>
    <s v="Cobra Gold 2020"/>
    <x v="1"/>
    <s v="25 personnel from PLAA 75h GA trained in Engineering &amp; construction, support and demolition tasks, and maritime rescue"/>
    <m/>
    <m/>
    <m/>
    <m/>
    <s v="http://www.81.cn/jfjbmap/content/2020-02/23/content_254718.htm"/>
    <m/>
  </r>
  <r>
    <x v="2"/>
    <x v="1"/>
    <s v="Asia"/>
    <s v="Comprehensive Strategic Cooperative Partnership [全面战略合作伙伴关系]"/>
    <s v="None"/>
    <s v="INDOPACOM"/>
    <x v="94"/>
    <x v="29"/>
    <n v="3"/>
    <x v="5"/>
    <m/>
    <m/>
    <m/>
    <m/>
    <x v="0"/>
    <m/>
    <x v="1"/>
    <s v="Golden Dragon 2020"/>
    <x v="1"/>
    <s v="*1st joint exercise post COVID-19 outbreak…265 member Chinese contingent participated in mixed training and couter-terror, reconnaissance, and firepower attack"/>
    <m/>
    <m/>
    <m/>
    <m/>
    <s v="http://www.xinhuanet.com/world/2020-03/15/c_1125716729.htm"/>
    <m/>
  </r>
  <r>
    <x v="1"/>
    <x v="1"/>
    <s v="Asia"/>
    <s v="All-Round Cooperative Partnership [全方合作伙伴关系]"/>
    <s v="None"/>
    <s v="INDOPACOM"/>
    <x v="39"/>
    <x v="29"/>
    <n v="3"/>
    <x v="15"/>
    <s v="Wei Fenghe"/>
    <m/>
    <s v="Defense Minister; CMC Member"/>
    <n v="8"/>
    <x v="4"/>
    <s v="Dr. Ng Eng"/>
    <x v="0"/>
    <m/>
    <x v="0"/>
    <m/>
    <m/>
    <m/>
    <m/>
    <m/>
    <s v="http://www.81.cn/jwywpd/2020-03/30/content_9780936.htm"/>
    <m/>
  </r>
  <r>
    <x v="0"/>
    <x v="1"/>
    <s v="Asia "/>
    <s v="Comprehensive Strategic Cooperative Partnership [全面战略合作伙伴关系]"/>
    <s v="Bilateral Defense Treaty"/>
    <s v="INDOPACOM"/>
    <x v="5"/>
    <x v="29"/>
    <n v="3"/>
    <x v="0"/>
    <m/>
    <m/>
    <m/>
    <m/>
    <x v="0"/>
    <m/>
    <x v="0"/>
    <m/>
    <x v="0"/>
    <m/>
    <s v="ETF"/>
    <s v="ETF-33"/>
    <s v="North Sea Fleet"/>
    <s v="DDG117 Xining FFG550 Weifang AOR968 Kekexili"/>
    <s v="http://eng.chinamil.com.cn/view/2020-03/26/content_9778165.htm"/>
    <s v="Port call on way home after Aden CP deployment; LAST PLAN &quot;friendly visit&quot; port call through 2022"/>
  </r>
  <r>
    <x v="1"/>
    <x v="2"/>
    <s v="America and Oceania"/>
    <s v="No Specific Relationship"/>
    <s v="N/A"/>
    <s v="NORTHCOM"/>
    <x v="4"/>
    <x v="29"/>
    <n v="3"/>
    <x v="15"/>
    <s v="Wei Fenghe"/>
    <m/>
    <s v="Defense Minister; CMC Member"/>
    <n v="8"/>
    <x v="4"/>
    <s v="Secretary of Defense Esper"/>
    <x v="0"/>
    <m/>
    <x v="0"/>
    <m/>
    <m/>
    <m/>
    <m/>
    <m/>
    <s v="https://www.defense.gov/Newsroom/Releases/Release/Article/2101487/readout-of-secretary-of-defense-dr-mark-t-espers-telephone-call-with-the-people/"/>
    <m/>
  </r>
  <r>
    <x v="1"/>
    <x v="1"/>
    <s v="Asia "/>
    <s v="Comprehensive Strategic Cooperative Partnership [全面战略合作伙伴关系]"/>
    <s v="None"/>
    <s v="INDOPACOM"/>
    <x v="52"/>
    <x v="29"/>
    <n v="4"/>
    <x v="15"/>
    <s v="Wei Fenghe"/>
    <m/>
    <s v="Defense Minister; CMC Member"/>
    <n v="8"/>
    <x v="4"/>
    <s v="Minister of Defense "/>
    <x v="0"/>
    <m/>
    <x v="0"/>
    <m/>
    <m/>
    <m/>
    <m/>
    <m/>
    <s v="PLA Activities Report"/>
    <m/>
  </r>
  <r>
    <x v="1"/>
    <x v="1"/>
    <s v="Asia "/>
    <s v="Comprehensive Strategic Cooperative Partnership [全面战略合作伙伴关系]"/>
    <s v="None"/>
    <s v="INDOPACOM"/>
    <x v="1"/>
    <x v="29"/>
    <n v="4"/>
    <x v="15"/>
    <s v="Wei Fenghe"/>
    <m/>
    <s v="Defense Minister; CMC Member"/>
    <n v="8"/>
    <x v="4"/>
    <s v="Minister of Defense"/>
    <x v="0"/>
    <m/>
    <x v="0"/>
    <m/>
    <m/>
    <m/>
    <m/>
    <m/>
    <s v="PLA Activities Report"/>
    <m/>
  </r>
  <r>
    <x v="1"/>
    <x v="2"/>
    <s v="America and Oceania"/>
    <s v="No Specific Relationship"/>
    <s v="N/A"/>
    <s v="NORTHCOM"/>
    <x v="4"/>
    <x v="29"/>
    <n v="4"/>
    <x v="15"/>
    <s v="Li Zuocheng"/>
    <m/>
    <s v="CMC/JSD Commander; CMC Member"/>
    <n v="8"/>
    <x v="4"/>
    <s v="CJCS Milley"/>
    <x v="0"/>
    <m/>
    <x v="0"/>
    <s v=" "/>
    <m/>
    <s v=" "/>
    <s v=" "/>
    <m/>
    <s v="CJCS memo for the record 9-27-2021; http://cdn.cnn.com/cnn/2021/images/09/28/cjcs.mfr.ref.general.milley.engagements.with.the.people.liberation.army.leaders.pdf"/>
    <m/>
  </r>
  <r>
    <x v="1"/>
    <x v="1"/>
    <s v="Asia "/>
    <s v="Comprehensive Strategic Cooperative Partnership [全面战略合作伙伴关系]"/>
    <s v="None"/>
    <s v="INDOPACOM"/>
    <x v="23"/>
    <x v="29"/>
    <n v="4"/>
    <x v="15"/>
    <s v="Wei Fenghe"/>
    <m/>
    <s v="Defense Minister; CMC Member"/>
    <n v="8"/>
    <x v="4"/>
    <s v="Minister of Defence "/>
    <x v="0"/>
    <m/>
    <x v="0"/>
    <m/>
    <m/>
    <m/>
    <m/>
    <m/>
    <s v="PLA Activities Report"/>
    <m/>
  </r>
  <r>
    <x v="1"/>
    <x v="8"/>
    <s v="Europe and Central Asia"/>
    <s v="Comprehensive Strategic Partnership [全面战略伙伴关系]"/>
    <s v="None"/>
    <s v="EUCOM"/>
    <x v="34"/>
    <x v="29"/>
    <n v="5"/>
    <x v="15"/>
    <s v="Wei Fenghe"/>
    <m/>
    <s v="Defense Minister; CMC Member"/>
    <n v="8"/>
    <x v="4"/>
    <s v="Defense Minister"/>
    <x v="0"/>
    <m/>
    <x v="0"/>
    <m/>
    <m/>
    <m/>
    <m/>
    <m/>
    <m/>
    <m/>
  </r>
  <r>
    <x v="1"/>
    <x v="1"/>
    <s v="Asia "/>
    <s v="Comprehensive Strategic Cooperative Partnership [全面战略合作伙伴关系]"/>
    <s v="None"/>
    <s v="INDOPACOM"/>
    <x v="94"/>
    <x v="29"/>
    <n v="5"/>
    <x v="15"/>
    <s v="Wei Fenghe"/>
    <m/>
    <s v="Defense Minister; CMC Member"/>
    <n v="8"/>
    <x v="4"/>
    <s v="Deputy Prime Minister/Defense Minister"/>
    <x v="0"/>
    <m/>
    <x v="0"/>
    <m/>
    <m/>
    <m/>
    <m/>
    <m/>
    <m/>
    <m/>
  </r>
  <r>
    <x v="1"/>
    <x v="1"/>
    <s v="Asia "/>
    <s v="Comprehensive Strategic Partnership [全面战略伙伴关系]"/>
    <s v="None"/>
    <s v="INDOPACOM"/>
    <x v="8"/>
    <x v="29"/>
    <n v="5"/>
    <x v="15"/>
    <s v="Wei Fenghe"/>
    <m/>
    <s v="Defense Minister; CMC Member"/>
    <n v="8"/>
    <x v="4"/>
    <s v="Defense Minister"/>
    <x v="0"/>
    <m/>
    <x v="0"/>
    <m/>
    <m/>
    <m/>
    <m/>
    <m/>
    <m/>
    <m/>
  </r>
  <r>
    <x v="1"/>
    <x v="1"/>
    <s v="Asia "/>
    <s v="Comprehensive Strategic Partnership [全面战略伙伴关系]"/>
    <s v="None"/>
    <s v="INDOPACOM"/>
    <x v="10"/>
    <x v="29"/>
    <n v="5"/>
    <x v="15"/>
    <s v="Wei Fenghe"/>
    <m/>
    <s v="Defense Minister; CMC Member"/>
    <n v="8"/>
    <x v="4"/>
    <s v="Defense Minister"/>
    <x v="0"/>
    <m/>
    <x v="0"/>
    <m/>
    <m/>
    <m/>
    <m/>
    <m/>
    <m/>
    <m/>
  </r>
  <r>
    <x v="1"/>
    <x v="1"/>
    <s v="Asia "/>
    <s v="Comprehensive Strategic Partnership [全面战略伙伴关系]"/>
    <s v="Bilateral Defense Treaty"/>
    <s v="INDOPACOM"/>
    <x v="11"/>
    <x v="29"/>
    <n v="5"/>
    <x v="15"/>
    <s v="Wei Fenghe"/>
    <m/>
    <s v="Defense Minister; CMC Member"/>
    <n v="8"/>
    <x v="4"/>
    <s v="Defense Secretary"/>
    <x v="0"/>
    <m/>
    <x v="0"/>
    <m/>
    <m/>
    <m/>
    <m/>
    <m/>
    <m/>
    <m/>
  </r>
  <r>
    <x v="1"/>
    <x v="3"/>
    <s v="Europe and Central Asia"/>
    <s v="Comprehensive Strategic Partnership of Coordination in the New Era [新时代中俄全面战略协作伙伴关系]"/>
    <s v="None"/>
    <s v="EUCOM"/>
    <x v="7"/>
    <x v="29"/>
    <n v="5"/>
    <x v="15"/>
    <s v="Wei Fenghe"/>
    <m/>
    <s v="Defense Minister; CMC Member"/>
    <n v="8"/>
    <x v="4"/>
    <s v="Defense Minister"/>
    <x v="0"/>
    <m/>
    <x v="0"/>
    <m/>
    <m/>
    <m/>
    <m/>
    <m/>
    <m/>
    <m/>
  </r>
  <r>
    <x v="1"/>
    <x v="4"/>
    <s v="Asia "/>
    <s v="Strategic Cooperative Partnership [战略合作伙伴关系]"/>
    <s v="Bilateral Defense Treaty"/>
    <s v="INDOPACOM"/>
    <x v="25"/>
    <x v="29"/>
    <n v="5"/>
    <x v="15"/>
    <s v="Wei Fenghe"/>
    <m/>
    <s v="Defense Minister; CMC Member"/>
    <n v="8"/>
    <x v="4"/>
    <s v="Defense Minister"/>
    <x v="0"/>
    <m/>
    <x v="0"/>
    <m/>
    <m/>
    <m/>
    <m/>
    <m/>
    <m/>
    <m/>
  </r>
  <r>
    <x v="2"/>
    <x v="3"/>
    <s v="Europe and Central Asia"/>
    <s v="Comprehensive Strategic Partnership of Coordination in the New Era [新时代中俄全面战略协作伙伴关系]"/>
    <s v="None"/>
    <s v="EUCOM"/>
    <x v="7"/>
    <x v="29"/>
    <n v="8"/>
    <x v="6"/>
    <m/>
    <m/>
    <s v="Defense Minister"/>
    <m/>
    <x v="0"/>
    <m/>
    <x v="6"/>
    <s v="International Army Games 2020"/>
    <x v="1"/>
    <s v="23 August to 5 September PLAA and PLAAF compete in the Russian-hosted International Army Games"/>
    <m/>
    <m/>
    <m/>
    <m/>
    <s v="http://www.xinhuanet.com/mil/2020-08/11/c_1210746238.htm; https://www.tellerreport.com/news/2020-08-07-chinese-paratroopers-arrive-in-russia-to-participate-in-the-%22international-military-competition-2020%22.B1QmRhX5Wv.html"/>
    <s v="ML EXERCISE; CODED as ARMY because no real joint activity"/>
  </r>
  <r>
    <x v="1"/>
    <x v="2"/>
    <s v="America and Oceania"/>
    <s v="No Specific Relationship"/>
    <s v="N/A"/>
    <s v="NORTHCOM"/>
    <x v="4"/>
    <x v="29"/>
    <n v="8"/>
    <x v="15"/>
    <s v="Wei Fenghe"/>
    <m/>
    <s v="Defense Minister; CMC Member"/>
    <n v="8"/>
    <x v="4"/>
    <s v="Secretary of Defense Esper"/>
    <x v="0"/>
    <m/>
    <x v="0"/>
    <m/>
    <m/>
    <m/>
    <m/>
    <m/>
    <s v="https://www.defense.gov/Newsroom/Releases/Release/Article/2303574/readout-of-secretary-of-defense-dr-mark-t-espers-telephone-call-with-the-people"/>
    <m/>
  </r>
  <r>
    <x v="1"/>
    <x v="1"/>
    <s v="Asia"/>
    <s v="Comprehensive Strategic Cooperative Partnership [全面战略合作伙伴关系]"/>
    <s v="None"/>
    <s v="INDOPACOM"/>
    <x v="23"/>
    <x v="29"/>
    <n v="8"/>
    <x v="3"/>
    <s v="Wei Fenghe"/>
    <m/>
    <s v="Defense Minister; CMC Member"/>
    <n v="8"/>
    <x v="2"/>
    <s v="Vietnam Ambassador"/>
    <x v="0"/>
    <m/>
    <x v="0"/>
    <m/>
    <m/>
    <m/>
    <m/>
    <m/>
    <s v="https://www.voanews.com/a/east-asia-pacific_china-vietnam-try-make-amends-after-stormy-start-202/6195334.html"/>
    <s v="INCLUDE--Senior PLA rep; VM rep is ambassador due to COVID"/>
  </r>
  <r>
    <x v="1"/>
    <x v="1"/>
    <s v="Asia"/>
    <s v="Strategic Cooperative Partnership [战略合作伙伴关系]"/>
    <s v="None"/>
    <s v="INDOPACOM"/>
    <x v="44"/>
    <x v="29"/>
    <n v="9"/>
    <x v="4"/>
    <s v="Wei Fenghe"/>
    <m/>
    <s v="Defense Minister; CMC Member"/>
    <n v="8"/>
    <x v="1"/>
    <s v="Second Minister of Defense "/>
    <x v="0"/>
    <m/>
    <x v="0"/>
    <m/>
    <m/>
    <m/>
    <m/>
    <m/>
    <s v="http://mod.gov.cn/topnews/2020-09/09/content_4870994.htm; https://www.scmp.com/week-asia/politics/article/3100602/south-china-sea-chinese-defence-minister-wei-fenghe-turns; https://www.voanews.com/a/east-asia-pacific_experts-china-renewing-effort-squelch-"/>
    <m/>
  </r>
  <r>
    <x v="1"/>
    <x v="0"/>
    <s v="Asia"/>
    <s v="Strategic Partnership for Peace and Prosperity [战略伙伴关系]"/>
    <s v="None"/>
    <s v="INDOPACOM"/>
    <x v="6"/>
    <x v="29"/>
    <n v="9"/>
    <x v="7"/>
    <s v="Wei Fenghe"/>
    <m/>
    <s v="Defense Minister; CMC Member"/>
    <n v="8"/>
    <x v="1"/>
    <s v="Minister of Defence"/>
    <x v="0"/>
    <m/>
    <x v="0"/>
    <m/>
    <m/>
    <m/>
    <m/>
    <m/>
    <s v="http://mod.gov.cn/diplomacy/2020-09/05/content_4870721.htm; https://news.cgtn.com/news/2020-09-05/Chinese-Indian-defense-ministers-discuss-border-tension-in-Moscow-TwNB8vv3Lq/index.html"/>
    <s v=" On the margins of the SCO 2020 Defense Ministers Meeting"/>
  </r>
  <r>
    <x v="1"/>
    <x v="1"/>
    <s v="Asia"/>
    <s v="Comprehensive Strategic Partnership [全面战略伙伴关系]"/>
    <s v="None"/>
    <s v="INDOPACOM"/>
    <x v="8"/>
    <x v="29"/>
    <n v="9"/>
    <x v="4"/>
    <s v="Wei Fenghe"/>
    <m/>
    <s v="Defense Minister; CMC Member"/>
    <n v="8"/>
    <x v="1"/>
    <s v="Minister of Defense"/>
    <x v="0"/>
    <m/>
    <x v="0"/>
    <m/>
    <m/>
    <m/>
    <m/>
    <m/>
    <s v="http://mod.gov.cn/topnews/2020-09/08/content_4870932.htm; https://www.voanews.com/a/east-asia-pacific_experts-china-renewing-effort-squelch-us-influence-southeast-asia/6195946.html"/>
    <m/>
  </r>
  <r>
    <x v="1"/>
    <x v="1"/>
    <s v="Asia"/>
    <s v="Comprehensive Strategic Partnership [全面战略伙伴关系]"/>
    <s v="None"/>
    <s v="INDOPACOM"/>
    <x v="10"/>
    <x v="29"/>
    <n v="9"/>
    <x v="4"/>
    <s v="Wei Fenghe"/>
    <m/>
    <s v="Defense Minister; CMC Member"/>
    <n v="8"/>
    <x v="1"/>
    <s v="Minister of Defense"/>
    <x v="0"/>
    <m/>
    <x v="0"/>
    <m/>
    <m/>
    <m/>
    <m/>
    <m/>
    <s v="http://mod.gov.cn/topnews/2020-09/07/content_4870852.htm; https://www.voanews.com/a/east-asia-pacific_experts-china-renewing-effort-squelch-us-influence-southeast-asia/6195946.html"/>
    <m/>
  </r>
  <r>
    <x v="1"/>
    <x v="0"/>
    <s v="Asia"/>
    <s v="All-Weather Strategic Cooperative Partnership [全天候战略合作伙伴关系]"/>
    <s v="Major Non-NATO Ally"/>
    <s v="CENTCOM"/>
    <x v="2"/>
    <x v="29"/>
    <n v="9"/>
    <x v="7"/>
    <s v="Wei Fenghe"/>
    <m/>
    <s v="Defense Minister; CMC Member"/>
    <n v="8"/>
    <x v="1"/>
    <s v="Chairman Joint Chiefs of Staff Committee"/>
    <x v="0"/>
    <m/>
    <x v="0"/>
    <m/>
    <m/>
    <m/>
    <m/>
    <m/>
    <s v="http://mod.gov.cn/diplomacy/2020-09/06/content_4870758.htm"/>
    <s v="SCO 2020 Defense Ministers Meeting"/>
  </r>
  <r>
    <x v="1"/>
    <x v="1"/>
    <s v="Asia"/>
    <s v="Comprehensive Strategic Partnership [全面战略伙伴关系]"/>
    <s v="Bilateral Defense Treaty"/>
    <s v="INDOPACOM"/>
    <x v="11"/>
    <x v="29"/>
    <n v="9"/>
    <x v="4"/>
    <s v="Wei Fenghe"/>
    <m/>
    <s v="Defense Minister; CMC Member"/>
    <n v="8"/>
    <x v="1"/>
    <s v="Secretary of National Defense"/>
    <x v="0"/>
    <m/>
    <x v="0"/>
    <m/>
    <m/>
    <m/>
    <m/>
    <m/>
    <s v="https://www.pna.gov.ph/articles/1115179; https://www.voanews.com/a/east-asia-pacific_experts-china-renewing-effort-squelch-us-influence-southeast-asia/6195946.html"/>
    <m/>
  </r>
  <r>
    <x v="2"/>
    <x v="3"/>
    <s v="Europe and Central Asia"/>
    <s v="Comprehensive Strategic Partnership of Coordination in the New Era [新时代中俄全面战略协作伙伴关系]"/>
    <s v="None"/>
    <s v="EUCOM"/>
    <x v="7"/>
    <x v="29"/>
    <n v="9"/>
    <x v="6"/>
    <m/>
    <m/>
    <s v="Defense Minister"/>
    <m/>
    <x v="0"/>
    <m/>
    <x v="3"/>
    <s v="Kavkaz-2020"/>
    <x v="1"/>
    <s v="WTC in mobile defense and attack drills, joint firepower strikes, sieges, battlefield stability control, and others. Participants: Russia, Armenia, Belarus, Iran, Burma (Myanmar), Pakistan, and others. Also included the first PLAFF Y-20 transport to unkno"/>
    <m/>
    <m/>
    <m/>
    <m/>
    <s v="http://www.81.cn/yw/2020-09/14/content_9902689.htm; http://www.mod.gov.cn/topnews/2020-09/10/content_4871011.htm"/>
    <m/>
  </r>
  <r>
    <x v="1"/>
    <x v="3"/>
    <s v="Europe and Central Asia"/>
    <s v="Comprehensive Strategic Partnership of Coordination in the New Era [新时代中俄全面战略协作伙伴关系]"/>
    <s v="None"/>
    <s v="EUCOM"/>
    <x v="7"/>
    <x v="29"/>
    <n v="9"/>
    <x v="4"/>
    <s v="Wei Fenghe"/>
    <m/>
    <s v="Defense Minister; CMC Member"/>
    <n v="8"/>
    <x v="1"/>
    <s v="Minister of Defense"/>
    <x v="0"/>
    <m/>
    <x v="0"/>
    <m/>
    <m/>
    <m/>
    <m/>
    <m/>
    <s v="http://mod.gov.cn/diplomacy/2020-09/06/content_4870758.htm; https://news.cgtn.com/news/2020-09-06/China-calls-for-unity-cooperation-at-SCO-defense-ministers-meeting-TyxHQnSgXS/index.html"/>
    <s v="In conjunction with SCO 2020 Defense Ministers Meeting"/>
  </r>
  <r>
    <x v="1"/>
    <x v="6"/>
    <s v="Europe and Central Asia"/>
    <s v="Member"/>
    <s v="None"/>
    <s v="CENTCOM"/>
    <x v="14"/>
    <x v="29"/>
    <n v="9"/>
    <x v="1"/>
    <s v="Wei Fenghe"/>
    <m/>
    <s v="Defense Minister; CMC Member"/>
    <n v="8"/>
    <x v="1"/>
    <s v="17th meeting of the SCO Ministers of Defense"/>
    <x v="0"/>
    <m/>
    <x v="0"/>
    <m/>
    <m/>
    <m/>
    <m/>
    <m/>
    <s v="http://mod.gov.cn/diplomacy/2020-09/06/content_4870758.htm; https://news.cgtn.com/news/2020-09-06/China-calls-for-unity-cooperation-at-SCO-defense-ministers-meeting-TyxHQnSgXS/index.html"/>
    <s v="SCO 2020 Defense Ministers Meeting"/>
  </r>
  <r>
    <x v="1"/>
    <x v="1"/>
    <s v="Asia"/>
    <s v="Comprehensive Strategic Cooperative Partnership [全面战略合作伙伴关系]"/>
    <s v="Bilateral Defense Treaty"/>
    <s v="INDOPACOM"/>
    <x v="5"/>
    <x v="29"/>
    <n v="9"/>
    <x v="15"/>
    <s v="Miao Hua"/>
    <m/>
    <s v="CMC/PWD Director; CMC Member"/>
    <n v="8"/>
    <x v="4"/>
    <s v="Chief of the Joint Staffs of the Royal Thai Armed Forces"/>
    <x v="0"/>
    <m/>
    <x v="0"/>
    <m/>
    <m/>
    <m/>
    <m/>
    <m/>
    <s v="http://www.81.cn/jfjbmap/content/2020-09/18/content_271089.htm"/>
    <m/>
  </r>
  <r>
    <x v="1"/>
    <x v="4"/>
    <s v="Asia"/>
    <s v="Strategic Cooperative Partnership [战略合作伙伴关系]"/>
    <s v="Bilateral Defense Treaty"/>
    <s v="INDOPACOM"/>
    <x v="25"/>
    <x v="29"/>
    <n v="10"/>
    <x v="15"/>
    <s v="Wei Fenghe"/>
    <m/>
    <s v="Defense Minister; CMC Member"/>
    <n v="8"/>
    <x v="4"/>
    <s v="Minister for National Defense "/>
    <x v="0"/>
    <m/>
    <x v="0"/>
    <m/>
    <m/>
    <m/>
    <m/>
    <m/>
    <s v="http://www.mod.gov.cn/topnews/2020-10/21/content_4872999.htm"/>
    <m/>
  </r>
  <r>
    <x v="1"/>
    <x v="2"/>
    <s v="America and Oceania"/>
    <s v="No Specific Relationship"/>
    <s v="N/A"/>
    <s v="NORTHCOM"/>
    <x v="4"/>
    <x v="29"/>
    <n v="10"/>
    <x v="15"/>
    <s v="Li Zuocheng"/>
    <m/>
    <s v="CMC/JSD Commander; CMC Member"/>
    <n v="8"/>
    <x v="4"/>
    <s v="CJCS Milley"/>
    <x v="0"/>
    <m/>
    <x v="0"/>
    <m/>
    <m/>
    <m/>
    <m/>
    <m/>
    <s v="https://apnews.com/article/donald-trump-business-china-arts-and-entertainment-army-74ad214fdfbf0f8422a762e8f6657862"/>
    <s v="At SECDEF direction to clear up Chinese concern"/>
  </r>
  <r>
    <x v="1"/>
    <x v="0"/>
    <s v="Asia"/>
    <s v="Development-oriented Strategic Cooperative Partnership [面向发展与繁荣的世代友好的战略合作伙伴关系]."/>
    <s v="None"/>
    <s v="INDOPACOM"/>
    <x v="32"/>
    <x v="29"/>
    <n v="11"/>
    <x v="4"/>
    <s v="Wei Fenghe"/>
    <m/>
    <s v="Defense Minister; CMC Member"/>
    <n v="8"/>
    <x v="1"/>
    <s v="President, PM, and DEFMIN"/>
    <x v="0"/>
    <m/>
    <x v="0"/>
    <m/>
    <m/>
    <m/>
    <m/>
    <m/>
    <s v="https://www.newindianexpress.com/world/2020/nov/29/chinese-defence-ministerwei-fenghearrives-in-nepal-to-bolster-military-cooperation-2229614.html"/>
    <m/>
  </r>
  <r>
    <x v="2"/>
    <x v="2"/>
    <s v="America and Oceania"/>
    <s v="No Specific Relationship"/>
    <s v="N/A"/>
    <s v="NORTHCOM"/>
    <x v="4"/>
    <x v="29"/>
    <n v="11"/>
    <x v="5"/>
    <m/>
    <m/>
    <s v="Defense Minister"/>
    <m/>
    <x v="0"/>
    <m/>
    <x v="2"/>
    <s v="16th China-US Disaster Management Exchange"/>
    <x v="1"/>
    <s v="Virtual due to COVID; HADR academic discussion"/>
    <m/>
    <m/>
    <m/>
    <m/>
    <s v="https://news.clearancejobs.com/2020/11/12/u-s-and-china-hold-joint-disaster-management-exercise/; http://eng.chinamil.com.cn/view/2020-11/14/content_9936530.htm"/>
    <m/>
  </r>
  <r>
    <x v="1"/>
    <x v="1"/>
    <s v="Asia"/>
    <s v="Strategic Partnership [战略伙伴关系] for Peace and Prosperity"/>
    <s v="None"/>
    <s v="INDOPACOM"/>
    <x v="153"/>
    <x v="29"/>
    <n v="12"/>
    <x v="16"/>
    <s v="Wei Fenghe"/>
    <m/>
    <s v="Defense Minister; CMC Member"/>
    <n v="8"/>
    <x v="4"/>
    <s v="ADMM+"/>
    <x v="0"/>
    <m/>
    <x v="0"/>
    <m/>
    <m/>
    <m/>
    <m/>
    <m/>
    <s v=" http://admm.vn/wps/portal/en/news/detail/!ut/p/b1/hZLLkqowFAC_xQ-giIiAyyAojyFIACFsKKKAyEsUceDrh7l1t47Znao-i-4TNmJDNmqSociTvmibpPqdIyHeQYQleQkBwPIKOJYp2pK8B44rzAB5D-gQfNoP2BAT8K08rFxRwwNoNfx6eE5tWuV-2nH1S_VNv9hkvVk1VASbg8uEMegyPF1FnGo3SmsJjVrSZORoZWkoZErX"/>
    <s v="Video conference"/>
  </r>
  <r>
    <x v="1"/>
    <x v="4"/>
    <s v="Asia "/>
    <s v="Mutually Beneficial Strategic Relationship [战略互惠关系]"/>
    <s v="Bilateral Defense Treaty"/>
    <s v="INDOPACOM"/>
    <x v="83"/>
    <x v="29"/>
    <n v="12"/>
    <x v="15"/>
    <s v="Wei Fenghe"/>
    <m/>
    <s v="Defense Minister; CMC Member"/>
    <n v="8"/>
    <x v="4"/>
    <s v="Minister of Defense Nobuo Kishi"/>
    <x v="0"/>
    <m/>
    <x v="0"/>
    <m/>
    <m/>
    <m/>
    <m/>
    <m/>
    <s v="http://www.mod.gov.cn/shouye/2020-12/14/content_4875453.htm; “Japan-China Defense Ministers’ Video Teleconference,” Japan Ministry of Defense [English-language source], 14 December 2020,; PLA Activities Report 1-15 January 2021, China sounded out Japan on"/>
    <m/>
  </r>
  <r>
    <x v="1"/>
    <x v="4"/>
    <s v="Asia"/>
    <s v="N/A"/>
    <s v="None"/>
    <s v="INDOPACOM"/>
    <x v="161"/>
    <x v="29"/>
    <n v="12"/>
    <x v="16"/>
    <s v="Yang Xuejun"/>
    <m/>
    <s v="President, AMS"/>
    <n v="5"/>
    <x v="4"/>
    <s v="President, AMS"/>
    <x v="0"/>
    <m/>
    <x v="0"/>
    <m/>
    <m/>
    <m/>
    <m/>
    <m/>
    <s v="http://eng.chinamil.com.cn/view/2020-12/02/content_9946240.htm"/>
    <s v="Virtual Meeting of Xiangshan Forum"/>
  </r>
  <r>
    <x v="1"/>
    <x v="0"/>
    <s v="Asia"/>
    <s v="All-Weather Strategic Cooperative Partnership [全天候战略合作伙伴关系]"/>
    <s v="Major Non-NATO Ally"/>
    <s v="CENTCOM"/>
    <x v="2"/>
    <x v="29"/>
    <n v="12"/>
    <x v="7"/>
    <s v="Wei Fenghe"/>
    <m/>
    <s v="Defense Minister"/>
    <m/>
    <x v="1"/>
    <s v="Pakistan COAS Bajwa, CJCS Raza, PM, President"/>
    <x v="0"/>
    <m/>
    <x v="0"/>
    <m/>
    <m/>
    <m/>
    <m/>
    <m/>
    <s v="https://www.thehindu.com/news/international/china-and-pakistan-sign-military-deal-amid-tensions-with-india/article60672038.ece; https://thediplomat.com/2020/12/chinas-defense-minister-visits-pakistan/"/>
    <s v="SHOULD ADD TO DB"/>
  </r>
  <r>
    <x v="2"/>
    <x v="0"/>
    <s v="Asia"/>
    <s v="All-Weather Strategic Cooperative Partnership [全天候战略合作伙伴关系]"/>
    <s v="Major Non-NATO Ally"/>
    <s v="CENTCOM"/>
    <x v="2"/>
    <x v="29"/>
    <n v="12"/>
    <x v="5"/>
    <m/>
    <m/>
    <m/>
    <m/>
    <x v="0"/>
    <m/>
    <x v="3"/>
    <s v="Shaheen IX (Eagle)"/>
    <x v="5"/>
    <s v="Monthlong, improving actual combat training"/>
    <m/>
    <m/>
    <m/>
    <m/>
    <s v="https://timesofindia.indiatimes.com/world/china/china-pakistan-air-forces-to-hold-joint-exercises/articleshow/79611283.cms; China sends warplanes, troops for drill in Pakistan | World News - Hindustan Times, PLA Activities Report 1-15 January 2021"/>
    <m/>
  </r>
  <r>
    <x v="2"/>
    <x v="3"/>
    <s v="Europe and Central Asia"/>
    <s v="Comprehensive Strategic Partnership of Coordination in the New Era [新时代中俄全面战略协作伙伴关系]"/>
    <s v="None"/>
    <s v="EUCOM"/>
    <x v="7"/>
    <x v="29"/>
    <n v="12"/>
    <x v="5"/>
    <m/>
    <m/>
    <m/>
    <m/>
    <x v="0"/>
    <m/>
    <x v="9"/>
    <s v="Joint Aerial Strategic Patrol 2020"/>
    <x v="5"/>
    <s v="&quot;Joint strategic air patrol&quot;--four H-6K aircraft to form a joint formation with two Russian Tu-95MC aircraft over the Sea of Japan and the East China Sea. "/>
    <m/>
    <m/>
    <m/>
    <m/>
    <s v="http://www.81.cn/jwywpd/2020-12/23/content_9957361.htm"/>
    <s v="RECODED as joint patrol; INCLUDED because of external audience."/>
  </r>
  <r>
    <x v="1"/>
    <x v="2"/>
    <s v="America and Oceania"/>
    <s v="No Specific Relationship"/>
    <s v="N/A"/>
    <s v="NORTHCOM"/>
    <x v="4"/>
    <x v="30"/>
    <n v="1"/>
    <x v="15"/>
    <s v="LI Zuocheng"/>
    <m/>
    <s v="CMC/JSD Commander; CMC Member"/>
    <n v="8"/>
    <x v="4"/>
    <s v="CJCS Milley"/>
    <x v="0"/>
    <m/>
    <x v="0"/>
    <m/>
    <m/>
    <m/>
    <m/>
    <m/>
    <s v="https://apnews.com/article/donald-trump-business-china-arts-and-entertainment-army-74ad214fdfbf0f8422a762e8f6657862"/>
    <s v="At SECDEF direction to clear up Chinese concern; include during COVID era"/>
  </r>
  <r>
    <x v="2"/>
    <x v="0"/>
    <s v="Asia"/>
    <s v="All-Weather Strategic Cooperative Partnership [全天候战略合作伙伴关系]"/>
    <s v="Major Non-NATO Ally"/>
    <s v="CENTCOM"/>
    <x v="2"/>
    <x v="30"/>
    <n v="2"/>
    <x v="6"/>
    <m/>
    <m/>
    <m/>
    <m/>
    <x v="0"/>
    <m/>
    <x v="4"/>
    <s v="AMAN-21"/>
    <x v="2"/>
    <s v="counter-piracy, counter-terror, naval gunnery drills, search and rescue ops; 45 countries participated; ; ETF 36 (as PLAN 119 Biandui)"/>
    <m/>
    <m/>
    <m/>
    <m/>
    <s v="PLA Activities Report, 1-15 February 2021 "/>
    <m/>
  </r>
  <r>
    <x v="2"/>
    <x v="1"/>
    <s v="Asia"/>
    <s v="All-Round Cooperative Partnership [全方合作伙伴关系]"/>
    <s v="None"/>
    <s v="INDOPACOM"/>
    <x v="39"/>
    <x v="30"/>
    <n v="2"/>
    <x v="5"/>
    <m/>
    <m/>
    <m/>
    <m/>
    <x v="0"/>
    <m/>
    <x v="2"/>
    <m/>
    <x v="2"/>
    <s v="passage exercise, search and rescue, communications; ETF 36"/>
    <m/>
    <m/>
    <m/>
    <m/>
    <s v="PLA Activities Report 16-28 February 2021"/>
    <m/>
  </r>
  <r>
    <x v="1"/>
    <x v="8"/>
    <s v="Europe and Central Asia"/>
    <s v="Comprehensive Strategic Partnership [全面战略伙伴关系]"/>
    <s v="NATO"/>
    <s v="EUCOM"/>
    <x v="29"/>
    <x v="30"/>
    <n v="3"/>
    <x v="4"/>
    <s v="Wei Fenghe"/>
    <m/>
    <s v="Defense Minister; CMC Member"/>
    <n v="8"/>
    <x v="1"/>
    <s v="President of Greece &amp; MINDEF"/>
    <x v="0"/>
    <m/>
    <x v="0"/>
    <m/>
    <m/>
    <m/>
    <m/>
    <m/>
    <s v="PLAAR 1-15 April 2021,  http://mod.gov.cn/topnews/2021-03/30/content_4882225.htm"/>
    <m/>
  </r>
  <r>
    <x v="1"/>
    <x v="8"/>
    <s v="Europe and Central Asia"/>
    <s v="Comprehensive Strategic Partnership [全面战略伙伴关系]"/>
    <s v="NATO"/>
    <s v="EUCOM"/>
    <x v="82"/>
    <x v="30"/>
    <n v="3"/>
    <x v="4"/>
    <s v="Wei Fenghe"/>
    <m/>
    <s v="Defense Minister; CMC Member"/>
    <n v="8"/>
    <x v="1"/>
    <s v="President of Hungary &amp; MINDEF"/>
    <x v="0"/>
    <m/>
    <x v="0"/>
    <m/>
    <m/>
    <m/>
    <m/>
    <m/>
    <s v="PLAAR 16-31 March 2021, http://www.xinhuanet.com/english/2021-03/25/c_139835982.htm"/>
    <m/>
  </r>
  <r>
    <x v="1"/>
    <x v="8"/>
    <s v="Europe and Central Asia"/>
    <s v="No Specific Relationship"/>
    <s v="None"/>
    <s v="EUCOM"/>
    <x v="99"/>
    <x v="30"/>
    <n v="3"/>
    <x v="4"/>
    <s v="Wei Fenghe"/>
    <m/>
    <s v="Defense Minister; CMC Member"/>
    <n v="8"/>
    <x v="1"/>
    <s v="President of North Macedonia &amp; MINDEF"/>
    <x v="0"/>
    <m/>
    <x v="0"/>
    <m/>
    <m/>
    <m/>
    <m/>
    <m/>
    <s v="PLAAR 1-15 April 2012, http://81.cn/yw/2021-03/30/content_10013933.htm"/>
    <m/>
  </r>
  <r>
    <x v="1"/>
    <x v="4"/>
    <s v="Asia"/>
    <s v="Comprehensive Strategic Partnership [全面战略伙伴关系]"/>
    <s v="None"/>
    <s v="INDOPACOM"/>
    <x v="53"/>
    <x v="30"/>
    <n v="3"/>
    <x v="15"/>
    <s v="Wei Fenghe"/>
    <m/>
    <s v="Defense Minister; CMC Member"/>
    <n v="8"/>
    <x v="4"/>
    <s v="Minister of Defense "/>
    <x v="0"/>
    <m/>
    <x v="0"/>
    <m/>
    <m/>
    <m/>
    <m/>
    <m/>
    <s v="PLAAR 16-31 March 2021, http://81.cn/yw/2021-03/16/content_10004317.htm; "/>
    <s v="telephone conference"/>
  </r>
  <r>
    <x v="1"/>
    <x v="8"/>
    <s v="Europe and Central Asia"/>
    <s v="Comprehensive Strategic Partnership [全面战略伙伴关系]"/>
    <s v="None"/>
    <s v="EUCOM"/>
    <x v="112"/>
    <x v="30"/>
    <n v="3"/>
    <x v="4"/>
    <s v="Wei Fenghe"/>
    <m/>
    <s v="Defense Minister; CMC Member"/>
    <n v="8"/>
    <x v="1"/>
    <s v="President of the Republic of Serbia &amp; MINDEF"/>
    <x v="0"/>
    <m/>
    <x v="0"/>
    <m/>
    <m/>
    <m/>
    <m/>
    <m/>
    <s v="PLAAR 16-31 March 2021, https://www.srbija.gov.rs/vest/en/170119/visit-of-chinese-minister-of-defence-to-serbia-ends.php"/>
    <m/>
  </r>
  <r>
    <x v="1"/>
    <x v="0"/>
    <s v="Asia"/>
    <s v="Strategic Cooperative Partnership [战略合作伙伴关系]"/>
    <s v="None"/>
    <s v="INDOPACOM"/>
    <x v="0"/>
    <x v="30"/>
    <n v="4"/>
    <x v="4"/>
    <s v="Wei Fenghe"/>
    <m/>
    <s v="Defense Minister; CMC Member"/>
    <n v="8"/>
    <x v="1"/>
    <s v="Bangladesh President Abdul Hamid &amp; DEFMIN"/>
    <x v="0"/>
    <m/>
    <x v="0"/>
    <m/>
    <m/>
    <m/>
    <m/>
    <m/>
    <s v="PLAAR 16-30 April 2021,  http://mod.gov.cn/topnews/2021-04/27/content_4884086.htm"/>
    <m/>
  </r>
  <r>
    <x v="1"/>
    <x v="0"/>
    <s v="Asia"/>
    <s v="Strategic Cooperative Partnership [战略合作伙伴关系]"/>
    <s v="None"/>
    <s v="INDOPACOM"/>
    <x v="3"/>
    <x v="30"/>
    <n v="4"/>
    <x v="4"/>
    <s v="Wei Fenghe"/>
    <m/>
    <s v="Defense Minister; CMC Member"/>
    <n v="8"/>
    <x v="1"/>
    <s v="Minister of Defense Gotabaya Rajapaksa"/>
    <x v="0"/>
    <m/>
    <x v="0"/>
    <m/>
    <m/>
    <m/>
    <m/>
    <m/>
    <s v="PLAAR 1-15 May 2021, https://www.presidentsoffice.gov.lk/index.php/2021/04/28/president-and-chinese-defence-minister-hold-bilateral-discussions/"/>
    <m/>
  </r>
  <r>
    <x v="1"/>
    <x v="1"/>
    <s v="Asia"/>
    <s v="Comprehensive Strategic Cooperative Partnership [全面战略合作伙伴关系]"/>
    <s v="None"/>
    <s v="INDOPACOM"/>
    <x v="23"/>
    <x v="30"/>
    <n v="4"/>
    <x v="4"/>
    <s v="Wei Fenghe"/>
    <m/>
    <s v="Defense Minister; CMC Member"/>
    <n v="8"/>
    <x v="1"/>
    <s v="General Secretary Phu Troung, Vietnam President Nguyen Xuan Phuc &amp; DEFMIN"/>
    <x v="0"/>
    <m/>
    <x v="0"/>
    <m/>
    <m/>
    <m/>
    <m/>
    <m/>
    <s v="PLAAR 16-30 April 2021, https://baochinhphu.vn/Doi-ngoai/Tong-Bi-thu-Nguyen-Phu-Trong-tiep-Uy-vien-Quoc-vu-Bo-truong-Bo-Quoc-phong-Trung-Quoc/429280.vgp, https://baochinhphu.vn/Doi-ngoai/Thuc-day-quan-he-Doi-tac-hop-tac-chien-luoc-toan-dien-voi-Trung-Quoc"/>
    <m/>
  </r>
  <r>
    <x v="2"/>
    <x v="1"/>
    <s v="Asia"/>
    <s v="Comprehensive Strategic Partnership [全面战略伙伴关系]"/>
    <s v="None"/>
    <s v="INDOPACOM"/>
    <x v="8"/>
    <x v="30"/>
    <n v="5"/>
    <x v="5"/>
    <m/>
    <m/>
    <m/>
    <m/>
    <x v="0"/>
    <m/>
    <x v="2"/>
    <m/>
    <x v="2"/>
    <s v="comm drills, search and rescue, formation maneuvers"/>
    <m/>
    <m/>
    <m/>
    <m/>
    <s v="PLAAR 1-15 May 2021, https://news.cgtn.com/news/2021-05-10/China-Indonesia-hold-joint-naval-exercise-near-Jakarta--109dCfydxYs/index.html."/>
    <s v="Couldn't find name for exercise "/>
  </r>
  <r>
    <x v="1"/>
    <x v="1"/>
    <s v="Asia"/>
    <s v="Strategic Partnership [战略伙伴关系] for Peace and Prosperity"/>
    <s v="None"/>
    <s v="INDOPACOM"/>
    <x v="153"/>
    <x v="30"/>
    <n v="6"/>
    <x v="16"/>
    <s v="Wei Fenghe"/>
    <m/>
    <s v="Defense Minister; CMC Member"/>
    <n v="8"/>
    <x v="4"/>
    <s v="Brunei Second MINDEF co-chaired with Wei"/>
    <x v="0"/>
    <m/>
    <x v="0"/>
    <m/>
    <m/>
    <m/>
    <m/>
    <m/>
    <s v="PLAAR 1-15 June 2021, http://www.mod.gov.cn/topnews/2021-06/15/content_4887430.htm"/>
    <s v="virtual 12th China-ASEAN Defense Ministers’ Informal Meeting"/>
  </r>
  <r>
    <x v="1"/>
    <x v="1"/>
    <s v="Asia"/>
    <s v="Strategic Partnership [战略伙伴关系] for Peace and Prosperity"/>
    <s v="None"/>
    <s v="INDOPACOM"/>
    <x v="153"/>
    <x v="30"/>
    <n v="6"/>
    <x v="16"/>
    <s v="Wei Fenghe"/>
    <m/>
    <s v="Defense Minister; CMC Member"/>
    <n v="8"/>
    <x v="4"/>
    <s v="Brunei chaired"/>
    <x v="0"/>
    <m/>
    <x v="0"/>
    <m/>
    <m/>
    <m/>
    <m/>
    <m/>
    <s v="PLAAR 16-30 June 2021; http://mod.gov.cn/topnews/2021-06/16/content_4887474.htm"/>
    <s v="ASEAN ADMM+ Meeting"/>
  </r>
  <r>
    <x v="1"/>
    <x v="3"/>
    <s v="Europe and Central Asia"/>
    <s v="Comprehensive Strategic Partnership of Coordination in the New Era [新时代中俄全面战略协作伙伴关系]"/>
    <s v="None"/>
    <s v="EUCOM"/>
    <x v="7"/>
    <x v="30"/>
    <n v="6"/>
    <x v="16"/>
    <s v="Wei Fenghe"/>
    <m/>
    <s v="Defense Minister; CMC Member"/>
    <n v="8"/>
    <x v="4"/>
    <s v="Russian Defense Minister"/>
    <x v="0"/>
    <m/>
    <x v="0"/>
    <m/>
    <m/>
    <m/>
    <m/>
    <m/>
    <s v="PLAAR 16-30 June 2021, http://mod.gov.cn/diplomacy/2021-06/23/content_4887992.htm"/>
    <s v="Russian Defense Ministry's Moscow Conference on International Security"/>
  </r>
  <r>
    <x v="1"/>
    <x v="1"/>
    <s v="Asia"/>
    <s v="All-Round Cooperative Partnership [全方合作伙伴关系]"/>
    <s v="None"/>
    <s v="INDOPACOM"/>
    <x v="39"/>
    <x v="30"/>
    <n v="6"/>
    <x v="15"/>
    <s v="Wei Fenghe"/>
    <m/>
    <s v="Defense Minister; CMC Member"/>
    <n v="8"/>
    <x v="4"/>
    <s v="Ng Eng Hen, Sinagpore Defence Minister"/>
    <x v="0"/>
    <m/>
    <x v="0"/>
    <m/>
    <m/>
    <m/>
    <m/>
    <m/>
    <s v="PLAAR 1-15 June 2021, https://www.mindef.gov.sg/web/portal/mindef/news-and-events/latest-releases/article-detail/2021/June/08jun21_nr/, http://mod.gov.cn/topnews/2021-06/08/content_4887029.htm"/>
    <s v="Virtual BL meeting on 8 June"/>
  </r>
  <r>
    <x v="1"/>
    <x v="8"/>
    <s v="Europe and Central Asia"/>
    <s v="Comprehensive Strategic Partnership [全面战略伙伴关系]"/>
    <s v="NATO"/>
    <s v="EUCOM"/>
    <x v="18"/>
    <x v="30"/>
    <n v="7"/>
    <x v="15"/>
    <s v="Wei Fenghe"/>
    <m/>
    <s v="Defense Minister; CMC Member"/>
    <n v="8"/>
    <x v="4"/>
    <s v="Defense Minister "/>
    <x v="0"/>
    <m/>
    <x v="0"/>
    <m/>
    <m/>
    <m/>
    <m/>
    <m/>
    <s v="PLAAR 1-15 July 2021, http://mod.gov.cn/topnews/2021-07/06/content_4888812.htm"/>
    <s v="Video conference"/>
  </r>
  <r>
    <x v="1"/>
    <x v="4"/>
    <s v="Asia"/>
    <s v="Comprehensive Strategic Partnership [全面战略伙伴关系]"/>
    <s v="None"/>
    <s v="INDOPACOM"/>
    <x v="53"/>
    <x v="30"/>
    <n v="7"/>
    <x v="4"/>
    <s v="Wei Fenghe"/>
    <m/>
    <s v="Defense Minister; CMC Member"/>
    <n v="8"/>
    <x v="1"/>
    <s v="Minister of Defense"/>
    <x v="0"/>
    <m/>
    <x v="0"/>
    <m/>
    <m/>
    <m/>
    <m/>
    <m/>
    <s v="PLAAR 16-31 July 2021, http://mod.gov.mn/2021/07/26/%D1%85%D0%BE%D1%91%D1%80-%D0%BE%D1%80%D0%BD%D1%8B-%D0%B1%D0%B0%D1%82%D0%BB%D0%B0%D0%BD-%D1%85%D0%B0%D0%BC%D0%B3%D0%B0%D0%B0%D0%BB%D0%B0%D1%85-%D1%81%D0%B0%D0%BB%D0%B1%D0%B0%D1%80%D1%8B%D0%B"/>
    <m/>
  </r>
  <r>
    <x v="1"/>
    <x v="0"/>
    <s v="Asia"/>
    <s v="All-Weather Strategic Cooperative Partnership [全天候战略合作伙伴关系]"/>
    <s v="Major Non-NATO Ally"/>
    <s v="CENTCOM"/>
    <x v="2"/>
    <x v="30"/>
    <n v="7"/>
    <x v="7"/>
    <s v="Wei Fenghe"/>
    <m/>
    <s v="Defense Minister; CMC Member"/>
    <n v="8"/>
    <x v="1"/>
    <s v="Pakistan’s Defence Minister Pervez Khattak"/>
    <x v="0"/>
    <m/>
    <x v="0"/>
    <m/>
    <m/>
    <m/>
    <m/>
    <m/>
    <s v="https://www.app.com.pk/global/chinese-defense-minister-holds-talks-with-pervez-khattak-in-dushanbe-tajikistan/"/>
    <s v="SHOULD ADD TO DB"/>
  </r>
  <r>
    <x v="2"/>
    <x v="8"/>
    <s v="Europe and Central Asia"/>
    <s v="Comprehensive Strategic Partnership of Coordination in the New Era [新时代中俄全面战略协作伙伴关系]"/>
    <s v="None"/>
    <s v="EUCOM"/>
    <x v="7"/>
    <x v="30"/>
    <n v="7"/>
    <x v="6"/>
    <m/>
    <m/>
    <m/>
    <m/>
    <x v="0"/>
    <m/>
    <x v="6"/>
    <s v="International Army Games 2021"/>
    <x v="1"/>
    <s v="army games with Russia, Belarus, Egypt, Iran, Venezuela, Vietnam "/>
    <m/>
    <m/>
    <m/>
    <m/>
    <s v="http://english.chinamil.com.cn/view/2021-07/29/content_10068365.htm"/>
    <m/>
  </r>
  <r>
    <x v="1"/>
    <x v="3"/>
    <s v="Europe and Central Asia"/>
    <s v="Comprehensive Strategic Partnership of Coordination in the New Era [新时代中俄全面战略协作伙伴关系]"/>
    <s v="None"/>
    <s v="EUCOM"/>
    <x v="7"/>
    <x v="30"/>
    <n v="7"/>
    <x v="7"/>
    <s v="Wei Fenghe"/>
    <m/>
    <s v="Defense Minister; CMC Member"/>
    <n v="8"/>
    <x v="1"/>
    <s v="Russian Defense Minister"/>
    <x v="0"/>
    <m/>
    <x v="0"/>
    <m/>
    <m/>
    <m/>
    <m/>
    <m/>
    <s v="PLAAR 16-31 July 2021, https://function.mil.ru/news_page/country/more.htm?id=12374244@egNews"/>
    <m/>
  </r>
  <r>
    <x v="1"/>
    <x v="6"/>
    <s v="Europe and Central Asia"/>
    <s v="Member"/>
    <s v="None"/>
    <s v="CENTCOM"/>
    <x v="14"/>
    <x v="30"/>
    <n v="7"/>
    <x v="1"/>
    <s v="Wei Fenghe"/>
    <m/>
    <s v="Defense Minister; CMC Member"/>
    <n v="8"/>
    <x v="1"/>
    <s v="18th meeting of the SCO Ministers of Defense"/>
    <x v="0"/>
    <m/>
    <x v="0"/>
    <m/>
    <m/>
    <m/>
    <m/>
    <m/>
    <s v="PLAAR 1-15 August 2021, http://mod.gov.cn/diplomacy/2021-07/28/content_4890455.htm"/>
    <s v="Council of Ministers of Defense of Shanghai Cooperation Organization (SCO) Member States "/>
  </r>
  <r>
    <x v="1"/>
    <x v="6"/>
    <s v="Europe and Central Asia"/>
    <s v="Comprehensive Strategic Partnership [全面战略伙伴关系]"/>
    <s v="None"/>
    <s v="CENTCOM"/>
    <x v="60"/>
    <x v="30"/>
    <n v="7"/>
    <x v="4"/>
    <s v="Wei Fenghe"/>
    <m/>
    <s v="Defense Minister; CMC Member"/>
    <n v="8"/>
    <x v="1"/>
    <s v="President &amp; Defense Minister"/>
    <x v="0"/>
    <m/>
    <x v="0"/>
    <m/>
    <m/>
    <m/>
    <m/>
    <m/>
    <s v="PLAAR 16-31 July 2021,  http://mod.gov.cn/topnews/2021-07/27/content_4890357.htm"/>
    <m/>
  </r>
  <r>
    <x v="2"/>
    <x v="1"/>
    <s v="Asia"/>
    <s v="Comprehensive Strategic Cooperative Partnership [全面战略合作伙伴关系]"/>
    <s v="Bilateral Defense Treaty"/>
    <s v="INDOPACOM"/>
    <x v="5"/>
    <x v="30"/>
    <n v="7"/>
    <x v="6"/>
    <m/>
    <m/>
    <m/>
    <m/>
    <x v="0"/>
    <m/>
    <x v="2"/>
    <s v="Cobra Gold 2021"/>
    <x v="1"/>
    <s v="Disaster relief"/>
    <m/>
    <m/>
    <m/>
    <m/>
    <s v="PLAAR 16-31 August 2021, https://www.nationthailand.com/in-focus/40002406, http://eng.mod.gov.cn/news/2021-08/03/content_4891020.htm, http://eng.chinamil.com.cn/view/2021-08/02/content_10070028.htm"/>
    <s v="This year PLA participation is virtual ONLY"/>
  </r>
  <r>
    <x v="2"/>
    <x v="3"/>
    <s v="Europe and Central Asia"/>
    <s v="Comprehensive Strategic Partnership of Coordination in the New Era [新时代中俄全面战略协作伙伴关系]"/>
    <s v="None"/>
    <s v="EUCOM"/>
    <x v="7"/>
    <x v="30"/>
    <n v="8"/>
    <x v="5"/>
    <m/>
    <m/>
    <m/>
    <m/>
    <x v="0"/>
    <m/>
    <x v="3"/>
    <s v="Zapad/Interaction "/>
    <x v="1"/>
    <s v="&quot;The Chinese Ministry of National Defense issued an article on Wednesday describing the exercise as the first time China invited foreign troops to participate in the PLA's strategic battle training operations on a large scale, the first time foreign troop"/>
    <m/>
    <m/>
    <m/>
    <m/>
    <s v="PLAAR 1-15 August 2021, https://www.81.cn/jfjbmap/content/2021-08/10/content_296122.htm, https://thediplomat.com/2021/08/zapad-interaction-military-exercise-2021-growing-china-russia-bonhomie/; 中俄戈壁荒原联合军演 专用讯息系统解语言障碍, 12 August 2021, 东方日报 (简体)"/>
    <m/>
  </r>
  <r>
    <x v="1"/>
    <x v="1"/>
    <s v="Asia"/>
    <s v="Comprehensive Strategic Partnership [全面战略伙伴关系]"/>
    <s v="None"/>
    <s v="INDOPACOM"/>
    <x v="10"/>
    <x v="30"/>
    <n v="9"/>
    <x v="15"/>
    <s v="Wei Fenghe"/>
    <m/>
    <s v="Defense Minister; CMC Member"/>
    <n v="8"/>
    <x v="4"/>
    <s v="Defense Minister"/>
    <x v="0"/>
    <m/>
    <x v="0"/>
    <m/>
    <m/>
    <m/>
    <m/>
    <m/>
    <s v="http://english.chinamil.com.cn/view/2021-09/27/content_10093971.htm"/>
    <m/>
  </r>
  <r>
    <x v="1"/>
    <x v="4"/>
    <s v="Asia"/>
    <s v="N/A"/>
    <s v="None"/>
    <s v="INDOPACOM"/>
    <x v="161"/>
    <x v="30"/>
    <n v="9"/>
    <x v="16"/>
    <s v="Ding Laihang"/>
    <m/>
    <s v="PLAAF Commander"/>
    <m/>
    <x v="4"/>
    <s v="Other Air Force Commanders, including Pakistani ACM Zaheer Ahmad Babar "/>
    <x v="0"/>
    <s v="PLAAF International Military Flight Training Conference"/>
    <x v="0"/>
    <m/>
    <m/>
    <m/>
    <m/>
    <m/>
    <s v="http://www.81.cn/jwywpd/2021-09/28/content_10094486.htm; https://www.youtube.com/watch?v=yqBiNj1sgYE"/>
    <s v="SHOULD ADD TO DB--ML Virtual conference hosted by PLAAF Commander and attended virtually by at least some heads of air forces (e.g. Pakistan)"/>
  </r>
  <r>
    <x v="1"/>
    <x v="0"/>
    <s v="Asia"/>
    <s v="All-Weather Strategic Cooperative Partnership [全天候战略合作伙伴关系]"/>
    <s v="Major Non-NATO Ally"/>
    <s v="CENTCOM"/>
    <x v="2"/>
    <x v="30"/>
    <n v="9"/>
    <x v="7"/>
    <s v="Li Zuocheng"/>
    <m/>
    <s v="CMC/JSD Commander; CMC Member"/>
    <n v="8"/>
    <x v="1"/>
    <s v="TL meeting with Chairman Joint Chiefs of Staff Committee, General Nadeem Raza and Russian COGS General Valery Gerasimov"/>
    <x v="0"/>
    <m/>
    <x v="0"/>
    <m/>
    <m/>
    <m/>
    <m/>
    <m/>
    <s v="https://www.radio.gov.pk/25-09-2021/pakistan-attaches-great-importance-to-further-bilateral-cooperation-with-russia-china-cjcsc"/>
    <s v="TL Meeting on the Margins coded as separate BL meetings with PK and Russian counterparts"/>
  </r>
  <r>
    <x v="2"/>
    <x v="0"/>
    <s v="Asia"/>
    <s v="All-Weather Strategic Cooperative Partnership [全天候战略合作伙伴关系]"/>
    <s v="Major Non-NATO Ally"/>
    <s v="CENTCOM"/>
    <x v="2"/>
    <x v="30"/>
    <n v="9"/>
    <x v="5"/>
    <m/>
    <m/>
    <m/>
    <m/>
    <x v="0"/>
    <m/>
    <x v="1"/>
    <s v="JATE/Pabbi"/>
    <x v="1"/>
    <s v="Phase 1 of exercise Pabbi was an SCO Virtual Exercise; Phase 2 was an FTX between Chinese and Pakistani Army Special Forces in Rabbi Pakistan. Not clear if the Chinese forces were PLAA or PAP"/>
    <m/>
    <m/>
    <m/>
    <m/>
    <s v="https://www.outlookindia.com/website/story/world-news-pakistan-china-conduct-first-ever-joint-anti-terrorism-exercise-under-sco/396654; http://eng.sectsco.org/politics/20211004/786524.html; http://www.news.cn/english/2021-10/04/c_1310226471.htm"/>
    <s v="1st phase was multilateral SCO virtual anti-terrorism exercise; 2nd phase was physical BL exercise in Pakistani. Coded as BL exercise; not clear if PRC troops were PLA or PAP"/>
  </r>
  <r>
    <x v="2"/>
    <x v="0"/>
    <s v="Asia"/>
    <s v="All-Weather Strategic Cooperative Partnership [全天候战略合作伙伴关系]"/>
    <s v="Major Non-NATO Ally"/>
    <s v="CENTCOM"/>
    <x v="2"/>
    <x v="30"/>
    <n v="9"/>
    <x v="6"/>
    <m/>
    <m/>
    <m/>
    <m/>
    <x v="0"/>
    <m/>
    <x v="2"/>
    <s v="Shared-Destiny 2021"/>
    <x v="1"/>
    <s v="PKO activities with Pakistan, Mongolia, and Thailand"/>
    <m/>
    <m/>
    <m/>
    <m/>
    <s v="PLAAR 1-15 September 2021"/>
    <s v="Real exercise with on the ground troops in China"/>
  </r>
  <r>
    <x v="1"/>
    <x v="3"/>
    <s v="Europe and Central Asia"/>
    <s v="Comprehensive Strategic Partnership of Coordination in the New Era [新时代中俄全面战略协作伙伴关系]"/>
    <s v="None"/>
    <s v="EUCOM"/>
    <x v="7"/>
    <x v="30"/>
    <n v="9"/>
    <x v="7"/>
    <s v="Li Zuocheng"/>
    <m/>
    <s v="CMC/JSD Commander; CMC Member"/>
    <n v="8"/>
    <x v="1"/>
    <s v="TL meeting with Chairman Joint Chiefs of Staff Committee, General Nadeem Raza and Russian COGS General Valery Gerasimov"/>
    <x v="0"/>
    <m/>
    <x v="0"/>
    <m/>
    <m/>
    <m/>
    <m/>
    <m/>
    <s v="https://www.radio.gov.pk/25-09-2021/pakistan-attaches-great-importance-to-further-bilateral-cooperation-with-russia-china-cjcsc"/>
    <s v="TL Meeting on the Margins coded as separate BL meetings with PK and Russian counterparts"/>
  </r>
  <r>
    <x v="2"/>
    <x v="3"/>
    <s v="Europe and Central Asia"/>
    <s v="Member"/>
    <s v="None"/>
    <s v="CENTCOM"/>
    <x v="14"/>
    <x v="30"/>
    <n v="9"/>
    <x v="6"/>
    <m/>
    <m/>
    <m/>
    <m/>
    <x v="0"/>
    <m/>
    <x v="3"/>
    <s v="Peace Mission 2021"/>
    <x v="1"/>
    <s v="Held in Orenburg, Russia.  Focus on surveillance, forward defense, ground assault, division, and  encirclement. "/>
    <m/>
    <m/>
    <m/>
    <m/>
    <s v="PLAAR 1-15 September 2021, http://www.xinhuanet.com/politics/2019-03/18/c_1124247196.htm"/>
    <s v="a three-level command structure consisting of a joint exercise direction department [联合导演部], a joint counterterrorism command department [联合反恐集群指挥部], and real-soldier units"/>
  </r>
  <r>
    <x v="1"/>
    <x v="3"/>
    <s v="Europe and Central Asia"/>
    <s v="Member"/>
    <s v="None"/>
    <s v="CENTCOM"/>
    <x v="14"/>
    <x v="30"/>
    <n v="9"/>
    <x v="1"/>
    <s v="Li Zuocheng"/>
    <m/>
    <s v="CMC/JSD Commander; CMC Member"/>
    <n v="8"/>
    <x v="2"/>
    <s v="Sixth meeting of the SCO military chiefs of staff in Russia"/>
    <x v="0"/>
    <m/>
    <x v="0"/>
    <m/>
    <m/>
    <m/>
    <m/>
    <m/>
    <s v="PLAAR 16-30 September 2021, http://mod.gov.cn/diplomacy/2021-09/24/content_4895489.htm; http://eng.mod.gov.cn/news/2021-09/24/content_4895516.htm"/>
    <m/>
  </r>
  <r>
    <x v="2"/>
    <x v="1"/>
    <s v="Asia"/>
    <s v="All-Round Cooperative Partnership [全方合作伙伴关系]"/>
    <s v="None"/>
    <s v="INDOPACOM"/>
    <x v="39"/>
    <x v="30"/>
    <n v="9"/>
    <x v="5"/>
    <m/>
    <m/>
    <m/>
    <m/>
    <x v="0"/>
    <m/>
    <x v="2"/>
    <m/>
    <x v="2"/>
    <s v="pass-exercise; CUES; navigation training, helicopter landing, replenishment-at-sea training"/>
    <m/>
    <m/>
    <m/>
    <m/>
    <s v="PLAAR 16-30 September 2021, https://www.js7tv.cn/video/202109_258376.html, https://www.mindef.gov.sg/web/portal/navy/pressroom/articles/2021/22sep21_article?fbclid=IwAR3rVyBOM2CFa10EIiD2LEfBaE02_N7HXuKrIKsw_MABmcjotKViEfdoLGs"/>
    <m/>
  </r>
  <r>
    <x v="1"/>
    <x v="1"/>
    <s v="Asia"/>
    <s v="All-Round Cooperative Partnership [全方合作伙伴关系]"/>
    <s v="None"/>
    <s v="INDOPACOM"/>
    <x v="39"/>
    <x v="30"/>
    <n v="9"/>
    <x v="15"/>
    <s v="Shao Yuanming"/>
    <m/>
    <s v="CMC/JSD DCJS"/>
    <n v="5"/>
    <x v="4"/>
    <s v="Permanent Secretary of Defence"/>
    <x v="0"/>
    <m/>
    <x v="0"/>
    <m/>
    <m/>
    <m/>
    <m/>
    <m/>
    <s v="PLAAR 1-15 September 2021, https://www.mindef.gov.sg/web/portal/mindef/news-and-events/latest-releases/article-detail/2021/September/14sep21_nr2, http://mod.gov.cn/topnews/2021-09/15/content_4894878.htm"/>
    <s v="8th Defense Policy Dialogue; JSD/DCJS position downgraded so position weight adjusted; recoded as virtual; is this high enough level to include?  Have previous meetings been included?"/>
  </r>
  <r>
    <x v="1"/>
    <x v="8"/>
    <s v="Europe and Central Asia"/>
    <s v="Comprehensive Strategic Partnership [全面战略伙伴关系]"/>
    <s v="NATO"/>
    <s v="EUCOM"/>
    <x v="21"/>
    <x v="30"/>
    <n v="9"/>
    <x v="15"/>
    <s v="Li Zuocheng"/>
    <m/>
    <s v="CMC/JSD Commander; CMC Member"/>
    <n v="8"/>
    <x v="4"/>
    <s v="Chief of the Defence Staff"/>
    <x v="0"/>
    <m/>
    <x v="0"/>
    <m/>
    <m/>
    <m/>
    <m/>
    <m/>
    <s v="PLAAR 1-15 September 2021,  http://www.mod.gov.cn/topnews/2021-09/10/content_4894507.htm."/>
    <s v="video conference"/>
  </r>
  <r>
    <x v="1"/>
    <x v="10"/>
    <s v="America and Oceania"/>
    <s v="Comprehensive Strategic Partnership [全面战略伙伴关系]"/>
    <s v="Major Non-NATO Ally"/>
    <s v="SOUTHCOM"/>
    <x v="62"/>
    <x v="30"/>
    <n v="10"/>
    <x v="15"/>
    <s v="Wei Fenghe"/>
    <m/>
    <s v="Defense Minister; CMC Member"/>
    <n v="8"/>
    <x v="4"/>
    <s v="Minister of Defense"/>
    <x v="0"/>
    <m/>
    <x v="0"/>
    <m/>
    <m/>
    <m/>
    <m/>
    <m/>
    <s v="PLAAR 16-30 October 2021, https://www.argentina.gob.ar/noticias/taiana-mantuvo-una-reunion-bilateral-con-su-par-de-defensa-chino-para-dialogar-acerca-de-la, http://mod.gov.cn/topnews/2021-10/22/content_4897280.htm"/>
    <m/>
  </r>
  <r>
    <x v="1"/>
    <x v="4"/>
    <s v="Asia"/>
    <s v="N/A"/>
    <s v="None"/>
    <s v="INDOPACOM"/>
    <x v="161"/>
    <x v="30"/>
    <n v="10"/>
    <x v="16"/>
    <s v="Yang Xuejun"/>
    <m/>
    <s v="President, AMS"/>
    <n v="5"/>
    <x v="4"/>
    <m/>
    <x v="0"/>
    <m/>
    <x v="0"/>
    <m/>
    <m/>
    <m/>
    <m/>
    <m/>
    <s v="http://eng.chinamil.com.cn/view/2021-10/25/content_10103983.htm, http://eng.mod.gov.cn/news/2021-12/23/content_4901630.htm"/>
    <s v="Xiangshan Forum 2021"/>
  </r>
  <r>
    <x v="2"/>
    <x v="3"/>
    <s v="Europe and Central Asia"/>
    <s v="Comprehensive Strategic Partnership of Coordination in the New Era [新时代中俄全面战略协作伙伴关系]"/>
    <s v="None"/>
    <s v="EUCOM"/>
    <x v="7"/>
    <x v="30"/>
    <n v="10"/>
    <x v="5"/>
    <m/>
    <m/>
    <m/>
    <m/>
    <x v="0"/>
    <m/>
    <x v="3"/>
    <s v="Joint Sea 2021"/>
    <x v="2"/>
    <s v="Comms drills, mine destruction, maritime gunnery, joint-maneuvering; &quot;joint rocket and artillery firing at air targets, artillery firing at sea targets, joint anti-submarine operations with the practical use of weapons, joint blockade and joint rescue….Th"/>
    <m/>
    <m/>
    <m/>
    <m/>
    <s v="PLAAR 16-31 October 2021, https://news.usni.org/2021/10/25/russia-china-wrap-up-drills-off-japan-pledge-more-joint-exercises"/>
    <s v="Joint Exercise Direction Department; RECODED as COMBAT based on closer analysis of exercise activities"/>
  </r>
  <r>
    <x v="2"/>
    <x v="3"/>
    <s v="Europe and Central Asia"/>
    <s v="Comprehensive Strategic Partnership of Coordination in the New Era [新时代中俄全面战略协作伙伴关系]"/>
    <s v="None"/>
    <s v="EUCOM"/>
    <x v="7"/>
    <x v="30"/>
    <n v="10"/>
    <x v="5"/>
    <m/>
    <m/>
    <m/>
    <m/>
    <x v="0"/>
    <m/>
    <x v="9"/>
    <s v="Joint Maritime Cruise"/>
    <x v="2"/>
    <s v="Use of weapons, joint sailing and maneuvering"/>
    <m/>
    <m/>
    <m/>
    <m/>
    <s v="PLAAR 16-31 October 2021, http://mod.gov.cn/topnews/2021-10/23/content_4897177.htm"/>
    <s v="first joint maritime patrol; included because not a CBM."/>
  </r>
  <r>
    <x v="1"/>
    <x v="1"/>
    <s v="Asia"/>
    <s v="Comprehensive Strategic Partnership [全面战略伙伴关系]"/>
    <s v="None"/>
    <s v="INDOPACOM"/>
    <x v="8"/>
    <x v="30"/>
    <n v="11"/>
    <x v="15"/>
    <s v="Wei Fenghe"/>
    <m/>
    <s v="Defense Minister; CMC Member"/>
    <n v="8"/>
    <x v="4"/>
    <s v="Indonesian Minister of Defense Prabowo Subianto"/>
    <x v="0"/>
    <m/>
    <x v="0"/>
    <m/>
    <m/>
    <m/>
    <m/>
    <m/>
    <s v="http://english.chinamil.com.cn/view/2021-11/30/content_10111790.htm"/>
    <m/>
  </r>
  <r>
    <x v="1"/>
    <x v="0"/>
    <s v="Asia"/>
    <s v="All-Weather Strategic Cooperative Partnership [全天候战略合作伙伴关系]"/>
    <s v="Major Non-NATO Ally"/>
    <s v="CENTCOM"/>
    <x v="2"/>
    <x v="30"/>
    <n v="11"/>
    <x v="15"/>
    <m/>
    <m/>
    <s v="China Coast Guard"/>
    <n v="6"/>
    <x v="4"/>
    <m/>
    <x v="0"/>
    <m/>
    <x v="8"/>
    <m/>
    <m/>
    <m/>
    <m/>
    <m/>
    <s v="PLAAR 1-15 November 2021, http://www.news.cn/politics/2021-11/09/c_1128048026.htm"/>
    <s v="INCLUDE--called high-level meeting by source, but senior PRC participant not specified"/>
  </r>
  <r>
    <x v="1"/>
    <x v="3"/>
    <s v="Europe and Central Asia"/>
    <s v="Comprehensive Strategic Partnership of Coordination in the New Era [新时代中俄全面战略协作伙伴关系]"/>
    <s v="None"/>
    <s v="EUCOM"/>
    <x v="7"/>
    <x v="30"/>
    <n v="11"/>
    <x v="15"/>
    <s v="Wei Fenghe"/>
    <m/>
    <s v="Defense Minister; CMC Member"/>
    <n v="8"/>
    <x v="4"/>
    <s v="Russian Defense Minister"/>
    <x v="0"/>
    <m/>
    <x v="0"/>
    <m/>
    <m/>
    <m/>
    <m/>
    <m/>
    <s v="Regular Press Conference of the Ministry of National Defense on November 25 - Ministry of National Defense (mod.gov.cn)"/>
    <m/>
  </r>
  <r>
    <x v="2"/>
    <x v="3"/>
    <s v="Europe and Central Asia"/>
    <s v="Comprehensive Strategic Partnership of Coordination in the New Era [新时代中俄全面战略协作伙伴关系]"/>
    <s v="None"/>
    <s v="EUCOM"/>
    <x v="7"/>
    <x v="30"/>
    <n v="11"/>
    <x v="5"/>
    <m/>
    <m/>
    <m/>
    <m/>
    <x v="0"/>
    <m/>
    <x v="9"/>
    <s v="Joint Aerial Strategic Patrol 2021"/>
    <x v="5"/>
    <s v="&quot;joint strategic air patrol&quot;--two H-6K aircraft to form a joint formation with two Russian Tu-95MC aircraft over the Sea of Japan and the East China Sea. "/>
    <m/>
    <m/>
    <m/>
    <m/>
    <s v="http://eng.mod.gov.cn/focus/2021-11/26/content_4900240.htm, https://www.globaltimes.cn/page/202111/1239423.shtml; http://english.chinamil.com.cn/view/2021-11/19/content_10109351.htm"/>
    <s v="INCLUDE as joint patrol; externally motivated."/>
  </r>
  <r>
    <x v="1"/>
    <x v="1"/>
    <s v="Asia"/>
    <s v="Comprehensive Strategic Cooperative Partnership [全面战略合作伙伴关系]"/>
    <s v="None"/>
    <s v="INDOPACOM"/>
    <x v="23"/>
    <x v="30"/>
    <n v="11"/>
    <x v="15"/>
    <s v="Wang Zhongcai"/>
    <m/>
    <s v="CDR China Coast Guard"/>
    <n v="6"/>
    <x v="4"/>
    <s v="CDR Vietnam Coast Guard"/>
    <x v="0"/>
    <m/>
    <x v="0"/>
    <m/>
    <m/>
    <m/>
    <m/>
    <m/>
    <s v="http://english.chinamil.com.cn/view/2021-12/01/content_10111995.htm"/>
    <m/>
  </r>
  <r>
    <x v="1"/>
    <x v="4"/>
    <s v="Asia"/>
    <s v="Mutually Beneficial Strategic Relationship [战略互惠关系]"/>
    <s v="Bilateral Defense Treaty "/>
    <s v="INDOPACOM"/>
    <x v="83"/>
    <x v="30"/>
    <n v="12"/>
    <x v="15"/>
    <s v="Wei Fenghe"/>
    <m/>
    <s v="Defense Minister; CMC Member"/>
    <n v="8"/>
    <x v="4"/>
    <s v="Japanese Defense Minister Nobuo Kishi"/>
    <x v="0"/>
    <m/>
    <x v="0"/>
    <m/>
    <m/>
    <m/>
    <m/>
    <m/>
    <s v="https://www.globaltimes.cn/page/202112/1243528.shtml"/>
    <m/>
  </r>
  <r>
    <x v="2"/>
    <x v="1"/>
    <s v="Asia"/>
    <s v="Comprehensive Strategic Cooperative Partnership [全面战略合作伙伴关系]"/>
    <s v="None"/>
    <s v="INDOPACOM"/>
    <x v="23"/>
    <x v="30"/>
    <n v="12"/>
    <x v="5"/>
    <m/>
    <m/>
    <m/>
    <m/>
    <x v="0"/>
    <m/>
    <x v="2"/>
    <s v="Peace Rescue-2021"/>
    <x v="1"/>
    <s v="rescue, wounded treatment, joint military health service command, medical and pandemic training "/>
    <m/>
    <m/>
    <m/>
    <m/>
    <s v="PLA Activities Report 1-15 December 2021"/>
    <m/>
  </r>
  <r>
    <x v="1"/>
    <x v="8"/>
    <s v="Europe and Central Asia"/>
    <s v="Comprehensive Strategic Partnership [全面战略伙伴关系]"/>
    <s v="NATO"/>
    <s v="EUCOM"/>
    <x v="22"/>
    <x v="31"/>
    <n v="1"/>
    <x v="15"/>
    <s v="Shao Yuanming"/>
    <m/>
    <s v="CMC/JSD DCJS"/>
    <n v="5"/>
    <x v="4"/>
    <s v="MOD Deputy Director General for International Relations and Strategy"/>
    <x v="0"/>
    <m/>
    <x v="0"/>
    <m/>
    <m/>
    <m/>
    <m/>
    <m/>
    <s v="http://eng.chinamil.com.cn/CHINA_209163/TopStories_209189/10123265.html; http://mod.gov.cn/topnews/2022-01/12/content_4902848.htm"/>
    <s v="16th Strategic consultation"/>
  </r>
  <r>
    <x v="2"/>
    <x v="9"/>
    <s v="West Asia and Africa"/>
    <s v="Comprehensive Strategic Partnership [全面战略伙伴关系]"/>
    <s v="None"/>
    <s v="CENTCOM"/>
    <x v="89"/>
    <x v="31"/>
    <n v="1"/>
    <x v="6"/>
    <m/>
    <m/>
    <m/>
    <m/>
    <x v="0"/>
    <m/>
    <x v="4"/>
    <s v="Marine Security Belt 2022"/>
    <x v="2"/>
    <s v="Urumqi guided-missile destroyer , supply ship Taihu, ship-borne helicopters, and 40 members of the Marine Corps; engaging targets, formation manevuers, light signal communications, nighttime navigation; 10 Iran ships; 3 Russian ships"/>
    <m/>
    <m/>
    <m/>
    <m/>
    <s v="http://eng.mod.gov.cn/news/2022-01/20/content_4903350.htm; http://mod.gov.cn/topnews/2022-01/20/content_4903339.htm; https://www.81.cn/jfjbmap/content/2022-01/22/content_307984.htm; https://www.fdd.org/analysis/2022/02/08/china-russia-iran-hold-trilateral"/>
    <s v="Not enough combat related acty to classify as combat; unclear if there was any live fire. Very basic exercise."/>
  </r>
  <r>
    <x v="1"/>
    <x v="5"/>
    <s v="America and Oceania"/>
    <s v="Comprehensive Strategic Partnership [全面战略伙伴关系]"/>
    <s v="ANZUS Treaty"/>
    <s v="INDOPACOM"/>
    <x v="13"/>
    <x v="31"/>
    <n v="1"/>
    <x v="15"/>
    <s v="Li Zuocheng"/>
    <m/>
    <s v="CMC/JSD Commander; CMC Member"/>
    <n v="8"/>
    <x v="4"/>
    <s v="Chief of NZ Defense Force"/>
    <x v="0"/>
    <m/>
    <x v="0"/>
    <s v=" "/>
    <m/>
    <m/>
    <m/>
    <m/>
    <s v=" http://english.chinamil.com.cn/view/2022-01/19/content_10124662.htm; http://mod.gov.cn/diplomacy/2022-01/19/content_4903267.htm; "/>
    <s v=" "/>
  </r>
  <r>
    <x v="1"/>
    <x v="9"/>
    <s v="West Asia and Africa"/>
    <s v="Comprehensive Strategic Partnership [全面战略伙伴关系]"/>
    <s v="None"/>
    <s v="CENTCOM"/>
    <x v="142"/>
    <x v="31"/>
    <n v="1"/>
    <x v="15"/>
    <s v="Wei Fenghe"/>
    <m/>
    <s v="Defense Minister; CMC Member"/>
    <n v="8"/>
    <x v="4"/>
    <s v="Prince Khalid bin Salman Al Saud, Saudi Arabia's Deputy Defense Minister"/>
    <x v="0"/>
    <m/>
    <x v="0"/>
    <m/>
    <m/>
    <m/>
    <m/>
    <m/>
    <s v="http://eng.mod.gov.cn/news/2022-01/26/content_4903623.htm; http://english.chinamil.com.cn/view/2022-01/26/content_10126627.htm; http://www.mod.gov.cn/topnews/2022-01/26/content_4903604.htm"/>
    <s v=" "/>
  </r>
  <r>
    <x v="1"/>
    <x v="8"/>
    <s v="Europe and Central Asia"/>
    <s v="Comprehensive Strategic Partnership [全面战略伙伴关系]"/>
    <s v="NATO"/>
    <s v="EUCOM"/>
    <x v="21"/>
    <x v="31"/>
    <n v="1"/>
    <x v="15"/>
    <s v="Shao Yuanming"/>
    <m/>
    <s v="CMC/JSD DCJS"/>
    <n v="5"/>
    <x v="4"/>
    <s v="UK MOD director general of security policy "/>
    <x v="0"/>
    <m/>
    <x v="0"/>
    <m/>
    <m/>
    <m/>
    <m/>
    <m/>
    <s v="http://eng.mod.gov.cn/news/2022-01/12/content_4902851.htm; http://mod.gov.cn/topnews/2022-01/13/content_4902920.htm"/>
    <s v="8th defense policy dialogue"/>
  </r>
  <r>
    <x v="1"/>
    <x v="1"/>
    <s v="Asia "/>
    <s v="Comprehensive Strategic Cooperative Partnership [全面战略合作伙伴关系]"/>
    <s v="None"/>
    <s v="INDOPACOM"/>
    <x v="94"/>
    <x v="31"/>
    <n v="3"/>
    <x v="15"/>
    <s v="Liu Zhenli"/>
    <m/>
    <s v="PLAA Commander"/>
    <n v="8"/>
    <x v="4"/>
    <s v="Lieutenant General Hun Manet, Deputy Commander-in-Chief, Royal Cambodian Armed Forces (RCAF) and Commander, Royal Cambodian Army"/>
    <x v="0"/>
    <m/>
    <x v="0"/>
    <m/>
    <m/>
    <m/>
    <m/>
    <m/>
    <s v="https://eacnews.asia/home/details/11053; http://www.mod.gov.cn/jzhzt/2022-03/31/content_4908118.htm; http://eng.mod.gov.cn/xb/Home/Focus/4908385.html"/>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79">
  <r>
    <s v="Naval Port Call"/>
    <s v="South Asia"/>
    <s v="Asia"/>
    <s v="No Specific Relationship"/>
    <s v="None"/>
    <s v="INDOPACOM"/>
    <s v="Bangladesh"/>
    <x v="0"/>
    <n v="11"/>
    <x v="0"/>
    <m/>
    <m/>
    <m/>
    <m/>
    <m/>
    <m/>
    <m/>
    <m/>
    <m/>
    <m/>
    <s v="NETF"/>
    <s v="1985-11  DD132 Hefei"/>
    <s v="East Sea Fleet"/>
    <s v="Hefei-132 and Fengcang-615"/>
  </r>
  <r>
    <s v="Naval Port Call"/>
    <s v="Southeast Asia"/>
    <s v="Asia"/>
    <s v="No Specific Relationship"/>
    <s v="None"/>
    <s v="INDOPACOM"/>
    <s v="Myanmar"/>
    <x v="0"/>
    <n v="11"/>
    <x v="0"/>
    <m/>
    <m/>
    <m/>
    <m/>
    <m/>
    <m/>
    <m/>
    <m/>
    <m/>
    <m/>
    <s v="NETF"/>
    <n v="1985"/>
    <s v="Unknown"/>
    <s v="???"/>
  </r>
  <r>
    <s v="Naval Port Call"/>
    <s v="South Asia"/>
    <s v="Asia"/>
    <s v="No Specific Relationship"/>
    <s v="Major Non-NATO Ally"/>
    <s v="CENTCOM"/>
    <s v="Pakistan"/>
    <x v="0"/>
    <n v="11"/>
    <x v="0"/>
    <m/>
    <m/>
    <m/>
    <m/>
    <m/>
    <m/>
    <m/>
    <m/>
    <m/>
    <m/>
    <s v="NETF"/>
    <s v="1985-11  DD132 Hefei"/>
    <s v="East Sea Fleet"/>
    <s v="Hefei-132 and Fengcang-615"/>
  </r>
  <r>
    <s v="Naval Port Call"/>
    <s v="South Asia"/>
    <s v="Asia"/>
    <s v="No Specific Relationship"/>
    <s v="None"/>
    <s v="INDOPACOM"/>
    <s v="Sri Lanka"/>
    <x v="0"/>
    <n v="11"/>
    <x v="0"/>
    <m/>
    <m/>
    <m/>
    <m/>
    <m/>
    <m/>
    <m/>
    <m/>
    <m/>
    <m/>
    <s v="NETF"/>
    <s v="1985-11  DD132 Hefei"/>
    <s v="East Sea Fleet"/>
    <s v="Hefei-132 and Fengcang-615"/>
  </r>
  <r>
    <s v="Naval Port Call"/>
    <s v="North America"/>
    <s v="America and Oceania"/>
    <s v="No Specific Relationship"/>
    <s v="N/A"/>
    <s v="NORTHCOM"/>
    <s v="United States"/>
    <x v="1"/>
    <n v="3"/>
    <x v="0"/>
    <m/>
    <m/>
    <m/>
    <m/>
    <m/>
    <m/>
    <m/>
    <m/>
    <m/>
    <m/>
    <s v="NETF"/>
    <s v="1989-03 Zhenghe"/>
    <s v="North Sea Fleet"/>
    <s v="Zhenghe training ship"/>
  </r>
  <r>
    <s v="Naval Port Call"/>
    <s v="Southeast Asia"/>
    <s v="Asia"/>
    <s v="No Specific Relationship"/>
    <s v="Bilateral Defense Treaty"/>
    <s v="INDOPACOM"/>
    <s v="Thailand"/>
    <x v="2"/>
    <n v="3"/>
    <x v="0"/>
    <m/>
    <m/>
    <m/>
    <m/>
    <m/>
    <m/>
    <m/>
    <m/>
    <m/>
    <m/>
    <s v="NETF"/>
    <s v="1990-03 Zhenghe"/>
    <s v="North Sea Fleet"/>
    <s v="Zhenghe training ship"/>
  </r>
  <r>
    <s v="Naval Port Call"/>
    <s v="South Asia"/>
    <s v="Asia"/>
    <s v="No Specific Relationship"/>
    <s v="None"/>
    <s v="INDOPACOM"/>
    <s v="Bangladesh"/>
    <x v="3"/>
    <n v="10"/>
    <x v="0"/>
    <m/>
    <m/>
    <m/>
    <m/>
    <m/>
    <m/>
    <m/>
    <m/>
    <m/>
    <m/>
    <s v="NETF"/>
    <s v="1993-10 Zhenghe"/>
    <s v="North Sea Fleet"/>
    <s v="Zhenghe training ship"/>
  </r>
  <r>
    <s v="Naval Port Call"/>
    <s v="South Asia"/>
    <s v="Asia"/>
    <s v="No Specific Relationship"/>
    <s v="None"/>
    <s v="INDOPACOM"/>
    <s v="India"/>
    <x v="3"/>
    <n v="10"/>
    <x v="0"/>
    <m/>
    <m/>
    <m/>
    <m/>
    <m/>
    <m/>
    <m/>
    <m/>
    <m/>
    <m/>
    <s v="NETF"/>
    <s v="1993-10 Zhenghe"/>
    <s v="North Sea Fleet"/>
    <s v="Zhenghe training ship"/>
  </r>
  <r>
    <s v="Naval Port Call"/>
    <s v="South Asia"/>
    <s v="Asia"/>
    <s v="No Specific Relationship"/>
    <s v="Major Non-NATO Ally"/>
    <s v="CENTCOM"/>
    <s v="Pakistan"/>
    <x v="3"/>
    <n v="10"/>
    <x v="0"/>
    <m/>
    <m/>
    <m/>
    <m/>
    <m/>
    <m/>
    <m/>
    <m/>
    <m/>
    <m/>
    <s v="NETF"/>
    <s v="1993-10 Zhenghe"/>
    <s v="North Sea Fleet"/>
    <s v="Zhenghe training ship"/>
  </r>
  <r>
    <s v="Naval Port Call"/>
    <s v="Southeast Asia"/>
    <s v="Asia"/>
    <s v="No Specific Relationship"/>
    <s v="Bilateral Defense Treaty"/>
    <s v="INDOPACOM"/>
    <s v="Thailand"/>
    <x v="3"/>
    <n v="10"/>
    <x v="0"/>
    <m/>
    <m/>
    <m/>
    <m/>
    <m/>
    <m/>
    <m/>
    <m/>
    <m/>
    <m/>
    <s v="NETF"/>
    <s v="1993-10 Zhenghe"/>
    <s v="North Sea Fleet"/>
    <s v="Zhenghe training ship"/>
  </r>
  <r>
    <s v="Naval Port Call"/>
    <s v="Russia"/>
    <s v="Europe and Central Asia"/>
    <s v="No Specific Relationship"/>
    <s v="None"/>
    <s v="EUCOM"/>
    <s v="Russia"/>
    <x v="4"/>
    <n v="5"/>
    <x v="0"/>
    <m/>
    <m/>
    <m/>
    <m/>
    <m/>
    <m/>
    <m/>
    <m/>
    <m/>
    <m/>
    <s v="NETF"/>
    <s v="1994-05 DD166 Zhuhai"/>
    <s v="All"/>
    <s v="Dajiang Sub Tender Changxingdao 121, Luda-II destroyer Zhuhai 166, and Jiangwei frigate Huainan 540"/>
  </r>
  <r>
    <s v="Naval Port Call"/>
    <s v="Southeast Asia"/>
    <s v="Asia"/>
    <s v="No Specific Relationship"/>
    <s v="None"/>
    <s v="INDOPACOM"/>
    <s v="Indonesia"/>
    <x v="5"/>
    <n v="8"/>
    <x v="0"/>
    <m/>
    <m/>
    <m/>
    <m/>
    <m/>
    <m/>
    <m/>
    <m/>
    <m/>
    <m/>
    <s v="NETF"/>
    <s v="1995-08 DD166 Zhuhai"/>
    <s v="All"/>
    <s v="Luda-II destroyer Zhuhai 166, Jiangwei frigate Huainan 540, and one replenishment ship"/>
  </r>
  <r>
    <s v="Naval Port Call"/>
    <s v="Russia"/>
    <s v="Europe and Central Asia"/>
    <s v="No Specific Relationship"/>
    <s v="None"/>
    <s v="EUCOM"/>
    <s v="Russia"/>
    <x v="5"/>
    <n v="8"/>
    <x v="0"/>
    <m/>
    <m/>
    <m/>
    <m/>
    <m/>
    <m/>
    <m/>
    <m/>
    <m/>
    <m/>
    <s v="NETF"/>
    <s v="1995-08 FFG541 Huaibei"/>
    <s v="East Sea Fleet"/>
    <s v="Jiangwei frigate Huaibei 541"/>
  </r>
  <r>
    <s v="Naval Port Call"/>
    <s v="Northeast Asia"/>
    <s v="Asia"/>
    <s v="Bilateral Defense Treaty"/>
    <s v="None"/>
    <s v="INDOPACOM"/>
    <s v="North Korea"/>
    <x v="6"/>
    <n v="7"/>
    <x v="0"/>
    <m/>
    <m/>
    <m/>
    <m/>
    <m/>
    <m/>
    <m/>
    <m/>
    <m/>
    <m/>
    <s v="NETF"/>
    <s v="1996-07 DD112 Harbin"/>
    <s v="North Sea Fleet"/>
    <s v="Luhu destroyer Harbin 112 and Luda destroyer Xining 108"/>
  </r>
  <r>
    <s v="Naval Port Call"/>
    <s v="Russia"/>
    <s v="Europe and Central Asia"/>
    <s v="Strategic Partnership of Coordination [战略协作伙伴关系]"/>
    <s v="None"/>
    <s v="EUCOM"/>
    <s v="Russia"/>
    <x v="6"/>
    <n v="7"/>
    <x v="0"/>
    <m/>
    <m/>
    <m/>
    <m/>
    <m/>
    <m/>
    <m/>
    <m/>
    <m/>
    <m/>
    <s v="NETF"/>
    <s v="1996-07 DD112 Harbin"/>
    <s v="North Sea Fleet"/>
    <s v="Luhu destroyer Harbin 112"/>
  </r>
  <r>
    <s v="Naval Port Call"/>
    <s v="Southeast Asia"/>
    <s v="Asia"/>
    <s v="No Specific Relationship"/>
    <s v="None"/>
    <s v="INDOPACOM"/>
    <s v="Malaysia"/>
    <x v="7"/>
    <n v="2"/>
    <x v="0"/>
    <m/>
    <m/>
    <m/>
    <m/>
    <m/>
    <m/>
    <m/>
    <m/>
    <m/>
    <m/>
    <s v="NETF"/>
    <s v="1997-02 DDG113 Qingdao"/>
    <s v="North Sea Fleet"/>
    <s v="Luhu destroyer Qingdao 113, Jiangwei frigate Tongqing 542"/>
  </r>
  <r>
    <s v="Naval Port Call"/>
    <s v="Southeast Asia"/>
    <s v="Asia"/>
    <s v="No Specific Relationship"/>
    <s v="Bilateral Defense Treaty"/>
    <s v="INDOPACOM"/>
    <s v="Philippines"/>
    <x v="7"/>
    <n v="2"/>
    <x v="0"/>
    <m/>
    <m/>
    <m/>
    <m/>
    <m/>
    <m/>
    <m/>
    <m/>
    <m/>
    <m/>
    <s v="NETF"/>
    <s v="1997-02 DDG113 Qingdao"/>
    <s v="North Sea Fleet"/>
    <s v="Luhu destroyer Qingdao 113, Jiangwei frigate Tongqing 542"/>
  </r>
  <r>
    <s v="Naval Port Call"/>
    <s v="Southeast Asia"/>
    <s v="Asia"/>
    <s v="No Specific Relationship"/>
    <s v="Bilateral Defense Treaty"/>
    <s v="INDOPACOM"/>
    <s v="Thailand"/>
    <x v="7"/>
    <n v="2"/>
    <x v="0"/>
    <m/>
    <m/>
    <m/>
    <m/>
    <m/>
    <m/>
    <m/>
    <m/>
    <m/>
    <m/>
    <s v="NETF"/>
    <s v="1997-02 DDG113 Qingdao"/>
    <s v="North Sea Fleet"/>
    <s v="Luhu destroyer Qingdao 113, Jiangwei frigate Tongqing 542"/>
  </r>
  <r>
    <s v="Naval Port Call"/>
    <s v="North America"/>
    <s v="America and Oceania"/>
    <s v="No Specific Relationship"/>
    <s v="N/A"/>
    <s v="NORTHCOM"/>
    <s v="United States"/>
    <x v="7"/>
    <n v="2"/>
    <x v="0"/>
    <m/>
    <m/>
    <m/>
    <m/>
    <m/>
    <m/>
    <m/>
    <m/>
    <m/>
    <m/>
    <s v="NETF"/>
    <s v="1997-02 DD112 Harbin"/>
    <s v="All"/>
    <s v="Luhu destroyer Harbin 112, Luda-II destroyer Zhuhai 166, Replenishment ship Nancang 953"/>
  </r>
  <r>
    <s v="Naval Port Call"/>
    <s v="Oceania"/>
    <s v="America and Oceania"/>
    <s v="No Specific Relationship"/>
    <s v="ANZUS Treaty"/>
    <s v="INDOPACOM"/>
    <s v="Australia"/>
    <x v="8"/>
    <n v="4"/>
    <x v="0"/>
    <m/>
    <m/>
    <m/>
    <m/>
    <m/>
    <m/>
    <m/>
    <m/>
    <m/>
    <m/>
    <s v="NETF"/>
    <s v="1998-04 DDG113 Qingdao"/>
    <s v="North Sea Fleet"/>
    <s v="Luhu destroyer Qingdao 113, Training Ship Shichang 82, Replenishment ship Nancang 953 (PI - Qingdao only)"/>
  </r>
  <r>
    <s v="Naval Port Call"/>
    <s v="Oceania"/>
    <s v="America and Oceania"/>
    <s v="No Specific Relationship"/>
    <s v="ANZUS Treaty"/>
    <s v="INDOPACOM"/>
    <s v="New Zealand"/>
    <x v="8"/>
    <n v="4"/>
    <x v="0"/>
    <m/>
    <m/>
    <m/>
    <m/>
    <m/>
    <m/>
    <m/>
    <m/>
    <m/>
    <m/>
    <s v="NETF"/>
    <s v="1998-04 DDG113 Qingdao"/>
    <s v="North Sea Fleet"/>
    <s v="Luhu destroyer Qingdao 113, Training Ship Shichang 82, Replenishment ship Nancang 953 (PI - Qingdao only)"/>
  </r>
  <r>
    <s v="Naval Port Call"/>
    <s v="Southeast Asia"/>
    <s v="Asia"/>
    <s v="No Specific Relationship"/>
    <s v="Bilateral Defense Treaty"/>
    <s v="INDOPACOM"/>
    <s v="Philippines"/>
    <x v="8"/>
    <n v="4"/>
    <x v="0"/>
    <m/>
    <m/>
    <m/>
    <m/>
    <m/>
    <m/>
    <m/>
    <m/>
    <m/>
    <m/>
    <s v="NETF"/>
    <s v="1998-04 DDG113 Qingdao"/>
    <s v="North Sea Fleet"/>
    <s v="Luhu destroyer Qingdao 113, Training Ship Shichang 82, Replenishment ship Nancang 953 (PI - Qingdao only)"/>
  </r>
  <r>
    <s v="Senior Level Visit"/>
    <s v="Central Asia"/>
    <s v="Europe and Central Asia"/>
    <s v="Member"/>
    <s v="None"/>
    <s v="CENTCOM"/>
    <s v="SCO"/>
    <x v="9"/>
    <n v="3"/>
    <x v="1"/>
    <s v="Chi Haotian"/>
    <m/>
    <s v="Defense Minister; CMC Member"/>
    <n v="8"/>
    <s v="Abroad"/>
    <s v="Shanghai Five Ministers' of Defense Summit in Astana; Other countries: Kazakhstan, Kyrgyzstan, Tajikistan, Russia"/>
    <m/>
    <m/>
    <m/>
    <m/>
    <m/>
    <m/>
    <m/>
    <m/>
  </r>
  <r>
    <s v="Naval Port Call"/>
    <s v="Southeast Asia"/>
    <s v="Asia"/>
    <s v="Strategic Cooperative Partnership [战略合作伙伴关系]"/>
    <s v="None"/>
    <s v="INDOPACOM"/>
    <s v="Malaysia"/>
    <x v="9"/>
    <n v="7"/>
    <x v="0"/>
    <m/>
    <m/>
    <m/>
    <m/>
    <m/>
    <m/>
    <m/>
    <m/>
    <m/>
    <m/>
    <s v="NETF"/>
    <s v="2002-07 DD167 Shenzhen"/>
    <s v="South Sea Fleet"/>
    <s v="Luhai destroyer Shenzhen 167, Replenishment ship Nancang 953"/>
  </r>
  <r>
    <s v="Naval Port Call"/>
    <s v="Africa"/>
    <s v="West Asia and Africa"/>
    <s v="No Specific Relationship"/>
    <s v="None"/>
    <s v="AFRICOM"/>
    <s v="South Africa"/>
    <x v="9"/>
    <n v="7"/>
    <x v="0"/>
    <m/>
    <m/>
    <m/>
    <m/>
    <m/>
    <m/>
    <m/>
    <m/>
    <m/>
    <m/>
    <s v="NETF"/>
    <s v="2002-07 DD167 Shenzhen"/>
    <s v="South Sea Fleet"/>
    <s v="Luhai destroyer Shenzhen 167, Replenishment ship Nancang 953"/>
  </r>
  <r>
    <s v="Naval Port Call"/>
    <s v="Africa"/>
    <s v="West Asia and Africa"/>
    <s v="No Specific Relationship"/>
    <s v="None"/>
    <s v="AFRICOM"/>
    <s v="Tanzania"/>
    <x v="9"/>
    <n v="7"/>
    <x v="0"/>
    <m/>
    <m/>
    <m/>
    <m/>
    <m/>
    <m/>
    <m/>
    <m/>
    <m/>
    <m/>
    <s v="NETF"/>
    <s v="2002-07 DD167 Shenzhen"/>
    <s v="South Sea Fleet"/>
    <s v="Luhai destroyer Shenzhen 167, Replenishment ship Nancang 953"/>
  </r>
  <r>
    <s v="Naval Port Call"/>
    <s v="North America"/>
    <s v="America and Oceania"/>
    <s v="Comprehensive Partnership [全面伙伴关系]"/>
    <s v="NATO"/>
    <s v="NORTHCOM"/>
    <s v="Canada"/>
    <x v="9"/>
    <n v="8"/>
    <x v="0"/>
    <m/>
    <m/>
    <m/>
    <m/>
    <m/>
    <m/>
    <m/>
    <m/>
    <m/>
    <m/>
    <s v="NETF"/>
    <s v="2000-08 DDG113 Qingdao"/>
    <s v="North Sea Fleet"/>
    <s v="Luhu destroyer Qingdao 113, replenishment ship Taicang 575"/>
  </r>
  <r>
    <s v="Naval Port Call"/>
    <s v="North America"/>
    <s v="America and Oceania"/>
    <s v="No Specific Relationship"/>
    <s v="N/A"/>
    <s v="NORTHCOM"/>
    <s v="United States"/>
    <x v="9"/>
    <n v="8"/>
    <x v="0"/>
    <m/>
    <m/>
    <m/>
    <m/>
    <m/>
    <m/>
    <m/>
    <m/>
    <m/>
    <m/>
    <s v="NETF"/>
    <s v="2002-08 DDG113 Qingdao"/>
    <s v="North Sea Fleet"/>
    <s v="Luhu destroyer Qingdao 113, replenishment ship Taicang 575"/>
  </r>
  <r>
    <s v="Naval Port Call"/>
    <s v="South Asia"/>
    <s v="Asia"/>
    <s v="No Specific Relationship"/>
    <s v="None"/>
    <s v="INDOPACOM"/>
    <s v="India"/>
    <x v="10"/>
    <n v="5"/>
    <x v="0"/>
    <m/>
    <m/>
    <m/>
    <m/>
    <m/>
    <m/>
    <m/>
    <m/>
    <m/>
    <m/>
    <s v="NETF"/>
    <s v="2001-05 DD112 Harbin"/>
    <s v="North Sea Fleet"/>
    <s v="Luhu destroyer Harbin 112, replenishment ship Taicang 575"/>
  </r>
  <r>
    <s v="Naval Port Call"/>
    <s v="South Asia"/>
    <s v="Asia"/>
    <s v="Strategic Partnership [战略伙伴关系]"/>
    <s v="Major Non-NATO Ally"/>
    <s v="CENTCOM"/>
    <s v="Pakistan"/>
    <x v="10"/>
    <n v="5"/>
    <x v="0"/>
    <m/>
    <m/>
    <m/>
    <m/>
    <m/>
    <m/>
    <m/>
    <m/>
    <m/>
    <m/>
    <s v="NETF"/>
    <s v="2001-05 DD112 Harbin"/>
    <s v="North Sea Fleet"/>
    <s v="Luhu destroyer Harbin 112, replenishment ship Taicang 575"/>
  </r>
  <r>
    <s v="Senior Level Visit"/>
    <s v="Central Asia"/>
    <s v="Europe and Central Asia"/>
    <s v="Member"/>
    <s v="None"/>
    <s v="CENTCOM"/>
    <s v="SCO"/>
    <x v="10"/>
    <n v="6"/>
    <x v="2"/>
    <s v="Chi Haotian"/>
    <m/>
    <s v="Defense Minister; CMC Member"/>
    <n v="8"/>
    <s v="Hosted"/>
    <s v="First official meeting of the SCO Ministers' of Defense in Shanghai; Other countries: Kazakhstan, Kyrgyztan, Russia, Tajikistan, Uzbekistan"/>
    <m/>
    <m/>
    <m/>
    <m/>
    <m/>
    <m/>
    <m/>
    <m/>
  </r>
  <r>
    <s v="Naval Port Call"/>
    <s v="Europe"/>
    <s v="Europe and Central Asia"/>
    <s v="No Specific Relationship"/>
    <s v="NATO"/>
    <s v="EUCOM"/>
    <s v="Germany"/>
    <x v="10"/>
    <n v="8"/>
    <x v="0"/>
    <m/>
    <m/>
    <m/>
    <m/>
    <m/>
    <m/>
    <m/>
    <m/>
    <m/>
    <m/>
    <s v="NETF"/>
    <s v="2001-08 DD167 Shenzhen"/>
    <s v="South Sea Fleet"/>
    <s v="Luhai destroyer Shenzhen 167, replenishment ship Fengcang 615"/>
  </r>
  <r>
    <s v="Naval Port Call"/>
    <s v="Northeast Asia"/>
    <s v="Asia"/>
    <s v="N/A"/>
    <s v="None"/>
    <s v="INDOPACOM"/>
    <s v="Hong Kong"/>
    <x v="10"/>
    <n v="8"/>
    <x v="0"/>
    <m/>
    <m/>
    <m/>
    <m/>
    <m/>
    <m/>
    <m/>
    <m/>
    <m/>
    <m/>
    <s v="NETF"/>
    <s v="2001-08 DD167 Shenzhen"/>
    <s v="South Sea Fleet"/>
    <s v="Luhai destroyer Shenzhen 167, replenishment ship Fengcang 615"/>
  </r>
  <r>
    <s v="Naval Port Call"/>
    <s v="Europe"/>
    <s v="Europe and Central Asia"/>
    <s v="No Specific Relationship"/>
    <s v="NATO"/>
    <s v="EUCOM"/>
    <s v="Italy"/>
    <x v="10"/>
    <n v="8"/>
    <x v="0"/>
    <m/>
    <m/>
    <m/>
    <m/>
    <m/>
    <m/>
    <m/>
    <m/>
    <m/>
    <m/>
    <s v="NETF"/>
    <s v="2001-08 DD167 Shenzhen"/>
    <s v="South Sea Fleet"/>
    <s v="Luhai destroyer Shenzhen 167, replenishment ship Fengcang 615"/>
  </r>
  <r>
    <s v="Naval Port Call"/>
    <s v="Europe"/>
    <s v="Europe and Central Asia"/>
    <s v="No Specific Relationship"/>
    <s v="NATO"/>
    <s v="EUCOM"/>
    <s v="United Kingdom"/>
    <x v="10"/>
    <n v="8"/>
    <x v="0"/>
    <m/>
    <m/>
    <m/>
    <m/>
    <m/>
    <m/>
    <m/>
    <m/>
    <m/>
    <m/>
    <s v="NETF"/>
    <s v="2001-08 DD167 Shenzhen"/>
    <s v="South Sea Fleet"/>
    <s v="Luhai destroyer Shenzhen 167, replenishment ship Fengcang 615"/>
  </r>
  <r>
    <s v="Naval Port Call"/>
    <s v="Oceania"/>
    <s v="America and Oceania"/>
    <s v="No Specific Relationship"/>
    <s v="ANZUS Treaty"/>
    <s v="INDOPACOM"/>
    <s v="Australia"/>
    <x v="10"/>
    <n v="9"/>
    <x v="0"/>
    <m/>
    <m/>
    <m/>
    <m/>
    <m/>
    <m/>
    <m/>
    <m/>
    <m/>
    <m/>
    <s v="NETF"/>
    <s v="2001-09 FF564 Yichang"/>
    <s v="South Sea Fleet"/>
    <s v="Jiangwei frigate Yichang 564, replenishment ship Taicang 575"/>
  </r>
  <r>
    <s v="Naval Port Call"/>
    <s v="Europe"/>
    <s v="Europe "/>
    <s v="No Specific Relationship"/>
    <s v="NATO"/>
    <s v="EUCOM"/>
    <s v="France"/>
    <x v="10"/>
    <n v="9"/>
    <x v="0"/>
    <m/>
    <m/>
    <m/>
    <m/>
    <m/>
    <m/>
    <m/>
    <m/>
    <m/>
    <m/>
    <s v="NETF"/>
    <m/>
    <m/>
    <m/>
  </r>
  <r>
    <s v="Naval Port Call"/>
    <s v="Oceania"/>
    <s v="America and Oceania"/>
    <s v="No Specific Relationship"/>
    <s v="ANZUS Treaty"/>
    <s v="INDOPACOM"/>
    <s v="New Zealand"/>
    <x v="10"/>
    <n v="9"/>
    <x v="0"/>
    <m/>
    <m/>
    <m/>
    <m/>
    <m/>
    <m/>
    <m/>
    <m/>
    <m/>
    <m/>
    <s v="NETF"/>
    <s v="2001-09 FF564 Yichang"/>
    <s v="South Sea Fleet"/>
    <s v="Jiangwei frigate Yichang 564, replenishment ship Taicang 575"/>
  </r>
  <r>
    <s v="Naval Port Call"/>
    <s v="Southeast Asia"/>
    <s v="Asia"/>
    <s v="No Specific Relationship"/>
    <s v="None"/>
    <s v="INDOPACOM"/>
    <s v="Vietnam"/>
    <x v="10"/>
    <n v="11"/>
    <x v="0"/>
    <m/>
    <m/>
    <m/>
    <m/>
    <m/>
    <m/>
    <m/>
    <m/>
    <m/>
    <m/>
    <s v="NETF"/>
    <s v="2001-11 FF565 Yulin"/>
    <s v="South Sea Fleet"/>
    <s v="Jiangwei frigate Yulin 565"/>
  </r>
  <r>
    <s v="Senior Level Visit"/>
    <s v="Middle East"/>
    <s v="West Asia and Africa"/>
    <s v="Strategic Cooperative Partnership [战略合作伙伴关系]"/>
    <s v="Major Non-NATO Ally"/>
    <s v="CENTCOM"/>
    <s v="Egypt"/>
    <x v="11"/>
    <n v="1"/>
    <x v="3"/>
    <s v="Xiong Guangkai"/>
    <m/>
    <s v="GSD DCGS"/>
    <n v="6"/>
    <s v="Hosted"/>
    <s v="Major General"/>
    <m/>
    <m/>
    <m/>
    <m/>
    <m/>
    <m/>
    <m/>
    <m/>
  </r>
  <r>
    <s v="Senior Level Visit"/>
    <s v="Southeast Asia"/>
    <s v="Asia"/>
    <s v="No Specific Relationship"/>
    <s v="None"/>
    <s v="INDOPACOM"/>
    <s v="Indonesia"/>
    <x v="11"/>
    <n v="1"/>
    <x v="3"/>
    <s v="Chi Haotian"/>
    <m/>
    <s v="Defense Minister; CMC Member"/>
    <n v="8"/>
    <s v="Hosted"/>
    <s v="Navy Chief of Staff"/>
    <m/>
    <m/>
    <m/>
    <m/>
    <m/>
    <m/>
    <m/>
    <m/>
  </r>
  <r>
    <s v="Senior Level Visit"/>
    <s v="South Asia"/>
    <s v="Asia"/>
    <s v="Strategic Partnership [战略伙伴关系]"/>
    <s v="Major Non-NATO Ally"/>
    <s v="CENTCOM"/>
    <s v="Pakistan"/>
    <x v="11"/>
    <n v="1"/>
    <x v="3"/>
    <s v="Zhang Wannian"/>
    <m/>
    <s v="CMC Vice Chairman"/>
    <n v="10"/>
    <s v="Hosted"/>
    <s v="CJCS General Muhammad Aziz Khan"/>
    <m/>
    <m/>
    <m/>
    <m/>
    <m/>
    <m/>
    <m/>
    <m/>
  </r>
  <r>
    <s v="Senior Level Visit"/>
    <s v="Northeast Asia"/>
    <s v="Asia"/>
    <s v="Full-Scale Cooperative Partnership [全面合作伙伴关系]"/>
    <s v="Bilateral Defense Treaty"/>
    <s v="INDOPACOM"/>
    <s v="South Korea"/>
    <x v="11"/>
    <n v="1"/>
    <x v="3"/>
    <s v="Fu Quanyou"/>
    <m/>
    <s v="GSD Commander; CMC Member"/>
    <n v="8"/>
    <s v="Hosted"/>
    <s v="Air Chief of Staff"/>
    <m/>
    <m/>
    <m/>
    <m/>
    <m/>
    <m/>
    <m/>
    <m/>
  </r>
  <r>
    <s v="Senior Level Visit"/>
    <s v="Southeast Asia"/>
    <s v="Asia"/>
    <s v="No Specific Relationship"/>
    <s v="Bilateral Defense Treaty"/>
    <s v="INDOPACOM"/>
    <s v="Thailand"/>
    <x v="11"/>
    <n v="1"/>
    <x v="3"/>
    <s v="Chi Haotian"/>
    <m/>
    <s v="Defense Minister; CMC Member"/>
    <n v="8"/>
    <s v="Hosted"/>
    <s v="Chairman on Military Affairs"/>
    <m/>
    <m/>
    <m/>
    <m/>
    <m/>
    <m/>
    <m/>
    <m/>
  </r>
  <r>
    <s v="Senior Level Visit"/>
    <s v="Europe"/>
    <s v="Europe and Central Asia"/>
    <s v="No Specific Relationship"/>
    <s v="None"/>
    <s v="EUCOM"/>
    <s v="Ukraine"/>
    <x v="11"/>
    <n v="1"/>
    <x v="3"/>
    <s v="Chi Haotian"/>
    <m/>
    <s v="Defense Minister; CMC Member"/>
    <n v="8"/>
    <s v="Hosted"/>
    <s v="Foreign Minister"/>
    <m/>
    <m/>
    <m/>
    <m/>
    <m/>
    <m/>
    <m/>
    <m/>
  </r>
  <r>
    <s v="Senior Level Visit"/>
    <s v="North America"/>
    <s v="America and Oceania"/>
    <s v="No Specific Relationship"/>
    <s v="N/A"/>
    <s v="NORTHCOM"/>
    <s v="United States"/>
    <x v="11"/>
    <n v="1"/>
    <x v="3"/>
    <s v="Chi Haotian"/>
    <m/>
    <s v="Defense Minister; CMC Member"/>
    <n v="8"/>
    <s v="Hosted"/>
    <s v="Delegation"/>
    <m/>
    <m/>
    <m/>
    <m/>
    <m/>
    <m/>
    <m/>
    <m/>
  </r>
  <r>
    <s v="Senior Level Visit"/>
    <s v="Africa"/>
    <s v="West Asia and Africa"/>
    <s v="No Specific Relationship"/>
    <s v="Major Non-NATO Ally"/>
    <s v="AFRICOM"/>
    <s v="Morocco"/>
    <x v="11"/>
    <n v="2"/>
    <x v="3"/>
    <s v="Chi Haotian"/>
    <m/>
    <s v="Defense Minister; CMC Member"/>
    <n v="8"/>
    <s v="Hosted"/>
    <s v="King of Morocco "/>
    <m/>
    <m/>
    <m/>
    <m/>
    <m/>
    <m/>
    <m/>
    <m/>
  </r>
  <r>
    <s v="Senior Level Visit"/>
    <s v="Africa"/>
    <s v="West Asia and Africa"/>
    <s v="No Specific Relationship"/>
    <s v="None"/>
    <s v="AFRICOM"/>
    <s v="Congo"/>
    <x v="11"/>
    <n v="3"/>
    <x v="3"/>
    <s v="Xiong Guangkai"/>
    <m/>
    <s v="GSD DCGS"/>
    <n v="6"/>
    <s v="Hosted"/>
    <s v="Defense Minister"/>
    <m/>
    <m/>
    <m/>
    <m/>
    <m/>
    <m/>
    <m/>
    <m/>
  </r>
  <r>
    <s v="Senior Level Visit"/>
    <s v="Europe"/>
    <s v="Europe and Central Asia"/>
    <s v="No Specific Relationship"/>
    <s v="NATO"/>
    <s v="EUCOM"/>
    <s v="France"/>
    <x v="11"/>
    <n v="3"/>
    <x v="3"/>
    <s v="Chi Haotian"/>
    <m/>
    <s v="Defense Minister; CMC Member"/>
    <n v="8"/>
    <s v="Hosted"/>
    <s v="Chief of Staff of Air Force"/>
    <m/>
    <m/>
    <m/>
    <m/>
    <m/>
    <m/>
    <m/>
    <m/>
  </r>
  <r>
    <s v="Senior Level Visit"/>
    <s v="Europe"/>
    <s v="Europe and Central Asia"/>
    <s v="No Specific Relationship"/>
    <s v="NATO"/>
    <s v="EUCOM"/>
    <s v="Germany"/>
    <x v="11"/>
    <n v="3"/>
    <x v="4"/>
    <s v="Chi Haotian"/>
    <m/>
    <s v="Defense Minister; CMC Member"/>
    <n v="8"/>
    <s v="Abroad"/>
    <s v="Parliamentary Speaker"/>
    <m/>
    <m/>
    <m/>
    <m/>
    <m/>
    <m/>
    <m/>
    <m/>
  </r>
  <r>
    <s v="Senior Level Visit"/>
    <s v="Europe"/>
    <s v="Europe and Central Asia"/>
    <s v="No Specific Relationship"/>
    <s v="NATO"/>
    <s v="EUCOM"/>
    <s v="Greece"/>
    <x v="11"/>
    <n v="3"/>
    <x v="4"/>
    <s v="Chi Haotian"/>
    <m/>
    <s v="Defense Minister; CMC Member"/>
    <n v="8"/>
    <s v="Abroad"/>
    <s v="President"/>
    <m/>
    <m/>
    <m/>
    <m/>
    <m/>
    <m/>
    <m/>
    <m/>
  </r>
  <r>
    <s v="Senior Level Visit"/>
    <s v="Europe"/>
    <s v="Europe and Central Asia"/>
    <s v="No Specific Relationship"/>
    <s v="NATO"/>
    <s v="EUCOM"/>
    <s v="Italy"/>
    <x v="11"/>
    <n v="3"/>
    <x v="3"/>
    <s v="Fu Quanyou"/>
    <m/>
    <s v="GSD Commander; CMC Member"/>
    <n v="8"/>
    <s v="Hosted"/>
    <s v="Chief of Naval Staff"/>
    <m/>
    <m/>
    <m/>
    <m/>
    <m/>
    <m/>
    <m/>
    <m/>
  </r>
  <r>
    <s v="Senior Level Visit"/>
    <s v="Central Asia"/>
    <s v="Europe and Central Asia"/>
    <s v="Comprehensive Cooperative Partnership [全面合作伙伴关系]"/>
    <s v="None"/>
    <s v="CENTCOM"/>
    <s v="Kazakhstan"/>
    <x v="11"/>
    <n v="3"/>
    <x v="4"/>
    <s v="Xiong Guangkai"/>
    <m/>
    <s v="GSD DCGS"/>
    <n v="6"/>
    <s v="Abroad"/>
    <s v="President"/>
    <m/>
    <m/>
    <m/>
    <m/>
    <m/>
    <m/>
    <m/>
    <m/>
  </r>
  <r>
    <s v="Senior Level Visit"/>
    <s v="Central Asia"/>
    <s v="Europe and Central Asia"/>
    <s v="No Specific Relationship"/>
    <s v="None"/>
    <s v="CENTCOM"/>
    <s v="Kyrgyzstan"/>
    <x v="11"/>
    <n v="3"/>
    <x v="4"/>
    <s v="Xiong Guangkai"/>
    <m/>
    <s v="GSD DCGS"/>
    <n v="6"/>
    <s v="Abroad"/>
    <s v="President"/>
    <m/>
    <m/>
    <m/>
    <m/>
    <m/>
    <m/>
    <m/>
    <m/>
  </r>
  <r>
    <s v="Senior Level Visit"/>
    <s v="South Asia"/>
    <s v="Asia"/>
    <s v="Good-Neighborly Partnership [世代友好的睦邻伙伴关系]"/>
    <s v="None"/>
    <s v="INDOPACOM"/>
    <s v="Nepal"/>
    <x v="11"/>
    <n v="3"/>
    <x v="3"/>
    <s v="Fu Quanyou"/>
    <m/>
    <s v="GSD Commander; CMC Member"/>
    <n v="8"/>
    <s v="Hosted"/>
    <s v="Chief of General Staff"/>
    <m/>
    <m/>
    <m/>
    <m/>
    <m/>
    <m/>
    <m/>
    <m/>
  </r>
  <r>
    <s v="Senior Level Visit"/>
    <s v="South Asia"/>
    <s v="Asia"/>
    <s v="Strategic Partnership [战略伙伴关系]"/>
    <s v="Major Non-NATO Ally"/>
    <s v="CENTCOM"/>
    <s v="Pakistan"/>
    <x v="11"/>
    <n v="3"/>
    <x v="4"/>
    <s v="Xiong Guangkai"/>
    <m/>
    <s v="GSD DCGS"/>
    <n v="6"/>
    <s v="Abroad"/>
    <s v="President"/>
    <m/>
    <m/>
    <m/>
    <m/>
    <m/>
    <m/>
    <m/>
    <m/>
  </r>
  <r>
    <s v="Senior Level Visit"/>
    <s v="Europe"/>
    <s v="Europe and Central Asia"/>
    <s v="No Specific Relationship"/>
    <s v="NATO"/>
    <s v="EUCOM"/>
    <s v="Romania"/>
    <x v="11"/>
    <n v="3"/>
    <x v="4"/>
    <s v="Chi Haotian"/>
    <m/>
    <s v="Defense Minister; CMC Member"/>
    <n v="8"/>
    <s v="Abroad"/>
    <s v="President"/>
    <m/>
    <m/>
    <m/>
    <m/>
    <m/>
    <m/>
    <m/>
    <m/>
  </r>
  <r>
    <s v="Senior Level Visit"/>
    <s v="Europe"/>
    <s v="Europe and Central Asia"/>
    <s v="No Specific Relationship"/>
    <s v="NATO"/>
    <s v="EUCOM"/>
    <s v="United Kingdom"/>
    <x v="11"/>
    <n v="3"/>
    <x v="3"/>
    <s v="Fu Quanyou"/>
    <m/>
    <s v="GSD Commander; CMC Member"/>
    <n v="8"/>
    <s v="Hosted"/>
    <s v="Chief of General Staff"/>
    <m/>
    <m/>
    <m/>
    <m/>
    <m/>
    <m/>
    <m/>
    <m/>
  </r>
  <r>
    <s v="Senior Level Visit"/>
    <s v="Europe"/>
    <s v="Europe and Central Asia"/>
    <s v="Comprehensive Cooperative Partnership [全面合作伙伴关系]"/>
    <s v="None"/>
    <s v="EUCOM"/>
    <s v="Belarus"/>
    <x v="11"/>
    <n v="4"/>
    <x v="3"/>
    <s v="Cao Gangchuan"/>
    <m/>
    <s v="GAD Director; CMC Member"/>
    <n v="8"/>
    <s v="Hosted"/>
    <s v="Defense Minister"/>
    <m/>
    <m/>
    <m/>
    <m/>
    <m/>
    <m/>
    <m/>
    <m/>
  </r>
  <r>
    <s v="Senior Level Visit"/>
    <s v="Europe"/>
    <s v="Europe and Central Asia"/>
    <s v="No Specific Relationship"/>
    <s v="NATO"/>
    <s v="EUCOM"/>
    <s v="Croatia"/>
    <x v="11"/>
    <n v="4"/>
    <x v="4"/>
    <s v="Chi Haotian"/>
    <m/>
    <s v="Defense Minister; CMC Member"/>
    <n v="8"/>
    <s v="Abroad"/>
    <s v="President"/>
    <m/>
    <m/>
    <m/>
    <m/>
    <m/>
    <m/>
    <m/>
    <m/>
  </r>
  <r>
    <s v="Senior Level Visit"/>
    <s v="Africa"/>
    <s v="West Asia and Africa"/>
    <s v="No Specific Relationship"/>
    <s v="None"/>
    <s v="AFRICOM"/>
    <s v="Nigeria"/>
    <x v="11"/>
    <n v="4"/>
    <x v="3"/>
    <s v="Chi Haotian"/>
    <m/>
    <s v="Defense Minister; CMC Member"/>
    <n v="8"/>
    <s v="Hosted"/>
    <s v="Defense Minister"/>
    <m/>
    <m/>
    <m/>
    <m/>
    <m/>
    <m/>
    <m/>
    <m/>
  </r>
  <r>
    <s v="Senior Level Visit"/>
    <s v="Europe"/>
    <s v="Europe and Central Asia"/>
    <s v="No Specific Relationship"/>
    <s v="NATO"/>
    <s v="EUCOM"/>
    <s v="Norway"/>
    <x v="11"/>
    <n v="4"/>
    <x v="4"/>
    <s v="Chi Haotian"/>
    <m/>
    <s v="Defense Minister; CMC Member"/>
    <n v="8"/>
    <s v="Abroad"/>
    <s v="King of Norway; Chainman of Parliament Defense Committee; and Minister of Defense"/>
    <m/>
    <m/>
    <m/>
    <m/>
    <m/>
    <m/>
    <m/>
    <m/>
  </r>
  <r>
    <s v="Senior Level Visit"/>
    <s v="Southeast Asia"/>
    <s v="Asia"/>
    <s v="No Specific Relationship"/>
    <s v="Bilateral Defense Treaty"/>
    <s v="INDOPACOM"/>
    <s v="Philippines"/>
    <x v="11"/>
    <n v="4"/>
    <x v="3"/>
    <s v="Chi Haotian"/>
    <m/>
    <s v="Defense Minister; CMC Member"/>
    <n v="8"/>
    <s v="Hosted"/>
    <s v="Secretary of Defense"/>
    <m/>
    <m/>
    <m/>
    <m/>
    <m/>
    <m/>
    <m/>
    <m/>
  </r>
  <r>
    <s v="Senior Level Visit"/>
    <s v="Northeast Asia"/>
    <s v="Asia"/>
    <s v="Full-Scale Cooperative Partnership [全面合作伙伴关系]"/>
    <s v="Bilateral Defense Treaty"/>
    <s v="INDOPACOM"/>
    <s v="South Korea"/>
    <x v="11"/>
    <n v="4"/>
    <x v="3"/>
    <s v="Chi Haotian"/>
    <m/>
    <s v="Defense Minister; CMC Member"/>
    <n v="8"/>
    <s v="Hosted"/>
    <s v="Delegation"/>
    <m/>
    <m/>
    <m/>
    <m/>
    <m/>
    <m/>
    <m/>
    <m/>
  </r>
  <r>
    <s v="Senior Level Visit"/>
    <s v="Europe"/>
    <s v="Europe and Central Asia"/>
    <s v="No Specific Relationship"/>
    <s v="NATO"/>
    <s v="EUCOM"/>
    <s v="Turkey"/>
    <x v="11"/>
    <n v="4"/>
    <x v="3"/>
    <s v="Chi Haotian"/>
    <m/>
    <s v="Defense Minister; CMC Member"/>
    <n v="8"/>
    <s v="Hosted"/>
    <s v="Commander of War College"/>
    <m/>
    <m/>
    <m/>
    <m/>
    <m/>
    <m/>
    <m/>
    <m/>
  </r>
  <r>
    <s v="Senior Level Visit"/>
    <s v="Europe"/>
    <s v="Europe and Central Asia"/>
    <s v="Comprehensive Cooperative Partnership [全面合作伙伴关系]"/>
    <s v="None"/>
    <s v="EUCOM"/>
    <s v="Belarus"/>
    <x v="11"/>
    <n v="5"/>
    <x v="4"/>
    <s v="Fu Quanyou"/>
    <m/>
    <s v="GSD Commander; CMC Member"/>
    <n v="8"/>
    <s v="Abroad"/>
    <s v="President"/>
    <m/>
    <m/>
    <m/>
    <m/>
    <m/>
    <m/>
    <m/>
    <m/>
  </r>
  <r>
    <s v="Naval Port Call"/>
    <s v="Middle East"/>
    <s v="West Asia and Africa"/>
    <s v="Strategic Cooperative Partnership [战略合作伙伴关系]"/>
    <s v="Major Non-NATO Ally"/>
    <s v="CENTCOM"/>
    <s v="Egypt"/>
    <x v="11"/>
    <n v="5"/>
    <x v="0"/>
    <m/>
    <m/>
    <m/>
    <m/>
    <m/>
    <m/>
    <m/>
    <m/>
    <m/>
    <m/>
    <s v="NETF"/>
    <s v="2002-05 DDG113 Qingdao"/>
    <s v="North Sea Fleet"/>
    <s v="Luhu destroyer Qingdao 113, replenishment ship Taicang 575"/>
  </r>
  <r>
    <s v="Senior Level Visit"/>
    <s v="Europe"/>
    <s v="Europe and Central Asia"/>
    <s v="No Specific Relationship"/>
    <s v="NATO"/>
    <s v="EUCOM"/>
    <s v="Greece"/>
    <x v="11"/>
    <n v="5"/>
    <x v="3"/>
    <s v="Fu Quanyou"/>
    <m/>
    <s v="GSD Commander; CMC Member"/>
    <n v="8"/>
    <s v="Hosted"/>
    <s v="Chief of Army"/>
    <m/>
    <m/>
    <m/>
    <m/>
    <m/>
    <m/>
    <m/>
    <m/>
  </r>
  <r>
    <s v="Naval Port Call"/>
    <s v="Europe"/>
    <s v="Europe and Central Asia"/>
    <s v="No Specific Relationship"/>
    <s v="NATO"/>
    <s v="EUCOM"/>
    <s v="Greece"/>
    <x v="11"/>
    <n v="5"/>
    <x v="0"/>
    <m/>
    <m/>
    <m/>
    <m/>
    <m/>
    <m/>
    <m/>
    <m/>
    <m/>
    <m/>
    <s v="NETF"/>
    <s v="2002-05 DDG113 Qingdao"/>
    <s v="North Sea Fleet"/>
    <s v="Luhu destroyer Qingdao 113, replenishment ship Taicang 575"/>
  </r>
  <r>
    <s v="Senior Level Visit"/>
    <s v="Central Asia"/>
    <s v="Europe and Central Asia"/>
    <s v="Member"/>
    <s v="None"/>
    <s v="CENTCOM"/>
    <s v="SCO"/>
    <x v="11"/>
    <n v="5"/>
    <x v="2"/>
    <s v="Chi Haotian"/>
    <m/>
    <s v="Defense Minister; CMC Member"/>
    <n v="8"/>
    <s v="Hosted"/>
    <s v="Second official meeting of the SCO Ministers' of Defense in Shanghai; Other countries: Kazakhstan, Kyrgyztan, Russia, Tajikistan, Uzbekistan"/>
    <m/>
    <m/>
    <m/>
    <m/>
    <m/>
    <m/>
    <m/>
    <m/>
  </r>
  <r>
    <s v="Naval Port Call"/>
    <s v="Southeast Asia"/>
    <s v="Asia"/>
    <s v="No Specific Relationship"/>
    <s v="None"/>
    <s v="INDOPACOM"/>
    <s v="Singapore"/>
    <x v="11"/>
    <n v="5"/>
    <x v="0"/>
    <m/>
    <m/>
    <m/>
    <m/>
    <m/>
    <m/>
    <m/>
    <m/>
    <m/>
    <m/>
    <s v="NETF"/>
    <s v="2002-05 DDG113 Qingdao"/>
    <s v="North Sea Fleet"/>
    <s v="Luhu destroyer Qingdao 113, replenishment ship Taicang 575"/>
  </r>
  <r>
    <s v="Senior Level Visit"/>
    <s v="Europe"/>
    <s v="Europe and Central Asia"/>
    <s v="No Specific Relationship"/>
    <s v="NATO"/>
    <s v="EUCOM"/>
    <s v="Slovakia"/>
    <x v="11"/>
    <n v="5"/>
    <x v="4"/>
    <s v="Fu Quanyou"/>
    <m/>
    <s v="GSD Commander; CMC Member"/>
    <n v="8"/>
    <s v="Abroad"/>
    <s v="President"/>
    <m/>
    <m/>
    <m/>
    <m/>
    <m/>
    <m/>
    <m/>
    <m/>
  </r>
  <r>
    <s v="Naval Port Call"/>
    <s v="Northeast Asia"/>
    <s v="Asia"/>
    <s v="Full-Scale Cooperative Partnership [全面合作伙伴关系]"/>
    <s v="Bilateral Defense Treaty"/>
    <s v="INDOPACOM"/>
    <s v="South Korea"/>
    <x v="11"/>
    <n v="5"/>
    <x v="0"/>
    <m/>
    <m/>
    <m/>
    <m/>
    <m/>
    <m/>
    <m/>
    <m/>
    <m/>
    <m/>
    <s v="NETF"/>
    <s v="2002-05 FF521 Jiaxing"/>
    <s v="East Sea Fleet"/>
    <s v="Jiangwei frigate Jiaxing 521, Jiangwei frigate Lianyungang 522"/>
  </r>
  <r>
    <s v="Naval Port Call"/>
    <s v="Europe"/>
    <s v="Europe and Central Asia"/>
    <s v="No Specific Relationship"/>
    <s v="NATO"/>
    <s v="EUCOM"/>
    <s v="Turkey"/>
    <x v="11"/>
    <n v="5"/>
    <x v="0"/>
    <m/>
    <m/>
    <m/>
    <m/>
    <m/>
    <m/>
    <m/>
    <m/>
    <m/>
    <m/>
    <s v="NETF"/>
    <s v="2002-05 DDG113 Qingdao"/>
    <s v="North Sea Fleet"/>
    <s v="Luhu destroyer Qingdao 113, replenishment ship Taicang 575"/>
  </r>
  <r>
    <s v="Naval Port Call"/>
    <s v="Europe"/>
    <s v="Europe and Central Asia"/>
    <s v="No Specific Relationship"/>
    <s v="None"/>
    <s v="EUCOM"/>
    <s v="Ukraine"/>
    <x v="11"/>
    <n v="5"/>
    <x v="0"/>
    <m/>
    <m/>
    <m/>
    <m/>
    <m/>
    <m/>
    <m/>
    <m/>
    <m/>
    <m/>
    <s v="NETF"/>
    <s v="2002-05 DDG113 Qingdao"/>
    <s v="North Sea Fleet"/>
    <s v="Luhu destroyer Qingdao 113, replenishment ship Taicang 575"/>
  </r>
  <r>
    <s v="Senior Level Visit"/>
    <s v="South America"/>
    <s v="America and Oceania"/>
    <s v="No Specific Relationship"/>
    <s v="None"/>
    <s v="SOUTHCOM"/>
    <s v="Antigua and Barbuda"/>
    <x v="11"/>
    <n v="6"/>
    <x v="3"/>
    <s v="Fu Quanyou"/>
    <m/>
    <s v="GSD Commander; CMC Member"/>
    <n v="8"/>
    <s v="Hosted"/>
    <s v="Commander of Defense Force"/>
    <m/>
    <m/>
    <m/>
    <m/>
    <m/>
    <m/>
    <m/>
    <m/>
  </r>
  <r>
    <s v="Senior Level Visit"/>
    <s v="South Asia"/>
    <s v="Asia"/>
    <s v="No Specific Relationship"/>
    <s v="None"/>
    <s v="INDOPACOM"/>
    <s v="Bangladesh"/>
    <x v="11"/>
    <n v="6"/>
    <x v="3"/>
    <s v="Chi Haotian"/>
    <m/>
    <s v="Defense Minister; CMC Member"/>
    <n v="8"/>
    <s v="Hosted"/>
    <s v="Chief of Army Staff"/>
    <m/>
    <m/>
    <m/>
    <m/>
    <m/>
    <m/>
    <m/>
    <m/>
  </r>
  <r>
    <s v="Senior Level Visit"/>
    <s v="South America"/>
    <s v="America and Oceania"/>
    <s v="No Specific Relationship"/>
    <s v="None"/>
    <s v="SOUTHCOM"/>
    <s v="Bolivia"/>
    <x v="11"/>
    <n v="6"/>
    <x v="3"/>
    <s v="Fu Quanyou"/>
    <m/>
    <s v="GSD Commander; CMC Member"/>
    <n v="8"/>
    <s v="Hosted"/>
    <s v="Army Commander"/>
    <m/>
    <m/>
    <m/>
    <m/>
    <m/>
    <m/>
    <m/>
    <m/>
  </r>
  <r>
    <s v="Senior Level Visit"/>
    <s v="South America"/>
    <s v="America and Oceania"/>
    <s v="Strategic Partnership [战略伙伴关系]"/>
    <s v="None"/>
    <s v="SOUTHCOM"/>
    <s v="Brazil"/>
    <x v="11"/>
    <n v="6"/>
    <x v="3"/>
    <s v="Fu Quanyou"/>
    <m/>
    <s v="GSD Commander; CMC Member"/>
    <n v="8"/>
    <s v="Hosted"/>
    <s v="Chief of Army "/>
    <m/>
    <m/>
    <m/>
    <m/>
    <m/>
    <m/>
    <m/>
    <m/>
  </r>
  <r>
    <s v="Naval Port Call"/>
    <s v="South America"/>
    <s v="America and Oceania"/>
    <s v="Strategic Partnership [战略伙伴关系]"/>
    <s v="None"/>
    <s v="SOUTHCOM"/>
    <s v="Brazil"/>
    <x v="11"/>
    <n v="6"/>
    <x v="0"/>
    <m/>
    <m/>
    <m/>
    <m/>
    <m/>
    <m/>
    <m/>
    <m/>
    <m/>
    <m/>
    <s v="NETF"/>
    <s v="2002-05 DDG113 Qingdao"/>
    <s v="North Sea Fleet"/>
    <s v="Luhu destroyer Qingdao 113, replenishment ship Taicang 575"/>
  </r>
  <r>
    <s v="Senior Level Visit"/>
    <s v="Southeast Asia"/>
    <s v="Asia"/>
    <s v="No Specific Relationship"/>
    <s v="None"/>
    <s v="INDOPACOM"/>
    <s v="Brunei"/>
    <x v="11"/>
    <n v="6"/>
    <x v="3"/>
    <s v="Zhang Wannian"/>
    <m/>
    <s v="CMC Vice Chairman"/>
    <n v="10"/>
    <s v="Hosted"/>
    <s v="Commander of Armed Forces"/>
    <m/>
    <m/>
    <m/>
    <m/>
    <m/>
    <m/>
    <m/>
    <m/>
  </r>
  <r>
    <s v="Senior Level Visit"/>
    <s v="South America"/>
    <s v="America and Oceania"/>
    <s v="No Specific Relationship"/>
    <s v="None"/>
    <s v="SOUTHCOM"/>
    <s v="Colombia"/>
    <x v="11"/>
    <n v="6"/>
    <x v="3"/>
    <s v="Chi Haotian"/>
    <m/>
    <s v="Defense Minister; CMC Member"/>
    <n v="8"/>
    <s v="Hosted"/>
    <s v="Commander in Chief"/>
    <m/>
    <m/>
    <m/>
    <m/>
    <m/>
    <m/>
    <m/>
    <m/>
  </r>
  <r>
    <s v="Senior Level Visit"/>
    <s v="Africa"/>
    <s v="West Asia and Africa"/>
    <s v="No Specific Relationship"/>
    <s v="None"/>
    <s v="AFRICOM"/>
    <s v="Equatorial Guinea"/>
    <x v="11"/>
    <n v="6"/>
    <x v="3"/>
    <s v="Fu Quanyou"/>
    <m/>
    <s v="GSD Commander; CMC Member"/>
    <n v="8"/>
    <s v="Hosted"/>
    <s v="Defense Minister"/>
    <m/>
    <m/>
    <m/>
    <m/>
    <m/>
    <m/>
    <m/>
    <m/>
  </r>
  <r>
    <s v="Senior Level Visit"/>
    <s v="Europe"/>
    <s v="Europe and Central Asia"/>
    <s v="No Specific Relationship"/>
    <s v="NATO"/>
    <s v="EUCOM"/>
    <s v="France"/>
    <x v="11"/>
    <n v="6"/>
    <x v="4"/>
    <s v="Cao Gangchuan"/>
    <m/>
    <s v="GAD Director; CMC Member"/>
    <n v="8"/>
    <s v="Abroad"/>
    <s v="Defense Minister"/>
    <m/>
    <m/>
    <m/>
    <m/>
    <m/>
    <m/>
    <m/>
    <m/>
  </r>
  <r>
    <s v="Senior Level Visit"/>
    <s v="Europe"/>
    <s v="Europe and Central Asia"/>
    <s v="No Specific Relationship"/>
    <s v="NATO"/>
    <s v="EUCOM"/>
    <s v="Germany"/>
    <x v="11"/>
    <n v="6"/>
    <x v="3"/>
    <s v="Chi Haotian"/>
    <m/>
    <s v="Defense Minister; CMC Member"/>
    <n v="8"/>
    <s v="Hosted"/>
    <s v="Navy Inspector"/>
    <m/>
    <m/>
    <m/>
    <m/>
    <m/>
    <m/>
    <m/>
    <m/>
  </r>
  <r>
    <s v="Senior Level Visit"/>
    <s v="Europe"/>
    <s v="Europe and Central Asia"/>
    <s v="No Specific Relationship"/>
    <s v="NATO"/>
    <s v="EUCOM"/>
    <s v="Italy"/>
    <x v="11"/>
    <n v="6"/>
    <x v="4"/>
    <s v="Cao Gangchuan"/>
    <m/>
    <s v="GAD Director; CMC Member"/>
    <n v="8"/>
    <s v="Abroad"/>
    <s v="Defense Minister"/>
    <m/>
    <m/>
    <m/>
    <m/>
    <m/>
    <m/>
    <m/>
    <m/>
  </r>
  <r>
    <s v="Senior Level Visit"/>
    <s v="Africa"/>
    <s v="West Asia and Africa"/>
    <s v="No Specific Relationship"/>
    <s v="None"/>
    <s v="AFRICOM"/>
    <s v="Kenya"/>
    <x v="11"/>
    <n v="6"/>
    <x v="3"/>
    <s v="Chi Haotian"/>
    <m/>
    <s v="Defense Minister; CMC Member"/>
    <n v="8"/>
    <s v="Hosted"/>
    <s v="Chief of Staff  "/>
    <m/>
    <m/>
    <m/>
    <m/>
    <m/>
    <m/>
    <m/>
    <m/>
  </r>
  <r>
    <s v="Naval Port Call"/>
    <s v="Europe"/>
    <s v="Europe and Central Asia"/>
    <s v="No Specific Relationship"/>
    <s v="NATO"/>
    <s v="EUCOM"/>
    <s v="Portugal"/>
    <x v="11"/>
    <n v="6"/>
    <x v="0"/>
    <m/>
    <m/>
    <m/>
    <m/>
    <m/>
    <m/>
    <m/>
    <m/>
    <m/>
    <m/>
    <s v="NETF"/>
    <s v="2002-05 DDG113 Qingdao"/>
    <s v="North Sea Fleet"/>
    <s v="Luhu destroyer Qingdao 113, replenishment ship Taicang 575"/>
  </r>
  <r>
    <s v="Senior Level Visit"/>
    <s v="Russia"/>
    <s v="Europe and Central Asia"/>
    <s v="Strategic Partnership of Coordination [战略协作伙伴关系]"/>
    <s v="None"/>
    <s v="EUCOM"/>
    <s v="Russia"/>
    <x v="11"/>
    <n v="6"/>
    <x v="3"/>
    <s v="Chi Haotian"/>
    <m/>
    <s v="Defense Minister; CMC Member"/>
    <n v="8"/>
    <s v="Hosted"/>
    <s v="Defense Minister"/>
    <m/>
    <m/>
    <m/>
    <m/>
    <m/>
    <m/>
    <m/>
    <m/>
  </r>
  <r>
    <s v="Senior Level Visit"/>
    <s v="Africa"/>
    <s v="West Asia and Africa"/>
    <s v="No Specific Relationship"/>
    <s v="None"/>
    <s v="AFRICOM"/>
    <s v="South Africa"/>
    <x v="11"/>
    <n v="6"/>
    <x v="4"/>
    <s v="Cao Gangchuan"/>
    <m/>
    <s v="GAD Director; CMC Member"/>
    <n v="8"/>
    <s v="Abroad"/>
    <s v="Defense Minister"/>
    <m/>
    <m/>
    <m/>
    <m/>
    <m/>
    <m/>
    <m/>
    <m/>
  </r>
  <r>
    <s v="Senior Level Visit"/>
    <s v="Northeast Asia"/>
    <s v="Asia"/>
    <s v="Full-Scale Cooperative Partnership [全面合作伙伴关系]"/>
    <s v="Bilateral Defense Treaty"/>
    <s v="INDOPACOM"/>
    <s v="South Korea"/>
    <x v="11"/>
    <n v="6"/>
    <x v="3"/>
    <s v="Chi Haotian"/>
    <m/>
    <s v="Defense Minister; CMC Member"/>
    <n v="8"/>
    <s v="Hosted"/>
    <s v="Defense Minister"/>
    <m/>
    <m/>
    <m/>
    <m/>
    <m/>
    <m/>
    <m/>
    <m/>
  </r>
  <r>
    <s v="Senior Level Visit"/>
    <s v="South Asia"/>
    <s v="Asia"/>
    <s v="No Specific Relationship"/>
    <s v="None"/>
    <s v="INDOPACOM"/>
    <s v="Sri Lanka"/>
    <x v="11"/>
    <n v="6"/>
    <x v="3"/>
    <s v="Chi Haotian"/>
    <m/>
    <s v="Defense Minister; CMC Member"/>
    <n v="8"/>
    <s v="Hosted"/>
    <s v="Defense Minister"/>
    <m/>
    <m/>
    <m/>
    <m/>
    <m/>
    <m/>
    <m/>
    <m/>
  </r>
  <r>
    <s v="Senior Level Visit"/>
    <s v="Southeast Asia"/>
    <s v="Asia"/>
    <s v="No Specific Relationship"/>
    <s v="Bilateral Defense Treaty"/>
    <s v="INDOPACOM"/>
    <s v="Thailand"/>
    <x v="11"/>
    <n v="6"/>
    <x v="3"/>
    <s v="Fu Quanyou"/>
    <m/>
    <s v="GSD Commander; CMC Member"/>
    <n v="8"/>
    <s v="Hosted"/>
    <s v="Army Commander"/>
    <m/>
    <m/>
    <m/>
    <m/>
    <m/>
    <m/>
    <m/>
    <m/>
  </r>
  <r>
    <s v="Senior Level Visit"/>
    <s v="Europe"/>
    <s v="Europe and Central Asia"/>
    <s v="No Specific Relationship"/>
    <s v="None"/>
    <s v="EUCOM"/>
    <s v="Ukraine"/>
    <x v="11"/>
    <n v="6"/>
    <x v="4"/>
    <s v="Fu Quanyou"/>
    <m/>
    <s v="GSD Commander; CMC Member"/>
    <n v="8"/>
    <s v="Abroad"/>
    <s v="President"/>
    <m/>
    <m/>
    <m/>
    <m/>
    <m/>
    <m/>
    <m/>
    <m/>
  </r>
  <r>
    <s v="Senior Level Visit"/>
    <s v="North America"/>
    <s v="America and Oceania"/>
    <s v="No Specific Relationship"/>
    <s v="N/A"/>
    <s v="NORTHCOM"/>
    <s v="United States"/>
    <x v="11"/>
    <n v="6"/>
    <x v="3"/>
    <s v="Chi Haotian"/>
    <m/>
    <s v="Defense Minister; CMC Member"/>
    <n v="8"/>
    <s v="Hosted"/>
    <s v="Delegation"/>
    <m/>
    <m/>
    <m/>
    <m/>
    <m/>
    <m/>
    <m/>
    <m/>
  </r>
  <r>
    <s v="Senior Level Visit"/>
    <s v="South America"/>
    <s v="America and Oceania"/>
    <s v="No Specific Relationship"/>
    <s v="None"/>
    <s v="SOUTHCOM"/>
    <s v="Cuba"/>
    <x v="11"/>
    <n v="7"/>
    <x v="3"/>
    <s v="Fu Quanyou"/>
    <m/>
    <s v="GSD Commander; CMC Member"/>
    <n v="8"/>
    <s v="Hosted"/>
    <s v="General of Armed Forces"/>
    <m/>
    <m/>
    <m/>
    <m/>
    <m/>
    <m/>
    <m/>
    <m/>
  </r>
  <r>
    <s v="Senior Level Visit"/>
    <s v="South America"/>
    <s v="America and Oceania"/>
    <s v="No Specific Relationship"/>
    <s v="None"/>
    <s v="SOUTHCOM"/>
    <s v="Cuba"/>
    <x v="11"/>
    <n v="7"/>
    <x v="3"/>
    <s v="Lei Mingqiu"/>
    <m/>
    <s v="Nanjing MR Political Commissar"/>
    <n v="6"/>
    <s v="Hosted"/>
    <s v="Director of Armed Forces"/>
    <m/>
    <m/>
    <m/>
    <m/>
    <m/>
    <m/>
    <m/>
    <m/>
  </r>
  <r>
    <s v="Senior Level Visit"/>
    <s v="Southeast Asia"/>
    <s v="Asia"/>
    <s v="No Specific Relationship"/>
    <s v="None"/>
    <s v="INDOPACOM"/>
    <s v="East Timor"/>
    <x v="11"/>
    <n v="7"/>
    <x v="3"/>
    <s v="Chi Haotian"/>
    <m/>
    <s v="Defense Minister; CMC Member"/>
    <n v="8"/>
    <s v="Hosted"/>
    <s v="Commander of Armed Forces"/>
    <m/>
    <m/>
    <m/>
    <m/>
    <m/>
    <m/>
    <m/>
    <m/>
  </r>
  <r>
    <s v="Naval Port Call"/>
    <s v="South America"/>
    <s v="America and Oceania"/>
    <s v="No Specific Relationship"/>
    <s v="None"/>
    <s v="SOUTHCOM"/>
    <s v="Ecuador"/>
    <x v="11"/>
    <n v="7"/>
    <x v="0"/>
    <m/>
    <m/>
    <m/>
    <m/>
    <m/>
    <m/>
    <m/>
    <m/>
    <m/>
    <m/>
    <s v="NETF"/>
    <s v="2002-05 DDG113 Qingdao"/>
    <s v="North Sea Fleet"/>
    <s v="Luhu destroyer Qingdao 113, replenishment ship Taicang 575"/>
  </r>
  <r>
    <s v="Senior Level Visit"/>
    <s v="Southeast Asia"/>
    <s v="Asia"/>
    <s v="No Specific Relationship"/>
    <s v="None"/>
    <s v="INDOPACOM"/>
    <s v="Laos"/>
    <x v="11"/>
    <n v="7"/>
    <x v="3"/>
    <s v="Chi Haotian"/>
    <m/>
    <s v="Defense Minister; CMC Member"/>
    <n v="8"/>
    <s v="Hosted"/>
    <s v="Delegation"/>
    <m/>
    <m/>
    <m/>
    <m/>
    <m/>
    <m/>
    <m/>
    <m/>
  </r>
  <r>
    <s v="Senior Level Visit"/>
    <s v="Northeast Asia"/>
    <s v="Asia"/>
    <s v="No Specific Relationship"/>
    <s v="None"/>
    <s v="INDOPACOM"/>
    <s v="Mongolia"/>
    <x v="11"/>
    <n v="7"/>
    <x v="4"/>
    <s v="Zhang Wentai"/>
    <m/>
    <s v="GLD Political Commissar"/>
    <n v="6"/>
    <s v="Abroad"/>
    <s v="President"/>
    <m/>
    <m/>
    <m/>
    <m/>
    <m/>
    <m/>
    <m/>
    <m/>
  </r>
  <r>
    <s v="Naval Port Call"/>
    <s v="South America"/>
    <s v="America and Oceania"/>
    <s v="No Specific Relationship"/>
    <s v="None"/>
    <s v="SOUTHCOM"/>
    <s v="Peru"/>
    <x v="11"/>
    <n v="7"/>
    <x v="0"/>
    <m/>
    <m/>
    <m/>
    <m/>
    <m/>
    <m/>
    <m/>
    <m/>
    <m/>
    <m/>
    <s v="NETF"/>
    <s v="2002-05 DDG113 Qingdao"/>
    <s v="North Sea Fleet"/>
    <s v="Luhu destroyer Qingdao 113, replenishment ship Taicang 575"/>
  </r>
  <r>
    <s v="Senior Level Visit"/>
    <s v="Russia"/>
    <s v="Europe and Central Asia"/>
    <s v="Strategic Partnership of Coordination [战略协作伙伴关系]"/>
    <s v="None"/>
    <s v="EUCOM"/>
    <s v="Russia"/>
    <x v="11"/>
    <n v="7"/>
    <x v="3"/>
    <s v="Chi Haotian"/>
    <m/>
    <s v="Defense Minister; CMC Member"/>
    <n v="8"/>
    <s v="Hosted"/>
    <s v="Security Council Secretary"/>
    <m/>
    <m/>
    <m/>
    <m/>
    <m/>
    <m/>
    <m/>
    <m/>
  </r>
  <r>
    <s v="Senior Level Visit"/>
    <s v="Northeast Asia"/>
    <s v="Asia"/>
    <s v="Full-Scale Cooperative Partnership [全面合作伙伴关系]"/>
    <s v="Bilateral Defense Treaty"/>
    <s v="INDOPACOM"/>
    <s v="South Korea"/>
    <x v="11"/>
    <n v="7"/>
    <x v="4"/>
    <s v="Zhang Wentai"/>
    <m/>
    <s v="GLD Political Commissar"/>
    <n v="6"/>
    <s v="Abroad"/>
    <s v="Defense Minister"/>
    <m/>
    <m/>
    <m/>
    <m/>
    <m/>
    <m/>
    <m/>
    <m/>
  </r>
  <r>
    <s v="Senior Level Visit"/>
    <s v="Central Asia"/>
    <s v="Europe and Central Asia"/>
    <s v="No Specific Relationship"/>
    <s v="None"/>
    <s v="CENTCOM"/>
    <s v="Turkmenistan"/>
    <x v="11"/>
    <n v="7"/>
    <x v="3"/>
    <s v="Chi Haotian"/>
    <m/>
    <s v="Defense Minister; CMC Member"/>
    <n v="8"/>
    <s v="Hosted"/>
    <s v="Lieutenant General"/>
    <m/>
    <m/>
    <m/>
    <m/>
    <m/>
    <m/>
    <m/>
    <m/>
  </r>
  <r>
    <s v="Senior Level Visit"/>
    <s v="North America"/>
    <s v="America and Oceania"/>
    <s v="No Specific Relationship"/>
    <s v="N/A"/>
    <s v="NORTHCOM"/>
    <s v="United States"/>
    <x v="11"/>
    <n v="7"/>
    <x v="3"/>
    <s v="Chi Haotian"/>
    <m/>
    <s v="Defense Minister; CMC Member"/>
    <n v="8"/>
    <s v="Hosted"/>
    <s v="Ex-Official "/>
    <m/>
    <m/>
    <m/>
    <m/>
    <m/>
    <m/>
    <m/>
    <m/>
  </r>
  <r>
    <s v="Senior Level Visit"/>
    <s v="South America"/>
    <s v="America and Oceania"/>
    <s v="Strategic Development Partnership [战略发展伙伴关系]"/>
    <s v="None"/>
    <s v="SOUTHCOM"/>
    <s v="Venezuela"/>
    <x v="11"/>
    <n v="7"/>
    <x v="3"/>
    <s v="Xiong Guangkai"/>
    <m/>
    <s v="GSD DCGS"/>
    <n v="6"/>
    <s v="Hosted"/>
    <s v="Major General"/>
    <m/>
    <m/>
    <m/>
    <m/>
    <m/>
    <m/>
    <m/>
    <m/>
  </r>
  <r>
    <s v="Senior Level Visit"/>
    <s v="Europe"/>
    <s v="Europe and Central Asia"/>
    <s v="No Specific Relationship"/>
    <s v="None"/>
    <s v="EUCOM"/>
    <s v="Azerbaijan"/>
    <x v="11"/>
    <n v="8"/>
    <x v="4"/>
    <s v="Chi Haotian"/>
    <m/>
    <s v="Defense Minister; CMC Member"/>
    <n v="8"/>
    <s v="Abroad"/>
    <s v="Vice Defense Minister"/>
    <m/>
    <m/>
    <m/>
    <m/>
    <m/>
    <m/>
    <m/>
    <m/>
  </r>
  <r>
    <s v="Senior Level Visit"/>
    <s v="South Asia"/>
    <s v="Asia"/>
    <s v="No Specific Relationship"/>
    <s v="None"/>
    <s v="INDOPACOM"/>
    <s v="Bangladesh"/>
    <x v="11"/>
    <n v="8"/>
    <x v="3"/>
    <s v="Fu Quanyou"/>
    <m/>
    <s v="GSD Commander; CMC Member"/>
    <n v="8"/>
    <s v="Hosted"/>
    <s v="Chief of Air Staff"/>
    <m/>
    <m/>
    <m/>
    <m/>
    <m/>
    <m/>
    <m/>
    <m/>
  </r>
  <r>
    <s v="Senior Level Visit"/>
    <s v="Europe"/>
    <s v="Europe and Central Asia"/>
    <s v="No Specific Relationship"/>
    <s v="NATO"/>
    <s v="EUCOM"/>
    <s v="Czech Republic"/>
    <x v="11"/>
    <n v="8"/>
    <x v="4"/>
    <s v="Lei Mingqiu"/>
    <m/>
    <s v="Nanjing MR Political Commissar"/>
    <n v="6"/>
    <s v="Abroad"/>
    <s v="Chief of General Staff"/>
    <m/>
    <m/>
    <m/>
    <m/>
    <m/>
    <m/>
    <m/>
    <m/>
  </r>
  <r>
    <s v="Senior Level Visit"/>
    <s v="Central Asia"/>
    <s v="Europe and Central Asia"/>
    <s v="Comprehensive Cooperative Partnership [全面合作伙伴关系]"/>
    <s v="None"/>
    <s v="CENTCOM"/>
    <s v="Kazakhstan"/>
    <x v="11"/>
    <n v="8"/>
    <x v="4"/>
    <s v="Zheng Shouzeng"/>
    <m/>
    <s v="Lanzhou MR Politcal Commander"/>
    <n v="6"/>
    <s v="Abroad"/>
    <s v="Defense Minister"/>
    <m/>
    <m/>
    <m/>
    <m/>
    <m/>
    <m/>
    <m/>
    <m/>
  </r>
  <r>
    <s v="Senior Level Visit"/>
    <s v="Europe"/>
    <s v="Europe and Central Asia"/>
    <s v="No Specific Relationship"/>
    <s v="NATO"/>
    <s v="EUCOM"/>
    <s v="Poland"/>
    <x v="11"/>
    <n v="8"/>
    <x v="3"/>
    <s v="Chi Haotian"/>
    <m/>
    <s v="Defense Minister; CMC Member"/>
    <n v="8"/>
    <s v="Hosted"/>
    <s v="Chief of General Staff"/>
    <m/>
    <m/>
    <m/>
    <m/>
    <m/>
    <m/>
    <m/>
    <m/>
  </r>
  <r>
    <s v="Senior Level Visit"/>
    <s v="Europe"/>
    <s v="Europe and Central Asia"/>
    <s v="No Specific Relationship"/>
    <s v="NATO"/>
    <s v="EUCOM"/>
    <s v="Poland"/>
    <x v="11"/>
    <n v="8"/>
    <x v="4"/>
    <s v="Lei Mingqiu"/>
    <m/>
    <s v="Nanjing MR Political Commissar"/>
    <n v="6"/>
    <s v="Abroad"/>
    <s v="Chief of General Staff"/>
    <m/>
    <m/>
    <m/>
    <m/>
    <m/>
    <m/>
    <m/>
    <m/>
  </r>
  <r>
    <s v="Senior Level Visit"/>
    <s v="Northeast Asia"/>
    <s v="Asia"/>
    <s v="Full-Scale Cooperative Partnership [全面合作伙伴关系]"/>
    <s v="Bilateral Defense Treaty"/>
    <s v="INDOPACOM"/>
    <s v="South Korea"/>
    <x v="11"/>
    <n v="8"/>
    <x v="3"/>
    <s v="Chi Haotian"/>
    <m/>
    <s v="Defense Minister; CMC Member"/>
    <n v="8"/>
    <s v="Hosted"/>
    <s v="Vice Minister of Defense"/>
    <m/>
    <m/>
    <m/>
    <m/>
    <m/>
    <m/>
    <m/>
    <m/>
  </r>
  <r>
    <s v="Senior Level Visit"/>
    <s v="Central Asia"/>
    <s v="Europe and Central Asia"/>
    <s v="No Specific Relationship"/>
    <s v="None"/>
    <s v="CENTCOM"/>
    <s v="Tajikistan"/>
    <x v="11"/>
    <n v="8"/>
    <x v="4"/>
    <s v="Chi Haotian"/>
    <m/>
    <s v="Defense Minister; CMC Member"/>
    <n v="8"/>
    <s v="Abroad"/>
    <s v="Defense Minister"/>
    <m/>
    <m/>
    <m/>
    <m/>
    <m/>
    <m/>
    <m/>
    <m/>
  </r>
  <r>
    <s v="Senior Level Visit"/>
    <s v="Africa"/>
    <s v="West Asia and Africa"/>
    <s v="No Specific Relationship"/>
    <s v="None"/>
    <s v="AFRICOM"/>
    <s v="Tanzania"/>
    <x v="11"/>
    <n v="8"/>
    <x v="3"/>
    <s v="Chi Haotian"/>
    <m/>
    <s v="Defense Minister; CMC Member"/>
    <n v="8"/>
    <s v="Hosted"/>
    <s v="Commander of Defense Force"/>
    <m/>
    <m/>
    <m/>
    <m/>
    <m/>
    <m/>
    <m/>
    <m/>
  </r>
  <r>
    <s v="Senior Level Visit"/>
    <s v="North America"/>
    <s v="America and Oceania"/>
    <s v="No Specific Relationship"/>
    <s v="N/A"/>
    <s v="NORTHCOM"/>
    <s v="United States"/>
    <x v="11"/>
    <n v="8"/>
    <x v="3"/>
    <s v="Chi Haotian"/>
    <m/>
    <s v="Defense Minister; CMC Member"/>
    <n v="8"/>
    <s v="Hosted"/>
    <s v="NDU CAPSTONE Delegation led by General (ret.) Robert Sennewald"/>
    <m/>
    <m/>
    <m/>
    <m/>
    <m/>
    <m/>
    <m/>
    <m/>
  </r>
  <r>
    <s v="Senior Level Visit"/>
    <s v="Africa"/>
    <s v="West Asia and Africa"/>
    <s v="No Specific Relationship"/>
    <s v="None"/>
    <s v="AFRICOM"/>
    <s v="Zambia"/>
    <x v="11"/>
    <n v="8"/>
    <x v="3"/>
    <s v="Fu Quanyou"/>
    <m/>
    <s v="GSD Commander; CMC Member"/>
    <n v="8"/>
    <s v="Hosted"/>
    <s v="Army Commander"/>
    <m/>
    <m/>
    <m/>
    <m/>
    <m/>
    <m/>
    <m/>
    <m/>
  </r>
  <r>
    <s v="Senior Level Visit"/>
    <s v="South America"/>
    <s v="America and Oceania"/>
    <s v="Comprehensive Partnership [全面伙伴关系]"/>
    <s v="Major Non-NATO Ally"/>
    <s v="SOUTHCOM"/>
    <s v="Argentina"/>
    <x v="11"/>
    <n v="9"/>
    <x v="3"/>
    <s v="Chi Haotian"/>
    <m/>
    <s v="Defense Minister; CMC Member"/>
    <n v="8"/>
    <s v="Hosted"/>
    <s v="Chief of Staff"/>
    <m/>
    <m/>
    <m/>
    <m/>
    <m/>
    <m/>
    <m/>
    <m/>
  </r>
  <r>
    <s v="Senior Level Visit"/>
    <s v="Europe"/>
    <s v="Europe and Central Asia"/>
    <s v="No Specific Relationship"/>
    <s v="None"/>
    <s v="EUCOM"/>
    <s v="Armenia"/>
    <x v="11"/>
    <n v="9"/>
    <x v="3"/>
    <s v="Zhang Wannian"/>
    <m/>
    <s v="CMC Vice Chairman"/>
    <n v="10"/>
    <s v="Hosted"/>
    <s v="Chief of General Staff and Vice-Minister of Defense"/>
    <m/>
    <m/>
    <m/>
    <m/>
    <m/>
    <m/>
    <m/>
    <m/>
  </r>
  <r>
    <s v="Senior Level Visit"/>
    <s v="Africa"/>
    <s v="West Asia and Africa"/>
    <s v="No Specific Relationship"/>
    <s v="None"/>
    <s v="AFRICOM"/>
    <s v="Benin"/>
    <x v="11"/>
    <n v="9"/>
    <x v="4"/>
    <s v="Jiang Futang"/>
    <m/>
    <s v="Shenyang MR Political Commissar"/>
    <n v="6"/>
    <s v="Abroad"/>
    <s v="Defense Minister"/>
    <m/>
    <m/>
    <m/>
    <m/>
    <m/>
    <m/>
    <m/>
    <m/>
  </r>
  <r>
    <s v="Senior Level Visit"/>
    <s v="Africa"/>
    <s v="West Asia and Africa"/>
    <s v="Friendly Cooperative Relationship [友好合作关系]"/>
    <s v="None"/>
    <s v="AFRICOM"/>
    <s v="Cameroon"/>
    <x v="11"/>
    <n v="9"/>
    <x v="4"/>
    <s v="Jiang Futang"/>
    <m/>
    <s v="Shenyang MR Political Commissar"/>
    <n v="6"/>
    <s v="Abroad"/>
    <s v="Defense Minister"/>
    <m/>
    <m/>
    <m/>
    <m/>
    <m/>
    <m/>
    <m/>
    <m/>
  </r>
  <r>
    <s v="Senior Level Visit"/>
    <s v="North America"/>
    <s v="America and Oceania"/>
    <s v="Comprehensive Partnership [全面伙伴关系]"/>
    <s v="NATO"/>
    <s v="NORTHCOM"/>
    <s v="Canada"/>
    <x v="11"/>
    <n v="9"/>
    <x v="4"/>
    <s v="Chi Haotian"/>
    <m/>
    <s v="Defense Minister; CMC Member"/>
    <n v="8"/>
    <s v="Abroad"/>
    <s v="Prime Minister"/>
    <m/>
    <m/>
    <m/>
    <m/>
    <m/>
    <m/>
    <m/>
    <m/>
  </r>
  <r>
    <s v="Senior Level Visit"/>
    <s v="South America"/>
    <s v="America and Oceania"/>
    <s v="No Specific Relationship"/>
    <s v="None"/>
    <s v="SOUTHCOM"/>
    <s v="Chile"/>
    <x v="11"/>
    <n v="9"/>
    <x v="3"/>
    <s v="Chi Haotian"/>
    <m/>
    <s v="Defense Minister; CMC Member"/>
    <n v="8"/>
    <s v="Hosted"/>
    <s v="Vice Minister of Defense"/>
    <m/>
    <m/>
    <m/>
    <m/>
    <m/>
    <m/>
    <m/>
    <m/>
  </r>
  <r>
    <s v="Senior Level Visit"/>
    <s v="Africa"/>
    <s v="West Asia and Africa"/>
    <s v="No Specific Relationship"/>
    <s v="None"/>
    <s v="AFRICOM"/>
    <s v="Gabon"/>
    <x v="11"/>
    <n v="9"/>
    <x v="4"/>
    <s v="Jiang Futang"/>
    <m/>
    <s v="Shenyang MR Political Commissar"/>
    <n v="6"/>
    <s v="Abroad"/>
    <s v="Defense Minister"/>
    <m/>
    <m/>
    <m/>
    <m/>
    <m/>
    <m/>
    <m/>
    <m/>
  </r>
  <r>
    <s v="Senior Level Visit"/>
    <s v="Southeast Asia"/>
    <s v="Asia"/>
    <s v="No Specific Relationship"/>
    <s v="None"/>
    <s v="INDOPACOM"/>
    <s v="Indonesia"/>
    <x v="11"/>
    <n v="9"/>
    <x v="4"/>
    <s v="Chi Haotian"/>
    <m/>
    <s v="Defense Minister; CMC Member"/>
    <n v="8"/>
    <s v="Abroad"/>
    <s v="President"/>
    <m/>
    <m/>
    <m/>
    <m/>
    <m/>
    <m/>
    <m/>
    <m/>
  </r>
  <r>
    <s v="Senior Level Visit"/>
    <s v="Southeast Asia"/>
    <s v="Asia"/>
    <s v="No Specific Relationship"/>
    <s v="Bilateral Defense Treaty"/>
    <s v="INDOPACOM"/>
    <s v="Philippines"/>
    <x v="11"/>
    <n v="9"/>
    <x v="3"/>
    <s v="Chi Haotian"/>
    <m/>
    <s v="Defense Minister; CMC Member"/>
    <n v="8"/>
    <s v="Hosted"/>
    <s v="President"/>
    <m/>
    <m/>
    <m/>
    <m/>
    <m/>
    <m/>
    <m/>
    <m/>
  </r>
  <r>
    <s v="Senior Level Visit"/>
    <s v="Oceania"/>
    <s v="America and Oceania"/>
    <s v="No Specific Relationship"/>
    <s v="ANZUS Treaty"/>
    <s v="INDOPACOM"/>
    <s v="Australia"/>
    <x v="11"/>
    <n v="10"/>
    <x v="3"/>
    <s v="Xiong Guangkai"/>
    <m/>
    <s v="GSD DCGS"/>
    <n v="6"/>
    <s v="Hosted"/>
    <s v="Defense College Delegation led by Commander Jim Molan, President"/>
    <m/>
    <m/>
    <m/>
    <m/>
    <m/>
    <m/>
    <m/>
    <m/>
  </r>
  <r>
    <s v="Senior Level Visit"/>
    <s v="Europe"/>
    <s v="Europe and Central Asia"/>
    <s v="No Specific Relationship"/>
    <s v="NATO"/>
    <s v="EUCOM"/>
    <s v="Belgium"/>
    <x v="11"/>
    <n v="10"/>
    <x v="3"/>
    <s v="Chi Haotian"/>
    <m/>
    <s v="Defense Minister; CMC Member"/>
    <n v="8"/>
    <s v="Hosted"/>
    <s v="Defense Minister"/>
    <m/>
    <m/>
    <m/>
    <m/>
    <m/>
    <m/>
    <m/>
    <m/>
  </r>
  <r>
    <s v="Senior Level Visit"/>
    <s v="Europe"/>
    <s v="Europe and Central Asia"/>
    <s v="No Specific Relationship"/>
    <s v="NATO"/>
    <s v="EUCOM"/>
    <s v="Croatia"/>
    <x v="11"/>
    <n v="10"/>
    <x v="3"/>
    <s v="Chi Haotian"/>
    <m/>
    <s v="Defense Minister; CMC Member"/>
    <n v="8"/>
    <s v="Hosted"/>
    <s v="Parliamentary Speaker"/>
    <m/>
    <m/>
    <m/>
    <m/>
    <m/>
    <m/>
    <m/>
    <m/>
  </r>
  <r>
    <s v="Senior Level Visit"/>
    <s v="Europe"/>
    <s v="Europe and Central Asia"/>
    <s v="No Specific Relationship"/>
    <s v="NATO"/>
    <s v="EUCOM"/>
    <s v="Italy"/>
    <x v="11"/>
    <n v="10"/>
    <x v="3"/>
    <s v="Chi Haotian"/>
    <m/>
    <s v="Defense Minister; CMC Member"/>
    <n v="8"/>
    <s v="Hosted"/>
    <s v="Vice Minister of Defense"/>
    <m/>
    <m/>
    <m/>
    <m/>
    <m/>
    <m/>
    <m/>
    <m/>
  </r>
  <r>
    <s v="Military Exercise"/>
    <s v="Central Asia"/>
    <s v="Europe and Central Asia"/>
    <s v="No Specific Relationship"/>
    <s v="None"/>
    <s v="CENTCOM"/>
    <s v="Kyrgyzstan"/>
    <x v="11"/>
    <n v="10"/>
    <x v="5"/>
    <m/>
    <m/>
    <m/>
    <m/>
    <m/>
    <m/>
    <s v="Anti-terrorism"/>
    <s v="Exercise-01"/>
    <s v="Army"/>
    <m/>
    <m/>
    <m/>
    <m/>
    <m/>
  </r>
  <r>
    <s v="Senior Level Visit"/>
    <s v="South Asia"/>
    <s v="Asia"/>
    <s v="Strategic Partnership [战略伙伴关系]"/>
    <s v="Major Non-NATO Ally"/>
    <s v="CENTCOM"/>
    <s v="Pakistan"/>
    <x v="11"/>
    <n v="10"/>
    <x v="3"/>
    <s v="Fu Quanyou"/>
    <m/>
    <s v="GSD Commander; CMC Member"/>
    <n v="8"/>
    <s v="Hosted"/>
    <s v="Lieutenant General"/>
    <m/>
    <m/>
    <m/>
    <m/>
    <m/>
    <m/>
    <m/>
    <m/>
  </r>
  <r>
    <s v="Senior Level Visit"/>
    <s v="Europe"/>
    <s v="Europe and Central Asia"/>
    <s v="No Specific Relationship"/>
    <s v="NATO"/>
    <s v="EUCOM"/>
    <s v="Romania"/>
    <x v="11"/>
    <n v="10"/>
    <x v="3"/>
    <s v="Fu Quanyou"/>
    <m/>
    <s v="GSD Commander; CMC Member"/>
    <n v="8"/>
    <s v="Hosted"/>
    <s v="General Inspector of Armed Forces"/>
    <m/>
    <m/>
    <m/>
    <m/>
    <m/>
    <m/>
    <m/>
    <m/>
  </r>
  <r>
    <s v="Senior Level Visit"/>
    <s v="Northeast Asia"/>
    <s v="Asia"/>
    <s v="Full-Scale Cooperative Partnership [全面合作伙伴关系]"/>
    <s v="Bilateral Defense Treaty"/>
    <s v="INDOPACOM"/>
    <s v="South Korea"/>
    <x v="11"/>
    <n v="10"/>
    <x v="3"/>
    <s v="Fu Quanyou"/>
    <m/>
    <s v="GSD Commander; CMC Member"/>
    <n v="8"/>
    <s v="Hosted"/>
    <s v="Defense Minister"/>
    <m/>
    <m/>
    <m/>
    <m/>
    <m/>
    <m/>
    <m/>
    <m/>
  </r>
  <r>
    <s v="Senior Level Visit"/>
    <s v="Europe"/>
    <s v="Europe and Central Asia"/>
    <s v="No Specific Relationship"/>
    <s v="NATO"/>
    <s v="EUCOM"/>
    <s v="United Kingdom"/>
    <x v="11"/>
    <n v="10"/>
    <x v="3"/>
    <s v="Xiong Guangkai"/>
    <m/>
    <s v="GSD DCGS"/>
    <n v="6"/>
    <s v="Hosted"/>
    <s v="Delegation from Royal College of Defense Studies led by LTG Sir Christopher Wallace"/>
    <m/>
    <m/>
    <m/>
    <m/>
    <m/>
    <m/>
    <m/>
    <m/>
  </r>
  <r>
    <s v="Senior Level Visit"/>
    <s v="North America"/>
    <s v="America and Oceania"/>
    <s v="No Specific Relationship"/>
    <s v="N/A"/>
    <s v="NORTHCOM"/>
    <s v="United States"/>
    <x v="11"/>
    <n v="10"/>
    <x v="3"/>
    <s v="Chi Haotian"/>
    <m/>
    <s v="Defense Minister; CMC Member"/>
    <n v="8"/>
    <s v="Hosted"/>
    <s v="NDU President"/>
    <m/>
    <m/>
    <m/>
    <m/>
    <m/>
    <m/>
    <m/>
    <m/>
  </r>
  <r>
    <s v="Senior Level Visit"/>
    <s v="Southeast Asia"/>
    <s v="Asia"/>
    <s v="No Specific Relationship"/>
    <s v="None"/>
    <s v="INDOPACOM"/>
    <s v="Vietnam"/>
    <x v="11"/>
    <n v="10"/>
    <x v="3"/>
    <s v="Zhang Wannian"/>
    <m/>
    <s v="CMC Vice Chairman"/>
    <n v="10"/>
    <s v="Hosted"/>
    <s v="Director of Vietnam Military GPD Le Van Dung"/>
    <m/>
    <m/>
    <m/>
    <m/>
    <m/>
    <m/>
    <m/>
    <m/>
  </r>
  <r>
    <s v="Senior Level Visit"/>
    <s v="South America"/>
    <s v="America and Oceania"/>
    <s v="No Specific Relationship"/>
    <s v="None"/>
    <s v="SOUTHCOM"/>
    <s v="Chile"/>
    <x v="11"/>
    <n v="11"/>
    <x v="3"/>
    <s v="Chi Haotian"/>
    <m/>
    <s v="Defense Minister; CMC Member"/>
    <n v="8"/>
    <s v="Hosted"/>
    <s v="Director of Armed Forces"/>
    <m/>
    <m/>
    <m/>
    <m/>
    <m/>
    <m/>
    <m/>
    <m/>
  </r>
  <r>
    <s v="Senior Level Visit"/>
    <s v="Europe"/>
    <s v="Europe and Central Asia"/>
    <s v="No Specific Relationship"/>
    <s v="NATO"/>
    <s v="EUCOM"/>
    <s v="Croatia"/>
    <x v="11"/>
    <n v="11"/>
    <x v="3"/>
    <s v="Xiong Guangkai"/>
    <m/>
    <s v="GSD DCGS"/>
    <n v="6"/>
    <s v="Hosted"/>
    <s v="Commander of Air Force"/>
    <m/>
    <m/>
    <m/>
    <m/>
    <m/>
    <m/>
    <m/>
    <m/>
  </r>
  <r>
    <s v="Senior Level Visit"/>
    <s v="South Asia"/>
    <s v="Asia"/>
    <s v="No Specific Relationship"/>
    <s v="None"/>
    <s v="INDOPACOM"/>
    <s v="India"/>
    <x v="11"/>
    <n v="11"/>
    <x v="3"/>
    <s v="Liang Guanglie"/>
    <m/>
    <s v="GSD Commander; CMC Member"/>
    <n v="8"/>
    <s v="Hosted"/>
    <s v="Commander in Chief"/>
    <m/>
    <m/>
    <m/>
    <m/>
    <m/>
    <m/>
    <m/>
    <m/>
  </r>
  <r>
    <s v="Senior Level Visit"/>
    <s v="Africa"/>
    <s v="West Asia and Africa"/>
    <s v="No Specific Relationship"/>
    <s v="None"/>
    <s v="AFRICOM"/>
    <s v="Namibia"/>
    <x v="11"/>
    <n v="11"/>
    <x v="3"/>
    <s v="Liang Guanglie"/>
    <m/>
    <s v="GSD Commander; CMC Member"/>
    <n v="8"/>
    <s v="Hosted"/>
    <s v="Chief of General Staff"/>
    <m/>
    <m/>
    <m/>
    <m/>
    <m/>
    <m/>
    <m/>
    <m/>
  </r>
  <r>
    <s v="Senior Level Visit"/>
    <s v="Northeast Asia"/>
    <s v="Asia"/>
    <s v="Bilateral Defense Treaty"/>
    <s v="None"/>
    <s v="INDOPACOM"/>
    <s v="North Korea"/>
    <x v="11"/>
    <n v="11"/>
    <x v="3"/>
    <s v="Chi Haotian"/>
    <m/>
    <s v="Defense Minister; CMC Member"/>
    <n v="8"/>
    <s v="Hosted"/>
    <s v="KPA military foreign affairs delegation led by Sin Tong-Kun"/>
    <m/>
    <m/>
    <m/>
    <m/>
    <m/>
    <m/>
    <m/>
    <m/>
  </r>
  <r>
    <s v="Senior Level Visit"/>
    <s v="South Asia"/>
    <s v="Asia"/>
    <s v="Strategic Partnership [战略伙伴关系]"/>
    <s v="Major Non-NATO Ally"/>
    <s v="CENTCOM"/>
    <s v="Pakistan"/>
    <x v="11"/>
    <n v="11"/>
    <x v="3"/>
    <s v="Liang Guanglie"/>
    <m/>
    <s v="GSD Commander; CMC Member"/>
    <n v="8"/>
    <s v="Hosted"/>
    <s v="Chief of General Staff"/>
    <m/>
    <m/>
    <m/>
    <m/>
    <m/>
    <m/>
    <m/>
    <m/>
  </r>
  <r>
    <s v="Senior Level Visit"/>
    <s v="Southeast Asia"/>
    <s v="Asia"/>
    <s v="No Specific Relationship"/>
    <s v="None"/>
    <s v="INDOPACOM"/>
    <s v="Singapore"/>
    <x v="11"/>
    <n v="11"/>
    <x v="3"/>
    <s v="Chi Haotian"/>
    <m/>
    <s v="Defense Minister; CMC Member"/>
    <n v="8"/>
    <s v="Hosted"/>
    <s v="Chief of Air Force"/>
    <m/>
    <m/>
    <m/>
    <m/>
    <m/>
    <m/>
    <m/>
    <m/>
  </r>
  <r>
    <s v="Senior Level Visit"/>
    <s v="Africa"/>
    <s v="West Asia and Africa"/>
    <s v="No Specific Relationship"/>
    <s v="None"/>
    <s v="AFRICOM"/>
    <s v="South Africa"/>
    <x v="11"/>
    <n v="11"/>
    <x v="3"/>
    <s v="Xiong Guangkai"/>
    <m/>
    <s v="GSD DCGS"/>
    <n v="6"/>
    <s v="Hosted"/>
    <s v="Vice Admiral"/>
    <m/>
    <m/>
    <m/>
    <m/>
    <m/>
    <m/>
    <m/>
    <m/>
  </r>
  <r>
    <s v="Senior Level Visit"/>
    <s v="Europe"/>
    <s v="Europe and Central Asia"/>
    <s v="No Specific Relationship"/>
    <s v="NATO"/>
    <s v="EUCOM"/>
    <s v="Spain"/>
    <x v="11"/>
    <n v="11"/>
    <x v="3"/>
    <s v="Xiong Guangkai"/>
    <m/>
    <s v="GSD DCGS"/>
    <n v="6"/>
    <s v="Hosted"/>
    <s v="Admiral Chief"/>
    <m/>
    <m/>
    <m/>
    <m/>
    <m/>
    <m/>
    <m/>
    <m/>
  </r>
  <r>
    <s v="Senior Level Visit"/>
    <s v="North America"/>
    <s v="America and Oceania"/>
    <s v="No Specific Relationship"/>
    <s v="N/A"/>
    <s v="NORTHCOM"/>
    <s v="United States"/>
    <x v="11"/>
    <n v="11"/>
    <x v="3"/>
    <s v="Chi Haotian"/>
    <m/>
    <s v="Defense Minister; CMC Member"/>
    <n v="8"/>
    <s v="Hosted"/>
    <s v="Former Official"/>
    <m/>
    <m/>
    <m/>
    <m/>
    <m/>
    <m/>
    <m/>
    <m/>
  </r>
  <r>
    <s v="Senior Level Visit"/>
    <s v="Africa"/>
    <s v="West Asia and Africa"/>
    <s v="Comprehensive Strategic Cooperative Partnership [全面战略合作伙伴关系]"/>
    <s v="None"/>
    <s v="AFRICOM"/>
    <s v="Eritrea"/>
    <x v="11"/>
    <n v="12"/>
    <x v="3"/>
    <s v="Chi Haotian"/>
    <m/>
    <s v="Defense Minister; CMC Member"/>
    <n v="8"/>
    <s v="Hosted"/>
    <s v="Defense Minister"/>
    <m/>
    <m/>
    <m/>
    <m/>
    <m/>
    <m/>
    <m/>
    <m/>
  </r>
  <r>
    <s v="Senior Level Visit"/>
    <s v="Middle East"/>
    <s v="West Asia and Africa"/>
    <s v="No Specific Relationship"/>
    <s v="Major Non-NATO Ally"/>
    <s v="CENTCOM"/>
    <s v="Kuwait"/>
    <x v="11"/>
    <n v="12"/>
    <x v="3"/>
    <s v="Cao Gangchuan"/>
    <m/>
    <s v="CMC Vice Chairman; Defense Minister"/>
    <n v="10"/>
    <s v="Hosted"/>
    <s v="COGS Alimohammad Al-Mumen"/>
    <m/>
    <m/>
    <m/>
    <m/>
    <m/>
    <m/>
    <m/>
    <m/>
  </r>
  <r>
    <s v="Senior Level Visit"/>
    <s v="Southeast Asia"/>
    <s v="Asia"/>
    <s v="No Specific Relationship"/>
    <s v="None"/>
    <s v="INDOPACOM"/>
    <s v="Laos"/>
    <x v="11"/>
    <n v="12"/>
    <x v="3"/>
    <s v="Chi Haotian"/>
    <m/>
    <s v="Defense Minister; CMC Member"/>
    <n v="8"/>
    <s v="Hosted"/>
    <s v="Defense Minister"/>
    <m/>
    <m/>
    <m/>
    <m/>
    <m/>
    <m/>
    <m/>
    <m/>
  </r>
  <r>
    <s v="Senior Level Visit"/>
    <s v="Northeast Asia"/>
    <s v="Asia"/>
    <s v="No Specific Relationship"/>
    <s v="None"/>
    <s v="INDOPACOM"/>
    <s v="Mongolia"/>
    <x v="11"/>
    <n v="12"/>
    <x v="3"/>
    <s v="Chi Haotian"/>
    <m/>
    <s v="Defense Minister; CMC Member"/>
    <n v="8"/>
    <s v="Hosted"/>
    <s v="Defense Minister"/>
    <m/>
    <m/>
    <m/>
    <m/>
    <m/>
    <m/>
    <m/>
    <m/>
  </r>
  <r>
    <s v="Senior Level Visit"/>
    <s v="Southeast Asia"/>
    <s v="Asia"/>
    <s v="No Specific Relationship"/>
    <s v="None"/>
    <s v="INDOPACOM"/>
    <s v="Myanmar"/>
    <x v="11"/>
    <n v="12"/>
    <x v="3"/>
    <s v="Cao Gangchuan"/>
    <m/>
    <s v="CMC Vice Chairman; Defense Minister"/>
    <n v="10"/>
    <s v="Hosted"/>
    <s v="COGS Thura Shwe Mann"/>
    <m/>
    <m/>
    <m/>
    <m/>
    <m/>
    <m/>
    <m/>
    <m/>
  </r>
  <r>
    <s v="Senior Level Visit"/>
    <s v="Africa"/>
    <s v="West Asia and Africa"/>
    <s v="No Specific Relationship"/>
    <s v="None"/>
    <s v="AFRICOM"/>
    <s v="Nigeria"/>
    <x v="11"/>
    <n v="12"/>
    <x v="3"/>
    <s v="Chi Haotian"/>
    <m/>
    <s v="Defense Minister; CMC Member"/>
    <n v="8"/>
    <s v="Hosted"/>
    <s v="Defense Minister"/>
    <m/>
    <m/>
    <m/>
    <m/>
    <m/>
    <m/>
    <m/>
    <m/>
  </r>
  <r>
    <s v="Senior Level Visit"/>
    <s v="Europe"/>
    <s v="Europe and Central Asia"/>
    <s v="No Specific Relationship"/>
    <s v="NATO"/>
    <s v="EUCOM"/>
    <s v="Romania"/>
    <x v="11"/>
    <n v="12"/>
    <x v="3"/>
    <s v="Cao Gangchuan"/>
    <m/>
    <s v="CMC Vice Chairman; Defense Minister"/>
    <n v="10"/>
    <s v="Hosted"/>
    <s v="COGS Mihail Popescu"/>
    <m/>
    <m/>
    <m/>
    <m/>
    <m/>
    <m/>
    <m/>
    <m/>
  </r>
  <r>
    <s v="Senior Level Visit"/>
    <s v="Russia"/>
    <s v="Europe and Central Asia"/>
    <s v="Strategic Partnership of Coordination [战略协作伙伴关系]"/>
    <s v="None"/>
    <s v="EUCOM"/>
    <s v="Russia"/>
    <x v="11"/>
    <n v="12"/>
    <x v="3"/>
    <s v="Chi Haotian"/>
    <m/>
    <s v="Defense Minister; CMC Member"/>
    <n v="8"/>
    <s v="Hosted"/>
    <s v="Chief of General Staff"/>
    <m/>
    <m/>
    <m/>
    <m/>
    <m/>
    <m/>
    <m/>
    <m/>
  </r>
  <r>
    <s v="Senior Level Visit"/>
    <s v="Central Asia"/>
    <s v="Europe and Central Asia"/>
    <s v="No Specific Relationship"/>
    <s v="None"/>
    <s v="CENTCOM"/>
    <s v="Turkmenistan"/>
    <x v="11"/>
    <n v="12"/>
    <x v="3"/>
    <s v="Chi Haotian"/>
    <m/>
    <s v="Defense Minister; CMC Member"/>
    <n v="8"/>
    <s v="Hosted"/>
    <s v="Vice Premier"/>
    <m/>
    <m/>
    <m/>
    <m/>
    <m/>
    <m/>
    <m/>
    <m/>
  </r>
  <r>
    <s v="Senior Level Visit"/>
    <s v="North America"/>
    <s v="America and Oceania"/>
    <s v="No Specific Relationship"/>
    <s v="N/A"/>
    <s v="NORTHCOM"/>
    <s v="United States"/>
    <x v="11"/>
    <n v="12"/>
    <x v="3"/>
    <s v="Liang Guanglie"/>
    <m/>
    <s v="GSD Commander; CMC Member"/>
    <n v="8"/>
    <s v="Hosted"/>
    <s v="Deputy Secretary of State"/>
    <m/>
    <m/>
    <m/>
    <m/>
    <m/>
    <m/>
    <m/>
    <m/>
  </r>
  <r>
    <s v="Senior Level Visit"/>
    <s v="North America"/>
    <s v="America and Oceania"/>
    <s v="No Specific Relationship"/>
    <s v="N/A"/>
    <s v="NORTHCOM"/>
    <s v="United States"/>
    <x v="11"/>
    <n v="12"/>
    <x v="4"/>
    <s v="Xiong Guangkai"/>
    <m/>
    <s v="GSD DCGS"/>
    <n v="6"/>
    <s v="Abroad"/>
    <s v="Admiral"/>
    <m/>
    <m/>
    <m/>
    <m/>
    <m/>
    <m/>
    <m/>
    <m/>
  </r>
  <r>
    <s v="Senior Level Visit"/>
    <s v="Central Asia"/>
    <s v="Europe and Central Asia"/>
    <s v="No Specific Relationship"/>
    <s v="None"/>
    <s v="CENTCOM"/>
    <s v="Uzbekistan"/>
    <x v="11"/>
    <n v="12"/>
    <x v="4"/>
    <s v="Chi Haotian"/>
    <m/>
    <s v="Defense Minister; CMC Member"/>
    <n v="8"/>
    <s v="Abroad"/>
    <s v="Defense Minister"/>
    <m/>
    <m/>
    <m/>
    <m/>
    <m/>
    <m/>
    <m/>
    <m/>
  </r>
  <r>
    <s v="Naval Port Call"/>
    <s v="Europe"/>
    <s v="Europe "/>
    <s v="No Specific Relationship"/>
    <s v="NATO"/>
    <s v="EUCOM"/>
    <s v="France"/>
    <x v="11"/>
    <m/>
    <x v="0"/>
    <m/>
    <m/>
    <m/>
    <m/>
    <m/>
    <m/>
    <m/>
    <m/>
    <m/>
    <m/>
    <s v="NETF"/>
    <m/>
    <m/>
    <m/>
  </r>
  <r>
    <s v="Senior Level Visit"/>
    <s v="Europe"/>
    <s v="Europe and Central Asia"/>
    <s v="No Specific Relationship"/>
    <s v="NATO"/>
    <s v="EUCOM"/>
    <s v="Italy"/>
    <x v="12"/>
    <n v="1"/>
    <x v="3"/>
    <s v="Liang Guanglie"/>
    <m/>
    <s v="GSD Commander; CMC Member"/>
    <n v="8"/>
    <s v="Hosted"/>
    <s v="Army Chief of Staff"/>
    <m/>
    <m/>
    <m/>
    <m/>
    <m/>
    <m/>
    <m/>
    <m/>
  </r>
  <r>
    <s v="Senior Level Visit"/>
    <s v="South America"/>
    <s v="America and Oceania"/>
    <s v="Comprehensive Partnership [全面伙伴关系]"/>
    <s v="Major Non-NATO Ally"/>
    <s v="SOUTHCOM"/>
    <s v="Argentina"/>
    <x v="12"/>
    <n v="2"/>
    <x v="4"/>
    <s v="Xiong Guangkai"/>
    <m/>
    <s v="GSD DCGS"/>
    <n v="6"/>
    <s v="Abroad"/>
    <m/>
    <m/>
    <m/>
    <m/>
    <m/>
    <m/>
    <m/>
    <m/>
    <m/>
  </r>
  <r>
    <s v="Senior Level Visit"/>
    <s v="South America"/>
    <s v="America and Oceania"/>
    <s v="Strategic Partnership [战略伙伴关系]"/>
    <s v="None"/>
    <s v="SOUTHCOM"/>
    <s v="Brazil"/>
    <x v="12"/>
    <n v="2"/>
    <x v="4"/>
    <s v="Xiong Guangkai"/>
    <m/>
    <s v="GSD DCGS"/>
    <n v="6"/>
    <s v="Abroad"/>
    <m/>
    <m/>
    <m/>
    <m/>
    <m/>
    <m/>
    <m/>
    <m/>
    <m/>
  </r>
  <r>
    <s v="Senior Level Visit"/>
    <s v="South America"/>
    <s v="America and Oceania"/>
    <s v="No Specific Relationship"/>
    <s v="None"/>
    <s v="SOUTHCOM"/>
    <s v="Chile"/>
    <x v="12"/>
    <n v="2"/>
    <x v="4"/>
    <s v="Xiong Guangkai"/>
    <m/>
    <s v="GSD DCGS"/>
    <n v="6"/>
    <s v="Abroad"/>
    <m/>
    <m/>
    <m/>
    <m/>
    <m/>
    <m/>
    <m/>
    <m/>
    <m/>
  </r>
  <r>
    <s v="Senior Level Visit"/>
    <s v="Middle East"/>
    <s v="West Asia and Africa"/>
    <s v="Strategic Cooperative Partnership [战略合作伙伴关系]"/>
    <s v="Major Non-NATO Ally"/>
    <s v="CENTCOM"/>
    <s v="Egypt"/>
    <x v="12"/>
    <n v="2"/>
    <x v="4"/>
    <s v="Liu Shunyao"/>
    <m/>
    <s v="PLAAF Commander"/>
    <n v="8"/>
    <s v="Abroad"/>
    <m/>
    <m/>
    <m/>
    <m/>
    <m/>
    <m/>
    <m/>
    <m/>
    <m/>
  </r>
  <r>
    <s v="Senior Level Visit"/>
    <s v="Africa"/>
    <s v="West Asia and Africa"/>
    <s v="No Specific Relationship"/>
    <s v="None"/>
    <s v="AFRICOM"/>
    <s v="Sudan"/>
    <x v="12"/>
    <n v="2"/>
    <x v="4"/>
    <s v="Liu Shunyao"/>
    <m/>
    <s v="PLAAF Commander"/>
    <n v="8"/>
    <s v="Abroad"/>
    <m/>
    <m/>
    <m/>
    <m/>
    <m/>
    <m/>
    <m/>
    <m/>
    <m/>
  </r>
  <r>
    <s v="Senior Level Visit"/>
    <s v="South America"/>
    <s v="America and Oceania"/>
    <s v="No Specific Relationship"/>
    <s v="None"/>
    <s v="SOUTHCOM"/>
    <s v="Cuba"/>
    <x v="12"/>
    <n v="3"/>
    <x v="4"/>
    <s v="Xiong Guangkai"/>
    <m/>
    <s v="GSD DCGS"/>
    <n v="6"/>
    <s v="Abroad"/>
    <m/>
    <m/>
    <m/>
    <m/>
    <m/>
    <m/>
    <m/>
    <m/>
    <m/>
  </r>
  <r>
    <s v="Senior Level Visit"/>
    <s v="Northeast Asia"/>
    <s v="Asia"/>
    <s v="Comprehensive Cooperative Partnership [全面合作伙伴关系]"/>
    <s v="Bilateral Defense Treaty"/>
    <s v="INDOPACOM"/>
    <s v="South Korea"/>
    <x v="12"/>
    <n v="3"/>
    <x v="4"/>
    <s v="Xiong Guangkai"/>
    <m/>
    <s v="GSD DCGS"/>
    <n v="6"/>
    <s v="Abroad"/>
    <m/>
    <m/>
    <m/>
    <m/>
    <m/>
    <m/>
    <m/>
    <m/>
    <m/>
  </r>
  <r>
    <s v="Senior Level Visit"/>
    <s v="South America"/>
    <s v="America and Oceania"/>
    <s v="No Specific Relationship"/>
    <s v="None"/>
    <s v="SOUTHCOM"/>
    <s v="Trinidad and Tobago"/>
    <x v="12"/>
    <n v="3"/>
    <x v="4"/>
    <s v="Xiong Guangkai"/>
    <m/>
    <s v="GSD DCGS"/>
    <n v="6"/>
    <s v="Abroad"/>
    <m/>
    <m/>
    <m/>
    <m/>
    <m/>
    <m/>
    <m/>
    <m/>
    <m/>
  </r>
  <r>
    <s v="Senior Level Visit"/>
    <s v="Africa"/>
    <s v="West Asia and Africa"/>
    <s v="No Specific Relationship"/>
    <s v="None"/>
    <s v="AFRICOM"/>
    <s v="Algeria"/>
    <x v="12"/>
    <n v="4"/>
    <x v="4"/>
    <s v="Liu Yongzhi"/>
    <m/>
    <s v="PLAN Political Commissar"/>
    <n v="6"/>
    <s v="Abroad"/>
    <m/>
    <m/>
    <m/>
    <m/>
    <m/>
    <m/>
    <m/>
    <m/>
    <m/>
  </r>
  <r>
    <s v="Senior Level Visit"/>
    <s v="Europe"/>
    <s v="Europe and Central Asia"/>
    <s v="Comprehensive Cooperative Partnership [全面合作伙伴关系]"/>
    <s v="None"/>
    <s v="EUCOM"/>
    <s v="Belarus"/>
    <x v="12"/>
    <n v="4"/>
    <x v="3"/>
    <s v="Li Jinai"/>
    <m/>
    <s v="GAD Director; CMC Member"/>
    <n v="8"/>
    <s v="Hosted"/>
    <s v="COGS "/>
    <m/>
    <m/>
    <m/>
    <m/>
    <m/>
    <m/>
    <m/>
    <m/>
  </r>
  <r>
    <s v="Senior Level Visit"/>
    <s v="South Asia"/>
    <s v="Asia"/>
    <s v="Comprehensive Cooperative Partnership [全面合作伙伴关系]"/>
    <s v="None"/>
    <s v="INDOPACOM"/>
    <s v="India"/>
    <x v="12"/>
    <n v="4"/>
    <x v="3"/>
    <s v="Cao Gangchuan"/>
    <m/>
    <s v="CMC Vice Chairman; Defense Minister"/>
    <n v="10"/>
    <s v="Hosted"/>
    <s v="Defense Minister"/>
    <m/>
    <m/>
    <m/>
    <m/>
    <m/>
    <m/>
    <m/>
    <m/>
  </r>
  <r>
    <s v="Senior Level Visit"/>
    <s v="North America"/>
    <s v="America and Oceania"/>
    <s v="Strategic Cooperative Partnership [战略合作伙伴关系]"/>
    <s v="None"/>
    <s v="NORTHCOM"/>
    <s v="Mexico"/>
    <x v="12"/>
    <n v="4"/>
    <x v="4"/>
    <s v="Liu Yongzhi"/>
    <m/>
    <s v="PLAN Political Commissar"/>
    <n v="6"/>
    <s v="Abroad"/>
    <m/>
    <m/>
    <m/>
    <m/>
    <m/>
    <m/>
    <m/>
    <m/>
    <m/>
  </r>
  <r>
    <s v="Senior Level Visit"/>
    <s v="Northeast Asia"/>
    <s v="Asia"/>
    <s v="No Specific Relationship"/>
    <s v="None"/>
    <s v="INDOPACOM"/>
    <s v="Mongolia"/>
    <x v="12"/>
    <n v="4"/>
    <x v="3"/>
    <s v="Xiong Guangkai"/>
    <m/>
    <s v="GSD DCGS"/>
    <n v="6"/>
    <s v="Hosted"/>
    <s v="Chief of General Department of Border"/>
    <m/>
    <m/>
    <m/>
    <m/>
    <m/>
    <m/>
    <m/>
    <m/>
  </r>
  <r>
    <s v="Senior Level Visit"/>
    <s v="Northeast Asia"/>
    <s v="Asia"/>
    <s v="Bilateral Defense Treaty"/>
    <s v="None"/>
    <s v="INDOPACOM"/>
    <s v="North Korea"/>
    <x v="12"/>
    <n v="4"/>
    <x v="3"/>
    <s v="Guo Boxiong"/>
    <m/>
    <s v="CMC Vice Chairman"/>
    <n v="10"/>
    <s v="Hosted"/>
    <s v="First Vice-Chairman of DPRK National Defense Commission "/>
    <m/>
    <m/>
    <m/>
    <m/>
    <m/>
    <m/>
    <m/>
    <m/>
  </r>
  <r>
    <s v="Senior Level Visit"/>
    <s v="Europe"/>
    <s v="Europe and Central Asia"/>
    <s v="No Specific Relationship"/>
    <s v="None"/>
    <s v="EUCOM"/>
    <s v="Switzerland"/>
    <x v="12"/>
    <n v="4"/>
    <x v="3"/>
    <s v="Xiong Guangkai"/>
    <m/>
    <s v="GSD DCGS"/>
    <n v="6"/>
    <s v="Hosted"/>
    <s v="Defense Minister"/>
    <m/>
    <m/>
    <m/>
    <m/>
    <m/>
    <m/>
    <m/>
    <m/>
  </r>
  <r>
    <s v="Senior Level Visit"/>
    <s v="Europe"/>
    <s v="Europe and Central Asia"/>
    <s v="No Specific Relationship"/>
    <s v="NATO"/>
    <s v="EUCOM"/>
    <s v="Bulgaria"/>
    <x v="12"/>
    <n v="5"/>
    <x v="3"/>
    <s v="Cao Gangchuan"/>
    <m/>
    <s v="CMC Vice Chairman; Defense Minister"/>
    <n v="10"/>
    <s v="Hosted"/>
    <s v="Defense Minister"/>
    <m/>
    <m/>
    <m/>
    <m/>
    <m/>
    <m/>
    <m/>
    <m/>
  </r>
  <r>
    <s v="Senior Level Visit"/>
    <s v="North America"/>
    <s v="America and Oceania"/>
    <s v="Comprehensive Partnership [全面伙伴关系]"/>
    <s v="NATO"/>
    <s v="NORTHCOM"/>
    <s v="Canada"/>
    <x v="12"/>
    <n v="5"/>
    <x v="3"/>
    <s v="Cao Gangchuan"/>
    <m/>
    <s v="CMC Vice Chairman; Defense Minister"/>
    <n v="10"/>
    <s v="Hosted"/>
    <s v="Defense Minister"/>
    <m/>
    <m/>
    <m/>
    <m/>
    <m/>
    <m/>
    <m/>
    <m/>
  </r>
  <r>
    <s v="Senior Level Visit"/>
    <s v="South America"/>
    <s v="America and Oceania"/>
    <s v="No Specific Relationship"/>
    <s v="None"/>
    <s v="SOUTHCOM"/>
    <s v="Chile"/>
    <x v="12"/>
    <n v="5"/>
    <x v="3"/>
    <s v="Cao Gangchuan"/>
    <m/>
    <s v="CMC Vice Chairman; Defense Minister"/>
    <n v="10"/>
    <s v="Hosted"/>
    <s v="CinC Navy"/>
    <m/>
    <m/>
    <m/>
    <m/>
    <m/>
    <m/>
    <m/>
    <m/>
  </r>
  <r>
    <s v="Senior Level Visit"/>
    <s v="Africa"/>
    <s v="West Asia and Africa"/>
    <s v="No Specific Relationship"/>
    <s v="None"/>
    <s v="AFRICOM"/>
    <s v="Congo"/>
    <x v="12"/>
    <n v="5"/>
    <x v="3"/>
    <s v="Cao Gangchuan"/>
    <m/>
    <s v="CMC Vice Chairman; Defense Minister"/>
    <n v="10"/>
    <s v="Hosted"/>
    <s v="Minister Delegate in the Presidency in Charge of National Defense"/>
    <m/>
    <m/>
    <m/>
    <m/>
    <m/>
    <m/>
    <m/>
    <m/>
  </r>
  <r>
    <s v="Senior Level Visit"/>
    <s v="Europe"/>
    <s v="Europe and Central Asia"/>
    <s v="Comprehensive Partnership [全面伙伴关系]"/>
    <s v="NATO"/>
    <s v="EUCOM"/>
    <s v="France"/>
    <x v="12"/>
    <n v="5"/>
    <x v="3"/>
    <s v="Cao Gangchuan"/>
    <m/>
    <s v="CMC Vice Chairman; Defense Minister"/>
    <n v="10"/>
    <s v="Hosted"/>
    <s v="Defense Minister"/>
    <m/>
    <m/>
    <m/>
    <m/>
    <m/>
    <m/>
    <m/>
    <m/>
  </r>
  <r>
    <s v="Senior Level Visit"/>
    <s v="Europe"/>
    <s v="Europe and Central Asia"/>
    <s v="Comprehensive Partnership [全面伙伴关系]"/>
    <s v="NATO"/>
    <s v="EUCOM"/>
    <s v="France"/>
    <x v="12"/>
    <n v="5"/>
    <x v="4"/>
    <s v="Xiong Guangkai"/>
    <m/>
    <s v="GSD DCGS"/>
    <n v="6"/>
    <s v="Abroad"/>
    <m/>
    <m/>
    <m/>
    <m/>
    <m/>
    <m/>
    <m/>
    <m/>
    <m/>
  </r>
  <r>
    <s v="Senior Level Visit"/>
    <s v="Central Asia"/>
    <s v="Europe and Central Asia"/>
    <s v="Comprehensive Cooperative Partnership [全面合作伙伴关系]"/>
    <s v="None"/>
    <s v="CENTCOM"/>
    <s v="Kazakhstan"/>
    <x v="12"/>
    <n v="5"/>
    <x v="3"/>
    <s v="Cao Gangchuan"/>
    <m/>
    <s v="CMC Vice Chairman; Defense Minister"/>
    <n v="10"/>
    <s v="Hosted"/>
    <m/>
    <m/>
    <m/>
    <m/>
    <m/>
    <m/>
    <m/>
    <m/>
    <m/>
  </r>
  <r>
    <s v="Senior Level Visit"/>
    <s v="Central Asia"/>
    <s v="Europe and Central Asia"/>
    <s v="No Specific Relationship"/>
    <s v="None"/>
    <s v="CENTCOM"/>
    <s v="Kyrgyzstan"/>
    <x v="12"/>
    <n v="5"/>
    <x v="3"/>
    <s v="Cao Gangchuan"/>
    <m/>
    <s v="CMC Vice Chairman; Defense Minister"/>
    <n v="10"/>
    <s v="Hosted"/>
    <m/>
    <m/>
    <m/>
    <m/>
    <m/>
    <m/>
    <m/>
    <m/>
    <m/>
  </r>
  <r>
    <s v="Senior Level Visit"/>
    <s v="Africa"/>
    <s v="West Asia and Africa"/>
    <s v="No Specific Relationship"/>
    <s v="Major Non-NATO Ally"/>
    <s v="AFRICOM"/>
    <s v="Morocco"/>
    <x v="12"/>
    <n v="5"/>
    <x v="4"/>
    <s v="Liang Guanglie"/>
    <m/>
    <s v="GSD Commander; CMC Member"/>
    <n v="8"/>
    <s v="Abroad"/>
    <m/>
    <m/>
    <m/>
    <m/>
    <m/>
    <m/>
    <m/>
    <m/>
    <m/>
  </r>
  <r>
    <s v="Senior Level Visit"/>
    <s v="Russia"/>
    <s v="Europe and Central Asia"/>
    <s v="Strategic Partnership of Coordination [战略协作伙伴关系]"/>
    <s v="None"/>
    <s v="EUCOM"/>
    <s v="Russia"/>
    <x v="12"/>
    <n v="5"/>
    <x v="3"/>
    <s v="Cao Gangchuan"/>
    <m/>
    <s v="CMC Vice Chairman; Defense Minister"/>
    <n v="10"/>
    <s v="Hosted"/>
    <s v="Russian Ambassador to China"/>
    <m/>
    <m/>
    <m/>
    <m/>
    <m/>
    <m/>
    <m/>
    <m/>
  </r>
  <r>
    <s v="Senior Level Visit"/>
    <s v="Russia"/>
    <s v="Europe and Central Asia"/>
    <s v="Strategic Partnership of Coordination [战略协作伙伴关系]"/>
    <s v="None"/>
    <s v="EUCOM"/>
    <s v="Russia"/>
    <x v="12"/>
    <n v="5"/>
    <x v="4"/>
    <s v="Cao Gangchuan"/>
    <m/>
    <s v="CMC Vice Chairman; Defense Minister"/>
    <n v="8"/>
    <s v="Abroad"/>
    <m/>
    <m/>
    <m/>
    <m/>
    <m/>
    <m/>
    <m/>
    <m/>
    <m/>
  </r>
  <r>
    <s v="Senior Level Visit"/>
    <s v="Central Asia"/>
    <s v="Europe and Central Asia"/>
    <s v="Member"/>
    <s v="None"/>
    <s v="CENTCOM"/>
    <s v="SCO"/>
    <x v="12"/>
    <n v="5"/>
    <x v="1"/>
    <s v="Cao Gangchuan"/>
    <m/>
    <s v="CMC Vice Chairman; Defense Minister"/>
    <n v="8"/>
    <s v="Hosted"/>
    <s v="Third official meeting of the SCO Ministers' of Defense in Moscow; Other countries: Kazakhstan, Kyrgyztan, Russia, Tajikistan, Uzbekistan"/>
    <m/>
    <m/>
    <m/>
    <m/>
    <m/>
    <m/>
    <m/>
    <m/>
  </r>
  <r>
    <s v="Senior Level Visit"/>
    <s v="Africa"/>
    <s v="West Asia and Africa"/>
    <s v="No Specific Relationship"/>
    <s v="None"/>
    <s v="AFRICOM"/>
    <s v="South Africa"/>
    <x v="12"/>
    <n v="5"/>
    <x v="4"/>
    <s v="Liang Guanglie"/>
    <m/>
    <s v="GSD Commander; CMC Member"/>
    <n v="8"/>
    <s v="Abroad"/>
    <m/>
    <m/>
    <m/>
    <m/>
    <m/>
    <m/>
    <m/>
    <m/>
    <m/>
  </r>
  <r>
    <s v="Senior Level Visit"/>
    <s v="Central Asia"/>
    <s v="Europe and Central Asia"/>
    <s v="No Specific Relationship"/>
    <s v="None"/>
    <s v="CENTCOM"/>
    <s v="Tajikistan"/>
    <x v="12"/>
    <n v="5"/>
    <x v="3"/>
    <s v="Cao Gangchuan"/>
    <m/>
    <s v="CMC Vice Chairman; Defense Minister"/>
    <n v="10"/>
    <s v="Hosted"/>
    <m/>
    <m/>
    <m/>
    <m/>
    <m/>
    <m/>
    <m/>
    <m/>
    <m/>
  </r>
  <r>
    <s v="Senior Level Visit"/>
    <s v="Africa"/>
    <s v="West Asia and Africa"/>
    <s v="No Specific Relationship"/>
    <s v="None"/>
    <s v="AFRICOM"/>
    <s v="Tanzania"/>
    <x v="12"/>
    <n v="5"/>
    <x v="4"/>
    <s v="Liang Guanglie"/>
    <m/>
    <s v="GSD Commander; CMC Member"/>
    <n v="8"/>
    <s v="Abroad"/>
    <m/>
    <m/>
    <m/>
    <m/>
    <m/>
    <m/>
    <m/>
    <m/>
    <m/>
  </r>
  <r>
    <s v="Senior Level Visit"/>
    <s v="North America"/>
    <s v="America and Oceania"/>
    <s v="No Specific Relationship"/>
    <s v="N/A"/>
    <s v="NORTHCOM"/>
    <s v="United States"/>
    <x v="12"/>
    <n v="5"/>
    <x v="4"/>
    <s v="Xu Caihou"/>
    <m/>
    <s v="GPD Director; CMC Member"/>
    <n v="8"/>
    <s v="Abroad"/>
    <m/>
    <m/>
    <m/>
    <m/>
    <m/>
    <m/>
    <m/>
    <m/>
    <m/>
  </r>
  <r>
    <s v="Senior Level Visit"/>
    <s v="Africa"/>
    <s v="West Asia and Africa"/>
    <s v="No Specific Relationship"/>
    <s v="None"/>
    <s v="AFRICOM"/>
    <s v="Zambia"/>
    <x v="12"/>
    <n v="5"/>
    <x v="3"/>
    <s v="Cao Gangchuan"/>
    <m/>
    <s v="CMC Vice Chairman; Defense Minister"/>
    <n v="10"/>
    <s v="Hosted"/>
    <s v="Permanent Secretary of Ministry of Defense"/>
    <m/>
    <m/>
    <m/>
    <m/>
    <m/>
    <m/>
    <m/>
    <m/>
  </r>
  <r>
    <s v="Senior Level Visit"/>
    <s v="Africa"/>
    <s v="West Asia and Africa"/>
    <s v="No Specific Relationship"/>
    <s v="None"/>
    <s v="AFRICOM"/>
    <s v="Guinea"/>
    <x v="12"/>
    <n v="7"/>
    <x v="3"/>
    <s v="Liang Guanglie"/>
    <m/>
    <s v="GSD Commander; CMC Member"/>
    <n v="8"/>
    <s v="Hosted"/>
    <s v="COGS Guinean Armed Forces"/>
    <m/>
    <m/>
    <m/>
    <m/>
    <m/>
    <m/>
    <m/>
    <m/>
  </r>
  <r>
    <s v="Senior Level Visit"/>
    <s v="Europe"/>
    <s v="Europe and Central Asia"/>
    <s v="No Specific Relationship"/>
    <s v="NATO"/>
    <s v="EUCOM"/>
    <s v="Czech Republic"/>
    <x v="12"/>
    <n v="8"/>
    <x v="4"/>
    <s v="Chi Wanchun"/>
    <m/>
    <s v="GAD Political Commissar"/>
    <n v="6"/>
    <s v="Abroad"/>
    <m/>
    <m/>
    <m/>
    <m/>
    <m/>
    <m/>
    <m/>
    <m/>
    <m/>
  </r>
  <r>
    <s v="Senior Level Visit"/>
    <s v="Middle East"/>
    <s v="West Asia and Africa"/>
    <s v="Strategic Cooperative Partnership [战略合作伙伴关系]"/>
    <s v="Major Non-NATO Ally"/>
    <s v="CENTCOM"/>
    <s v="Egypt"/>
    <x v="12"/>
    <n v="8"/>
    <x v="4"/>
    <s v="Liu Yongzhi"/>
    <m/>
    <s v="AMS Political Commissar"/>
    <n v="6"/>
    <s v="Abroad"/>
    <m/>
    <m/>
    <m/>
    <m/>
    <m/>
    <m/>
    <m/>
    <m/>
    <m/>
  </r>
  <r>
    <s v="Senior Level Visit"/>
    <s v="Southeast Asia"/>
    <s v="Asia"/>
    <s v="No Specific Relationship"/>
    <s v="None"/>
    <s v="INDOPACOM"/>
    <s v="Myanmar"/>
    <x v="12"/>
    <n v="8"/>
    <x v="3"/>
    <s v="Cao Gangchuan"/>
    <m/>
    <s v="CMC Vice Chairman; Defense Minister"/>
    <n v="10"/>
    <s v="Hosted"/>
    <s v="Vice Chairman of State Peace and Development Council, Deputy CinC Defense Services, CinC Army"/>
    <m/>
    <m/>
    <m/>
    <m/>
    <m/>
    <m/>
    <m/>
    <m/>
  </r>
  <r>
    <s v="Senior Level Visit"/>
    <s v="Northeast Asia"/>
    <s v="Asia"/>
    <s v="Bilateral Defense Treaty"/>
    <s v="None"/>
    <s v="INDOPACOM"/>
    <s v="North Korea"/>
    <x v="12"/>
    <n v="8"/>
    <x v="4"/>
    <s v="Xu Caihou"/>
    <m/>
    <s v="GPD Director; CMC Member"/>
    <n v="8"/>
    <s v="Abroad"/>
    <s v="Vice Chairman of DPRK Defense Commission"/>
    <m/>
    <m/>
    <m/>
    <m/>
    <m/>
    <m/>
    <m/>
    <m/>
  </r>
  <r>
    <s v="Senior Level Visit"/>
    <s v="South America"/>
    <s v="America and Oceania"/>
    <s v="No Specific Relationship"/>
    <s v="None"/>
    <s v="SOUTHCOM"/>
    <s v="Peru"/>
    <x v="12"/>
    <n v="8"/>
    <x v="3"/>
    <s v="Liang Guanglie"/>
    <m/>
    <s v="GSD Commander; CMC Member"/>
    <n v="8"/>
    <s v="Hosted"/>
    <s v="Chairman JCS"/>
    <m/>
    <m/>
    <m/>
    <m/>
    <m/>
    <m/>
    <m/>
    <m/>
  </r>
  <r>
    <s v="Senior Level Visit"/>
    <s v="Europe"/>
    <s v="Europe and Central Asia"/>
    <s v="No Specific Relationship"/>
    <s v="NATO"/>
    <s v="EUCOM"/>
    <s v="Poland"/>
    <x v="12"/>
    <n v="8"/>
    <x v="4"/>
    <s v="Chi Wanchun"/>
    <m/>
    <s v="GAD Political Commissar"/>
    <n v="6"/>
    <s v="Abroad"/>
    <m/>
    <m/>
    <m/>
    <m/>
    <m/>
    <m/>
    <m/>
    <m/>
    <m/>
  </r>
  <r>
    <s v="Military Exercise"/>
    <s v="Central Asia"/>
    <s v="Europe and Central Asia"/>
    <s v="Member"/>
    <s v="None"/>
    <s v="CENTCOM"/>
    <s v="SCO"/>
    <x v="12"/>
    <n v="8"/>
    <x v="6"/>
    <m/>
    <m/>
    <m/>
    <m/>
    <m/>
    <m/>
    <s v="Anti-terrorism"/>
    <s v="Coalition 2003"/>
    <s v="Army"/>
    <s v="Exercise took place on August 6-10 in the Semipalatinsk Region in Kazakhstan and on August 11-12 in China's Xinjiang region.  NOTE: PLA sends observers to Kazakhstan and only deploys forces during the Xinjiang phase. More than 1300 troops, aircraft, artillery and armored vehicles"/>
    <m/>
    <m/>
    <m/>
    <m/>
  </r>
  <r>
    <s v="Senior Level Visit"/>
    <s v="Europe"/>
    <s v="Europe and Central Asia"/>
    <s v="No Specific Relationship"/>
    <s v="NATO"/>
    <s v="EUCOM"/>
    <s v="Slovakia"/>
    <x v="12"/>
    <n v="8"/>
    <x v="4"/>
    <s v="Chi Wanchun"/>
    <m/>
    <s v="GAD Political Commissar"/>
    <n v="6"/>
    <s v="Abroad"/>
    <m/>
    <m/>
    <m/>
    <m/>
    <m/>
    <m/>
    <m/>
    <m/>
    <m/>
  </r>
  <r>
    <s v="Senior Level Visit"/>
    <s v="Oceania"/>
    <s v="America and Oceania"/>
    <s v="No Specific Relationship"/>
    <s v="ANZUS Treaty"/>
    <s v="INDOPACOM"/>
    <s v="Australia"/>
    <x v="12"/>
    <n v="9"/>
    <x v="3"/>
    <s v="Xiong Guangkai"/>
    <m/>
    <s v="GSD DCGS"/>
    <n v="6"/>
    <s v="Hosted"/>
    <s v="Defense Minister"/>
    <m/>
    <m/>
    <m/>
    <m/>
    <m/>
    <m/>
    <m/>
    <m/>
  </r>
  <r>
    <s v="Senior Level Visit"/>
    <s v="Europe"/>
    <s v="Europe and Central Asia"/>
    <s v="Comprehensive Cooperative Partnership [全面合作伙伴关系]"/>
    <s v="None"/>
    <s v="EUCOM"/>
    <s v="Belarus"/>
    <x v="12"/>
    <n v="9"/>
    <x v="4"/>
    <s v="Xu Caihou"/>
    <m/>
    <s v="GPD Director; CMC Member"/>
    <n v="8"/>
    <s v="Abroad"/>
    <m/>
    <m/>
    <m/>
    <m/>
    <m/>
    <m/>
    <m/>
    <m/>
    <m/>
  </r>
  <r>
    <s v="Senior Level Visit"/>
    <s v="Southeast Asia"/>
    <s v="Asia"/>
    <s v="No Specific Relationship"/>
    <s v="None"/>
    <s v="INDOPACOM"/>
    <s v="Brunei"/>
    <x v="12"/>
    <n v="9"/>
    <x v="4"/>
    <s v="Liang Guanglie"/>
    <m/>
    <s v="GSD Commander; CMC Member"/>
    <n v="8"/>
    <s v="Abroad"/>
    <m/>
    <m/>
    <m/>
    <m/>
    <m/>
    <m/>
    <m/>
    <m/>
    <m/>
  </r>
  <r>
    <s v="Senior Level Visit"/>
    <s v="Europe"/>
    <s v="Europe and Central Asia"/>
    <s v="No Specific Relationship"/>
    <s v="NATO"/>
    <s v="EUCOM"/>
    <s v="Croatia"/>
    <x v="12"/>
    <n v="9"/>
    <x v="3"/>
    <s v="Cao Gangchuan"/>
    <m/>
    <s v="CMC Vice Chairman; Defense Minister"/>
    <n v="10"/>
    <s v="Hosted"/>
    <s v="Vice-Premier and concurrent Defense Minister"/>
    <m/>
    <m/>
    <m/>
    <m/>
    <m/>
    <m/>
    <m/>
    <m/>
  </r>
  <r>
    <s v="Senior Level Visit"/>
    <s v="Europe"/>
    <s v="Europe and Central Asia"/>
    <s v="No Specific Relationship"/>
    <s v="None"/>
    <s v="EUCOM"/>
    <s v="Finland"/>
    <x v="12"/>
    <n v="9"/>
    <x v="4"/>
    <s v="Xiong Guangkai"/>
    <m/>
    <s v="GSD DCGS"/>
    <n v="6"/>
    <s v="Abroad"/>
    <m/>
    <m/>
    <m/>
    <m/>
    <m/>
    <m/>
    <m/>
    <m/>
    <m/>
  </r>
  <r>
    <s v="Senior Level Visit"/>
    <s v="Europe"/>
    <s v="Europe and Central Asia"/>
    <s v="Comprehensive Partnership [全面伙伴关系]"/>
    <s v="NATO"/>
    <s v="EUCOM"/>
    <s v="France"/>
    <x v="12"/>
    <n v="9"/>
    <x v="3"/>
    <s v="Liang Guanglie"/>
    <m/>
    <s v="GSD Commander; CMC Member"/>
    <n v="8"/>
    <s v="Hosted"/>
    <s v="Chief of Staff Armed Forces"/>
    <m/>
    <m/>
    <m/>
    <m/>
    <m/>
    <m/>
    <m/>
    <m/>
  </r>
  <r>
    <s v="Senior Level Visit"/>
    <s v="Europe"/>
    <s v="Europe and Central Asia"/>
    <s v="No Specific Relationship"/>
    <s v="NATO"/>
    <s v="EUCOM"/>
    <s v="Greece"/>
    <x v="12"/>
    <n v="9"/>
    <x v="4"/>
    <s v="Xiong Guangkai"/>
    <m/>
    <s v="GSD DCGS"/>
    <n v="6"/>
    <s v="Abroad"/>
    <m/>
    <m/>
    <m/>
    <m/>
    <m/>
    <m/>
    <m/>
    <m/>
    <m/>
  </r>
  <r>
    <s v="Senior Level Visit"/>
    <s v="Europe"/>
    <s v="Europe and Central Asia"/>
    <s v="No Specific Relationship"/>
    <s v="NATO"/>
    <s v="EUCOM"/>
    <s v="Hungary"/>
    <x v="12"/>
    <n v="9"/>
    <x v="4"/>
    <s v="Xu Caihou"/>
    <m/>
    <s v="GPD Director; CMC Member"/>
    <n v="8"/>
    <s v="Abroad"/>
    <m/>
    <m/>
    <m/>
    <m/>
    <m/>
    <m/>
    <m/>
    <m/>
    <m/>
  </r>
  <r>
    <s v="Senior Level Visit"/>
    <s v="Europe"/>
    <s v="Europe and Central Asia"/>
    <s v="No Specific Relationship"/>
    <s v="NATO"/>
    <s v="EUCOM"/>
    <s v="Italy"/>
    <x v="12"/>
    <n v="9"/>
    <x v="3"/>
    <s v="Cao Gangchuan"/>
    <m/>
    <s v="CMC Vice Chairman; Defense Minister"/>
    <n v="10"/>
    <s v="Hosted"/>
    <s v="Vice Defense Minister"/>
    <m/>
    <m/>
    <m/>
    <m/>
    <m/>
    <m/>
    <m/>
    <m/>
  </r>
  <r>
    <s v="Senior Level Visit"/>
    <s v="Northeast Asia"/>
    <s v="Asia"/>
    <s v="Partnership of Friendship and Cooperation for Peace and Development [致力于和平发展的友好合作关系]"/>
    <s v="Bilateral Defense Treaty"/>
    <s v="INDOPACOM"/>
    <s v="Japan"/>
    <x v="12"/>
    <n v="9"/>
    <x v="3"/>
    <s v="Cao Gangchuan"/>
    <m/>
    <s v="CMC Vice Chairman; Defense Minister"/>
    <n v="10"/>
    <s v="Hosted"/>
    <s v="Director-General of JDA"/>
    <m/>
    <m/>
    <m/>
    <m/>
    <m/>
    <m/>
    <m/>
    <m/>
  </r>
  <r>
    <s v="Senior Level Visit"/>
    <s v="Southeast Asia"/>
    <s v="Asia"/>
    <s v="Strategic Cooperative Partnership [战略合作伙伴关系]"/>
    <s v="None"/>
    <s v="INDOPACOM"/>
    <s v="Malaysia"/>
    <x v="12"/>
    <n v="9"/>
    <x v="4"/>
    <s v="Liang Guanglie"/>
    <m/>
    <s v="GSD Commander; CMC Member"/>
    <n v="8"/>
    <s v="Abroad"/>
    <m/>
    <m/>
    <m/>
    <m/>
    <m/>
    <m/>
    <m/>
    <m/>
    <m/>
  </r>
  <r>
    <s v="Senior Level Visit"/>
    <s v="North America"/>
    <s v="America and Oceania"/>
    <s v="Strategic Cooperative Partnership [战略合作伙伴关系]"/>
    <s v="None"/>
    <s v="NORTHCOM"/>
    <s v="Mexico"/>
    <x v="12"/>
    <n v="9"/>
    <x v="4"/>
    <s v="Xu Caihou"/>
    <m/>
    <s v="GPD Director; CMC Member"/>
    <n v="8"/>
    <s v="Abroad"/>
    <m/>
    <m/>
    <m/>
    <m/>
    <m/>
    <m/>
    <m/>
    <m/>
    <m/>
  </r>
  <r>
    <s v="Senior Level Visit"/>
    <s v="Africa"/>
    <s v="West Asia and Africa"/>
    <s v="No Specific Relationship"/>
    <s v="None"/>
    <s v="AFRICOM"/>
    <s v="Mozambique"/>
    <x v="12"/>
    <n v="9"/>
    <x v="3"/>
    <s v="Cao Gangchuan"/>
    <m/>
    <s v="CMC Vice Chairman; Defense Minister"/>
    <n v="10"/>
    <s v="Hosted"/>
    <s v="Minster of Veterans Affairs"/>
    <m/>
    <m/>
    <m/>
    <m/>
    <m/>
    <m/>
    <m/>
    <m/>
  </r>
  <r>
    <s v="Senior Level Visit"/>
    <s v="South Asia"/>
    <s v="Asia"/>
    <s v="Strategic Partnership [战略伙伴关系]"/>
    <s v="Major Non-NATO Ally"/>
    <s v="CENTCOM"/>
    <s v="Pakistan"/>
    <x v="12"/>
    <n v="9"/>
    <x v="4"/>
    <s v="Liang Guanglie"/>
    <m/>
    <s v="GSD Commander; CMC Member"/>
    <n v="8"/>
    <s v="Abroad"/>
    <m/>
    <m/>
    <m/>
    <m/>
    <m/>
    <m/>
    <m/>
    <m/>
    <m/>
  </r>
  <r>
    <s v="Senior Level Visit"/>
    <s v="Africa"/>
    <s v="West Asia and Africa"/>
    <s v="No Specific Relationship"/>
    <s v="None"/>
    <s v="AFRICOM"/>
    <s v="Tanzania"/>
    <x v="12"/>
    <n v="9"/>
    <x v="3"/>
    <s v="Cao Gangchuan"/>
    <m/>
    <s v="CMC Vice Chairman; Defense Minister"/>
    <n v="10"/>
    <s v="Hosted"/>
    <s v="Defense Minister"/>
    <m/>
    <m/>
    <m/>
    <m/>
    <m/>
    <m/>
    <m/>
    <m/>
  </r>
  <r>
    <s v="Senior Level Visit"/>
    <s v="Africa"/>
    <s v="West Asia and Africa"/>
    <s v="No Specific Relationship"/>
    <s v="Major Non-NATO Ally"/>
    <s v="AFRICOM"/>
    <s v="Tunisia"/>
    <x v="12"/>
    <n v="9"/>
    <x v="4"/>
    <s v="Zhang Wentai"/>
    <m/>
    <s v="GLD Political Commissar"/>
    <n v="6"/>
    <s v="Abroad"/>
    <m/>
    <m/>
    <m/>
    <m/>
    <m/>
    <m/>
    <m/>
    <m/>
    <m/>
  </r>
  <r>
    <s v="Senior Level Visit"/>
    <s v="Africa"/>
    <s v="West Asia and Africa"/>
    <s v="No Specific Relationship"/>
    <s v="None"/>
    <s v="AFRICOM"/>
    <s v="Zambia"/>
    <x v="12"/>
    <n v="9"/>
    <x v="4"/>
    <s v="Zhang Wentai"/>
    <m/>
    <s v="GLD Political Commissar"/>
    <n v="6"/>
    <s v="Abroad"/>
    <m/>
    <m/>
    <m/>
    <m/>
    <m/>
    <m/>
    <m/>
    <m/>
    <m/>
  </r>
  <r>
    <s v="Senior Level Visit"/>
    <s v="Africa"/>
    <s v="West Asia and Africa"/>
    <s v="No Specific Relationship"/>
    <s v="None"/>
    <s v="AFRICOM"/>
    <s v="Zimbabwe"/>
    <x v="12"/>
    <n v="9"/>
    <x v="4"/>
    <s v="Zhang Wentai"/>
    <m/>
    <s v="GLD Political Commissar"/>
    <n v="6"/>
    <s v="Abroad"/>
    <m/>
    <m/>
    <m/>
    <m/>
    <m/>
    <m/>
    <m/>
    <m/>
    <m/>
  </r>
  <r>
    <s v="Naval Port Call"/>
    <s v="Southeast Asia"/>
    <s v="Asia"/>
    <s v="No Specific Relationship"/>
    <s v="None"/>
    <s v="INDOPACOM"/>
    <s v="Brunei"/>
    <x v="12"/>
    <n v="10"/>
    <x v="0"/>
    <m/>
    <m/>
    <m/>
    <m/>
    <m/>
    <m/>
    <m/>
    <m/>
    <m/>
    <m/>
    <s v="NETF"/>
    <s v="2002-10 DD167 Shenzhen"/>
    <s v="South Sea Fleet"/>
    <s v="Luhai destroyer Shenzhen 167, replenishment ship Qinghaihu 885"/>
  </r>
  <r>
    <s v="Senior Level Visit"/>
    <s v="Middle East"/>
    <s v="West Asia and Africa"/>
    <s v="Strategic Cooperative Partnership [战略合作伙伴关系]"/>
    <s v="Major Non-NATO Ally"/>
    <s v="CENTCOM"/>
    <s v="Egypt"/>
    <x v="12"/>
    <n v="10"/>
    <x v="3"/>
    <s v="Liang Guanglie"/>
    <m/>
    <s v="GSD Commander; CMC Member"/>
    <n v="8"/>
    <s v="Hosted"/>
    <s v="Commander Air Defense Force"/>
    <m/>
    <m/>
    <m/>
    <m/>
    <m/>
    <m/>
    <m/>
    <m/>
  </r>
  <r>
    <s v="Senior Level Visit"/>
    <s v="Europe"/>
    <s v="Europe and Central Asia"/>
    <s v="No Specific Relationship"/>
    <s v="NATO"/>
    <s v="EUCOM"/>
    <s v="Germany"/>
    <x v="12"/>
    <n v="10"/>
    <x v="3"/>
    <s v="Liang Guanglie"/>
    <m/>
    <s v="GSD Commander; CMC Member"/>
    <n v="8"/>
    <s v="Hosted"/>
    <s v="General Inspector of Armed Forces"/>
    <m/>
    <m/>
    <m/>
    <m/>
    <m/>
    <m/>
    <m/>
    <m/>
  </r>
  <r>
    <s v="Senior Level Visit"/>
    <s v="Africa"/>
    <s v="West Asia and Africa"/>
    <s v="No Specific Relationship"/>
    <s v="None"/>
    <s v="AFRICOM"/>
    <s v="Ghana"/>
    <x v="12"/>
    <n v="10"/>
    <x v="3"/>
    <s v="Cao Gangchuan"/>
    <m/>
    <s v="CMC Vice Chairman; Defense Minister"/>
    <n v="10"/>
    <s v="Hosted"/>
    <s v="Defense Minister"/>
    <m/>
    <m/>
    <m/>
    <m/>
    <m/>
    <m/>
    <m/>
    <m/>
  </r>
  <r>
    <s v="Senior Level Visit"/>
    <s v="Europe"/>
    <s v="Europe and Central Asia"/>
    <s v="No Specific Relationship"/>
    <s v="NATO"/>
    <s v="EUCOM"/>
    <s v="Greece"/>
    <x v="12"/>
    <n v="10"/>
    <x v="3"/>
    <s v="Liang Guanglie"/>
    <m/>
    <s v="GSD Commander; CMC Member"/>
    <n v="8"/>
    <s v="Hosted"/>
    <s v="Chief of National Defense General Staff"/>
    <m/>
    <m/>
    <m/>
    <m/>
    <m/>
    <m/>
    <m/>
    <m/>
  </r>
  <r>
    <s v="Senior Level Visit"/>
    <s v="South America"/>
    <s v="America and Oceania"/>
    <s v="No Specific Relationship"/>
    <s v="None"/>
    <s v="SOUTHCOM"/>
    <s v="Guyana"/>
    <x v="12"/>
    <n v="10"/>
    <x v="3"/>
    <s v="Cao Gangchuan"/>
    <m/>
    <s v="CMC Vice Chairman; Defense Minister"/>
    <n v="10"/>
    <s v="Hosted"/>
    <s v="Chief of Staff National Defense Forces"/>
    <m/>
    <m/>
    <m/>
    <m/>
    <m/>
    <m/>
    <m/>
    <m/>
  </r>
  <r>
    <s v="Senior Level Visit"/>
    <s v="Middle East"/>
    <s v="West Asia and Africa"/>
    <s v="No Specific Relationship"/>
    <s v="None"/>
    <s v="CENTCOM"/>
    <s v="Iran"/>
    <x v="12"/>
    <n v="10"/>
    <x v="3"/>
    <s v="Qian Shugen"/>
    <m/>
    <s v="GSD DCGS"/>
    <n v="8"/>
    <s v="Hosted"/>
    <s v="Commander Mobilization Force IRGC"/>
    <m/>
    <m/>
    <m/>
    <m/>
    <m/>
    <m/>
    <m/>
    <m/>
  </r>
  <r>
    <s v="Senior Level Visit"/>
    <s v="Northeast Asia"/>
    <s v="Asia"/>
    <s v="No Specific Relationship"/>
    <s v="None"/>
    <s v="INDOPACOM"/>
    <s v="Mongolia"/>
    <x v="12"/>
    <n v="10"/>
    <x v="3"/>
    <s v="Liang Guanglie"/>
    <m/>
    <s v="GSD Commander; CMC Member"/>
    <n v="8"/>
    <s v="Hosted"/>
    <s v="COGS "/>
    <m/>
    <m/>
    <m/>
    <m/>
    <m/>
    <m/>
    <m/>
    <m/>
  </r>
  <r>
    <s v="Senior Level Visit"/>
    <s v="South Asia"/>
    <s v="Asia"/>
    <s v="Strategic Partnership [战略伙伴关系]"/>
    <s v="Major Non-NATO Ally"/>
    <s v="CENTCOM"/>
    <s v="Pakistan"/>
    <x v="12"/>
    <n v="10"/>
    <x v="3"/>
    <s v="Cao Gangchuan"/>
    <m/>
    <s v="CMC Vice Chairman; Defense Minister"/>
    <n v="10"/>
    <s v="Hosted"/>
    <s v="Air Force Chief of Staff"/>
    <m/>
    <m/>
    <m/>
    <m/>
    <m/>
    <m/>
    <m/>
    <m/>
  </r>
  <r>
    <s v="Military Exercise"/>
    <s v="South Asia"/>
    <s v="Asia"/>
    <s v="Strategic Partnership [战略伙伴关系]"/>
    <s v="Major Non-NATO Ally"/>
    <s v="CENTCOM"/>
    <s v="Pakistan"/>
    <x v="12"/>
    <n v="10"/>
    <x v="5"/>
    <m/>
    <m/>
    <m/>
    <m/>
    <m/>
    <m/>
    <s v="MOOTW"/>
    <s v="Unknown"/>
    <s v="Navy"/>
    <s v="SAREX"/>
    <m/>
    <m/>
    <m/>
    <m/>
  </r>
  <r>
    <s v="Senior Level Visit"/>
    <s v="Europe"/>
    <s v="Europe and Central Asia"/>
    <s v="No Specific Relationship"/>
    <s v="NATO"/>
    <s v="EUCOM"/>
    <s v="Romania"/>
    <x v="12"/>
    <n v="10"/>
    <x v="3"/>
    <s v="Cao Gangchuan"/>
    <m/>
    <s v="CMC Vice Chairman; Defense Minister"/>
    <n v="10"/>
    <s v="Hosted"/>
    <s v="Defense Minister"/>
    <m/>
    <m/>
    <m/>
    <m/>
    <m/>
    <m/>
    <m/>
    <m/>
  </r>
  <r>
    <s v="Senior Level Visit"/>
    <s v="Africa"/>
    <s v="West Asia and Africa"/>
    <s v="No Specific Relationship"/>
    <s v="None"/>
    <s v="AFRICOM"/>
    <s v="Sierra Leone"/>
    <x v="12"/>
    <n v="10"/>
    <x v="3"/>
    <s v="Guo Boxiong"/>
    <m/>
    <s v="CMC Vice Chairman"/>
    <n v="10"/>
    <s v="Hosted"/>
    <s v="Vice Defense Minister"/>
    <m/>
    <m/>
    <m/>
    <m/>
    <m/>
    <m/>
    <m/>
    <m/>
  </r>
  <r>
    <s v="Naval Port Call"/>
    <s v="Southeast Asia"/>
    <s v="Asia"/>
    <s v="No Specific Relationship"/>
    <s v="None"/>
    <s v="INDOPACOM"/>
    <s v="Singapore"/>
    <x v="12"/>
    <n v="10"/>
    <x v="0"/>
    <m/>
    <m/>
    <m/>
    <m/>
    <m/>
    <m/>
    <m/>
    <m/>
    <m/>
    <m/>
    <s v="NETF"/>
    <s v="2003-10 DD167 Shenzhen"/>
    <s v="South Sea Fleet"/>
    <s v="Luhai destroyer Shenzhen 167, replenishment ship Qinghaihu 885"/>
  </r>
  <r>
    <s v="Senior Level Visit"/>
    <s v="South America"/>
    <s v="America and Oceania"/>
    <s v="No Specific Relationship"/>
    <s v="None"/>
    <s v="SOUTHCOM"/>
    <s v="Suriname"/>
    <x v="12"/>
    <n v="10"/>
    <x v="3"/>
    <s v="Cao Gangchuan"/>
    <m/>
    <s v="CMC Vice Chairman; Defense Minister"/>
    <n v="10"/>
    <s v="Hosted"/>
    <s v="Commander National Defense Forces"/>
    <m/>
    <m/>
    <m/>
    <m/>
    <m/>
    <m/>
    <m/>
    <m/>
  </r>
  <r>
    <s v="Senior Level Visit"/>
    <s v="Europe"/>
    <s v="Europe and Central Asia"/>
    <s v="No Specific Relationship"/>
    <s v="None"/>
    <s v="EUCOM"/>
    <s v="Sweden"/>
    <x v="12"/>
    <n v="10"/>
    <x v="3"/>
    <s v="Liang Guanglie"/>
    <m/>
    <s v="GSD Commander; CMC Member"/>
    <n v="8"/>
    <s v="Hosted"/>
    <s v="Deputy CinC Armed Forces "/>
    <m/>
    <m/>
    <m/>
    <m/>
    <m/>
    <m/>
    <m/>
    <m/>
  </r>
  <r>
    <s v="Senior Level Visit"/>
    <s v="North America"/>
    <s v="America and Oceania"/>
    <s v="No Specific Relationship"/>
    <s v="N/A"/>
    <s v="NORTHCOM"/>
    <s v="United States"/>
    <x v="12"/>
    <n v="10"/>
    <x v="4"/>
    <s v="Cao Gangchuan"/>
    <m/>
    <s v="CMC Vice Chairman; Defense Minister"/>
    <n v="10"/>
    <s v="Abroad"/>
    <s v="SecDef"/>
    <m/>
    <m/>
    <m/>
    <m/>
    <m/>
    <m/>
    <m/>
    <m/>
  </r>
  <r>
    <s v="Naval Port Call"/>
    <s v="North America"/>
    <s v="America and Oceania"/>
    <s v="No Specific Relationship"/>
    <s v="None"/>
    <s v="NORTHCOM"/>
    <s v="United States"/>
    <x v="12"/>
    <n v="10"/>
    <x v="0"/>
    <m/>
    <m/>
    <m/>
    <m/>
    <m/>
    <m/>
    <m/>
    <m/>
    <m/>
    <m/>
    <s v="NETF"/>
    <s v="2002-10 DD167 Shenzhen"/>
    <s v="South Sea Fleet"/>
    <s v="Luhai destroyer Shenzhen 167, replenishment ship Qinghaihu 885"/>
  </r>
  <r>
    <s v="Senior Level Visit"/>
    <s v="Southeast Asia"/>
    <s v="Asia"/>
    <s v="No Specific Relationship"/>
    <s v="None"/>
    <s v="INDOPACOM"/>
    <s v="Vietnam"/>
    <x v="12"/>
    <n v="10"/>
    <x v="3"/>
    <s v="Liang Guanglie"/>
    <m/>
    <s v="GSD Commander; CMC Member"/>
    <n v="8"/>
    <s v="Hosted"/>
    <s v="COGS"/>
    <m/>
    <m/>
    <m/>
    <m/>
    <m/>
    <m/>
    <m/>
    <m/>
  </r>
  <r>
    <s v="Senior Level Visit"/>
    <s v="Europe"/>
    <s v="Europe and Central Asia"/>
    <s v="Comprehensive Cooperative Partnership [全面合作伙伴关系]"/>
    <s v="None"/>
    <s v="EUCOM"/>
    <s v="Belarus"/>
    <x v="12"/>
    <n v="11"/>
    <x v="3"/>
    <s v="Cao Gangchuan"/>
    <m/>
    <s v="CMC Vice Chairman; Defense Minister"/>
    <n v="10"/>
    <s v="Hosted"/>
    <s v="State Affairs Secretary of NSC"/>
    <m/>
    <m/>
    <m/>
    <m/>
    <m/>
    <m/>
    <m/>
    <m/>
  </r>
  <r>
    <s v="Senior Level Visit"/>
    <s v="Africa"/>
    <s v="West Asia and Africa"/>
    <s v="No Specific Relationship"/>
    <s v="None"/>
    <s v="AFRICOM"/>
    <s v="Botswana"/>
    <x v="12"/>
    <n v="11"/>
    <x v="4"/>
    <s v="Lei Mingqiu"/>
    <m/>
    <s v="Nanjing MR Political Commissar"/>
    <n v="6"/>
    <s v="Abroad"/>
    <m/>
    <m/>
    <m/>
    <m/>
    <m/>
    <m/>
    <m/>
    <m/>
    <m/>
  </r>
  <r>
    <s v="Senior Level Visit"/>
    <s v="South America"/>
    <s v="America and Oceania"/>
    <s v="Strategic Partnership [战略伙伴关系]"/>
    <s v="None"/>
    <s v="SOUTHCOM"/>
    <s v="Brazil"/>
    <x v="12"/>
    <n v="11"/>
    <x v="3"/>
    <s v="Cao Gangchuan"/>
    <m/>
    <s v="CMC Vice Chairman; Defense Minister"/>
    <n v="10"/>
    <s v="Hosted"/>
    <s v="Defense Minister"/>
    <m/>
    <m/>
    <m/>
    <m/>
    <m/>
    <m/>
    <m/>
    <m/>
  </r>
  <r>
    <s v="Senior Level Visit"/>
    <s v="Southeast Asia"/>
    <s v="Asia"/>
    <s v="No Specific Relationship"/>
    <s v="None"/>
    <s v="INDOPACOM"/>
    <s v="Cambodia"/>
    <x v="12"/>
    <n v="11"/>
    <x v="3"/>
    <s v="Liang Guanglie"/>
    <m/>
    <s v="GSD Commander; CMC Member"/>
    <n v="8"/>
    <s v="Hosted"/>
    <s v="Deputy CinC Armed Forces"/>
    <m/>
    <m/>
    <m/>
    <m/>
    <m/>
    <m/>
    <m/>
    <m/>
  </r>
  <r>
    <s v="Senior Level Visit"/>
    <s v="North America"/>
    <s v="America and Oceania"/>
    <s v="Comprehensive Partnership [全面伙伴关系]"/>
    <s v="NATO"/>
    <s v="NORTHCOM"/>
    <s v="Canada"/>
    <x v="12"/>
    <n v="11"/>
    <x v="4"/>
    <s v="Zhu Wenquan"/>
    <m/>
    <s v="Nanjing MR Commander"/>
    <n v="6"/>
    <s v="Abroad"/>
    <m/>
    <m/>
    <m/>
    <m/>
    <m/>
    <m/>
    <m/>
    <m/>
    <m/>
  </r>
  <r>
    <s v="Senior Level Visit"/>
    <s v="Europe"/>
    <s v="Europe and Central Asia"/>
    <s v="No Specific Relationship"/>
    <s v="NATO"/>
    <s v="EUCOM"/>
    <s v="Croatia"/>
    <x v="12"/>
    <n v="11"/>
    <x v="4"/>
    <s v="Liu Yongzhi"/>
    <m/>
    <s v="Lanzhou MR Political Commissar"/>
    <n v="6"/>
    <s v="Abroad"/>
    <m/>
    <m/>
    <m/>
    <m/>
    <m/>
    <m/>
    <m/>
    <m/>
    <m/>
  </r>
  <r>
    <s v="Senior Level Visit"/>
    <s v="Middle East"/>
    <s v="West Asia and Africa"/>
    <s v="Strategic Cooperative Partnership [战略合作伙伴关系]"/>
    <s v="Major Non-NATO Ally"/>
    <s v="CENTCOM"/>
    <s v="Egypt"/>
    <x v="12"/>
    <n v="11"/>
    <x v="4"/>
    <s v="Xu Caihou"/>
    <m/>
    <s v="GPD Director; CMC Member"/>
    <n v="8"/>
    <s v="Abroad"/>
    <m/>
    <m/>
    <m/>
    <m/>
    <m/>
    <m/>
    <m/>
    <m/>
    <m/>
  </r>
  <r>
    <s v="Senior Level Visit"/>
    <s v="Africa"/>
    <s v="West Asia and Africa"/>
    <s v="No Specific Relationship"/>
    <s v="None"/>
    <s v="AFRICOM"/>
    <s v="Ethiopia"/>
    <x v="12"/>
    <n v="11"/>
    <x v="4"/>
    <s v="Lei Mingqiu"/>
    <m/>
    <s v="Nanjing MR Political Commissar"/>
    <n v="6"/>
    <s v="Abroad"/>
    <m/>
    <m/>
    <m/>
    <m/>
    <m/>
    <m/>
    <m/>
    <m/>
    <m/>
  </r>
  <r>
    <s v="Senior Level Visit"/>
    <s v="Europe"/>
    <s v="Europe and Central Asia"/>
    <s v="No Specific Relationship"/>
    <s v="NATO"/>
    <s v="EUCOM"/>
    <s v="Greece"/>
    <x v="12"/>
    <n v="11"/>
    <x v="4"/>
    <s v="Deng Changyou"/>
    <m/>
    <s v="PLAAF Political Commissar"/>
    <n v="6"/>
    <s v="Abroad"/>
    <m/>
    <m/>
    <m/>
    <m/>
    <m/>
    <m/>
    <m/>
    <m/>
    <m/>
  </r>
  <r>
    <s v="Military Exercise"/>
    <s v="South Asia"/>
    <s v="Asia"/>
    <s v="Comprehensive Cooperative Partnership [全面合作伙伴关系]"/>
    <s v="None"/>
    <s v="INDOPACOM"/>
    <s v="India"/>
    <x v="12"/>
    <n v="11"/>
    <x v="5"/>
    <m/>
    <m/>
    <m/>
    <m/>
    <m/>
    <m/>
    <s v="MOOTW"/>
    <s v="Unknown"/>
    <s v="Navy"/>
    <s v="SAREX"/>
    <m/>
    <m/>
    <m/>
    <m/>
  </r>
  <r>
    <s v="Senior Level Visit"/>
    <s v="Europe"/>
    <s v="Europe and Central Asia"/>
    <s v="No Specific Relationship"/>
    <s v="NATO"/>
    <s v="EUCOM"/>
    <s v="Italy"/>
    <x v="12"/>
    <n v="11"/>
    <x v="3"/>
    <s v="Xiong Guangkai"/>
    <m/>
    <s v="GSD DCGS"/>
    <n v="6"/>
    <s v="Hosted"/>
    <s v="Deputy Defense Chief of Staff"/>
    <m/>
    <m/>
    <m/>
    <m/>
    <m/>
    <m/>
    <m/>
    <m/>
  </r>
  <r>
    <s v="Senior Level Visit"/>
    <s v="Central Asia"/>
    <s v="Europe and Central Asia"/>
    <s v="No Specific Relationship"/>
    <s v="None"/>
    <s v="CENTCOM"/>
    <s v="Kyrgyzstan"/>
    <x v="12"/>
    <n v="11"/>
    <x v="3"/>
    <s v="Cao Gangchuan"/>
    <m/>
    <s v="CMC Vice Chairman; Defense Minister"/>
    <n v="10"/>
    <s v="Hosted"/>
    <s v="Defense Minister"/>
    <m/>
    <m/>
    <m/>
    <m/>
    <m/>
    <m/>
    <m/>
    <m/>
  </r>
  <r>
    <s v="Senior Level Visit"/>
    <s v="Oceania"/>
    <s v="America and Oceania"/>
    <s v="No Specific Relationship"/>
    <s v="ANZUS Treaty"/>
    <s v="INDOPACOM"/>
    <s v="New Zealand"/>
    <x v="12"/>
    <n v="11"/>
    <x v="3"/>
    <s v="Cao Gangchuan"/>
    <m/>
    <s v="CMC Vice Chairman; Defense Minister"/>
    <n v="10"/>
    <s v="Hosted"/>
    <s v="Commander National Defense Forces"/>
    <m/>
    <m/>
    <m/>
    <m/>
    <m/>
    <m/>
    <m/>
    <m/>
  </r>
  <r>
    <s v="Naval Port Call"/>
    <s v="Oceania"/>
    <s v="America and Oceania"/>
    <s v="No Specific Relationship"/>
    <s v="ANZUS Treaty"/>
    <s v="INDOPACOM"/>
    <s v="New Zealand"/>
    <x v="12"/>
    <n v="11"/>
    <x v="0"/>
    <m/>
    <m/>
    <m/>
    <m/>
    <m/>
    <m/>
    <m/>
    <m/>
    <m/>
    <m/>
    <s v="NETF"/>
    <s v="2003-11 FF564 Yichang"/>
    <s v="South Sea Fleet"/>
    <s v="Jiangwei frigate Yichang 564, replenishment ship Taicang 575"/>
  </r>
  <r>
    <s v="Senior Level Visit"/>
    <s v="Northeast Asia"/>
    <s v="Asia"/>
    <s v="Bilateral Defense Treaty"/>
    <s v="None"/>
    <s v="INDOPACOM"/>
    <s v="North Korea"/>
    <x v="12"/>
    <n v="11"/>
    <x v="3"/>
    <s v="Cao Gangchuan"/>
    <m/>
    <s v="CMC Vice Chairman; Defense Minister"/>
    <n v="10"/>
    <s v="Hosted"/>
    <s v="Vice Minister People's Armed Forces DPRK"/>
    <m/>
    <m/>
    <m/>
    <m/>
    <m/>
    <m/>
    <m/>
    <m/>
  </r>
  <r>
    <s v="Senior Level Visit"/>
    <s v="Europe"/>
    <s v="Europe and Central Asia"/>
    <s v="No Specific Relationship"/>
    <s v="NATO"/>
    <s v="EUCOM"/>
    <s v="Portugal"/>
    <x v="12"/>
    <n v="11"/>
    <x v="4"/>
    <s v="Xu Caihou"/>
    <m/>
    <s v="GPD Director; CMC Member"/>
    <n v="8"/>
    <s v="Abroad"/>
    <m/>
    <m/>
    <m/>
    <m/>
    <m/>
    <m/>
    <m/>
    <m/>
    <m/>
  </r>
  <r>
    <s v="Senior Level Visit"/>
    <s v="Europe"/>
    <s v="Europe and Central Asia"/>
    <s v="No Specific Relationship"/>
    <s v="NATO"/>
    <s v="EUCOM"/>
    <s v="Romania"/>
    <x v="12"/>
    <n v="11"/>
    <x v="4"/>
    <s v="Liu Yongzhi"/>
    <m/>
    <s v="Lanzhou MR Political Commissar"/>
    <n v="6"/>
    <s v="Abroad"/>
    <m/>
    <m/>
    <m/>
    <m/>
    <m/>
    <m/>
    <m/>
    <m/>
    <m/>
  </r>
  <r>
    <s v="Senior Level Visit"/>
    <s v="Russia"/>
    <s v="Europe and Central Asia"/>
    <s v="Strategic Partnership of Coordination [战略协作伙伴关系]"/>
    <s v="None"/>
    <s v="EUCOM"/>
    <s v="Russia"/>
    <x v="12"/>
    <n v="11"/>
    <x v="3"/>
    <s v="Cao Gangchuan"/>
    <m/>
    <s v="CMC Vice Chairman; Defense Minister"/>
    <n v="10"/>
    <s v="Hosted"/>
    <s v="First Deputy Director FSB"/>
    <m/>
    <m/>
    <m/>
    <m/>
    <m/>
    <m/>
    <m/>
    <m/>
  </r>
  <r>
    <s v="Senior Level Visit"/>
    <s v="Russia"/>
    <s v="Europe and Central Asia"/>
    <s v="Strategic Partnership of Coordination [战略协作伙伴关系]"/>
    <s v="None"/>
    <s v="EUCOM"/>
    <s v="Russia"/>
    <x v="12"/>
    <n v="11"/>
    <x v="4"/>
    <s v="Deng Changyou"/>
    <m/>
    <s v="PLAAF Political Commissar"/>
    <n v="6"/>
    <s v="Abroad"/>
    <m/>
    <m/>
    <m/>
    <m/>
    <m/>
    <m/>
    <m/>
    <m/>
    <m/>
  </r>
  <r>
    <s v="Senior Level Visit"/>
    <s v="Northeast Asia"/>
    <s v="Asia"/>
    <s v="Comprehensive Cooperative Partnership [全面合作伙伴关系]"/>
    <s v="Bilateral Defense Treaty"/>
    <s v="INDOPACOM"/>
    <s v="South Korea"/>
    <x v="12"/>
    <n v="11"/>
    <x v="3"/>
    <s v="Cao Gangchuan"/>
    <m/>
    <s v="CMC Vice Chairman; Defense Minister"/>
    <n v="10"/>
    <s v="Hosted"/>
    <s v="Chairman JCS"/>
    <m/>
    <m/>
    <m/>
    <m/>
    <m/>
    <m/>
    <m/>
    <m/>
  </r>
  <r>
    <s v="Senior Level Visit"/>
    <s v="Europe"/>
    <s v="Europe and Central Asia"/>
    <s v="No Specific Relationship"/>
    <s v="NATO"/>
    <s v="EUCOM"/>
    <s v="Spain"/>
    <x v="12"/>
    <n v="11"/>
    <x v="4"/>
    <s v="Xu Caihou"/>
    <m/>
    <s v="GPD Director; CMC Member"/>
    <n v="8"/>
    <s v="Abroad"/>
    <m/>
    <m/>
    <m/>
    <m/>
    <m/>
    <m/>
    <m/>
    <m/>
    <m/>
  </r>
  <r>
    <s v="Senior Level Visit"/>
    <s v="Africa"/>
    <s v="West Asia and Africa"/>
    <s v="No Specific Relationship"/>
    <s v="None"/>
    <s v="AFRICOM"/>
    <s v="Tanzania"/>
    <x v="12"/>
    <n v="11"/>
    <x v="4"/>
    <s v="Xu Caihou"/>
    <m/>
    <s v="GPD Director; CMC Member"/>
    <n v="8"/>
    <s v="Abroad"/>
    <m/>
    <m/>
    <m/>
    <m/>
    <m/>
    <m/>
    <m/>
    <m/>
    <m/>
  </r>
  <r>
    <s v="Senior Level Visit"/>
    <s v="Southeast Asia"/>
    <s v="Asia"/>
    <s v="No Specific Relationship"/>
    <s v="Bilateral Defense Treaty"/>
    <s v="INDOPACOM"/>
    <s v="Thailand"/>
    <x v="12"/>
    <n v="11"/>
    <x v="3"/>
    <s v="Cao Gangchuan"/>
    <m/>
    <s v="CMC Vice Chairman; Defense Minister"/>
    <n v="10"/>
    <s v="Hosted"/>
    <s v="CinC Army"/>
    <m/>
    <m/>
    <m/>
    <m/>
    <m/>
    <m/>
    <m/>
    <m/>
  </r>
  <r>
    <s v="Senior Level Visit"/>
    <s v="Africa"/>
    <s v="West Asia and Africa"/>
    <s v="Comprehensive Strategic Cooperative Partnership [全面战略合作伙伴关系]"/>
    <s v="None"/>
    <s v="AFRICOM"/>
    <s v="Togo"/>
    <x v="12"/>
    <n v="11"/>
    <x v="3"/>
    <s v="Cao Gangchuan"/>
    <m/>
    <s v="CMC Vice Chairman; Defense Minister"/>
    <n v="10"/>
    <s v="Hosted"/>
    <s v="Defense Minister"/>
    <m/>
    <m/>
    <m/>
    <m/>
    <m/>
    <m/>
    <m/>
    <m/>
  </r>
  <r>
    <s v="Senior Level Visit"/>
    <s v="Africa"/>
    <s v="West Asia and Africa"/>
    <s v="No Specific Relationship"/>
    <s v="None"/>
    <s v="AFRICOM"/>
    <s v="Uganda"/>
    <x v="12"/>
    <n v="11"/>
    <x v="4"/>
    <s v="Lei Mingqiu"/>
    <m/>
    <s v="Nanjing MR Political Commissar"/>
    <n v="6"/>
    <s v="Abroad"/>
    <m/>
    <m/>
    <m/>
    <m/>
    <m/>
    <m/>
    <m/>
    <m/>
    <m/>
  </r>
  <r>
    <s v="Senior Level Visit"/>
    <s v="Europe"/>
    <s v="Europe and Central Asia"/>
    <s v="No Specific Relationship"/>
    <s v="NATO"/>
    <s v="EUCOM"/>
    <s v="United Kingdom"/>
    <x v="12"/>
    <n v="11"/>
    <x v="4"/>
    <s v="Xu Caihou"/>
    <m/>
    <s v="GPD Director; CMC Member"/>
    <n v="8"/>
    <s v="Abroad"/>
    <m/>
    <m/>
    <m/>
    <m/>
    <m/>
    <m/>
    <m/>
    <m/>
    <m/>
  </r>
  <r>
    <s v="Senior Level Visit"/>
    <s v="North America"/>
    <s v="America and Oceania"/>
    <s v="No Specific Relationship"/>
    <s v="N/A"/>
    <s v="NORTHCOM"/>
    <s v="United States"/>
    <x v="12"/>
    <n v="11"/>
    <x v="4"/>
    <s v="Zhu Wenquan"/>
    <m/>
    <s v="Nanjing MR Commander"/>
    <n v="6"/>
    <s v="Abroad"/>
    <m/>
    <m/>
    <m/>
    <m/>
    <m/>
    <m/>
    <m/>
    <m/>
    <m/>
  </r>
  <r>
    <s v="Senior Level Visit"/>
    <s v="Oceania"/>
    <s v="America and Oceania"/>
    <s v="No Specific Relationship"/>
    <s v="ANZUS Treaty"/>
    <s v="INDOPACOM"/>
    <s v="Australia"/>
    <x v="12"/>
    <n v="12"/>
    <x v="4"/>
    <s v="Xiong Guangkai"/>
    <m/>
    <s v="GSD DCGS"/>
    <n v="6"/>
    <s v="Abroad"/>
    <m/>
    <m/>
    <m/>
    <m/>
    <m/>
    <m/>
    <m/>
    <m/>
    <m/>
  </r>
  <r>
    <s v="Senior Level Visit"/>
    <s v="South Asia"/>
    <s v="Asia"/>
    <s v="No Specific Relationship"/>
    <s v="None"/>
    <s v="INDOPACOM"/>
    <s v="Bangladesh"/>
    <x v="12"/>
    <n v="12"/>
    <x v="4"/>
    <s v="Xiong Guangkai"/>
    <m/>
    <s v="GSD DCGS"/>
    <n v="6"/>
    <s v="Abroad"/>
    <m/>
    <m/>
    <m/>
    <m/>
    <m/>
    <m/>
    <m/>
    <m/>
    <m/>
  </r>
  <r>
    <s v="Senior Level Visit"/>
    <s v="South America"/>
    <s v="America and Oceania"/>
    <s v="No Specific Relationship"/>
    <s v="None"/>
    <s v="SOUTHCOM"/>
    <s v="Cuba"/>
    <x v="12"/>
    <n v="12"/>
    <x v="4"/>
    <s v="Jiang Futang"/>
    <m/>
    <s v="Shenyang MR Political Commissar"/>
    <n v="6"/>
    <s v="Abroad"/>
    <m/>
    <m/>
    <m/>
    <m/>
    <m/>
    <m/>
    <m/>
    <m/>
    <m/>
  </r>
  <r>
    <s v="Senior Level Visit"/>
    <s v="Europe"/>
    <s v="Europe and Central Asia"/>
    <s v="No Specific Relationship"/>
    <s v="None"/>
    <s v="EUCOM"/>
    <s v="Cyprus"/>
    <x v="12"/>
    <n v="12"/>
    <x v="4"/>
    <s v="Xiong Guangkai"/>
    <m/>
    <s v="GSD DCGS"/>
    <n v="6"/>
    <s v="Abroad"/>
    <m/>
    <m/>
    <m/>
    <m/>
    <m/>
    <m/>
    <m/>
    <m/>
    <m/>
  </r>
  <r>
    <s v="Senior Level Visit"/>
    <s v="Middle East"/>
    <s v="West Asia and Africa"/>
    <s v="Strategic Cooperative Partnership [战略合作伙伴关系]"/>
    <s v="Major Non-NATO Ally"/>
    <s v="CENTCOM"/>
    <s v="Egypt"/>
    <x v="12"/>
    <n v="12"/>
    <x v="3"/>
    <s v="Xiong Guangkai"/>
    <m/>
    <s v="GSD DCGS"/>
    <n v="8"/>
    <s v="Hosted"/>
    <s v="CinC Air Force"/>
    <m/>
    <m/>
    <m/>
    <m/>
    <m/>
    <m/>
    <m/>
    <m/>
  </r>
  <r>
    <s v="Senior Level Visit"/>
    <s v="Europe"/>
    <s v="Europe and Central Asia"/>
    <s v="No Specific Relationship"/>
    <s v="NATO"/>
    <s v="EUCOM"/>
    <s v="Hungary"/>
    <x v="12"/>
    <n v="12"/>
    <x v="4"/>
    <s v="Liu Yongzhi"/>
    <m/>
    <s v="PLA NDU Political Commissar"/>
    <n v="6"/>
    <s v="Abroad"/>
    <m/>
    <m/>
    <m/>
    <m/>
    <m/>
    <m/>
    <m/>
    <m/>
    <m/>
  </r>
  <r>
    <s v="Senior Level Visit"/>
    <s v="South Asia"/>
    <s v="Asia"/>
    <s v="Comprehensive Cooperative Partnership [全面合作伙伴关系]"/>
    <s v="None"/>
    <s v="INDOPACOM"/>
    <s v="India"/>
    <x v="12"/>
    <n v="12"/>
    <x v="4"/>
    <s v="Xiong Guangkai"/>
    <m/>
    <s v="GSD DCGS"/>
    <n v="6"/>
    <s v="Abroad"/>
    <m/>
    <m/>
    <m/>
    <m/>
    <m/>
    <m/>
    <m/>
    <m/>
    <m/>
  </r>
  <r>
    <s v="Senior Level Visit"/>
    <s v="Europe"/>
    <s v="Europe and Central Asia"/>
    <s v="No Specific Relationship"/>
    <s v="NATO"/>
    <s v="EUCOM"/>
    <s v="Italy"/>
    <x v="12"/>
    <n v="12"/>
    <x v="4"/>
    <s v="Liu Yongzhi"/>
    <m/>
    <s v="PLA NDU Political Commissar"/>
    <n v="6"/>
    <s v="Abroad"/>
    <m/>
    <m/>
    <m/>
    <m/>
    <m/>
    <m/>
    <m/>
    <m/>
    <m/>
  </r>
  <r>
    <s v="Senior Level Visit"/>
    <s v="Africa"/>
    <s v="West Asia and Africa"/>
    <s v="No Specific Relationship"/>
    <s v="None"/>
    <s v="AFRICOM"/>
    <s v="Kenya"/>
    <x v="12"/>
    <n v="12"/>
    <x v="4"/>
    <s v="Xiong Guangkai"/>
    <m/>
    <s v="GSD DCGS"/>
    <n v="6"/>
    <s v="Abroad"/>
    <m/>
    <m/>
    <m/>
    <m/>
    <m/>
    <m/>
    <m/>
    <m/>
    <m/>
  </r>
  <r>
    <s v="Senior Level Visit"/>
    <s v="Middle East"/>
    <s v="West Asia and Africa"/>
    <s v="No Specific Relationship"/>
    <s v="Major Non-NATO Ally"/>
    <s v="CENTCOM"/>
    <s v="Kuwait"/>
    <x v="12"/>
    <n v="12"/>
    <x v="3"/>
    <s v="Cao Gangchuan"/>
    <m/>
    <s v="CMC Vice Chairman; Defense Minister"/>
    <n v="10"/>
    <s v="Hosted"/>
    <s v="Defense Minister"/>
    <m/>
    <m/>
    <m/>
    <m/>
    <m/>
    <m/>
    <m/>
    <m/>
  </r>
  <r>
    <s v="Senior Level Visit"/>
    <s v="Southeast Asia"/>
    <s v="Asia"/>
    <s v="No Specific Relationship"/>
    <s v="None"/>
    <s v="INDOPACOM"/>
    <s v="Myanmar"/>
    <x v="12"/>
    <n v="12"/>
    <x v="4"/>
    <s v="Xiong Guangkai"/>
    <m/>
    <s v="GSD DCGS"/>
    <n v="6"/>
    <s v="Abroad"/>
    <m/>
    <m/>
    <m/>
    <m/>
    <m/>
    <m/>
    <m/>
    <m/>
    <m/>
  </r>
  <r>
    <s v="Senior Level Visit"/>
    <s v="Oceania"/>
    <s v="America and Oceania"/>
    <s v="No Specific Relationship"/>
    <s v="ANZUS Treaty"/>
    <s v="INDOPACOM"/>
    <s v="New Zealand"/>
    <x v="12"/>
    <n v="12"/>
    <x v="4"/>
    <s v="Xiong Guangkai"/>
    <m/>
    <s v="GSD DCGS"/>
    <n v="6"/>
    <s v="Abroad"/>
    <m/>
    <m/>
    <m/>
    <m/>
    <m/>
    <m/>
    <m/>
    <m/>
    <m/>
  </r>
  <r>
    <s v="Senior Level Visit"/>
    <s v="Southeast Asia"/>
    <s v="Asia"/>
    <s v="No Specific Relationship"/>
    <s v="Bilateral Defense Treaty"/>
    <s v="INDOPACOM"/>
    <s v="Philippines"/>
    <x v="12"/>
    <n v="12"/>
    <x v="4"/>
    <s v="Chen Bingde"/>
    <m/>
    <s v="Jinan MR Commander"/>
    <n v="6"/>
    <s v="Abroad"/>
    <m/>
    <m/>
    <m/>
    <m/>
    <m/>
    <m/>
    <m/>
    <m/>
    <m/>
  </r>
  <r>
    <s v="Senior Level Visit"/>
    <s v="Russia"/>
    <s v="Europe and Central Asia"/>
    <s v="Strategic Partnership of Coordination [战略协作伙伴关系]"/>
    <s v="None"/>
    <s v="EUCOM"/>
    <s v="Russia"/>
    <x v="12"/>
    <n v="12"/>
    <x v="4"/>
    <s v="Cao Gangchuan"/>
    <m/>
    <s v="CMC Vice Chairman; Defense Minister"/>
    <n v="10"/>
    <s v="Abroad"/>
    <s v="Defense Minister"/>
    <m/>
    <m/>
    <m/>
    <m/>
    <m/>
    <m/>
    <m/>
    <m/>
  </r>
  <r>
    <s v="Senior Level Visit"/>
    <s v="Southeast Asia"/>
    <s v="Asia"/>
    <s v="No Specific Relationship"/>
    <s v="None"/>
    <s v="INDOPACOM"/>
    <s v="Singapore"/>
    <x v="12"/>
    <n v="12"/>
    <x v="4"/>
    <s v="Xiong Guangkai"/>
    <m/>
    <s v="GSD DCGS"/>
    <n v="6"/>
    <s v="Abroad"/>
    <m/>
    <m/>
    <m/>
    <m/>
    <m/>
    <m/>
    <m/>
    <m/>
    <m/>
  </r>
  <r>
    <s v="Senior Level Visit"/>
    <s v="Africa"/>
    <s v="West Asia and Africa"/>
    <s v="No Specific Relationship"/>
    <s v="None"/>
    <s v="AFRICOM"/>
    <s v="Sudan"/>
    <x v="12"/>
    <n v="12"/>
    <x v="3"/>
    <s v="Cao Gangchuan"/>
    <m/>
    <s v="CMC Vice Chairman; Defense Minister"/>
    <n v="10"/>
    <s v="Hosted"/>
    <s v="Defense Minister"/>
    <m/>
    <m/>
    <m/>
    <m/>
    <m/>
    <m/>
    <m/>
    <m/>
  </r>
  <r>
    <s v="Senior Level Visit"/>
    <s v="Southeast Asia"/>
    <s v="Asia"/>
    <s v="No Specific Relationship"/>
    <s v="Bilateral Defense Treaty"/>
    <s v="INDOPACOM"/>
    <s v="Thailand"/>
    <x v="12"/>
    <n v="12"/>
    <x v="4"/>
    <s v="Chen Bingde"/>
    <m/>
    <s v="Jinan MR Commander"/>
    <n v="6"/>
    <s v="Abroad"/>
    <m/>
    <m/>
    <m/>
    <m/>
    <m/>
    <m/>
    <m/>
    <m/>
    <m/>
  </r>
  <r>
    <s v="Senior Level Visit"/>
    <s v="North America"/>
    <s v="America and Oceania"/>
    <s v="No Specific Relationship"/>
    <s v="N/A"/>
    <s v="NORTHCOM"/>
    <s v="United States"/>
    <x v="13"/>
    <n v="1"/>
    <x v="3"/>
    <s v="Guo Boxiong"/>
    <m/>
    <s v="CMC Vice Chairman"/>
    <n v="10"/>
    <s v="Hosted"/>
    <s v="Chairman JCS"/>
    <m/>
    <m/>
    <m/>
    <m/>
    <m/>
    <m/>
    <m/>
    <m/>
  </r>
  <r>
    <s v="Senior Level Visit"/>
    <s v="Middle East"/>
    <s v="West Asia and Africa"/>
    <s v="Strategic Cooperative Partnership [战略合作伙伴关系]"/>
    <s v="Major Non-NATO Ally"/>
    <s v="CENTCOM"/>
    <s v="Egypt"/>
    <x v="13"/>
    <n v="2"/>
    <x v="4"/>
    <s v="Xiong Guangkai"/>
    <m/>
    <s v="GSD DCGS"/>
    <n v="8"/>
    <s v="Abroad"/>
    <m/>
    <m/>
    <m/>
    <m/>
    <m/>
    <m/>
    <m/>
    <m/>
    <m/>
  </r>
  <r>
    <s v="Senior Level Visit"/>
    <s v="Europe"/>
    <s v="Europe and Central Asia"/>
    <s v="No Specific Relationship"/>
    <s v="None"/>
    <s v="EUCOM"/>
    <s v="Macedonia"/>
    <x v="13"/>
    <n v="2"/>
    <x v="3"/>
    <s v="Cao Gangchuan"/>
    <m/>
    <s v="CMC Vice Chairman; Defense Minister"/>
    <n v="10"/>
    <s v="Hosted"/>
    <s v="Defense Minister"/>
    <m/>
    <m/>
    <m/>
    <m/>
    <m/>
    <m/>
    <m/>
    <m/>
  </r>
  <r>
    <s v="Senior Level Visit"/>
    <s v="Southeast Asia"/>
    <s v="Asia"/>
    <s v="No Specific Relationship"/>
    <s v="None"/>
    <s v="INDOPACOM"/>
    <s v="Vietnam"/>
    <x v="13"/>
    <n v="2"/>
    <x v="4"/>
    <s v="Xiong Guangkai"/>
    <m/>
    <s v="GSD DCGS"/>
    <n v="8"/>
    <s v="Abroad"/>
    <m/>
    <m/>
    <m/>
    <m/>
    <m/>
    <m/>
    <m/>
    <m/>
    <m/>
  </r>
  <r>
    <s v="Senior Level Visit"/>
    <s v="Africa"/>
    <s v="West Asia and Africa"/>
    <s v="No Specific Relationship"/>
    <s v="None"/>
    <s v="AFRICOM"/>
    <s v="Zimbabwe"/>
    <x v="13"/>
    <n v="2"/>
    <x v="4"/>
    <s v="Xiong Guangkai"/>
    <m/>
    <s v="GSD DCGS"/>
    <n v="8"/>
    <s v="Abroad"/>
    <m/>
    <m/>
    <m/>
    <m/>
    <m/>
    <m/>
    <m/>
    <m/>
    <m/>
  </r>
  <r>
    <s v="Senior Level Visit"/>
    <s v="Oceania"/>
    <s v="America and Oceania"/>
    <s v="No Specific Relationship"/>
    <s v="ANZUS Treaty"/>
    <s v="INDOPACOM"/>
    <s v="Australia"/>
    <x v="13"/>
    <n v="3"/>
    <x v="3"/>
    <s v="Ge Zhenfeng"/>
    <m/>
    <s v="GSD DCGS"/>
    <n v="6"/>
    <s v="Hosted"/>
    <s v="Commander of the Australian Theater"/>
    <m/>
    <m/>
    <m/>
    <m/>
    <m/>
    <m/>
    <m/>
    <m/>
  </r>
  <r>
    <s v="Military Exercise"/>
    <s v="Europe"/>
    <s v="Europe and Central Asia"/>
    <s v="Comprehensive Partnership [全面伙伴关系]"/>
    <s v="NATO"/>
    <s v="EUCOM"/>
    <s v="France"/>
    <x v="13"/>
    <n v="3"/>
    <x v="5"/>
    <m/>
    <m/>
    <m/>
    <m/>
    <m/>
    <m/>
    <s v="MOOTW"/>
    <s v="Unknown"/>
    <s v="Navy"/>
    <s v="SAREX"/>
    <m/>
    <m/>
    <m/>
    <m/>
  </r>
  <r>
    <s v="Senior Level Visit"/>
    <s v="South Asia"/>
    <s v="Asia"/>
    <s v="Comprehensive Cooperative Partnership [全面合作伙伴关系]"/>
    <s v="None"/>
    <s v="INDOPACOM"/>
    <s v="India"/>
    <x v="13"/>
    <n v="3"/>
    <x v="4"/>
    <s v="Cao Gangchuan"/>
    <m/>
    <s v="CMC Vice Chairman; Defense Minister"/>
    <n v="10"/>
    <s v="Abroad"/>
    <m/>
    <m/>
    <m/>
    <m/>
    <m/>
    <m/>
    <m/>
    <m/>
    <m/>
  </r>
  <r>
    <s v="Senior Level Visit"/>
    <s v="Northeast Asia"/>
    <s v="Asia"/>
    <s v="Partnership of Friendship and Cooperation for Peace and Development [致力于和平发展的友好合作关系]"/>
    <s v="Bilateral Defense Treaty"/>
    <s v="INDOPACOM"/>
    <s v="Japan"/>
    <x v="13"/>
    <n v="3"/>
    <x v="3"/>
    <s v="Cao Gangchuan"/>
    <m/>
    <s v="CMC Vice Chairman; Defense Minister"/>
    <n v="10"/>
    <s v="Hosted"/>
    <s v="Delegation of middle ranking officers from Sasakawa China-Japan Foundation"/>
    <m/>
    <m/>
    <m/>
    <m/>
    <m/>
    <m/>
    <m/>
    <m/>
  </r>
  <r>
    <s v="Senior Level Visit"/>
    <s v="South Asia"/>
    <s v="Asia"/>
    <s v="Strategic Partnership [战略伙伴关系]"/>
    <s v="Major Non-NATO Ally"/>
    <s v="CENTCOM"/>
    <s v="Pakistan"/>
    <x v="13"/>
    <n v="3"/>
    <x v="4"/>
    <s v="Cao Gangchuan"/>
    <m/>
    <s v="CMC Vice Chairman; Defense Minister"/>
    <n v="10"/>
    <s v="Abroad"/>
    <s v="Defense Minister"/>
    <m/>
    <m/>
    <m/>
    <m/>
    <m/>
    <m/>
    <m/>
    <m/>
  </r>
  <r>
    <s v="Senior Level Visit"/>
    <s v="Russia"/>
    <s v="Europe and Central Asia"/>
    <s v="Strategic Partnership of Coordination [战略协作伙伴关系]"/>
    <s v="None"/>
    <s v="EUCOM"/>
    <s v="Russia"/>
    <x v="13"/>
    <n v="3"/>
    <x v="3"/>
    <s v="Liang Guanglie"/>
    <m/>
    <s v="GSD Commander; CMC Member"/>
    <n v="8"/>
    <s v="Hosted"/>
    <s v="First Deputy Chief of Staff Russian Armed Forces"/>
    <m/>
    <m/>
    <m/>
    <m/>
    <m/>
    <m/>
    <m/>
    <m/>
  </r>
  <r>
    <s v="Senior Level Visit"/>
    <s v="Southeast Asia"/>
    <s v="Asia"/>
    <s v="No Specific Relationship"/>
    <s v="Bilateral Defense Treaty"/>
    <s v="INDOPACOM"/>
    <s v="Thailand"/>
    <x v="13"/>
    <n v="3"/>
    <x v="4"/>
    <s v="Cao Gangchuan"/>
    <m/>
    <s v="CMC Vice Chairman; Defense Minister"/>
    <n v="10"/>
    <s v="Abroad"/>
    <m/>
    <m/>
    <m/>
    <m/>
    <m/>
    <m/>
    <m/>
    <m/>
    <m/>
  </r>
  <r>
    <s v="Senior Level Visit"/>
    <s v="Africa"/>
    <s v="West Asia and Africa"/>
    <s v="No Specific Relationship"/>
    <s v="None"/>
    <s v="AFRICOM"/>
    <s v="Zimbabwe"/>
    <x v="13"/>
    <n v="3"/>
    <x v="3"/>
    <s v="Cao Gangchuan"/>
    <m/>
    <s v="CMC Vice Chairman; Defense Minister"/>
    <n v="10"/>
    <s v="Hosted"/>
    <s v="Commander Defense Forces "/>
    <m/>
    <m/>
    <m/>
    <m/>
    <m/>
    <m/>
    <m/>
    <m/>
  </r>
  <r>
    <s v="Senior Level Visit"/>
    <s v="Europe"/>
    <s v="Europe and Central Asia"/>
    <s v="No Specific Relationship"/>
    <s v="NATO"/>
    <s v="EUCOM"/>
    <s v="Czech Republic"/>
    <x v="13"/>
    <n v="4"/>
    <x v="4"/>
    <s v="Li Jinai"/>
    <m/>
    <s v="GPD Deputy Director"/>
    <n v="8"/>
    <s v="Abroad"/>
    <m/>
    <m/>
    <m/>
    <m/>
    <m/>
    <m/>
    <m/>
    <m/>
    <m/>
  </r>
  <r>
    <s v="Senior Level Visit"/>
    <s v="Middle East"/>
    <s v="West Asia and Africa"/>
    <s v="Strategic Cooperative Partnership [战略合作伙伴关系]"/>
    <s v="Major Non-NATO Ally"/>
    <s v="CENTCOM"/>
    <s v="Egypt"/>
    <x v="13"/>
    <n v="4"/>
    <x v="4"/>
    <s v="Liu Dongdong"/>
    <m/>
    <s v="Jinan MR Political Commissar"/>
    <n v="6"/>
    <s v="Abroad"/>
    <m/>
    <m/>
    <m/>
    <m/>
    <m/>
    <m/>
    <m/>
    <m/>
    <m/>
  </r>
  <r>
    <s v="Senior Level Visit"/>
    <s v="Europe"/>
    <s v="Europe and Central Asia"/>
    <s v="No Specific Relationship"/>
    <s v="None"/>
    <s v="EUCOM"/>
    <s v="Finland"/>
    <x v="13"/>
    <n v="4"/>
    <x v="3"/>
    <s v="Cao Gangchuan"/>
    <m/>
    <s v="CMC Vice Chairman; Defense Minister"/>
    <n v="10"/>
    <s v="Hosted"/>
    <s v="CinC National Defense Forces"/>
    <m/>
    <m/>
    <m/>
    <m/>
    <m/>
    <m/>
    <m/>
    <m/>
  </r>
  <r>
    <s v="Senior Level Visit"/>
    <s v="Middle East"/>
    <s v="West Asia and Africa"/>
    <s v="No Specific Relationship"/>
    <s v="Major Non-NATO Ally"/>
    <s v="CENTCOM"/>
    <s v="Israel"/>
    <x v="13"/>
    <n v="4"/>
    <x v="4"/>
    <s v="Pei Huailiang"/>
    <m/>
    <s v="PLA NDU President"/>
    <n v="6"/>
    <s v="Abroad"/>
    <m/>
    <m/>
    <m/>
    <m/>
    <m/>
    <m/>
    <m/>
    <m/>
    <m/>
  </r>
  <r>
    <s v="Senior Level Visit"/>
    <s v="Northeast Asia"/>
    <s v="Asia"/>
    <s v="Partnership of Friendship and Cooperation for Peace and Development [致力于和平发展的友好合作关系]"/>
    <s v="Bilateral Defense Treaty"/>
    <s v="INDOPACOM"/>
    <s v="Japan"/>
    <x v="13"/>
    <n v="4"/>
    <x v="3"/>
    <s v="Cao Gangchuan"/>
    <m/>
    <s v="CMC Vice Chairman; Defense Minister"/>
    <n v="10"/>
    <s v="Hosted"/>
    <s v="JADSF Chief of Staff"/>
    <m/>
    <m/>
    <m/>
    <m/>
    <m/>
    <m/>
    <m/>
    <m/>
  </r>
  <r>
    <s v="Senior Level Visit"/>
    <s v="Middle East"/>
    <s v="West Asia and Africa"/>
    <s v="No Specific Relationship"/>
    <s v="Major Non-NATO Ally"/>
    <s v="CENTCOM"/>
    <s v="Jordan"/>
    <x v="13"/>
    <n v="4"/>
    <x v="4"/>
    <s v="Pei Huailiang"/>
    <m/>
    <s v="PLA NDU President"/>
    <n v="6"/>
    <s v="Abroad"/>
    <m/>
    <m/>
    <m/>
    <m/>
    <m/>
    <m/>
    <m/>
    <m/>
    <m/>
  </r>
  <r>
    <s v="Senior Level Visit"/>
    <s v="Central Asia"/>
    <s v="Europe and Central Asia"/>
    <s v="Comprehensive Cooperative Partnership [全面合作伙伴关系]"/>
    <s v="None"/>
    <s v="CENTCOM"/>
    <s v="Kazakhstan"/>
    <x v="13"/>
    <n v="4"/>
    <x v="3"/>
    <s v="Cao Gangchuan"/>
    <m/>
    <s v="CMC Vice Chairman; Defense Minister"/>
    <n v="10"/>
    <s v="Hosted"/>
    <s v="Defense Minister"/>
    <m/>
    <m/>
    <m/>
    <m/>
    <m/>
    <m/>
    <m/>
    <m/>
  </r>
  <r>
    <s v="Senior Level Visit"/>
    <s v="Europe"/>
    <s v="Europe and Central Asia"/>
    <s v="No Specific Relationship"/>
    <s v="NATO"/>
    <s v="EUCOM"/>
    <s v="Norway"/>
    <x v="13"/>
    <n v="4"/>
    <x v="3"/>
    <s v="Cao Gangchuan"/>
    <m/>
    <s v="CMC Vice Chairman; Defense Minister"/>
    <n v="10"/>
    <s v="Hosted"/>
    <s v="Defense Minister"/>
    <m/>
    <m/>
    <m/>
    <m/>
    <m/>
    <m/>
    <m/>
    <m/>
  </r>
  <r>
    <s v="Senior Level Visit"/>
    <s v="Southeast Asia"/>
    <s v="Asia"/>
    <s v="No Specific Relationship"/>
    <s v="Bilateral Defense Treaty"/>
    <s v="INDOPACOM"/>
    <s v="Philippines"/>
    <x v="13"/>
    <n v="4"/>
    <x v="3"/>
    <s v="Liang Guanglie"/>
    <m/>
    <s v="GSD Commander; CMC Member"/>
    <n v="8"/>
    <s v="Hosted"/>
    <s v="Commander, Air Force"/>
    <m/>
    <m/>
    <m/>
    <m/>
    <m/>
    <m/>
    <m/>
    <m/>
  </r>
  <r>
    <s v="Senior Level Visit"/>
    <s v="Russia"/>
    <s v="Europe and Central Asia"/>
    <s v="Strategic Partnership of Coordination [战略协作伙伴关系]"/>
    <s v="None"/>
    <s v="EUCOM"/>
    <s v="Russia"/>
    <x v="13"/>
    <n v="4"/>
    <x v="3"/>
    <s v="Cao Gangchuan"/>
    <m/>
    <s v="CMC Vice Chairman; Defense Minister"/>
    <n v="10"/>
    <s v="Hosted"/>
    <s v="Defense Minister"/>
    <m/>
    <m/>
    <m/>
    <m/>
    <m/>
    <m/>
    <m/>
    <m/>
  </r>
  <r>
    <s v="Senior Level Visit"/>
    <s v="Northeast Asia"/>
    <s v="Asia"/>
    <s v="Comprehensive Cooperative Partnership [全面合作伙伴关系]"/>
    <s v="Bilateral Defense Treaty"/>
    <s v="INDOPACOM"/>
    <s v="South Korea"/>
    <x v="13"/>
    <n v="4"/>
    <x v="3"/>
    <s v="Xiong Guangkai"/>
    <m/>
    <s v="GSD DCGS"/>
    <n v="6"/>
    <s v="Hosted"/>
    <s v="ROK NDU President"/>
    <m/>
    <m/>
    <m/>
    <m/>
    <m/>
    <m/>
    <m/>
    <m/>
  </r>
  <r>
    <s v="Senior Level Visit"/>
    <s v="Middle East"/>
    <s v="West Asia and Africa"/>
    <s v="No Specific Relationship"/>
    <s v="None"/>
    <s v="CENTCOM"/>
    <s v="Syria"/>
    <x v="13"/>
    <n v="4"/>
    <x v="4"/>
    <s v="Liu Dongdong"/>
    <m/>
    <s v="Jinan MR Political Commissar"/>
    <n v="6"/>
    <s v="Abroad"/>
    <m/>
    <m/>
    <m/>
    <m/>
    <m/>
    <m/>
    <m/>
    <m/>
    <m/>
  </r>
  <r>
    <s v="Senior Level Visit"/>
    <s v="Europe"/>
    <s v="Europe and Central Asia"/>
    <s v="No Specific Relationship"/>
    <s v="None"/>
    <s v="EUCOM"/>
    <s v="Ukraine"/>
    <x v="13"/>
    <n v="4"/>
    <x v="4"/>
    <s v="Pei Huailiang"/>
    <m/>
    <s v="PLA NDU President"/>
    <n v="6"/>
    <s v="Abroad"/>
    <m/>
    <m/>
    <m/>
    <m/>
    <m/>
    <m/>
    <m/>
    <m/>
    <m/>
  </r>
  <r>
    <s v="Senior Level Visit"/>
    <s v="South America"/>
    <s v="America and Oceania"/>
    <s v="No Specific Relationship"/>
    <s v="None"/>
    <s v="SOUTHCOM"/>
    <s v="Barbados"/>
    <x v="13"/>
    <n v="5"/>
    <x v="3"/>
    <s v="Cao Gangchuan"/>
    <m/>
    <s v="CMC Vice Chairman; Defense Minister"/>
    <n v="10"/>
    <s v="Hosted"/>
    <s v="Chief of Staff National Defense Forces"/>
    <m/>
    <m/>
    <m/>
    <m/>
    <m/>
    <m/>
    <m/>
    <m/>
  </r>
  <r>
    <s v="Senior Level Visit"/>
    <s v="South America"/>
    <s v="America and Oceania"/>
    <s v="Comprehensive Strategic Partnership [全面战略伙伴关系]"/>
    <s v="None"/>
    <s v="SOUTHCOM"/>
    <s v="Brazil"/>
    <x v="13"/>
    <n v="5"/>
    <x v="3"/>
    <s v="Cao Gangchuan"/>
    <m/>
    <s v="CMC Vice Chairman; Defense Minister"/>
    <n v="10"/>
    <s v="Hosted"/>
    <s v="Air Force Commander "/>
    <m/>
    <m/>
    <m/>
    <m/>
    <m/>
    <m/>
    <m/>
    <m/>
  </r>
  <r>
    <s v="Senior Level Visit"/>
    <s v="Southeast Asia"/>
    <s v="Asia"/>
    <s v="No Specific Relationship"/>
    <s v="None"/>
    <s v="INDOPACOM"/>
    <s v="Cambodia"/>
    <x v="13"/>
    <n v="5"/>
    <x v="3"/>
    <s v="Cao Gangchuan"/>
    <m/>
    <s v="CMC Vice Chairman; Defense Minister"/>
    <n v="10"/>
    <s v="Hosted"/>
    <s v="Director General of General Logistics and Finance"/>
    <m/>
    <m/>
    <m/>
    <m/>
    <m/>
    <m/>
    <m/>
    <m/>
  </r>
  <r>
    <s v="Senior Level Visit"/>
    <s v="North America"/>
    <s v="America and Oceania"/>
    <s v="Comprehensive Partnership [全面伙伴关系]"/>
    <s v="NATO"/>
    <s v="NORTHCOM"/>
    <s v="Canada"/>
    <x v="13"/>
    <n v="5"/>
    <x v="4"/>
    <s v="Wen Zongren"/>
    <m/>
    <s v="AMS Political Commissar"/>
    <n v="6"/>
    <s v="Abroad"/>
    <m/>
    <m/>
    <m/>
    <m/>
    <m/>
    <m/>
    <m/>
    <m/>
    <m/>
  </r>
  <r>
    <s v="Senior Level Visit"/>
    <s v="South America"/>
    <s v="America and Oceania"/>
    <s v="Comprehensive Partnership [全面伙伴关系]"/>
    <s v="None"/>
    <s v="SOUTHCOM"/>
    <s v="Chile"/>
    <x v="13"/>
    <n v="5"/>
    <x v="3"/>
    <s v="Cao Gangchuan"/>
    <m/>
    <s v="CMC Vice Chairman; Defense Minister"/>
    <n v="10"/>
    <s v="Hosted"/>
    <s v="Defense Minister"/>
    <m/>
    <m/>
    <m/>
    <m/>
    <m/>
    <m/>
    <m/>
    <m/>
  </r>
  <r>
    <s v="Senior Level Visit"/>
    <s v="South America"/>
    <s v="America and Oceania"/>
    <s v="No Specific Relationship"/>
    <s v="None"/>
    <s v="SOUTHCOM"/>
    <s v="Cuba"/>
    <x v="13"/>
    <n v="5"/>
    <x v="4"/>
    <s v="Chi Wanchun"/>
    <m/>
    <s v="GAD Political Commissar"/>
    <n v="6"/>
    <s v="Abroad"/>
    <m/>
    <m/>
    <m/>
    <m/>
    <m/>
    <m/>
    <m/>
    <m/>
    <m/>
  </r>
  <r>
    <s v="Senior Level Visit"/>
    <s v="Europe"/>
    <s v="Europe and Central Asia"/>
    <s v="Comprehensive Partnership [全面伙伴关系]"/>
    <s v="NATO"/>
    <s v="EUCOM"/>
    <s v="France"/>
    <x v="13"/>
    <n v="5"/>
    <x v="4"/>
    <s v="Liang Guanglie"/>
    <m/>
    <s v="GSD Commander; CMC Member"/>
    <n v="8"/>
    <s v="Abroad"/>
    <m/>
    <m/>
    <m/>
    <m/>
    <m/>
    <m/>
    <m/>
    <m/>
    <m/>
  </r>
  <r>
    <s v="Senior Level Visit"/>
    <s v="Europe"/>
    <s v="Europe and Central Asia"/>
    <s v="No Specific Relationship"/>
    <s v="NATO"/>
    <s v="EUCOM"/>
    <s v="Greece"/>
    <x v="13"/>
    <n v="5"/>
    <x v="3"/>
    <s v="Cao Gangchuan"/>
    <m/>
    <s v="CMC Vice Chairman; Defense Minister"/>
    <n v="10"/>
    <s v="Hosted"/>
    <s v="Chief of Staff, Air Force"/>
    <m/>
    <m/>
    <m/>
    <m/>
    <m/>
    <m/>
    <m/>
    <m/>
  </r>
  <r>
    <s v="Naval Port Call"/>
    <s v="Northeast Asia"/>
    <s v="Asia"/>
    <s v="N/A"/>
    <s v="None"/>
    <s v="INDOPACOM"/>
    <s v="Hong Kong"/>
    <x v="13"/>
    <n v="5"/>
    <x v="0"/>
    <m/>
    <m/>
    <m/>
    <m/>
    <m/>
    <m/>
    <m/>
    <m/>
    <m/>
    <m/>
    <s v="NETF"/>
    <s v="2004-05 Unknown "/>
    <s v="Unknown"/>
    <s v="8 vessels"/>
  </r>
  <r>
    <s v="Senior Level Visit"/>
    <s v="Europe"/>
    <s v="Europe and Central Asia"/>
    <s v="No Specific Relationship"/>
    <s v="NATO"/>
    <s v="EUCOM"/>
    <s v="Hungary"/>
    <x v="13"/>
    <n v="5"/>
    <x v="3"/>
    <s v="Cao Gangchuan"/>
    <m/>
    <s v="CMC Vice Chairman; Defense Minister"/>
    <n v="10"/>
    <s v="Hosted"/>
    <s v="State Affairs Secretary"/>
    <m/>
    <m/>
    <m/>
    <m/>
    <m/>
    <m/>
    <m/>
    <m/>
  </r>
  <r>
    <s v="Senior Level Visit"/>
    <s v="Northeast Asia"/>
    <s v="Asia"/>
    <s v="Partnership of Friendship and Cooperation for Peace and Development [致力于和平发展的友好合作关系]"/>
    <s v="Bilateral Defense Treaty"/>
    <s v="INDOPACOM"/>
    <s v="Japan"/>
    <x v="13"/>
    <n v="5"/>
    <x v="3"/>
    <s v="Cao Gangchuan"/>
    <m/>
    <s v="CMC Vice Chairman; Defense Minister"/>
    <n v="10"/>
    <s v="Hosted"/>
    <s v="former Chairman JCS"/>
    <m/>
    <m/>
    <m/>
    <m/>
    <m/>
    <m/>
    <m/>
    <m/>
  </r>
  <r>
    <s v="Senior Level Visit"/>
    <s v="Southeast Asia"/>
    <s v="Asia"/>
    <s v="No Specific Relationship"/>
    <s v="None"/>
    <s v="INDOPACOM"/>
    <s v="Laos"/>
    <x v="13"/>
    <n v="5"/>
    <x v="3"/>
    <s v="Cao Gangchuan"/>
    <m/>
    <s v="CMC Vice Chairman; Defense Minister"/>
    <n v="10"/>
    <s v="Hosted"/>
    <s v="Chief, GPD "/>
    <m/>
    <m/>
    <m/>
    <m/>
    <m/>
    <m/>
    <m/>
    <m/>
  </r>
  <r>
    <s v="Senior Level Visit"/>
    <s v="Africa"/>
    <s v="West Asia and Africa"/>
    <s v="No Specific Relationship"/>
    <s v="None"/>
    <s v="AFRICOM"/>
    <s v="Namibia"/>
    <x v="13"/>
    <n v="5"/>
    <x v="3"/>
    <s v="Cao Gangchuan"/>
    <m/>
    <s v="CMC Vice Chairman; Defense Minister"/>
    <n v="10"/>
    <s v="Hosted"/>
    <s v="Defense Minister"/>
    <m/>
    <m/>
    <m/>
    <m/>
    <m/>
    <m/>
    <m/>
    <m/>
  </r>
  <r>
    <s v="Senior Level Visit"/>
    <s v="Africa"/>
    <s v="West Asia and Africa"/>
    <s v="No Specific Relationship"/>
    <s v="None"/>
    <s v="AFRICOM"/>
    <s v="Namibia"/>
    <x v="13"/>
    <n v="5"/>
    <x v="4"/>
    <s v="Xiong Guangkai"/>
    <m/>
    <s v="GSD DCGS"/>
    <n v="6"/>
    <s v="Abroad"/>
    <m/>
    <m/>
    <m/>
    <m/>
    <m/>
    <m/>
    <m/>
    <m/>
    <m/>
  </r>
  <r>
    <s v="Senior Level Visit"/>
    <s v="Africa"/>
    <s v="West Asia and Africa"/>
    <s v="No Specific Relationship"/>
    <s v="None"/>
    <s v="AFRICOM"/>
    <s v="Niger"/>
    <x v="13"/>
    <n v="5"/>
    <x v="3"/>
    <s v="Cao Gangchuan"/>
    <m/>
    <s v="CMC Vice Chairman; Defense Minister"/>
    <n v="10"/>
    <s v="Hosted"/>
    <s v="COGS"/>
    <m/>
    <m/>
    <m/>
    <m/>
    <m/>
    <m/>
    <m/>
    <m/>
  </r>
  <r>
    <s v="Senior Level Visit"/>
    <s v="Africa"/>
    <s v="West Asia and Africa"/>
    <s v="No Specific Relationship"/>
    <s v="None"/>
    <s v="AFRICOM"/>
    <s v="Nigeria"/>
    <x v="13"/>
    <n v="5"/>
    <x v="3"/>
    <s v="Cao Gangchuan"/>
    <m/>
    <s v="CMC Vice Chairman; Defense Minister"/>
    <n v="10"/>
    <s v="Hosted"/>
    <s v="Defense Minister"/>
    <m/>
    <m/>
    <m/>
    <m/>
    <m/>
    <m/>
    <m/>
    <m/>
  </r>
  <r>
    <s v="Senior Level Visit"/>
    <s v="Northeast Asia"/>
    <s v="Asia"/>
    <s v="Bilateral Defense Treaty"/>
    <s v="None"/>
    <s v="INDOPACOM"/>
    <s v="North Korea"/>
    <x v="13"/>
    <n v="5"/>
    <x v="3"/>
    <s v="Cao Gangchuan"/>
    <m/>
    <s v="CMC Vice Chairman; Defense Minister"/>
    <n v="10"/>
    <s v="Hosted"/>
    <s v="Defense Minister"/>
    <m/>
    <m/>
    <m/>
    <m/>
    <m/>
    <m/>
    <m/>
    <m/>
  </r>
  <r>
    <s v="Senior Level Visit"/>
    <s v="South Asia"/>
    <s v="Asia"/>
    <s v="Strategic Partnership [战略伙伴关系]"/>
    <s v="Major Non-NATO Ally"/>
    <s v="CENTCOM"/>
    <s v="Pakistan"/>
    <x v="13"/>
    <n v="5"/>
    <x v="3"/>
    <s v="Cao Gangchuan"/>
    <m/>
    <s v="CMC Vice Chairman; Defense Minister"/>
    <n v="10"/>
    <s v="Hosted"/>
    <s v="Chief of Naval Staff, Pakistan"/>
    <m/>
    <m/>
    <m/>
    <m/>
    <m/>
    <m/>
    <m/>
    <m/>
  </r>
  <r>
    <s v="Senior Level Visit"/>
    <s v="South Asia"/>
    <s v="Asia"/>
    <s v="Strategic Partnership [战略伙伴关系]"/>
    <s v="Major Non-NATO Ally"/>
    <s v="CENTCOM"/>
    <s v="Pakistan"/>
    <x v="13"/>
    <n v="5"/>
    <x v="3"/>
    <s v="Cao Gangchuan"/>
    <m/>
    <s v="CMC Vice Chairman; Defense Minister"/>
    <n v="10"/>
    <s v="Hosted"/>
    <s v="Commandant Pakistan National Defense College"/>
    <m/>
    <m/>
    <m/>
    <m/>
    <m/>
    <m/>
    <m/>
    <m/>
  </r>
  <r>
    <s v="Senior Level Visit"/>
    <s v="Europe"/>
    <s v="Europe and Central Asia"/>
    <s v="No Specific Relationship"/>
    <s v="NATO"/>
    <s v="EUCOM"/>
    <s v="Poland"/>
    <x v="13"/>
    <n v="5"/>
    <x v="4"/>
    <s v="Li Jinai"/>
    <m/>
    <s v="GPD Deputy Director"/>
    <n v="8"/>
    <s v="Abroad"/>
    <m/>
    <m/>
    <m/>
    <m/>
    <m/>
    <m/>
    <m/>
    <m/>
    <m/>
  </r>
  <r>
    <s v="Senior Level Visit"/>
    <s v="Europe"/>
    <s v="Europe and Central Asia"/>
    <s v="Comprehensive Friendly Cooperative Partnership [全面友好合作伙伴关系]"/>
    <s v="NATO"/>
    <s v="EUCOM"/>
    <s v="Romania"/>
    <x v="13"/>
    <n v="5"/>
    <x v="4"/>
    <s v="Liang Guanglie"/>
    <m/>
    <s v="GSD Commander; CMC Member"/>
    <n v="8"/>
    <s v="Abroad"/>
    <m/>
    <m/>
    <m/>
    <m/>
    <m/>
    <m/>
    <m/>
    <m/>
    <m/>
  </r>
  <r>
    <s v="Senior Level Visit"/>
    <s v="Russia"/>
    <s v="Europe and Central Asia"/>
    <s v="Strategic Partnership of Coordination [战略协作伙伴关系]"/>
    <s v="None"/>
    <s v="EUCOM"/>
    <s v="Russia"/>
    <x v="13"/>
    <n v="5"/>
    <x v="4"/>
    <s v="Liang Guanglie"/>
    <m/>
    <s v="GSD Commander; CMC Member"/>
    <n v="8"/>
    <s v="Abroad"/>
    <m/>
    <m/>
    <m/>
    <m/>
    <m/>
    <m/>
    <m/>
    <m/>
    <m/>
  </r>
  <r>
    <s v="Senior Level Visit"/>
    <s v="Europe"/>
    <s v="Europe and Central Asia"/>
    <s v="No Specific Relationship"/>
    <s v="NATO"/>
    <s v="EUCOM"/>
    <s v="Slovakia"/>
    <x v="13"/>
    <n v="5"/>
    <x v="4"/>
    <s v="Li Jinai"/>
    <m/>
    <s v="GPD Deputy Director"/>
    <n v="8"/>
    <s v="Abroad"/>
    <m/>
    <m/>
    <m/>
    <m/>
    <m/>
    <m/>
    <m/>
    <m/>
    <m/>
  </r>
  <r>
    <s v="Senior Level Visit"/>
    <s v="Africa"/>
    <s v="West Asia and Africa"/>
    <s v="No Specific Relationship"/>
    <s v="None"/>
    <s v="AFRICOM"/>
    <s v="Tanzania"/>
    <x v="13"/>
    <n v="5"/>
    <x v="4"/>
    <s v="Xiong Guangkai"/>
    <m/>
    <s v="GSD DCGS"/>
    <n v="6"/>
    <s v="Abroad"/>
    <m/>
    <m/>
    <m/>
    <m/>
    <m/>
    <m/>
    <m/>
    <m/>
    <m/>
  </r>
  <r>
    <s v="Senior Level Visit"/>
    <s v="Europe"/>
    <s v="Europe and Central Asia"/>
    <s v="Comprehensive Strategic Partnership [全面战略伙伴关系]"/>
    <s v="NATO"/>
    <s v="EUCOM"/>
    <s v="United Kingdom"/>
    <x v="13"/>
    <n v="5"/>
    <x v="4"/>
    <s v="Liang Guanglie"/>
    <m/>
    <s v="GSD Commander; CMC Member"/>
    <n v="8"/>
    <s v="Abroad"/>
    <m/>
    <m/>
    <m/>
    <m/>
    <m/>
    <m/>
    <m/>
    <m/>
    <m/>
  </r>
  <r>
    <s v="Senior Level Visit"/>
    <s v="South Asia"/>
    <s v="Asia"/>
    <s v="Good-Neighborly Partnership [世代友好的睦邻伙伴关系]"/>
    <s v="None"/>
    <s v="INDOPACOM"/>
    <s v="Nepal"/>
    <x v="13"/>
    <n v="6"/>
    <x v="3"/>
    <s v="Liang Guanglie"/>
    <m/>
    <s v="GSD Commander; CMC Member"/>
    <n v="8"/>
    <s v="Hosted"/>
    <s v="Army Chief of Staff"/>
    <m/>
    <m/>
    <m/>
    <m/>
    <m/>
    <m/>
    <m/>
    <m/>
  </r>
  <r>
    <s v="Senior Level Visit"/>
    <s v="Northeast Asia"/>
    <s v="Asia"/>
    <s v="Bilateral Defense Treaty"/>
    <s v="None"/>
    <s v="INDOPACOM"/>
    <s v="North Korea"/>
    <x v="13"/>
    <n v="6"/>
    <x v="4"/>
    <s v="Li Yu"/>
    <m/>
    <s v="GSD Assistant Commander"/>
    <n v="5"/>
    <s v="Abroad"/>
    <m/>
    <m/>
    <m/>
    <m/>
    <m/>
    <m/>
    <m/>
    <m/>
    <m/>
  </r>
  <r>
    <s v="Senior Level Visit"/>
    <s v="Europe"/>
    <s v="Europe and Central Asia"/>
    <s v="Comprehensive Friendly Cooperative Partnership [全面友好合作伙伴关系]"/>
    <s v="NATO"/>
    <s v="EUCOM"/>
    <s v="Romania"/>
    <x v="13"/>
    <n v="6"/>
    <x v="3"/>
    <s v="Liang Guanglie"/>
    <m/>
    <s v="GSD Commander; CMC Member"/>
    <n v="8"/>
    <s v="Hosted"/>
    <s v="State Affairs Secretary and concurrent Chief of General Ordnance Department"/>
    <m/>
    <m/>
    <m/>
    <m/>
    <m/>
    <m/>
    <m/>
    <m/>
  </r>
  <r>
    <s v="Military Exercise"/>
    <s v="Europe"/>
    <s v="Europe and Central Asia"/>
    <s v="Comprehensive Strategic Partnership [全面战略伙伴关系]"/>
    <s v="NATO"/>
    <s v="EUCOM"/>
    <s v="United Kingdom"/>
    <x v="13"/>
    <n v="6"/>
    <x v="5"/>
    <m/>
    <m/>
    <m/>
    <m/>
    <m/>
    <m/>
    <s v="MOOTW"/>
    <s v="Unknown"/>
    <s v="Navy"/>
    <s v="SAREX"/>
    <m/>
    <m/>
    <m/>
    <m/>
  </r>
  <r>
    <s v="Senior Level Visit"/>
    <s v="South America"/>
    <s v="America and Oceania"/>
    <s v="No Specific Relationship"/>
    <s v="None"/>
    <s v="SOUTHCOM"/>
    <s v="Cuba"/>
    <x v="13"/>
    <n v="7"/>
    <x v="4"/>
    <s v="Zhang Wentai"/>
    <m/>
    <s v="GLD Political Commissar"/>
    <n v="6"/>
    <s v="Abroad"/>
    <m/>
    <m/>
    <m/>
    <m/>
    <m/>
    <m/>
    <m/>
    <m/>
    <m/>
  </r>
  <r>
    <s v="Senior Level Visit"/>
    <s v="Middle East"/>
    <s v="West Asia and Africa"/>
    <s v="Strategic Cooperative Partnership [战略合作伙伴关系]"/>
    <s v="Major Non-NATO Ally"/>
    <s v="CENTCOM"/>
    <s v="Egypt"/>
    <x v="13"/>
    <n v="7"/>
    <x v="4"/>
    <s v="Guo Boxiong"/>
    <m/>
    <s v="CMC Vice Chairman"/>
    <n v="10"/>
    <s v="Abroad"/>
    <s v="Defense Minister"/>
    <m/>
    <m/>
    <m/>
    <m/>
    <m/>
    <m/>
    <m/>
    <m/>
  </r>
  <r>
    <s v="Senior Level Visit"/>
    <s v="Europe"/>
    <s v="Europe and Central Asia"/>
    <s v="No Specific Relationship"/>
    <s v="NATO"/>
    <s v="EUCOM"/>
    <s v="Germany"/>
    <x v="13"/>
    <n v="7"/>
    <x v="3"/>
    <s v="Liang Guanglie"/>
    <m/>
    <s v="GSD Commander; CMC Member"/>
    <n v="8"/>
    <s v="Hosted"/>
    <s v="Deputy General Inspector Armed Forces"/>
    <m/>
    <m/>
    <m/>
    <m/>
    <m/>
    <m/>
    <m/>
    <m/>
  </r>
  <r>
    <s v="Senior Level Visit"/>
    <s v="Europe"/>
    <s v="Europe and Central Asia"/>
    <s v="No Specific Relationship"/>
    <s v="NATO"/>
    <s v="EUCOM"/>
    <s v="Norway"/>
    <x v="13"/>
    <n v="7"/>
    <x v="4"/>
    <s v="Xiong Guangkai"/>
    <m/>
    <s v="GSD DCGS"/>
    <n v="6"/>
    <s v="Abroad"/>
    <m/>
    <m/>
    <m/>
    <m/>
    <m/>
    <m/>
    <m/>
    <m/>
    <m/>
  </r>
  <r>
    <s v="Senior Level Visit"/>
    <s v="Europe"/>
    <s v="Europe and Central Asia"/>
    <s v="No Specific Relationship"/>
    <s v="NATO"/>
    <s v="EUCOM"/>
    <s v="Poland"/>
    <x v="13"/>
    <n v="7"/>
    <x v="4"/>
    <s v="Zhao Keming"/>
    <m/>
    <s v="PLA NDU Political Commissar"/>
    <n v="6"/>
    <s v="Abroad"/>
    <m/>
    <m/>
    <m/>
    <m/>
    <m/>
    <m/>
    <m/>
    <m/>
    <m/>
  </r>
  <r>
    <s v="Senior Level Visit"/>
    <s v="Russia"/>
    <s v="Europe and Central Asia"/>
    <s v="Strategic Partnership of Coordination [战略协作伙伴关系]"/>
    <s v="None"/>
    <s v="EUCOM"/>
    <s v="Russia"/>
    <x v="13"/>
    <n v="7"/>
    <x v="4"/>
    <s v="Guo Boxiong"/>
    <m/>
    <s v="CMC Vice Chairman"/>
    <n v="10"/>
    <s v="Abroad"/>
    <s v="Defense Minister"/>
    <m/>
    <m/>
    <m/>
    <m/>
    <m/>
    <m/>
    <m/>
    <m/>
  </r>
  <r>
    <s v="Senior Level Visit"/>
    <s v="Central Asia"/>
    <s v="Europe and Central Asia"/>
    <s v="Member"/>
    <s v="None"/>
    <s v="CENTCOM"/>
    <s v="SCO"/>
    <x v="13"/>
    <n v="7"/>
    <x v="2"/>
    <s v="Xiong Guangkai"/>
    <m/>
    <s v="GSD DCGS"/>
    <n v="8"/>
    <s v="Hosted"/>
    <s v="first defense security seminar of the Shanghai Cooperation Organization"/>
    <m/>
    <m/>
    <m/>
    <m/>
    <m/>
    <m/>
    <m/>
    <m/>
  </r>
  <r>
    <s v="Senior Level Visit"/>
    <s v="Africa"/>
    <s v="West Asia and Africa"/>
    <s v="Strategic Partnership [战略伙伴关系]"/>
    <s v="None"/>
    <s v="AFRICOM"/>
    <s v="South Africa"/>
    <x v="13"/>
    <n v="7"/>
    <x v="4"/>
    <s v="Guo Boxiong"/>
    <m/>
    <s v="CMC Vice Chairman"/>
    <n v="10"/>
    <s v="Abroad"/>
    <m/>
    <m/>
    <m/>
    <m/>
    <m/>
    <m/>
    <m/>
    <m/>
    <m/>
  </r>
  <r>
    <s v="Senior Level Visit"/>
    <s v="North America"/>
    <s v="America and Oceania"/>
    <s v="No Specific Relationship"/>
    <s v="N/A"/>
    <s v="NORTHCOM"/>
    <s v="United States"/>
    <x v="13"/>
    <n v="7"/>
    <x v="3"/>
    <s v="Liang Guanglie"/>
    <m/>
    <s v="GSD Commander; CMC Member"/>
    <n v="8"/>
    <s v="Hosted"/>
    <s v="PACOM Commander"/>
    <m/>
    <m/>
    <m/>
    <m/>
    <m/>
    <m/>
    <m/>
    <m/>
  </r>
  <r>
    <s v="Senior Level Visit"/>
    <s v="Africa"/>
    <s v="West Asia and Africa"/>
    <s v="No Specific Relationship"/>
    <s v="None"/>
    <s v="AFRICOM"/>
    <s v="Angola"/>
    <x v="13"/>
    <n v="8"/>
    <x v="4"/>
    <s v="Li Qianyuan"/>
    <m/>
    <s v="Lanzhou MR Commander"/>
    <n v="6"/>
    <s v="Abroad"/>
    <m/>
    <m/>
    <m/>
    <m/>
    <m/>
    <m/>
    <m/>
    <m/>
    <m/>
  </r>
  <r>
    <s v="Senior Level Visit"/>
    <s v="Oceania"/>
    <s v="America and Oceania"/>
    <s v="No Specific Relationship"/>
    <s v="ANZUS Treaty"/>
    <s v="INDOPACOM"/>
    <s v="Australia"/>
    <x v="13"/>
    <n v="8"/>
    <x v="3"/>
    <s v="Liang Guanglie"/>
    <m/>
    <s v="GSD Commander; CMC Member"/>
    <n v="8"/>
    <s v="Hosted"/>
    <s v="Commander National Defense Forces"/>
    <m/>
    <m/>
    <m/>
    <m/>
    <m/>
    <m/>
    <m/>
    <m/>
  </r>
  <r>
    <s v="Senior Level Visit"/>
    <s v="South America"/>
    <s v="America and Oceania"/>
    <s v="Comprehensive Partnership [全面伙伴关系]"/>
    <s v="None"/>
    <s v="SOUTHCOM"/>
    <s v="Chile"/>
    <x v="13"/>
    <n v="8"/>
    <x v="4"/>
    <s v="Fan Changlong"/>
    <m/>
    <s v="Jinan MR Commander"/>
    <n v="6"/>
    <s v="Abroad"/>
    <m/>
    <m/>
    <m/>
    <m/>
    <m/>
    <m/>
    <m/>
    <m/>
    <m/>
  </r>
  <r>
    <s v="Senior Level Visit"/>
    <s v="South America"/>
    <s v="America and Oceania"/>
    <s v="No Specific Relationship"/>
    <s v="None"/>
    <s v="SOUTHCOM"/>
    <s v="Cuba"/>
    <x v="13"/>
    <n v="8"/>
    <x v="4"/>
    <s v="Li Yu"/>
    <m/>
    <s v="GSD Assistant Commander"/>
    <n v="5"/>
    <s v="Abroad"/>
    <m/>
    <m/>
    <m/>
    <m/>
    <m/>
    <m/>
    <m/>
    <m/>
    <m/>
  </r>
  <r>
    <s v="Senior Level Visit"/>
    <s v="North America"/>
    <s v="America and Oceania"/>
    <s v="Strategic Cooperative Partnership [战略合作伙伴关系]"/>
    <s v="None"/>
    <s v="NORTHCOM"/>
    <s v="Mexico"/>
    <x v="13"/>
    <n v="8"/>
    <x v="4"/>
    <s v="Li Yu"/>
    <m/>
    <s v="GSD Assistant Commander"/>
    <n v="5"/>
    <s v="Abroad"/>
    <m/>
    <m/>
    <m/>
    <m/>
    <m/>
    <m/>
    <m/>
    <m/>
    <m/>
  </r>
  <r>
    <s v="Military Exercise"/>
    <s v="South Asia"/>
    <s v="Asia"/>
    <s v="Strategic Partnership [战略伙伴关系]"/>
    <s v="Major Non-NATO Ally"/>
    <s v="CENTCOM"/>
    <s v="Pakistan"/>
    <x v="13"/>
    <n v="8"/>
    <x v="5"/>
    <m/>
    <m/>
    <m/>
    <m/>
    <m/>
    <m/>
    <s v="Anti-terrorism"/>
    <s v="Unknown"/>
    <s v="Army"/>
    <s v="Anti-terrorism"/>
    <m/>
    <m/>
    <m/>
    <m/>
  </r>
  <r>
    <s v="Senior Level Visit"/>
    <s v="Africa"/>
    <s v="West Asia and Africa"/>
    <s v="No Specific Relationship"/>
    <s v="None"/>
    <s v="AFRICOM"/>
    <s v="Tanzania"/>
    <x v="13"/>
    <n v="8"/>
    <x v="4"/>
    <s v="Deng Changyou"/>
    <m/>
    <s v="PLAAF Political Commissar"/>
    <n v="6"/>
    <s v="Abroad"/>
    <m/>
    <m/>
    <m/>
    <m/>
    <m/>
    <m/>
    <m/>
    <m/>
    <m/>
  </r>
  <r>
    <s v="Senior Level Visit"/>
    <s v="South America"/>
    <s v="America and Oceania"/>
    <s v="No Specific Relationship"/>
    <s v="None"/>
    <s v="SOUTHCOM"/>
    <s v="Trinidad and Tobago"/>
    <x v="13"/>
    <n v="8"/>
    <x v="4"/>
    <s v="Li Yu"/>
    <m/>
    <s v="GSD Assistant Commander"/>
    <n v="5"/>
    <s v="Abroad"/>
    <m/>
    <m/>
    <m/>
    <m/>
    <m/>
    <m/>
    <m/>
    <m/>
    <m/>
  </r>
  <r>
    <s v="Senior Level Visit"/>
    <s v="Middle East"/>
    <s v="West Asia and Africa"/>
    <s v="No Specific Relationship"/>
    <s v="None"/>
    <s v="CENTCOM"/>
    <s v="United Arab Emirates"/>
    <x v="13"/>
    <n v="8"/>
    <x v="3"/>
    <s v="Liang Guanglie"/>
    <m/>
    <s v="GSD Commander; CMC Member"/>
    <n v="8"/>
    <s v="Hosted"/>
    <s v="Army Commander"/>
    <m/>
    <m/>
    <m/>
    <m/>
    <m/>
    <m/>
    <m/>
    <m/>
  </r>
  <r>
    <s v="Senior Level Visit"/>
    <s v="South America"/>
    <s v="America and Oceania"/>
    <s v="No Specific Relationship"/>
    <s v="None"/>
    <s v="SOUTHCOM"/>
    <s v="Uruguay"/>
    <x v="13"/>
    <n v="8"/>
    <x v="4"/>
    <s v="Fan Changlong"/>
    <m/>
    <s v="Jinan MR Commander"/>
    <n v="6"/>
    <s v="Abroad"/>
    <m/>
    <m/>
    <m/>
    <m/>
    <m/>
    <m/>
    <m/>
    <m/>
    <m/>
  </r>
  <r>
    <s v="Senior Level Visit"/>
    <s v="Africa"/>
    <s v="West Asia and Africa"/>
    <s v="No Specific Relationship"/>
    <s v="None"/>
    <s v="AFRICOM"/>
    <s v="Zambia"/>
    <x v="13"/>
    <n v="8"/>
    <x v="4"/>
    <s v="Li Qianyuan"/>
    <m/>
    <s v="Lanzhou MR Commander"/>
    <n v="6"/>
    <s v="Abroad"/>
    <m/>
    <m/>
    <m/>
    <m/>
    <m/>
    <m/>
    <m/>
    <m/>
    <m/>
  </r>
  <r>
    <s v="Senior Level Visit"/>
    <s v="Europe"/>
    <s v="Europe and Central Asia"/>
    <s v="No Specific Relationship"/>
    <s v="NATO"/>
    <s v="EUCOM"/>
    <s v="Austria"/>
    <x v="13"/>
    <n v="9"/>
    <x v="3"/>
    <s v="Liang Guanglie"/>
    <m/>
    <s v="GSD Commander; CMC Member"/>
    <n v="8"/>
    <s v="Hosted"/>
    <s v="COGS Austrian Army"/>
    <m/>
    <m/>
    <m/>
    <m/>
    <m/>
    <m/>
    <m/>
    <m/>
  </r>
  <r>
    <s v="Senior Level Visit"/>
    <s v="South Asia"/>
    <s v="Asia"/>
    <s v="No Specific Relationship"/>
    <s v="None"/>
    <s v="INDOPACOM"/>
    <s v="Bangladesh"/>
    <x v="13"/>
    <n v="9"/>
    <x v="3"/>
    <s v="Xiong Guangkai"/>
    <m/>
    <s v="GSD Commander; CMC Member"/>
    <n v="8"/>
    <s v="Hosted"/>
    <s v="Army Chief of Staff"/>
    <m/>
    <m/>
    <m/>
    <m/>
    <m/>
    <m/>
    <m/>
    <m/>
  </r>
  <r>
    <s v="Senior Level Visit"/>
    <s v="Southeast Asia"/>
    <s v="Asia"/>
    <s v="No Specific Relationship"/>
    <s v="None"/>
    <s v="INDOPACOM"/>
    <s v="Brunei"/>
    <x v="13"/>
    <n v="9"/>
    <x v="3"/>
    <s v="Cao Gangchuan"/>
    <m/>
    <s v="CMC Vice Chairman; Defense Minister"/>
    <n v="10"/>
    <s v="Hosted"/>
    <s v="Commander, Armed Forces"/>
    <m/>
    <m/>
    <m/>
    <m/>
    <m/>
    <m/>
    <m/>
    <m/>
  </r>
  <r>
    <s v="Senior Level Visit"/>
    <s v="Europe"/>
    <s v="Europe and Central Asia"/>
    <s v="No Specific Relationship"/>
    <s v="NATO"/>
    <s v="EUCOM"/>
    <s v="Croatia"/>
    <x v="13"/>
    <n v="9"/>
    <x v="4"/>
    <s v="Lei Mingqiu"/>
    <m/>
    <s v="Nanjing MR Political Commissar"/>
    <n v="6"/>
    <s v="Abroad"/>
    <m/>
    <m/>
    <m/>
    <m/>
    <m/>
    <m/>
    <m/>
    <m/>
    <m/>
  </r>
  <r>
    <s v="Senior Level Visit"/>
    <s v="South America"/>
    <s v="America and Oceania"/>
    <s v="No Specific Relationship"/>
    <s v="None"/>
    <s v="SOUTHCOM"/>
    <s v="Cuba"/>
    <x v="13"/>
    <n v="9"/>
    <x v="3"/>
    <s v="Cao Gangchuan"/>
    <m/>
    <s v="CMC Vice Chairman; Defense Minister"/>
    <n v="10"/>
    <s v="Hosted"/>
    <s v="Commander, western army"/>
    <m/>
    <m/>
    <m/>
    <m/>
    <m/>
    <m/>
    <m/>
    <m/>
  </r>
  <r>
    <s v="Senior Level Visit"/>
    <s v="Middle East"/>
    <s v="West Asia and Africa"/>
    <s v="Strategic Cooperative Partnership [战略合作伙伴关系]"/>
    <s v="Major Non-NATO Ally"/>
    <s v="CENTCOM"/>
    <s v="Egypt"/>
    <x v="13"/>
    <n v="9"/>
    <x v="3"/>
    <s v="Cao Gangchuan"/>
    <m/>
    <s v="CMC Vice Chairman; Defense Minister"/>
    <n v="10"/>
    <s v="Hosted"/>
    <s v="Defense Minister"/>
    <m/>
    <m/>
    <m/>
    <m/>
    <m/>
    <m/>
    <m/>
    <m/>
  </r>
  <r>
    <s v="Senior Level Visit"/>
    <s v="Europe"/>
    <s v="Europe and Central Asia"/>
    <s v="No Specific Relationship"/>
    <s v="NATO"/>
    <s v="EUCOM"/>
    <s v="Germany"/>
    <x v="13"/>
    <n v="9"/>
    <x v="4"/>
    <s v="Li Yu"/>
    <m/>
    <s v="GSD Assistant Commander"/>
    <n v="5"/>
    <s v="Abroad"/>
    <m/>
    <m/>
    <m/>
    <m/>
    <m/>
    <m/>
    <m/>
    <m/>
    <m/>
  </r>
  <r>
    <s v="Senior Level Visit"/>
    <s v="Africa"/>
    <s v="West Asia and Africa"/>
    <s v="No Specific Relationship"/>
    <s v="None"/>
    <s v="AFRICOM"/>
    <s v="Guinea-Bissau"/>
    <x v="13"/>
    <n v="9"/>
    <x v="3"/>
    <s v="Cao Gangchuan"/>
    <m/>
    <s v="CMC Vice Chairman; Defense Minister"/>
    <n v="10"/>
    <s v="Hosted"/>
    <s v="Defense Minister"/>
    <m/>
    <m/>
    <m/>
    <m/>
    <m/>
    <m/>
    <m/>
    <m/>
  </r>
  <r>
    <s v="Senior Level Visit"/>
    <s v="Europe"/>
    <s v="Europe and Central Asia"/>
    <s v="No Specific Relationship"/>
    <s v="NATO"/>
    <s v="EUCOM"/>
    <s v="Hungary"/>
    <x v="13"/>
    <n v="9"/>
    <x v="4"/>
    <s v="Liu Yongzhi"/>
    <m/>
    <s v="Lanzhou MR Political Commissar"/>
    <n v="6"/>
    <s v="Abroad"/>
    <m/>
    <m/>
    <m/>
    <m/>
    <m/>
    <m/>
    <m/>
    <m/>
    <m/>
  </r>
  <r>
    <s v="Senior Level Visit"/>
    <s v="Europe"/>
    <s v="Europe and Central Asia"/>
    <s v="Comprehensive Strategic Partnership [全面战略伙伴关系]"/>
    <s v="NATO"/>
    <s v="EUCOM"/>
    <s v="Italy"/>
    <x v="13"/>
    <n v="9"/>
    <x v="4"/>
    <s v="Li Yu"/>
    <m/>
    <s v="GSD Assistant Commander"/>
    <n v="5"/>
    <s v="Abroad"/>
    <m/>
    <m/>
    <m/>
    <m/>
    <m/>
    <m/>
    <m/>
    <m/>
    <m/>
  </r>
  <r>
    <s v="Senior Level Visit"/>
    <s v="Middle East"/>
    <s v="West Asia and Africa"/>
    <s v="No Specific Relationship"/>
    <s v="Major Non-NATO Ally"/>
    <s v="CENTCOM"/>
    <s v="Jordan"/>
    <x v="13"/>
    <n v="9"/>
    <x v="3"/>
    <s v="Cao Gangchuan"/>
    <m/>
    <s v="CMC Vice Chairman; Defense Minister"/>
    <n v="10"/>
    <s v="Hosted"/>
    <s v="Chairman JCS"/>
    <m/>
    <m/>
    <m/>
    <m/>
    <m/>
    <m/>
    <m/>
    <m/>
  </r>
  <r>
    <s v="Senior Level Visit"/>
    <s v="Central Asia"/>
    <s v="Europe and Central Asia"/>
    <s v="Comprehensive Cooperative Partnership [全面合作伙伴关系]"/>
    <s v="None"/>
    <s v="CENTCOM"/>
    <s v="Kazakhstan"/>
    <x v="13"/>
    <n v="9"/>
    <x v="3"/>
    <s v="Cao Gangchuan"/>
    <m/>
    <s v="CMC Vice Chairman; Defense Minister"/>
    <n v="10"/>
    <s v="Hosted"/>
    <s v="Vice Chairman, Committee of Chief of Staff and Chief of Dept of Operation Planning of Defense Ministry"/>
    <m/>
    <m/>
    <m/>
    <m/>
    <m/>
    <m/>
    <m/>
    <m/>
  </r>
  <r>
    <s v="Senior Level Visit"/>
    <s v="Central Asia"/>
    <s v="Europe and Central Asia"/>
    <s v="No Specific Relationship"/>
    <s v="None"/>
    <s v="CENTCOM"/>
    <s v="Kyrgyzstan"/>
    <x v="13"/>
    <n v="9"/>
    <x v="3"/>
    <s v="Cao Gangchuan"/>
    <m/>
    <s v="CMC Vice Chairman; Defense Minister"/>
    <n v="10"/>
    <s v="Hosted"/>
    <s v="Deputy Defense Minister"/>
    <m/>
    <m/>
    <m/>
    <m/>
    <m/>
    <m/>
    <m/>
    <m/>
  </r>
  <r>
    <s v="Senior Level Visit"/>
    <s v="Middle East"/>
    <s v="West Asia and Africa"/>
    <s v="No Specific Relationship"/>
    <s v="None"/>
    <s v="CENTCOM"/>
    <s v="Lebanon"/>
    <x v="13"/>
    <n v="9"/>
    <x v="4"/>
    <s v="Liu Zhenwu"/>
    <m/>
    <s v="Guangzhou MR Commander"/>
    <n v="6"/>
    <s v="Abroad"/>
    <m/>
    <m/>
    <m/>
    <m/>
    <m/>
    <m/>
    <m/>
    <m/>
    <m/>
  </r>
  <r>
    <s v="Senior Level Visit"/>
    <s v="Europe"/>
    <s v="Europe and Central Asia"/>
    <s v="Friendly Cooperative Partnership [友好合作伙伴关系]"/>
    <s v="NATO"/>
    <s v="EUCOM"/>
    <s v="Lithuania"/>
    <x v="13"/>
    <n v="9"/>
    <x v="3"/>
    <s v="Cao Gangchuan"/>
    <m/>
    <s v="CMC Vice Chairman; Defense Minister"/>
    <n v="8"/>
    <s v="Hosted"/>
    <s v="Defense Minister"/>
    <m/>
    <m/>
    <m/>
    <m/>
    <m/>
    <m/>
    <m/>
    <m/>
  </r>
  <r>
    <s v="Senior Level Visit"/>
    <s v="Southeast Asia"/>
    <s v="Asia"/>
    <s v="No Specific Relationship"/>
    <s v="Bilateral Defense Treaty"/>
    <s v="INDOPACOM"/>
    <s v="Philippines"/>
    <x v="13"/>
    <n v="9"/>
    <x v="3"/>
    <s v="Cao Gangchuan"/>
    <m/>
    <s v="CMC Vice Chairman; Defense Minister"/>
    <n v="10"/>
    <s v="Hosted"/>
    <s v="COGS"/>
    <m/>
    <m/>
    <m/>
    <m/>
    <m/>
    <m/>
    <m/>
    <m/>
  </r>
  <r>
    <s v="Senior Level Visit"/>
    <s v="Europe"/>
    <s v="Europe and Central Asia"/>
    <s v="Comprehensive Friendly Cooperative Partnership [全面友好合作伙伴关系]"/>
    <s v="NATO"/>
    <s v="EUCOM"/>
    <s v="Romania"/>
    <x v="13"/>
    <n v="9"/>
    <x v="4"/>
    <s v="Lei Mingqiu"/>
    <m/>
    <s v="Nanjing MR Political Commissar"/>
    <n v="6"/>
    <s v="Abroad"/>
    <m/>
    <m/>
    <m/>
    <m/>
    <m/>
    <m/>
    <m/>
    <m/>
    <m/>
  </r>
  <r>
    <s v="Senior Level Visit"/>
    <s v="Russia"/>
    <s v="Europe and Central Asia"/>
    <s v="Strategic Partnership of Coordination [战略协作伙伴关系]"/>
    <s v="None"/>
    <s v="EUCOM"/>
    <s v="Russia"/>
    <x v="13"/>
    <n v="9"/>
    <x v="4"/>
    <s v="Liu Yongzhi"/>
    <m/>
    <s v="Lanzhou MR Political Commissar"/>
    <n v="6"/>
    <s v="Abroad"/>
    <m/>
    <m/>
    <m/>
    <m/>
    <m/>
    <m/>
    <m/>
    <m/>
    <m/>
  </r>
  <r>
    <s v="Senior Level Visit"/>
    <s v="Europe"/>
    <s v="Europe and Central Asia"/>
    <s v="No Specific Relationship"/>
    <s v="None"/>
    <s v="EUCOM"/>
    <s v="Serbia"/>
    <x v="13"/>
    <n v="9"/>
    <x v="3"/>
    <s v="Cao Gangchuan"/>
    <m/>
    <s v="CMC Vice Chairman; Defense Minister"/>
    <n v="10"/>
    <s v="Hosted"/>
    <s v="Defense Minister"/>
    <m/>
    <m/>
    <m/>
    <m/>
    <m/>
    <m/>
    <m/>
    <m/>
  </r>
  <r>
    <s v="Senior Level Visit"/>
    <s v="Europe"/>
    <s v="Europe and Central Asia"/>
    <s v="No Specific Relationship"/>
    <s v="NATO"/>
    <s v="EUCOM"/>
    <s v="Spain"/>
    <x v="13"/>
    <n v="9"/>
    <x v="3"/>
    <s v="Wu Shengli"/>
    <m/>
    <s v="PLAN Commander "/>
    <n v="8"/>
    <s v="Hosted"/>
    <s v="Army Chief of Staff"/>
    <m/>
    <m/>
    <m/>
    <m/>
    <m/>
    <m/>
    <m/>
    <m/>
  </r>
  <r>
    <s v="Senior Level Visit"/>
    <s v="Africa"/>
    <s v="West Asia and Africa"/>
    <s v="No Specific Relationship"/>
    <s v="Major Non-NATO Ally"/>
    <s v="AFRICOM"/>
    <s v="Tunisia"/>
    <x v="13"/>
    <n v="9"/>
    <x v="3"/>
    <s v="Liang Guanglie"/>
    <m/>
    <s v="GSD Commander; CMC Member"/>
    <n v="8"/>
    <s v="Hosted"/>
    <s v="Army Chief of Staff"/>
    <m/>
    <m/>
    <m/>
    <m/>
    <m/>
    <m/>
    <m/>
    <m/>
  </r>
  <r>
    <s v="Senior Level Visit"/>
    <s v="Europe"/>
    <s v="Europe and Central Asia"/>
    <s v="Comprehensive Strategic Partnership [全面战略伙伴关系]"/>
    <s v="NATO"/>
    <s v="EUCOM"/>
    <s v="United Kingdom"/>
    <x v="13"/>
    <n v="9"/>
    <x v="3"/>
    <s v="Cao Gangchuan"/>
    <m/>
    <s v="CMC Vice Chairman; Defense Minister"/>
    <n v="10"/>
    <s v="Hosted"/>
    <s v="Defense Secretary"/>
    <m/>
    <m/>
    <m/>
    <m/>
    <m/>
    <m/>
    <m/>
    <m/>
  </r>
  <r>
    <s v="Senior Level Visit"/>
    <s v="South America"/>
    <s v="America and Oceania"/>
    <s v="No Specific Relationship"/>
    <s v="None"/>
    <s v="SOUTHCOM"/>
    <s v="Uruguay"/>
    <x v="13"/>
    <n v="9"/>
    <x v="3"/>
    <s v="Qiao Qingchen"/>
    <m/>
    <s v="PLAAF Commander"/>
    <n v="8"/>
    <s v="Hosted"/>
    <s v="Commander, Air Force"/>
    <m/>
    <m/>
    <m/>
    <m/>
    <m/>
    <m/>
    <m/>
    <m/>
  </r>
  <r>
    <s v="Senior Level Visit"/>
    <s v="Oceania"/>
    <s v="America and Oceania"/>
    <s v="No Specific Relationship"/>
    <s v="ANZUS Treaty"/>
    <s v="INDOPACOM"/>
    <s v="Australia"/>
    <x v="13"/>
    <n v="10"/>
    <x v="4"/>
    <s v="Liang Guanglie"/>
    <m/>
    <s v="GSD Commander; CMC Member"/>
    <n v="8"/>
    <s v="Abroad"/>
    <m/>
    <m/>
    <m/>
    <m/>
    <m/>
    <m/>
    <m/>
    <m/>
    <m/>
  </r>
  <r>
    <s v="Military Exercise"/>
    <s v="Oceania"/>
    <s v="America and Oceania"/>
    <s v="No Specific Relationship"/>
    <s v="ANZUS Treaty"/>
    <s v="INDOPACOM"/>
    <s v="Australia"/>
    <x v="13"/>
    <n v="10"/>
    <x v="5"/>
    <m/>
    <m/>
    <m/>
    <m/>
    <m/>
    <m/>
    <s v="MOOTW"/>
    <s v="Unknown"/>
    <s v="Navy"/>
    <s v="SAREX"/>
    <m/>
    <m/>
    <m/>
    <m/>
  </r>
  <r>
    <s v="Senior Level Visit"/>
    <s v="Europe"/>
    <s v="Europe and Central Asia"/>
    <s v="No Specific Relationship"/>
    <s v="NATO"/>
    <s v="EUCOM"/>
    <s v="Belgium"/>
    <x v="13"/>
    <n v="10"/>
    <x v="4"/>
    <s v="Cao Gangchuan"/>
    <m/>
    <s v="CMC Vice Chairman; Defense Minister"/>
    <n v="10"/>
    <s v="Abroad"/>
    <m/>
    <m/>
    <m/>
    <m/>
    <m/>
    <m/>
    <m/>
    <m/>
    <m/>
  </r>
  <r>
    <s v="Senior Level Visit"/>
    <s v="South America"/>
    <s v="America and Oceania"/>
    <s v="Comprehensive Strategic Partnership [全面战略伙伴关系]"/>
    <s v="None"/>
    <s v="SOUTHCOM"/>
    <s v="Brazil"/>
    <x v="13"/>
    <n v="10"/>
    <x v="4"/>
    <s v="Cao Gangchuan"/>
    <m/>
    <s v="CMC Vice Chairman; Defense Minister"/>
    <n v="10"/>
    <s v="Abroad"/>
    <m/>
    <m/>
    <m/>
    <m/>
    <m/>
    <m/>
    <m/>
    <m/>
    <m/>
  </r>
  <r>
    <s v="Senior Level Visit"/>
    <s v="Southeast Asia"/>
    <s v="Asia"/>
    <s v="No Specific Relationship"/>
    <s v="None"/>
    <s v="INDOPACOM"/>
    <s v="Cambodia"/>
    <x v="13"/>
    <n v="10"/>
    <x v="3"/>
    <s v="Xu Caihou"/>
    <m/>
    <s v="CMC Vice Chairman"/>
    <n v="10"/>
    <s v="Hosted"/>
    <s v="Royal Army Chief"/>
    <m/>
    <m/>
    <m/>
    <m/>
    <m/>
    <m/>
    <m/>
    <m/>
  </r>
  <r>
    <s v="Senior Level Visit"/>
    <s v="South America"/>
    <s v="America and Oceania"/>
    <s v="Comprehensive Partnership [全面伙伴关系]"/>
    <s v="None"/>
    <s v="SOUTHCOM"/>
    <s v="Chile"/>
    <x v="13"/>
    <n v="10"/>
    <x v="3"/>
    <s v="Liang Guanglie"/>
    <m/>
    <s v="GSD Commander; CMC Member"/>
    <n v="8"/>
    <s v="Hosted"/>
    <s v="CinC Army"/>
    <m/>
    <m/>
    <m/>
    <m/>
    <m/>
    <m/>
    <m/>
    <m/>
  </r>
  <r>
    <s v="Senior Level Visit"/>
    <s v="Europe"/>
    <s v="Europe and Central Asia"/>
    <s v="No Specific Relationship"/>
    <s v="None"/>
    <s v="EUCOM"/>
    <s v="Finland"/>
    <x v="13"/>
    <n v="10"/>
    <x v="4"/>
    <s v="Zhu Wenquan"/>
    <m/>
    <s v="Nanjing MR Commander"/>
    <n v="6"/>
    <s v="Abroad"/>
    <m/>
    <m/>
    <m/>
    <m/>
    <m/>
    <m/>
    <m/>
    <m/>
    <m/>
  </r>
  <r>
    <s v="Senior Level Visit"/>
    <s v="Europe"/>
    <s v="Europe and Central Asia"/>
    <s v="Comprehensive Partnership [全面伙伴关系]"/>
    <s v="NATO"/>
    <s v="EUCOM"/>
    <s v="France"/>
    <x v="13"/>
    <n v="10"/>
    <x v="4"/>
    <s v="Cao Gangchuan"/>
    <m/>
    <s v="CMC Vice Chairman; Defense Minister"/>
    <n v="10"/>
    <s v="Abroad"/>
    <s v="Defense Minister"/>
    <m/>
    <m/>
    <m/>
    <m/>
    <m/>
    <m/>
    <m/>
    <m/>
  </r>
  <r>
    <s v="Senior Level Visit"/>
    <s v="Europe"/>
    <s v="Europe and Central Asia"/>
    <s v="Comprehensive Strategic Partnership [全面战略伙伴关系]"/>
    <s v="NATO"/>
    <s v="EUCOM"/>
    <s v="Italy"/>
    <x v="13"/>
    <n v="10"/>
    <x v="3"/>
    <s v="Cao Gangchuan"/>
    <m/>
    <s v="CMC Vice Chairman; Defense Minister"/>
    <n v="8"/>
    <s v="Hosted"/>
    <s v="Vice Defense Minister"/>
    <m/>
    <m/>
    <m/>
    <m/>
    <m/>
    <m/>
    <m/>
    <m/>
  </r>
  <r>
    <s v="Senior Level Visit"/>
    <s v="Europe"/>
    <s v="Europe and Central Asia"/>
    <s v="Comprehensive Strategic Partnership [全面战略伙伴关系]"/>
    <s v="NATO"/>
    <s v="EUCOM"/>
    <s v="Italy"/>
    <x v="13"/>
    <n v="10"/>
    <x v="3"/>
    <s v="Liang Guanglie"/>
    <m/>
    <s v="GSD Commander; CMC Member"/>
    <n v="8"/>
    <s v="Hosted"/>
    <s v="Air Force Chief of Staff"/>
    <m/>
    <m/>
    <m/>
    <m/>
    <m/>
    <m/>
    <m/>
    <m/>
  </r>
  <r>
    <s v="Senior Level Visit"/>
    <s v="Northeast Asia"/>
    <s v="Asia"/>
    <s v="Partnership of Friendship and Cooperation for Peace and Development [致力于和平发展的友好合作关系]"/>
    <s v="Bilateral Defense Treaty"/>
    <s v="INDOPACOM"/>
    <s v="Japan"/>
    <x v="13"/>
    <n v="10"/>
    <x v="4"/>
    <s v="Xiong Guangkai"/>
    <m/>
    <s v="GSD DCGS"/>
    <n v="6"/>
    <s v="Abroad"/>
    <m/>
    <m/>
    <m/>
    <m/>
    <m/>
    <m/>
    <m/>
    <m/>
    <m/>
  </r>
  <r>
    <s v="Senior Level Visit"/>
    <s v="Middle East"/>
    <s v="West Asia and Africa"/>
    <s v="No Specific Relationship"/>
    <s v="None"/>
    <s v="CENTCOM"/>
    <s v="Lebanon"/>
    <x v="13"/>
    <n v="10"/>
    <x v="3"/>
    <s v="Xu Caihou"/>
    <m/>
    <s v="CMC Vice Chairman"/>
    <n v="10"/>
    <s v="Hosted"/>
    <s v="Army Chief of Staff"/>
    <m/>
    <m/>
    <m/>
    <m/>
    <m/>
    <m/>
    <m/>
    <m/>
  </r>
  <r>
    <s v="Senior Level Visit"/>
    <s v="Oceania"/>
    <s v="America and Oceania"/>
    <s v="No Specific Relationship"/>
    <s v="ANZUS Treaty"/>
    <s v="INDOPACOM"/>
    <s v="New Zealand"/>
    <x v="13"/>
    <n v="10"/>
    <x v="4"/>
    <s v="Liang Guanglie"/>
    <m/>
    <s v="GSD Commander; CMC Member"/>
    <n v="8"/>
    <s v="Abroad"/>
    <m/>
    <m/>
    <m/>
    <m/>
    <m/>
    <m/>
    <m/>
    <m/>
    <m/>
  </r>
  <r>
    <s v="Senior Level Visit"/>
    <s v="Europe"/>
    <s v="Europe and Central Asia"/>
    <s v="No Specific Relationship"/>
    <s v="None"/>
    <s v="EUCOM"/>
    <s v="Sweden"/>
    <x v="13"/>
    <n v="10"/>
    <x v="4"/>
    <s v="Zhu Wenquan"/>
    <m/>
    <s v="Nanjing MR Commander"/>
    <n v="6"/>
    <s v="Abroad"/>
    <m/>
    <m/>
    <m/>
    <m/>
    <m/>
    <m/>
    <m/>
    <m/>
    <m/>
  </r>
  <r>
    <s v="Senior Level Visit"/>
    <s v="Europe"/>
    <s v="Europe and Central Asia"/>
    <s v="No Specific Relationship"/>
    <s v="None"/>
    <s v="EUCOM"/>
    <s v="Switzerland"/>
    <x v="13"/>
    <n v="10"/>
    <x v="4"/>
    <s v="Cao Gangchuan"/>
    <m/>
    <s v="CMC Vice Chairman; Defense Minister"/>
    <n v="10"/>
    <s v="Abroad"/>
    <s v="Defense Minister and VP of Swiss Confederation"/>
    <m/>
    <m/>
    <m/>
    <m/>
    <m/>
    <m/>
    <m/>
    <m/>
  </r>
  <r>
    <s v="Senior Level Visit"/>
    <s v="Southeast Asia"/>
    <s v="Asia"/>
    <s v="No Specific Relationship"/>
    <s v="Bilateral Defense Treaty"/>
    <s v="INDOPACOM"/>
    <s v="Thailand"/>
    <x v="13"/>
    <n v="10"/>
    <x v="4"/>
    <s v="Xiong Guangkai"/>
    <m/>
    <s v="GSD DCGS"/>
    <n v="6"/>
    <s v="Abroad"/>
    <m/>
    <m/>
    <m/>
    <m/>
    <m/>
    <m/>
    <m/>
    <m/>
    <m/>
  </r>
  <r>
    <s v="Senior Level Visit"/>
    <s v="North America"/>
    <s v="America and Oceania"/>
    <s v="No Specific Relationship"/>
    <s v="N/A"/>
    <s v="NORTHCOM"/>
    <s v="United States"/>
    <x v="13"/>
    <n v="10"/>
    <x v="4"/>
    <s v="Liang Guanglie"/>
    <m/>
    <s v="GSD Commander; CMC Member"/>
    <n v="8"/>
    <s v="Abroad"/>
    <s v="Chairman JCS"/>
    <m/>
    <m/>
    <m/>
    <m/>
    <m/>
    <m/>
    <m/>
    <m/>
  </r>
  <r>
    <s v="Senior Level Visit"/>
    <s v="Europe"/>
    <s v="Europe and Central Asia"/>
    <s v="No Specific Relationship"/>
    <s v="NATO"/>
    <s v="EUCOM"/>
    <s v="Albania"/>
    <x v="13"/>
    <n v="11"/>
    <x v="3"/>
    <s v="Cao Gangchuan"/>
    <m/>
    <s v="CMC Vice Chairman; Defense Minister"/>
    <n v="10"/>
    <s v="Hosted"/>
    <s v="Defense Minister"/>
    <m/>
    <m/>
    <m/>
    <m/>
    <m/>
    <m/>
    <m/>
    <m/>
  </r>
  <r>
    <s v="Senior Level Visit"/>
    <s v="Oceania"/>
    <s v="America and Oceania"/>
    <s v="No Specific Relationship"/>
    <s v="ANZUS Treaty"/>
    <s v="INDOPACOM"/>
    <s v="Australia"/>
    <x v="13"/>
    <n v="11"/>
    <x v="3"/>
    <s v="Liang Guanglie"/>
    <m/>
    <s v="GSD Commander; CMC Member"/>
    <n v="8"/>
    <s v="Hosted"/>
    <s v="Chief Commander of the ADF"/>
    <m/>
    <m/>
    <m/>
    <m/>
    <m/>
    <m/>
    <m/>
    <m/>
  </r>
  <r>
    <s v="Senior Level Visit"/>
    <s v="Europe"/>
    <s v="Europe and Central Asia"/>
    <s v="Comprehensive Cooperative Partnership [全面合作伙伴关系]"/>
    <s v="None"/>
    <s v="EUCOM"/>
    <s v="Belarus"/>
    <x v="13"/>
    <n v="11"/>
    <x v="3"/>
    <s v="Cao Gangchuan"/>
    <m/>
    <s v="CMC Vice Chairman; Defense Minister"/>
    <n v="10"/>
    <s v="Hosted"/>
    <s v="Vice Defense Minister"/>
    <m/>
    <m/>
    <m/>
    <m/>
    <m/>
    <m/>
    <m/>
    <m/>
  </r>
  <r>
    <s v="Senior Level Visit"/>
    <s v="South America"/>
    <s v="America and Oceania"/>
    <s v="No Specific Relationship"/>
    <s v="None"/>
    <s v="SOUTHCOM"/>
    <s v="Bolivia"/>
    <x v="13"/>
    <n v="11"/>
    <x v="3"/>
    <s v="Cao Gangchuan"/>
    <m/>
    <s v="CMC Vice Chairman; Defense Minister"/>
    <n v="10"/>
    <s v="Hosted"/>
    <s v="Defense Minister"/>
    <m/>
    <m/>
    <m/>
    <m/>
    <m/>
    <m/>
    <m/>
    <m/>
  </r>
  <r>
    <s v="Senior Level Visit"/>
    <s v="Southeast Asia"/>
    <s v="Asia"/>
    <s v="No Specific Relationship"/>
    <s v="None"/>
    <s v="INDOPACOM"/>
    <s v="Brunei"/>
    <x v="13"/>
    <n v="11"/>
    <x v="4"/>
    <s v="Qian Nanzhong"/>
    <m/>
    <s v="Shenyang MR Commander"/>
    <n v="6"/>
    <s v="Abroad"/>
    <m/>
    <m/>
    <m/>
    <m/>
    <m/>
    <m/>
    <m/>
    <m/>
    <m/>
  </r>
  <r>
    <s v="Senior Level Visit"/>
    <s v="North America"/>
    <s v="America and Oceania"/>
    <s v="Comprehensive Partnership [全面伙伴关系]"/>
    <s v="NATO"/>
    <s v="NORTHCOM"/>
    <s v="Canada"/>
    <x v="13"/>
    <n v="11"/>
    <x v="3"/>
    <s v="Liang Guanglie"/>
    <m/>
    <s v="GSD Commander; CMC Member"/>
    <n v="8"/>
    <s v="Hosted"/>
    <s v="Chief of the Defense Staff"/>
    <m/>
    <m/>
    <m/>
    <m/>
    <m/>
    <m/>
    <m/>
    <m/>
  </r>
  <r>
    <s v="Senior Level Visit"/>
    <s v="South America"/>
    <s v="America and Oceania"/>
    <s v="No Specific Relationship"/>
    <s v="None"/>
    <s v="SOUTHCOM"/>
    <s v="Colombia"/>
    <x v="13"/>
    <n v="11"/>
    <x v="3"/>
    <s v="Cao Gangchuan"/>
    <m/>
    <s v="CMC Vice Chairman; Defense Minister"/>
    <n v="8"/>
    <s v="Hosted"/>
    <s v="CinC Armed Forces"/>
    <m/>
    <m/>
    <m/>
    <m/>
    <m/>
    <m/>
    <m/>
    <m/>
  </r>
  <r>
    <s v="Senior Level Visit"/>
    <s v="Oceania"/>
    <s v="America and Oceania"/>
    <s v="No Specific Relationship"/>
    <s v="ANZUS Treaty"/>
    <s v="INDOPACOM"/>
    <s v="New Zealand"/>
    <x v="13"/>
    <n v="11"/>
    <x v="3"/>
    <s v="Cao Gangchuan"/>
    <m/>
    <s v="CMC Vice Chairman; Defense Minister"/>
    <n v="10"/>
    <s v="Hosted"/>
    <s v="CinC Navy"/>
    <m/>
    <m/>
    <m/>
    <m/>
    <m/>
    <m/>
    <m/>
    <m/>
  </r>
  <r>
    <s v="Senior Level Visit"/>
    <s v="Southeast Asia"/>
    <s v="Asia"/>
    <s v="No Specific Relationship"/>
    <s v="Bilateral Defense Treaty"/>
    <s v="INDOPACOM"/>
    <s v="Philippines"/>
    <x v="13"/>
    <n v="11"/>
    <x v="3"/>
    <s v="Cao Gangchuan"/>
    <m/>
    <s v="CMC Vice Chairman; Defense Minister"/>
    <n v="10"/>
    <s v="Hosted"/>
    <s v="Defense Minister"/>
    <m/>
    <m/>
    <m/>
    <m/>
    <m/>
    <m/>
    <m/>
    <m/>
  </r>
  <r>
    <s v="Senior Level Visit"/>
    <s v="Northeast Asia"/>
    <s v="Asia"/>
    <s v="Comprehensive Cooperative Partnership [全面合作伙伴关系]"/>
    <s v="Bilateral Defense Treaty"/>
    <s v="INDOPACOM"/>
    <s v="South Korea"/>
    <x v="13"/>
    <n v="11"/>
    <x v="4"/>
    <s v="Qian Nanzhong"/>
    <m/>
    <s v="Shenyang MR Commander"/>
    <n v="6"/>
    <s v="Abroad"/>
    <m/>
    <m/>
    <m/>
    <m/>
    <m/>
    <m/>
    <m/>
    <m/>
    <m/>
  </r>
  <r>
    <s v="Senior Level Visit"/>
    <s v="Africa"/>
    <s v="West Asia and Africa"/>
    <s v="No Specific Relationship"/>
    <s v="None"/>
    <s v="AFRICOM"/>
    <s v="Uganda"/>
    <x v="13"/>
    <n v="11"/>
    <x v="4"/>
    <s v="Li Jinai"/>
    <m/>
    <s v="GPD Deputy Director"/>
    <n v="8"/>
    <s v="Abroad"/>
    <m/>
    <m/>
    <m/>
    <m/>
    <m/>
    <m/>
    <m/>
    <m/>
    <m/>
  </r>
  <r>
    <s v="Senior Level Visit"/>
    <s v="Europe"/>
    <s v="Europe and Central Asia"/>
    <s v="Comprehensive Strategic Partnership [全面战略伙伴关系]"/>
    <s v="NATO"/>
    <s v="EUCOM"/>
    <s v="United Kingdom"/>
    <x v="13"/>
    <n v="11"/>
    <x v="3"/>
    <s v="Cao Gangchuan"/>
    <m/>
    <s v="CMC Vice Chairman; Defense Minister"/>
    <n v="10"/>
    <s v="Hosted"/>
    <s v="First Sea Lord and Chief of Naval Staff"/>
    <m/>
    <m/>
    <m/>
    <m/>
    <m/>
    <m/>
    <m/>
    <m/>
  </r>
  <r>
    <s v="Senior Level Visit"/>
    <s v="Africa"/>
    <s v="West Asia and Africa"/>
    <s v="No Specific Relationship"/>
    <s v="None"/>
    <s v="AFRICOM"/>
    <s v="Zambia"/>
    <x v="13"/>
    <n v="11"/>
    <x v="4"/>
    <s v="Li Jinai"/>
    <m/>
    <s v="GPD Deputy Director"/>
    <n v="8"/>
    <s v="Abroad"/>
    <m/>
    <m/>
    <m/>
    <m/>
    <m/>
    <m/>
    <m/>
    <m/>
    <m/>
  </r>
  <r>
    <s v="Senior Level Visit"/>
    <s v="Oceania"/>
    <s v="America and Oceania"/>
    <s v="No Specific Relationship"/>
    <s v="ANZUS Treaty"/>
    <s v="INDOPACOM"/>
    <s v="Australia"/>
    <x v="13"/>
    <n v="12"/>
    <x v="3"/>
    <s v="Qiao Qingchen"/>
    <m/>
    <s v="PLAAF Commander"/>
    <n v="8"/>
    <s v="Hosted"/>
    <s v="Air Force Commander"/>
    <m/>
    <m/>
    <m/>
    <m/>
    <m/>
    <m/>
    <m/>
    <m/>
  </r>
  <r>
    <s v="Senior Level Visit"/>
    <s v="South America"/>
    <s v="America and Oceania"/>
    <s v="No Specific Relationship"/>
    <s v="None"/>
    <s v="SOUTHCOM"/>
    <s v="Ecuador"/>
    <x v="13"/>
    <n v="12"/>
    <x v="3"/>
    <s v="Xu Caihou"/>
    <m/>
    <s v="CMC Vice Chairman"/>
    <n v="10"/>
    <s v="Hosted"/>
    <s v="Chief of Joint Command"/>
    <m/>
    <m/>
    <m/>
    <m/>
    <m/>
    <m/>
    <m/>
    <m/>
  </r>
  <r>
    <s v="Senior Level Visit"/>
    <s v="South Asia"/>
    <s v="Asia"/>
    <s v="Comprehensive Cooperative Partnership [全面合作伙伴关系]"/>
    <s v="None"/>
    <s v="INDOPACOM"/>
    <s v="India"/>
    <x v="13"/>
    <n v="12"/>
    <x v="3"/>
    <s v="Cao Gangchuan"/>
    <m/>
    <s v="CMC Vice Chairman; Defense Minister"/>
    <n v="10"/>
    <s v="Hosted"/>
    <s v="Army Chief"/>
    <m/>
    <m/>
    <m/>
    <m/>
    <m/>
    <m/>
    <m/>
    <m/>
  </r>
  <r>
    <s v="Senior Level Visit"/>
    <s v="Southeast Asia"/>
    <s v="Asia"/>
    <s v="No Specific Relationship"/>
    <s v="None"/>
    <s v="INDOPACOM"/>
    <s v="Laos"/>
    <x v="13"/>
    <n v="12"/>
    <x v="4"/>
    <s v="Li Jinai"/>
    <m/>
    <s v="GPD Deputy Director"/>
    <n v="8"/>
    <s v="Abroad"/>
    <m/>
    <m/>
    <m/>
    <m/>
    <m/>
    <m/>
    <m/>
    <m/>
    <m/>
  </r>
  <r>
    <s v="Senior Level Visit"/>
    <s v="Southeast Asia"/>
    <s v="Asia"/>
    <s v="No Specific Relationship"/>
    <s v="None"/>
    <s v="INDOPACOM"/>
    <s v="Myanmar"/>
    <x v="13"/>
    <n v="12"/>
    <x v="4"/>
    <s v="Xiong Guangkai"/>
    <m/>
    <s v="GSD DCGS"/>
    <n v="6"/>
    <s v="Abroad"/>
    <m/>
    <m/>
    <m/>
    <m/>
    <m/>
    <m/>
    <m/>
    <m/>
    <m/>
  </r>
  <r>
    <s v="Senior Level Visit"/>
    <s v="Russia"/>
    <s v="Europe and Central Asia"/>
    <s v="Strategic Partnership of Coordination [战略协作伙伴关系]"/>
    <s v="None"/>
    <s v="EUCOM"/>
    <s v="Russia"/>
    <x v="13"/>
    <n v="12"/>
    <x v="3"/>
    <s v="Cao Gangchuan"/>
    <m/>
    <s v="CMC Vice Chairman; Defense Minister"/>
    <n v="10"/>
    <s v="Hosted"/>
    <s v="Defense Minister"/>
    <m/>
    <m/>
    <m/>
    <m/>
    <m/>
    <m/>
    <m/>
    <m/>
  </r>
  <r>
    <s v="Senior Level Visit"/>
    <s v="Southeast Asia"/>
    <s v="Asia"/>
    <s v="No Specific Relationship"/>
    <s v="Bilateral Defense Treaty"/>
    <s v="INDOPACOM"/>
    <s v="Thailand"/>
    <x v="13"/>
    <n v="12"/>
    <x v="4"/>
    <s v="Li Jinai"/>
    <m/>
    <s v="GPD Deputy Director"/>
    <n v="8"/>
    <s v="Abroad"/>
    <m/>
    <m/>
    <m/>
    <m/>
    <m/>
    <m/>
    <m/>
    <m/>
    <m/>
  </r>
  <r>
    <s v="Senior Level Visit"/>
    <s v="Europe"/>
    <s v="Europe and Central Asia"/>
    <s v="No Specific Relationship"/>
    <s v="NATO"/>
    <s v="EUCOM"/>
    <s v="Turkey"/>
    <x v="13"/>
    <n v="12"/>
    <x v="3"/>
    <s v="Zhang Li"/>
    <m/>
    <s v="GSD DCGS"/>
    <n v="8"/>
    <s v="Hosted"/>
    <s v="Defense Minister"/>
    <m/>
    <m/>
    <m/>
    <m/>
    <m/>
    <m/>
    <m/>
    <m/>
  </r>
  <r>
    <s v="Senior Level Visit"/>
    <s v="Southeast Asia"/>
    <s v="Asia"/>
    <s v="No Specific Relationship"/>
    <s v="None"/>
    <s v="INDOPACOM"/>
    <s v="Vietnam"/>
    <x v="13"/>
    <n v="12"/>
    <x v="4"/>
    <s v="Li Jinai"/>
    <m/>
    <s v="GPD Deputy Director"/>
    <n v="8"/>
    <s v="Abroad"/>
    <m/>
    <m/>
    <m/>
    <m/>
    <m/>
    <m/>
    <m/>
    <m/>
    <m/>
  </r>
  <r>
    <s v="Senior Level Visit"/>
    <s v="South America"/>
    <s v="America and Oceania"/>
    <s v="No Specific Relationship"/>
    <s v="None"/>
    <s v="SOUTHCOM"/>
    <s v="Colombia"/>
    <x v="14"/>
    <n v="1"/>
    <x v="3"/>
    <s v="Cao Gangchuan"/>
    <m/>
    <s v="CMC Vice Chairman; Defense Minister"/>
    <n v="10"/>
    <s v="Hosted"/>
    <s v="CinC Armed Forces"/>
    <m/>
    <m/>
    <m/>
    <m/>
    <m/>
    <m/>
    <m/>
    <m/>
  </r>
  <r>
    <s v="Senior Level Visit"/>
    <s v="South Asia"/>
    <s v="Asia"/>
    <s v="Strategic Partnership [战略伙伴关系]"/>
    <s v="Major Non-NATO Ally"/>
    <s v="CENTCOM"/>
    <s v="Pakistan"/>
    <x v="14"/>
    <n v="1"/>
    <x v="3"/>
    <s v="Cao Gangchuan"/>
    <m/>
    <s v="CMC Vice Chairman; Defense Minister"/>
    <n v="10"/>
    <s v="Hosted"/>
    <s v="Defense Minister"/>
    <m/>
    <m/>
    <m/>
    <m/>
    <m/>
    <m/>
    <m/>
    <m/>
  </r>
  <r>
    <s v="Senior Level Visit"/>
    <s v="North America"/>
    <s v="America and Oceania"/>
    <s v="No Specific Relationship"/>
    <s v="N/A"/>
    <s v="NORTHCOM"/>
    <s v="United States"/>
    <x v="14"/>
    <n v="1"/>
    <x v="3"/>
    <s v="Cao Gangchuan"/>
    <m/>
    <s v="CMC Vice Chairman; Defense Minister"/>
    <n v="10"/>
    <s v="Hosted"/>
    <s v="Co-heads of US House Armed Services Committee"/>
    <m/>
    <m/>
    <m/>
    <m/>
    <m/>
    <m/>
    <m/>
    <m/>
  </r>
  <r>
    <s v="Senior Level Visit"/>
    <s v="Europe"/>
    <s v="Europe and Central Asia"/>
    <s v="Comprehensive Strategic Partnership [全面战略伙伴关系]"/>
    <s v="NATO"/>
    <s v="EUCOM"/>
    <s v="Italy"/>
    <x v="14"/>
    <n v="2"/>
    <x v="3"/>
    <s v="Cao Gangchuan"/>
    <m/>
    <s v="CMC Vice Chairman; Defense Minister"/>
    <n v="10"/>
    <s v="Hosted"/>
    <s v="Chief of Defense Staff"/>
    <m/>
    <m/>
    <m/>
    <m/>
    <m/>
    <m/>
    <m/>
    <m/>
  </r>
  <r>
    <s v="Senior Level Visit"/>
    <s v="Europe"/>
    <s v="Europe and Central Asia"/>
    <s v="Strategic Partnership [战略伙伴关系]"/>
    <s v="None"/>
    <s v="EUCOM"/>
    <s v="Belarus"/>
    <x v="14"/>
    <n v="3"/>
    <x v="3"/>
    <s v="Cao Gangchuan"/>
    <m/>
    <s v="CMC Vice Chairman; Defense Minister"/>
    <n v="10"/>
    <s v="Hosted"/>
    <s v="Air Force Commander"/>
    <m/>
    <m/>
    <m/>
    <m/>
    <m/>
    <m/>
    <m/>
    <m/>
  </r>
  <r>
    <s v="Senior Level Visit"/>
    <s v="South America"/>
    <s v="America and Oceania"/>
    <s v="Comprehensive Strategic Partnership [全面战略伙伴关系]"/>
    <s v="None"/>
    <s v="SOUTHCOM"/>
    <s v="Brazil"/>
    <x v="14"/>
    <n v="3"/>
    <x v="4"/>
    <s v="Qiao Qingchen"/>
    <m/>
    <s v="PLAAF Commander"/>
    <n v="6"/>
    <s v="Abroad"/>
    <m/>
    <m/>
    <m/>
    <m/>
    <m/>
    <m/>
    <m/>
    <m/>
    <m/>
  </r>
  <r>
    <s v="Senior Level Visit"/>
    <s v="South America"/>
    <s v="America and Oceania"/>
    <s v="No Specific Relationship"/>
    <s v="None"/>
    <s v="SOUTHCOM"/>
    <s v="Cuba"/>
    <x v="14"/>
    <n v="3"/>
    <x v="4"/>
    <s v="Yang Deqing"/>
    <m/>
    <s v="Guangzhou MR Political Commissar"/>
    <n v="6"/>
    <s v="Abroad"/>
    <m/>
    <m/>
    <m/>
    <m/>
    <m/>
    <m/>
    <m/>
    <m/>
    <m/>
  </r>
  <r>
    <s v="Senior Level Visit"/>
    <s v="Europe"/>
    <s v="Europe and Central Asia"/>
    <s v="Comprehensive Strategic Partnership [全面战略伙伴关系]"/>
    <s v="NATO"/>
    <s v="EUCOM"/>
    <s v="Italy"/>
    <x v="14"/>
    <n v="3"/>
    <x v="3"/>
    <s v="Cao Gangchuan"/>
    <m/>
    <s v="CMC Vice Chairman; Defense Minister"/>
    <n v="10"/>
    <s v="Hosted"/>
    <s v="CinC Military Police"/>
    <m/>
    <m/>
    <m/>
    <m/>
    <m/>
    <m/>
    <m/>
    <m/>
  </r>
  <r>
    <s v="Senior Level Visit"/>
    <s v="Northeast Asia"/>
    <s v="Asia"/>
    <s v="Partnership of Friendship and Cooperation for Peace and Development [致力于和平发展的友好合作关系]"/>
    <s v="Bilateral Defense Treaty"/>
    <s v="INDOPACOM"/>
    <s v="Japan"/>
    <x v="14"/>
    <n v="3"/>
    <x v="3"/>
    <s v="Xiong Guangkai"/>
    <m/>
    <s v="GSD DCGS"/>
    <n v="6"/>
    <s v="Hosted"/>
    <s v="Deputy Minister of State for Defense"/>
    <m/>
    <m/>
    <m/>
    <m/>
    <m/>
    <m/>
    <m/>
    <m/>
  </r>
  <r>
    <s v="Senior Level Visit"/>
    <s v="Central Asia"/>
    <s v="Europe and Central Asia"/>
    <s v="No Specific Relationship"/>
    <s v="None"/>
    <s v="CENTCOM"/>
    <s v="Kyrgyzstan"/>
    <x v="14"/>
    <n v="3"/>
    <x v="3"/>
    <s v="Xiong Guangkai"/>
    <m/>
    <s v="GSD DCGS"/>
    <n v="6"/>
    <s v="Hosted"/>
    <s v="Defense Minister"/>
    <m/>
    <m/>
    <m/>
    <m/>
    <m/>
    <m/>
    <m/>
    <m/>
  </r>
  <r>
    <s v="Senior Level Visit"/>
    <s v="Africa"/>
    <s v="West Asia and Africa"/>
    <s v="No Specific Relationship"/>
    <s v="None"/>
    <s v="AFRICOM"/>
    <s v="Lesotho"/>
    <x v="14"/>
    <n v="3"/>
    <x v="3"/>
    <s v="Cao Gangchuan"/>
    <m/>
    <s v="CMC Vice Chairman; Defense Minister"/>
    <n v="10"/>
    <s v="Hosted"/>
    <s v="Chief of Defense Forces"/>
    <m/>
    <m/>
    <m/>
    <m/>
    <m/>
    <m/>
    <m/>
    <m/>
  </r>
  <r>
    <s v="Senior Level Visit"/>
    <s v="Africa"/>
    <s v="West Asia and Africa"/>
    <s v="No Specific Relationship"/>
    <s v="None"/>
    <s v="AFRICOM"/>
    <s v="Liberia"/>
    <x v="14"/>
    <n v="3"/>
    <x v="3"/>
    <s v="Cao Gangchuan"/>
    <m/>
    <s v="CMC Vice Chairman; Defense Minister"/>
    <n v="8"/>
    <s v="Hosted"/>
    <s v="Defense Minister"/>
    <m/>
    <m/>
    <m/>
    <m/>
    <m/>
    <m/>
    <m/>
    <m/>
  </r>
  <r>
    <s v="Senior Level Visit"/>
    <s v="Russia"/>
    <s v="Europe and Central Asia"/>
    <s v="Strategic Partnership of Coordination [战略协作伙伴关系]"/>
    <s v="None"/>
    <s v="EUCOM"/>
    <s v="Russia"/>
    <x v="14"/>
    <n v="3"/>
    <x v="3"/>
    <s v="Cao Gangchuan"/>
    <m/>
    <s v="CMC Vice Chairman; Defense Minister"/>
    <n v="10"/>
    <s v="Hosted"/>
    <s v="COGS"/>
    <m/>
    <m/>
    <m/>
    <m/>
    <m/>
    <m/>
    <m/>
    <m/>
  </r>
  <r>
    <s v="Senior Level Visit"/>
    <s v="Northeast Asia"/>
    <s v="Asia"/>
    <s v="Comprehensive Cooperative Partnership [全面合作伙伴关系]"/>
    <s v="Bilateral Defense Treaty"/>
    <s v="INDOPACOM"/>
    <s v="South Korea"/>
    <x v="14"/>
    <n v="3"/>
    <x v="3"/>
    <s v="Cao Gangchuan"/>
    <m/>
    <s v="CMC Vice Chairman; Defense Minister"/>
    <n v="10"/>
    <s v="Hosted"/>
    <s v="Defense Minister"/>
    <m/>
    <m/>
    <m/>
    <m/>
    <m/>
    <m/>
    <m/>
    <m/>
  </r>
  <r>
    <s v="Senior Level Visit"/>
    <s v="Europe"/>
    <s v="Europe and Central Asia"/>
    <s v="Comprehensive Strategic Partnership [全面战略伙伴关系]"/>
    <s v="NATO"/>
    <s v="EUCOM"/>
    <s v="Spain"/>
    <x v="14"/>
    <n v="3"/>
    <x v="4"/>
    <s v="Qiao Qingchen"/>
    <m/>
    <s v="PLAAF Commander"/>
    <n v="6"/>
    <s v="Abroad"/>
    <m/>
    <m/>
    <m/>
    <m/>
    <m/>
    <m/>
    <m/>
    <m/>
    <m/>
  </r>
  <r>
    <s v="Senior Level Visit"/>
    <s v="Europe"/>
    <s v="Europe and Central Asia"/>
    <s v="No Specific Relationship"/>
    <s v="None"/>
    <s v="EUCOM"/>
    <s v="Sweden"/>
    <x v="14"/>
    <n v="3"/>
    <x v="4"/>
    <s v="Qiao Qingchen"/>
    <m/>
    <s v="PLAAF Commander; CMC Member"/>
    <n v="8"/>
    <s v="Abroad"/>
    <m/>
    <m/>
    <m/>
    <m/>
    <m/>
    <m/>
    <m/>
    <m/>
    <m/>
  </r>
  <r>
    <s v="Senior Level Visit"/>
    <s v="South America"/>
    <s v="America and Oceania"/>
    <s v="No Specific Relationship"/>
    <s v="None"/>
    <s v="SOUTHCOM"/>
    <s v="Bolivia"/>
    <x v="14"/>
    <n v="4"/>
    <x v="4"/>
    <s v="Sun Dafa"/>
    <m/>
    <s v="GLD Political Commissar"/>
    <n v="6"/>
    <s v="Abroad"/>
    <m/>
    <m/>
    <m/>
    <m/>
    <m/>
    <m/>
    <m/>
    <m/>
    <m/>
  </r>
  <r>
    <s v="Senior Level Visit"/>
    <s v="South America"/>
    <s v="America and Oceania"/>
    <s v="Comprehensive Strategic Partnership [全面战略伙伴关系]"/>
    <s v="None"/>
    <s v="SOUTHCOM"/>
    <s v="Brazil"/>
    <x v="14"/>
    <n v="4"/>
    <x v="3"/>
    <s v="Cao Gangchuan"/>
    <m/>
    <s v="CMC Vice Chairman; Defense Minister"/>
    <n v="10"/>
    <s v="Hosted"/>
    <s v="Army Commander"/>
    <m/>
    <m/>
    <m/>
    <m/>
    <m/>
    <m/>
    <m/>
    <m/>
  </r>
  <r>
    <s v="Senior Level Visit"/>
    <s v="South America"/>
    <s v="America and Oceania"/>
    <s v="No Specific Relationship"/>
    <s v="None"/>
    <s v="SOUTHCOM"/>
    <s v="Cuba"/>
    <x v="14"/>
    <n v="4"/>
    <x v="3"/>
    <s v="Xiong Guangkai"/>
    <m/>
    <s v="GSD DCGS"/>
    <n v="8"/>
    <s v="Hosted"/>
    <s v="DCOGS"/>
    <m/>
    <m/>
    <m/>
    <m/>
    <m/>
    <m/>
    <m/>
    <m/>
  </r>
  <r>
    <s v="Senior Level Visit"/>
    <s v="Europe"/>
    <s v="Europe and Central Asia"/>
    <s v="No Specific Relationship"/>
    <s v="NATO"/>
    <s v="EUCOM"/>
    <s v="Denmark"/>
    <x v="14"/>
    <n v="4"/>
    <x v="4"/>
    <s v="Cao Gangchuan"/>
    <m/>
    <s v="CMC Vice Chairman; Defense Minister"/>
    <n v="10"/>
    <s v="Abroad"/>
    <m/>
    <m/>
    <m/>
    <m/>
    <m/>
    <m/>
    <m/>
    <m/>
    <m/>
  </r>
  <r>
    <s v="Senior Level Visit"/>
    <s v="Middle East"/>
    <s v="West Asia and Africa"/>
    <s v="Strategic Cooperative Partnership [战略合作伙伴关系]"/>
    <s v="Major Non-NATO Ally"/>
    <s v="CENTCOM"/>
    <s v="Egypt"/>
    <x v="14"/>
    <n v="4"/>
    <x v="4"/>
    <s v="Cao Gangchuan"/>
    <m/>
    <s v="CMC Vice Chairman; Defense Minister"/>
    <n v="10"/>
    <s v="Abroad"/>
    <s v="Defense Minister"/>
    <m/>
    <m/>
    <m/>
    <m/>
    <m/>
    <m/>
    <m/>
    <m/>
  </r>
  <r>
    <s v="Senior Level Visit"/>
    <s v="Europe"/>
    <s v="Europe and Central Asia"/>
    <s v="No Specific Relationship"/>
    <s v="NATO"/>
    <s v="EUCOM"/>
    <s v="Greece"/>
    <x v="14"/>
    <n v="4"/>
    <x v="4"/>
    <s v="Jiang Futang"/>
    <m/>
    <s v="Shenyang MR Political Commissar"/>
    <n v="6"/>
    <s v="Abroad"/>
    <m/>
    <m/>
    <m/>
    <m/>
    <m/>
    <m/>
    <m/>
    <m/>
    <m/>
  </r>
  <r>
    <s v="Senior Level Visit"/>
    <s v="Europe"/>
    <s v="Europe and Central Asia"/>
    <s v="Comprehensive Strategic Partnership [全面战略伙伴关系]"/>
    <s v="NATO"/>
    <s v="EUCOM"/>
    <s v="Italy"/>
    <x v="14"/>
    <n v="4"/>
    <x v="3"/>
    <s v="Xu Caihou"/>
    <m/>
    <s v="CMC Vice Chairman"/>
    <n v="10"/>
    <s v="Hosted"/>
    <s v="Chief of Naval Staff"/>
    <m/>
    <m/>
    <m/>
    <m/>
    <m/>
    <m/>
    <m/>
    <m/>
  </r>
  <r>
    <s v="Senior Level Visit"/>
    <s v="Europe"/>
    <s v="Europe and Central Asia"/>
    <s v="No Specific Relationship"/>
    <s v="NATO"/>
    <s v="EUCOM"/>
    <s v="Netherlands"/>
    <x v="14"/>
    <n v="4"/>
    <x v="4"/>
    <s v="Cao Gangchuan"/>
    <m/>
    <s v="CMC Vice Chairman; Defense Minister"/>
    <n v="10"/>
    <s v="Abroad"/>
    <s v="Defense Minister"/>
    <m/>
    <m/>
    <m/>
    <m/>
    <m/>
    <m/>
    <m/>
    <m/>
  </r>
  <r>
    <s v="Senior Level Visit"/>
    <s v="Northeast Asia"/>
    <s v="Asia"/>
    <s v="Bilateral Defense Treaty"/>
    <s v="None"/>
    <s v="INDOPACOM"/>
    <s v="North Korea"/>
    <x v="14"/>
    <n v="4"/>
    <x v="3"/>
    <s v="Guo Boxiong"/>
    <m/>
    <s v="CMC Vice Chairman"/>
    <n v="10"/>
    <s v="Hosted"/>
    <s v="Director of Army"/>
    <m/>
    <m/>
    <m/>
    <m/>
    <m/>
    <m/>
    <m/>
    <m/>
  </r>
  <r>
    <s v="Senior Level Visit"/>
    <s v="South Asia"/>
    <s v="Asia"/>
    <s v="Strategic Partnership [战略伙伴关系]"/>
    <s v="Major Non-NATO Ally"/>
    <s v="CENTCOM"/>
    <s v="Pakistan"/>
    <x v="14"/>
    <n v="4"/>
    <x v="3"/>
    <s v="Cao Gangchuan"/>
    <m/>
    <s v="CMC Vice Chairman; Defense Minister"/>
    <n v="10"/>
    <s v="Hosted"/>
    <s v="Deputy Chief of Army Staff"/>
    <m/>
    <m/>
    <m/>
    <m/>
    <m/>
    <m/>
    <m/>
    <m/>
  </r>
  <r>
    <s v="Senior Level Visit"/>
    <s v="Europe"/>
    <s v="Europe and Central Asia"/>
    <s v="No Specific Relationship"/>
    <s v="NATO"/>
    <s v="EUCOM"/>
    <s v="Slovakia"/>
    <x v="14"/>
    <n v="4"/>
    <x v="4"/>
    <s v="Jiang Futang"/>
    <m/>
    <s v="Shenyang MR Political Commissar"/>
    <n v="6"/>
    <s v="Abroad"/>
    <m/>
    <m/>
    <m/>
    <m/>
    <m/>
    <m/>
    <m/>
    <m/>
    <m/>
  </r>
  <r>
    <s v="Senior Level Visit"/>
    <s v="Africa"/>
    <s v="West Asia and Africa"/>
    <s v="No Specific Relationship"/>
    <s v="None"/>
    <s v="AFRICOM"/>
    <s v="Tanzania"/>
    <x v="14"/>
    <n v="4"/>
    <x v="4"/>
    <s v="Cao Gangchuan"/>
    <m/>
    <s v="CMC Vice Chairman; Defense Minister"/>
    <n v="10"/>
    <s v="Abroad"/>
    <s v="Defense Minister"/>
    <m/>
    <m/>
    <m/>
    <m/>
    <m/>
    <m/>
    <m/>
    <m/>
  </r>
  <r>
    <s v="Senior Level Visit"/>
    <s v="Europe"/>
    <s v="Europe and Central Asia"/>
    <s v="No Specific Relationship"/>
    <s v="NATO"/>
    <s v="EUCOM"/>
    <s v="Turkey"/>
    <x v="14"/>
    <n v="4"/>
    <x v="3"/>
    <s v="Liang Guanglie"/>
    <m/>
    <s v="GSD Commander; CMC Member"/>
    <n v="8"/>
    <s v="Hosted"/>
    <s v="Air Force Commander"/>
    <m/>
    <m/>
    <m/>
    <m/>
    <m/>
    <m/>
    <m/>
    <m/>
  </r>
  <r>
    <s v="Senior Level Visit"/>
    <s v="North America"/>
    <s v="America and Oceania"/>
    <s v="No Specific Relationship"/>
    <s v="N/A"/>
    <s v="NORTHCOM"/>
    <s v="United States"/>
    <x v="14"/>
    <n v="4"/>
    <x v="4"/>
    <s v="Xiong Guangkai"/>
    <m/>
    <s v="GSD DCGS"/>
    <n v="6"/>
    <s v="Abroad"/>
    <m/>
    <m/>
    <m/>
    <m/>
    <m/>
    <m/>
    <m/>
    <m/>
    <m/>
  </r>
  <r>
    <s v="Senior Level Visit"/>
    <s v="South America"/>
    <s v="America and Oceania"/>
    <s v="No Specific Relationship"/>
    <s v="None"/>
    <s v="SOUTHCOM"/>
    <s v="Uruguay"/>
    <x v="14"/>
    <n v="4"/>
    <x v="4"/>
    <s v="Sun Dafa"/>
    <m/>
    <s v="GLD Political Commissar"/>
    <n v="6"/>
    <s v="Abroad"/>
    <m/>
    <m/>
    <m/>
    <m/>
    <m/>
    <m/>
    <m/>
    <m/>
    <m/>
  </r>
  <r>
    <s v="Senior Level Visit"/>
    <s v="Africa"/>
    <s v="West Asia and Africa"/>
    <s v="No Specific Relationship"/>
    <s v="None"/>
    <s v="AFRICOM"/>
    <s v="Algeria"/>
    <x v="14"/>
    <n v="5"/>
    <x v="3"/>
    <s v="Cao Gangchuan"/>
    <m/>
    <s v="CMC Vice Chairman; Defense Minister"/>
    <n v="10"/>
    <s v="Hosted"/>
    <s v="Navy Commander"/>
    <m/>
    <m/>
    <m/>
    <m/>
    <m/>
    <m/>
    <m/>
    <m/>
  </r>
  <r>
    <s v="Senior Level Visit"/>
    <s v="Africa"/>
    <s v="West Asia and Africa"/>
    <s v="No Specific Relationship"/>
    <s v="None"/>
    <s v="AFRICOM"/>
    <s v="Angola"/>
    <x v="14"/>
    <n v="5"/>
    <x v="3"/>
    <s v="Cao Gangchuan"/>
    <m/>
    <s v="CMC Vice Chairman; Defense Minister"/>
    <n v="10"/>
    <s v="Hosted"/>
    <s v="COGS"/>
    <m/>
    <m/>
    <m/>
    <m/>
    <m/>
    <m/>
    <m/>
    <m/>
  </r>
  <r>
    <s v="Senior Level Visit"/>
    <s v="Oceania"/>
    <s v="America and Oceania"/>
    <s v="No Specific Relationship"/>
    <s v="ANZUS Treaty"/>
    <s v="INDOPACOM"/>
    <s v="Australia"/>
    <x v="14"/>
    <n v="5"/>
    <x v="3"/>
    <s v="Cao Gangchuan"/>
    <m/>
    <s v="CMC Vice Chairman; Defense Minister"/>
    <n v="10"/>
    <s v="Hosted"/>
    <s v="Defense Minister"/>
    <m/>
    <m/>
    <m/>
    <m/>
    <m/>
    <m/>
    <m/>
    <m/>
  </r>
  <r>
    <s v="Senior Level Visit"/>
    <s v="South Asia"/>
    <s v="Asia"/>
    <s v="Comprehensive Cooperative Partnership [全面合作伙伴关系]"/>
    <s v="None"/>
    <s v="INDOPACOM"/>
    <s v="Bangladesh"/>
    <x v="14"/>
    <n v="5"/>
    <x v="4"/>
    <s v="Liang Guanglie"/>
    <m/>
    <s v="GSD Commander; CMC Member"/>
    <n v="8"/>
    <s v="Abroad"/>
    <m/>
    <m/>
    <m/>
    <m/>
    <m/>
    <m/>
    <m/>
    <m/>
    <m/>
  </r>
  <r>
    <s v="Senior Level Visit"/>
    <s v="Europe"/>
    <s v="Europe and Central Asia"/>
    <s v="Strategic Partnership [战略伙伴关系]"/>
    <s v="None"/>
    <s v="EUCOM"/>
    <s v="Belarus"/>
    <x v="14"/>
    <n v="5"/>
    <x v="3"/>
    <s v="Cao Gangchuan"/>
    <m/>
    <s v="CMC Vice Chairman; Defense Minister"/>
    <n v="10"/>
    <s v="Hosted"/>
    <s v="Defense Minister"/>
    <m/>
    <m/>
    <m/>
    <m/>
    <m/>
    <m/>
    <m/>
    <m/>
  </r>
  <r>
    <s v="Senior Level Visit"/>
    <s v="Europe"/>
    <s v="Europe and Central Asia"/>
    <s v="No Specific Relationship"/>
    <s v="NATO"/>
    <s v="EUCOM"/>
    <s v="Belgium"/>
    <x v="14"/>
    <n v="5"/>
    <x v="3"/>
    <s v="Cao Gangchuan"/>
    <m/>
    <s v="CMC Vice Chairman; Defense Minister"/>
    <n v="10"/>
    <s v="Hosted"/>
    <s v="Chief of Defense Staff"/>
    <m/>
    <m/>
    <m/>
    <m/>
    <m/>
    <m/>
    <m/>
    <m/>
  </r>
  <r>
    <s v="Senior Level Visit"/>
    <s v="Africa"/>
    <s v="West Asia and Africa"/>
    <s v="Friendly Cooperative Partnership [友好合作伙伴关系]"/>
    <s v="None"/>
    <s v="AFRICOM"/>
    <s v="Comoros"/>
    <x v="14"/>
    <n v="5"/>
    <x v="3"/>
    <s v="Cao Gangchuan"/>
    <m/>
    <s v="CMC Vice Chairman; Defense Minister"/>
    <n v="10"/>
    <s v="Hosted"/>
    <s v="Chief of Staff Armed Forces"/>
    <m/>
    <m/>
    <m/>
    <m/>
    <m/>
    <m/>
    <m/>
    <m/>
  </r>
  <r>
    <s v="Senior Level Visit"/>
    <s v="Europe"/>
    <s v="Europe and Central Asia"/>
    <s v="Comprehensive Cooperative Partnership [全面合作伙伴关系]"/>
    <s v="NATO"/>
    <s v="EUCOM"/>
    <s v="Croatia"/>
    <x v="14"/>
    <n v="5"/>
    <x v="4"/>
    <s v="Fan Changlong"/>
    <m/>
    <s v="Jinan MR Commander"/>
    <n v="6"/>
    <s v="Abroad"/>
    <m/>
    <m/>
    <m/>
    <m/>
    <m/>
    <m/>
    <m/>
    <m/>
    <m/>
  </r>
  <r>
    <s v="Senior Level Visit"/>
    <s v="Middle East"/>
    <s v="West Asia and Africa"/>
    <s v="No Specific Relationship"/>
    <s v="None"/>
    <s v="CENTCOM"/>
    <s v="Djibouti"/>
    <x v="14"/>
    <n v="5"/>
    <x v="3"/>
    <s v="Cao Gangchuan"/>
    <m/>
    <s v="CMC Vice Chairman; Defense Minister"/>
    <n v="10"/>
    <s v="Hosted"/>
    <s v="Chief of Staff Armed Forces"/>
    <m/>
    <m/>
    <m/>
    <m/>
    <m/>
    <m/>
    <m/>
    <m/>
  </r>
  <r>
    <s v="Senior Level Visit"/>
    <s v="Europe"/>
    <s v="Europe and Central Asia"/>
    <s v="No Specific Relationship"/>
    <s v="None"/>
    <s v="EUCOM"/>
    <s v="Finland"/>
    <x v="14"/>
    <n v="5"/>
    <x v="3"/>
    <s v="Cao Gangchuan"/>
    <m/>
    <s v="CMC Vice Chairman; Defense Minister"/>
    <n v="10"/>
    <s v="Hosted"/>
    <s v="COGS"/>
    <m/>
    <m/>
    <m/>
    <m/>
    <m/>
    <m/>
    <m/>
    <m/>
  </r>
  <r>
    <s v="Senior Level Visit"/>
    <s v="Europe"/>
    <s v="Europe and Central Asia"/>
    <s v="No Specific Relationship"/>
    <s v="None"/>
    <s v="EUCOM"/>
    <s v="Finland"/>
    <x v="14"/>
    <n v="5"/>
    <x v="4"/>
    <s v="Xiong Guangkai"/>
    <m/>
    <s v="GSD DCGS"/>
    <n v="6"/>
    <s v="Abroad"/>
    <m/>
    <m/>
    <m/>
    <m/>
    <m/>
    <m/>
    <m/>
    <m/>
    <m/>
  </r>
  <r>
    <s v="Senior Level Visit"/>
    <s v="Europe"/>
    <s v="Europe and Central Asia"/>
    <s v="Comprehensive Partnership [全面伙伴关系]"/>
    <s v="NATO"/>
    <s v="EUCOM"/>
    <s v="France"/>
    <x v="14"/>
    <n v="5"/>
    <x v="4"/>
    <s v="Xiong Guangkai"/>
    <m/>
    <s v="GSD DCGS"/>
    <n v="6"/>
    <s v="Abroad"/>
    <m/>
    <m/>
    <m/>
    <m/>
    <m/>
    <m/>
    <m/>
    <m/>
    <m/>
  </r>
  <r>
    <s v="Senior Level Visit"/>
    <s v="Africa"/>
    <s v="West Asia and Africa"/>
    <s v="No Specific Relationship"/>
    <s v="None"/>
    <s v="AFRICOM"/>
    <s v="Gabon"/>
    <x v="14"/>
    <n v="5"/>
    <x v="3"/>
    <s v="Cao Gangchuan"/>
    <m/>
    <s v="CMC Vice Chairman; Defense Minister"/>
    <n v="10"/>
    <s v="Hosted"/>
    <s v="Secretary-General of Defense Ministry"/>
    <m/>
    <m/>
    <m/>
    <m/>
    <m/>
    <m/>
    <m/>
    <m/>
  </r>
  <r>
    <s v="Senior Level Visit"/>
    <s v="Europe"/>
    <s v="Europe and Central Asia"/>
    <s v="No Specific Relationship"/>
    <s v="NATO"/>
    <s v="EUCOM"/>
    <s v="Germany"/>
    <x v="14"/>
    <n v="5"/>
    <x v="4"/>
    <s v="Liang Guanglie"/>
    <m/>
    <s v="GSD Commander; CMC Member"/>
    <n v="8"/>
    <s v="Abroad"/>
    <m/>
    <m/>
    <m/>
    <m/>
    <m/>
    <m/>
    <m/>
    <m/>
    <m/>
  </r>
  <r>
    <s v="Senior Level Visit"/>
    <s v="Europe"/>
    <s v="Europe and Central Asia"/>
    <s v="No Specific Relationship"/>
    <s v="NATO"/>
    <s v="EUCOM"/>
    <s v="Greece"/>
    <x v="14"/>
    <n v="5"/>
    <x v="3"/>
    <s v="Cao Gangchuan"/>
    <m/>
    <s v="CMC Vice Chairman; Defense Minister"/>
    <n v="10"/>
    <s v="Hosted"/>
    <s v="Defense Minister"/>
    <m/>
    <m/>
    <m/>
    <m/>
    <m/>
    <m/>
    <m/>
    <m/>
  </r>
  <r>
    <s v="Senior Level Visit"/>
    <s v="South America"/>
    <s v="America and Oceania"/>
    <s v="No Specific Relationship"/>
    <s v="None"/>
    <s v="SOUTHCOM"/>
    <s v="Guyana"/>
    <x v="14"/>
    <n v="5"/>
    <x v="3"/>
    <s v="Xu Caihou"/>
    <m/>
    <s v="CMC Vice Chairman"/>
    <n v="10"/>
    <s v="Hosted"/>
    <s v="Chief of the Defense Staff"/>
    <m/>
    <m/>
    <m/>
    <m/>
    <m/>
    <m/>
    <m/>
    <m/>
  </r>
  <r>
    <s v="Senior Level Visit"/>
    <s v="Europe"/>
    <s v="Europe and Central Asia"/>
    <s v="No Specific Relationship"/>
    <s v="NATO"/>
    <s v="EUCOM"/>
    <s v="Hungary"/>
    <x v="14"/>
    <n v="5"/>
    <x v="3"/>
    <s v="Cao Gangchuan"/>
    <m/>
    <s v="CMC Vice Chairman; Defense Minister"/>
    <n v="10"/>
    <s v="Hosted"/>
    <s v="Defense Minister"/>
    <m/>
    <m/>
    <m/>
    <m/>
    <m/>
    <m/>
    <m/>
    <m/>
  </r>
  <r>
    <s v="Senior Level Visit"/>
    <s v="South Asia"/>
    <s v="Asia"/>
    <s v="Strategic Partnership for Peace and Prosperity [战略伙伴关系]"/>
    <s v="None"/>
    <s v="INDOPACOM"/>
    <s v="India"/>
    <x v="14"/>
    <n v="5"/>
    <x v="4"/>
    <s v="Liang Guanglie"/>
    <m/>
    <s v="GSD Commander; CMC Member"/>
    <n v="8"/>
    <s v="Abroad"/>
    <s v="Defense Minister"/>
    <m/>
    <m/>
    <m/>
    <m/>
    <m/>
    <m/>
    <m/>
    <m/>
  </r>
  <r>
    <s v="Senior Level Visit"/>
    <s v="Europe"/>
    <s v="Europe and Central Asia"/>
    <s v="Comprehensive Strategic Partnership [全面战略伙伴关系]"/>
    <s v="NATO"/>
    <s v="EUCOM"/>
    <s v="Italy"/>
    <x v="14"/>
    <n v="5"/>
    <x v="3"/>
    <s v="Cao Gangchuan"/>
    <m/>
    <s v="CMC Vice Chairman; Defense Minister"/>
    <n v="10"/>
    <s v="Hosted"/>
    <s v="Chief of Italian Army"/>
    <m/>
    <m/>
    <m/>
    <m/>
    <m/>
    <m/>
    <m/>
    <m/>
  </r>
  <r>
    <s v="Senior Level Visit"/>
    <s v="Europe"/>
    <s v="Europe and Central Asia"/>
    <s v="Comprehensive Strategic Partnership [全面战略伙伴关系]"/>
    <s v="NATO"/>
    <s v="EUCOM"/>
    <s v="Italy"/>
    <x v="14"/>
    <n v="5"/>
    <x v="4"/>
    <s v="Chen Bingde"/>
    <m/>
    <s v="GAD Director; CMC Member"/>
    <n v="8"/>
    <s v="Abroad"/>
    <m/>
    <m/>
    <m/>
    <m/>
    <m/>
    <m/>
    <m/>
    <m/>
    <m/>
  </r>
  <r>
    <s v="Senior Level Visit"/>
    <s v="Central Asia"/>
    <s v="Europe and Central Asia"/>
    <s v="Strategic Partnership [战略伙伴关系]"/>
    <s v="None"/>
    <s v="CENTCOM"/>
    <s v="Kazakhstan"/>
    <x v="14"/>
    <n v="5"/>
    <x v="3"/>
    <s v="Cao Gangchuan"/>
    <m/>
    <s v="CMC Vice Chairman; Defense Minister"/>
    <n v="10"/>
    <s v="Hosted"/>
    <s v="Deputy Defense Minister"/>
    <m/>
    <m/>
    <m/>
    <m/>
    <m/>
    <m/>
    <m/>
    <m/>
  </r>
  <r>
    <s v="Senior Level Visit"/>
    <s v="Central Asia"/>
    <s v="Europe and Central Asia"/>
    <s v="No Specific Relationship"/>
    <s v="None"/>
    <s v="CENTCOM"/>
    <s v="Kyrgyzstan"/>
    <x v="14"/>
    <n v="5"/>
    <x v="3"/>
    <s v="Cao Gangchuan"/>
    <m/>
    <s v="CMC Vice Chairman; Defense Minister"/>
    <n v="10"/>
    <s v="Hosted"/>
    <s v="Defense Minister"/>
    <m/>
    <m/>
    <m/>
    <m/>
    <m/>
    <m/>
    <m/>
    <m/>
  </r>
  <r>
    <s v="Senior Level Visit"/>
    <s v="Africa"/>
    <s v="West Asia and Africa"/>
    <s v="No Specific Relationship"/>
    <s v="None"/>
    <s v="AFRICOM"/>
    <s v="Mozambique"/>
    <x v="14"/>
    <n v="5"/>
    <x v="3"/>
    <s v="Cao Gangchuan"/>
    <m/>
    <s v="CMC Vice Chairman; Defense Minister"/>
    <n v="10"/>
    <s v="Hosted"/>
    <s v="Defense Minister"/>
    <m/>
    <m/>
    <m/>
    <m/>
    <m/>
    <m/>
    <m/>
    <m/>
  </r>
  <r>
    <s v="Senior Level Visit"/>
    <s v="South America"/>
    <s v="America and Oceania"/>
    <s v="Comprehensive Partnership [全面伙伴关系]"/>
    <s v="None"/>
    <s v="SOUTHCOM"/>
    <s v="Peru"/>
    <x v="14"/>
    <n v="5"/>
    <x v="3"/>
    <s v="Cao Gangchuan"/>
    <m/>
    <s v="CMC Vice Chairman; Defense Minister"/>
    <n v="10"/>
    <s v="Hosted"/>
    <s v="Defense Minister"/>
    <m/>
    <m/>
    <m/>
    <m/>
    <m/>
    <m/>
    <m/>
    <m/>
  </r>
  <r>
    <s v="Senior Level Visit"/>
    <s v="Europe"/>
    <s v="Europe and Central Asia"/>
    <s v="Comprehensive Friendly Cooperative Partnership [全面友好合作伙伴关系]"/>
    <s v="NATO"/>
    <s v="EUCOM"/>
    <s v="Romania"/>
    <x v="14"/>
    <n v="5"/>
    <x v="3"/>
    <s v="Xu Caihou"/>
    <m/>
    <s v="CMC Vice Chairman"/>
    <n v="10"/>
    <s v="Hosted"/>
    <s v="Chief of Land Forces"/>
    <m/>
    <m/>
    <m/>
    <m/>
    <m/>
    <m/>
    <m/>
    <m/>
  </r>
  <r>
    <s v="Senior Level Visit"/>
    <s v="Russia"/>
    <s v="Europe and Central Asia"/>
    <s v="Strategic Partnership of Coordination [战略协作伙伴关系]"/>
    <s v="None"/>
    <s v="EUCOM"/>
    <s v="Russia"/>
    <x v="14"/>
    <n v="5"/>
    <x v="3"/>
    <s v="Cao Gangchuan"/>
    <m/>
    <s v="CMC Vice Chairman; Defense Minister"/>
    <n v="10"/>
    <s v="Hosted"/>
    <s v="Defense Minister"/>
    <m/>
    <m/>
    <m/>
    <m/>
    <m/>
    <m/>
    <m/>
    <m/>
  </r>
  <r>
    <s v="Senior Level Visit"/>
    <s v="Russia"/>
    <s v="Europe and Central Asia"/>
    <s v="Strategic Partnership of Coordination [战略协作伙伴关系]"/>
    <s v="None"/>
    <s v="EUCOM"/>
    <s v="Russia"/>
    <x v="14"/>
    <n v="5"/>
    <x v="4"/>
    <s v="Fan Changlong"/>
    <m/>
    <s v="Jinan MR Commander"/>
    <n v="6"/>
    <s v="Abroad"/>
    <m/>
    <m/>
    <m/>
    <m/>
    <m/>
    <m/>
    <m/>
    <m/>
    <m/>
  </r>
  <r>
    <s v="Senior Level Visit"/>
    <s v="Africa"/>
    <s v="West Asia and Africa"/>
    <s v="Strategic Partnership [战略伙伴关系]"/>
    <s v="None"/>
    <s v="AFRICOM"/>
    <s v="South Africa"/>
    <x v="14"/>
    <n v="5"/>
    <x v="3"/>
    <s v="Cao Gangchuan"/>
    <m/>
    <s v="CMC Vice Chairman; Defense Minister"/>
    <n v="10"/>
    <s v="Hosted"/>
    <s v="Secretary of Defense"/>
    <m/>
    <m/>
    <m/>
    <m/>
    <m/>
    <m/>
    <m/>
    <m/>
  </r>
  <r>
    <s v="Senior Level Visit"/>
    <s v="Northeast Asia"/>
    <s v="Asia"/>
    <s v="Comprehensive Cooperative Partnership [全面合作伙伴关系]"/>
    <s v="Bilateral Defense Treaty"/>
    <s v="INDOPACOM"/>
    <s v="South Korea"/>
    <x v="14"/>
    <n v="5"/>
    <x v="3"/>
    <s v="Cao Gangchuan"/>
    <m/>
    <s v="CMC Vice Chairman; Defense Minister"/>
    <n v="10"/>
    <s v="Hosted"/>
    <s v="COGS ROKAF"/>
    <m/>
    <m/>
    <m/>
    <m/>
    <m/>
    <m/>
    <m/>
    <m/>
  </r>
  <r>
    <s v="Senior Level Visit"/>
    <s v="Africa"/>
    <s v="West Asia and Africa"/>
    <s v="No Specific Relationship"/>
    <s v="None"/>
    <s v="AFRICOM"/>
    <s v="Sudan"/>
    <x v="14"/>
    <n v="5"/>
    <x v="3"/>
    <s v="Cao Gangchuan"/>
    <m/>
    <s v="CMC Vice Chairman; Defense Minister"/>
    <n v="10"/>
    <s v="Hosted"/>
    <s v="COGS "/>
    <m/>
    <m/>
    <m/>
    <m/>
    <m/>
    <m/>
    <m/>
    <m/>
  </r>
  <r>
    <s v="Senior Level Visit"/>
    <s v="Central Asia"/>
    <s v="Europe and Central Asia"/>
    <s v="No Specific Relationship"/>
    <s v="None"/>
    <s v="CENTCOM"/>
    <s v="Tajikistan"/>
    <x v="14"/>
    <n v="5"/>
    <x v="3"/>
    <s v="Cao Gangchuan"/>
    <m/>
    <s v="CMC Vice Chairman; Defense Minister"/>
    <n v="10"/>
    <s v="Hosted"/>
    <s v="Defense Minister"/>
    <m/>
    <m/>
    <m/>
    <m/>
    <m/>
    <m/>
    <m/>
    <m/>
  </r>
  <r>
    <s v="Senior Level Visit"/>
    <s v="Southeast Asia"/>
    <s v="Asia"/>
    <s v="No Specific Relationship"/>
    <s v="Bilateral Defense Treaty"/>
    <s v="INDOPACOM"/>
    <s v="Thailand"/>
    <x v="14"/>
    <n v="5"/>
    <x v="3"/>
    <s v="Cao Gangchuan"/>
    <m/>
    <s v="CMC Vice Chairman; Defense Minister"/>
    <n v="10"/>
    <s v="Hosted"/>
    <s v="CinC Army"/>
    <m/>
    <m/>
    <m/>
    <m/>
    <m/>
    <m/>
    <m/>
    <m/>
  </r>
  <r>
    <s v="Senior Level Visit"/>
    <s v="Europe"/>
    <s v="Europe and Central Asia"/>
    <s v="No Specific Relationship"/>
    <s v="NATO"/>
    <s v="EUCOM"/>
    <s v="Turkey"/>
    <x v="14"/>
    <n v="5"/>
    <x v="3"/>
    <s v="Cao Gangchuan"/>
    <m/>
    <s v="CMC Vice Chairman; Defense Minister"/>
    <n v="10"/>
    <s v="Hosted"/>
    <s v="Gendarmerie Commander"/>
    <m/>
    <m/>
    <m/>
    <m/>
    <m/>
    <m/>
    <m/>
    <m/>
  </r>
  <r>
    <s v="Senior Level Visit"/>
    <s v="Europe"/>
    <s v="Europe and Central Asia"/>
    <s v="No Specific Relationship"/>
    <s v="NATO"/>
    <s v="EUCOM"/>
    <s v="Turkey"/>
    <x v="14"/>
    <n v="5"/>
    <x v="4"/>
    <s v="Liang Guanglie"/>
    <m/>
    <s v="GSD Commander; CMC Member"/>
    <n v="8"/>
    <s v="Abroad"/>
    <s v="Defense Minister"/>
    <m/>
    <m/>
    <m/>
    <m/>
    <m/>
    <m/>
    <m/>
    <m/>
  </r>
  <r>
    <s v="Senior Level Visit"/>
    <s v="Europe"/>
    <s v="Europe and Central Asia"/>
    <s v="Comprehensive Strategic Partnership [全面战略伙伴关系]"/>
    <s v="NATO"/>
    <s v="EUCOM"/>
    <s v="United Kingdom"/>
    <x v="14"/>
    <n v="5"/>
    <x v="4"/>
    <s v="Chen Bingde"/>
    <m/>
    <s v="GAD Director; CMC Member"/>
    <n v="8"/>
    <s v="Abroad"/>
    <m/>
    <m/>
    <m/>
    <m/>
    <m/>
    <m/>
    <m/>
    <m/>
    <m/>
  </r>
  <r>
    <s v="Senior Level Visit"/>
    <s v="Central Asia"/>
    <s v="Europe and Central Asia"/>
    <s v="No Specific Relationship"/>
    <s v="None"/>
    <s v="CENTCOM"/>
    <s v="Uzbekistan"/>
    <x v="14"/>
    <n v="5"/>
    <x v="3"/>
    <s v="Cao Gangchuan"/>
    <m/>
    <s v="CMC Vice Chairman; Defense Minister"/>
    <n v="10"/>
    <s v="Hosted"/>
    <s v="Deputy Defense Minister"/>
    <m/>
    <m/>
    <m/>
    <m/>
    <m/>
    <m/>
    <m/>
    <m/>
  </r>
  <r>
    <s v="Senior Level Visit"/>
    <s v="South America"/>
    <s v="America and Oceania"/>
    <s v="No Specific Relationship"/>
    <s v="None"/>
    <s v="SOUTHCOM"/>
    <s v="Cuba"/>
    <x v="14"/>
    <n v="6"/>
    <x v="4"/>
    <s v="Li Jinai"/>
    <m/>
    <s v="GPD Deputy Director"/>
    <n v="8"/>
    <s v="Abroad"/>
    <m/>
    <m/>
    <m/>
    <m/>
    <m/>
    <m/>
    <m/>
    <m/>
    <m/>
  </r>
  <r>
    <s v="Senior Level Visit"/>
    <s v="Middle East"/>
    <s v="West Asia and Africa"/>
    <s v="Strategic Cooperative Partnership [战略合作伙伴关系]"/>
    <s v="Major Non-NATO Ally"/>
    <s v="CENTCOM"/>
    <s v="Egypt"/>
    <x v="14"/>
    <n v="6"/>
    <x v="4"/>
    <s v="Fu Tinggui"/>
    <m/>
    <s v="Beijing MR Political Commissar"/>
    <n v="6"/>
    <s v="Abroad"/>
    <m/>
    <m/>
    <m/>
    <m/>
    <m/>
    <m/>
    <m/>
    <m/>
    <m/>
  </r>
  <r>
    <s v="Senior Level Visit"/>
    <s v="Europe"/>
    <s v="Europe and Central Asia"/>
    <s v="Comprehensive Partnership [全面伙伴关系]"/>
    <s v="NATO"/>
    <s v="EUCOM"/>
    <s v="France"/>
    <x v="14"/>
    <n v="6"/>
    <x v="4"/>
    <s v="Xiong Guangkai"/>
    <m/>
    <s v="GSD DCGS"/>
    <n v="6"/>
    <s v="Abroad"/>
    <m/>
    <m/>
    <m/>
    <m/>
    <m/>
    <m/>
    <m/>
    <m/>
    <m/>
  </r>
  <r>
    <s v="Senior Level Visit"/>
    <s v="Europe"/>
    <s v="Europe and Central Asia"/>
    <s v="No Specific Relationship"/>
    <s v="NATO"/>
    <s v="EUCOM"/>
    <s v="Germany"/>
    <x v="14"/>
    <n v="6"/>
    <x v="4"/>
    <s v="Zheng Shenxia"/>
    <m/>
    <s v="AMS President"/>
    <n v="6"/>
    <s v="Abroad"/>
    <m/>
    <m/>
    <m/>
    <m/>
    <m/>
    <m/>
    <m/>
    <m/>
    <m/>
  </r>
  <r>
    <s v="Senior Level Visit"/>
    <s v="Africa"/>
    <s v="West Asia and Africa"/>
    <s v="No Specific Relationship"/>
    <s v="None"/>
    <s v="AFRICOM"/>
    <s v="Kenya"/>
    <x v="14"/>
    <n v="6"/>
    <x v="4"/>
    <m/>
    <m/>
    <s v="GLD Deputy Director"/>
    <n v="8"/>
    <s v="Abroad"/>
    <m/>
    <m/>
    <m/>
    <m/>
    <m/>
    <m/>
    <m/>
    <m/>
    <m/>
  </r>
  <r>
    <s v="Senior Level Visit"/>
    <s v="North America"/>
    <s v="America and Oceania"/>
    <s v="Strategic Cooperative Partnership [战略合作伙伴关系]"/>
    <s v="None"/>
    <s v="NORTHCOM"/>
    <s v="Mexico"/>
    <x v="14"/>
    <n v="6"/>
    <x v="4"/>
    <s v="Li Jinai"/>
    <m/>
    <s v="GPD Deputy Director"/>
    <n v="8"/>
    <s v="Abroad"/>
    <m/>
    <m/>
    <m/>
    <m/>
    <m/>
    <m/>
    <m/>
    <m/>
    <m/>
  </r>
  <r>
    <s v="Senior Level Visit"/>
    <s v="Southeast Asia"/>
    <s v="Asia"/>
    <s v="Strategic Cooperative Partnership [战略合作伙伴关系]"/>
    <s v="Bilateral Defense Treaty"/>
    <s v="INDOPACOM"/>
    <s v="Philippines"/>
    <x v="14"/>
    <n v="6"/>
    <x v="4"/>
    <m/>
    <m/>
    <s v="GLD Deputy Director"/>
    <n v="8"/>
    <s v="Abroad"/>
    <m/>
    <m/>
    <m/>
    <m/>
    <m/>
    <m/>
    <m/>
    <m/>
    <m/>
  </r>
  <r>
    <s v="Senior Level Visit"/>
    <s v="Russia"/>
    <s v="Europe and Central Asia"/>
    <s v="Strategic Partnership of Coordination [战略协作伙伴关系]"/>
    <s v="None"/>
    <s v="EUCOM"/>
    <s v="Russia"/>
    <x v="14"/>
    <n v="6"/>
    <x v="4"/>
    <s v="Xiong Guangkai"/>
    <m/>
    <s v="GSD DCGS"/>
    <n v="8"/>
    <s v="Abroad"/>
    <m/>
    <m/>
    <m/>
    <m/>
    <m/>
    <m/>
    <m/>
    <m/>
    <m/>
  </r>
  <r>
    <s v="Senior Level Visit"/>
    <s v="Middle East"/>
    <s v="West Asia and Africa"/>
    <s v="No Specific Relationship"/>
    <s v="None"/>
    <s v="CENTCOM"/>
    <s v="Syria"/>
    <x v="14"/>
    <n v="6"/>
    <x v="4"/>
    <s v="Fu Tinggui"/>
    <m/>
    <s v="Beijing MR Political Commissar"/>
    <n v="6"/>
    <s v="Abroad"/>
    <m/>
    <m/>
    <m/>
    <m/>
    <m/>
    <m/>
    <m/>
    <m/>
    <m/>
  </r>
  <r>
    <s v="Senior Level Visit"/>
    <s v="Central Asia"/>
    <s v="Europe and Central Asia"/>
    <s v="No Specific Relationship"/>
    <s v="None"/>
    <s v="CENTCOM"/>
    <s v="Tajikistan"/>
    <x v="14"/>
    <n v="6"/>
    <x v="3"/>
    <s v="He Yong"/>
    <m/>
    <s v="Member of Secretariat "/>
    <n v="6"/>
    <s v="Hosted"/>
    <s v="Commander, National Guard"/>
    <m/>
    <m/>
    <m/>
    <m/>
    <m/>
    <m/>
    <m/>
    <m/>
  </r>
  <r>
    <s v="Senior Level Visit"/>
    <s v="Africa"/>
    <s v="West Asia and Africa"/>
    <s v="No Specific Relationship"/>
    <s v="None"/>
    <s v="AFRICOM"/>
    <s v="Tanzania"/>
    <x v="14"/>
    <n v="6"/>
    <x v="4"/>
    <m/>
    <m/>
    <s v="GLD Deputy Director"/>
    <n v="8"/>
    <s v="Abroad"/>
    <m/>
    <m/>
    <m/>
    <m/>
    <m/>
    <m/>
    <m/>
    <m/>
    <m/>
  </r>
  <r>
    <s v="Senior Level Visit"/>
    <s v="Europe"/>
    <s v="Europe and Central Asia"/>
    <s v="No Specific Relationship"/>
    <s v="None"/>
    <s v="EUCOM"/>
    <s v="Ukraine"/>
    <x v="14"/>
    <n v="6"/>
    <x v="4"/>
    <s v="Zheng Shenxia"/>
    <m/>
    <s v="AMS President"/>
    <n v="6"/>
    <s v="Abroad"/>
    <m/>
    <m/>
    <m/>
    <m/>
    <m/>
    <m/>
    <m/>
    <m/>
    <m/>
  </r>
  <r>
    <s v="Senior Level Visit"/>
    <s v="Europe"/>
    <s v="Europe and Central Asia"/>
    <s v="Comprehensive Strategic Partnership [全面战略伙伴关系]"/>
    <s v="NATO"/>
    <s v="EUCOM"/>
    <s v="United Kingdom"/>
    <x v="14"/>
    <n v="6"/>
    <x v="3"/>
    <s v="Xu Qiliang"/>
    <m/>
    <s v="GSD DCGS"/>
    <n v="6"/>
    <s v="Hosted"/>
    <s v="Director, Royal College of Defense Studies"/>
    <m/>
    <m/>
    <m/>
    <m/>
    <m/>
    <m/>
    <m/>
    <m/>
  </r>
  <r>
    <s v="Senior Level Visit"/>
    <s v="North America"/>
    <s v="America and Oceania"/>
    <s v="No Specific Relationship"/>
    <s v="N/A"/>
    <s v="NORTHCOM"/>
    <s v="United States"/>
    <x v="14"/>
    <n v="6"/>
    <x v="3"/>
    <s v="Xu Qiliang"/>
    <m/>
    <s v="GSD DCGS"/>
    <n v="6"/>
    <s v="Hosted"/>
    <s v="Superintendent USMA West Point"/>
    <m/>
    <m/>
    <m/>
    <m/>
    <m/>
    <m/>
    <m/>
    <m/>
  </r>
  <r>
    <s v="Senior Level Visit"/>
    <s v="South Asia"/>
    <s v="Asia"/>
    <s v="Comprehensive Cooperative Partnership [全面合作伙伴关系]"/>
    <s v="None"/>
    <s v="INDOPACOM"/>
    <s v="Bangladesh"/>
    <x v="14"/>
    <n v="7"/>
    <x v="3"/>
    <s v="Zhang Dingfa"/>
    <m/>
    <s v="PLAN Commander "/>
    <n v="8"/>
    <s v="Hosted"/>
    <s v="Chief of Naval Staff"/>
    <m/>
    <m/>
    <m/>
    <m/>
    <m/>
    <m/>
    <m/>
    <m/>
  </r>
  <r>
    <s v="Senior Level Visit"/>
    <s v="Europe"/>
    <s v="Europe and Central Asia"/>
    <s v="No Specific Relationship"/>
    <s v="NATO"/>
    <s v="EUCOM"/>
    <s v="Bulgaria"/>
    <x v="14"/>
    <n v="7"/>
    <x v="4"/>
    <s v="Li Jinai"/>
    <m/>
    <s v="GPD Deputy Director"/>
    <n v="8"/>
    <s v="Abroad"/>
    <m/>
    <m/>
    <m/>
    <m/>
    <m/>
    <m/>
    <m/>
    <m/>
    <m/>
  </r>
  <r>
    <s v="Senior Level Visit"/>
    <s v="Europe"/>
    <s v="Europe and Central Asia"/>
    <s v="Comprehensive Friendly Cooperative Partnership [全面友好合作伙伴关系]"/>
    <s v="NATO"/>
    <s v="EUCOM"/>
    <s v="Romania"/>
    <x v="14"/>
    <n v="7"/>
    <x v="3"/>
    <s v="Liang Guanglie"/>
    <m/>
    <s v="GSD Commander; CMC Member"/>
    <n v="8"/>
    <s v="Hosted"/>
    <s v="COGS"/>
    <m/>
    <m/>
    <m/>
    <m/>
    <m/>
    <m/>
    <m/>
    <m/>
  </r>
  <r>
    <s v="Senior Level Visit"/>
    <s v="Europe"/>
    <s v="Europe and Central Asia"/>
    <s v="No Specific Relationship"/>
    <s v="None"/>
    <s v="EUCOM"/>
    <s v="Switzerland"/>
    <x v="14"/>
    <n v="7"/>
    <x v="4"/>
    <s v="Li Jinai"/>
    <m/>
    <s v="GPD Deputy Director"/>
    <n v="8"/>
    <s v="Abroad"/>
    <m/>
    <m/>
    <m/>
    <m/>
    <m/>
    <m/>
    <m/>
    <m/>
    <m/>
  </r>
  <r>
    <s v="Senior Level Visit"/>
    <s v="Southeast Asia"/>
    <s v="Asia"/>
    <s v="No Specific Relationship"/>
    <s v="Bilateral Defense Treaty"/>
    <s v="INDOPACOM"/>
    <s v="Thailand"/>
    <x v="14"/>
    <n v="7"/>
    <x v="3"/>
    <s v="Cao Gangchuan"/>
    <m/>
    <s v="CMC Vice Chairman; Defense Minister"/>
    <n v="8"/>
    <s v="Hosted"/>
    <s v="Assistant Defense Minister"/>
    <m/>
    <m/>
    <m/>
    <m/>
    <m/>
    <m/>
    <m/>
    <m/>
  </r>
  <r>
    <s v="Senior Level Visit"/>
    <s v="North America"/>
    <s v="America and Oceania"/>
    <s v="No Specific Relationship"/>
    <s v="N/A"/>
    <s v="NORTHCOM"/>
    <s v="United States"/>
    <x v="14"/>
    <n v="7"/>
    <x v="4"/>
    <s v="Liu Zhenwu"/>
    <m/>
    <s v="Guangzhou MR Commander"/>
    <n v="6"/>
    <s v="Abroad"/>
    <m/>
    <m/>
    <m/>
    <m/>
    <m/>
    <m/>
    <m/>
    <m/>
    <m/>
  </r>
  <r>
    <s v="Senior Level Visit"/>
    <s v="Oceania"/>
    <s v="America and Oceania"/>
    <s v="No Specific Relationship"/>
    <s v="None"/>
    <s v="INDOPACOM"/>
    <s v="Vanuatu"/>
    <x v="14"/>
    <n v="7"/>
    <x v="3"/>
    <s v="Cao Gangchuan"/>
    <m/>
    <s v="CMC Vice Chairman; Defense Minister"/>
    <n v="10"/>
    <s v="Hosted"/>
    <s v="Minister of Home Affairs"/>
    <m/>
    <m/>
    <m/>
    <m/>
    <m/>
    <m/>
    <m/>
    <m/>
  </r>
  <r>
    <s v="Senior Level Visit"/>
    <s v="Southeast Asia"/>
    <s v="Asia"/>
    <s v="No Specific Relationship"/>
    <s v="None"/>
    <s v="INDOPACOM"/>
    <s v="Vietnam"/>
    <x v="14"/>
    <n v="7"/>
    <x v="3"/>
    <s v="Liang Guanglie"/>
    <m/>
    <s v="GSD Commander; CMC Member"/>
    <n v="8"/>
    <s v="Hosted"/>
    <s v="Deputy Defense Minister"/>
    <m/>
    <m/>
    <m/>
    <m/>
    <m/>
    <m/>
    <m/>
    <m/>
  </r>
  <r>
    <s v="Senior Level Visit"/>
    <s v="Africa"/>
    <s v="West Asia and Africa"/>
    <s v="No Specific Relationship"/>
    <s v="None"/>
    <s v="AFRICOM"/>
    <s v="Zambia"/>
    <x v="14"/>
    <n v="7"/>
    <x v="3"/>
    <s v="Cao Gangchuan"/>
    <m/>
    <s v="CMC Vice Chairman; Defense Minister"/>
    <n v="8"/>
    <s v="Hosted"/>
    <s v="Defense Minister"/>
    <m/>
    <m/>
    <m/>
    <m/>
    <m/>
    <m/>
    <m/>
    <m/>
  </r>
  <r>
    <s v="Senior Level Visit"/>
    <s v="Africa"/>
    <s v="West Asia and Africa"/>
    <s v="Comprehensive Strategic Cooperative Partnership [全面战略合作伙伴关系]"/>
    <s v="None"/>
    <s v="AFRICOM"/>
    <s v="Eritrea"/>
    <x v="14"/>
    <n v="8"/>
    <x v="4"/>
    <s v="Zhu Wenquan"/>
    <m/>
    <s v="Nanjing MR Commander"/>
    <n v="6"/>
    <s v="Abroad"/>
    <m/>
    <m/>
    <m/>
    <m/>
    <m/>
    <m/>
    <m/>
    <m/>
    <m/>
  </r>
  <r>
    <s v="Senior Level Visit"/>
    <s v="Africa"/>
    <s v="West Asia and Africa"/>
    <s v="No Specific Relationship"/>
    <s v="None"/>
    <s v="AFRICOM"/>
    <s v="Ethiopia"/>
    <x v="14"/>
    <n v="8"/>
    <x v="4"/>
    <s v="Zhu Wenquan"/>
    <m/>
    <s v="Nanjing MR Commander"/>
    <n v="6"/>
    <s v="Abroad"/>
    <m/>
    <m/>
    <m/>
    <m/>
    <m/>
    <m/>
    <m/>
    <m/>
    <m/>
  </r>
  <r>
    <s v="Senior Level Visit"/>
    <s v="Middle East"/>
    <s v="West Asia and Africa"/>
    <s v="No Specific Relationship"/>
    <s v="None"/>
    <s v="CENTCOM"/>
    <s v="Iran"/>
    <x v="14"/>
    <n v="8"/>
    <x v="4"/>
    <s v="Zhu Wenquan"/>
    <m/>
    <s v="Nanjing MR Commander"/>
    <n v="6"/>
    <s v="Abroad"/>
    <m/>
    <m/>
    <m/>
    <m/>
    <m/>
    <m/>
    <m/>
    <m/>
    <m/>
  </r>
  <r>
    <s v="Senior Level Visit"/>
    <s v="Africa"/>
    <s v="West Asia and Africa"/>
    <s v="No Specific Relationship"/>
    <s v="None"/>
    <s v="AFRICOM"/>
    <s v="Mali"/>
    <x v="14"/>
    <n v="8"/>
    <x v="3"/>
    <s v="Cao Gangchuan"/>
    <m/>
    <s v="CMC Vice Chairman; Defense Minister"/>
    <n v="10"/>
    <s v="Hosted"/>
    <s v="Minister of Defense and Retired Servicemen"/>
    <m/>
    <m/>
    <m/>
    <m/>
    <m/>
    <m/>
    <m/>
    <m/>
  </r>
  <r>
    <s v="Military Exercise"/>
    <s v="Russia"/>
    <s v="Europe and Central Asia"/>
    <s v="Strategic Partnership of Coordination [战略协作伙伴关系]"/>
    <s v="None"/>
    <s v="EUCOM"/>
    <s v="Russia"/>
    <x v="14"/>
    <n v="8"/>
    <x v="5"/>
    <m/>
    <m/>
    <m/>
    <m/>
    <m/>
    <m/>
    <s v="Combat"/>
    <s v="Peace Mission 2005"/>
    <s v="Joint"/>
    <s v="Army, Navy, Air Force, SOF; nominal anti-terrorism focus.  August 18–25"/>
    <m/>
    <m/>
    <m/>
    <m/>
  </r>
  <r>
    <s v="Senior Level Visit"/>
    <s v="South America"/>
    <s v="America and Oceania"/>
    <s v="Strategic Partnership [战略伙伴关系]"/>
    <s v="Major Non-NATO Ally"/>
    <s v="SOUTHCOM"/>
    <s v="Argentina"/>
    <x v="14"/>
    <n v="9"/>
    <x v="4"/>
    <s v="Li Jinai"/>
    <m/>
    <s v="GPD Director; CMC Member"/>
    <n v="8"/>
    <s v="Abroad"/>
    <m/>
    <m/>
    <m/>
    <m/>
    <m/>
    <m/>
    <m/>
    <m/>
    <m/>
  </r>
  <r>
    <s v="Senior Level Visit"/>
    <s v="Oceania"/>
    <s v="America and Oceania"/>
    <s v="No Specific Relationship"/>
    <s v="ANZUS Treaty"/>
    <s v="INDOPACOM"/>
    <s v="Australia"/>
    <x v="14"/>
    <n v="9"/>
    <x v="3"/>
    <s v="Cao Gangchuan"/>
    <m/>
    <s v="CMC Vice Chairman; Defense Minister"/>
    <n v="10"/>
    <s v="Hosted"/>
    <s v="Navy Commander"/>
    <m/>
    <m/>
    <m/>
    <m/>
    <m/>
    <m/>
    <m/>
    <m/>
  </r>
  <r>
    <s v="Senior Level Visit"/>
    <s v="Europe"/>
    <s v="Europe and Central Asia"/>
    <s v="No Specific Relationship"/>
    <s v="NATO"/>
    <s v="EUCOM"/>
    <s v="Bulgaria"/>
    <x v="14"/>
    <n v="9"/>
    <x v="4"/>
    <m/>
    <m/>
    <s v="GLD Deputy Director"/>
    <n v="8"/>
    <s v="Abroad"/>
    <m/>
    <m/>
    <m/>
    <m/>
    <m/>
    <m/>
    <m/>
    <m/>
    <m/>
  </r>
  <r>
    <s v="Senior Level Visit"/>
    <s v="South America"/>
    <s v="America and Oceania"/>
    <s v="Comprehensive Partnership [全面伙伴关系]"/>
    <s v="None"/>
    <s v="SOUTHCOM"/>
    <s v="Chile"/>
    <x v="14"/>
    <n v="9"/>
    <x v="4"/>
    <s v="Xiong Guangkai"/>
    <m/>
    <s v="GSD DCGS"/>
    <n v="6"/>
    <s v="Abroad"/>
    <m/>
    <m/>
    <m/>
    <m/>
    <m/>
    <m/>
    <m/>
    <m/>
    <m/>
  </r>
  <r>
    <s v="Senior Level Visit"/>
    <s v="South America"/>
    <s v="America and Oceania"/>
    <s v="No Specific Relationship"/>
    <s v="None"/>
    <s v="SOUTHCOM"/>
    <s v="Colombia"/>
    <x v="14"/>
    <n v="9"/>
    <x v="4"/>
    <s v="Xiong Guangkai"/>
    <m/>
    <s v="GSD DCGS"/>
    <n v="6"/>
    <s v="Abroad"/>
    <m/>
    <m/>
    <m/>
    <m/>
    <m/>
    <m/>
    <m/>
    <m/>
    <m/>
  </r>
  <r>
    <s v="Senior Level Visit"/>
    <s v="Europe"/>
    <s v="Europe and Central Asia"/>
    <s v="No Specific Relationship"/>
    <s v="NATO"/>
    <s v="EUCOM"/>
    <s v="Czech Republic"/>
    <x v="14"/>
    <n v="9"/>
    <x v="4"/>
    <m/>
    <m/>
    <s v="GLD Deputy Director"/>
    <n v="8"/>
    <s v="Abroad"/>
    <m/>
    <m/>
    <m/>
    <m/>
    <m/>
    <m/>
    <m/>
    <m/>
    <m/>
  </r>
  <r>
    <s v="Senior Level Visit"/>
    <s v="Europe"/>
    <s v="Europe and Central Asia"/>
    <s v="No Specific Relationship"/>
    <s v="NATO"/>
    <s v="EUCOM"/>
    <s v="Denmark"/>
    <x v="14"/>
    <n v="9"/>
    <x v="4"/>
    <s v="Xiong Guangkai"/>
    <m/>
    <s v="GSD DCGS"/>
    <n v="6"/>
    <s v="Abroad"/>
    <m/>
    <m/>
    <m/>
    <m/>
    <m/>
    <m/>
    <m/>
    <m/>
    <m/>
  </r>
  <r>
    <s v="Senior Level Visit"/>
    <s v="Europe"/>
    <s v="Europe and Central Asia"/>
    <s v="No Specific Relationship"/>
    <s v="NATO"/>
    <s v="EUCOM"/>
    <s v="Hungary"/>
    <x v="14"/>
    <n v="9"/>
    <x v="4"/>
    <s v="Xiong Guangkai"/>
    <m/>
    <s v="GSD DCGS"/>
    <n v="6"/>
    <s v="Abroad"/>
    <m/>
    <m/>
    <m/>
    <m/>
    <m/>
    <m/>
    <m/>
    <m/>
    <m/>
  </r>
  <r>
    <s v="Senior Level Visit"/>
    <s v="Europe"/>
    <s v="Europe and Central Asia"/>
    <s v="Comprehensive Strategic Partnership [全面战略伙伴关系]"/>
    <s v="NATO"/>
    <s v="EUCOM"/>
    <s v="Italy"/>
    <x v="14"/>
    <n v="9"/>
    <x v="3"/>
    <s v="Cao Gangchuan"/>
    <m/>
    <s v="CMC Vice Chairman; Defense Minister"/>
    <n v="10"/>
    <s v="Hosted"/>
    <s v="Deputy Defense Minister"/>
    <m/>
    <m/>
    <m/>
    <m/>
    <m/>
    <m/>
    <m/>
    <m/>
  </r>
  <r>
    <s v="Senior Level Visit"/>
    <s v="Central Asia"/>
    <s v="Europe and Central Asia"/>
    <s v="Strategic Partnership [战略伙伴关系]"/>
    <s v="None"/>
    <s v="CENTCOM"/>
    <s v="Kazakhstan"/>
    <x v="14"/>
    <n v="9"/>
    <x v="4"/>
    <s v="Cao Gangchuan"/>
    <m/>
    <s v="CMC Vice Chairman; Defense Minister"/>
    <n v="10"/>
    <s v="Abroad"/>
    <s v="Defense Minister"/>
    <m/>
    <m/>
    <m/>
    <m/>
    <m/>
    <m/>
    <m/>
    <m/>
  </r>
  <r>
    <s v="Senior Level Visit"/>
    <s v="Southeast Asia"/>
    <s v="Asia"/>
    <s v="Strategic Cooperative Partnership [战略合作伙伴关系]"/>
    <s v="None"/>
    <s v="INDOPACOM"/>
    <s v="Malaysia"/>
    <x v="14"/>
    <n v="9"/>
    <x v="3"/>
    <s v="Cao Gangchuan"/>
    <m/>
    <s v="CMC Vice Chairman; Defense Minister"/>
    <n v="10"/>
    <s v="Hosted"/>
    <s v="Deputy Prime Minister and Defense Minister"/>
    <m/>
    <m/>
    <m/>
    <m/>
    <m/>
    <m/>
    <m/>
    <m/>
  </r>
  <r>
    <s v="Senior Level Visit"/>
    <s v="Oceania"/>
    <s v="America and Oceania"/>
    <s v="No Specific Relationship"/>
    <s v="ANZUS Treaty"/>
    <s v="INDOPACOM"/>
    <s v="New Zealand"/>
    <x v="14"/>
    <n v="9"/>
    <x v="4"/>
    <s v="Xiong Guangkai"/>
    <m/>
    <s v="GSD DCGS"/>
    <n v="6"/>
    <s v="Abroad"/>
    <m/>
    <m/>
    <m/>
    <m/>
    <m/>
    <m/>
    <m/>
    <m/>
    <m/>
  </r>
  <r>
    <s v="Senior Level Visit"/>
    <s v="South Asia"/>
    <s v="Asia"/>
    <s v="Strategic Partnership [战略伙伴关系]"/>
    <s v="Major Non-NATO Ally"/>
    <s v="CENTCOM"/>
    <s v="Pakistan"/>
    <x v="14"/>
    <n v="9"/>
    <x v="3"/>
    <s v="Guo Boxiong"/>
    <m/>
    <s v="CMC Vice Chairman"/>
    <n v="10"/>
    <s v="Hosted"/>
    <s v="Chairman JCS"/>
    <m/>
    <m/>
    <m/>
    <m/>
    <m/>
    <m/>
    <m/>
    <m/>
  </r>
  <r>
    <s v="Senior Level Visit"/>
    <s v="Southeast Asia"/>
    <s v="America and Oceania"/>
    <s v="No Specific Relationship"/>
    <s v="None"/>
    <s v="INDOPACOM"/>
    <s v="Papua New Guinea"/>
    <x v="14"/>
    <n v="9"/>
    <x v="3"/>
    <s v="Cao Gangchuan"/>
    <m/>
    <s v="CMC Vice Chairman; Defense Minister"/>
    <n v="10"/>
    <s v="Hosted"/>
    <s v="Defense Minister"/>
    <m/>
    <m/>
    <m/>
    <m/>
    <m/>
    <m/>
    <m/>
    <m/>
  </r>
  <r>
    <s v="Senior Level Visit"/>
    <s v="Europe"/>
    <s v="Europe and Central Asia"/>
    <s v="No Specific Relationship"/>
    <s v="NATO"/>
    <s v="EUCOM"/>
    <s v="Poland"/>
    <x v="14"/>
    <n v="9"/>
    <x v="4"/>
    <m/>
    <m/>
    <s v="GLD Deputy Director"/>
    <n v="8"/>
    <s v="Abroad"/>
    <m/>
    <m/>
    <m/>
    <m/>
    <m/>
    <m/>
    <m/>
    <m/>
    <m/>
  </r>
  <r>
    <s v="Senior Level Visit"/>
    <s v="Europe"/>
    <s v="Europe and Central Asia"/>
    <s v="Comprehensive Friendly Cooperative Partnership [全面友好合作伙伴关系]"/>
    <s v="NATO"/>
    <s v="EUCOM"/>
    <s v="Romania"/>
    <x v="14"/>
    <n v="9"/>
    <x v="3"/>
    <s v="Cao Gangchuan"/>
    <m/>
    <s v="CMC Vice Chairman; Defense Minister"/>
    <n v="10"/>
    <s v="Hosted"/>
    <s v="Secretary of State of Ministry of Defense"/>
    <m/>
    <m/>
    <m/>
    <m/>
    <m/>
    <m/>
    <m/>
    <m/>
  </r>
  <r>
    <s v="Senior Level Visit"/>
    <s v="Russia"/>
    <s v="Europe and Central Asia"/>
    <s v="Strategic Partnership of Coordination [战略协作伙伴关系]"/>
    <s v="None"/>
    <s v="EUCOM"/>
    <s v="Russia"/>
    <x v="14"/>
    <n v="9"/>
    <x v="4"/>
    <s v="Cao Gangchuan"/>
    <m/>
    <s v="CMC Vice Chairman; Defense Minister"/>
    <n v="10"/>
    <s v="Abroad"/>
    <s v="Defense Minister"/>
    <m/>
    <m/>
    <m/>
    <m/>
    <m/>
    <m/>
    <m/>
    <m/>
  </r>
  <r>
    <s v="Senior Level Visit"/>
    <s v="South Asia"/>
    <s v="Asia"/>
    <s v="Comprehensive Cooperative Partnership [全面合作伙伴关系]"/>
    <s v="None"/>
    <s v="INDOPACOM"/>
    <s v="Sri Lanka"/>
    <x v="14"/>
    <n v="9"/>
    <x v="3"/>
    <s v="Cao Gangchuan"/>
    <m/>
    <s v="CMC Vice Chairman; Defense Minister"/>
    <n v="10"/>
    <s v="Hosted"/>
    <s v="President and Defense Minister"/>
    <m/>
    <m/>
    <m/>
    <m/>
    <m/>
    <m/>
    <m/>
    <m/>
  </r>
  <r>
    <s v="Senior Level Visit"/>
    <s v="Central Asia"/>
    <s v="Europe and Central Asia"/>
    <s v="No Specific Relationship"/>
    <s v="None"/>
    <s v="CENTCOM"/>
    <s v="Tajikistan"/>
    <x v="14"/>
    <n v="9"/>
    <x v="4"/>
    <s v="Cao Gangchuan"/>
    <m/>
    <s v="CMC Vice Chairman; Defense Minister"/>
    <n v="10"/>
    <s v="Abroad"/>
    <s v="Defense Minister"/>
    <m/>
    <m/>
    <m/>
    <m/>
    <m/>
    <m/>
    <m/>
    <m/>
  </r>
  <r>
    <s v="Senior Level Visit"/>
    <s v="Africa"/>
    <s v="West Asia and Africa"/>
    <s v="No Specific Relationship"/>
    <s v="None"/>
    <s v="AFRICOM"/>
    <s v="Tanzania"/>
    <x v="14"/>
    <n v="9"/>
    <x v="3"/>
    <s v="Cao Gangchuan"/>
    <m/>
    <s v="CMC Vice Chairman; Defense Minister"/>
    <n v="10"/>
    <s v="Hosted"/>
    <s v="Chief of People's Defense Force"/>
    <m/>
    <m/>
    <m/>
    <m/>
    <m/>
    <m/>
    <m/>
    <m/>
  </r>
  <r>
    <s v="Senior Level Visit"/>
    <s v="North America"/>
    <s v="America and Oceania"/>
    <s v="No Specific Relationship"/>
    <s v="N/A"/>
    <s v="NORTHCOM"/>
    <s v="United States"/>
    <x v="14"/>
    <n v="9"/>
    <x v="3"/>
    <s v="Guo Boxiong"/>
    <m/>
    <s v="CMC Vice Chairman"/>
    <n v="10"/>
    <s v="Hosted"/>
    <s v="PACOM Commander"/>
    <m/>
    <m/>
    <m/>
    <m/>
    <m/>
    <m/>
    <m/>
    <m/>
  </r>
  <r>
    <s v="Military Exercise"/>
    <s v="North America"/>
    <s v="America and Oceania"/>
    <s v="No Specific Relationship"/>
    <s v="N/A"/>
    <s v="NORTHCOM"/>
    <s v="United States"/>
    <x v="14"/>
    <n v="9"/>
    <x v="5"/>
    <m/>
    <m/>
    <m/>
    <m/>
    <m/>
    <m/>
    <s v="MOOTW"/>
    <s v="Unknown"/>
    <s v="Navy"/>
    <s v="SAREX"/>
    <m/>
    <m/>
    <m/>
    <m/>
  </r>
  <r>
    <s v="Senior Level Visit"/>
    <s v="South America"/>
    <s v="America and Oceania"/>
    <s v="Strategic Development Partnership [战略发展伙伴关系]"/>
    <s v="None"/>
    <s v="SOUTHCOM"/>
    <s v="Venezuela"/>
    <x v="14"/>
    <n v="9"/>
    <x v="4"/>
    <s v="Li Jinai"/>
    <m/>
    <s v="GPD Director; CMC Member"/>
    <n v="8"/>
    <s v="Abroad"/>
    <m/>
    <m/>
    <m/>
    <m/>
    <m/>
    <m/>
    <m/>
    <m/>
    <m/>
  </r>
  <r>
    <s v="Senior Level Visit"/>
    <s v="South Asia"/>
    <s v="Europe and Central Asia"/>
    <s v="Comprehensive Cooperative Partnership [全面合作伙伴关系]"/>
    <s v="Major Non-NATO Ally"/>
    <s v="CENTCOM"/>
    <s v="Afghanistan"/>
    <x v="14"/>
    <n v="10"/>
    <x v="3"/>
    <s v="Cao Gangchuan"/>
    <m/>
    <s v="CMC Vice Chairman; Defense Minister"/>
    <n v="10"/>
    <s v="Hosted"/>
    <s v="Deputy Defense Minister"/>
    <m/>
    <m/>
    <m/>
    <m/>
    <m/>
    <m/>
    <m/>
    <m/>
  </r>
  <r>
    <s v="Senior Level Visit"/>
    <s v="South America"/>
    <s v="America and Oceania"/>
    <s v="Strategic Partnership [战略伙伴关系]"/>
    <s v="Major Non-NATO Ally"/>
    <s v="SOUTHCOM"/>
    <s v="Argentina"/>
    <x v="14"/>
    <n v="10"/>
    <x v="4"/>
    <s v="Liang Guanglie"/>
    <m/>
    <s v="GSD Commander; CMC Member"/>
    <n v="8"/>
    <s v="Abroad"/>
    <m/>
    <m/>
    <m/>
    <m/>
    <m/>
    <m/>
    <m/>
    <m/>
    <m/>
  </r>
  <r>
    <s v="Senior Level Visit"/>
    <s v="Oceania"/>
    <s v="America and Oceania"/>
    <s v="No Specific Relationship"/>
    <s v="ANZUS Treaty"/>
    <s v="INDOPACOM"/>
    <s v="Australia"/>
    <x v="14"/>
    <n v="10"/>
    <x v="3"/>
    <s v="Liang Guanglie"/>
    <m/>
    <s v="GSD Commander; CMC Member"/>
    <n v="8"/>
    <s v="Hosted"/>
    <s v="Deputy Chief ADF"/>
    <m/>
    <m/>
    <m/>
    <m/>
    <m/>
    <m/>
    <m/>
    <m/>
  </r>
  <r>
    <s v="Senior Level Visit"/>
    <s v="Europe"/>
    <s v="Europe and Central Asia"/>
    <s v="No Specific Relationship"/>
    <s v="NATO"/>
    <s v="EUCOM"/>
    <s v="Belgium"/>
    <x v="14"/>
    <n v="10"/>
    <x v="3"/>
    <s v="Cao Gangchuan"/>
    <m/>
    <s v="CMC Vice Chairman; Defense Minister"/>
    <n v="10"/>
    <s v="Hosted"/>
    <s v="Defense Minister"/>
    <m/>
    <m/>
    <m/>
    <m/>
    <m/>
    <m/>
    <m/>
    <m/>
  </r>
  <r>
    <s v="Senior Level Visit"/>
    <s v="South America"/>
    <s v="America and Oceania"/>
    <s v="No Specific Relationship"/>
    <s v="None"/>
    <s v="SOUTHCOM"/>
    <s v="Bolivia"/>
    <x v="14"/>
    <n v="10"/>
    <x v="3"/>
    <s v="Cao Gangchuan"/>
    <m/>
    <s v="CMC Vice Chairman; Defense Minister"/>
    <n v="10"/>
    <s v="Hosted"/>
    <s v="CinC Armed Forces"/>
    <m/>
    <m/>
    <m/>
    <m/>
    <m/>
    <m/>
    <m/>
    <m/>
  </r>
  <r>
    <s v="Senior Level Visit"/>
    <s v="Southeast Asia"/>
    <s v="Asia"/>
    <s v="No Specific Relationship"/>
    <s v="None"/>
    <s v="INDOPACOM"/>
    <s v="Brunei"/>
    <x v="14"/>
    <n v="10"/>
    <x v="3"/>
    <s v="Cao Gangchuan"/>
    <m/>
    <s v="CMC Vice Chairman; Defense Minister"/>
    <n v="10"/>
    <s v="Hosted"/>
    <s v="Deputy Defense Minister"/>
    <m/>
    <m/>
    <m/>
    <m/>
    <m/>
    <m/>
    <m/>
    <m/>
  </r>
  <r>
    <s v="Senior Level Visit"/>
    <s v="South America"/>
    <s v="America and Oceania"/>
    <s v="Comprehensive Partnership [全面伙伴关系]"/>
    <s v="None"/>
    <s v="SOUTHCOM"/>
    <s v="Chile"/>
    <x v="14"/>
    <n v="10"/>
    <x v="3"/>
    <s v="Cao Gangchuan"/>
    <m/>
    <s v="CMC Vice Chairman; Defense Minister"/>
    <n v="10"/>
    <s v="Hosted"/>
    <s v="CinC Air Force"/>
    <m/>
    <m/>
    <m/>
    <m/>
    <m/>
    <m/>
    <m/>
    <m/>
  </r>
  <r>
    <s v="Senior Level Visit"/>
    <s v="South America"/>
    <s v="America and Oceania"/>
    <s v="No Specific Relationship"/>
    <s v="None"/>
    <s v="SOUTHCOM"/>
    <s v="Cuba"/>
    <x v="14"/>
    <n v="10"/>
    <x v="4"/>
    <s v="Liang Guanglie"/>
    <m/>
    <s v="GSD Commander; CMC Member"/>
    <n v="8"/>
    <s v="Abroad"/>
    <m/>
    <m/>
    <m/>
    <m/>
    <m/>
    <m/>
    <m/>
    <m/>
    <m/>
  </r>
  <r>
    <s v="Senior Level Visit"/>
    <s v="Europe"/>
    <s v="Europe and Central Asia"/>
    <s v="No Specific Relationship"/>
    <s v="NATO"/>
    <s v="EUCOM"/>
    <s v="Denmark"/>
    <x v="14"/>
    <n v="10"/>
    <x v="3"/>
    <s v="Cao Gangchuan"/>
    <m/>
    <s v="CMC Vice Chairman; Defense Minister"/>
    <n v="10"/>
    <s v="Hosted"/>
    <s v="Chief of Defense"/>
    <m/>
    <m/>
    <m/>
    <m/>
    <m/>
    <m/>
    <m/>
    <m/>
  </r>
  <r>
    <s v="Senior Level Visit"/>
    <s v="Europe"/>
    <s v="Europe and Central Asia"/>
    <s v="No Specific Relationship"/>
    <s v="None"/>
    <s v="EUCOM"/>
    <s v="Finland"/>
    <x v="14"/>
    <n v="10"/>
    <x v="3"/>
    <s v="Cao Gangchuan"/>
    <m/>
    <s v="CMC Vice Chairman; Defense Minister"/>
    <n v="10"/>
    <s v="Hosted"/>
    <s v="Defense Minister"/>
    <m/>
    <m/>
    <m/>
    <m/>
    <m/>
    <m/>
    <m/>
    <m/>
  </r>
  <r>
    <s v="Senior Level Visit"/>
    <s v="South Asia"/>
    <s v="Asia"/>
    <s v="Good-Neighborly Partnership [世代友好的睦邻伙伴关系]"/>
    <s v="None"/>
    <s v="INDOPACOM"/>
    <s v="Nepal"/>
    <x v="14"/>
    <n v="10"/>
    <x v="3"/>
    <s v="Liang Guanglie"/>
    <m/>
    <s v="GSD Commander; CMC Member"/>
    <n v="8"/>
    <s v="Hosted"/>
    <s v="COGS"/>
    <m/>
    <m/>
    <m/>
    <m/>
    <m/>
    <m/>
    <m/>
    <m/>
  </r>
  <r>
    <s v="Senior Level Visit"/>
    <s v="Africa"/>
    <s v="West Asia and Africa"/>
    <s v="No Specific Relationship"/>
    <s v="None"/>
    <s v="AFRICOM"/>
    <s v="Sudan"/>
    <x v="14"/>
    <n v="10"/>
    <x v="4"/>
    <s v="Xu Caihou"/>
    <m/>
    <s v="CMC Vice Chairman"/>
    <n v="10"/>
    <s v="Abroad"/>
    <m/>
    <m/>
    <m/>
    <m/>
    <m/>
    <m/>
    <m/>
    <m/>
    <m/>
  </r>
  <r>
    <s v="Senior Level Visit"/>
    <s v="Central Asia"/>
    <s v="Europe and Central Asia"/>
    <s v="No Specific Relationship"/>
    <s v="None"/>
    <s v="CENTCOM"/>
    <s v="Tajikistan"/>
    <x v="14"/>
    <n v="10"/>
    <x v="3"/>
    <s v="Chen Bingde"/>
    <m/>
    <s v="GAD Director; CMC Member"/>
    <n v="8"/>
    <s v="Hosted"/>
    <s v="First Deputy Defense Minister"/>
    <m/>
    <m/>
    <m/>
    <m/>
    <m/>
    <m/>
    <m/>
    <m/>
  </r>
  <r>
    <s v="Senior Level Visit"/>
    <s v="Europe"/>
    <s v="Europe and Central Asia"/>
    <s v="No Specific Relationship"/>
    <s v="NATO"/>
    <s v="EUCOM"/>
    <s v="Turkey"/>
    <x v="14"/>
    <n v="10"/>
    <x v="4"/>
    <s v="Xu Caihou"/>
    <m/>
    <s v="CMC Vice Chairman"/>
    <n v="10"/>
    <s v="Abroad"/>
    <m/>
    <m/>
    <m/>
    <m/>
    <m/>
    <m/>
    <m/>
    <m/>
    <m/>
  </r>
  <r>
    <s v="Senior Level Visit"/>
    <s v="North America"/>
    <s v="America and Oceania"/>
    <s v="No Specific Relationship"/>
    <s v="N/A"/>
    <s v="NORTHCOM"/>
    <s v="United States"/>
    <x v="14"/>
    <n v="10"/>
    <x v="3"/>
    <s v="Cao Gangchuan"/>
    <m/>
    <s v="CMC Vice Chairman; Defense Minister"/>
    <n v="10"/>
    <s v="Hosted"/>
    <s v="Secretary of Defense"/>
    <m/>
    <m/>
    <m/>
    <m/>
    <m/>
    <m/>
    <m/>
    <m/>
  </r>
  <r>
    <s v="Senior Level Visit"/>
    <s v="South America"/>
    <s v="America and Oceania"/>
    <s v="No Specific Relationship"/>
    <s v="None"/>
    <s v="SOUTHCOM"/>
    <s v="Uruguay"/>
    <x v="14"/>
    <n v="10"/>
    <x v="4"/>
    <s v="Liang Guanglie"/>
    <m/>
    <s v="GSD Commander; CMC Member"/>
    <n v="8"/>
    <s v="Abroad"/>
    <m/>
    <m/>
    <m/>
    <m/>
    <m/>
    <m/>
    <m/>
    <m/>
    <m/>
  </r>
  <r>
    <s v="Senior Level Visit"/>
    <s v="Southeast Asia"/>
    <s v="Asia"/>
    <s v="No Specific Relationship"/>
    <s v="None"/>
    <s v="INDOPACOM"/>
    <s v="Vietnam"/>
    <x v="14"/>
    <n v="10"/>
    <x v="4"/>
    <s v="Pei Huailiang"/>
    <m/>
    <s v="PLA NDU President"/>
    <n v="6"/>
    <s v="Abroad"/>
    <m/>
    <m/>
    <m/>
    <m/>
    <m/>
    <m/>
    <m/>
    <m/>
    <m/>
  </r>
  <r>
    <s v="Senior Level Visit"/>
    <s v="Africa"/>
    <s v="West Asia and Africa"/>
    <s v="No Specific Relationship"/>
    <s v="None"/>
    <s v="AFRICOM"/>
    <s v="Algeria"/>
    <x v="14"/>
    <n v="11"/>
    <x v="4"/>
    <s v="Jing Zhiyuan"/>
    <m/>
    <s v="PLASAF Commander; CMC Member"/>
    <n v="8"/>
    <s v="Abroad"/>
    <m/>
    <m/>
    <m/>
    <m/>
    <m/>
    <m/>
    <m/>
    <m/>
    <m/>
  </r>
  <r>
    <s v="Senior Level Visit"/>
    <s v="Oceania"/>
    <s v="America and Oceania"/>
    <s v="No Specific Relationship"/>
    <s v="ANZUS Treaty"/>
    <s v="INDOPACOM"/>
    <s v="Australia"/>
    <x v="14"/>
    <n v="11"/>
    <x v="4"/>
    <s v="Xiong Guangkai"/>
    <m/>
    <s v="GSD DCGS"/>
    <n v="6"/>
    <s v="Abroad"/>
    <m/>
    <m/>
    <m/>
    <m/>
    <m/>
    <m/>
    <m/>
    <m/>
    <m/>
  </r>
  <r>
    <s v="Senior Level Visit"/>
    <s v="Europe"/>
    <s v="Europe and Central Asia"/>
    <s v="No Specific Relationship"/>
    <s v="NATO"/>
    <s v="EUCOM"/>
    <s v="Austria"/>
    <x v="14"/>
    <n v="11"/>
    <x v="3"/>
    <s v="Cao Gangchuan"/>
    <m/>
    <s v="CMC Vice Chairman; Defense Minister"/>
    <n v="10"/>
    <s v="Hosted"/>
    <s v="Defense Minister"/>
    <m/>
    <m/>
    <m/>
    <m/>
    <m/>
    <m/>
    <m/>
    <m/>
  </r>
  <r>
    <s v="Senior Level Visit"/>
    <s v="Europe"/>
    <s v="Europe and Central Asia"/>
    <s v="Strategic Partnership [战略伙伴关系]"/>
    <s v="None"/>
    <s v="EUCOM"/>
    <s v="Belarus"/>
    <x v="14"/>
    <n v="11"/>
    <x v="4"/>
    <s v="Li Qianyuan"/>
    <m/>
    <s v="Lanzhou MR Commander"/>
    <n v="6"/>
    <s v="Abroad"/>
    <m/>
    <m/>
    <m/>
    <m/>
    <m/>
    <m/>
    <m/>
    <m/>
    <m/>
  </r>
  <r>
    <s v="Senior Level Visit"/>
    <s v="Europe"/>
    <s v="Europe and Central Asia"/>
    <s v="No Specific Relationship"/>
    <s v="None"/>
    <s v="EUCOM"/>
    <s v="Bosnia-Herzegovina"/>
    <x v="14"/>
    <n v="11"/>
    <x v="3"/>
    <s v="Cao Gangchuan"/>
    <m/>
    <s v="CMC Vice Chairman; Defense Minister"/>
    <n v="10"/>
    <s v="Hosted"/>
    <s v="First Deputy Defense Minister"/>
    <m/>
    <m/>
    <m/>
    <m/>
    <m/>
    <m/>
    <m/>
    <m/>
  </r>
  <r>
    <s v="Senior Level Visit"/>
    <s v="Europe"/>
    <s v="Europe and Central Asia"/>
    <s v="No Specific Relationship"/>
    <s v="NATO"/>
    <s v="EUCOM"/>
    <s v="Bulgaria"/>
    <x v="14"/>
    <n v="11"/>
    <x v="3"/>
    <s v="Cao Gangchuan"/>
    <m/>
    <s v="CMC Vice Chairman; Defense Minister"/>
    <n v="10"/>
    <s v="Hosted"/>
    <s v="COGS"/>
    <m/>
    <m/>
    <m/>
    <m/>
    <m/>
    <m/>
    <m/>
    <m/>
  </r>
  <r>
    <s v="Senior Level Visit"/>
    <s v="Africa"/>
    <s v="West Asia and Africa"/>
    <s v="No Specific Relationship"/>
    <s v="None"/>
    <s v="AFRICOM"/>
    <s v="Central African Republic"/>
    <x v="14"/>
    <n v="11"/>
    <x v="3"/>
    <s v="Cao Gangchuan"/>
    <m/>
    <s v="CMC Vice Chairman; Defense Minister"/>
    <n v="10"/>
    <s v="Hosted"/>
    <s v="COGS"/>
    <m/>
    <m/>
    <m/>
    <m/>
    <m/>
    <m/>
    <m/>
    <m/>
  </r>
  <r>
    <s v="Senior Level Visit"/>
    <s v="Europe"/>
    <s v="Europe and Central Asia"/>
    <s v="Comprehensive Cooperative Partnership [全面合作伙伴关系]"/>
    <s v="NATO"/>
    <s v="EUCOM"/>
    <s v="Croatia"/>
    <x v="14"/>
    <n v="11"/>
    <x v="3"/>
    <s v="Cao Gangchuan"/>
    <m/>
    <s v="CMC Vice Chairman; Defense Minister"/>
    <n v="10"/>
    <s v="Hosted"/>
    <s v="COGS"/>
    <m/>
    <m/>
    <m/>
    <m/>
    <m/>
    <m/>
    <m/>
    <m/>
  </r>
  <r>
    <s v="Senior Level Visit"/>
    <s v="Europe"/>
    <s v="Europe and Central Asia"/>
    <s v="No Specific Relationship"/>
    <s v="NATO"/>
    <s v="EUCOM"/>
    <s v="Greece"/>
    <x v="14"/>
    <n v="11"/>
    <x v="4"/>
    <s v="Xiong Guangkai"/>
    <m/>
    <s v="GSD DCGS"/>
    <n v="6"/>
    <s v="Abroad"/>
    <m/>
    <m/>
    <m/>
    <m/>
    <m/>
    <m/>
    <m/>
    <m/>
    <m/>
  </r>
  <r>
    <s v="Senior Level Visit"/>
    <s v="Europe"/>
    <s v="Europe and Central Asia"/>
    <s v="No Specific Relationship"/>
    <s v="NATO"/>
    <s v="EUCOM"/>
    <s v="Hungary"/>
    <x v="14"/>
    <n v="11"/>
    <x v="4"/>
    <s v="Li Qianyuan"/>
    <m/>
    <s v="Lanzhou MR Commander"/>
    <n v="6"/>
    <s v="Abroad"/>
    <m/>
    <m/>
    <m/>
    <m/>
    <m/>
    <m/>
    <m/>
    <m/>
    <m/>
  </r>
  <r>
    <s v="Naval Port Call"/>
    <s v="South Asia"/>
    <s v="Asia"/>
    <s v="Strategic Partnership for Peace and Prosperity [战略伙伴关系]"/>
    <s v="None"/>
    <s v="INDOPACOM"/>
    <s v="India"/>
    <x v="14"/>
    <n v="11"/>
    <x v="0"/>
    <m/>
    <m/>
    <m/>
    <m/>
    <m/>
    <m/>
    <m/>
    <m/>
    <m/>
    <m/>
    <s v="NETF"/>
    <s v="2005-11  DD167 Shenzhen "/>
    <s v="South Sea Fleet"/>
    <s v="Luhai destroyer Shenzhen 167, replenishment ship Weishanhu 887"/>
  </r>
  <r>
    <s v="Senior Level Visit"/>
    <s v="Central Asia"/>
    <s v="Europe and Central Asia"/>
    <s v="No Specific Relationship"/>
    <s v="None"/>
    <s v="CENTCOM"/>
    <s v="Kyrgyzstan"/>
    <x v="14"/>
    <n v="11"/>
    <x v="3"/>
    <s v="Xiong Guangkai"/>
    <m/>
    <s v="GSD DCGS"/>
    <n v="6"/>
    <s v="Hosted"/>
    <s v="Commander National Guard"/>
    <m/>
    <m/>
    <m/>
    <m/>
    <m/>
    <m/>
    <m/>
    <m/>
  </r>
  <r>
    <s v="Senior Level Visit"/>
    <s v="Europe"/>
    <s v="Europe and Central Asia"/>
    <s v="Friendly Cooperative Partnership [友好合作伙伴关系]"/>
    <s v="None"/>
    <s v="EUCOM"/>
    <s v="Moldova"/>
    <x v="14"/>
    <n v="11"/>
    <x v="3"/>
    <s v="Cao Gangchuan"/>
    <m/>
    <s v="CMC Vice Chairman; Defense Minister"/>
    <n v="10"/>
    <s v="Hosted"/>
    <s v="Defense Minister"/>
    <m/>
    <m/>
    <m/>
    <m/>
    <m/>
    <m/>
    <m/>
    <m/>
  </r>
  <r>
    <s v="Naval Port Call"/>
    <s v="South Asia"/>
    <s v="Asia"/>
    <s v="Strategic Partnership [战略伙伴关系]"/>
    <s v="Major Non-NATO Ally"/>
    <s v="CENTCOM"/>
    <s v="Pakistan"/>
    <x v="14"/>
    <n v="11"/>
    <x v="0"/>
    <m/>
    <m/>
    <m/>
    <m/>
    <m/>
    <m/>
    <m/>
    <m/>
    <m/>
    <m/>
    <s v="NETF"/>
    <s v="NETF"/>
    <m/>
    <m/>
  </r>
  <r>
    <s v="Naval Port Call"/>
    <s v="South Asia"/>
    <s v="Asia"/>
    <s v="Strategic Partnership [战略伙伴关系]"/>
    <s v="Major Non-NATO Ally"/>
    <s v="CENTCOM"/>
    <s v="Pakistan"/>
    <x v="14"/>
    <n v="11"/>
    <x v="0"/>
    <m/>
    <m/>
    <m/>
    <m/>
    <m/>
    <m/>
    <m/>
    <m/>
    <m/>
    <m/>
    <s v="NETF"/>
    <s v="2005-11  DD167 Shenzhen "/>
    <s v="South Sea Fleet"/>
    <s v="Luhai destroyer Shenzhen 167, replenishment ship Weishanhu 887"/>
  </r>
  <r>
    <s v="Military Exercise"/>
    <s v="South Asia"/>
    <s v="Asia"/>
    <s v="Strategic Partnership [战略伙伴关系]"/>
    <s v="Major Non-NATO Ally"/>
    <s v="CENTCOM"/>
    <s v="Pakistan"/>
    <x v="14"/>
    <n v="11"/>
    <x v="5"/>
    <m/>
    <m/>
    <m/>
    <m/>
    <m/>
    <m/>
    <s v="MOOTW"/>
    <s v="Unknown"/>
    <s v="Navy"/>
    <s v="SAREX"/>
    <m/>
    <m/>
    <m/>
    <m/>
  </r>
  <r>
    <s v="Senior Level Visit"/>
    <s v="Southeast Asia"/>
    <s v="Asia"/>
    <s v="No Specific Relationship"/>
    <s v="None"/>
    <s v="INDOPACOM"/>
    <s v="Singapore"/>
    <x v="14"/>
    <n v="11"/>
    <x v="3"/>
    <s v="Cao Gangchuan"/>
    <m/>
    <s v="CMC Vice Chairman; Defense Minister"/>
    <n v="10"/>
    <s v="Hosted"/>
    <s v="Defense Minister"/>
    <m/>
    <m/>
    <m/>
    <m/>
    <m/>
    <m/>
    <m/>
    <m/>
  </r>
  <r>
    <s v="Senior Level Visit"/>
    <s v="Africa"/>
    <s v="West Asia and Africa"/>
    <s v="No Specific Relationship"/>
    <s v="None"/>
    <s v="AFRICOM"/>
    <s v="Sudan"/>
    <x v="14"/>
    <n v="11"/>
    <x v="3"/>
    <s v="Xu Caihou"/>
    <m/>
    <s v="CMC Vice Chairman"/>
    <n v="10"/>
    <s v="Hosted"/>
    <s v="DCOGS"/>
    <m/>
    <m/>
    <m/>
    <m/>
    <m/>
    <m/>
    <m/>
    <m/>
  </r>
  <r>
    <s v="Senior Level Visit"/>
    <s v="Middle East"/>
    <s v="West Asia and Africa"/>
    <s v="No Specific Relationship"/>
    <s v="None"/>
    <s v="CENTCOM"/>
    <s v="Syria"/>
    <x v="14"/>
    <n v="11"/>
    <x v="3"/>
    <s v="Cao Gangchuan"/>
    <m/>
    <s v="CMC Vice Chairman; Defense Minister"/>
    <n v="8"/>
    <s v="Hosted"/>
    <s v="Deputy Commander Armed Forces and Defense Minister"/>
    <m/>
    <m/>
    <m/>
    <m/>
    <m/>
    <m/>
    <m/>
    <m/>
  </r>
  <r>
    <s v="Naval Port Call"/>
    <s v="Southeast Asia"/>
    <s v="Asia"/>
    <s v="No Specific Relationship"/>
    <s v="Bilateral Defense Treaty"/>
    <s v="INDOPACOM"/>
    <s v="Thailand"/>
    <x v="14"/>
    <n v="11"/>
    <x v="0"/>
    <m/>
    <m/>
    <m/>
    <m/>
    <m/>
    <m/>
    <m/>
    <m/>
    <m/>
    <m/>
    <s v="NETF"/>
    <s v="2005-11  DD167 Shenzhen "/>
    <s v="South Sea Fleet"/>
    <s v="Luhai destroyer Shenzhen 167, replenishment ship Weishanhu 887"/>
  </r>
  <r>
    <s v="Senior Level Visit"/>
    <s v="Africa"/>
    <s v="West Asia and Africa"/>
    <s v="Comprehensive Strategic Cooperative Partnership [全面战略合作伙伴关系]"/>
    <s v="None"/>
    <s v="AFRICOM"/>
    <s v="Togo"/>
    <x v="14"/>
    <n v="11"/>
    <x v="3"/>
    <s v="Cao Gangchuan"/>
    <m/>
    <s v="CMC Vice Chairman; Defense Minister"/>
    <n v="10"/>
    <s v="Hosted"/>
    <s v="Minister Delegate in the Presidency in Charge of Defense and Veterans"/>
    <m/>
    <m/>
    <m/>
    <m/>
    <m/>
    <m/>
    <m/>
    <m/>
  </r>
  <r>
    <s v="Senior Level Visit"/>
    <s v="Africa"/>
    <s v="West Asia and Africa"/>
    <s v="No Specific Relationship"/>
    <s v="Major Non-NATO Ally"/>
    <s v="AFRICOM"/>
    <s v="Tunisia"/>
    <x v="14"/>
    <n v="11"/>
    <x v="4"/>
    <s v="Jing Zhiyuan"/>
    <m/>
    <s v="PLASAF Commander; CMC Member"/>
    <n v="8"/>
    <s v="Abroad"/>
    <m/>
    <m/>
    <m/>
    <m/>
    <m/>
    <m/>
    <m/>
    <m/>
    <m/>
  </r>
  <r>
    <s v="Senior Level Visit"/>
    <s v="South America"/>
    <s v="America and Oceania"/>
    <s v="No Specific Relationship"/>
    <s v="None"/>
    <s v="SOUTHCOM"/>
    <s v="Antigua and Barbuda"/>
    <x v="14"/>
    <n v="12"/>
    <x v="3"/>
    <s v="Xiong Guangkai"/>
    <m/>
    <s v="GSD DCGS"/>
    <n v="6"/>
    <s v="Hosted"/>
    <s v="Deputy Chief of Defense Force"/>
    <m/>
    <m/>
    <m/>
    <m/>
    <m/>
    <m/>
    <m/>
    <m/>
  </r>
  <r>
    <s v="Senior Level Visit"/>
    <s v="Africa"/>
    <s v="West Asia and Africa"/>
    <s v="No Specific Relationship"/>
    <s v="None"/>
    <s v="AFRICOM"/>
    <s v="Congo"/>
    <x v="14"/>
    <n v="12"/>
    <x v="3"/>
    <s v="Liang Guanglie"/>
    <m/>
    <s v="GSD Commander; CMC Member"/>
    <n v="8"/>
    <s v="Hosted"/>
    <s v="COGS"/>
    <m/>
    <m/>
    <m/>
    <m/>
    <m/>
    <m/>
    <m/>
    <m/>
  </r>
  <r>
    <s v="Senior Level Visit"/>
    <s v="Africa"/>
    <s v="West Asia and Africa"/>
    <s v="Comprehensive Strategic Partnership [全面战略伙伴关系]"/>
    <s v="None"/>
    <s v="AFRICOM"/>
    <s v="DR Congo"/>
    <x v="14"/>
    <n v="12"/>
    <x v="3"/>
    <s v="Liang Guanglie"/>
    <m/>
    <s v="GSD Commander; CMC Member"/>
    <n v="8"/>
    <s v="Hosted"/>
    <s v="COGS"/>
    <m/>
    <m/>
    <m/>
    <m/>
    <m/>
    <m/>
    <m/>
    <m/>
  </r>
  <r>
    <s v="Senior Level Visit"/>
    <s v="Oceania"/>
    <s v="America and Oceania"/>
    <s v="No Specific Relationship"/>
    <s v="None"/>
    <s v="INDOPACOM"/>
    <s v="Fiji"/>
    <x v="14"/>
    <n v="12"/>
    <x v="3"/>
    <s v="Cao Gangchuan"/>
    <m/>
    <s v="CMC Vice Chairman; Defense Minister"/>
    <n v="10"/>
    <s v="Hosted"/>
    <s v="Commander Armed Forces"/>
    <m/>
    <m/>
    <m/>
    <m/>
    <m/>
    <m/>
    <m/>
    <m/>
  </r>
  <r>
    <s v="Military Exercise"/>
    <s v="South Asia"/>
    <s v="Asia"/>
    <s v="Strategic Partnership for Peace and Prosperity [战略伙伴关系]"/>
    <s v="None"/>
    <s v="INDOPACOM"/>
    <s v="India"/>
    <x v="14"/>
    <n v="12"/>
    <x v="5"/>
    <m/>
    <m/>
    <m/>
    <m/>
    <m/>
    <m/>
    <s v="MOOTW"/>
    <s v="Unknown"/>
    <s v="Navy"/>
    <s v="SAREX"/>
    <m/>
    <m/>
    <m/>
    <m/>
  </r>
  <r>
    <s v="Senior Level Visit"/>
    <s v="Africa"/>
    <s v="West Asia and Africa"/>
    <s v="No Specific Relationship"/>
    <s v="None"/>
    <s v="AFRICOM"/>
    <s v="Namibia"/>
    <x v="14"/>
    <n v="12"/>
    <x v="3"/>
    <s v="Cao Gangchuan"/>
    <m/>
    <s v="CMC Vice Chairman; Defense Minister"/>
    <n v="10"/>
    <s v="Hosted"/>
    <s v="Defense Minister"/>
    <m/>
    <m/>
    <m/>
    <m/>
    <m/>
    <m/>
    <m/>
    <m/>
  </r>
  <r>
    <s v="Senior Level Visit"/>
    <s v="Africa"/>
    <s v="West Asia and Africa"/>
    <s v="No Specific Relationship"/>
    <s v="None"/>
    <s v="AFRICOM"/>
    <s v="Sudan"/>
    <x v="14"/>
    <n v="12"/>
    <x v="3"/>
    <s v="Liang Guanglie"/>
    <m/>
    <s v="GSD Commander; CMC Member"/>
    <n v="8"/>
    <s v="Hosted"/>
    <s v="Air Force Commander"/>
    <m/>
    <m/>
    <m/>
    <m/>
    <m/>
    <m/>
    <m/>
    <m/>
  </r>
  <r>
    <s v="Military Exercise"/>
    <s v="Southeast Asia"/>
    <s v="Asia"/>
    <s v="No Specific Relationship"/>
    <s v="Bilateral Defense Treaty"/>
    <s v="INDOPACOM"/>
    <s v="Thailand"/>
    <x v="14"/>
    <n v="12"/>
    <x v="5"/>
    <m/>
    <m/>
    <m/>
    <m/>
    <m/>
    <m/>
    <s v="MOOTW"/>
    <s v="Unknown"/>
    <s v="Navy"/>
    <s v="SAREX"/>
    <m/>
    <m/>
    <m/>
    <m/>
  </r>
  <r>
    <s v="Senior Level Visit"/>
    <s v="Central Asia"/>
    <s v="Europe and Central Asia"/>
    <s v="No Specific Relationship"/>
    <s v="None"/>
    <s v="CENTCOM"/>
    <s v="Uzbekistan"/>
    <x v="14"/>
    <n v="12"/>
    <x v="3"/>
    <s v="Cao Gangchuan"/>
    <m/>
    <s v="CMC Vice Chairman; Defense Minister"/>
    <n v="10"/>
    <s v="Hosted"/>
    <s v="Defense Minister"/>
    <m/>
    <m/>
    <m/>
    <m/>
    <m/>
    <m/>
    <m/>
    <m/>
  </r>
  <r>
    <s v="Senior Level Visit"/>
    <s v="Europe"/>
    <s v="Europe and Central Asia"/>
    <s v="Comprehensive Strategic Partnership [全面战略伙伴关系]"/>
    <s v="NATO"/>
    <s v="EUCOM"/>
    <s v="Portugal"/>
    <x v="15"/>
    <n v="1"/>
    <x v="3"/>
    <s v="Cao Gangchuan"/>
    <m/>
    <s v="CMC Vice Chairman; Defense Minister"/>
    <n v="8"/>
    <s v="Hosted"/>
    <s v="Defense Minister"/>
    <m/>
    <m/>
    <m/>
    <m/>
    <m/>
    <m/>
    <m/>
    <m/>
  </r>
  <r>
    <s v="Senior Level Visit"/>
    <s v="Southeast Asia"/>
    <s v="Asia"/>
    <s v="No Specific Relationship"/>
    <s v="None"/>
    <s v="INDOPACOM"/>
    <s v="East Timor"/>
    <x v="15"/>
    <n v="2"/>
    <x v="3"/>
    <s v="Cao Gangchuan"/>
    <m/>
    <s v="CMC Vice Chairman; Defense Minister"/>
    <n v="8"/>
    <s v="Hosted"/>
    <s v="Defense Minster"/>
    <m/>
    <m/>
    <m/>
    <m/>
    <m/>
    <m/>
    <m/>
    <m/>
  </r>
  <r>
    <s v="Senior Level Visit"/>
    <s v="Europe"/>
    <s v="Europe and Central Asia"/>
    <s v="No Specific Relationship"/>
    <s v="None"/>
    <s v="EUCOM"/>
    <s v="Switzerland"/>
    <x v="15"/>
    <n v="2"/>
    <x v="3"/>
    <s v="Cao Gangchuan"/>
    <m/>
    <s v="CMC Vice Chairman; Defense Minister"/>
    <n v="8"/>
    <s v="Hosted"/>
    <s v="Defense Minster"/>
    <m/>
    <m/>
    <m/>
    <m/>
    <m/>
    <m/>
    <m/>
    <m/>
  </r>
  <r>
    <s v="Senior Level Visit"/>
    <s v="South America"/>
    <s v="America and Oceania"/>
    <s v="Strategic Partnership [战略伙伴关系]"/>
    <s v="Major Non-NATO Ally"/>
    <s v="SOUTHCOM"/>
    <s v="Argentina"/>
    <x v="15"/>
    <n v="3"/>
    <x v="4"/>
    <s v="Ma Xiaotian"/>
    <m/>
    <s v="GSD DCGS"/>
    <n v="6"/>
    <s v="Abroad"/>
    <m/>
    <m/>
    <m/>
    <m/>
    <m/>
    <m/>
    <m/>
    <m/>
    <m/>
  </r>
  <r>
    <s v="Senior Level Visit"/>
    <s v="South America"/>
    <s v="America and Oceania"/>
    <s v="No Specific Relationship"/>
    <s v="None"/>
    <s v="SOUTHCOM"/>
    <s v="Cuba"/>
    <x v="15"/>
    <n v="3"/>
    <x v="4"/>
    <s v="Peng Xiaofeng"/>
    <m/>
    <s v="PLASAF Political Commissar"/>
    <n v="6"/>
    <s v="Abroad"/>
    <m/>
    <m/>
    <m/>
    <m/>
    <m/>
    <m/>
    <m/>
    <m/>
    <m/>
  </r>
  <r>
    <s v="Senior Level Visit"/>
    <s v="South America"/>
    <s v="America and Oceania"/>
    <s v="No Specific Relationship"/>
    <s v="None"/>
    <s v="SOUTHCOM"/>
    <s v="Ecuador"/>
    <x v="15"/>
    <n v="3"/>
    <x v="3"/>
    <s v="Cao Gangchuan"/>
    <m/>
    <s v="CMC Vice Chairman; Defense Minister"/>
    <n v="10"/>
    <s v="Hosted"/>
    <s v="Ecuador"/>
    <m/>
    <m/>
    <m/>
    <m/>
    <m/>
    <m/>
    <m/>
    <m/>
  </r>
  <r>
    <s v="Senior Level Visit"/>
    <s v="Central Asia"/>
    <s v="Europe and Central Asia"/>
    <s v="No Specific Relationship"/>
    <s v="None"/>
    <s v="CENTCOM"/>
    <s v="Kyrgyzstan"/>
    <x v="15"/>
    <n v="3"/>
    <x v="3"/>
    <s v="Cao Gangchuan"/>
    <m/>
    <s v="CMC Vice Chairman; Defense Minister"/>
    <n v="10"/>
    <s v="Hosted"/>
    <s v="Commander Border Forces"/>
    <m/>
    <m/>
    <m/>
    <m/>
    <m/>
    <m/>
    <m/>
    <m/>
  </r>
  <r>
    <s v="Senior Level Visit"/>
    <s v="North America"/>
    <s v="America and Oceania"/>
    <s v="Strategic Cooperative Partnership [战略合作伙伴关系]"/>
    <s v="None"/>
    <s v="NORTHCOM"/>
    <s v="Mexico"/>
    <x v="15"/>
    <n v="3"/>
    <x v="4"/>
    <s v="Ma Xiaotian"/>
    <m/>
    <s v="GSD DCGS"/>
    <n v="6"/>
    <s v="Abroad"/>
    <m/>
    <m/>
    <m/>
    <m/>
    <m/>
    <m/>
    <m/>
    <m/>
    <m/>
  </r>
  <r>
    <s v="Senior Level Visit"/>
    <s v="Russia"/>
    <s v="Europe and Central Asia"/>
    <s v="Strategic Partnership of Coordination [战略协作伙伴关系]"/>
    <s v="None"/>
    <s v="EUCOM"/>
    <s v="Russia"/>
    <x v="15"/>
    <n v="3"/>
    <x v="3"/>
    <s v="Ge Zhenfeng"/>
    <m/>
    <s v="GSD DCGS"/>
    <n v="8"/>
    <s v="Hosted"/>
    <s v="Army Commander"/>
    <m/>
    <m/>
    <m/>
    <m/>
    <m/>
    <m/>
    <m/>
    <m/>
  </r>
  <r>
    <s v="Senior Level Visit"/>
    <s v="Africa"/>
    <s v="West Asia and Africa"/>
    <s v="No Specific Relationship"/>
    <s v="None"/>
    <s v="AFRICOM"/>
    <s v="Rwanda"/>
    <x v="15"/>
    <n v="3"/>
    <x v="3"/>
    <s v="Cao Gangchuan"/>
    <m/>
    <s v="CMC Vice Chairman; Defense Minister"/>
    <n v="10"/>
    <s v="Hosted"/>
    <s v="Defense Minister"/>
    <m/>
    <m/>
    <m/>
    <m/>
    <m/>
    <m/>
    <m/>
    <m/>
  </r>
  <r>
    <s v="Military Exercise"/>
    <s v="Central Asia"/>
    <s v="Europe and Central Asia"/>
    <s v="Member"/>
    <s v="None"/>
    <s v="CENTCOM"/>
    <s v="SCO"/>
    <x v="15"/>
    <n v="3"/>
    <x v="6"/>
    <m/>
    <m/>
    <m/>
    <m/>
    <m/>
    <m/>
    <s v="Anti-terrorism"/>
    <s v="East-Antiterror-2006"/>
    <s v="Army"/>
    <s v="Special forces anti-terrorism exercise in Uzbekistan; Other countries: Russia, China, Kazakhstan; Krygyzstan; Tajikistan; Uzbekistan; "/>
    <m/>
    <m/>
    <m/>
    <m/>
  </r>
  <r>
    <s v="Senior Level Visit"/>
    <s v="Africa"/>
    <s v="West Asia and Africa"/>
    <s v="No Specific Relationship"/>
    <s v="None"/>
    <s v="AFRICOM"/>
    <s v="Sudan"/>
    <x v="15"/>
    <n v="3"/>
    <x v="3"/>
    <s v="Cao Gangchuan"/>
    <m/>
    <s v="CMC Vice Chairman; Defense Minister"/>
    <n v="10"/>
    <s v="Hosted"/>
    <s v="Defense Minister"/>
    <m/>
    <m/>
    <m/>
    <m/>
    <m/>
    <m/>
    <m/>
    <m/>
  </r>
  <r>
    <s v="Senior Level Visit"/>
    <s v="South America"/>
    <s v="America and Oceania"/>
    <s v="Strategic Partnership [战略伙伴关系]"/>
    <s v="Major Non-NATO Ally"/>
    <s v="SOUTHCOM"/>
    <s v="Argentina"/>
    <x v="15"/>
    <n v="4"/>
    <x v="4"/>
    <s v="Deng Changyou"/>
    <m/>
    <s v="PLAAF Political Commissar"/>
    <n v="6"/>
    <s v="Abroad"/>
    <m/>
    <m/>
    <m/>
    <m/>
    <m/>
    <m/>
    <m/>
    <m/>
    <m/>
  </r>
  <r>
    <s v="Senior Level Visit"/>
    <s v="Europe"/>
    <s v="Europe and Central Asia"/>
    <s v="Strategic Partnership [战略伙伴关系]"/>
    <s v="None"/>
    <s v="EUCOM"/>
    <s v="Belarus"/>
    <x v="15"/>
    <n v="4"/>
    <x v="3"/>
    <s v="Li Yu"/>
    <m/>
    <s v="GSD Assistant Commander"/>
    <n v="5"/>
    <s v="Hosted"/>
    <s v="COGS"/>
    <m/>
    <m/>
    <m/>
    <m/>
    <m/>
    <m/>
    <m/>
    <m/>
  </r>
  <r>
    <s v="Senior Level Visit"/>
    <s v="Africa"/>
    <s v="West Asia and Africa"/>
    <s v="Friendly Cooperative Relationship [友好合作关系]"/>
    <s v="None"/>
    <s v="AFRICOM"/>
    <s v="Cameroon"/>
    <x v="15"/>
    <n v="4"/>
    <x v="4"/>
    <s v="Ma Xiaotian"/>
    <m/>
    <s v="GSD DCGS"/>
    <n v="6"/>
    <s v="Abroad"/>
    <m/>
    <m/>
    <m/>
    <m/>
    <m/>
    <m/>
    <m/>
    <m/>
    <m/>
  </r>
  <r>
    <s v="Senior Level Visit"/>
    <s v="South America"/>
    <s v="America and Oceania"/>
    <s v="Comprehensive Partnership [全面伙伴关系]"/>
    <s v="None"/>
    <s v="SOUTHCOM"/>
    <s v="Chile"/>
    <x v="15"/>
    <n v="4"/>
    <x v="4"/>
    <s v="Li Yu"/>
    <m/>
    <s v="GSD Assistant Commander"/>
    <n v="5"/>
    <s v="Abroad"/>
    <m/>
    <m/>
    <m/>
    <m/>
    <m/>
    <m/>
    <m/>
    <m/>
    <m/>
  </r>
  <r>
    <s v="Senior Level Visit"/>
    <s v="Europe"/>
    <s v="Europe and Central Asia"/>
    <s v="No Specific Relationship"/>
    <s v="NATO"/>
    <s v="EUCOM"/>
    <s v="Hungary"/>
    <x v="15"/>
    <n v="4"/>
    <x v="4"/>
    <s v="Zhu Qi"/>
    <m/>
    <s v="Beijing MR Commander"/>
    <n v="6"/>
    <s v="Abroad"/>
    <m/>
    <m/>
    <m/>
    <m/>
    <m/>
    <m/>
    <m/>
    <m/>
    <m/>
  </r>
  <r>
    <s v="Senior Level Visit"/>
    <s v="Central Asia"/>
    <s v="Europe and Central Asia"/>
    <s v="Strategic Partnership [战略伙伴关系]"/>
    <s v="None"/>
    <s v="CENTCOM"/>
    <s v="Kazakhstan"/>
    <x v="15"/>
    <n v="4"/>
    <x v="7"/>
    <s v="Cao Gangchuan"/>
    <m/>
    <s v="CMC Vice Chairman; Defense Minister"/>
    <n v="10"/>
    <s v="Hosted"/>
    <s v="Deputy Defense Minister"/>
    <m/>
    <m/>
    <m/>
    <m/>
    <m/>
    <m/>
    <m/>
    <m/>
  </r>
  <r>
    <s v="Senior Level Visit"/>
    <s v="Central Asia"/>
    <s v="Europe and Central Asia"/>
    <s v="No Specific Relationship"/>
    <s v="None"/>
    <s v="CENTCOM"/>
    <s v="Kyrgyzstan"/>
    <x v="15"/>
    <n v="4"/>
    <x v="7"/>
    <s v="Cao Gangchuan"/>
    <m/>
    <s v="CMC Vice Chairman; Defense Minister"/>
    <n v="10"/>
    <s v="Hosted"/>
    <s v="Defense Minister"/>
    <m/>
    <m/>
    <m/>
    <m/>
    <m/>
    <m/>
    <m/>
    <m/>
  </r>
  <r>
    <s v="Senior Level Visit"/>
    <s v="Southeast Asia"/>
    <s v="Asia"/>
    <s v="Strategic Cooperative Partnership [战略合作伙伴关系]"/>
    <s v="None"/>
    <s v="INDOPACOM"/>
    <s v="Malaysia"/>
    <x v="15"/>
    <n v="4"/>
    <x v="4"/>
    <s v="Cao Gangchuan"/>
    <m/>
    <s v="CMC Vice Chairman; Defense Minister"/>
    <n v="10"/>
    <s v="Abroad"/>
    <m/>
    <m/>
    <m/>
    <m/>
    <m/>
    <m/>
    <m/>
    <m/>
    <m/>
  </r>
  <r>
    <s v="Senior Level Visit"/>
    <s v="North America"/>
    <s v="America and Oceania"/>
    <s v="Strategic Cooperative Partnership [战略合作伙伴关系]"/>
    <s v="None"/>
    <s v="NORTHCOM"/>
    <s v="Mexico"/>
    <x v="15"/>
    <n v="4"/>
    <x v="4"/>
    <s v="Li Yu"/>
    <m/>
    <s v="GSD Assistant Commander"/>
    <n v="5"/>
    <s v="Abroad"/>
    <m/>
    <m/>
    <m/>
    <m/>
    <m/>
    <m/>
    <m/>
    <m/>
    <m/>
  </r>
  <r>
    <s v="Senior Level Visit"/>
    <s v="Northeast Asia"/>
    <s v="Asia"/>
    <s v="Bilateral Defense Treaty"/>
    <s v="None"/>
    <s v="INDOPACOM"/>
    <s v="North Korea"/>
    <x v="15"/>
    <n v="4"/>
    <x v="4"/>
    <s v="Cao Gangchuan"/>
    <m/>
    <s v="CMC Vice Chairman; Defense Minister"/>
    <n v="10"/>
    <s v="Abroad"/>
    <m/>
    <m/>
    <m/>
    <m/>
    <m/>
    <m/>
    <m/>
    <m/>
    <m/>
  </r>
  <r>
    <s v="Senior Level Visit"/>
    <s v="South America"/>
    <s v="America and Oceania"/>
    <s v="Comprehensive Partnership [全面伙伴关系]"/>
    <s v="None"/>
    <s v="SOUTHCOM"/>
    <s v="Peru"/>
    <x v="15"/>
    <n v="4"/>
    <x v="4"/>
    <s v="Deng Changyou"/>
    <m/>
    <s v="PLAAF Political Commissar"/>
    <n v="6"/>
    <s v="Abroad"/>
    <m/>
    <m/>
    <m/>
    <m/>
    <m/>
    <m/>
    <m/>
    <m/>
    <m/>
  </r>
  <r>
    <s v="Senior Level Visit"/>
    <s v="Europe"/>
    <s v="Europe and Central Asia"/>
    <s v="Comprehensive Friendly Cooperative Partnership [全面友好合作伙伴关系]"/>
    <s v="NATO"/>
    <s v="EUCOM"/>
    <s v="Romania"/>
    <x v="15"/>
    <n v="4"/>
    <x v="4"/>
    <s v="Zhu Qi"/>
    <m/>
    <s v="Beijing MR Commander"/>
    <n v="6"/>
    <s v="Abroad"/>
    <m/>
    <m/>
    <m/>
    <m/>
    <m/>
    <m/>
    <m/>
    <m/>
    <m/>
  </r>
  <r>
    <s v="Senior Level Visit"/>
    <s v="Russia"/>
    <s v="Europe and Central Asia"/>
    <s v="Strategic Partnership of Coordination [战略协作伙伴关系]"/>
    <s v="None"/>
    <s v="EUCOM"/>
    <s v="Russia"/>
    <x v="15"/>
    <n v="4"/>
    <x v="7"/>
    <s v="Cao Gangchuan"/>
    <m/>
    <s v="CMC Vice Chairman; Defense Minister"/>
    <n v="10"/>
    <s v="Hosted"/>
    <s v="Defense Minister"/>
    <m/>
    <m/>
    <m/>
    <m/>
    <m/>
    <m/>
    <m/>
    <m/>
  </r>
  <r>
    <s v="Senior Level Visit"/>
    <s v="Central Asia"/>
    <s v="Europe and Central Asia"/>
    <s v="Member"/>
    <s v="None"/>
    <s v="CENTCOM"/>
    <s v="SCO"/>
    <x v="15"/>
    <n v="4"/>
    <x v="2"/>
    <s v="Cao Gangchuan"/>
    <m/>
    <s v="CMC Vice Chairman; Defense Minister"/>
    <n v="10"/>
    <s v="Hosted"/>
    <s v="Fourth official meeting of the SCO Ministers' of Defense in Shanghai; Other countries: Kazakhstan, Kyrgyztan, Russia, Tajikistan, Uzbekistan"/>
    <m/>
    <m/>
    <m/>
    <m/>
    <m/>
    <m/>
    <m/>
    <m/>
  </r>
  <r>
    <s v="Senior Level Visit"/>
    <s v="Southeast Asia"/>
    <s v="Asia"/>
    <s v="No Specific Relationship"/>
    <s v="None"/>
    <s v="INDOPACOM"/>
    <s v="Singapore"/>
    <x v="15"/>
    <n v="4"/>
    <x v="4"/>
    <s v="Cao Gangchuan"/>
    <m/>
    <s v="CMC Vice Chairman; Defense Minister"/>
    <n v="10"/>
    <s v="Abroad"/>
    <m/>
    <m/>
    <m/>
    <m/>
    <m/>
    <m/>
    <m/>
    <m/>
    <m/>
  </r>
  <r>
    <s v="Senior Level Visit"/>
    <s v="Northeast Asia"/>
    <s v="Asia"/>
    <s v="Comprehensive Cooperative Partnership [全面合作伙伴关系]"/>
    <s v="Bilateral Defense Treaty"/>
    <s v="INDOPACOM"/>
    <s v="South Korea"/>
    <x v="15"/>
    <n v="4"/>
    <x v="4"/>
    <s v="Cao Gangchuan"/>
    <m/>
    <s v="CMC Vice Chairman; Defense Minister"/>
    <n v="10"/>
    <s v="Abroad"/>
    <m/>
    <m/>
    <m/>
    <m/>
    <m/>
    <m/>
    <m/>
    <m/>
    <m/>
  </r>
  <r>
    <s v="Senior Level Visit"/>
    <s v="Middle East"/>
    <s v="West Asia and Africa"/>
    <s v="No Specific Relationship"/>
    <s v="None"/>
    <s v="CENTCOM"/>
    <s v="Syria"/>
    <x v="15"/>
    <n v="4"/>
    <x v="4"/>
    <s v="Ma Xiaotian"/>
    <m/>
    <s v="GSD DCGS"/>
    <n v="6"/>
    <s v="Abroad"/>
    <m/>
    <m/>
    <m/>
    <m/>
    <m/>
    <m/>
    <m/>
    <m/>
    <m/>
  </r>
  <r>
    <s v="Senior Level Visit"/>
    <s v="Central Asia"/>
    <s v="Europe and Central Asia"/>
    <s v="No Specific Relationship"/>
    <s v="None"/>
    <s v="CENTCOM"/>
    <s v="Tajikistan"/>
    <x v="15"/>
    <n v="4"/>
    <x v="7"/>
    <s v="Cao Gangchuan"/>
    <m/>
    <s v="CMC Vice Chairman; Defense Minister"/>
    <n v="10"/>
    <s v="Hosted"/>
    <s v="Defense Minister"/>
    <m/>
    <m/>
    <m/>
    <m/>
    <m/>
    <m/>
    <m/>
    <m/>
  </r>
  <r>
    <s v="Senior Level Visit"/>
    <s v="North America"/>
    <s v="America and Oceania"/>
    <s v="No Specific Relationship"/>
    <s v="N/A"/>
    <s v="NORTHCOM"/>
    <s v="United States"/>
    <x v="15"/>
    <n v="4"/>
    <x v="3"/>
    <s v="Liang Guanglie"/>
    <m/>
    <s v="GSD Commander; CMC Member"/>
    <n v="8"/>
    <s v="Hosted"/>
    <s v="US NDU President"/>
    <m/>
    <m/>
    <m/>
    <m/>
    <m/>
    <m/>
    <m/>
    <m/>
  </r>
  <r>
    <s v="Senior Level Visit"/>
    <s v="Central Asia"/>
    <s v="Europe and Central Asia"/>
    <s v="No Specific Relationship"/>
    <s v="None"/>
    <s v="CENTCOM"/>
    <s v="Uzbekistan"/>
    <x v="15"/>
    <n v="4"/>
    <x v="7"/>
    <s v="Cao Gangchuan"/>
    <m/>
    <s v="CMC Vice Chairman; Defense Minister"/>
    <n v="10"/>
    <s v="Hosted"/>
    <s v="Defense Minister"/>
    <m/>
    <m/>
    <m/>
    <m/>
    <m/>
    <m/>
    <m/>
    <m/>
  </r>
  <r>
    <s v="Senior Level Visit"/>
    <s v="Southeast Asia"/>
    <s v="Asia"/>
    <s v="No Specific Relationship"/>
    <s v="None"/>
    <s v="INDOPACOM"/>
    <s v="Vietnam"/>
    <x v="15"/>
    <n v="4"/>
    <x v="4"/>
    <s v="Cao Gangchuan"/>
    <m/>
    <s v="CMC Vice Chairman; Defense Minister"/>
    <n v="10"/>
    <s v="Abroad"/>
    <m/>
    <m/>
    <m/>
    <m/>
    <m/>
    <m/>
    <m/>
    <m/>
    <m/>
  </r>
  <r>
    <s v="Senior Level Visit"/>
    <s v="South Asia"/>
    <s v="Europe and Central Asia"/>
    <s v="Comprehensive Cooperative Partnership [全面合作伙伴关系]"/>
    <s v="Major Non-NATO Ally"/>
    <s v="CENTCOM"/>
    <s v="Afghanistan"/>
    <x v="15"/>
    <n v="5"/>
    <x v="3"/>
    <s v="Cao Gangchuan"/>
    <m/>
    <s v="CMC Vice Chairman; Defense Minister"/>
    <n v="10"/>
    <s v="Hosted"/>
    <s v="Defense Minister"/>
    <m/>
    <m/>
    <m/>
    <m/>
    <m/>
    <m/>
    <m/>
    <m/>
  </r>
  <r>
    <s v="Senior Level Visit"/>
    <s v="South Asia"/>
    <s v="Asia"/>
    <s v="Comprehensive Cooperative Partnership [全面合作伙伴关系]"/>
    <s v="None"/>
    <s v="INDOPACOM"/>
    <s v="Bangladesh"/>
    <x v="15"/>
    <n v="5"/>
    <x v="3"/>
    <s v="Cao Gangchuan"/>
    <m/>
    <s v="CMC Vice Chairman; Defense Minister"/>
    <n v="10"/>
    <s v="Hosted"/>
    <s v="Army Chief of Staff"/>
    <m/>
    <m/>
    <m/>
    <m/>
    <m/>
    <m/>
    <m/>
    <m/>
  </r>
  <r>
    <s v="Senior Level Visit"/>
    <s v="Africa"/>
    <s v="West Asia and Africa"/>
    <s v="No Specific Relationship"/>
    <s v="None"/>
    <s v="AFRICOM"/>
    <s v="Burundi"/>
    <x v="15"/>
    <n v="5"/>
    <x v="3"/>
    <s v="Cao Gangchuan"/>
    <m/>
    <s v="CMC Vice Chairman; Defense Minister"/>
    <n v="10"/>
    <s v="Hosted"/>
    <s v="Defense Minister"/>
    <m/>
    <m/>
    <m/>
    <m/>
    <m/>
    <m/>
    <m/>
    <m/>
  </r>
  <r>
    <s v="Senior Level Visit"/>
    <s v="Europe"/>
    <s v="Europe and Central Asia"/>
    <s v="No Specific Relationship"/>
    <s v="NATO"/>
    <s v="EUCOM"/>
    <s v="Denmark"/>
    <x v="15"/>
    <n v="5"/>
    <x v="4"/>
    <s v="Liang Guanglie"/>
    <m/>
    <s v="GSD Commander; CMC Member"/>
    <n v="8"/>
    <s v="Abroad"/>
    <m/>
    <m/>
    <m/>
    <m/>
    <m/>
    <m/>
    <m/>
    <m/>
    <m/>
  </r>
  <r>
    <s v="Senior Level Visit"/>
    <s v="Africa"/>
    <s v="West Asia and Africa"/>
    <s v="Comprehensive Strategic Cooperative Partnership [全面战略合作伙伴关系]"/>
    <s v="None"/>
    <s v="AFRICOM"/>
    <s v="Eritrea"/>
    <x v="15"/>
    <n v="5"/>
    <x v="3"/>
    <s v="Cao Gangchuan"/>
    <m/>
    <s v="CMC Vice Chairman; Defense Minister"/>
    <n v="10"/>
    <s v="Hosted"/>
    <s v="Defense Minister"/>
    <m/>
    <m/>
    <m/>
    <m/>
    <m/>
    <m/>
    <m/>
    <m/>
  </r>
  <r>
    <s v="Senior Level Visit"/>
    <s v="South Asia"/>
    <s v="Asia"/>
    <s v="Strategic Partnership for Peace and Prosperity [战略伙伴关系]"/>
    <s v="None"/>
    <s v="INDOPACOM"/>
    <s v="India"/>
    <x v="15"/>
    <n v="5"/>
    <x v="3"/>
    <s v="Cao Gangchuan"/>
    <m/>
    <s v="CMC Vice Chairman; Defense Minister"/>
    <n v="10"/>
    <s v="Hosted"/>
    <s v="Defense Minister"/>
    <m/>
    <m/>
    <m/>
    <m/>
    <m/>
    <m/>
    <m/>
    <m/>
  </r>
  <r>
    <s v="Senior Level Visit"/>
    <s v="Southeast Asia"/>
    <s v="Asia"/>
    <s v="Strategic Partnership [战略伙伴关系]"/>
    <s v="None"/>
    <s v="INDOPACOM"/>
    <s v="Indonesia"/>
    <x v="15"/>
    <n v="5"/>
    <x v="4"/>
    <s v="Li Yu"/>
    <m/>
    <s v="GSD Assistant Commander"/>
    <n v="5"/>
    <s v="Abroad"/>
    <m/>
    <m/>
    <m/>
    <m/>
    <m/>
    <m/>
    <m/>
    <m/>
    <m/>
  </r>
  <r>
    <s v="Senior Level Visit"/>
    <s v="Africa"/>
    <s v="West Asia and Africa"/>
    <s v="No Specific Relationship"/>
    <s v="None"/>
    <s v="AFRICOM"/>
    <s v="Kenya"/>
    <x v="15"/>
    <n v="5"/>
    <x v="3"/>
    <s v="Cao Gangchuan"/>
    <m/>
    <s v="CMC Vice Chairman; Defense Minister"/>
    <n v="10"/>
    <s v="Hosted"/>
    <s v="Minister of State for Defense"/>
    <m/>
    <m/>
    <m/>
    <m/>
    <m/>
    <m/>
    <m/>
    <m/>
  </r>
  <r>
    <s v="Senior Level Visit"/>
    <s v="Southeast Asia"/>
    <s v="Asia"/>
    <s v="Strategic Cooperative Partnership [战略合作伙伴关系]"/>
    <s v="None"/>
    <s v="INDOPACOM"/>
    <s v="Malaysia"/>
    <x v="15"/>
    <n v="5"/>
    <x v="3"/>
    <s v="Liang Guanglie"/>
    <m/>
    <s v="GSD Commander; CMC Member"/>
    <n v="8"/>
    <s v="Hosted"/>
    <s v="Commander Armed Forces"/>
    <m/>
    <m/>
    <m/>
    <m/>
    <m/>
    <m/>
    <m/>
    <m/>
  </r>
  <r>
    <s v="Senior Level Visit"/>
    <s v="Europe"/>
    <s v="Europe and Central Asia"/>
    <s v="No Specific Relationship"/>
    <s v="NATO"/>
    <s v="EUCOM"/>
    <s v="Norway"/>
    <x v="15"/>
    <n v="5"/>
    <x v="4"/>
    <s v="Liang Guanglie"/>
    <m/>
    <s v="GSD Commander; CMC Member"/>
    <n v="8"/>
    <s v="Abroad"/>
    <m/>
    <m/>
    <m/>
    <m/>
    <m/>
    <m/>
    <m/>
    <m/>
    <m/>
  </r>
  <r>
    <s v="Senior Level Visit"/>
    <s v="South Asia"/>
    <s v="Asia"/>
    <s v="Strategic Partnership [战略伙伴关系]"/>
    <s v="Major Non-NATO Ally"/>
    <s v="CENTCOM"/>
    <s v="Pakistan"/>
    <x v="15"/>
    <n v="5"/>
    <x v="3"/>
    <s v="Cao Gangchuan"/>
    <m/>
    <s v="CMC Vice Chairman; Defense Minister"/>
    <n v="10"/>
    <s v="Hosted"/>
    <s v="Navy Chief of Staff"/>
    <m/>
    <m/>
    <m/>
    <m/>
    <m/>
    <m/>
    <m/>
    <m/>
  </r>
  <r>
    <s v="Senior Level Visit"/>
    <s v="Southeast Asia"/>
    <s v="Asia"/>
    <s v="Strategic Cooperative Partnership [战略合作伙伴关系]"/>
    <s v="Bilateral Defense Treaty"/>
    <s v="INDOPACOM"/>
    <s v="Philippines"/>
    <x v="15"/>
    <n v="5"/>
    <x v="3"/>
    <s v="Cao Gangchuan"/>
    <m/>
    <s v="CMC Vice Chairman; Defense Minister"/>
    <n v="10"/>
    <s v="Hosted"/>
    <s v="COGS"/>
    <m/>
    <m/>
    <m/>
    <m/>
    <m/>
    <m/>
    <m/>
    <m/>
  </r>
  <r>
    <s v="Senior Level Visit"/>
    <s v="Russia"/>
    <s v="Europe and Central Asia"/>
    <s v="Strategic Partnership of Coordination [战略协作伙伴关系]"/>
    <s v="None"/>
    <s v="EUCOM"/>
    <s v="Russia"/>
    <x v="15"/>
    <n v="5"/>
    <x v="4"/>
    <s v="Liang Guanglie"/>
    <m/>
    <s v="GSD Commander; CMC Member"/>
    <n v="8"/>
    <s v="Abroad"/>
    <m/>
    <m/>
    <m/>
    <m/>
    <m/>
    <m/>
    <m/>
    <m/>
    <m/>
  </r>
  <r>
    <s v="Senior Level Visit"/>
    <s v="Southeast Asia"/>
    <s v="Asia"/>
    <s v="No Specific Relationship"/>
    <s v="None"/>
    <s v="INDOPACOM"/>
    <s v="Singapore"/>
    <x v="15"/>
    <n v="5"/>
    <x v="3"/>
    <s v="Cao Gangchuan"/>
    <m/>
    <s v="CMC Vice Chairman; Defense Minister"/>
    <n v="10"/>
    <s v="Hosted"/>
    <s v="COGS"/>
    <m/>
    <m/>
    <m/>
    <m/>
    <m/>
    <m/>
    <m/>
    <m/>
  </r>
  <r>
    <s v="Senior Level Visit"/>
    <s v="Europe"/>
    <s v="Europe and Central Asia"/>
    <s v="No Specific Relationship"/>
    <s v="NATO"/>
    <s v="EUCOM"/>
    <s v="Slovakia"/>
    <x v="15"/>
    <n v="5"/>
    <x v="4"/>
    <s v="Yu Linxiang"/>
    <m/>
    <s v="Lanzhou MR Political Commissar"/>
    <n v="6"/>
    <s v="Abroad"/>
    <m/>
    <m/>
    <m/>
    <m/>
    <m/>
    <m/>
    <m/>
    <m/>
    <m/>
  </r>
  <r>
    <s v="Senior Level Visit"/>
    <s v="Northeast Asia"/>
    <s v="Asia"/>
    <s v="Comprehensive Cooperative Partnership [全面合作伙伴关系]"/>
    <s v="Bilateral Defense Treaty"/>
    <s v="INDOPACOM"/>
    <s v="South Korea"/>
    <x v="15"/>
    <n v="5"/>
    <x v="3"/>
    <s v="Cao Gangchuan"/>
    <m/>
    <s v="CMC Vice Chairman; Defense Minister"/>
    <n v="10"/>
    <s v="Hosted"/>
    <s v="Navy Chief of Staff"/>
    <m/>
    <m/>
    <m/>
    <m/>
    <m/>
    <m/>
    <m/>
    <m/>
  </r>
  <r>
    <s v="Senior Level Visit"/>
    <s v="Europe"/>
    <s v="Europe and Central Asia"/>
    <s v="Comprehensive Strategic Partnership [全面战略伙伴关系]"/>
    <s v="NATO"/>
    <s v="EUCOM"/>
    <s v="Spain"/>
    <x v="15"/>
    <n v="5"/>
    <x v="3"/>
    <s v="Ma Xiaotian"/>
    <m/>
    <s v="GSD DCGS"/>
    <n v="6"/>
    <s v="Hosted"/>
    <s v="Chief of Air Staff"/>
    <m/>
    <m/>
    <m/>
    <m/>
    <m/>
    <m/>
    <m/>
    <m/>
  </r>
  <r>
    <s v="Senior Level Visit"/>
    <s v="Southeast Asia"/>
    <s v="Asia"/>
    <s v="No Specific Relationship"/>
    <s v="Bilateral Defense Treaty"/>
    <s v="INDOPACOM"/>
    <s v="Thailand"/>
    <x v="15"/>
    <n v="5"/>
    <x v="3"/>
    <s v="Cao Gangchuan"/>
    <m/>
    <s v="CMC Vice Chairman; Defense Minister"/>
    <n v="10"/>
    <s v="Hosted"/>
    <s v="Supreme Commander Armed Forces"/>
    <m/>
    <m/>
    <m/>
    <m/>
    <m/>
    <m/>
    <m/>
    <m/>
  </r>
  <r>
    <s v="Senior Level Visit"/>
    <s v="North America"/>
    <s v="America and Oceania"/>
    <s v="No Specific Relationship"/>
    <s v="N/A"/>
    <s v="NORTHCOM"/>
    <s v="United States"/>
    <x v="15"/>
    <n v="5"/>
    <x v="3"/>
    <s v="Cao Gangchuan"/>
    <m/>
    <s v="CMC Vice Chairman; Defense Minister"/>
    <n v="10"/>
    <s v="Hosted"/>
    <s v="PACOM Commander"/>
    <m/>
    <m/>
    <m/>
    <m/>
    <m/>
    <m/>
    <m/>
    <m/>
  </r>
  <r>
    <s v="Senior Level Visit"/>
    <s v="Europe"/>
    <s v="Europe and Central Asia"/>
    <s v="No Specific Relationship"/>
    <s v="NATO"/>
    <s v="EUCOM"/>
    <s v="Austria"/>
    <x v="15"/>
    <n v="6"/>
    <x v="4"/>
    <s v="Chen Bingde"/>
    <m/>
    <s v="GAD Director; CMC Member"/>
    <n v="8"/>
    <s v="Abroad"/>
    <m/>
    <m/>
    <m/>
    <m/>
    <m/>
    <m/>
    <m/>
    <m/>
    <m/>
  </r>
  <r>
    <s v="Senior Level Visit"/>
    <s v="South America"/>
    <s v="America and Oceania"/>
    <s v="Comprehensive Partnership [全面伙伴关系]"/>
    <s v="None"/>
    <s v="SOUTHCOM"/>
    <s v="Chile"/>
    <x v="15"/>
    <n v="6"/>
    <x v="3"/>
    <s v="Liang Guanglie"/>
    <m/>
    <s v="Defense Minister; CMC Member"/>
    <n v="8"/>
    <s v="Hosted"/>
    <s v="Chief of Navy"/>
    <m/>
    <m/>
    <m/>
    <m/>
    <m/>
    <m/>
    <m/>
    <m/>
  </r>
  <r>
    <s v="Senior Level Visit"/>
    <s v="Middle East"/>
    <s v="West Asia and Africa"/>
    <s v="Strategic Cooperative Partnership [战略合作伙伴关系]"/>
    <s v="Major Non-NATO Ally"/>
    <s v="CENTCOM"/>
    <s v="Egypt"/>
    <x v="15"/>
    <n v="6"/>
    <x v="4"/>
    <s v="Zhao Keming"/>
    <m/>
    <s v="PLA NDU Political Commissar"/>
    <n v="6"/>
    <s v="Abroad"/>
    <m/>
    <m/>
    <m/>
    <m/>
    <m/>
    <m/>
    <m/>
    <m/>
    <m/>
  </r>
  <r>
    <s v="Senior Level Visit"/>
    <s v="Africa"/>
    <s v="West Asia and Africa"/>
    <s v="No Specific Relationship"/>
    <s v="None"/>
    <s v="AFRICOM"/>
    <s v="Guinea"/>
    <x v="15"/>
    <n v="6"/>
    <x v="3"/>
    <s v="Cao Gangchuan"/>
    <m/>
    <s v="CMC Vice Chairman; Defense Minister"/>
    <n v="10"/>
    <s v="Hosted"/>
    <s v="Chief of General Office, Ministry of Defense"/>
    <m/>
    <m/>
    <m/>
    <m/>
    <m/>
    <m/>
    <m/>
    <m/>
  </r>
  <r>
    <s v="Senior Level Visit"/>
    <s v="Africa"/>
    <s v="West Asia and Africa"/>
    <s v="No Specific Relationship"/>
    <s v="None"/>
    <s v="AFRICOM"/>
    <s v="Guinea-Bissau"/>
    <x v="15"/>
    <n v="6"/>
    <x v="3"/>
    <s v="Cao Gangchuan"/>
    <m/>
    <s v="CMC Vice Chairman; Defense Minister"/>
    <n v="10"/>
    <s v="Hosted"/>
    <s v="Chief of Staff Armed Forces"/>
    <m/>
    <m/>
    <m/>
    <m/>
    <m/>
    <m/>
    <m/>
    <m/>
  </r>
  <r>
    <s v="Senior Level Visit"/>
    <s v="Southeast Asia"/>
    <s v="Asia"/>
    <s v="Strategic Cooperative Partnership [战略合作伙伴关系]"/>
    <s v="None"/>
    <s v="INDOPACOM"/>
    <s v="Malaysia"/>
    <x v="15"/>
    <n v="6"/>
    <x v="3"/>
    <s v="Ma Xiaotian"/>
    <m/>
    <s v="GSD DCGS"/>
    <n v="6"/>
    <s v="Hosted"/>
    <s v="Navy Commander"/>
    <m/>
    <m/>
    <m/>
    <m/>
    <m/>
    <m/>
    <m/>
    <m/>
  </r>
  <r>
    <s v="Senior Level Visit"/>
    <s v="Northeast Asia"/>
    <s v="Asia"/>
    <s v="Bilateral Defense Treaty"/>
    <s v="None"/>
    <s v="INDOPACOM"/>
    <s v="North Korea"/>
    <x v="15"/>
    <n v="6"/>
    <x v="3"/>
    <s v="Liang Guanglie"/>
    <m/>
    <s v="GSD Commander; CMC Member"/>
    <n v="8"/>
    <s v="Hosted"/>
    <s v="KPA army commander"/>
    <m/>
    <m/>
    <m/>
    <m/>
    <m/>
    <m/>
    <m/>
    <m/>
  </r>
  <r>
    <s v="Senior Level Visit"/>
    <s v="Middle East"/>
    <s v="West Asia and Africa"/>
    <s v="No Specific Relationship"/>
    <s v="None"/>
    <s v="CENTCOM"/>
    <s v="Qatar"/>
    <x v="15"/>
    <n v="6"/>
    <x v="3"/>
    <s v="Liang Guanglie"/>
    <m/>
    <s v="GSD Commander; CMC Member"/>
    <n v="8"/>
    <s v="Hosted"/>
    <s v="COGS"/>
    <m/>
    <m/>
    <m/>
    <m/>
    <m/>
    <m/>
    <m/>
    <m/>
  </r>
  <r>
    <s v="Senior Level Visit"/>
    <s v="Africa"/>
    <s v="West Asia and Africa"/>
    <s v="Strategic Partnership [战略伙伴关系]"/>
    <s v="None"/>
    <s v="AFRICOM"/>
    <s v="South Africa"/>
    <x v="15"/>
    <n v="6"/>
    <x v="4"/>
    <s v="Chen Bingde"/>
    <m/>
    <s v="GAD Director; CMC Member"/>
    <n v="8"/>
    <s v="Abroad"/>
    <m/>
    <m/>
    <m/>
    <m/>
    <m/>
    <m/>
    <m/>
    <m/>
    <m/>
  </r>
  <r>
    <s v="Senior Level Visit"/>
    <s v="Africa"/>
    <s v="West Asia and Africa"/>
    <s v="No Specific Relationship"/>
    <s v="None"/>
    <s v="AFRICOM"/>
    <s v="Tanzania"/>
    <x v="15"/>
    <n v="6"/>
    <x v="4"/>
    <m/>
    <m/>
    <s v="GLD Deputy Director"/>
    <n v="8"/>
    <s v="Abroad"/>
    <m/>
    <m/>
    <m/>
    <m/>
    <m/>
    <m/>
    <m/>
    <m/>
    <m/>
  </r>
  <r>
    <s v="Senior Level Visit"/>
    <s v="Europe"/>
    <s v="Europe and Central Asia"/>
    <s v="No Specific Relationship"/>
    <s v="NATO"/>
    <s v="EUCOM"/>
    <s v="Turkey"/>
    <x v="15"/>
    <n v="6"/>
    <x v="4"/>
    <s v="Zhao Keming"/>
    <m/>
    <s v="PLA NDU Political Commissar"/>
    <n v="6"/>
    <s v="Abroad"/>
    <m/>
    <m/>
    <m/>
    <m/>
    <m/>
    <m/>
    <m/>
    <m/>
    <m/>
  </r>
  <r>
    <s v="Senior Level Visit"/>
    <s v="Central Asia"/>
    <s v="Europe and Central Asia"/>
    <s v="No Specific Relationship"/>
    <s v="None"/>
    <s v="CENTCOM"/>
    <s v="Turkmenistan"/>
    <x v="15"/>
    <n v="6"/>
    <x v="3"/>
    <s v="Ma Xiaotian"/>
    <m/>
    <s v="GSD DCGS"/>
    <n v="6"/>
    <s v="Hosted"/>
    <s v="First Deputy Defense Minister"/>
    <m/>
    <m/>
    <m/>
    <m/>
    <m/>
    <m/>
    <m/>
    <m/>
  </r>
  <r>
    <s v="Senior Level Visit"/>
    <s v="Africa"/>
    <s v="West Asia and Africa"/>
    <s v="No Specific Relationship"/>
    <s v="None"/>
    <s v="AFRICOM"/>
    <s v="Zambia"/>
    <x v="15"/>
    <n v="6"/>
    <x v="4"/>
    <m/>
    <m/>
    <s v="GLD Deputy Director"/>
    <n v="8"/>
    <s v="Abroad"/>
    <m/>
    <m/>
    <m/>
    <m/>
    <m/>
    <m/>
    <m/>
    <m/>
    <m/>
  </r>
  <r>
    <s v="Senior Level Visit"/>
    <s v="Oceania"/>
    <s v="America and Oceania"/>
    <s v="No Specific Relationship"/>
    <s v="ANZUS Treaty"/>
    <s v="INDOPACOM"/>
    <s v="Australia"/>
    <x v="15"/>
    <n v="7"/>
    <x v="3"/>
    <s v="Ge Zhenfeng"/>
    <m/>
    <s v="GSD DCGS"/>
    <n v="6"/>
    <s v="Hosted"/>
    <s v="Chief of Special Operations"/>
    <m/>
    <m/>
    <m/>
    <m/>
    <m/>
    <m/>
    <m/>
    <m/>
  </r>
  <r>
    <s v="Senior Level Visit"/>
    <s v="Europe"/>
    <s v="Europe and Central Asia"/>
    <s v="Comprehensive Partnership [全面伙伴关系]"/>
    <s v="NATO"/>
    <s v="EUCOM"/>
    <s v="France"/>
    <x v="15"/>
    <n v="7"/>
    <x v="4"/>
    <s v="Guo Boxiong"/>
    <m/>
    <s v="CMC Vice Chairman"/>
    <n v="10"/>
    <s v="Abroad"/>
    <m/>
    <m/>
    <m/>
    <m/>
    <m/>
    <m/>
    <m/>
    <m/>
    <m/>
  </r>
  <r>
    <s v="Senior Level Visit"/>
    <s v="Southeast Asia"/>
    <s v="Asia"/>
    <s v="Strategic Partnership [战略伙伴关系]"/>
    <s v="None"/>
    <s v="INDOPACOM"/>
    <s v="Indonesia"/>
    <x v="15"/>
    <n v="7"/>
    <x v="3"/>
    <s v="Ma Xiaotian"/>
    <m/>
    <s v="GSD DCGS"/>
    <n v="6"/>
    <s v="Hosted"/>
    <s v="Chief of Army Staff"/>
    <m/>
    <m/>
    <m/>
    <m/>
    <m/>
    <m/>
    <m/>
    <m/>
  </r>
  <r>
    <s v="Senior Level Visit"/>
    <s v="Europe"/>
    <s v="Europe and Central Asia"/>
    <s v="No Specific Relationship"/>
    <s v="None"/>
    <s v="EUCOM"/>
    <s v="Switzerland"/>
    <x v="15"/>
    <n v="7"/>
    <x v="3"/>
    <s v="Liang Guanglie"/>
    <m/>
    <s v="GSD Commander; CMC Member"/>
    <n v="8"/>
    <s v="Hosted"/>
    <s v="Chief of Armed Forces"/>
    <m/>
    <m/>
    <m/>
    <m/>
    <m/>
    <m/>
    <m/>
    <m/>
  </r>
  <r>
    <s v="Senior Level Visit"/>
    <s v="Southeast Asia"/>
    <s v="Asia"/>
    <s v="No Specific Relationship"/>
    <s v="Bilateral Defense Treaty"/>
    <s v="INDOPACOM"/>
    <s v="Thailand"/>
    <x v="15"/>
    <n v="7"/>
    <x v="3"/>
    <s v="Ma Xiaotian"/>
    <m/>
    <s v="GSD DCGS"/>
    <n v="6"/>
    <s v="Hosted"/>
    <s v="Air Force Commander"/>
    <m/>
    <m/>
    <m/>
    <m/>
    <m/>
    <m/>
    <m/>
    <m/>
  </r>
  <r>
    <s v="Senior Level Visit"/>
    <s v="Africa"/>
    <s v="West Asia and Africa"/>
    <s v="Strategic Partnership [战略伙伴关系]"/>
    <s v="None"/>
    <s v="AFRICOM"/>
    <s v="Algeria"/>
    <x v="15"/>
    <n v="8"/>
    <x v="3"/>
    <s v="Xu Caihou"/>
    <m/>
    <s v="CMC Vice Chairman"/>
    <n v="10"/>
    <s v="Hosted"/>
    <s v="Chief of Staff"/>
    <m/>
    <m/>
    <m/>
    <m/>
    <m/>
    <m/>
    <m/>
    <m/>
  </r>
  <r>
    <s v="Senior Level Visit"/>
    <s v="Africa"/>
    <s v="West Asia and Africa"/>
    <s v="Friendly Cooperative Relationship [友好合作关系]"/>
    <s v="None"/>
    <s v="AFRICOM"/>
    <s v="Benin"/>
    <x v="15"/>
    <n v="8"/>
    <x v="4"/>
    <s v="Qi Zhengxiang"/>
    <m/>
    <s v="Jinan MR Political Commissar"/>
    <n v="6"/>
    <s v="Abroad"/>
    <m/>
    <m/>
    <m/>
    <m/>
    <m/>
    <m/>
    <m/>
    <m/>
    <m/>
  </r>
  <r>
    <s v="Naval Port Call"/>
    <s v="North America"/>
    <s v="America and Oceania"/>
    <s v="Strategic Partnership [战略伙伴关系]"/>
    <s v="NATO"/>
    <s v="NORTHCOM"/>
    <s v="Canada"/>
    <x v="15"/>
    <n v="8"/>
    <x v="0"/>
    <m/>
    <m/>
    <m/>
    <m/>
    <m/>
    <m/>
    <m/>
    <m/>
    <m/>
    <m/>
    <s v="NETF"/>
    <s v="2006-08 DDG113 Qingdao"/>
    <s v="North Sea Fleet"/>
    <s v="Luhu destroyer Qingdao 113, replenishment ship Hongzehu 881"/>
  </r>
  <r>
    <s v="Senior Level Visit"/>
    <s v="South America"/>
    <s v="America and Oceania"/>
    <s v="Comprehensive Partnership [全面伙伴关系]"/>
    <s v="None"/>
    <s v="SOUTHCOM"/>
    <s v="Chile"/>
    <x v="15"/>
    <n v="8"/>
    <x v="3"/>
    <s v="Xu Caihou"/>
    <m/>
    <s v="CMC Vice Chairman"/>
    <n v="10"/>
    <s v="Hosted"/>
    <s v="Chief of Defense Staff"/>
    <m/>
    <m/>
    <m/>
    <m/>
    <m/>
    <m/>
    <m/>
    <m/>
  </r>
  <r>
    <s v="Senior Level Visit"/>
    <s v="Middle East"/>
    <s v="West Asia and Africa"/>
    <s v="Strategic Cooperative Partnership [战略合作伙伴关系]"/>
    <s v="Major Non-NATO Ally"/>
    <s v="CENTCOM"/>
    <s v="Egypt"/>
    <x v="15"/>
    <n v="8"/>
    <x v="4"/>
    <s v="Ma Xiaotian"/>
    <m/>
    <s v="GSD DCGS"/>
    <n v="6"/>
    <s v="Abroad"/>
    <m/>
    <m/>
    <m/>
    <m/>
    <m/>
    <m/>
    <m/>
    <m/>
    <m/>
  </r>
  <r>
    <s v="Senior Level Visit"/>
    <s v="Europe"/>
    <s v="Europe and Central Asia"/>
    <s v="No Specific Relationship"/>
    <s v="None"/>
    <s v="EUCOM"/>
    <s v="Finland"/>
    <x v="15"/>
    <n v="8"/>
    <x v="4"/>
    <m/>
    <m/>
    <s v="GLD Deputy Director"/>
    <n v="8"/>
    <s v="Abroad"/>
    <m/>
    <m/>
    <m/>
    <m/>
    <m/>
    <m/>
    <m/>
    <m/>
    <m/>
  </r>
  <r>
    <s v="Senior Level Visit"/>
    <s v="Europe"/>
    <s v="Europe and Central Asia"/>
    <s v="No Specific Relationship"/>
    <s v="NATO"/>
    <s v="EUCOM"/>
    <s v="Germany"/>
    <x v="15"/>
    <n v="8"/>
    <x v="4"/>
    <s v="Ma Xiaotian"/>
    <m/>
    <s v="GSD DCGS"/>
    <n v="6"/>
    <s v="Abroad"/>
    <m/>
    <m/>
    <m/>
    <m/>
    <m/>
    <m/>
    <m/>
    <m/>
    <m/>
  </r>
  <r>
    <s v="Military Exercise"/>
    <s v="Central Asia"/>
    <s v="Europe and Central Asia"/>
    <s v="Strategic Partnership [战略伙伴关系]"/>
    <s v="None"/>
    <s v="CENTCOM"/>
    <s v="Kazakhstan"/>
    <x v="15"/>
    <n v="8"/>
    <x v="5"/>
    <m/>
    <m/>
    <m/>
    <m/>
    <m/>
    <m/>
    <s v="Anti-terrorism"/>
    <s v="Tianshan-1"/>
    <s v="PAP"/>
    <s v="First PAP cooperation with foreign security forces"/>
    <m/>
    <m/>
    <m/>
    <m/>
  </r>
  <r>
    <s v="Senior Level Visit"/>
    <s v="South Asia"/>
    <s v="Asia"/>
    <s v="Strategic Partnership [战略伙伴关系]"/>
    <s v="Major Non-NATO Ally"/>
    <s v="CENTCOM"/>
    <s v="Pakistan"/>
    <x v="15"/>
    <n v="8"/>
    <x v="4"/>
    <s v="Li Yu"/>
    <m/>
    <s v="GSD Assistant Commander"/>
    <n v="5"/>
    <s v="Abroad"/>
    <m/>
    <m/>
    <m/>
    <m/>
    <m/>
    <m/>
    <m/>
    <m/>
    <m/>
  </r>
  <r>
    <s v="Naval Port Call"/>
    <s v="Southeast Asia"/>
    <s v="Asia"/>
    <s v="Strategic Cooperative Partnership [战略合作伙伴关系]"/>
    <s v="Bilateral Defense Treaty"/>
    <s v="INDOPACOM"/>
    <s v="Philippines"/>
    <x v="15"/>
    <n v="8"/>
    <x v="0"/>
    <m/>
    <m/>
    <m/>
    <m/>
    <m/>
    <m/>
    <m/>
    <m/>
    <m/>
    <m/>
    <s v="NETF"/>
    <s v="2006-08 DDG113 Qingdao"/>
    <s v="North Sea Fleet"/>
    <s v="Luhu destroyer Qingdao 113, replenishment ship Hongzehu 881"/>
  </r>
  <r>
    <s v="Senior Level Visit"/>
    <s v="Europe"/>
    <s v="Europe and Central Asia"/>
    <s v="No Specific Relationship"/>
    <s v="None"/>
    <s v="EUCOM"/>
    <s v="Sweden"/>
    <x v="15"/>
    <n v="8"/>
    <x v="4"/>
    <m/>
    <m/>
    <s v="GLD Deputy Director"/>
    <n v="8"/>
    <s v="Abroad"/>
    <m/>
    <m/>
    <m/>
    <m/>
    <m/>
    <m/>
    <m/>
    <m/>
    <m/>
  </r>
  <r>
    <s v="Senior Level Visit"/>
    <s v="Africa"/>
    <s v="West Asia and Africa"/>
    <s v="No Specific Relationship"/>
    <s v="None"/>
    <s v="AFRICOM"/>
    <s v="Tanzania"/>
    <x v="15"/>
    <n v="8"/>
    <x v="4"/>
    <s v="Qi Zhengxiang"/>
    <m/>
    <s v="Jinan MR Political Commissar"/>
    <n v="6"/>
    <s v="Abroad"/>
    <m/>
    <m/>
    <m/>
    <m/>
    <m/>
    <m/>
    <m/>
    <m/>
    <m/>
  </r>
  <r>
    <s v="Senior Level Visit"/>
    <s v="Southeast Asia"/>
    <s v="Asia"/>
    <s v="No Specific Relationship"/>
    <s v="Bilateral Defense Treaty"/>
    <s v="INDOPACOM"/>
    <s v="Thailand"/>
    <x v="15"/>
    <n v="8"/>
    <x v="4"/>
    <s v="Li Yu"/>
    <m/>
    <s v="GSD Assistant Commander"/>
    <n v="5"/>
    <s v="Abroad"/>
    <m/>
    <m/>
    <m/>
    <m/>
    <m/>
    <m/>
    <m/>
    <m/>
    <m/>
  </r>
  <r>
    <s v="Senior Level Visit"/>
    <s v="Africa"/>
    <s v="West Asia and Africa"/>
    <s v="Comprehensive Strategic Cooperative Partnership [全面战略合作伙伴关系]"/>
    <s v="None"/>
    <s v="AFRICOM"/>
    <s v="Togo"/>
    <x v="15"/>
    <n v="8"/>
    <x v="4"/>
    <s v="Qi Zhengxiang"/>
    <m/>
    <s v="Jinan MR Political Commissar"/>
    <n v="6"/>
    <s v="Abroad"/>
    <m/>
    <m/>
    <m/>
    <m/>
    <m/>
    <m/>
    <m/>
    <m/>
    <m/>
  </r>
  <r>
    <s v="Senior Level Visit"/>
    <s v="North America"/>
    <s v="America and Oceania"/>
    <s v="No Specific Relationship"/>
    <s v="N/A"/>
    <s v="NORTHCOM"/>
    <s v="United States"/>
    <x v="15"/>
    <n v="8"/>
    <x v="3"/>
    <s v="UNK"/>
    <m/>
    <s v="North Sea Fleet Commander"/>
    <n v="6"/>
    <s v="Hosted"/>
    <s v="PACOM Commander visit to Harbin"/>
    <m/>
    <m/>
    <m/>
    <m/>
    <m/>
    <m/>
    <m/>
    <m/>
  </r>
  <r>
    <s v="Naval Port Call"/>
    <s v="North America"/>
    <s v="America and Oceania"/>
    <s v="No Specific Relationship"/>
    <s v="N/A"/>
    <s v="NORTHCOM"/>
    <s v="United States"/>
    <x v="15"/>
    <n v="8"/>
    <x v="0"/>
    <m/>
    <m/>
    <m/>
    <m/>
    <m/>
    <m/>
    <m/>
    <m/>
    <m/>
    <m/>
    <s v="NETF"/>
    <s v="2006-08 DDG113 Qingdao"/>
    <s v="North Sea Fleet"/>
    <s v="Luhu destroyer Qingdao 113, replenishment ship Hongzehu 881"/>
  </r>
  <r>
    <s v="Senior Level Visit"/>
    <s v="Oceania"/>
    <s v="America and Oceania"/>
    <s v="No Specific Relationship"/>
    <s v="ANZUS Treaty"/>
    <s v="INDOPACOM"/>
    <s v="Australia"/>
    <x v="15"/>
    <n v="9"/>
    <x v="4"/>
    <s v="Xu Caihou"/>
    <m/>
    <s v="CMC Vice Chairman"/>
    <n v="10"/>
    <s v="Abroad"/>
    <m/>
    <m/>
    <m/>
    <m/>
    <m/>
    <m/>
    <m/>
    <m/>
    <m/>
  </r>
  <r>
    <s v="Senior Level Visit"/>
    <s v="Europe"/>
    <s v="Europe and Central Asia"/>
    <s v="Strategic Partnership [战略伙伴关系]"/>
    <s v="None"/>
    <s v="EUCOM"/>
    <s v="Belarus"/>
    <x v="15"/>
    <n v="9"/>
    <x v="4"/>
    <s v="Cao Gangchuan"/>
    <m/>
    <s v="CMC Vice Chairman; Defense Minister"/>
    <n v="10"/>
    <s v="Abroad"/>
    <m/>
    <m/>
    <m/>
    <m/>
    <m/>
    <m/>
    <m/>
    <m/>
    <m/>
  </r>
  <r>
    <s v="Senior Level Visit"/>
    <s v="South America"/>
    <s v="America and Oceania"/>
    <s v="No Specific Relationship"/>
    <s v="None"/>
    <s v="SOUTHCOM"/>
    <s v="Bolivia"/>
    <x v="15"/>
    <n v="9"/>
    <x v="3"/>
    <s v="Cao Gangchuan"/>
    <m/>
    <s v="CMC Vice Chairman; Defense Minister"/>
    <n v="10"/>
    <s v="Hosted"/>
    <s v="Defense Minister"/>
    <m/>
    <m/>
    <m/>
    <m/>
    <m/>
    <m/>
    <m/>
    <m/>
  </r>
  <r>
    <s v="Senior Level Visit"/>
    <s v="South America"/>
    <s v="America and Oceania"/>
    <s v="Comprehensive Strategic Partnership [全面战略伙伴关系]"/>
    <s v="None"/>
    <s v="SOUTHCOM"/>
    <s v="Brazil"/>
    <x v="15"/>
    <n v="9"/>
    <x v="4"/>
    <s v="Sun Dafa"/>
    <m/>
    <s v="GLD Political Commissar"/>
    <n v="6"/>
    <s v="Abroad"/>
    <m/>
    <m/>
    <m/>
    <m/>
    <m/>
    <m/>
    <m/>
    <m/>
    <m/>
  </r>
  <r>
    <s v="Senior Level Visit"/>
    <s v="Europe"/>
    <s v="Europe and Central Asia"/>
    <s v="No Specific Relationship"/>
    <s v="NATO"/>
    <s v="EUCOM"/>
    <s v="Bulgaria"/>
    <x v="15"/>
    <n v="9"/>
    <x v="4"/>
    <s v="Cao Gangchuan"/>
    <m/>
    <s v="CMC Vice Chairman; Defense Minister"/>
    <n v="10"/>
    <s v="Abroad"/>
    <m/>
    <m/>
    <m/>
    <m/>
    <m/>
    <m/>
    <m/>
    <m/>
    <m/>
  </r>
  <r>
    <s v="Senior Level Visit"/>
    <s v="Africa"/>
    <s v="West Asia and Africa"/>
    <s v="No Specific Relationship"/>
    <s v="None"/>
    <s v="AFRICOM"/>
    <s v="Cape Verde"/>
    <x v="15"/>
    <n v="9"/>
    <x v="3"/>
    <s v="Guo Boxiong"/>
    <m/>
    <s v="CMC Vice Chairman"/>
    <n v="10"/>
    <s v="Hosted"/>
    <s v="Chief of Staff Armed Forces"/>
    <m/>
    <m/>
    <m/>
    <m/>
    <m/>
    <m/>
    <m/>
    <m/>
  </r>
  <r>
    <s v="Senior Level Visit"/>
    <s v="South America"/>
    <s v="America and Oceania"/>
    <s v="Comprehensive Partnership [全面伙伴关系]"/>
    <s v="None"/>
    <s v="SOUTHCOM"/>
    <s v="Chile"/>
    <x v="15"/>
    <n v="9"/>
    <x v="4"/>
    <s v="Sun Dafa"/>
    <m/>
    <s v="GLD Political Commissar"/>
    <n v="6"/>
    <s v="Abroad"/>
    <m/>
    <m/>
    <m/>
    <m/>
    <m/>
    <m/>
    <m/>
    <m/>
    <m/>
  </r>
  <r>
    <s v="Senior Level Visit"/>
    <s v="South America"/>
    <s v="America and Oceania"/>
    <s v="No Specific Relationship"/>
    <s v="None"/>
    <s v="SOUTHCOM"/>
    <s v="Colombia"/>
    <x v="15"/>
    <n v="9"/>
    <x v="4"/>
    <s v="Li Qianyuan"/>
    <m/>
    <s v="Lanzhou MR Commander"/>
    <n v="6"/>
    <s v="Abroad"/>
    <m/>
    <m/>
    <m/>
    <m/>
    <m/>
    <m/>
    <m/>
    <m/>
    <m/>
  </r>
  <r>
    <s v="Senior Level Visit"/>
    <s v="Middle East"/>
    <s v="West Asia and Africa"/>
    <s v="Strategic Cooperative Partnership [战略合作伙伴关系]"/>
    <s v="Major Non-NATO Ally"/>
    <s v="CENTCOM"/>
    <s v="Egypt"/>
    <x v="15"/>
    <n v="9"/>
    <x v="4"/>
    <s v="Zheng Shenxia"/>
    <m/>
    <s v="AMS President"/>
    <n v="6"/>
    <s v="Abroad"/>
    <m/>
    <m/>
    <m/>
    <m/>
    <m/>
    <m/>
    <m/>
    <m/>
    <m/>
  </r>
  <r>
    <s v="Senior Level Visit"/>
    <s v="Europe"/>
    <s v="Europe and Central Asia"/>
    <s v="No Specific Relationship"/>
    <s v="None"/>
    <s v="EUCOM"/>
    <s v="Finland"/>
    <x v="15"/>
    <n v="9"/>
    <x v="4"/>
    <s v="Li Jinai"/>
    <m/>
    <s v="GPD Director; CMC Member"/>
    <n v="8"/>
    <s v="Abroad"/>
    <m/>
    <m/>
    <m/>
    <m/>
    <m/>
    <m/>
    <m/>
    <m/>
    <m/>
  </r>
  <r>
    <s v="Senior Level Visit"/>
    <s v="Africa"/>
    <s v="West Asia and Africa"/>
    <s v="No Specific Relationship"/>
    <s v="None"/>
    <s v="AFRICOM"/>
    <s v="Gabon"/>
    <x v="15"/>
    <n v="9"/>
    <x v="3"/>
    <s v="Cao Gangchuan"/>
    <m/>
    <s v="CMC Vice Chairman; Defense Minister"/>
    <n v="10"/>
    <s v="Hosted"/>
    <s v="Minister of State for Defense"/>
    <m/>
    <m/>
    <m/>
    <m/>
    <m/>
    <m/>
    <m/>
    <m/>
  </r>
  <r>
    <s v="Senior Level Visit"/>
    <s v="Europe"/>
    <s v="Europe and Central Asia"/>
    <s v="Comprehensive Strategic Partnership [全面战略伙伴关系]"/>
    <s v="NATO"/>
    <s v="EUCOM"/>
    <s v="Greece"/>
    <x v="15"/>
    <n v="9"/>
    <x v="4"/>
    <s v="Li Jinai"/>
    <m/>
    <s v="GPD Director; CMC Member"/>
    <n v="8"/>
    <s v="Abroad"/>
    <m/>
    <m/>
    <m/>
    <m/>
    <m/>
    <m/>
    <m/>
    <m/>
    <m/>
  </r>
  <r>
    <s v="Senior Level Visit"/>
    <s v="Europe"/>
    <s v="Europe and Central Asia"/>
    <s v="No Specific Relationship"/>
    <s v="NATO"/>
    <s v="EUCOM"/>
    <s v="Hungary"/>
    <x v="15"/>
    <n v="9"/>
    <x v="4"/>
    <s v="Cao Gangchuan"/>
    <m/>
    <s v="CMC Vice Chairman; Defense Minister"/>
    <n v="10"/>
    <s v="Abroad"/>
    <m/>
    <m/>
    <m/>
    <m/>
    <m/>
    <m/>
    <m/>
    <m/>
    <m/>
  </r>
  <r>
    <s v="Senior Level Visit"/>
    <s v="Africa"/>
    <s v="West Asia and Africa"/>
    <s v="No Specific Relationship"/>
    <s v="None"/>
    <s v="AFRICOM"/>
    <s v="Liberia"/>
    <x v="15"/>
    <n v="9"/>
    <x v="3"/>
    <s v="Cao Gangchuan"/>
    <m/>
    <s v="CMC Vice Chairman; Defense Minister"/>
    <n v="6"/>
    <s v="Hosted"/>
    <s v="Defense Minister"/>
    <m/>
    <m/>
    <m/>
    <m/>
    <m/>
    <m/>
    <m/>
    <m/>
  </r>
  <r>
    <s v="Senior Level Visit"/>
    <s v="North America"/>
    <s v="America and Oceania"/>
    <s v="Strategic Cooperative Partnership [战略合作伙伴关系]"/>
    <s v="None"/>
    <s v="NORTHCOM"/>
    <s v="Mexico"/>
    <x v="15"/>
    <n v="9"/>
    <x v="4"/>
    <s v="Huang Xianzhong"/>
    <m/>
    <s v="Shenyang MR Political Commissar"/>
    <n v="6"/>
    <s v="Abroad"/>
    <m/>
    <m/>
    <m/>
    <m/>
    <m/>
    <m/>
    <m/>
    <m/>
    <m/>
  </r>
  <r>
    <s v="Senior Level Visit"/>
    <s v="Oceania"/>
    <s v="America and Oceania"/>
    <s v="No Specific Relationship"/>
    <s v="ANZUS Treaty"/>
    <s v="INDOPACOM"/>
    <s v="New Zealand"/>
    <x v="15"/>
    <n v="9"/>
    <x v="4"/>
    <s v="Xu Caihou"/>
    <m/>
    <s v="CMC Vice Chairman"/>
    <n v="10"/>
    <s v="Abroad"/>
    <m/>
    <m/>
    <m/>
    <m/>
    <m/>
    <m/>
    <m/>
    <m/>
    <m/>
  </r>
  <r>
    <s v="Senior Level Visit"/>
    <s v="South America"/>
    <s v="America and Oceania"/>
    <s v="Comprehensive Partnership [全面伙伴关系]"/>
    <s v="None"/>
    <s v="SOUTHCOM"/>
    <s v="Peru"/>
    <x v="15"/>
    <n v="9"/>
    <x v="3"/>
    <s v="Liang Guanglie"/>
    <m/>
    <s v="GSD Commander; CMC Member"/>
    <n v="8"/>
    <s v="Hosted"/>
    <s v="Air Force Commander"/>
    <m/>
    <m/>
    <m/>
    <m/>
    <m/>
    <m/>
    <m/>
    <m/>
  </r>
  <r>
    <s v="Senior Level Visit"/>
    <s v="Europe"/>
    <s v="Europe and Central Asia"/>
    <s v="Comprehensive Friendly Cooperative Partnership [全面友好合作伙伴关系]"/>
    <s v="NATO"/>
    <s v="EUCOM"/>
    <s v="Romania"/>
    <x v="15"/>
    <n v="9"/>
    <x v="4"/>
    <s v="Cao Gangchuan"/>
    <m/>
    <s v="CMC Vice Chairman; Defense Minister"/>
    <n v="10"/>
    <s v="Abroad"/>
    <m/>
    <m/>
    <m/>
    <m/>
    <m/>
    <m/>
    <m/>
    <m/>
    <m/>
  </r>
  <r>
    <s v="Senior Level Visit"/>
    <s v="Africa"/>
    <s v="West Asia and Africa"/>
    <s v="Strategic Partnership [战略伙伴关系]"/>
    <s v="None"/>
    <s v="AFRICOM"/>
    <s v="South Africa"/>
    <x v="15"/>
    <n v="9"/>
    <x v="4"/>
    <s v="Zheng Shenxia"/>
    <m/>
    <s v="AMS President"/>
    <n v="6"/>
    <s v="Abroad"/>
    <m/>
    <m/>
    <m/>
    <m/>
    <m/>
    <m/>
    <m/>
    <m/>
    <m/>
  </r>
  <r>
    <s v="Military Exercise"/>
    <s v="Central Asia"/>
    <s v="Europe and Central Asia"/>
    <s v="No Specific Relationship"/>
    <s v="None"/>
    <s v="CENTCOM"/>
    <s v="Tajikistan"/>
    <x v="15"/>
    <n v="9"/>
    <x v="5"/>
    <m/>
    <m/>
    <m/>
    <m/>
    <m/>
    <m/>
    <s v="Anti-terrorism"/>
    <s v="Coordination-2006"/>
    <s v="Army"/>
    <s v="First joint anti-terrorism military exercise; in Tajikistan; 450 troops; TJ artillery, infantry, airborne; PLA reinforced company of 150+ troops"/>
    <m/>
    <m/>
    <m/>
    <m/>
  </r>
  <r>
    <s v="Senior Level Visit"/>
    <s v="Central Asia"/>
    <s v="Europe and Central Asia"/>
    <s v="No Specific Relationship"/>
    <s v="None"/>
    <s v="CENTCOM"/>
    <s v="Tajikistan"/>
    <x v="15"/>
    <n v="9"/>
    <x v="4"/>
    <s v="Ma Xiaotian"/>
    <m/>
    <s v="GSD DCGS"/>
    <n v="6"/>
    <s v="Abroad"/>
    <m/>
    <m/>
    <m/>
    <m/>
    <m/>
    <m/>
    <m/>
    <m/>
    <m/>
  </r>
  <r>
    <s v="Senior Level Visit"/>
    <s v="South America"/>
    <s v="America and Oceania"/>
    <s v="No Specific Relationship"/>
    <s v="None"/>
    <s v="SOUTHCOM"/>
    <s v="Uruguay"/>
    <x v="15"/>
    <n v="9"/>
    <x v="3"/>
    <s v="Liang Guanglie"/>
    <m/>
    <s v="Defense Minister; CMC Member"/>
    <n v="8"/>
    <s v="Hosted"/>
    <s v="Commander of Army and Navy"/>
    <m/>
    <m/>
    <m/>
    <m/>
    <m/>
    <m/>
    <m/>
    <m/>
  </r>
  <r>
    <s v="Senior Level Visit"/>
    <s v="South Asia"/>
    <s v="Europe and Central Asia"/>
    <s v="Comprehensive Cooperative Partnership [全面合作伙伴关系]"/>
    <s v="Major Non-NATO Ally"/>
    <s v="CENTCOM"/>
    <s v="Afghanistan"/>
    <x v="15"/>
    <n v="10"/>
    <x v="3"/>
    <s v="Cao Gangchuan"/>
    <m/>
    <s v="CMC Vice Chairman; Defense Minister"/>
    <n v="10"/>
    <s v="Hosted"/>
    <s v="Defense Minister"/>
    <m/>
    <m/>
    <m/>
    <m/>
    <m/>
    <m/>
    <m/>
    <m/>
  </r>
  <r>
    <s v="Senior Level Visit"/>
    <s v="Africa"/>
    <s v="West Asia and Africa"/>
    <s v="Strategic Partnership [战略伙伴关系]"/>
    <s v="None"/>
    <s v="AFRICOM"/>
    <s v="Algeria"/>
    <x v="15"/>
    <n v="10"/>
    <x v="4"/>
    <s v="Chi Wanchun"/>
    <m/>
    <s v="GAD Political Commissar"/>
    <n v="6"/>
    <s v="Abroad"/>
    <m/>
    <m/>
    <m/>
    <m/>
    <m/>
    <m/>
    <m/>
    <m/>
    <m/>
  </r>
  <r>
    <s v="Senior Level Visit"/>
    <s v="Oceania"/>
    <s v="America and Oceania"/>
    <s v="No Specific Relationship"/>
    <s v="ANZUS Treaty"/>
    <s v="INDOPACOM"/>
    <s v="Australia"/>
    <x v="15"/>
    <n v="10"/>
    <x v="3"/>
    <s v="Cao Gangchuan"/>
    <m/>
    <s v="CMC Vice Chairman; Defense Minister"/>
    <n v="10"/>
    <s v="Hosted"/>
    <s v="Chief of Army"/>
    <m/>
    <m/>
    <m/>
    <m/>
    <m/>
    <m/>
    <m/>
    <m/>
  </r>
  <r>
    <s v="Senior Level Visit"/>
    <s v="Southeast Asia"/>
    <s v="Asia"/>
    <s v="Comprehensive Cooperative Partnership [全面合作伙伴关系]"/>
    <s v="None"/>
    <s v="INDOPACOM"/>
    <s v="Cambodia"/>
    <x v="15"/>
    <n v="10"/>
    <x v="4"/>
    <s v="Liang Guanglie"/>
    <m/>
    <s v="GSD Commander; CMC Member"/>
    <n v="8"/>
    <s v="Abroad"/>
    <m/>
    <m/>
    <m/>
    <m/>
    <m/>
    <m/>
    <m/>
    <m/>
    <m/>
  </r>
  <r>
    <s v="Senior Level Visit"/>
    <s v="Africa"/>
    <s v="West Asia and Africa"/>
    <s v="No Specific Relationship"/>
    <s v="None"/>
    <s v="AFRICOM"/>
    <s v="Chad"/>
    <x v="15"/>
    <n v="10"/>
    <x v="3"/>
    <s v="Cao Gangchuan"/>
    <m/>
    <s v="CMC Vice Chairman; Defense Minister"/>
    <n v="10"/>
    <s v="Hosted"/>
    <s v="Defense Minister"/>
    <m/>
    <m/>
    <m/>
    <m/>
    <m/>
    <m/>
    <m/>
    <m/>
  </r>
  <r>
    <s v="Senior Level Visit"/>
    <s v="Europe"/>
    <s v="Europe and Central Asia"/>
    <s v="No Specific Relationship"/>
    <s v="NATO"/>
    <s v="EUCOM"/>
    <s v="Estonia"/>
    <x v="15"/>
    <n v="10"/>
    <x v="3"/>
    <s v="Zhang Li"/>
    <m/>
    <s v="GSD DCGS"/>
    <n v="8"/>
    <s v="Hosted"/>
    <s v="Defense Minister"/>
    <m/>
    <m/>
    <m/>
    <m/>
    <m/>
    <m/>
    <m/>
    <m/>
  </r>
  <r>
    <s v="Senior Level Visit"/>
    <s v="Europe"/>
    <s v="Europe and Central Asia"/>
    <s v="No Specific Relationship"/>
    <s v="NATO"/>
    <s v="EUCOM"/>
    <s v="Germany"/>
    <x v="15"/>
    <n v="10"/>
    <x v="3"/>
    <s v="Cao Gangchuan"/>
    <m/>
    <s v="CMC Vice Chairman; Defense Minister"/>
    <n v="10"/>
    <s v="Hosted"/>
    <s v="Inspector General of Armed Forces"/>
    <m/>
    <m/>
    <m/>
    <m/>
    <m/>
    <m/>
    <m/>
    <m/>
  </r>
  <r>
    <s v="Senior Level Visit"/>
    <s v="South Asia"/>
    <s v="Asia"/>
    <s v="Strategic Partnership for Peace and Prosperity [战略伙伴关系]"/>
    <s v="None"/>
    <s v="INDOPACOM"/>
    <s v="India"/>
    <x v="15"/>
    <n v="10"/>
    <x v="4"/>
    <s v="Qiao Qingchen"/>
    <m/>
    <s v="PLAAF Commander; CMC Member"/>
    <n v="8"/>
    <s v="Abroad"/>
    <m/>
    <m/>
    <m/>
    <m/>
    <m/>
    <m/>
    <m/>
    <m/>
    <m/>
  </r>
  <r>
    <s v="Senior Level Visit"/>
    <s v="Africa"/>
    <s v="West Asia and Africa"/>
    <s v="No Specific Relationship"/>
    <s v="None"/>
    <s v="AFRICOM"/>
    <s v="Kenya"/>
    <x v="15"/>
    <n v="10"/>
    <x v="3"/>
    <s v="Cao Gangchuan"/>
    <m/>
    <s v="CMC Vice Chairman; Defense Minister"/>
    <n v="8"/>
    <s v="Hosted"/>
    <s v="COGS"/>
    <m/>
    <m/>
    <m/>
    <m/>
    <m/>
    <m/>
    <m/>
    <m/>
  </r>
  <r>
    <s v="Senior Level Visit"/>
    <s v="Southeast Asia"/>
    <s v="Asia"/>
    <s v="Comprehensive Cooperative Partnership [全面合作伙伴关系]"/>
    <s v="None"/>
    <s v="INDOPACOM"/>
    <s v="Laos"/>
    <x v="15"/>
    <n v="10"/>
    <x v="4"/>
    <s v="Liang Guanglie"/>
    <m/>
    <s v="GSD Commander; CMC Member"/>
    <n v="8"/>
    <s v="Abroad"/>
    <m/>
    <m/>
    <m/>
    <m/>
    <m/>
    <m/>
    <m/>
    <m/>
    <m/>
  </r>
  <r>
    <s v="Senior Level Visit"/>
    <s v="Southeast Asia"/>
    <s v="Asia"/>
    <s v="No Specific Relationship"/>
    <s v="None"/>
    <s v="INDOPACOM"/>
    <s v="Myanmar"/>
    <x v="15"/>
    <n v="10"/>
    <x v="4"/>
    <s v="Liang Guanglie"/>
    <m/>
    <s v="GSD Commander; CMC Member"/>
    <n v="8"/>
    <s v="Abroad"/>
    <m/>
    <m/>
    <m/>
    <m/>
    <m/>
    <m/>
    <m/>
    <m/>
    <m/>
  </r>
  <r>
    <s v="Senior Level Visit"/>
    <s v="Africa"/>
    <s v="West Asia and Africa"/>
    <s v="No Specific Relationship"/>
    <s v="None"/>
    <s v="AFRICOM"/>
    <s v="Namibia"/>
    <x v="15"/>
    <n v="10"/>
    <x v="4"/>
    <s v="Chi Wanchun"/>
    <m/>
    <s v="GAD Political Commissar"/>
    <n v="6"/>
    <s v="Abroad"/>
    <m/>
    <m/>
    <m/>
    <m/>
    <m/>
    <m/>
    <m/>
    <m/>
    <m/>
  </r>
  <r>
    <s v="Senior Level Visit"/>
    <s v="Oceania"/>
    <s v="America and Oceania"/>
    <s v="No Specific Relationship"/>
    <s v="ANZUS Treaty"/>
    <s v="INDOPACOM"/>
    <s v="New Zealand"/>
    <x v="15"/>
    <n v="10"/>
    <x v="3"/>
    <s v="Cao Gangchuan"/>
    <m/>
    <s v="CMC Vice Chairman; Defense Minister"/>
    <n v="6"/>
    <s v="Hosted"/>
    <s v="Chief of Defense Forces"/>
    <m/>
    <m/>
    <m/>
    <m/>
    <m/>
    <m/>
    <m/>
    <m/>
  </r>
  <r>
    <s v="Senior Level Visit"/>
    <s v="South Asia"/>
    <s v="Asia"/>
    <s v="Strategic Partnership [战略伙伴关系]"/>
    <s v="Major Non-NATO Ally"/>
    <s v="CENTCOM"/>
    <s v="Pakistan"/>
    <x v="15"/>
    <n v="10"/>
    <x v="4"/>
    <s v="Qiao Qingchen"/>
    <m/>
    <s v="PLAAF Commander; CMC Member"/>
    <n v="8"/>
    <s v="Abroad"/>
    <m/>
    <m/>
    <m/>
    <m/>
    <m/>
    <m/>
    <m/>
    <m/>
    <m/>
  </r>
  <r>
    <s v="Senior Level Visit"/>
    <s v="Russia"/>
    <s v="Europe and Central Asia"/>
    <s v="Strategic Partnership of Coordination [战略协作伙伴关系]"/>
    <s v="None"/>
    <s v="EUCOM"/>
    <s v="Russia"/>
    <x v="15"/>
    <n v="10"/>
    <x v="4"/>
    <s v="Li Yu"/>
    <m/>
    <s v="GSD Assistant Commander"/>
    <n v="5"/>
    <s v="Abroad"/>
    <m/>
    <m/>
    <m/>
    <m/>
    <m/>
    <m/>
    <m/>
    <m/>
    <m/>
  </r>
  <r>
    <s v="Senior Level Visit"/>
    <s v="Southeast Asia"/>
    <s v="Asia"/>
    <s v="No Specific Relationship"/>
    <s v="Bilateral Defense Treaty"/>
    <s v="INDOPACOM"/>
    <s v="Thailand"/>
    <x v="15"/>
    <n v="10"/>
    <x v="4"/>
    <s v="Liang Guanglie"/>
    <m/>
    <s v="GSD Commander; CMC Member"/>
    <n v="8"/>
    <s v="Abroad"/>
    <m/>
    <m/>
    <m/>
    <m/>
    <m/>
    <m/>
    <m/>
    <m/>
    <m/>
  </r>
  <r>
    <s v="Senior Level Visit"/>
    <s v="Europe"/>
    <s v="Europe and Central Asia"/>
    <s v="No Specific Relationship"/>
    <s v="NATO"/>
    <s v="EUCOM"/>
    <s v="Turkey"/>
    <x v="15"/>
    <n v="10"/>
    <x v="4"/>
    <s v="Qiao Qingchen"/>
    <m/>
    <s v="PLAAF Commander; CMC Member"/>
    <n v="8"/>
    <s v="Abroad"/>
    <m/>
    <m/>
    <m/>
    <m/>
    <m/>
    <m/>
    <m/>
    <m/>
    <m/>
  </r>
  <r>
    <s v="Senior Level Visit"/>
    <s v="Southeast Asia"/>
    <s v="Asia"/>
    <s v="No Specific Relationship"/>
    <s v="None"/>
    <s v="INDOPACOM"/>
    <s v="Vietnam"/>
    <x v="15"/>
    <n v="10"/>
    <x v="3"/>
    <s v="Cao Gangchuan"/>
    <m/>
    <s v="CMC Vice Chairman; Defense Minister"/>
    <n v="10"/>
    <s v="Hosted"/>
    <s v="Chief of General Political Department"/>
    <m/>
    <m/>
    <m/>
    <m/>
    <m/>
    <m/>
    <m/>
    <m/>
  </r>
  <r>
    <s v="Senior Level Visit"/>
    <s v="Middle East"/>
    <s v="West Asia and Africa"/>
    <s v="Strategic Cooperative Partnership [战略合作伙伴关系]"/>
    <s v="Major Non-NATO Ally"/>
    <s v="CENTCOM"/>
    <s v="Egypt"/>
    <x v="15"/>
    <n v="11"/>
    <x v="4"/>
    <s v="Li Jinai"/>
    <m/>
    <s v="GPD Deputy Director"/>
    <n v="8"/>
    <s v="Abroad"/>
    <m/>
    <m/>
    <m/>
    <m/>
    <m/>
    <m/>
    <m/>
    <m/>
    <m/>
  </r>
  <r>
    <s v="Senior Level Visit"/>
    <s v="Oceania"/>
    <s v="America and Oceania"/>
    <s v="No Specific Relationship"/>
    <s v="ANZUS Treaty"/>
    <s v="INDOPACOM"/>
    <s v="New Zealand"/>
    <x v="15"/>
    <n v="11"/>
    <x v="3"/>
    <s v="Cao Gangchuan"/>
    <m/>
    <s v="CMC Vice Chairman; Defense Minister"/>
    <n v="10"/>
    <s v="Hosted"/>
    <s v="Defense Minister"/>
    <m/>
    <m/>
    <m/>
    <m/>
    <m/>
    <m/>
    <m/>
    <m/>
  </r>
  <r>
    <s v="Senior Level Visit"/>
    <s v="Europe"/>
    <s v="Europe and Central Asia"/>
    <s v="Comprehensive Friendly Cooperative Partnership [全面友好合作伙伴关系]"/>
    <s v="NATO"/>
    <s v="EUCOM"/>
    <s v="Romania"/>
    <x v="15"/>
    <n v="11"/>
    <x v="3"/>
    <s v="Xu Caihou"/>
    <m/>
    <s v="CMC Vice Chairman"/>
    <n v="10"/>
    <s v="Hosted"/>
    <s v="DCOGS"/>
    <m/>
    <m/>
    <m/>
    <m/>
    <m/>
    <m/>
    <m/>
    <m/>
  </r>
  <r>
    <s v="Senior Level Visit"/>
    <s v="Europe"/>
    <s v="Europe and Central Asia"/>
    <s v="No Specific Relationship"/>
    <s v="NATO"/>
    <s v="EUCOM"/>
    <s v="Slovakia"/>
    <x v="15"/>
    <n v="11"/>
    <x v="3"/>
    <s v="Cao Gangchuan"/>
    <m/>
    <s v="CMC Vice Chairman; Defense Minister"/>
    <n v="10"/>
    <s v="Hosted"/>
    <s v="COGS"/>
    <m/>
    <m/>
    <m/>
    <m/>
    <m/>
    <m/>
    <m/>
    <m/>
  </r>
  <r>
    <s v="Senior Level Visit"/>
    <s v="Africa"/>
    <s v="West Asia and Africa"/>
    <s v="No Specific Relationship"/>
    <s v="Major Non-NATO Ally"/>
    <s v="AFRICOM"/>
    <s v="Tunisia"/>
    <x v="15"/>
    <n v="11"/>
    <x v="4"/>
    <s v="Ma Xiaotian"/>
    <m/>
    <s v="GSD DCGS"/>
    <n v="6"/>
    <s v="Abroad"/>
    <m/>
    <m/>
    <m/>
    <m/>
    <m/>
    <m/>
    <m/>
    <m/>
    <m/>
  </r>
  <r>
    <s v="Senior Level Visit"/>
    <s v="Africa"/>
    <s v="West Asia and Africa"/>
    <s v="No Specific Relationship"/>
    <s v="None"/>
    <s v="AFRICOM"/>
    <s v="Uganda"/>
    <x v="15"/>
    <n v="11"/>
    <x v="4"/>
    <s v="Li Jinai"/>
    <m/>
    <s v="GPD Deputy Director"/>
    <n v="8"/>
    <s v="Abroad"/>
    <m/>
    <m/>
    <m/>
    <m/>
    <m/>
    <m/>
    <m/>
    <m/>
    <m/>
  </r>
  <r>
    <s v="Military Exercise"/>
    <s v="North America"/>
    <s v="America and Oceania"/>
    <s v="No Specific Relationship"/>
    <s v="N/A"/>
    <s v="NORTHCOM"/>
    <s v="United States"/>
    <x v="15"/>
    <n v="11"/>
    <x v="5"/>
    <m/>
    <m/>
    <m/>
    <m/>
    <m/>
    <m/>
    <s v="MOOTW"/>
    <s v="Unknown"/>
    <s v="Navy"/>
    <s v="SAREX"/>
    <m/>
    <m/>
    <m/>
    <m/>
  </r>
  <r>
    <s v="Senior Level Visit"/>
    <s v="Middle East"/>
    <s v="West Asia and Africa"/>
    <s v="No Specific Relationship"/>
    <s v="None"/>
    <s v="CENTCOM"/>
    <s v="Yemen"/>
    <x v="15"/>
    <n v="11"/>
    <x v="4"/>
    <s v="Ma Xiaotian"/>
    <m/>
    <s v="GSD DCGS"/>
    <n v="6"/>
    <s v="Abroad"/>
    <m/>
    <m/>
    <m/>
    <m/>
    <m/>
    <m/>
    <m/>
    <m/>
    <m/>
  </r>
  <r>
    <s v="Senior Level Visit"/>
    <s v="South America"/>
    <s v="America and Oceania"/>
    <s v="Strategic Partnership [战略伙伴关系]"/>
    <s v="Major Non-NATO Ally"/>
    <s v="SOUTHCOM"/>
    <s v="Argentina"/>
    <x v="15"/>
    <n v="12"/>
    <x v="4"/>
    <s v="Jing Zhiyuan"/>
    <m/>
    <s v="PLASAF Commander; CMC Member"/>
    <n v="8"/>
    <s v="Abroad"/>
    <m/>
    <m/>
    <m/>
    <m/>
    <m/>
    <m/>
    <m/>
    <m/>
    <m/>
  </r>
  <r>
    <s v="Senior Level Visit"/>
    <s v="Europe"/>
    <s v="Europe and Central Asia"/>
    <s v="Strategic Partnership [战略伙伴关系]"/>
    <s v="None"/>
    <s v="EUCOM"/>
    <s v="Belarus"/>
    <x v="15"/>
    <n v="12"/>
    <x v="4"/>
    <s v="Fu Tinggui"/>
    <m/>
    <s v="Beijing MR Political Commissar"/>
    <n v="6"/>
    <s v="Abroad"/>
    <m/>
    <m/>
    <m/>
    <m/>
    <m/>
    <m/>
    <m/>
    <m/>
    <m/>
  </r>
  <r>
    <s v="Senior Level Visit"/>
    <s v="Africa"/>
    <s v="West Asia and Africa"/>
    <s v="Friendly Cooperative Relationship [友好合作关系]"/>
    <s v="None"/>
    <s v="AFRICOM"/>
    <s v="Benin"/>
    <x v="15"/>
    <n v="12"/>
    <x v="3"/>
    <s v="Cao Gangchuan"/>
    <m/>
    <s v="CMC Vice Chairman; Defense Minister"/>
    <n v="8"/>
    <s v="Hosted"/>
    <s v="COGS"/>
    <m/>
    <m/>
    <m/>
    <m/>
    <m/>
    <m/>
    <m/>
    <m/>
  </r>
  <r>
    <s v="Senior Level Visit"/>
    <s v="South America"/>
    <s v="America and Oceania"/>
    <s v="Comprehensive Partnership [全面伙伴关系]"/>
    <s v="None"/>
    <s v="SOUTHCOM"/>
    <s v="Chile"/>
    <x v="15"/>
    <n v="12"/>
    <x v="4"/>
    <s v="Jing Zhiyuan"/>
    <m/>
    <s v="PLASAF Commander; CMC Member"/>
    <n v="8"/>
    <s v="Abroad"/>
    <m/>
    <m/>
    <m/>
    <m/>
    <m/>
    <m/>
    <m/>
    <m/>
    <m/>
  </r>
  <r>
    <s v="Senior Level Visit"/>
    <s v="South America"/>
    <s v="America and Oceania"/>
    <s v="No Specific Relationship"/>
    <s v="None"/>
    <s v="SOUTHCOM"/>
    <s v="Cuba"/>
    <x v="15"/>
    <n v="12"/>
    <x v="4"/>
    <s v="Zhao Keming"/>
    <m/>
    <s v="PLA NDU Political Commissar"/>
    <n v="6"/>
    <s v="Abroad"/>
    <m/>
    <m/>
    <m/>
    <m/>
    <m/>
    <m/>
    <m/>
    <m/>
    <m/>
  </r>
  <r>
    <s v="Senior Level Visit"/>
    <s v="South Asia"/>
    <s v="Asia"/>
    <s v="Strategic Partnership for Peace and Prosperity [战略伙伴关系]"/>
    <s v="None"/>
    <s v="INDOPACOM"/>
    <s v="India"/>
    <x v="15"/>
    <n v="12"/>
    <x v="4"/>
    <s v="Zhang Haiyang"/>
    <m/>
    <s v="Chengdu MR Political Commissar"/>
    <n v="6"/>
    <s v="Abroad"/>
    <m/>
    <m/>
    <m/>
    <m/>
    <m/>
    <m/>
    <m/>
    <m/>
    <m/>
  </r>
  <r>
    <s v="Senior Level Visit"/>
    <s v="Northeast Asia"/>
    <s v="Asia"/>
    <s v="Partnership of Friendship and Cooperation for Peace and Development [致力于和平发展的友好合作关系]"/>
    <s v="Bilateral Defense Treaty"/>
    <s v="INDOPACOM"/>
    <s v="Japan"/>
    <x v="15"/>
    <n v="12"/>
    <x v="4"/>
    <s v="Li Yu"/>
    <m/>
    <s v="GSD Assistant Commander"/>
    <n v="5"/>
    <s v="Abroad"/>
    <m/>
    <m/>
    <m/>
    <m/>
    <m/>
    <m/>
    <m/>
    <m/>
    <m/>
  </r>
  <r>
    <s v="Military Exercise"/>
    <s v="South Asia"/>
    <s v="Asia"/>
    <s v="Strategic Partnership [战略伙伴关系]"/>
    <s v="Major Non-NATO Ally"/>
    <s v="CENTCOM"/>
    <s v="Pakistan"/>
    <x v="15"/>
    <n v="12"/>
    <x v="5"/>
    <m/>
    <m/>
    <m/>
    <m/>
    <m/>
    <m/>
    <s v="Anti-terrorism"/>
    <s v="Unknown"/>
    <s v="Army"/>
    <s v="Anti-terrorism"/>
    <m/>
    <m/>
    <m/>
    <m/>
  </r>
  <r>
    <s v="Senior Level Visit"/>
    <s v="Europe"/>
    <s v="Europe and Central Asia"/>
    <s v="No Specific Relationship"/>
    <s v="NATO"/>
    <s v="EUCOM"/>
    <s v="Poland"/>
    <x v="15"/>
    <n v="12"/>
    <x v="4"/>
    <s v="Fu Tinggui"/>
    <m/>
    <s v="Beijing MR Political Commissar"/>
    <n v="6"/>
    <s v="Abroad"/>
    <m/>
    <m/>
    <m/>
    <m/>
    <m/>
    <m/>
    <m/>
    <m/>
    <m/>
  </r>
  <r>
    <s v="Senior Level Visit"/>
    <s v="Africa"/>
    <s v="West Asia and Africa"/>
    <s v="Strategic Partnership [战略伙伴关系]"/>
    <s v="None"/>
    <s v="AFRICOM"/>
    <s v="South Africa"/>
    <x v="15"/>
    <n v="12"/>
    <x v="4"/>
    <s v="Li Yu"/>
    <m/>
    <s v="GSD Assistant Commander"/>
    <n v="5"/>
    <s v="Abroad"/>
    <m/>
    <m/>
    <m/>
    <m/>
    <m/>
    <m/>
    <m/>
    <m/>
    <m/>
  </r>
  <r>
    <s v="Senior Level Visit"/>
    <s v="Europe"/>
    <s v="Europe and Central Asia"/>
    <s v="No Specific Relationship"/>
    <s v="None"/>
    <s v="EUCOM"/>
    <s v="Sweden"/>
    <x v="15"/>
    <n v="12"/>
    <x v="3"/>
    <s v="Cao Gangchuan"/>
    <m/>
    <s v="CMC Vice Chairman; Defense Minister"/>
    <n v="8"/>
    <s v="Hosted"/>
    <s v="Chief of Air Staff"/>
    <m/>
    <m/>
    <m/>
    <m/>
    <m/>
    <m/>
    <m/>
    <m/>
  </r>
  <r>
    <s v="Senior Level Visit"/>
    <s v="Southeast Asia"/>
    <s v="Asia"/>
    <s v="No Specific Relationship"/>
    <s v="Bilateral Defense Treaty"/>
    <s v="INDOPACOM"/>
    <s v="Thailand"/>
    <x v="15"/>
    <n v="12"/>
    <x v="4"/>
    <s v="Li Yu"/>
    <m/>
    <s v="GSD Assistant Commander"/>
    <n v="5"/>
    <s v="Abroad"/>
    <m/>
    <m/>
    <m/>
    <m/>
    <m/>
    <m/>
    <m/>
    <m/>
    <m/>
  </r>
  <r>
    <s v="Senior Level Visit"/>
    <s v="Southeast Asia"/>
    <s v="Asia"/>
    <s v="No Specific Relationship"/>
    <s v="None"/>
    <s v="INDOPACOM"/>
    <s v="Vietnam"/>
    <x v="15"/>
    <n v="12"/>
    <x v="4"/>
    <s v="Zhang Haiyang"/>
    <m/>
    <s v="Chengdu MR Political Commissar"/>
    <n v="6"/>
    <s v="Abroad"/>
    <m/>
    <m/>
    <m/>
    <m/>
    <m/>
    <m/>
    <m/>
    <m/>
    <m/>
  </r>
  <r>
    <s v="Senior Level Visit"/>
    <s v="Europe"/>
    <s v="Europe and Central Asia"/>
    <s v="No Specific Relationship"/>
    <s v="NATO"/>
    <s v="EUCOM"/>
    <s v="Czech Republic"/>
    <x v="16"/>
    <n v="1"/>
    <x v="3"/>
    <s v="Cao Gangchuan"/>
    <m/>
    <s v="CMC Vice Chairman; Defense Minister"/>
    <n v="10"/>
    <s v="Hosted"/>
    <s v="COGS"/>
    <m/>
    <m/>
    <m/>
    <m/>
    <m/>
    <m/>
    <m/>
    <m/>
  </r>
  <r>
    <s v="Senior Level Visit"/>
    <s v="Northeast Asia"/>
    <s v="Asia"/>
    <s v="Comprehensive Cooperative Partnership [全面合作伙伴关系]"/>
    <s v="Bilateral Defense Treaty"/>
    <s v="INDOPACOM"/>
    <s v="South Korea"/>
    <x v="16"/>
    <n v="1"/>
    <x v="4"/>
    <s v="Ma Xiaotian"/>
    <m/>
    <s v="GSD DCGS"/>
    <n v="6"/>
    <s v="Abroad"/>
    <m/>
    <m/>
    <m/>
    <m/>
    <m/>
    <m/>
    <m/>
    <m/>
    <m/>
  </r>
  <r>
    <s v="Senior Level Visit"/>
    <s v="Southeast Asia"/>
    <s v="Asia"/>
    <s v="Strategic Partnership [战略伙伴关系]"/>
    <s v="Bilateral Defense Treaty"/>
    <s v="INDOPACOM"/>
    <s v="Thailand"/>
    <x v="16"/>
    <n v="1"/>
    <x v="3"/>
    <s v="Cao Gangchuan"/>
    <m/>
    <s v="CMC Vice Chairman; Defense Minister"/>
    <n v="10"/>
    <s v="Hosted"/>
    <s v="Defense Minister"/>
    <m/>
    <m/>
    <m/>
    <m/>
    <m/>
    <m/>
    <m/>
    <m/>
  </r>
  <r>
    <s v="Senior Level Visit"/>
    <s v="North America"/>
    <s v="America and Oceania"/>
    <s v="No Specific Relationship"/>
    <s v="N/A"/>
    <s v="NORTHCOM"/>
    <s v="United States"/>
    <x v="16"/>
    <n v="1"/>
    <x v="4"/>
    <s v="Ma Xiaotian"/>
    <m/>
    <s v="GSD DCGS"/>
    <n v="6"/>
    <s v="Abroad"/>
    <m/>
    <m/>
    <m/>
    <m/>
    <m/>
    <m/>
    <m/>
    <m/>
    <m/>
  </r>
  <r>
    <s v="Senior Level Visit"/>
    <s v="Southeast Asia"/>
    <s v="Asia"/>
    <s v="Strategic Partnership [战略伙伴关系]"/>
    <s v="None"/>
    <s v="INDOPACOM"/>
    <s v="Indonesia"/>
    <x v="16"/>
    <n v="2"/>
    <x v="3"/>
    <s v="Zhang Li"/>
    <m/>
    <s v="GLD Deputy Director"/>
    <n v="6"/>
    <s v="Hosted"/>
    <s v="Chief of Staff Navy"/>
    <m/>
    <m/>
    <m/>
    <m/>
    <m/>
    <m/>
    <m/>
    <m/>
  </r>
  <r>
    <s v="Senior Level Visit"/>
    <s v="Northeast Asia"/>
    <s v="Asia"/>
    <s v="Partnership of Friendship and Cooperation for Peace and Development [致力于和平发展的友好合作关系]"/>
    <s v="Bilateral Defense Treaty"/>
    <s v="INDOPACOM"/>
    <s v="Japan"/>
    <x v="16"/>
    <n v="2"/>
    <x v="3"/>
    <s v="Cao Gangchuan"/>
    <m/>
    <s v="CMC Vice Chairman; Defense Minister"/>
    <n v="10"/>
    <s v="Hosted"/>
    <s v="Former director-general of JDA"/>
    <m/>
    <m/>
    <m/>
    <m/>
    <m/>
    <m/>
    <m/>
    <m/>
  </r>
  <r>
    <s v="Senior Level Visit"/>
    <s v="Southeast Asia"/>
    <s v="Asia"/>
    <s v="No Specific Relationship"/>
    <s v="None"/>
    <s v="INDOPACOM"/>
    <s v="Singapore"/>
    <x v="16"/>
    <n v="2"/>
    <x v="3"/>
    <s v="Liang Guanglie"/>
    <m/>
    <s v="Defense Minister; CMC Member"/>
    <n v="8"/>
    <s v="Hosted"/>
    <s v="COGS Army"/>
    <m/>
    <m/>
    <m/>
    <m/>
    <m/>
    <m/>
    <m/>
    <m/>
  </r>
  <r>
    <s v="Senior Level Visit"/>
    <s v="South America"/>
    <s v="America and Oceania"/>
    <s v="Strategic Partnership [战略伙伴关系]"/>
    <s v="Major Non-NATO Ally"/>
    <s v="SOUTHCOM"/>
    <s v="Argentina"/>
    <x v="16"/>
    <n v="3"/>
    <x v="4"/>
    <s v="Zhang Li"/>
    <m/>
    <s v="GLD Deputy Director"/>
    <n v="6"/>
    <s v="Abroad"/>
    <m/>
    <m/>
    <m/>
    <m/>
    <m/>
    <m/>
    <m/>
    <m/>
    <m/>
  </r>
  <r>
    <s v="Senior Level Visit"/>
    <s v="South America"/>
    <s v="America and Oceania"/>
    <s v="No Specific Relationship"/>
    <s v="None"/>
    <s v="SOUTHCOM"/>
    <s v="Cuba"/>
    <x v="16"/>
    <n v="3"/>
    <x v="4"/>
    <s v="Zhao Keshi"/>
    <m/>
    <s v="Nanjing MR Commander"/>
    <n v="6"/>
    <s v="Abroad"/>
    <m/>
    <m/>
    <m/>
    <m/>
    <m/>
    <m/>
    <m/>
    <m/>
    <m/>
  </r>
  <r>
    <s v="Senior Level Visit"/>
    <s v="South America"/>
    <s v="America and Oceania"/>
    <s v="No Specific Relationship"/>
    <s v="None"/>
    <s v="SOUTHCOM"/>
    <s v="Ecuador"/>
    <x v="16"/>
    <n v="3"/>
    <x v="4"/>
    <s v="Zhang Li"/>
    <m/>
    <s v="GLD Deputy Director"/>
    <n v="6"/>
    <s v="Abroad"/>
    <m/>
    <m/>
    <m/>
    <m/>
    <m/>
    <m/>
    <m/>
    <m/>
    <m/>
  </r>
  <r>
    <s v="Senior Level Visit"/>
    <s v="Europe"/>
    <s v="Europe and Central Asia"/>
    <s v="Comprehensive Partnership [全面伙伴关系]"/>
    <s v="NATO"/>
    <s v="EUCOM"/>
    <s v="France"/>
    <x v="16"/>
    <n v="3"/>
    <x v="3"/>
    <s v="Cao Gangchuan"/>
    <m/>
    <s v="CMC Vice Chairman; Defense Minister"/>
    <n v="10"/>
    <s v="Hosted"/>
    <s v="Defense Minister"/>
    <m/>
    <m/>
    <m/>
    <m/>
    <m/>
    <m/>
    <m/>
    <m/>
  </r>
  <r>
    <s v="Senior Level Visit"/>
    <s v="Middle East"/>
    <s v="West Asia and Africa"/>
    <s v="No Specific Relationship"/>
    <s v="Major Non-NATO Ally"/>
    <s v="CENTCOM"/>
    <s v="Jordan"/>
    <x v="16"/>
    <n v="3"/>
    <x v="3"/>
    <s v="Qiao Qingchen"/>
    <m/>
    <s v="PLAAF Commander; CMC Member"/>
    <n v="8"/>
    <s v="Hosted"/>
    <s v="Air Force Commander"/>
    <m/>
    <m/>
    <m/>
    <m/>
    <m/>
    <m/>
    <m/>
    <m/>
  </r>
  <r>
    <s v="Senior Level Visit"/>
    <s v="Southeast Asia"/>
    <s v="Asia"/>
    <s v="Comprehensive Cooperative Partnership [全面合作伙伴关系]"/>
    <s v="None"/>
    <s v="INDOPACOM"/>
    <s v="Laos"/>
    <x v="16"/>
    <n v="3"/>
    <x v="3"/>
    <s v="Cao Gangchuan"/>
    <m/>
    <s v="CMC Vice Chairman; Defense Minister"/>
    <n v="10"/>
    <s v="Hosted"/>
    <s v="Defense Minister"/>
    <m/>
    <m/>
    <m/>
    <m/>
    <m/>
    <m/>
    <m/>
    <m/>
  </r>
  <r>
    <s v="Military Exercise"/>
    <s v="South Asia"/>
    <s v="Asia"/>
    <s v="Strategic Partnership [战略伙伴关系]"/>
    <s v="Major Non-NATO Ally"/>
    <s v="CENTCOM"/>
    <s v="Pakistan"/>
    <x v="16"/>
    <n v="3"/>
    <x v="6"/>
    <m/>
    <m/>
    <m/>
    <m/>
    <m/>
    <m/>
    <s v="MOOTW"/>
    <s v="Aman"/>
    <s v="Navy"/>
    <s v="Maritime in Arabian Sea; Pakistan and 10 other countries"/>
    <m/>
    <m/>
    <m/>
    <m/>
  </r>
  <r>
    <s v="Senior Level Visit"/>
    <s v="Southeast Asia"/>
    <s v="Asia"/>
    <s v="Strategic Cooperative Partnership [战略合作伙伴关系]"/>
    <s v="Bilateral Defense Treaty"/>
    <s v="INDOPACOM"/>
    <s v="Philippines"/>
    <x v="16"/>
    <n v="3"/>
    <x v="3"/>
    <s v="Liao Xilong"/>
    <m/>
    <s v="GLD Director; CMC Member"/>
    <n v="8"/>
    <s v="Hosted"/>
    <s v="Deputy Chief of Staff"/>
    <m/>
    <m/>
    <m/>
    <m/>
    <m/>
    <m/>
    <m/>
    <m/>
  </r>
  <r>
    <s v="Senior Level Visit"/>
    <s v="Russia"/>
    <s v="Europe and Central Asia"/>
    <s v="Strategic Partnership of Coordination [战略协作伙伴关系]"/>
    <s v="None"/>
    <s v="EUCOM"/>
    <s v="Russia"/>
    <x v="16"/>
    <n v="3"/>
    <x v="3"/>
    <s v="Cao Gangchuan"/>
    <m/>
    <s v="CMC Vice Chairman; Defense Minister"/>
    <n v="10"/>
    <s v="Hosted"/>
    <s v="COGS"/>
    <m/>
    <m/>
    <m/>
    <m/>
    <m/>
    <m/>
    <m/>
    <m/>
  </r>
  <r>
    <s v="Senior Level Visit"/>
    <s v="North America"/>
    <s v="America and Oceania"/>
    <s v="No Specific Relationship"/>
    <s v="N/A"/>
    <s v="NORTHCOM"/>
    <s v="United States"/>
    <x v="16"/>
    <n v="3"/>
    <x v="3"/>
    <s v="Guo Boxiong"/>
    <m/>
    <s v="CMC Vice Chairman"/>
    <n v="10"/>
    <s v="Hosted"/>
    <m/>
    <m/>
    <m/>
    <m/>
    <m/>
    <m/>
    <m/>
    <m/>
    <m/>
  </r>
  <r>
    <s v="Senior Level Visit"/>
    <s v="South America"/>
    <s v="America and Oceania"/>
    <s v="Strategic Development Partnership [战略发展伙伴关系]"/>
    <s v="None"/>
    <s v="SOUTHCOM"/>
    <s v="Venezuela"/>
    <x v="16"/>
    <n v="3"/>
    <x v="4"/>
    <s v="Zhang Li"/>
    <m/>
    <s v="GLD Deputy Director"/>
    <n v="6"/>
    <s v="Abroad"/>
    <m/>
    <m/>
    <m/>
    <m/>
    <m/>
    <m/>
    <m/>
    <m/>
    <m/>
  </r>
  <r>
    <s v="Senior Level Visit"/>
    <s v="Africa"/>
    <s v="West Asia and Africa"/>
    <s v="No Specific Relationship"/>
    <s v="None"/>
    <s v="AFRICOM"/>
    <s v="Zimbabwe"/>
    <x v="16"/>
    <n v="3"/>
    <x v="3"/>
    <s v="Zhang Li"/>
    <m/>
    <s v="GLD Deputy Director"/>
    <n v="6"/>
    <s v="Hosted"/>
    <s v="Chief of Staff of Defense Force"/>
    <m/>
    <m/>
    <m/>
    <m/>
    <m/>
    <m/>
    <m/>
    <m/>
  </r>
  <r>
    <s v="Senior Level Visit"/>
    <s v="Europe"/>
    <s v="Europe and Central Asia"/>
    <s v="Strategic Partnership [战略伙伴关系]"/>
    <s v="None"/>
    <s v="EUCOM"/>
    <s v="Belarus"/>
    <x v="16"/>
    <n v="4"/>
    <x v="3"/>
    <s v="Cao Gangchuan"/>
    <m/>
    <s v="CMC Vice Chairman; Defense Minister"/>
    <n v="8"/>
    <s v="Hosted"/>
    <s v="Defense Minister"/>
    <m/>
    <m/>
    <m/>
    <m/>
    <m/>
    <m/>
    <m/>
    <m/>
  </r>
  <r>
    <s v="Senior Level Visit"/>
    <s v="Europe"/>
    <s v="Europe and Central Asia"/>
    <s v="No Specific Relationship"/>
    <s v="NATO"/>
    <s v="EUCOM"/>
    <s v="Belgium"/>
    <x v="16"/>
    <n v="4"/>
    <x v="4"/>
    <s v="Zhang Li"/>
    <m/>
    <s v="GLD Deputy Director"/>
    <n v="6"/>
    <s v="Abroad"/>
    <m/>
    <m/>
    <m/>
    <m/>
    <m/>
    <m/>
    <m/>
    <m/>
    <m/>
  </r>
  <r>
    <s v="Senior Level Visit"/>
    <s v="South America"/>
    <s v="America and Oceania"/>
    <s v="No Specific Relationship"/>
    <s v="None"/>
    <s v="SOUTHCOM"/>
    <s v="Bolivia"/>
    <x v="16"/>
    <n v="4"/>
    <x v="3"/>
    <s v="Cao Gangchuan"/>
    <m/>
    <s v="CMC Vice Chairman; Defense Minister"/>
    <n v="10"/>
    <s v="Hosted"/>
    <s v="Chief of the Armed Forces"/>
    <m/>
    <m/>
    <m/>
    <m/>
    <m/>
    <m/>
    <m/>
    <m/>
  </r>
  <r>
    <s v="Senior Level Visit"/>
    <s v="Southeast Asia"/>
    <s v="Asia"/>
    <s v="Comprehensive Cooperative Partnership [全面合作伙伴关系]"/>
    <s v="None"/>
    <s v="INDOPACOM"/>
    <s v="Cambodia"/>
    <x v="16"/>
    <n v="4"/>
    <x v="3"/>
    <s v="Cao Gangchuan"/>
    <m/>
    <s v="CMC Vice Chairman; Defense Minister"/>
    <n v="10"/>
    <s v="Hosted"/>
    <s v="Secretary of Defense"/>
    <m/>
    <m/>
    <m/>
    <m/>
    <m/>
    <m/>
    <m/>
    <m/>
  </r>
  <r>
    <s v="Senior Level Visit"/>
    <s v="Europe"/>
    <s v="Europe and Central Asia"/>
    <s v="Comprehensive Partnership [全面伙伴关系]"/>
    <s v="NATO"/>
    <s v="EUCOM"/>
    <s v="France"/>
    <x v="16"/>
    <n v="4"/>
    <x v="4"/>
    <s v="Wu Shengli"/>
    <m/>
    <s v="PLAN Commander; CMC Member"/>
    <n v="8"/>
    <s v="Abroad"/>
    <m/>
    <m/>
    <m/>
    <m/>
    <m/>
    <m/>
    <m/>
    <m/>
    <m/>
  </r>
  <r>
    <s v="Senior Level Visit"/>
    <s v="Africa"/>
    <s v="West Asia and Africa"/>
    <s v="No Specific Relationship"/>
    <s v="None"/>
    <s v="AFRICOM"/>
    <s v="Gabon"/>
    <x v="16"/>
    <n v="4"/>
    <x v="3"/>
    <s v="Cao Gangchuan"/>
    <m/>
    <s v="CMC Vice Chairman; Defense Minister"/>
    <n v="10"/>
    <s v="Hosted"/>
    <s v="Defense Minister"/>
    <m/>
    <m/>
    <m/>
    <m/>
    <m/>
    <m/>
    <m/>
    <m/>
  </r>
  <r>
    <s v="Senior Level Visit"/>
    <s v="Europe"/>
    <s v="Europe and Central Asia"/>
    <s v="No Specific Relationship"/>
    <s v="NATO"/>
    <s v="EUCOM"/>
    <s v="Germany"/>
    <x v="16"/>
    <n v="4"/>
    <x v="3"/>
    <s v="Cao Gangchuan"/>
    <m/>
    <s v="CMC Vice Chairman; Defense Minister"/>
    <n v="10"/>
    <s v="Hosted"/>
    <s v="Defense Minister"/>
    <m/>
    <m/>
    <m/>
    <m/>
    <m/>
    <m/>
    <m/>
    <m/>
  </r>
  <r>
    <s v="Senior Level Visit"/>
    <s v="Southeast Asia"/>
    <s v="Asia"/>
    <s v="Strategic Partnership [战略伙伴关系]"/>
    <s v="None"/>
    <s v="INDOPACOM"/>
    <s v="Indonesia"/>
    <x v="16"/>
    <n v="4"/>
    <x v="3"/>
    <s v="Zhang Li"/>
    <m/>
    <s v="GLD Deputy Director"/>
    <n v="6"/>
    <s v="Hosted"/>
    <s v="General Secretary of Defense Ministry"/>
    <m/>
    <m/>
    <m/>
    <m/>
    <m/>
    <m/>
    <m/>
    <m/>
  </r>
  <r>
    <s v="Senior Level Visit"/>
    <s v="Africa"/>
    <s v="West Asia and Africa"/>
    <s v="No Specific Relationship"/>
    <s v="Major Non-NATO Ally"/>
    <s v="AFRICOM"/>
    <s v="Morocco"/>
    <x v="16"/>
    <n v="4"/>
    <x v="4"/>
    <s v="Zhang Li"/>
    <m/>
    <s v="GLD Deputy Director"/>
    <n v="6"/>
    <s v="Abroad"/>
    <m/>
    <m/>
    <m/>
    <m/>
    <m/>
    <m/>
    <m/>
    <m/>
    <m/>
  </r>
  <r>
    <s v="Senior Level Visit"/>
    <s v="Africa"/>
    <s v="West Asia and Africa"/>
    <s v="No Specific Relationship"/>
    <s v="None"/>
    <s v="AFRICOM"/>
    <s v="Mozambique"/>
    <x v="16"/>
    <n v="4"/>
    <x v="4"/>
    <s v="Deng Changyou"/>
    <m/>
    <s v="PLAAF Political Commissar"/>
    <n v="6"/>
    <s v="Abroad"/>
    <m/>
    <m/>
    <m/>
    <m/>
    <m/>
    <m/>
    <m/>
    <m/>
    <m/>
  </r>
  <r>
    <s v="Senior Level Visit"/>
    <s v="Africa"/>
    <s v="West Asia and Africa"/>
    <s v="Strategic Partnership [战略伙伴关系]"/>
    <s v="None"/>
    <s v="AFRICOM"/>
    <s v="Nigeria"/>
    <x v="16"/>
    <n v="4"/>
    <x v="3"/>
    <s v="Cao Gangchuan"/>
    <m/>
    <s v="CMC Vice Chairman; Defense Minister"/>
    <n v="10"/>
    <s v="Hosted"/>
    <s v="Defense Minister"/>
    <m/>
    <m/>
    <m/>
    <m/>
    <m/>
    <m/>
    <m/>
    <m/>
  </r>
  <r>
    <s v="Senior Level Visit"/>
    <s v="South Asia"/>
    <s v="Asia"/>
    <s v="Strategic Partnership [战略伙伴关系]"/>
    <s v="Major Non-NATO Ally"/>
    <s v="CENTCOM"/>
    <s v="Pakistan"/>
    <x v="16"/>
    <n v="4"/>
    <x v="3"/>
    <s v="Cao Gangchuan"/>
    <m/>
    <s v="CMC Vice Chairman; Defense Minister"/>
    <n v="10"/>
    <s v="Hosted"/>
    <s v="Chairman JCS"/>
    <m/>
    <m/>
    <m/>
    <m/>
    <m/>
    <m/>
    <m/>
    <m/>
  </r>
  <r>
    <s v="Senior Level Visit"/>
    <s v="Northeast Asia"/>
    <s v="Asia"/>
    <s v="Comprehensive Cooperative Partnership [全面合作伙伴关系]"/>
    <s v="Bilateral Defense Treaty"/>
    <s v="INDOPACOM"/>
    <s v="South Korea"/>
    <x v="16"/>
    <n v="4"/>
    <x v="3"/>
    <s v="Liang Guanglie"/>
    <m/>
    <s v="Defense Minister; CMC Member"/>
    <n v="8"/>
    <s v="Hosted"/>
    <s v="Defense Minister"/>
    <m/>
    <m/>
    <m/>
    <m/>
    <m/>
    <m/>
    <m/>
    <m/>
  </r>
  <r>
    <s v="Senior Level Visit"/>
    <s v="Africa"/>
    <s v="West Asia and Africa"/>
    <s v="No Specific Relationship"/>
    <s v="None"/>
    <s v="AFRICOM"/>
    <s v="Sudan"/>
    <x v="16"/>
    <n v="4"/>
    <x v="3"/>
    <s v="Liang Guanglie"/>
    <m/>
    <s v="Defense Minister; CMC Member"/>
    <n v="8"/>
    <s v="Hosted"/>
    <s v="Chief of the Joint Staff"/>
    <m/>
    <m/>
    <m/>
    <m/>
    <m/>
    <m/>
    <m/>
    <m/>
  </r>
  <r>
    <s v="Senior Level Visit"/>
    <s v="Europe"/>
    <s v="Europe and Central Asia"/>
    <s v="No Specific Relationship"/>
    <s v="None"/>
    <s v="EUCOM"/>
    <s v="Switzerland"/>
    <x v="16"/>
    <n v="4"/>
    <x v="3"/>
    <s v="Qiao Qingchen"/>
    <m/>
    <s v="PLAAF Commander; CMC Member"/>
    <n v="8"/>
    <s v="Hosted"/>
    <s v="Air Force Commander"/>
    <m/>
    <m/>
    <m/>
    <m/>
    <m/>
    <m/>
    <m/>
    <m/>
  </r>
  <r>
    <s v="Senior Level Visit"/>
    <s v="Europe"/>
    <s v="Europe and Central Asia"/>
    <s v="Comprehensive Strategic Partnership [全面战略伙伴关系]"/>
    <s v="NATO"/>
    <s v="EUCOM"/>
    <s v="United Kingdom"/>
    <x v="16"/>
    <n v="4"/>
    <x v="4"/>
    <s v="Cao Gangchuan"/>
    <m/>
    <s v="CMC Vice Chairman; Defense Minister"/>
    <n v="8"/>
    <s v="Hosted"/>
    <s v="COGS"/>
    <m/>
    <m/>
    <m/>
    <m/>
    <m/>
    <m/>
    <m/>
    <m/>
  </r>
  <r>
    <s v="Senior Level Visit"/>
    <s v="North America"/>
    <s v="America and Oceania"/>
    <s v="No Specific Relationship"/>
    <s v="N/A"/>
    <s v="NORTHCOM"/>
    <s v="United States"/>
    <x v="16"/>
    <n v="4"/>
    <x v="4"/>
    <s v="Wu Shengli"/>
    <m/>
    <s v="PLAN Commander; CMC Member"/>
    <n v="8"/>
    <s v="Hosted"/>
    <s v="Chief of Staff Air Force"/>
    <m/>
    <m/>
    <m/>
    <m/>
    <m/>
    <m/>
    <m/>
    <m/>
  </r>
  <r>
    <s v="Senior Level Visit"/>
    <s v="Africa"/>
    <s v="West Asia and Africa"/>
    <s v="No Specific Relationship"/>
    <s v="None"/>
    <s v="AFRICOM"/>
    <s v="Zambia"/>
    <x v="16"/>
    <n v="4"/>
    <x v="4"/>
    <s v="Deng Changyou"/>
    <m/>
    <s v="PLAAF Political Commissar"/>
    <n v="6"/>
    <s v="Abroad"/>
    <m/>
    <m/>
    <m/>
    <m/>
    <m/>
    <m/>
    <m/>
    <m/>
    <m/>
  </r>
  <r>
    <s v="Senior Level Visit"/>
    <s v="Africa"/>
    <s v="West Asia and Africa"/>
    <s v="No Specific Relationship"/>
    <s v="None"/>
    <s v="AFRICOM"/>
    <s v="Zimbabwe"/>
    <x v="16"/>
    <n v="4"/>
    <x v="4"/>
    <s v="Deng Changyou"/>
    <m/>
    <s v="PLAAF Political Commissar"/>
    <n v="6"/>
    <s v="Abroad"/>
    <m/>
    <m/>
    <m/>
    <m/>
    <m/>
    <m/>
    <m/>
    <m/>
    <m/>
  </r>
  <r>
    <s v="Senior Level Visit"/>
    <s v="South America"/>
    <s v="America and Oceania"/>
    <s v="Strategic Partnership [战略伙伴关系]"/>
    <s v="Major Non-NATO Ally"/>
    <s v="SOUTHCOM"/>
    <s v="Argentina"/>
    <x v="16"/>
    <n v="5"/>
    <x v="4"/>
    <s v="Cao Gangchuan"/>
    <m/>
    <s v="CMC Vice Chairman; Defense Minister"/>
    <n v="10"/>
    <s v="Abroad"/>
    <s v="Defense Minister"/>
    <m/>
    <m/>
    <m/>
    <m/>
    <m/>
    <m/>
    <m/>
    <m/>
  </r>
  <r>
    <s v="Senior Level Visit"/>
    <s v="South America"/>
    <s v="America and Oceania"/>
    <s v="Strategic Partnership [战略伙伴关系]"/>
    <s v="Major Non-NATO Ally"/>
    <s v="SOUTHCOM"/>
    <s v="Argentina"/>
    <x v="16"/>
    <n v="5"/>
    <x v="3"/>
    <s v="Cao Gangchuan"/>
    <m/>
    <s v="CMC Vice Chairman; Defense Minister"/>
    <n v="10"/>
    <s v="Hosted"/>
    <s v="Defense Minister"/>
    <m/>
    <m/>
    <m/>
    <m/>
    <m/>
    <m/>
    <m/>
    <m/>
  </r>
  <r>
    <s v="Senior Level Visit"/>
    <s v="Oceania"/>
    <s v="America and Oceania"/>
    <s v="No Specific Relationship"/>
    <s v="ANZUS Treaty"/>
    <s v="INDOPACOM"/>
    <s v="Australia"/>
    <x v="16"/>
    <n v="5"/>
    <x v="4"/>
    <s v="Zhang Yang"/>
    <m/>
    <s v="Guangzhou MR Political Commissar"/>
    <n v="6"/>
    <s v="Abroad"/>
    <m/>
    <m/>
    <m/>
    <m/>
    <m/>
    <m/>
    <m/>
    <m/>
    <m/>
  </r>
  <r>
    <s v="Senior Level Visit"/>
    <s v="Europe"/>
    <s v="Europe and Central Asia"/>
    <s v="No Specific Relationship"/>
    <s v="None"/>
    <s v="EUCOM"/>
    <s v="Azerbaijan"/>
    <x v="16"/>
    <n v="5"/>
    <x v="3"/>
    <s v="Cao Gangchuan"/>
    <m/>
    <s v="CMC Vice Chairman; Defense Minister"/>
    <n v="10"/>
    <s v="Hosted"/>
    <s v="COGS"/>
    <m/>
    <m/>
    <m/>
    <m/>
    <m/>
    <m/>
    <m/>
    <m/>
  </r>
  <r>
    <s v="Senior Level Visit"/>
    <s v="South Asia"/>
    <s v="Asia"/>
    <s v="Comprehensive Cooperative Partnership [全面合作伙伴关系]"/>
    <s v="None"/>
    <s v="INDOPACOM"/>
    <s v="Bangladesh"/>
    <x v="16"/>
    <n v="5"/>
    <x v="3"/>
    <s v="Cao Gangchuan"/>
    <m/>
    <s v="CMC Vice Chairman; Defense Minister"/>
    <n v="10"/>
    <s v="Hosted"/>
    <s v="Air Force Chief of Staff"/>
    <m/>
    <m/>
    <m/>
    <m/>
    <m/>
    <m/>
    <m/>
    <m/>
  </r>
  <r>
    <s v="Senior Level Visit"/>
    <s v="South America"/>
    <s v="America and Oceania"/>
    <s v="Comprehensive Strategic Partnership [全面战略伙伴关系]"/>
    <s v="None"/>
    <s v="SOUTHCOM"/>
    <s v="Brazil"/>
    <x v="16"/>
    <n v="5"/>
    <x v="4"/>
    <s v="Ma Xiaotian"/>
    <m/>
    <s v="GSD DCGS"/>
    <n v="6"/>
    <s v="Abroad"/>
    <m/>
    <m/>
    <m/>
    <m/>
    <m/>
    <m/>
    <m/>
    <m/>
    <m/>
  </r>
  <r>
    <s v="Senior Level Visit"/>
    <s v="South America"/>
    <s v="America and Oceania"/>
    <s v="Comprehensive Partnership [全面伙伴关系]"/>
    <s v="None"/>
    <s v="SOUTHCOM"/>
    <s v="Chile"/>
    <x v="16"/>
    <n v="5"/>
    <x v="4"/>
    <s v="Cao Gangchuan"/>
    <m/>
    <s v="CMC Vice Chairman; Defense Minister"/>
    <n v="10"/>
    <s v="Abroad"/>
    <s v="Army Commander"/>
    <m/>
    <m/>
    <m/>
    <m/>
    <m/>
    <m/>
    <m/>
    <m/>
  </r>
  <r>
    <s v="Senior Level Visit"/>
    <s v="South America"/>
    <s v="America and Oceania"/>
    <s v="No Specific Relationship"/>
    <s v="None"/>
    <s v="SOUTHCOM"/>
    <s v="Cuba"/>
    <x v="16"/>
    <n v="5"/>
    <x v="4"/>
    <s v="Cao Gangchuan"/>
    <m/>
    <s v="CMC Vice Chairman; Defense Minister"/>
    <n v="10"/>
    <s v="Abroad"/>
    <m/>
    <m/>
    <m/>
    <m/>
    <m/>
    <m/>
    <m/>
    <m/>
    <m/>
  </r>
  <r>
    <s v="Senior Level Visit"/>
    <s v="Europe"/>
    <s v="Europe and Central Asia"/>
    <s v="Comprehensive Strategic Partnership [全面战略伙伴关系]"/>
    <s v="NATO"/>
    <s v="EUCOM"/>
    <s v="Greece"/>
    <x v="16"/>
    <n v="5"/>
    <x v="4"/>
    <s v="Cao Gangchuan"/>
    <m/>
    <s v="CMC Vice Chairman; Defense Minister"/>
    <n v="10"/>
    <s v="Abroad"/>
    <s v="Defense Minister"/>
    <m/>
    <m/>
    <m/>
    <m/>
    <m/>
    <m/>
    <m/>
    <m/>
  </r>
  <r>
    <s v="Senior Level Visit"/>
    <s v="Europe"/>
    <s v="Europe and Central Asia"/>
    <s v="No Specific Relationship"/>
    <s v="NATO"/>
    <s v="EUCOM"/>
    <s v="Hungary"/>
    <x v="16"/>
    <n v="5"/>
    <x v="3"/>
    <s v="Cao Gangchuan"/>
    <m/>
    <s v="CMC Vice Chairman; Defense Minister"/>
    <n v="10"/>
    <s v="Hosted"/>
    <s v="Defense Minister"/>
    <m/>
    <m/>
    <m/>
    <m/>
    <m/>
    <m/>
    <m/>
    <m/>
  </r>
  <r>
    <s v="Senior Level Visit"/>
    <s v="South Asia"/>
    <s v="Asia"/>
    <s v="Strategic Partnership for Peace and Prosperity [战略伙伴关系]"/>
    <s v="None"/>
    <s v="INDOPACOM"/>
    <s v="India"/>
    <x v="16"/>
    <n v="5"/>
    <x v="3"/>
    <s v="Guo Boxiong"/>
    <m/>
    <s v="CMC Vice Chairman"/>
    <n v="10"/>
    <s v="Hosted"/>
    <s v="Army Chief of Staff"/>
    <m/>
    <m/>
    <m/>
    <m/>
    <m/>
    <m/>
    <m/>
    <m/>
  </r>
  <r>
    <s v="Senior Level Visit"/>
    <s v="Europe"/>
    <s v="Europe and Central Asia"/>
    <s v="Comprehensive Strategic Partnership [全面战略伙伴关系]"/>
    <s v="NATO"/>
    <s v="EUCOM"/>
    <s v="Italy"/>
    <x v="16"/>
    <n v="5"/>
    <x v="4"/>
    <s v="Chang Wanquan"/>
    <m/>
    <s v="GAD Director; CMC Member"/>
    <n v="8"/>
    <s v="Abroad"/>
    <m/>
    <m/>
    <m/>
    <m/>
    <m/>
    <m/>
    <m/>
    <m/>
    <m/>
  </r>
  <r>
    <s v="Senior Level Visit"/>
    <s v="North America"/>
    <s v="America and Oceania"/>
    <s v="Strategic Cooperative Partnership [战略合作伙伴关系]"/>
    <s v="None"/>
    <s v="NORTHCOM"/>
    <s v="Mexico"/>
    <x v="16"/>
    <n v="5"/>
    <x v="4"/>
    <s v="Ma Xiaotian"/>
    <m/>
    <s v="GSD DCGS"/>
    <n v="6"/>
    <s v="Abroad"/>
    <m/>
    <m/>
    <m/>
    <m/>
    <m/>
    <m/>
    <m/>
    <m/>
    <m/>
  </r>
  <r>
    <s v="Senior Level Visit"/>
    <s v="Northeast Asia"/>
    <s v="Asia"/>
    <s v="No Specific Relationship"/>
    <s v="None"/>
    <s v="INDOPACOM"/>
    <s v="Mongolia"/>
    <x v="16"/>
    <n v="5"/>
    <x v="4"/>
    <s v="Chen Bingde"/>
    <m/>
    <s v="GSD Commander; CMC Member"/>
    <n v="8"/>
    <s v="Abroad"/>
    <m/>
    <m/>
    <m/>
    <m/>
    <m/>
    <m/>
    <m/>
    <m/>
    <m/>
  </r>
  <r>
    <s v="Senior Level Visit"/>
    <s v="Africa"/>
    <s v="West Asia and Africa"/>
    <s v="No Specific Relationship"/>
    <s v="Major Non-NATO Ally"/>
    <s v="AFRICOM"/>
    <s v="Morocco"/>
    <x v="16"/>
    <n v="5"/>
    <x v="3"/>
    <s v="Cao Gangchuan"/>
    <m/>
    <s v="CMC Vice Chairman; Defense Minister"/>
    <n v="10"/>
    <s v="Hosted"/>
    <s v="Inspector General of Armed Forces"/>
    <m/>
    <m/>
    <m/>
    <m/>
    <m/>
    <m/>
    <m/>
    <m/>
  </r>
  <r>
    <s v="Senior Level Visit"/>
    <s v="Africa"/>
    <s v="West Asia and Africa"/>
    <s v="No Specific Relationship"/>
    <s v="None"/>
    <s v="AFRICOM"/>
    <s v="Namibia"/>
    <x v="16"/>
    <n v="5"/>
    <x v="3"/>
    <s v="Guo Boxiong"/>
    <m/>
    <s v="CMC Vice Chairman"/>
    <n v="10"/>
    <s v="Hosted"/>
    <s v="Chief of Defense Force"/>
    <m/>
    <m/>
    <m/>
    <m/>
    <m/>
    <m/>
    <m/>
    <m/>
  </r>
  <r>
    <s v="Senior Level Visit"/>
    <s v="Oceania"/>
    <s v="America and Oceania"/>
    <s v="No Specific Relationship"/>
    <s v="ANZUS Treaty"/>
    <s v="INDOPACOM"/>
    <s v="New Zealand"/>
    <x v="16"/>
    <n v="5"/>
    <x v="4"/>
    <s v="Zhang Yang"/>
    <m/>
    <s v="Guangzhou MR Political Commissar"/>
    <n v="6"/>
    <s v="Abroad"/>
    <m/>
    <m/>
    <m/>
    <m/>
    <m/>
    <m/>
    <m/>
    <m/>
    <m/>
  </r>
  <r>
    <s v="Senior Level Visit"/>
    <s v="Southeast Asia"/>
    <s v="Asia"/>
    <s v="Strategic Cooperative Partnership [战略合作伙伴关系]"/>
    <s v="Bilateral Defense Treaty"/>
    <s v="INDOPACOM"/>
    <s v="Philippines"/>
    <x v="16"/>
    <n v="5"/>
    <x v="4"/>
    <s v="Ma Xiaotian"/>
    <m/>
    <s v="GSD DCGS"/>
    <n v="6"/>
    <s v="Abroad"/>
    <m/>
    <m/>
    <m/>
    <m/>
    <m/>
    <m/>
    <m/>
    <m/>
    <m/>
  </r>
  <r>
    <s v="Senior Level Visit"/>
    <s v="Africa"/>
    <s v="West Asia and Africa"/>
    <s v="No Specific Relationship"/>
    <s v="None"/>
    <s v="AFRICOM"/>
    <s v="Rwanda"/>
    <x v="16"/>
    <n v="5"/>
    <x v="4"/>
    <s v="Zhang Youxia"/>
    <m/>
    <s v="Shenyang MR Commander"/>
    <n v="6"/>
    <s v="Abroad"/>
    <m/>
    <m/>
    <m/>
    <m/>
    <m/>
    <m/>
    <m/>
    <m/>
    <m/>
  </r>
  <r>
    <s v="Military Exercise"/>
    <s v="Central Asia"/>
    <s v="Europe and Central Asia"/>
    <s v="Member"/>
    <s v="None"/>
    <s v="CENTCOM"/>
    <s v="SCO"/>
    <x v="16"/>
    <n v="5"/>
    <x v="6"/>
    <m/>
    <m/>
    <m/>
    <m/>
    <m/>
    <m/>
    <s v="Anti-terrorism"/>
    <s v="Issyuk-Kul Antiterror-2007"/>
    <s v="Army"/>
    <s v="anti-terrorism exercise in Kyrgyzstan; Countries: Russia, China, Tajikistan, Kazakhstan, Uzbekistan and Kyrgyzstan; intelligence services, special forces, and law enforcement; exercises in mountains and hostage scenarios"/>
    <m/>
    <m/>
    <m/>
    <m/>
  </r>
  <r>
    <s v="Senior Level Visit"/>
    <s v="Europe"/>
    <s v="Europe and Central Asia"/>
    <s v="No Specific Relationship"/>
    <s v="None"/>
    <s v="EUCOM"/>
    <s v="Serbia"/>
    <x v="16"/>
    <n v="5"/>
    <x v="3"/>
    <s v="Cao Gangchuan"/>
    <m/>
    <s v="CMC Vice Chairman; Defense Minister"/>
    <n v="10"/>
    <s v="Hosted"/>
    <s v="COGS"/>
    <m/>
    <m/>
    <m/>
    <m/>
    <m/>
    <m/>
    <m/>
    <m/>
  </r>
  <r>
    <s v="Naval Port Call"/>
    <s v="Southeast Asia"/>
    <s v="Asia"/>
    <s v="No Specific Relationship"/>
    <s v="None"/>
    <s v="INDOPACOM"/>
    <s v="Singapore"/>
    <x v="16"/>
    <n v="5"/>
    <x v="0"/>
    <m/>
    <m/>
    <m/>
    <m/>
    <m/>
    <m/>
    <m/>
    <m/>
    <m/>
    <m/>
    <s v="NETF"/>
    <s v="NETF"/>
    <m/>
    <s v="PLAN Frigate IMDEX07"/>
  </r>
  <r>
    <s v="Senior Level Visit"/>
    <s v="Europe"/>
    <s v="Europe and Central Asia"/>
    <s v="No Specific Relationship"/>
    <s v="NATO"/>
    <s v="EUCOM"/>
    <s v="Slovakia"/>
    <x v="16"/>
    <n v="5"/>
    <x v="3"/>
    <s v="Cao Gangchuan"/>
    <m/>
    <s v="CMC Vice Chairman; Defense Minister"/>
    <n v="10"/>
    <s v="Hosted"/>
    <s v="Defense Minister"/>
    <m/>
    <m/>
    <m/>
    <m/>
    <m/>
    <m/>
    <m/>
    <m/>
  </r>
  <r>
    <s v="Senior Level Visit"/>
    <s v="Northeast Asia"/>
    <s v="Asia"/>
    <s v="Comprehensive Cooperative Partnership [全面合作伙伴关系]"/>
    <s v="Bilateral Defense Treaty"/>
    <s v="INDOPACOM"/>
    <s v="South Korea"/>
    <x v="16"/>
    <n v="5"/>
    <x v="4"/>
    <s v="Chen Bingde"/>
    <m/>
    <s v="GSD Commander; CMC Member"/>
    <n v="8"/>
    <s v="Abroad"/>
    <m/>
    <m/>
    <m/>
    <m/>
    <m/>
    <m/>
    <m/>
    <m/>
    <m/>
  </r>
  <r>
    <s v="Senior Level Visit"/>
    <s v="Africa"/>
    <s v="West Asia and Africa"/>
    <s v="No Specific Relationship"/>
    <s v="None"/>
    <s v="AFRICOM"/>
    <s v="Sudan"/>
    <x v="16"/>
    <n v="5"/>
    <x v="4"/>
    <s v="Zhang Youxia"/>
    <m/>
    <s v="Shenyang MR Commander"/>
    <n v="6"/>
    <s v="Abroad"/>
    <m/>
    <m/>
    <m/>
    <m/>
    <m/>
    <m/>
    <m/>
    <m/>
    <m/>
  </r>
  <r>
    <s v="Senior Level Visit"/>
    <s v="Europe"/>
    <s v="Europe and Central Asia"/>
    <s v="No Specific Relationship"/>
    <s v="None"/>
    <s v="EUCOM"/>
    <s v="Switzerland"/>
    <x v="16"/>
    <n v="5"/>
    <x v="4"/>
    <s v="Cao Gangchuan"/>
    <m/>
    <s v="CMC Vice Chairman; Defense Minister"/>
    <n v="10"/>
    <s v="Abroad"/>
    <m/>
    <m/>
    <m/>
    <m/>
    <m/>
    <m/>
    <m/>
    <m/>
    <m/>
  </r>
  <r>
    <s v="Senior Level Visit"/>
    <s v="Africa"/>
    <s v="West Asia and Africa"/>
    <s v="No Specific Relationship"/>
    <s v="None"/>
    <s v="AFRICOM"/>
    <s v="Tanzania"/>
    <x v="16"/>
    <n v="5"/>
    <x v="3"/>
    <s v="Cao Gangchuan"/>
    <m/>
    <s v="CMC Vice Chairman; Defense Minister"/>
    <n v="10"/>
    <s v="Hosted"/>
    <s v="Defense Minister"/>
    <m/>
    <m/>
    <m/>
    <m/>
    <m/>
    <m/>
    <m/>
    <m/>
  </r>
  <r>
    <s v="Senior Level Visit"/>
    <s v="Southeast Asia"/>
    <s v="Asia"/>
    <s v="Strategic Partnership [战略伙伴关系]"/>
    <s v="Bilateral Defense Treaty"/>
    <s v="INDOPACOM"/>
    <s v="Thailand"/>
    <x v="16"/>
    <n v="5"/>
    <x v="3"/>
    <s v="Cao Gangchuan"/>
    <m/>
    <s v="CMC Vice Chairman; Defense Minister"/>
    <n v="10"/>
    <s v="Hosted"/>
    <s v="Army Commander"/>
    <m/>
    <m/>
    <m/>
    <m/>
    <m/>
    <m/>
    <m/>
    <m/>
  </r>
  <r>
    <s v="Senior Level Visit"/>
    <s v="Southeast Asia"/>
    <s v="Asia"/>
    <s v="Strategic Partnership [战略伙伴关系]"/>
    <s v="Bilateral Defense Treaty"/>
    <s v="INDOPACOM"/>
    <s v="Thailand"/>
    <x v="16"/>
    <n v="5"/>
    <x v="3"/>
    <s v="Cao Gangchuan"/>
    <m/>
    <s v="CMC Vice Chairman; Defense Minister"/>
    <n v="10"/>
    <s v="Abroad"/>
    <m/>
    <m/>
    <m/>
    <m/>
    <m/>
    <m/>
    <m/>
    <m/>
    <m/>
  </r>
  <r>
    <s v="Senior Level Visit"/>
    <s v="Africa"/>
    <s v="West Asia and Africa"/>
    <s v="No Specific Relationship"/>
    <s v="Major Non-NATO Ally"/>
    <s v="AFRICOM"/>
    <s v="Tunisia"/>
    <x v="16"/>
    <n v="5"/>
    <x v="3"/>
    <s v="Cao Gangchuan"/>
    <m/>
    <s v="CMC Vice Chairman; Defense Minister"/>
    <n v="10"/>
    <s v="Hosted"/>
    <s v="Navy Chief"/>
    <m/>
    <m/>
    <m/>
    <m/>
    <m/>
    <m/>
    <m/>
    <m/>
  </r>
  <r>
    <s v="Senior Level Visit"/>
    <s v="Europe"/>
    <s v="Europe and Central Asia"/>
    <s v="Comprehensive Strategic Partnership [全面战略伙伴关系]"/>
    <s v="NATO"/>
    <s v="EUCOM"/>
    <s v="United Kingdom"/>
    <x v="16"/>
    <n v="5"/>
    <x v="3"/>
    <s v="Wu Shengli"/>
    <m/>
    <s v="PLAN Commander; CMC Member"/>
    <n v="8"/>
    <s v="Abroad"/>
    <m/>
    <m/>
    <m/>
    <m/>
    <m/>
    <m/>
    <m/>
    <m/>
    <m/>
  </r>
  <r>
    <s v="Senior Level Visit"/>
    <s v="North America"/>
    <s v="America and Oceania"/>
    <s v="No Specific Relationship"/>
    <s v="N/A"/>
    <s v="NORTHCOM"/>
    <s v="United States"/>
    <x v="16"/>
    <n v="5"/>
    <x v="3"/>
    <s v="Cao Gangchuan"/>
    <m/>
    <s v="CMC Vice Chairman; Defense Minister"/>
    <n v="10"/>
    <s v="Abroad"/>
    <m/>
    <m/>
    <m/>
    <m/>
    <m/>
    <m/>
    <m/>
    <m/>
    <m/>
  </r>
  <r>
    <s v="Senior Level Visit"/>
    <s v="North America"/>
    <s v="America and Oceania"/>
    <s v="No Specific Relationship"/>
    <s v="N/A"/>
    <s v="NORTHCOM"/>
    <s v="United States"/>
    <x v="16"/>
    <n v="5"/>
    <x v="4"/>
    <s v="Liu Chengjun"/>
    <m/>
    <s v="AMS President"/>
    <n v="6"/>
    <s v="Abroad"/>
    <s v="Chairman JCS"/>
    <m/>
    <m/>
    <m/>
    <m/>
    <m/>
    <m/>
    <m/>
    <m/>
  </r>
  <r>
    <s v="Senior Level Visit"/>
    <s v="Central Asia"/>
    <s v="Europe and Central Asia"/>
    <s v="No Specific Relationship"/>
    <s v="None"/>
    <s v="CENTCOM"/>
    <s v="Uzbekistan"/>
    <x v="16"/>
    <n v="5"/>
    <x v="3"/>
    <s v="Cao Gangchuan"/>
    <m/>
    <s v="CMC Vice Chairman; Defense Minister"/>
    <n v="10"/>
    <s v="Hosted"/>
    <s v="Deputy Defense Minister"/>
    <m/>
    <m/>
    <m/>
    <m/>
    <m/>
    <m/>
    <m/>
    <m/>
  </r>
  <r>
    <s v="Senior Level Visit"/>
    <s v="South America"/>
    <s v="America and Oceania"/>
    <s v="Strategic Development Partnership [战略发展伙伴关系]"/>
    <s v="None"/>
    <s v="SOUTHCOM"/>
    <s v="Venezuela"/>
    <x v="16"/>
    <n v="5"/>
    <x v="4"/>
    <s v="Ma Xiaotian"/>
    <m/>
    <s v="GSD DCGS"/>
    <n v="6"/>
    <s v="Abroad"/>
    <m/>
    <m/>
    <m/>
    <m/>
    <m/>
    <m/>
    <m/>
    <m/>
    <m/>
  </r>
  <r>
    <s v="Senior Level Visit"/>
    <s v="Southeast Asia"/>
    <s v="Asia"/>
    <s v="No Specific Relationship"/>
    <s v="None"/>
    <s v="INDOPACOM"/>
    <s v="Vietnam"/>
    <x v="16"/>
    <n v="5"/>
    <x v="3"/>
    <s v="Cao Gangchuan"/>
    <m/>
    <s v="CMC Vice Chairman; Defense Minister"/>
    <n v="10"/>
    <s v="Hosted"/>
    <s v="Defense Minister"/>
    <m/>
    <m/>
    <m/>
    <m/>
    <m/>
    <m/>
    <m/>
    <m/>
  </r>
  <r>
    <s v="Senior Level Visit"/>
    <s v="Southeast Asia"/>
    <s v="Asia"/>
    <s v="No Specific Relationship"/>
    <s v="None"/>
    <s v="INDOPACOM"/>
    <s v="Vietnam"/>
    <x v="16"/>
    <n v="5"/>
    <x v="4"/>
    <s v="Chen Bingde"/>
    <m/>
    <s v="GSD Commander; CMC Member"/>
    <n v="8"/>
    <s v="Abroad"/>
    <m/>
    <m/>
    <m/>
    <m/>
    <m/>
    <m/>
    <m/>
    <m/>
    <m/>
  </r>
  <r>
    <s v="Military Exercise"/>
    <s v="Northeast Asia"/>
    <s v="N/A"/>
    <s v="Member"/>
    <s v="None"/>
    <s v="INDOPACOM"/>
    <s v="WPNS"/>
    <x v="16"/>
    <n v="5"/>
    <x v="6"/>
    <m/>
    <m/>
    <m/>
    <m/>
    <m/>
    <m/>
    <s v="MOOTW"/>
    <s v="WPNS 2007 Maritime Exercise (MMEx)"/>
    <s v="Navy"/>
    <s v="Maritime; HADR; anti-piracy; WPNS 2007 attendees +7"/>
    <m/>
    <m/>
    <m/>
    <m/>
  </r>
  <r>
    <s v="Senior Level Visit"/>
    <s v="Europe"/>
    <s v="Europe and Central Asia"/>
    <s v="No Specific Relationship"/>
    <s v="NATO"/>
    <s v="EUCOM"/>
    <s v="Bulgaria"/>
    <x v="16"/>
    <n v="6"/>
    <x v="4"/>
    <s v="Zhang Qinsheng"/>
    <m/>
    <s v="Guangzhou MR Commander"/>
    <n v="6"/>
    <s v="Abroad"/>
    <m/>
    <m/>
    <m/>
    <m/>
    <m/>
    <m/>
    <m/>
    <m/>
    <m/>
  </r>
  <r>
    <s v="Senior Level Visit"/>
    <s v="South America"/>
    <s v="America and Oceania"/>
    <s v="No Specific Relationship"/>
    <s v="None"/>
    <s v="SOUTHCOM"/>
    <s v="Colombia"/>
    <x v="16"/>
    <n v="6"/>
    <x v="4"/>
    <s v="Zhang Li"/>
    <m/>
    <s v="GLD Deputy Director"/>
    <n v="6"/>
    <s v="Abroad"/>
    <m/>
    <m/>
    <m/>
    <m/>
    <m/>
    <m/>
    <m/>
    <m/>
    <m/>
  </r>
  <r>
    <s v="Senior Level Visit"/>
    <s v="Europe"/>
    <s v="Europe and Central Asia"/>
    <s v="Comprehensive Strategic Partnership [全面战略伙伴关系]"/>
    <s v="NATO"/>
    <s v="EUCOM"/>
    <s v="Greece"/>
    <x v="16"/>
    <n v="6"/>
    <x v="4"/>
    <s v="Chi Wanchun"/>
    <m/>
    <s v="GAD Political Commissar"/>
    <n v="6"/>
    <s v="Abroad"/>
    <m/>
    <m/>
    <m/>
    <m/>
    <m/>
    <m/>
    <m/>
    <m/>
    <m/>
  </r>
  <r>
    <s v="Senior Level Visit"/>
    <s v="Southeast Asia"/>
    <s v="Asia"/>
    <s v="No Specific Relationship"/>
    <s v="None"/>
    <s v="INDOPACOM"/>
    <s v="IISS"/>
    <x v="16"/>
    <n v="6"/>
    <x v="1"/>
    <s v="Zhang Qinsheng"/>
    <m/>
    <s v="GSD DCGS"/>
    <n v="6"/>
    <s v="Abroad"/>
    <s v="6th Shangri-La Dialogue"/>
    <m/>
    <m/>
    <m/>
    <m/>
    <m/>
    <m/>
    <m/>
    <m/>
  </r>
  <r>
    <s v="Senior Level Visit"/>
    <s v="Europe"/>
    <s v="Europe and Central Asia"/>
    <s v="Comprehensive Strategic Partnership [全面战略伙伴关系]"/>
    <s v="NATO"/>
    <s v="EUCOM"/>
    <s v="Italy"/>
    <x v="16"/>
    <n v="6"/>
    <x v="4"/>
    <s v="Chi Wanchun"/>
    <m/>
    <s v="GAD Political Commissar"/>
    <n v="6"/>
    <s v="Abroad"/>
    <m/>
    <m/>
    <m/>
    <m/>
    <m/>
    <m/>
    <m/>
    <m/>
    <m/>
  </r>
  <r>
    <s v="Senior Level Visit"/>
    <s v="Central Asia"/>
    <s v="Europe and Central Asia"/>
    <s v="No Specific Relationship"/>
    <s v="None"/>
    <s v="CENTCOM"/>
    <s v="Kyrgyzstan"/>
    <x v="16"/>
    <n v="6"/>
    <x v="4"/>
    <s v="Cao Gangchuan"/>
    <m/>
    <s v="CMC Vice Chairman; Defense Minister"/>
    <n v="10"/>
    <s v="Abroad"/>
    <m/>
    <m/>
    <m/>
    <m/>
    <m/>
    <m/>
    <m/>
    <m/>
    <m/>
  </r>
  <r>
    <s v="Senior Level Visit"/>
    <s v="Africa"/>
    <s v="West Asia and Africa"/>
    <s v="No Specific Relationship"/>
    <s v="None"/>
    <s v="AFRICOM"/>
    <s v="Mozambique"/>
    <x v="16"/>
    <n v="6"/>
    <x v="3"/>
    <s v="Xu Caihou"/>
    <m/>
    <s v="CMC Vice Chairman"/>
    <n v="10"/>
    <s v="Hosted"/>
    <s v="COGS"/>
    <m/>
    <m/>
    <m/>
    <m/>
    <m/>
    <m/>
    <m/>
    <m/>
  </r>
  <r>
    <s v="Senior Level Visit"/>
    <s v="Oceania"/>
    <s v="America and Oceania"/>
    <s v="No Specific Relationship"/>
    <s v="ANZUS Treaty"/>
    <s v="INDOPACOM"/>
    <s v="New Zealand"/>
    <x v="16"/>
    <n v="6"/>
    <x v="4"/>
    <s v="Tong Shiping"/>
    <m/>
    <s v="PLA NDU Political Commissar"/>
    <n v="6"/>
    <s v="Abroad"/>
    <m/>
    <m/>
    <m/>
    <m/>
    <m/>
    <m/>
    <m/>
    <m/>
    <m/>
  </r>
  <r>
    <s v="Senior Level Visit"/>
    <s v="Russia"/>
    <s v="Europe and Central Asia"/>
    <s v="Strategic Partnership of Coordination [战略协作伙伴关系]"/>
    <s v="None"/>
    <s v="EUCOM"/>
    <s v="Russia"/>
    <x v="16"/>
    <n v="6"/>
    <x v="4"/>
    <s v="Zhang Qinsheng"/>
    <m/>
    <s v="Guangzhou MR Commander"/>
    <n v="6"/>
    <s v="Abroad"/>
    <m/>
    <m/>
    <m/>
    <m/>
    <m/>
    <m/>
    <m/>
    <m/>
    <m/>
  </r>
  <r>
    <s v="Senior Level Visit"/>
    <s v="Central Asia"/>
    <s v="Europe and Central Asia"/>
    <s v="Member"/>
    <s v="None"/>
    <s v="CENTCOM"/>
    <s v="SCO"/>
    <x v="16"/>
    <n v="6"/>
    <x v="1"/>
    <s v="Cao Gangchuan"/>
    <m/>
    <s v="CMC Vice Chairman; Defense Minister"/>
    <n v="10"/>
    <s v="Hosted"/>
    <s v="Fifth official meeting of the SCO Ministers' of Defense in Bishkek; Other countries: Kazakhstan, Kyrgyztan, Russia, Tajikistan, Uzbekistan"/>
    <m/>
    <m/>
    <m/>
    <m/>
    <m/>
    <m/>
    <m/>
    <m/>
  </r>
  <r>
    <s v="Senior Level Visit"/>
    <s v="Southeast Asia"/>
    <s v="Asia"/>
    <s v="No Specific Relationship"/>
    <s v="None"/>
    <s v="INDOPACOM"/>
    <s v="Singapore"/>
    <x v="16"/>
    <n v="6"/>
    <x v="4"/>
    <s v="Ma Xiaotian"/>
    <m/>
    <s v="GSD DCGS"/>
    <n v="6"/>
    <s v="Abroad"/>
    <m/>
    <m/>
    <m/>
    <m/>
    <m/>
    <m/>
    <m/>
    <m/>
    <m/>
  </r>
  <r>
    <s v="Senior Level Visit"/>
    <s v="Northeast Asia"/>
    <s v="Asia"/>
    <s v="Comprehensive Cooperative Partnership [全面合作伙伴关系]"/>
    <s v="Bilateral Defense Treaty"/>
    <s v="INDOPACOM"/>
    <s v="South Korea"/>
    <x v="16"/>
    <n v="6"/>
    <x v="4"/>
    <s v="Tong Shiping"/>
    <m/>
    <s v="PLA NDU Political Commissar"/>
    <n v="6"/>
    <s v="Abroad"/>
    <m/>
    <m/>
    <m/>
    <m/>
    <m/>
    <m/>
    <m/>
    <m/>
    <m/>
  </r>
  <r>
    <s v="Senior Level Visit"/>
    <s v="Europe"/>
    <s v="Europe and Central Asia"/>
    <s v="No Specific Relationship"/>
    <s v="NATO"/>
    <s v="EUCOM"/>
    <s v="Turkey"/>
    <x v="16"/>
    <n v="6"/>
    <x v="3"/>
    <s v="Ma Xiaotian"/>
    <m/>
    <s v="GSD DCGS"/>
    <n v="6"/>
    <s v="Abroad"/>
    <m/>
    <m/>
    <m/>
    <m/>
    <m/>
    <m/>
    <m/>
    <m/>
    <m/>
  </r>
  <r>
    <s v="Senior Level Visit"/>
    <s v="North America"/>
    <s v="America and Oceania"/>
    <s v="No Specific Relationship"/>
    <s v="N/A"/>
    <s v="NORTHCOM"/>
    <s v="United States"/>
    <x v="16"/>
    <n v="6"/>
    <x v="7"/>
    <s v="Zhang Qinsheng"/>
    <m/>
    <s v="GSD DCGS"/>
    <n v="6"/>
    <s v="Abroad"/>
    <s v="Chairman JCS"/>
    <m/>
    <m/>
    <m/>
    <m/>
    <m/>
    <m/>
    <m/>
    <m/>
  </r>
  <r>
    <s v="Senior Level Visit"/>
    <s v="Africa"/>
    <s v="West Asia and Africa"/>
    <s v="No Specific Relationship"/>
    <s v="None"/>
    <s v="AFRICOM"/>
    <s v="Zambia"/>
    <x v="16"/>
    <n v="6"/>
    <x v="3"/>
    <s v="Cao Gangchuan"/>
    <m/>
    <s v="CMC Vice Chairman; Defense Minister"/>
    <n v="10"/>
    <s v="Hosted"/>
    <s v="Defense Minister"/>
    <m/>
    <m/>
    <m/>
    <m/>
    <m/>
    <m/>
    <m/>
    <m/>
  </r>
  <r>
    <s v="Senior Level Visit"/>
    <s v="Africa"/>
    <s v="West Asia and Africa"/>
    <s v="No Specific Relationship"/>
    <s v="None"/>
    <s v="AFRICOM"/>
    <s v="Zimbabwe"/>
    <x v="16"/>
    <n v="6"/>
    <x v="3"/>
    <s v="Cao Gangchuan"/>
    <m/>
    <s v="CMC Vice Chairman; Defense Minister"/>
    <n v="10"/>
    <s v="Hosted"/>
    <s v="Defense Minister"/>
    <m/>
    <m/>
    <m/>
    <m/>
    <m/>
    <m/>
    <m/>
    <m/>
  </r>
  <r>
    <s v="Senior Level Visit"/>
    <s v="Oceania"/>
    <s v="America and Oceania"/>
    <s v="No Specific Relationship"/>
    <s v="ANZUS Treaty"/>
    <s v="INDOPACOM"/>
    <s v="Australia"/>
    <x v="16"/>
    <n v="7"/>
    <x v="3"/>
    <s v="Cao Gangchuan"/>
    <m/>
    <s v="CMC Vice Chairman; Defense Minister"/>
    <n v="8"/>
    <s v="Hosted"/>
    <s v="Defense Minister"/>
    <m/>
    <m/>
    <m/>
    <m/>
    <m/>
    <m/>
    <m/>
    <m/>
  </r>
  <r>
    <s v="Senior Level Visit"/>
    <s v="Europe"/>
    <s v="Europe and Central Asia"/>
    <s v="No Specific Relationship"/>
    <s v="NATO"/>
    <s v="EUCOM"/>
    <s v="Bulgaria"/>
    <x v="16"/>
    <n v="7"/>
    <x v="3"/>
    <s v="Chen Xiaogong "/>
    <m/>
    <s v="GSD DCGS"/>
    <n v="6"/>
    <s v="Hosted"/>
    <s v="Navy Chief of Staff"/>
    <m/>
    <m/>
    <m/>
    <m/>
    <m/>
    <m/>
    <m/>
    <m/>
  </r>
  <r>
    <s v="Senior Level Visit"/>
    <s v="South America"/>
    <s v="America and Oceania"/>
    <s v="Comprehensive Partnership [全面伙伴关系]"/>
    <s v="None"/>
    <s v="SOUTHCOM"/>
    <s v="Chile"/>
    <x v="16"/>
    <n v="7"/>
    <x v="4"/>
    <s v="Hu Yanlin"/>
    <m/>
    <s v="PLAN Political Commissar"/>
    <n v="6"/>
    <s v="Abroad"/>
    <m/>
    <m/>
    <m/>
    <m/>
    <m/>
    <m/>
    <m/>
    <m/>
    <m/>
  </r>
  <r>
    <s v="Senior Level Visit"/>
    <s v="Africa"/>
    <s v="West Asia and Africa"/>
    <s v="Comprehensive Strategic Partnership [全面战略伙伴关系]"/>
    <s v="None"/>
    <s v="AFRICOM"/>
    <s v="DR Congo"/>
    <x v="16"/>
    <n v="7"/>
    <x v="3"/>
    <s v="Cao Gangchuan"/>
    <m/>
    <s v="CMC Vice Chairman; Defense Minister"/>
    <n v="10"/>
    <s v="Hosted"/>
    <s v="Defense Minister"/>
    <m/>
    <m/>
    <m/>
    <m/>
    <m/>
    <m/>
    <m/>
    <m/>
  </r>
  <r>
    <s v="Senior Level Visit"/>
    <s v="South America"/>
    <s v="America and Oceania"/>
    <s v="No Specific Relationship"/>
    <s v="None"/>
    <s v="SOUTHCOM"/>
    <s v="Ecuador"/>
    <x v="16"/>
    <n v="7"/>
    <x v="3"/>
    <s v="Xu Caihou"/>
    <m/>
    <s v="CMC Vice Chairman"/>
    <n v="10"/>
    <s v="Hosted"/>
    <s v="Chief of Joint Command"/>
    <m/>
    <m/>
    <m/>
    <m/>
    <m/>
    <m/>
    <m/>
    <m/>
  </r>
  <r>
    <s v="Senior Level Visit"/>
    <s v="South America"/>
    <s v="America and Oceania"/>
    <s v="No Specific Relationship"/>
    <s v="None"/>
    <s v="SOUTHCOM"/>
    <s v="Grenada"/>
    <x v="16"/>
    <n v="7"/>
    <x v="3"/>
    <s v="Cao Gangchuan"/>
    <m/>
    <s v="CMC Vice Chairman; Defense Minister"/>
    <n v="10"/>
    <s v="Hosted"/>
    <s v="Defense Minister"/>
    <m/>
    <m/>
    <m/>
    <m/>
    <m/>
    <m/>
    <m/>
    <m/>
  </r>
  <r>
    <s v="Senior Level Visit"/>
    <s v="South Asia"/>
    <s v="Asia"/>
    <s v="Strategic Partnership [战略伙伴关系]"/>
    <s v="Major Non-NATO Ally"/>
    <s v="CENTCOM"/>
    <s v="Pakistan"/>
    <x v="16"/>
    <n v="7"/>
    <x v="4"/>
    <s v="Hu Yanlin"/>
    <m/>
    <s v="PLAN Political Commissar"/>
    <n v="6"/>
    <s v="Abroad"/>
    <m/>
    <m/>
    <m/>
    <m/>
    <m/>
    <m/>
    <m/>
    <m/>
    <m/>
  </r>
  <r>
    <s v="Senior Level Visit"/>
    <s v="Africa"/>
    <s v="West Asia and Africa"/>
    <s v="Strategic Partnership [战略伙伴关系]"/>
    <s v="None"/>
    <s v="AFRICOM"/>
    <s v="South Africa"/>
    <x v="16"/>
    <n v="7"/>
    <x v="3"/>
    <s v="Xu Caihou"/>
    <m/>
    <s v="CMC Vice Chairman"/>
    <n v="10"/>
    <s v="Hosted"/>
    <s v="Air Force Commander"/>
    <m/>
    <m/>
    <m/>
    <m/>
    <m/>
    <m/>
    <m/>
    <m/>
  </r>
  <r>
    <s v="Senior Level Visit"/>
    <s v="Northeast Asia"/>
    <s v="Asia"/>
    <s v="Comprehensive Cooperative Partnership [全面合作伙伴关系]"/>
    <s v="Bilateral Defense Treaty"/>
    <s v="INDOPACOM"/>
    <s v="South Korea"/>
    <x v="16"/>
    <n v="7"/>
    <x v="4"/>
    <s v="Fan Changlong"/>
    <m/>
    <s v="Jinan MR Commander"/>
    <n v="6"/>
    <s v="Abroad"/>
    <m/>
    <m/>
    <m/>
    <m/>
    <m/>
    <m/>
    <m/>
    <m/>
    <m/>
  </r>
  <r>
    <s v="Military Exercise"/>
    <s v="Southeast Asia"/>
    <s v="Asia"/>
    <s v="Strategic Partnership [战略伙伴关系]"/>
    <s v="Bilateral Defense Treaty"/>
    <s v="INDOPACOM"/>
    <s v="Thailand"/>
    <x v="16"/>
    <n v="7"/>
    <x v="5"/>
    <m/>
    <m/>
    <m/>
    <m/>
    <m/>
    <m/>
    <s v="Anti-terrorism"/>
    <s v="Strike 2007"/>
    <s v="Army"/>
    <s v="Anti-terrorism"/>
    <m/>
    <m/>
    <m/>
    <m/>
  </r>
  <r>
    <s v="Senior Level Visit"/>
    <s v="South Asia"/>
    <s v="Asia"/>
    <s v="Comprehensive Cooperative Partnership [全面合作伙伴关系]"/>
    <s v="None"/>
    <s v="INDOPACOM"/>
    <s v="Bangladesh"/>
    <x v="16"/>
    <n v="8"/>
    <x v="4"/>
    <s v="Chang Wanquan"/>
    <m/>
    <s v="GAD Director; CMC Member"/>
    <n v="8"/>
    <s v="Abroad"/>
    <m/>
    <m/>
    <m/>
    <m/>
    <m/>
    <m/>
    <m/>
    <m/>
    <m/>
  </r>
  <r>
    <s v="Senior Level Visit"/>
    <s v="Africa"/>
    <s v="West Asia and Africa"/>
    <s v="No Specific Relationship"/>
    <s v="None"/>
    <s v="AFRICOM"/>
    <s v="Botswana"/>
    <x v="16"/>
    <n v="8"/>
    <x v="3"/>
    <s v="Xu Caihou"/>
    <m/>
    <s v="CMC Vice Chairman"/>
    <n v="10"/>
    <s v="Hosted"/>
    <s v="Commander Defense Force"/>
    <m/>
    <m/>
    <m/>
    <m/>
    <m/>
    <m/>
    <m/>
    <m/>
  </r>
  <r>
    <s v="Senior Level Visit"/>
    <s v="Southeast Asia"/>
    <s v="Asia"/>
    <s v="No Specific Relationship"/>
    <s v="None"/>
    <s v="INDOPACOM"/>
    <s v="Brunei"/>
    <x v="16"/>
    <n v="8"/>
    <x v="4"/>
    <s v="Chang Wanquan"/>
    <m/>
    <s v="GAD Director; CMC Member"/>
    <n v="8"/>
    <s v="Abroad"/>
    <m/>
    <m/>
    <m/>
    <m/>
    <m/>
    <m/>
    <m/>
    <m/>
    <m/>
  </r>
  <r>
    <s v="Senior Level Visit"/>
    <s v="Southeast Asia"/>
    <s v="Asia"/>
    <s v="Comprehensive Cooperative Partnership [全面合作伙伴关系]"/>
    <s v="None"/>
    <s v="INDOPACOM"/>
    <s v="Cambodia"/>
    <x v="16"/>
    <n v="8"/>
    <x v="4"/>
    <s v="Liu Dongdong"/>
    <m/>
    <s v="Jinan MR Political Commissar"/>
    <n v="6"/>
    <s v="Abroad"/>
    <m/>
    <m/>
    <m/>
    <m/>
    <m/>
    <m/>
    <m/>
    <m/>
    <m/>
  </r>
  <r>
    <s v="Senior Level Visit"/>
    <s v="Southeast Asia"/>
    <s v="Asia"/>
    <s v="Strategic Partnership [战略伙伴关系]"/>
    <s v="None"/>
    <s v="INDOPACOM"/>
    <s v="Indonesia"/>
    <x v="16"/>
    <n v="8"/>
    <x v="4"/>
    <s v="Chang Wanquan"/>
    <m/>
    <s v="GAD Director; CMC Member"/>
    <n v="8"/>
    <s v="Abroad"/>
    <m/>
    <m/>
    <m/>
    <m/>
    <m/>
    <m/>
    <m/>
    <m/>
    <m/>
  </r>
  <r>
    <s v="Senior Level Visit"/>
    <s v="Southeast Asia"/>
    <s v="Asia"/>
    <s v="Comprehensive Cooperative Partnership [全面合作伙伴关系]"/>
    <s v="None"/>
    <s v="INDOPACOM"/>
    <s v="Laos"/>
    <x v="16"/>
    <n v="8"/>
    <x v="4"/>
    <s v="Liu Dongdong"/>
    <m/>
    <s v="Jinan MR Political Commissar"/>
    <n v="6"/>
    <s v="Abroad"/>
    <m/>
    <m/>
    <m/>
    <m/>
    <m/>
    <m/>
    <m/>
    <m/>
    <m/>
  </r>
  <r>
    <s v="Senior Level Visit"/>
    <s v="Africa"/>
    <s v="West Asia and Africa"/>
    <s v="No Specific Relationship"/>
    <s v="None"/>
    <s v="AFRICOM"/>
    <s v="Mali"/>
    <x v="16"/>
    <n v="8"/>
    <x v="3"/>
    <s v="Cao Gangchuan"/>
    <m/>
    <s v="CMC Vice Chairman; Defense Minister"/>
    <n v="10"/>
    <s v="Hosted"/>
    <s v="COGS"/>
    <m/>
    <m/>
    <m/>
    <m/>
    <m/>
    <m/>
    <m/>
    <m/>
  </r>
  <r>
    <s v="Senior Level Visit"/>
    <s v="Southeast Asia"/>
    <s v="Asia"/>
    <s v="No Specific Relationship"/>
    <s v="None"/>
    <s v="INDOPACOM"/>
    <s v="Myanmar"/>
    <x v="16"/>
    <n v="8"/>
    <x v="4"/>
    <s v="Liu Dongdong"/>
    <m/>
    <s v="Jinan MR Political Commissar"/>
    <n v="6"/>
    <s v="Abroad"/>
    <m/>
    <m/>
    <m/>
    <m/>
    <m/>
    <m/>
    <m/>
    <m/>
    <m/>
  </r>
  <r>
    <s v="Senior Level Visit"/>
    <s v="Northeast Asia"/>
    <s v="Asia"/>
    <s v="Bilateral Defense Treaty"/>
    <s v="None"/>
    <s v="INDOPACOM"/>
    <s v="North Korea"/>
    <x v="16"/>
    <n v="8"/>
    <x v="4"/>
    <s v="Zhang Li"/>
    <m/>
    <s v="GLD Deputy Director"/>
    <n v="6"/>
    <s v="Abroad"/>
    <m/>
    <m/>
    <m/>
    <m/>
    <m/>
    <m/>
    <m/>
    <m/>
    <m/>
  </r>
  <r>
    <s v="Senior Level Visit"/>
    <s v="Europe"/>
    <s v="Europe and Central Asia"/>
    <s v="Comprehensive Friendly Cooperative Partnership [全面友好合作伙伴关系]"/>
    <s v="NATO"/>
    <s v="EUCOM"/>
    <s v="Romania"/>
    <x v="16"/>
    <n v="8"/>
    <x v="4"/>
    <s v="Zhang Li"/>
    <m/>
    <s v="GLD Deputy Director"/>
    <n v="6"/>
    <s v="Abroad"/>
    <m/>
    <m/>
    <m/>
    <m/>
    <m/>
    <m/>
    <m/>
    <m/>
    <m/>
  </r>
  <r>
    <s v="Senior Level Visit"/>
    <s v="Russia"/>
    <s v="Europe and Central Asia"/>
    <s v="Strategic Partnership of Coordination [战略协作伙伴关系]"/>
    <s v="None"/>
    <s v="EUCOM"/>
    <s v="Russia"/>
    <x v="16"/>
    <n v="8"/>
    <x v="4"/>
    <s v="Zhang Li"/>
    <m/>
    <s v="GLD Deputy Director"/>
    <n v="6"/>
    <s v="Abroad"/>
    <m/>
    <m/>
    <m/>
    <m/>
    <m/>
    <m/>
    <m/>
    <m/>
    <m/>
  </r>
  <r>
    <s v="Military Exercise"/>
    <s v="Central Asia"/>
    <s v="Europe and Central Asia"/>
    <s v="Member"/>
    <s v="None"/>
    <s v="CENTCOM"/>
    <s v="SCO"/>
    <x v="16"/>
    <n v="8"/>
    <x v="6"/>
    <m/>
    <m/>
    <m/>
    <m/>
    <m/>
    <m/>
    <s v="Combat"/>
    <s v="Peace Mission 2007"/>
    <s v="Joint"/>
    <s v="Army, Navy, Air Force, SOF. Countries: Russia, Tajikistan, Kazakhstan, Uzbekistan and Kyrgyzstan.  Aug. 9 to Aug. 17."/>
    <m/>
    <m/>
    <m/>
    <m/>
  </r>
  <r>
    <s v="Senior Level Visit"/>
    <s v="South America"/>
    <s v="America and Oceania"/>
    <s v="No Specific Relationship"/>
    <s v="None"/>
    <s v="SOUTHCOM"/>
    <s v="Uruguay"/>
    <x v="16"/>
    <n v="8"/>
    <x v="3"/>
    <s v="Cao Gangchuan"/>
    <m/>
    <s v="CMC Vice Chairman; Defense Minister"/>
    <n v="8"/>
    <s v="Hosted"/>
    <s v="Secretary of Defense"/>
    <m/>
    <m/>
    <m/>
    <m/>
    <m/>
    <m/>
    <m/>
    <m/>
  </r>
  <r>
    <s v="Senior Level Visit"/>
    <s v="South America"/>
    <s v="America and Oceania"/>
    <s v="Comprehensive Strategic Partnership [全面战略伙伴关系]"/>
    <s v="None"/>
    <s v="SOUTHCOM"/>
    <s v="Brazil"/>
    <x v="16"/>
    <n v="9"/>
    <x v="3"/>
    <s v="Ma Xiaotian"/>
    <m/>
    <s v="GSD DCGS"/>
    <n v="6"/>
    <s v="Hosted"/>
    <s v="Army Chief of Staff"/>
    <m/>
    <m/>
    <m/>
    <m/>
    <m/>
    <m/>
    <m/>
    <m/>
  </r>
  <r>
    <s v="Senior Level Visit"/>
    <s v="Europe"/>
    <s v="Europe and Central Asia"/>
    <s v="No Specific Relationship"/>
    <s v="NATO"/>
    <s v="EUCOM"/>
    <s v="Bulgaria"/>
    <x v="16"/>
    <n v="9"/>
    <x v="3"/>
    <s v="Cao Gangchuan"/>
    <m/>
    <s v="CMC Vice Chairman; Defense Minister"/>
    <n v="10"/>
    <s v="Hosted"/>
    <s v="Defense Minister"/>
    <m/>
    <m/>
    <m/>
    <m/>
    <m/>
    <m/>
    <m/>
    <m/>
  </r>
  <r>
    <s v="Senior Level Visit"/>
    <s v="Africa"/>
    <s v="West Asia and Africa"/>
    <s v="No Specific Relationship"/>
    <s v="None"/>
    <s v="AFRICOM"/>
    <s v="Cape Verde"/>
    <x v="16"/>
    <n v="9"/>
    <x v="3"/>
    <s v="Cao Gangchuan"/>
    <m/>
    <s v="CMC Vice Chairman; Defense Minister"/>
    <n v="10"/>
    <s v="Hosted"/>
    <s v="Defense Minister"/>
    <m/>
    <m/>
    <m/>
    <m/>
    <m/>
    <m/>
    <m/>
    <m/>
  </r>
  <r>
    <s v="Senior Level Visit"/>
    <s v="Africa"/>
    <s v="West Asia and Africa"/>
    <s v="No Specific Relationship"/>
    <s v="None"/>
    <s v="AFRICOM"/>
    <s v="Central African Republic"/>
    <x v="16"/>
    <n v="9"/>
    <x v="3"/>
    <s v="Cao Gangchuan"/>
    <m/>
    <s v="CMC Vice Chairman; Defense Minister"/>
    <n v="8"/>
    <s v="Hosted"/>
    <s v="COGS"/>
    <m/>
    <m/>
    <m/>
    <m/>
    <m/>
    <m/>
    <m/>
    <m/>
  </r>
  <r>
    <s v="Senior Level Visit"/>
    <s v="South America"/>
    <s v="America and Oceania"/>
    <s v="Comprehensive Partnership [全面伙伴关系]"/>
    <s v="None"/>
    <s v="SOUTHCOM"/>
    <s v="Chile"/>
    <x v="16"/>
    <n v="9"/>
    <x v="4"/>
    <s v="Xu Qiliang"/>
    <m/>
    <s v="PLAAF Commander; CMC Member"/>
    <n v="8"/>
    <s v="Abroad"/>
    <m/>
    <m/>
    <m/>
    <m/>
    <m/>
    <m/>
    <m/>
    <m/>
    <m/>
  </r>
  <r>
    <s v="Senior Level Visit"/>
    <s v="South America"/>
    <s v="America and Oceania"/>
    <s v="No Specific Relationship"/>
    <s v="None"/>
    <s v="SOUTHCOM"/>
    <s v="Cuba"/>
    <x v="16"/>
    <n v="9"/>
    <x v="4"/>
    <s v="Zhang Li"/>
    <m/>
    <s v="GLD Deputy Director"/>
    <n v="6"/>
    <s v="Abroad"/>
    <m/>
    <m/>
    <m/>
    <m/>
    <m/>
    <m/>
    <m/>
    <m/>
    <m/>
  </r>
  <r>
    <s v="Senior Level Visit"/>
    <s v="South America"/>
    <s v="America and Oceania"/>
    <s v="No Specific Relationship"/>
    <s v="None"/>
    <s v="SOUTHCOM"/>
    <s v="Ecuador"/>
    <x v="16"/>
    <n v="9"/>
    <x v="4"/>
    <s v="Ma Xiaotian"/>
    <m/>
    <s v="GSD DCGS"/>
    <n v="6"/>
    <s v="Abroad"/>
    <m/>
    <m/>
    <m/>
    <m/>
    <m/>
    <m/>
    <m/>
    <m/>
    <m/>
  </r>
  <r>
    <s v="Senior Level Visit"/>
    <s v="Europe"/>
    <s v="Europe and Central Asia"/>
    <s v="No Specific Relationship"/>
    <s v="None"/>
    <s v="EUCOM"/>
    <s v="Finland"/>
    <x v="16"/>
    <n v="9"/>
    <x v="4"/>
    <s v="Xu Qiliang"/>
    <m/>
    <s v="PLAAF Commander; CMC Member"/>
    <n v="8"/>
    <s v="Abroad"/>
    <m/>
    <m/>
    <m/>
    <m/>
    <m/>
    <m/>
    <m/>
    <m/>
    <m/>
  </r>
  <r>
    <s v="Senior Level Visit"/>
    <s v="Europe"/>
    <s v="Europe and Central Asia"/>
    <s v="Comprehensive Partnership [全面伙伴关系]"/>
    <s v="NATO"/>
    <s v="EUCOM"/>
    <s v="France"/>
    <x v="16"/>
    <n v="9"/>
    <x v="3"/>
    <s v="Cao Gangchuan"/>
    <m/>
    <s v="CMC Vice Chairman; Defense Minister"/>
    <n v="10"/>
    <s v="Hosted"/>
    <s v="Navy Chief of Staff"/>
    <m/>
    <m/>
    <m/>
    <m/>
    <m/>
    <m/>
    <m/>
    <m/>
  </r>
  <r>
    <s v="Naval Port Call"/>
    <s v="Europe"/>
    <s v="Europe and Central Asia"/>
    <s v="Comprehensive Partnership [全面伙伴关系]"/>
    <s v="NATO"/>
    <s v="EUCOM"/>
    <s v="France"/>
    <x v="16"/>
    <n v="9"/>
    <x v="0"/>
    <m/>
    <m/>
    <m/>
    <m/>
    <m/>
    <m/>
    <m/>
    <m/>
    <m/>
    <m/>
    <s v="NETF"/>
    <s v="NETF"/>
    <m/>
    <m/>
  </r>
  <r>
    <s v="Senior Level Visit"/>
    <s v="Northeast Asia"/>
    <s v="Asia"/>
    <s v="Partnership of Friendship and Cooperation for Peace and Development [致力于和平发展的友好合作关系]"/>
    <s v="Bilateral Defense Treaty"/>
    <s v="INDOPACOM"/>
    <s v="Japan"/>
    <x v="16"/>
    <n v="9"/>
    <x v="4"/>
    <s v="Cao Gangchuan"/>
    <m/>
    <s v="CMC Vice Chairman; Defense Minister"/>
    <n v="8"/>
    <s v="Abroad"/>
    <m/>
    <m/>
    <m/>
    <m/>
    <m/>
    <m/>
    <m/>
    <m/>
    <m/>
  </r>
  <r>
    <s v="Senior Level Visit"/>
    <s v="North America"/>
    <s v="America and Oceania"/>
    <s v="Strategic Cooperative Partnership [战略合作伙伴关系]"/>
    <s v="None"/>
    <s v="NORTHCOM"/>
    <s v="Mexico"/>
    <x v="16"/>
    <n v="9"/>
    <x v="4"/>
    <s v="Ma Xiaotian"/>
    <m/>
    <s v="GSD DCGS"/>
    <n v="6"/>
    <s v="Abroad"/>
    <m/>
    <m/>
    <m/>
    <m/>
    <m/>
    <m/>
    <m/>
    <m/>
    <m/>
  </r>
  <r>
    <s v="Senior Level Visit"/>
    <s v="Southeast Asia"/>
    <s v="Asia"/>
    <s v="Strategic Cooperative Partnership [战略合作伙伴关系]"/>
    <s v="Bilateral Defense Treaty"/>
    <s v="INDOPACOM"/>
    <s v="Philippines"/>
    <x v="16"/>
    <n v="9"/>
    <x v="4"/>
    <s v="Cao Gangchuan"/>
    <m/>
    <s v="CMC Vice Chairman; Defense Minister"/>
    <n v="8"/>
    <s v="Abroad"/>
    <m/>
    <m/>
    <m/>
    <m/>
    <m/>
    <m/>
    <m/>
    <m/>
    <m/>
  </r>
  <r>
    <s v="Senior Level Visit"/>
    <s v="Europe"/>
    <s v="Europe and Central Asia"/>
    <s v="No Specific Relationship"/>
    <s v="NATO"/>
    <s v="EUCOM"/>
    <s v="Poland"/>
    <x v="16"/>
    <n v="9"/>
    <x v="4"/>
    <s v="Zhang Li"/>
    <m/>
    <s v="GLD Deputy Director"/>
    <n v="6"/>
    <s v="Abroad"/>
    <m/>
    <m/>
    <m/>
    <m/>
    <m/>
    <m/>
    <m/>
    <m/>
    <m/>
  </r>
  <r>
    <s v="Military Exercise"/>
    <s v="Russia"/>
    <s v="Europe and Central Asia"/>
    <s v="Strategic Partnership of Coordination [战略协作伙伴关系]"/>
    <s v="None"/>
    <s v="EUCOM"/>
    <s v="Russia"/>
    <x v="16"/>
    <n v="9"/>
    <x v="5"/>
    <m/>
    <m/>
    <m/>
    <m/>
    <m/>
    <m/>
    <s v="Anti-terrorism"/>
    <s v="Cooperation 2007"/>
    <s v="PAP"/>
    <s v="Snow Leopard commando unit"/>
    <m/>
    <m/>
    <m/>
    <m/>
  </r>
  <r>
    <s v="Naval Port Call"/>
    <s v="Russia"/>
    <s v="Europe and Central Asia"/>
    <s v="Strategic Partnership of Coordination [战略协作伙伴关系]"/>
    <s v="N/A"/>
    <s v="EUCOM"/>
    <s v="Russia"/>
    <x v="16"/>
    <n v="9"/>
    <x v="0"/>
    <m/>
    <m/>
    <m/>
    <m/>
    <m/>
    <m/>
    <m/>
    <m/>
    <m/>
    <m/>
    <s v="NETF"/>
    <s v="NETF"/>
    <m/>
    <m/>
  </r>
  <r>
    <s v="Senior Level Visit"/>
    <s v="Africa"/>
    <s v="West Asia and Africa"/>
    <s v="No Specific Relationship"/>
    <s v="None"/>
    <s v="AFRICOM"/>
    <s v="Seychelles"/>
    <x v="16"/>
    <n v="9"/>
    <x v="3"/>
    <s v="Cao Gangchuan"/>
    <m/>
    <s v="CMC Vice Chairman; Defense Minister"/>
    <n v="10"/>
    <s v="Hosted"/>
    <s v="Commander Defense Force"/>
    <m/>
    <m/>
    <m/>
    <m/>
    <m/>
    <m/>
    <m/>
    <m/>
  </r>
  <r>
    <s v="Naval Port Call"/>
    <s v="Europe"/>
    <s v="Europe and Central Asia"/>
    <s v="Comprehensive Strategic Partnership [全面战略伙伴关系]"/>
    <s v="NATO"/>
    <s v="EUCOM"/>
    <s v="Spain"/>
    <x v="16"/>
    <n v="9"/>
    <x v="0"/>
    <m/>
    <m/>
    <m/>
    <m/>
    <m/>
    <m/>
    <m/>
    <m/>
    <m/>
    <m/>
    <s v="NETF"/>
    <s v="NETF"/>
    <m/>
    <m/>
  </r>
  <r>
    <s v="Senior Level Visit"/>
    <s v="Africa"/>
    <s v="West Asia and Africa"/>
    <s v="No Specific Relationship"/>
    <s v="None"/>
    <s v="AFRICOM"/>
    <s v="Uganda"/>
    <x v="16"/>
    <n v="9"/>
    <x v="3"/>
    <s v="Cao Gangchuan"/>
    <m/>
    <s v="CMC Vice Chairman; Defense Minister"/>
    <n v="8"/>
    <s v="Hosted"/>
    <s v="Commander Defense Force"/>
    <m/>
    <m/>
    <m/>
    <m/>
    <m/>
    <m/>
    <m/>
    <m/>
  </r>
  <r>
    <s v="Naval Port Call"/>
    <s v="Europe"/>
    <s v="Europe and Central Asia"/>
    <s v="Comprehensive Strategic Partnership [全面战略伙伴关系]"/>
    <s v="NATO"/>
    <s v="EUCOM"/>
    <s v="United Kingdom"/>
    <x v="16"/>
    <n v="9"/>
    <x v="0"/>
    <m/>
    <m/>
    <m/>
    <m/>
    <m/>
    <m/>
    <m/>
    <m/>
    <m/>
    <m/>
    <s v="NETF"/>
    <s v="NETF"/>
    <m/>
    <m/>
  </r>
  <r>
    <s v="Military Exercise"/>
    <s v="Oceania"/>
    <s v="America and Oceania"/>
    <s v="No Specific Relationship"/>
    <s v="ANZUS Treaty"/>
    <s v="INDOPACOM"/>
    <s v="Australia"/>
    <x v="16"/>
    <n v="10"/>
    <x v="6"/>
    <m/>
    <m/>
    <m/>
    <m/>
    <m/>
    <m/>
    <s v="MOOTW"/>
    <s v="Joint Maritime SAREX"/>
    <s v="Navy"/>
    <s v="SAREX. Other countries: New Zeland "/>
    <m/>
    <m/>
    <m/>
    <m/>
  </r>
  <r>
    <s v="Senior Level Visit"/>
    <s v="South Asia"/>
    <s v="Europe and Central Asia"/>
    <s v="Comprehensive Cooperative Partnership [全面合作伙伴关系]"/>
    <s v="Major Non-NATO Ally"/>
    <s v="CENTCOM"/>
    <s v="Afghanistan"/>
    <x v="16"/>
    <n v="11"/>
    <x v="3"/>
    <s v="Cao Gangchuan"/>
    <m/>
    <s v="CMC Vice Chairman; Defense Minister"/>
    <n v="8"/>
    <s v="Hosted"/>
    <s v="COGS"/>
    <m/>
    <m/>
    <m/>
    <m/>
    <m/>
    <m/>
    <m/>
    <m/>
  </r>
  <r>
    <s v="Senior Level Visit"/>
    <s v="Europe"/>
    <s v="Europe and Central Asia"/>
    <s v="No Specific Relationship"/>
    <s v="NATO"/>
    <s v="EUCOM"/>
    <s v="Bulgaria"/>
    <x v="16"/>
    <n v="11"/>
    <x v="4"/>
    <s v="Jing Zhiyuan"/>
    <m/>
    <s v="PLASAF Commander; CMC Member"/>
    <n v="8"/>
    <s v="Abroad"/>
    <m/>
    <m/>
    <m/>
    <m/>
    <m/>
    <m/>
    <m/>
    <m/>
    <m/>
  </r>
  <r>
    <s v="Senior Level Visit"/>
    <s v="Middle East"/>
    <s v="West Asia and Africa"/>
    <s v="Strategic Cooperative Partnership [战略合作伙伴关系]"/>
    <s v="Major Non-NATO Ally"/>
    <s v="CENTCOM"/>
    <s v="Egypt"/>
    <x v="16"/>
    <n v="11"/>
    <x v="4"/>
    <s v="Sun Dafa"/>
    <m/>
    <s v="GLD Political Commissar"/>
    <n v="6"/>
    <s v="Abroad"/>
    <m/>
    <m/>
    <m/>
    <m/>
    <m/>
    <m/>
    <m/>
    <m/>
    <m/>
  </r>
  <r>
    <s v="Senior Level Visit"/>
    <s v="South Asia"/>
    <s v="Asia"/>
    <s v="Strategic Partnership for Peace and Prosperity [战略伙伴关系]"/>
    <s v="None"/>
    <s v="INDOPACOM"/>
    <s v="India"/>
    <x v="16"/>
    <n v="11"/>
    <x v="3"/>
    <s v="Chen Bingde"/>
    <m/>
    <s v="GSD Commander; CMC Member"/>
    <n v="8"/>
    <s v="Hosted"/>
    <s v="Joint Secretary of Ministry of Defense"/>
    <m/>
    <m/>
    <m/>
    <m/>
    <m/>
    <m/>
    <m/>
    <m/>
  </r>
  <r>
    <s v="Senior Level Visit"/>
    <s v="Southeast Asia"/>
    <s v="Asia"/>
    <s v="Strategic Partnership [战略伙伴关系]"/>
    <s v="None"/>
    <s v="INDOPACOM"/>
    <s v="Indonesia"/>
    <x v="16"/>
    <n v="11"/>
    <x v="3"/>
    <s v="Cao Gangchuan"/>
    <m/>
    <s v="CMC Vice Chairman; Defense Minister"/>
    <n v="10"/>
    <s v="Hosted"/>
    <s v="Defense Minister"/>
    <m/>
    <m/>
    <m/>
    <m/>
    <m/>
    <m/>
    <m/>
    <m/>
  </r>
  <r>
    <s v="Senior Level Visit"/>
    <s v="Africa"/>
    <s v="West Asia and Africa"/>
    <s v="No Specific Relationship"/>
    <s v="None"/>
    <s v="AFRICOM"/>
    <s v="Ivory Coast"/>
    <x v="16"/>
    <n v="11"/>
    <x v="3"/>
    <s v="Cao Gangchuan"/>
    <m/>
    <s v="CMC Vice Chairman; Defense Minister"/>
    <n v="8"/>
    <s v="Hosted"/>
    <s v="Defense Minister"/>
    <m/>
    <m/>
    <m/>
    <m/>
    <m/>
    <m/>
    <m/>
    <m/>
  </r>
  <r>
    <s v="Naval Port Call"/>
    <s v="Northeast Asia"/>
    <s v="Asia"/>
    <s v="Partnership of Friendship and Cooperation for Peace and Development [致力于和平发展的友好合作关系]"/>
    <s v="Bilateral Defense Treaty"/>
    <s v="INDOPACOM"/>
    <s v="Japan"/>
    <x v="16"/>
    <n v="11"/>
    <x v="0"/>
    <m/>
    <m/>
    <m/>
    <m/>
    <m/>
    <m/>
    <m/>
    <m/>
    <m/>
    <m/>
    <s v="NETF"/>
    <s v="NETF"/>
    <s v="South Sea Fleet"/>
    <s v="Shenzhen"/>
  </r>
  <r>
    <s v="Senior Level Visit"/>
    <s v="Africa"/>
    <s v="West Asia and Africa"/>
    <s v="No Specific Relationship"/>
    <s v="None"/>
    <s v="AFRICOM"/>
    <s v="Kenya"/>
    <x v="16"/>
    <n v="11"/>
    <x v="4"/>
    <s v="Cao Gangchuan"/>
    <m/>
    <s v="CMC Vice Chairman; Defense Minister"/>
    <n v="8"/>
    <s v="Abroad"/>
    <m/>
    <m/>
    <m/>
    <m/>
    <m/>
    <m/>
    <m/>
    <m/>
    <m/>
  </r>
  <r>
    <s v="Senior Level Visit"/>
    <s v="Middle East"/>
    <s v="West Asia and Africa"/>
    <s v="No Specific Relationship"/>
    <s v="Major Non-NATO Ally"/>
    <s v="CENTCOM"/>
    <s v="Kuwait"/>
    <x v="16"/>
    <n v="11"/>
    <x v="4"/>
    <s v="Cao Gangchuan"/>
    <m/>
    <s v="CMC Vice Chairman; Defense Minister"/>
    <n v="8"/>
    <s v="Abroad"/>
    <m/>
    <m/>
    <m/>
    <m/>
    <m/>
    <m/>
    <m/>
    <m/>
    <m/>
  </r>
  <r>
    <s v="Senior Level Visit"/>
    <s v="Southeast Asia"/>
    <s v="Asia"/>
    <s v="Comprehensive Cooperative Partnership [全面合作伙伴关系]"/>
    <s v="None"/>
    <s v="INDOPACOM"/>
    <s v="Laos"/>
    <x v="16"/>
    <n v="11"/>
    <x v="4"/>
    <s v="Li Jinai"/>
    <m/>
    <s v="GPD Director; CMC Member"/>
    <n v="8"/>
    <s v="Abroad"/>
    <m/>
    <m/>
    <m/>
    <m/>
    <m/>
    <m/>
    <m/>
    <m/>
    <m/>
  </r>
  <r>
    <s v="Senior Level Visit"/>
    <s v="South America"/>
    <s v="America and Oceania"/>
    <s v="Comprehensive Partnership [全面伙伴关系]"/>
    <s v="None"/>
    <s v="SOUTHCOM"/>
    <s v="Peru"/>
    <x v="16"/>
    <n v="11"/>
    <x v="3"/>
    <s v="Cao Gangchuan"/>
    <m/>
    <s v="CMC Vice Chairman; Defense Minister"/>
    <n v="8"/>
    <s v="Hosted"/>
    <s v="Defense Minister"/>
    <m/>
    <m/>
    <m/>
    <m/>
    <m/>
    <m/>
    <m/>
    <m/>
  </r>
  <r>
    <s v="Senior Level Visit"/>
    <s v="Northeast Asia"/>
    <s v="Asia"/>
    <s v="Comprehensive Cooperative Partnership [全面合作伙伴关系]"/>
    <s v="Bilateral Defense Treaty"/>
    <s v="INDOPACOM"/>
    <s v="South Korea"/>
    <x v="16"/>
    <n v="11"/>
    <x v="3"/>
    <s v="Cao Gangchuan"/>
    <m/>
    <s v="CMC Vice Chairman; Defense Minister"/>
    <n v="8"/>
    <s v="Hosted"/>
    <s v="Chairman JCS"/>
    <m/>
    <m/>
    <m/>
    <m/>
    <m/>
    <m/>
    <m/>
    <m/>
  </r>
  <r>
    <s v="Senior Level Visit"/>
    <s v="Europe"/>
    <s v="Europe and Central Asia"/>
    <s v="No Specific Relationship"/>
    <s v="None"/>
    <s v="EUCOM"/>
    <s v="Sweden"/>
    <x v="16"/>
    <n v="11"/>
    <x v="4"/>
    <s v="Jing Zhiyuan"/>
    <m/>
    <s v="PLASAF Commander; CMC Member"/>
    <n v="8"/>
    <s v="Abroad"/>
    <m/>
    <m/>
    <m/>
    <m/>
    <m/>
    <m/>
    <m/>
    <m/>
    <m/>
  </r>
  <r>
    <s v="Senior Level Visit"/>
    <s v="Middle East"/>
    <s v="West Asia and Africa"/>
    <s v="No Specific Relationship"/>
    <s v="None"/>
    <s v="CENTCOM"/>
    <s v="Syria"/>
    <x v="16"/>
    <n v="11"/>
    <x v="4"/>
    <s v="Sun Dafa"/>
    <m/>
    <s v="GLD Political Commissar"/>
    <n v="6"/>
    <s v="Abroad"/>
    <m/>
    <m/>
    <m/>
    <m/>
    <m/>
    <m/>
    <m/>
    <m/>
    <m/>
  </r>
  <r>
    <s v="Senior Level Visit"/>
    <s v="Southeast Asia"/>
    <s v="Asia"/>
    <s v="Strategic Partnership [战略伙伴关系]"/>
    <s v="Bilateral Defense Treaty"/>
    <s v="INDOPACOM"/>
    <s v="Thailand"/>
    <x v="16"/>
    <n v="11"/>
    <x v="4"/>
    <s v="Cao Gangchuan"/>
    <m/>
    <s v="CMC Vice Chairman; Defense Minister"/>
    <n v="8"/>
    <s v="Hosted"/>
    <s v="Supreme Commander Armed Forces"/>
    <m/>
    <m/>
    <m/>
    <m/>
    <m/>
    <m/>
    <m/>
    <m/>
  </r>
  <r>
    <s v="Senior Level Visit"/>
    <s v="Central Asia"/>
    <s v="Europe and Central Asia"/>
    <s v="No Specific Relationship"/>
    <s v="None"/>
    <s v="CENTCOM"/>
    <s v="Turkmenistan"/>
    <x v="16"/>
    <n v="11"/>
    <x v="3"/>
    <s v="Cao Gangchuan"/>
    <m/>
    <s v="CMC Vice Chairman; Defense Minister"/>
    <n v="6"/>
    <s v="Hosted"/>
    <s v="Army Commander"/>
    <m/>
    <m/>
    <m/>
    <m/>
    <m/>
    <m/>
    <m/>
    <m/>
  </r>
  <r>
    <s v="Senior Level Visit"/>
    <s v="North America"/>
    <s v="America and Oceania"/>
    <s v="No Specific Relationship"/>
    <s v="N/A"/>
    <s v="NORTHCOM"/>
    <s v="United States"/>
    <x v="16"/>
    <n v="11"/>
    <x v="3"/>
    <s v="Xu Caihou"/>
    <m/>
    <s v="CMC Vice Chairman"/>
    <n v="10"/>
    <s v="Hosted"/>
    <s v="Secretary of Defense"/>
    <m/>
    <m/>
    <m/>
    <m/>
    <m/>
    <m/>
    <m/>
    <m/>
  </r>
  <r>
    <s v="Senior Level Visit"/>
    <s v="Southeast Asia"/>
    <s v="Asia"/>
    <s v="No Specific Relationship"/>
    <s v="None"/>
    <s v="INDOPACOM"/>
    <s v="Vietnam"/>
    <x v="16"/>
    <n v="11"/>
    <x v="4"/>
    <s v="Li Jinai"/>
    <m/>
    <s v="GPD Director; CMC Member"/>
    <n v="8"/>
    <s v="Abroad"/>
    <m/>
    <m/>
    <m/>
    <m/>
    <m/>
    <m/>
    <m/>
    <m/>
    <m/>
  </r>
  <r>
    <s v="Senior Level Visit"/>
    <s v="Africa"/>
    <s v="West Asia and Africa"/>
    <s v="No Specific Relationship"/>
    <s v="None"/>
    <s v="AFRICOM"/>
    <s v="Ghana"/>
    <x v="16"/>
    <n v="12"/>
    <x v="3"/>
    <s v="Cao Gangchuan"/>
    <m/>
    <s v="CMC Vice Chairman; Defense Minister"/>
    <n v="10"/>
    <s v="Hosted"/>
    <s v="Defense Minister"/>
    <m/>
    <m/>
    <m/>
    <m/>
    <m/>
    <m/>
    <m/>
    <m/>
  </r>
  <r>
    <s v="Military Exercise"/>
    <s v="South Asia"/>
    <s v="Asia"/>
    <s v="Strategic Partnership for Peace and Prosperity [战略伙伴关系]"/>
    <s v="None"/>
    <s v="INDOPACOM"/>
    <s v="India"/>
    <x v="16"/>
    <n v="12"/>
    <x v="5"/>
    <m/>
    <m/>
    <m/>
    <m/>
    <m/>
    <m/>
    <s v="Anti-terrorism"/>
    <s v="Hand-in-Hand 2007"/>
    <s v="Army"/>
    <s v="Anti-terrorism"/>
    <m/>
    <m/>
    <m/>
    <m/>
  </r>
  <r>
    <s v="Senior Level Visit"/>
    <s v="Middle East"/>
    <s v="West Asia and Africa"/>
    <s v="No Specific Relationship"/>
    <s v="Major Non-NATO Ally"/>
    <s v="CENTCOM"/>
    <s v="Israel"/>
    <x v="16"/>
    <n v="12"/>
    <x v="4"/>
    <s v="Ma Xiaotian"/>
    <m/>
    <s v="GSD DCGS"/>
    <n v="6"/>
    <s v="Abroad"/>
    <m/>
    <m/>
    <m/>
    <m/>
    <m/>
    <m/>
    <m/>
    <m/>
    <m/>
  </r>
  <r>
    <s v="Senior Level Visit"/>
    <s v="Middle East"/>
    <s v="West Asia and Africa"/>
    <s v="No Specific Relationship"/>
    <s v="Major Non-NATO Ally"/>
    <s v="CENTCOM"/>
    <s v="Jordan"/>
    <x v="16"/>
    <n v="12"/>
    <x v="4"/>
    <s v="Fu Tinggui"/>
    <m/>
    <s v="Beijing MR Political Commissar"/>
    <n v="6"/>
    <s v="Abroad"/>
    <m/>
    <m/>
    <m/>
    <m/>
    <m/>
    <m/>
    <m/>
    <m/>
    <m/>
  </r>
  <r>
    <s v="Senior Level Visit"/>
    <s v="Africa"/>
    <s v="West Asia and Africa"/>
    <s v="No Specific Relationship"/>
    <s v="None"/>
    <s v="AFRICOM"/>
    <s v="Madagascar"/>
    <x v="16"/>
    <n v="12"/>
    <x v="4"/>
    <s v="Fu Tinggui"/>
    <m/>
    <s v="Beijing MR Political Commissar"/>
    <n v="6"/>
    <s v="Abroad"/>
    <m/>
    <m/>
    <m/>
    <m/>
    <m/>
    <m/>
    <m/>
    <m/>
    <m/>
  </r>
  <r>
    <s v="Senior Level Visit"/>
    <s v="Southeast Asia"/>
    <s v="Asia"/>
    <s v="Strategic Cooperative Partnership [战略合作伙伴关系]"/>
    <s v="None"/>
    <s v="INDOPACOM"/>
    <s v="Malaysia"/>
    <x v="16"/>
    <n v="12"/>
    <x v="4"/>
    <s v="Zhang Li"/>
    <m/>
    <s v="GLD Deputy Director"/>
    <n v="6"/>
    <s v="Abroad"/>
    <m/>
    <m/>
    <m/>
    <m/>
    <m/>
    <m/>
    <m/>
    <m/>
    <m/>
  </r>
  <r>
    <s v="Senior Level Visit"/>
    <s v="Africa"/>
    <s v="West Asia and Africa"/>
    <s v="No Specific Relationship"/>
    <s v="Major Non-NATO Ally"/>
    <s v="AFRICOM"/>
    <s v="Morocco"/>
    <x v="16"/>
    <n v="12"/>
    <x v="3"/>
    <s v="Chen Bingde"/>
    <m/>
    <s v="GAD Director; CMC Member"/>
    <n v="8"/>
    <s v="Hosted"/>
    <s v="Inspector of Navy"/>
    <m/>
    <m/>
    <m/>
    <m/>
    <m/>
    <m/>
    <m/>
    <m/>
  </r>
  <r>
    <s v="Senior Level Visit"/>
    <s v="Europe"/>
    <s v="Europe and Central Asia"/>
    <s v="Comprehensive Friendly Cooperative Partnership [全面友好合作伙伴关系]"/>
    <s v="NATO"/>
    <s v="EUCOM"/>
    <s v="Romania"/>
    <x v="16"/>
    <n v="12"/>
    <x v="3"/>
    <s v="Chen Bingde"/>
    <m/>
    <s v="GSD Commander; CMC Member"/>
    <n v="8"/>
    <s v="Hosted"/>
    <s v="Army Chief of Staff"/>
    <m/>
    <m/>
    <m/>
    <m/>
    <m/>
    <m/>
    <m/>
    <m/>
  </r>
  <r>
    <s v="Senior Level Visit"/>
    <s v="Europe"/>
    <s v="Europe and Central Asia"/>
    <s v="No Specific Relationship"/>
    <s v="NATO"/>
    <s v="EUCOM"/>
    <s v="Turkey"/>
    <x v="16"/>
    <n v="12"/>
    <x v="4"/>
    <s v="Zhang Li"/>
    <m/>
    <s v="GLD Deputy Director"/>
    <n v="6"/>
    <s v="Abroad"/>
    <m/>
    <m/>
    <m/>
    <m/>
    <m/>
    <m/>
    <m/>
    <m/>
    <m/>
  </r>
  <r>
    <s v="Senior Level Visit"/>
    <s v="Europe"/>
    <s v="Europe and Central Asia"/>
    <s v="No Specific Relationship"/>
    <s v="None"/>
    <s v="EUCOM"/>
    <s v="Ukraine"/>
    <x v="16"/>
    <n v="12"/>
    <x v="3"/>
    <s v="Cao Gangchuan"/>
    <m/>
    <s v="CMC Vice Chairman; Defense Minister"/>
    <n v="10"/>
    <s v="Hosted"/>
    <s v="Commander Defense Force"/>
    <m/>
    <m/>
    <m/>
    <m/>
    <m/>
    <m/>
    <m/>
    <m/>
  </r>
  <r>
    <s v="Senior Level Visit"/>
    <s v="North America"/>
    <s v="America and Oceania"/>
    <s v="No Specific Relationship"/>
    <s v="N/A"/>
    <s v="NORTHCOM"/>
    <s v="United States"/>
    <x v="16"/>
    <n v="12"/>
    <x v="4"/>
    <s v="Jing Zhiyuan"/>
    <m/>
    <s v="PLASAF Commander; CMC Member"/>
    <n v="8"/>
    <s v="Hosted"/>
    <s v="Chairman Armed Services Committee US House of Representatives"/>
    <m/>
    <m/>
    <m/>
    <m/>
    <m/>
    <m/>
    <m/>
    <m/>
  </r>
  <r>
    <s v="Senior Level Visit"/>
    <s v="Southeast Asia"/>
    <s v="Asia"/>
    <s v="No Specific Relationship"/>
    <s v="None"/>
    <s v="INDOPACOM"/>
    <s v="Brunei"/>
    <x v="17"/>
    <n v="1"/>
    <x v="4"/>
    <s v="Cao Gangchuan"/>
    <m/>
    <s v="CMC Vice Chairman; Defense Minister"/>
    <n v="8"/>
    <s v="Abroad"/>
    <m/>
    <m/>
    <m/>
    <m/>
    <m/>
    <m/>
    <m/>
    <m/>
    <m/>
  </r>
  <r>
    <s v="Senior Level Visit"/>
    <s v="Southeast Asia"/>
    <s v="Asia"/>
    <s v="Strategic Partnership [战略伙伴关系]"/>
    <s v="None"/>
    <s v="INDOPACOM"/>
    <s v="Indonesia"/>
    <x v="17"/>
    <n v="1"/>
    <x v="4"/>
    <s v="Cao Gangchuan"/>
    <m/>
    <s v="CMC Vice Chairman; Defense Minister"/>
    <n v="8"/>
    <s v="Abroad"/>
    <m/>
    <m/>
    <m/>
    <m/>
    <m/>
    <m/>
    <m/>
    <m/>
    <m/>
  </r>
  <r>
    <s v="Senior Level Visit"/>
    <s v="South Asia"/>
    <s v="Asia"/>
    <s v="Good-Neighborly Partnership [世代友好的睦邻伙伴关系]"/>
    <s v="None"/>
    <s v="INDOPACOM"/>
    <s v="Nepal"/>
    <x v="17"/>
    <n v="1"/>
    <x v="3"/>
    <s v="Cao Gangchuan"/>
    <m/>
    <s v="CMC Vice Chairman; Defense Minister"/>
    <n v="8"/>
    <s v="Hosted"/>
    <s v="Chief of Army Staff"/>
    <m/>
    <m/>
    <m/>
    <m/>
    <m/>
    <m/>
    <m/>
    <m/>
  </r>
  <r>
    <s v="Senior Level Visit"/>
    <s v="Middle East"/>
    <s v="West Asia and Africa"/>
    <s v="No Specific Relationship"/>
    <s v="None"/>
    <s v="CENTCOM"/>
    <s v="Saudi Arabia"/>
    <x v="17"/>
    <n v="1"/>
    <x v="4"/>
    <s v="Cao Gangchuan"/>
    <m/>
    <s v="CMC Vice Chairman; Defense Minister"/>
    <n v="8"/>
    <s v="Abroad"/>
    <m/>
    <m/>
    <m/>
    <m/>
    <m/>
    <m/>
    <m/>
    <m/>
    <m/>
  </r>
  <r>
    <s v="Senior Level Visit"/>
    <s v="Southeast Asia"/>
    <s v="Asia"/>
    <s v="No Specific Relationship"/>
    <s v="None"/>
    <s v="INDOPACOM"/>
    <s v="Singapore"/>
    <x v="17"/>
    <n v="1"/>
    <x v="3"/>
    <s v="Cao Gangchuan"/>
    <m/>
    <s v="CMC Vice Chairman; Defense Minister"/>
    <n v="8"/>
    <s v="Hosted"/>
    <s v="Permanent Secretary of Ministry of Defense"/>
    <m/>
    <m/>
    <m/>
    <m/>
    <m/>
    <m/>
    <m/>
    <m/>
  </r>
  <r>
    <s v="Senior Level Visit"/>
    <s v="Northeast Asia"/>
    <s v="Asia"/>
    <s v="Strategic Cooperative Partnership [战略合作伙伴关系]"/>
    <s v="Bilateral Defense Treaty"/>
    <s v="INDOPACOM"/>
    <s v="South Korea"/>
    <x v="17"/>
    <n v="1"/>
    <x v="3"/>
    <s v="Chen Xiaogong "/>
    <m/>
    <s v="GSD DCGS"/>
    <n v="6"/>
    <s v="Hosted"/>
    <s v="Army COGS"/>
    <m/>
    <m/>
    <m/>
    <m/>
    <m/>
    <m/>
    <m/>
    <m/>
  </r>
  <r>
    <s v="Senior Level Visit"/>
    <s v="North America"/>
    <s v="America and Oceania"/>
    <s v="No Specific Relationship"/>
    <s v="N/A"/>
    <s v="NORTHCOM"/>
    <s v="United States"/>
    <x v="17"/>
    <n v="1"/>
    <x v="3"/>
    <s v="Chen Bingde"/>
    <m/>
    <s v="GSD Commander; CMC Member"/>
    <n v="8"/>
    <s v="Hosted"/>
    <s v="PACOM Commander"/>
    <m/>
    <m/>
    <m/>
    <m/>
    <m/>
    <m/>
    <m/>
    <m/>
  </r>
  <r>
    <s v="Senior Level Visit"/>
    <s v="Northeast Asia"/>
    <s v="Asia"/>
    <s v="Mutually Beneficial Strategic Relationship [战略互惠关系]"/>
    <s v="Bilateral Defense Treaty"/>
    <s v="INDOPACOM"/>
    <s v="Japan"/>
    <x v="17"/>
    <n v="2"/>
    <x v="3"/>
    <s v="Cao Gangchuan"/>
    <m/>
    <s v="CMC Vice Chairman; Defense Minister"/>
    <n v="8"/>
    <s v="Hosted"/>
    <s v="JCS"/>
    <m/>
    <m/>
    <m/>
    <m/>
    <m/>
    <m/>
    <m/>
    <m/>
  </r>
  <r>
    <s v="Senior Level Visit"/>
    <s v="Europe"/>
    <s v="Europe and Central Asia"/>
    <s v="No Specific Relationship"/>
    <s v="None"/>
    <s v="EUCOM"/>
    <s v="Switzerland"/>
    <x v="17"/>
    <n v="2"/>
    <x v="3"/>
    <s v="Cao Gangchuan"/>
    <m/>
    <s v="CMC Vice Chairman; Defense Minister"/>
    <n v="8"/>
    <s v="Hosted"/>
    <s v="Secretary General of Federal Department of Defense"/>
    <m/>
    <m/>
    <m/>
    <m/>
    <m/>
    <m/>
    <m/>
    <m/>
  </r>
  <r>
    <s v="Senior Level Visit"/>
    <s v="Europe"/>
    <s v="Europe and Central Asia"/>
    <s v="Strategic Partnership [战略伙伴关系]"/>
    <s v="NATO"/>
    <s v="EUCOM"/>
    <s v="Belarus"/>
    <x v="17"/>
    <n v="3"/>
    <x v="3"/>
    <s v="Cao Gangchuan"/>
    <m/>
    <s v="CMC Vice Chairman; Defense Minister"/>
    <n v="8"/>
    <s v="Hosted"/>
    <s v="Defense Minister"/>
    <m/>
    <m/>
    <m/>
    <m/>
    <m/>
    <m/>
    <m/>
    <m/>
  </r>
  <r>
    <s v="Senior Level Visit"/>
    <s v="Africa"/>
    <s v="West Asia and Africa"/>
    <s v="No Specific Relationship"/>
    <s v="None"/>
    <s v="AFRICOM"/>
    <s v="Malawi"/>
    <x v="17"/>
    <n v="3"/>
    <x v="3"/>
    <s v="Liang Guanglie"/>
    <m/>
    <s v="Defense Minister; CMC Member"/>
    <n v="8"/>
    <s v="Hosted"/>
    <s v="Defense Minister"/>
    <m/>
    <m/>
    <m/>
    <m/>
    <m/>
    <m/>
    <m/>
    <m/>
  </r>
  <r>
    <s v="Senior Level Visit"/>
    <s v="Europe"/>
    <s v="Europe and Central Asia"/>
    <s v="No Specific Relationship"/>
    <s v="None"/>
    <s v="EUCOM"/>
    <s v="Bulgaria"/>
    <x v="17"/>
    <n v="4"/>
    <x v="4"/>
    <s v="Wang Guosheng"/>
    <m/>
    <s v="Lanzhou MR Commander"/>
    <n v="6"/>
    <s v="Abroad"/>
    <m/>
    <m/>
    <m/>
    <m/>
    <m/>
    <m/>
    <m/>
    <m/>
    <m/>
  </r>
  <r>
    <s v="Senior Level Visit"/>
    <s v="Southeast Asia"/>
    <s v="Asia"/>
    <s v="Strategic Cooperative Partnership [战略合作伙伴关系]"/>
    <s v="None"/>
    <s v="INDOPACOM"/>
    <s v="Malaysia"/>
    <x v="17"/>
    <n v="4"/>
    <x v="3"/>
    <s v="Liang Guanglie"/>
    <m/>
    <s v="Defense Minister; CMC Member"/>
    <n v="8"/>
    <s v="Hosted"/>
    <s v="Air Force Commander"/>
    <m/>
    <m/>
    <m/>
    <m/>
    <m/>
    <m/>
    <m/>
    <m/>
  </r>
  <r>
    <s v="Senior Level Visit"/>
    <s v="Northeast Asia"/>
    <s v="Asia"/>
    <s v="Bilateral Defense Treaty"/>
    <s v="None"/>
    <s v="INDOPACOM"/>
    <s v="North Korea"/>
    <x v="17"/>
    <n v="4"/>
    <x v="3"/>
    <s v="Liang Guanglie"/>
    <m/>
    <s v="Defense Minister; CMC Member"/>
    <n v="8"/>
    <s v="Hosted"/>
    <s v="Chief of Air Force"/>
    <m/>
    <m/>
    <m/>
    <m/>
    <m/>
    <m/>
    <m/>
    <m/>
  </r>
  <r>
    <s v="Senior Level Visit"/>
    <s v="South Asia"/>
    <s v="Asia"/>
    <s v="Strategic Partnership [战略伙伴关系]"/>
    <s v="Major Non-NATO Ally"/>
    <s v="CENTCOM"/>
    <s v="Pakistan"/>
    <x v="17"/>
    <n v="4"/>
    <x v="3"/>
    <s v="Liang Guanglie"/>
    <m/>
    <s v="Defense Minister; CMC Member"/>
    <n v="8"/>
    <s v="Hosted"/>
    <s v="Chief of Air Staff"/>
    <m/>
    <m/>
    <m/>
    <m/>
    <m/>
    <m/>
    <m/>
    <m/>
  </r>
  <r>
    <s v="Senior Level Visit"/>
    <s v="Europe"/>
    <s v="Europe and Central Asia"/>
    <s v="Comprehensive Friendly Cooperative Partnership [全面友好合作伙伴关系]"/>
    <s v="NATO"/>
    <s v="EUCOM"/>
    <s v="Romania"/>
    <x v="17"/>
    <n v="4"/>
    <x v="4"/>
    <s v="Wang Guosheng"/>
    <m/>
    <s v="Lanzhou MR Commander"/>
    <n v="6"/>
    <s v="Abroad"/>
    <m/>
    <m/>
    <m/>
    <m/>
    <m/>
    <m/>
    <m/>
    <m/>
    <m/>
  </r>
  <r>
    <s v="Senior Level Visit"/>
    <s v="Russia"/>
    <s v="Europe and Central Asia"/>
    <s v="Strategic Partnership of Coordination [战略协作伙伴关系]"/>
    <s v="None"/>
    <s v="EUCOM"/>
    <s v="Russia"/>
    <x v="17"/>
    <n v="4"/>
    <x v="3"/>
    <s v="Liang Guanglie"/>
    <m/>
    <s v="Defense Minister; CMC Member"/>
    <n v="8"/>
    <s v="Hosted"/>
    <s v="Chairman State Duma Defense Committee"/>
    <m/>
    <m/>
    <m/>
    <m/>
    <m/>
    <m/>
    <m/>
    <m/>
  </r>
  <r>
    <s v="Senior Level Visit"/>
    <s v="Northeast Asia"/>
    <s v="Asia"/>
    <s v="Strategic Cooperative Partnership [战略合作伙伴关系]"/>
    <s v="Bilateral Defense Treaty"/>
    <s v="INDOPACOM"/>
    <s v="South Korea"/>
    <x v="17"/>
    <n v="4"/>
    <x v="4"/>
    <s v="Liu Dongdong"/>
    <m/>
    <s v="Jinan MR Political Commissar"/>
    <n v="6"/>
    <s v="Abroad"/>
    <m/>
    <m/>
    <m/>
    <m/>
    <m/>
    <m/>
    <m/>
    <m/>
    <m/>
  </r>
  <r>
    <s v="Senior Level Visit"/>
    <s v="Europe"/>
    <s v="Europe and Central Asia"/>
    <s v="Comprehensive Strategic Partnership [全面战略伙伴关系]"/>
    <s v="NATO"/>
    <s v="EUCOM"/>
    <s v="Spain"/>
    <x v="17"/>
    <n v="4"/>
    <x v="3"/>
    <s v="Liang Guanglie"/>
    <m/>
    <s v="Defense Minister; CMC Member"/>
    <n v="8"/>
    <s v="Hosted"/>
    <s v="Chief of Naval Staff"/>
    <m/>
    <m/>
    <m/>
    <m/>
    <m/>
    <m/>
    <m/>
    <m/>
  </r>
  <r>
    <s v="Senior Level Visit"/>
    <s v="North America"/>
    <s v="America and Oceania"/>
    <s v="No Specific Relationship"/>
    <s v="N/A"/>
    <s v="NORTHCOM"/>
    <s v="United States"/>
    <x v="17"/>
    <n v="4"/>
    <x v="3"/>
    <s v="Liang Guanglie"/>
    <m/>
    <s v="Defense Minister; CMC Member"/>
    <n v="8"/>
    <s v="Hosted"/>
    <s v="Commandant, USMC"/>
    <m/>
    <m/>
    <m/>
    <m/>
    <m/>
    <m/>
    <m/>
    <m/>
  </r>
  <r>
    <s v="Senior Level Visit"/>
    <s v="South America"/>
    <s v="America and Oceania"/>
    <s v="Comprehensive Partnership [全面伙伴关系]"/>
    <s v="None"/>
    <s v="SOUTHCOM"/>
    <s v="Chile"/>
    <x v="17"/>
    <n v="5"/>
    <x v="3"/>
    <s v="Liang Guanglie"/>
    <m/>
    <s v="Defense Minister; CMC Member"/>
    <n v="8"/>
    <s v="Hosted"/>
    <s v="Air Force Commander"/>
    <m/>
    <m/>
    <m/>
    <m/>
    <m/>
    <m/>
    <m/>
    <m/>
  </r>
  <r>
    <s v="Senior Level Visit"/>
    <s v="Southeast Asia"/>
    <s v="Asia"/>
    <s v="No Specific Relationship"/>
    <s v="None"/>
    <s v="INDOPACOM"/>
    <s v="IISS"/>
    <x v="17"/>
    <n v="5"/>
    <x v="1"/>
    <s v="Ma Xiaotian"/>
    <m/>
    <s v="GSD DCGS"/>
    <n v="6"/>
    <s v="Abroad"/>
    <s v="7th Shangri-La Dialogue"/>
    <m/>
    <m/>
    <m/>
    <m/>
    <m/>
    <m/>
    <m/>
    <m/>
  </r>
  <r>
    <s v="Senior Level Visit"/>
    <s v="Southeast Asia"/>
    <s v="America and Oceania"/>
    <s v="No Specific Relationship"/>
    <s v="None"/>
    <s v="INDOPACOM"/>
    <s v="Papua New Guinea"/>
    <x v="17"/>
    <n v="5"/>
    <x v="3"/>
    <s v="Liang Guanglie"/>
    <m/>
    <s v="Defense Minister; CMC Member"/>
    <n v="8"/>
    <s v="Hosted"/>
    <s v="Defense Minister"/>
    <m/>
    <m/>
    <m/>
    <m/>
    <m/>
    <m/>
    <m/>
    <m/>
  </r>
  <r>
    <s v="Senior Level Visit"/>
    <s v="Central Asia"/>
    <s v="Europe and Central Asia"/>
    <s v="Member"/>
    <s v="None"/>
    <s v="CENTCOM"/>
    <s v="SCO"/>
    <x v="17"/>
    <n v="5"/>
    <x v="1"/>
    <s v="Liang Guanglie"/>
    <m/>
    <s v="Defense Minister; CMC Member"/>
    <n v="8"/>
    <s v="Abroad"/>
    <s v="Sixth official meeting of the SCO Ministers' of Defense in Tajikistan; Other countries: Kazakhstan, Kyrgyztan, Russia, Tajikistan, Uzbekistan"/>
    <m/>
    <m/>
    <m/>
    <m/>
    <m/>
    <m/>
    <m/>
    <m/>
  </r>
  <r>
    <s v="Senior Level Visit"/>
    <s v="Southeast Asia"/>
    <s v="Asia"/>
    <s v="No Specific Relationship"/>
    <s v="None"/>
    <s v="INDOPACOM"/>
    <s v="Singapore"/>
    <x v="17"/>
    <n v="5"/>
    <x v="4"/>
    <s v="Ma Xiaotian"/>
    <m/>
    <s v="GSD DCGS"/>
    <n v="6"/>
    <s v="Abroad"/>
    <s v="Defense Minister"/>
    <m/>
    <m/>
    <m/>
    <m/>
    <m/>
    <m/>
    <m/>
    <m/>
  </r>
  <r>
    <s v="Senior Level Visit"/>
    <s v="South America"/>
    <s v="America and Oceania"/>
    <s v="No Specific Relationship"/>
    <s v="None"/>
    <s v="SOUTHCOM"/>
    <s v="Suriname"/>
    <x v="17"/>
    <n v="5"/>
    <x v="3"/>
    <s v="Qi Jianguo"/>
    <m/>
    <s v="GSD Assistant Commander"/>
    <n v="5"/>
    <s v="Hosted"/>
    <s v="Defense Minister"/>
    <m/>
    <m/>
    <m/>
    <m/>
    <m/>
    <m/>
    <m/>
    <m/>
  </r>
  <r>
    <s v="Senior Level Visit"/>
    <s v="Central Asia"/>
    <s v="Europe and Central Asia"/>
    <s v="No Specific Relationship"/>
    <s v="None"/>
    <s v="CENTCOM"/>
    <s v="Tajikistan"/>
    <x v="17"/>
    <n v="5"/>
    <x v="4"/>
    <s v="Liang Guanglie"/>
    <m/>
    <s v="Defense Minister; CMC Member"/>
    <n v="8"/>
    <s v="Abroad"/>
    <m/>
    <m/>
    <m/>
    <m/>
    <m/>
    <m/>
    <m/>
    <m/>
    <m/>
  </r>
  <r>
    <s v="Senior Level Visit"/>
    <s v="Oceania"/>
    <s v="America and Oceania"/>
    <s v="No Specific Relationship"/>
    <s v="None"/>
    <s v="INDOPACOM"/>
    <s v="Tonga"/>
    <x v="17"/>
    <n v="5"/>
    <x v="3"/>
    <s v="Liang Guanglie"/>
    <m/>
    <s v="Defense Minister; CMC Member"/>
    <n v="8"/>
    <s v="Hosted"/>
    <s v="Defense Minister"/>
    <m/>
    <m/>
    <m/>
    <m/>
    <m/>
    <m/>
    <m/>
    <m/>
  </r>
  <r>
    <s v="Senior Level Visit"/>
    <s v="Middle East"/>
    <s v="West Asia and Africa"/>
    <s v="Strategic Cooperative Partnership [战略合作伙伴关系]"/>
    <s v="Major Non-NATO Ally"/>
    <s v="CENTCOM"/>
    <s v="Egypt"/>
    <x v="17"/>
    <n v="6"/>
    <x v="3"/>
    <s v="Liang Guanglie"/>
    <m/>
    <s v="Defense Minister; CMC Member"/>
    <n v="8"/>
    <s v="Hosted"/>
    <s v="COGS"/>
    <m/>
    <m/>
    <m/>
    <m/>
    <m/>
    <m/>
    <m/>
    <m/>
  </r>
  <r>
    <s v="Senior Level Visit"/>
    <s v="Europe"/>
    <s v="Europe and Central Asia"/>
    <s v="No Specific Relationship"/>
    <s v="None"/>
    <s v="EUCOM"/>
    <s v="Finland"/>
    <x v="17"/>
    <n v="6"/>
    <x v="3"/>
    <s v="Liang Guanglie"/>
    <m/>
    <s v="Defense Minister; CMC Member"/>
    <n v="8"/>
    <s v="Hosted"/>
    <s v="Defense Minister"/>
    <m/>
    <m/>
    <m/>
    <m/>
    <m/>
    <m/>
    <m/>
    <m/>
  </r>
  <r>
    <s v="Senior Level Visit"/>
    <s v="Europe"/>
    <s v="Europe and Central Asia"/>
    <s v="Comprehensive Friendly Cooperative Partnership [全面友好合作伙伴关系]"/>
    <s v="NATO"/>
    <s v="EUCOM"/>
    <s v="Romania"/>
    <x v="17"/>
    <n v="6"/>
    <x v="3"/>
    <s v="Liang Guanglie"/>
    <m/>
    <s v="GSD Commander; CMC Member"/>
    <n v="8"/>
    <s v="Hosted"/>
    <s v="Defense Minister"/>
    <m/>
    <m/>
    <m/>
    <m/>
    <m/>
    <m/>
    <m/>
    <m/>
  </r>
  <r>
    <s v="Senior Level Visit"/>
    <s v="North America"/>
    <s v="America and Oceania"/>
    <s v="No Specific Relationship"/>
    <s v="N/A"/>
    <s v="NORTHCOM"/>
    <s v="United States"/>
    <x v="17"/>
    <n v="6"/>
    <x v="3"/>
    <s v="Xu Caihou"/>
    <m/>
    <s v="CMC Vice Chairman"/>
    <n v="10"/>
    <s v="Hosted"/>
    <s v="former Secretary of Defense"/>
    <m/>
    <m/>
    <m/>
    <m/>
    <m/>
    <m/>
    <m/>
    <m/>
  </r>
  <r>
    <s v="Senior Level Visit"/>
    <s v="Oceania"/>
    <s v="America and Oceania"/>
    <s v="No Specific Relationship"/>
    <s v="ANZUS Treaty"/>
    <s v="INDOPACOM"/>
    <s v="Australia"/>
    <x v="17"/>
    <n v="7"/>
    <x v="3"/>
    <s v="Guo Boxiong"/>
    <m/>
    <s v="CMC Vice Chairman"/>
    <n v="10"/>
    <s v="Hosted"/>
    <s v="Commander ADF"/>
    <m/>
    <m/>
    <m/>
    <m/>
    <m/>
    <m/>
    <m/>
    <m/>
  </r>
  <r>
    <s v="Senior Level Visit"/>
    <s v="Europe"/>
    <s v="Europe and Central Asia"/>
    <s v="No Specific Relationship"/>
    <s v="None"/>
    <s v="EUCOM"/>
    <s v="Bulgaria"/>
    <x v="17"/>
    <n v="7"/>
    <x v="3"/>
    <s v="Chen Xiaogong "/>
    <m/>
    <s v="GSD Assistant Commander"/>
    <n v="6"/>
    <s v="Hosted"/>
    <s v="Chief of Army Staff"/>
    <m/>
    <m/>
    <m/>
    <m/>
    <m/>
    <m/>
    <m/>
    <m/>
  </r>
  <r>
    <s v="Senior Level Visit"/>
    <s v="South America"/>
    <s v="America and Oceania"/>
    <s v="No Specific Relationship"/>
    <s v="None"/>
    <s v="SOUTHCOM"/>
    <s v="Guyana"/>
    <x v="17"/>
    <n v="7"/>
    <x v="3"/>
    <s v="Liang Guanglie"/>
    <m/>
    <s v="Defense Minister; CMC Member"/>
    <n v="8"/>
    <s v="Hosted"/>
    <s v="Chief of Staff Defense Force"/>
    <m/>
    <m/>
    <m/>
    <m/>
    <m/>
    <m/>
    <m/>
    <m/>
  </r>
  <r>
    <s v="Senior Level Visit"/>
    <s v="Oceania"/>
    <s v="America and Oceania"/>
    <s v="No Specific Relationship"/>
    <s v="ANZUS Treaty"/>
    <s v="INDOPACOM"/>
    <s v="New Zealand"/>
    <x v="17"/>
    <n v="7"/>
    <x v="3"/>
    <s v="Chen Bingde"/>
    <m/>
    <s v="GSD Commander; CMC Member"/>
    <n v="8"/>
    <s v="Hosted"/>
    <s v="Army Commander"/>
    <m/>
    <m/>
    <m/>
    <m/>
    <m/>
    <m/>
    <m/>
    <m/>
  </r>
  <r>
    <s v="Senior Level Visit"/>
    <s v="Southeast Asia"/>
    <s v="Asia"/>
    <s v="Strategic Partnership [战略伙伴关系]"/>
    <s v="Bilateral Defense Treaty"/>
    <s v="INDOPACOM"/>
    <s v="Thailand"/>
    <x v="17"/>
    <n v="7"/>
    <x v="3"/>
    <s v="Liang Guanglie"/>
    <m/>
    <s v="Defense Minister; CMC Member"/>
    <n v="8"/>
    <s v="Hosted"/>
    <s v="Defense Minister"/>
    <m/>
    <m/>
    <m/>
    <m/>
    <m/>
    <m/>
    <m/>
    <m/>
  </r>
  <r>
    <s v="Military Exercise"/>
    <s v="Southeast Asia"/>
    <s v="Asia"/>
    <s v="Strategic Partnership [战略伙伴关系]"/>
    <s v="Bilateral Defense Treaty"/>
    <s v="INDOPACOM"/>
    <s v="Thailand"/>
    <x v="17"/>
    <n v="7"/>
    <x v="5"/>
    <m/>
    <m/>
    <m/>
    <m/>
    <m/>
    <m/>
    <s v="Anti-terrorism"/>
    <s v="Strike 2008"/>
    <s v="Army"/>
    <s v="Anti-terrorism"/>
    <m/>
    <m/>
    <m/>
    <m/>
  </r>
  <r>
    <s v="Senior Level Visit"/>
    <s v="North America"/>
    <s v="America and Oceania"/>
    <s v="No Specific Relationship"/>
    <s v="N/A"/>
    <s v="NORTHCOM"/>
    <s v="United States"/>
    <x v="17"/>
    <n v="7"/>
    <x v="4"/>
    <s v="Zhang Qinsheng"/>
    <m/>
    <s v="Guangzhou MR Commander"/>
    <n v="6"/>
    <s v="Abroad"/>
    <m/>
    <m/>
    <m/>
    <m/>
    <m/>
    <m/>
    <m/>
    <m/>
    <m/>
  </r>
  <r>
    <s v="Senior Level Visit"/>
    <s v="Europe"/>
    <s v="Europe and Central Asia"/>
    <s v="No Specific Relationship"/>
    <s v="None"/>
    <s v="EUCOM"/>
    <s v="Bulgaria"/>
    <x v="17"/>
    <n v="8"/>
    <x v="3"/>
    <s v="Liang Guanglie"/>
    <m/>
    <s v="Defense Minister; CMC Member"/>
    <n v="8"/>
    <s v="Hosted"/>
    <s v="Defense Minister"/>
    <m/>
    <m/>
    <m/>
    <m/>
    <m/>
    <m/>
    <m/>
    <m/>
  </r>
  <r>
    <s v="Senior Level Visit"/>
    <s v="Europe"/>
    <s v="Europe and Central Asia"/>
    <s v="No Specific Relationship"/>
    <s v="NATO"/>
    <s v="EUCOM"/>
    <s v="Germany"/>
    <x v="17"/>
    <n v="8"/>
    <x v="3"/>
    <s v="Liang Guanglie"/>
    <m/>
    <s v="Defense Minister; CMC Member"/>
    <n v="8"/>
    <s v="Hosted"/>
    <s v="Defense Minister"/>
    <m/>
    <m/>
    <m/>
    <m/>
    <m/>
    <m/>
    <m/>
    <m/>
  </r>
  <r>
    <s v="Senior Level Visit"/>
    <s v="North America"/>
    <s v="America and Oceania"/>
    <s v="Strategic Cooperative Partnership [战略合作伙伴关系]"/>
    <s v="None"/>
    <s v="NORTHCOM"/>
    <s v="Mexico"/>
    <x v="17"/>
    <n v="8"/>
    <x v="4"/>
    <s v="Ma Xiaotian"/>
    <m/>
    <s v="GSD DCGS"/>
    <n v="6"/>
    <s v="Abroad"/>
    <m/>
    <m/>
    <m/>
    <m/>
    <m/>
    <m/>
    <m/>
    <m/>
    <m/>
  </r>
  <r>
    <s v="Senior Level Visit"/>
    <s v="Northeast Asia"/>
    <s v="Asia"/>
    <s v="No Specific Relationship"/>
    <s v="None"/>
    <s v="INDOPACOM"/>
    <s v="Mongolia"/>
    <x v="17"/>
    <n v="8"/>
    <x v="4"/>
    <s v="Qi Jianguo"/>
    <m/>
    <s v="GSD Assistant Commander"/>
    <n v="5"/>
    <s v="Abroad"/>
    <m/>
    <m/>
    <m/>
    <m/>
    <m/>
    <m/>
    <m/>
    <m/>
    <m/>
  </r>
  <r>
    <s v="Senior Level Visit"/>
    <s v="Southeast Asia"/>
    <s v="Asia"/>
    <s v="No Specific Relationship"/>
    <s v="None"/>
    <s v="INDOPACOM"/>
    <s v="Myanmar"/>
    <x v="17"/>
    <n v="8"/>
    <x v="3"/>
    <s v="Liang Guanglie"/>
    <m/>
    <s v="Defense Minister; CMC Member"/>
    <n v="8"/>
    <s v="Hosted"/>
    <s v="Chief of Defense Industries"/>
    <m/>
    <m/>
    <m/>
    <m/>
    <m/>
    <m/>
    <m/>
    <m/>
  </r>
  <r>
    <s v="Senior Level Visit"/>
    <s v="South America"/>
    <s v="America and Oceania"/>
    <s v="No Specific Relationship"/>
    <s v="None"/>
    <s v="SOUTHCOM"/>
    <s v="Uruguay"/>
    <x v="17"/>
    <n v="8"/>
    <x v="4"/>
    <s v="Ma Xiaotian"/>
    <m/>
    <s v="GSD DCGS"/>
    <n v="6"/>
    <s v="Abroad"/>
    <m/>
    <m/>
    <m/>
    <m/>
    <m/>
    <m/>
    <m/>
    <m/>
    <m/>
  </r>
  <r>
    <s v="Senior Level Visit"/>
    <s v="Oceania"/>
    <s v="America and Oceania"/>
    <s v="No Specific Relationship"/>
    <s v="ANZUS Treaty"/>
    <s v="INDOPACOM"/>
    <s v="Australia"/>
    <x v="17"/>
    <n v="9"/>
    <x v="4"/>
    <s v="Peng Xiaofeng"/>
    <m/>
    <s v="PLASAF Political Commissar"/>
    <n v="6"/>
    <s v="Abroad"/>
    <m/>
    <m/>
    <m/>
    <m/>
    <m/>
    <m/>
    <m/>
    <m/>
    <m/>
  </r>
  <r>
    <s v="Senior Level Visit"/>
    <s v="Europe"/>
    <s v="Europe and Central Asia"/>
    <s v="Strategic Partnership [战略伙伴关系]"/>
    <s v="NATO"/>
    <s v="EUCOM"/>
    <s v="Belarus"/>
    <x v="17"/>
    <n v="9"/>
    <x v="4"/>
    <s v="Liang Guanglie"/>
    <m/>
    <s v="Defense Minister; CMC Member"/>
    <n v="8"/>
    <s v="Abroad"/>
    <m/>
    <m/>
    <m/>
    <m/>
    <m/>
    <m/>
    <m/>
    <m/>
    <m/>
  </r>
  <r>
    <s v="Senior Level Visit"/>
    <s v="South America"/>
    <s v="America and Oceania"/>
    <s v="Comprehensive Strategic Partnership [全面战略伙伴关系]"/>
    <s v="None"/>
    <s v="SOUTHCOM"/>
    <s v="Brazil"/>
    <x v="17"/>
    <n v="9"/>
    <x v="4"/>
    <s v="Ma Xiaotian"/>
    <m/>
    <s v="GSD DCGS"/>
    <n v="6"/>
    <s v="Abroad"/>
    <m/>
    <m/>
    <m/>
    <m/>
    <m/>
    <m/>
    <m/>
    <m/>
    <m/>
  </r>
  <r>
    <s v="Senior Level Visit"/>
    <s v="Southeast Asia"/>
    <s v="Asia"/>
    <s v="No Specific Relationship"/>
    <s v="None"/>
    <s v="INDOPACOM"/>
    <s v="Brunei"/>
    <x v="17"/>
    <n v="9"/>
    <x v="3"/>
    <s v="Chen Bingde"/>
    <m/>
    <s v="GSD Commander; CMC Member"/>
    <n v="8"/>
    <s v="Hosted"/>
    <s v="Commander Armed Forces"/>
    <m/>
    <m/>
    <m/>
    <m/>
    <m/>
    <m/>
    <m/>
    <m/>
  </r>
  <r>
    <s v="Senior Level Visit"/>
    <s v="Africa"/>
    <s v="West Asia and Africa"/>
    <s v="Friendly Cooperative Relationship [友好合作关系]"/>
    <s v="None"/>
    <s v="AFRICOM"/>
    <s v="Cameroon"/>
    <x v="17"/>
    <n v="9"/>
    <x v="3"/>
    <s v="Chen Bingde"/>
    <m/>
    <s v="GSD Commander; CMC Member"/>
    <n v="8"/>
    <s v="Hosted"/>
    <s v="COGS"/>
    <m/>
    <m/>
    <m/>
    <m/>
    <m/>
    <m/>
    <m/>
    <m/>
  </r>
  <r>
    <s v="Senior Level Visit"/>
    <s v="North America"/>
    <s v="America and Oceania"/>
    <s v="Strategic Partnership [战略伙伴关系]"/>
    <s v="None"/>
    <s v="NORTHCOM"/>
    <s v="Canada"/>
    <x v="17"/>
    <n v="9"/>
    <x v="4"/>
    <s v="Wang Xibin"/>
    <m/>
    <s v="PLA NDU President"/>
    <n v="6"/>
    <s v="Abroad"/>
    <m/>
    <m/>
    <m/>
    <m/>
    <m/>
    <m/>
    <m/>
    <m/>
    <m/>
  </r>
  <r>
    <s v="Senior Level Visit"/>
    <s v="South America"/>
    <s v="America and Oceania"/>
    <s v="Comprehensive Partnership [全面伙伴关系]"/>
    <s v="None"/>
    <s v="SOUTHCOM"/>
    <s v="Chile"/>
    <x v="17"/>
    <n v="9"/>
    <x v="4"/>
    <s v="Xu Qiliang"/>
    <m/>
    <s v="PLAAF Commander; CMC Member"/>
    <n v="8"/>
    <s v="Abroad"/>
    <m/>
    <m/>
    <m/>
    <m/>
    <m/>
    <m/>
    <m/>
    <m/>
    <m/>
  </r>
  <r>
    <s v="Senior Level Visit"/>
    <s v="South America"/>
    <s v="America and Oceania"/>
    <s v="No Specific Relationship"/>
    <s v="None"/>
    <s v="SOUTHCOM"/>
    <s v="Cuba"/>
    <x v="17"/>
    <n v="9"/>
    <x v="4"/>
    <s v="Xu Qiliang"/>
    <m/>
    <s v="PLAAF Commander; CMC Member"/>
    <n v="8"/>
    <s v="Abroad"/>
    <m/>
    <m/>
    <m/>
    <m/>
    <m/>
    <m/>
    <m/>
    <m/>
    <m/>
  </r>
  <r>
    <s v="Senior Level Visit"/>
    <s v="Europe"/>
    <s v="Europe and Central Asia"/>
    <s v="No Specific Relationship"/>
    <s v="NATO"/>
    <s v="EUCOM"/>
    <s v="Germany"/>
    <x v="17"/>
    <n v="9"/>
    <x v="4"/>
    <s v="Liang Guanglie"/>
    <m/>
    <s v="Defense Minister; CMC Member"/>
    <n v="8"/>
    <s v="Abroad"/>
    <s v="Defense Minister"/>
    <m/>
    <m/>
    <m/>
    <m/>
    <m/>
    <m/>
    <m/>
    <m/>
  </r>
  <r>
    <s v="Senior Level Visit"/>
    <s v="Europe"/>
    <s v="Europe and Central Asia"/>
    <s v="No Specific Relationship"/>
    <s v="NATO"/>
    <s v="EUCOM"/>
    <s v="Hungary"/>
    <x v="17"/>
    <n v="9"/>
    <x v="4"/>
    <s v="Liang Guanglie"/>
    <m/>
    <s v="Defense Minister; CMC Member"/>
    <n v="8"/>
    <s v="Abroad"/>
    <m/>
    <m/>
    <m/>
    <m/>
    <m/>
    <m/>
    <m/>
    <m/>
    <m/>
  </r>
  <r>
    <s v="Senior Level Visit"/>
    <s v="Europe"/>
    <s v="Europe and Central Asia"/>
    <s v="Comprehensive Strategic Partnership [全面战略伙伴关系]"/>
    <s v="NATO"/>
    <s v="EUCOM"/>
    <s v="Italy"/>
    <x v="17"/>
    <n v="9"/>
    <x v="4"/>
    <s v="Liang Guanglie"/>
    <m/>
    <s v="Defense Minister; CMC Member"/>
    <n v="8"/>
    <s v="Abroad"/>
    <m/>
    <m/>
    <m/>
    <m/>
    <m/>
    <m/>
    <m/>
    <m/>
    <m/>
  </r>
  <r>
    <s v="Senior Level Visit"/>
    <s v="Northeast Asia"/>
    <s v="Asia"/>
    <s v="Mutually Beneficial Strategic Relationship [战略互惠关系]"/>
    <s v="Bilateral Defense Treaty"/>
    <s v="INDOPACOM"/>
    <s v="Japan"/>
    <x v="17"/>
    <n v="9"/>
    <x v="4"/>
    <s v="Xu Qiliang"/>
    <m/>
    <s v="PLAAF Commander; CMC Member"/>
    <n v="8"/>
    <s v="Abroad"/>
    <m/>
    <m/>
    <m/>
    <m/>
    <m/>
    <m/>
    <m/>
    <m/>
    <m/>
  </r>
  <r>
    <s v="Senior Level Visit"/>
    <s v="Africa"/>
    <s v="West Asia and Africa"/>
    <s v="No Specific Relationship"/>
    <s v="None"/>
    <s v="AFRICOM"/>
    <s v="Kenya"/>
    <x v="17"/>
    <n v="9"/>
    <x v="4"/>
    <s v="Fan Changlong"/>
    <m/>
    <s v="Jinan MR Commander"/>
    <n v="6"/>
    <s v="Abroad"/>
    <m/>
    <m/>
    <m/>
    <m/>
    <m/>
    <m/>
    <m/>
    <m/>
    <m/>
  </r>
  <r>
    <s v="Senior Level Visit"/>
    <s v="Africa"/>
    <s v="West Asia and Africa"/>
    <s v="No Specific Relationship"/>
    <s v="None"/>
    <s v="AFRICOM"/>
    <s v="Namibia"/>
    <x v="17"/>
    <n v="9"/>
    <x v="4"/>
    <s v="Fan Changlong"/>
    <m/>
    <s v="Jinan MR Commander"/>
    <n v="6"/>
    <s v="Abroad"/>
    <m/>
    <m/>
    <m/>
    <m/>
    <m/>
    <m/>
    <m/>
    <m/>
    <m/>
  </r>
  <r>
    <s v="Senior Level Visit"/>
    <s v="South Asia"/>
    <s v="Asia"/>
    <s v="Good-Neighborly Partnership [世代友好的睦邻伙伴关系]"/>
    <s v="None"/>
    <s v="INDOPACOM"/>
    <s v="Nepal"/>
    <x v="17"/>
    <n v="9"/>
    <x v="3"/>
    <s v="Guo Boxiong"/>
    <m/>
    <s v="CMC Vice Chairman"/>
    <n v="8"/>
    <s v="Hosted"/>
    <s v="Defense Minister"/>
    <m/>
    <m/>
    <m/>
    <m/>
    <m/>
    <m/>
    <m/>
    <m/>
  </r>
  <r>
    <s v="Senior Level Visit"/>
    <s v="Oceania"/>
    <s v="America and Oceania"/>
    <s v="No Specific Relationship"/>
    <s v="ANZUS Treaty"/>
    <s v="INDOPACOM"/>
    <s v="New Zealand"/>
    <x v="17"/>
    <n v="9"/>
    <x v="4"/>
    <s v="Peng Xiaofeng"/>
    <m/>
    <s v="PLASAF Political Commissar"/>
    <n v="6"/>
    <s v="Abroad"/>
    <m/>
    <m/>
    <m/>
    <m/>
    <m/>
    <m/>
    <m/>
    <m/>
    <m/>
  </r>
  <r>
    <s v="Senior Level Visit"/>
    <s v="Europe"/>
    <s v="Europe and Central Asia"/>
    <s v="No Specific Relationship"/>
    <s v="NATO"/>
    <s v="EUCOM"/>
    <s v="Norway"/>
    <x v="17"/>
    <n v="9"/>
    <x v="4"/>
    <s v="Chen Bingde"/>
    <m/>
    <s v="GSD Commander; CMC Member"/>
    <n v="8"/>
    <s v="Abroad"/>
    <m/>
    <m/>
    <m/>
    <m/>
    <m/>
    <m/>
    <m/>
    <m/>
    <m/>
  </r>
  <r>
    <s v="Senior Level Visit"/>
    <s v="South Asia"/>
    <s v="Asia"/>
    <s v="Strategic Partnership [战略伙伴关系]"/>
    <s v="Major Non-NATO Ally"/>
    <s v="CENTCOM"/>
    <s v="Pakistan"/>
    <x v="17"/>
    <n v="9"/>
    <x v="3"/>
    <s v="Guo Boxiong"/>
    <m/>
    <s v="CMC Vice Chairman"/>
    <n v="10"/>
    <s v="Hosted"/>
    <s v="Chief of Army Staff"/>
    <m/>
    <m/>
    <m/>
    <m/>
    <m/>
    <m/>
    <m/>
    <m/>
  </r>
  <r>
    <s v="Senior Level Visit"/>
    <s v="Europe"/>
    <s v="Europe and Central Asia"/>
    <s v="No Specific Relationship"/>
    <s v="NATO"/>
    <s v="EUCOM"/>
    <s v="Poland"/>
    <x v="17"/>
    <n v="9"/>
    <x v="4"/>
    <s v="Huang Xianzhong"/>
    <m/>
    <s v="Shenyang MR Political Commissar"/>
    <n v="6"/>
    <s v="Abroad"/>
    <m/>
    <m/>
    <m/>
    <m/>
    <m/>
    <m/>
    <m/>
    <m/>
    <m/>
  </r>
  <r>
    <s v="Senior Level Visit"/>
    <s v="Europe"/>
    <s v="Europe and Central Asia"/>
    <s v="No Specific Relationship"/>
    <s v="None"/>
    <s v="EUCOM"/>
    <s v="Serbia"/>
    <x v="17"/>
    <n v="9"/>
    <x v="4"/>
    <s v="Chen Bingde"/>
    <m/>
    <s v="GSD Commander; CMC Member"/>
    <n v="8"/>
    <s v="Abroad"/>
    <s v="COGS"/>
    <m/>
    <m/>
    <m/>
    <m/>
    <m/>
    <m/>
    <m/>
    <m/>
  </r>
  <r>
    <s v="Senior Level Visit"/>
    <s v="Africa"/>
    <s v="West Asia and Africa"/>
    <s v="Strategic Partnership [战略伙伴关系]"/>
    <s v="None"/>
    <s v="AFRICOM"/>
    <s v="South Africa"/>
    <x v="17"/>
    <n v="9"/>
    <x v="4"/>
    <s v="Tong Shiping"/>
    <m/>
    <s v="GPD Deputy Director"/>
    <n v="6"/>
    <s v="Abroad"/>
    <m/>
    <m/>
    <m/>
    <m/>
    <m/>
    <m/>
    <m/>
    <m/>
    <m/>
  </r>
  <r>
    <s v="Senior Level Visit"/>
    <s v="Europe"/>
    <s v="Europe and Central Asia"/>
    <s v="No Specific Relationship"/>
    <s v="None"/>
    <s v="EUCOM"/>
    <s v="Switzerland"/>
    <x v="17"/>
    <n v="9"/>
    <x v="3"/>
    <s v="Guo Boxiong"/>
    <m/>
    <s v="CMC Vice Chairman"/>
    <n v="10"/>
    <s v="Hosted"/>
    <s v="Defense Minister"/>
    <m/>
    <m/>
    <m/>
    <m/>
    <m/>
    <m/>
    <m/>
    <m/>
  </r>
  <r>
    <s v="Senior Level Visit"/>
    <s v="Africa"/>
    <s v="West Asia and Africa"/>
    <s v="No Specific Relationship"/>
    <s v="None"/>
    <s v="AFRICOM"/>
    <s v="Tanzania"/>
    <x v="17"/>
    <n v="9"/>
    <x v="3"/>
    <s v="Ma Xiaotian"/>
    <m/>
    <s v="GSD DCGS"/>
    <n v="6"/>
    <s v="Hosted"/>
    <s v="Chief of Staff Defense Force"/>
    <m/>
    <m/>
    <m/>
    <m/>
    <m/>
    <m/>
    <m/>
    <m/>
  </r>
  <r>
    <s v="Senior Level Visit"/>
    <s v="Europe"/>
    <s v="Europe and Central Asia"/>
    <s v="Comprehensive Strategic Partnership [全面战略伙伴关系]"/>
    <s v="NATO"/>
    <s v="EUCOM"/>
    <s v="United Kingdom"/>
    <x v="17"/>
    <n v="9"/>
    <x v="3"/>
    <s v="Liang Guanglie"/>
    <m/>
    <s v="Defense Minister; CMC Member"/>
    <n v="8"/>
    <s v="Hosted"/>
    <s v="First Sea Lord and Chief of Naval Staff"/>
    <m/>
    <m/>
    <m/>
    <m/>
    <m/>
    <m/>
    <m/>
    <m/>
  </r>
  <r>
    <s v="Senior Level Visit"/>
    <s v="North America"/>
    <s v="America and Oceania"/>
    <s v="No Specific Relationship"/>
    <s v="N/A"/>
    <s v="NORTHCOM"/>
    <s v="United States"/>
    <x v="17"/>
    <n v="9"/>
    <x v="4"/>
    <s v="Wang Xibin"/>
    <m/>
    <s v="PLA NDU President"/>
    <n v="6"/>
    <s v="Abroad"/>
    <m/>
    <m/>
    <m/>
    <m/>
    <m/>
    <m/>
    <m/>
    <m/>
    <m/>
  </r>
  <r>
    <s v="Senior Level Visit"/>
    <s v="Africa"/>
    <s v="West Asia and Africa"/>
    <s v="No Specific Relationship"/>
    <s v="None"/>
    <s v="AFRICOM"/>
    <s v="Botswana"/>
    <x v="17"/>
    <n v="10"/>
    <x v="4"/>
    <s v="Qi Jianguo"/>
    <m/>
    <s v="GSD Assistant Commander"/>
    <n v="5"/>
    <s v="Abroad"/>
    <m/>
    <m/>
    <m/>
    <m/>
    <m/>
    <m/>
    <m/>
    <m/>
    <m/>
  </r>
  <r>
    <s v="Senior Level Visit"/>
    <s v="Southeast Asia"/>
    <s v="Asia"/>
    <s v="Comprehensive Cooperative Partnership [全面合作伙伴关系]"/>
    <s v="None"/>
    <s v="INDOPACOM"/>
    <s v="Cambodia"/>
    <x v="17"/>
    <n v="10"/>
    <x v="4"/>
    <s v="Ma Xiaotian"/>
    <m/>
    <s v="GSD DCGS"/>
    <n v="6"/>
    <s v="Abroad"/>
    <m/>
    <m/>
    <m/>
    <m/>
    <m/>
    <m/>
    <m/>
    <m/>
    <m/>
  </r>
  <r>
    <s v="Senior Level Visit"/>
    <s v="South America"/>
    <s v="America and Oceania"/>
    <s v="No Specific Relationship"/>
    <s v="None"/>
    <s v="SOUTHCOM"/>
    <s v="Colombia"/>
    <x v="17"/>
    <n v="10"/>
    <x v="3"/>
    <s v="Liang Guanglie"/>
    <m/>
    <s v="Defense Minister; CMC Member"/>
    <n v="8"/>
    <s v="Hosted"/>
    <s v="Commander Armed Forces"/>
    <m/>
    <m/>
    <m/>
    <m/>
    <m/>
    <m/>
    <m/>
    <m/>
  </r>
  <r>
    <s v="Senior Level Visit"/>
    <s v="Africa"/>
    <s v="West Asia and Africa"/>
    <s v="Friendly Cooperative Partnership [友好合作伙伴关系]"/>
    <s v="None"/>
    <s v="AFRICOM"/>
    <s v="Comoros"/>
    <x v="17"/>
    <n v="10"/>
    <x v="3"/>
    <s v="Liang Guanglie"/>
    <m/>
    <s v="Defense Minister; CMC Member"/>
    <n v="8"/>
    <s v="Hosted"/>
    <s v="COGS"/>
    <m/>
    <m/>
    <m/>
    <m/>
    <m/>
    <m/>
    <m/>
    <m/>
  </r>
  <r>
    <s v="Senior Level Visit"/>
    <s v="South America"/>
    <s v="America and Oceania"/>
    <s v="No Specific Relationship"/>
    <s v="None"/>
    <s v="SOUTHCOM"/>
    <s v="Ecuador"/>
    <x v="17"/>
    <n v="10"/>
    <x v="3"/>
    <s v="Liang Guanglie"/>
    <m/>
    <s v="Defense Minister; CMC Member"/>
    <n v="8"/>
    <s v="Hosted"/>
    <s v="Defense Minister"/>
    <m/>
    <m/>
    <m/>
    <m/>
    <m/>
    <m/>
    <m/>
    <m/>
  </r>
  <r>
    <s v="Senior Level Visit"/>
    <s v="Middle East"/>
    <s v="West Asia and Africa"/>
    <s v="Strategic Cooperative Partnership [战略合作伙伴关系]"/>
    <s v="Major Non-NATO Ally"/>
    <s v="CENTCOM"/>
    <s v="Egypt"/>
    <x v="17"/>
    <n v="10"/>
    <x v="4"/>
    <s v="Zhang Haiyang"/>
    <m/>
    <s v="Chengdu MR Political Commissar"/>
    <n v="6"/>
    <s v="Abroad"/>
    <m/>
    <m/>
    <m/>
    <m/>
    <m/>
    <m/>
    <m/>
    <m/>
    <m/>
  </r>
  <r>
    <s v="Senior Level Visit"/>
    <s v="Europe"/>
    <s v="Europe and Central Asia"/>
    <s v="Comprehensive Strategic Partnership [全面战略伙伴关系]"/>
    <s v="NATO"/>
    <s v="EUCOM"/>
    <s v="Greece"/>
    <x v="17"/>
    <n v="10"/>
    <x v="4"/>
    <s v="Tong Shiping"/>
    <m/>
    <s v="GPD Deputy Director"/>
    <n v="6"/>
    <s v="Abroad"/>
    <m/>
    <m/>
    <m/>
    <m/>
    <m/>
    <m/>
    <m/>
    <m/>
    <m/>
  </r>
  <r>
    <s v="Senior Level Visit"/>
    <s v="Europe"/>
    <s v="Europe and Central Asia"/>
    <s v="No Specific Relationship"/>
    <s v="NATO"/>
    <s v="EUCOM"/>
    <s v="Hungary"/>
    <x v="17"/>
    <n v="10"/>
    <x v="4"/>
    <s v="Liu Yuan"/>
    <m/>
    <s v="AMS Political Commissar"/>
    <n v="6"/>
    <s v="Abroad"/>
    <m/>
    <m/>
    <m/>
    <m/>
    <m/>
    <m/>
    <m/>
    <m/>
    <m/>
  </r>
  <r>
    <s v="Senior Level Visit"/>
    <s v="South America"/>
    <s v="America and Oceania"/>
    <s v="Friendly Partnership [友好伙伴关系)]"/>
    <s v="None"/>
    <s v="SOUTHCOM"/>
    <s v="Jamaica"/>
    <x v="17"/>
    <n v="10"/>
    <x v="3"/>
    <s v="Chen Bingde"/>
    <m/>
    <s v="GSD Commander; CMC Member"/>
    <n v="8"/>
    <s v="Hosted"/>
    <s v="Chief of Defense Force"/>
    <m/>
    <m/>
    <m/>
    <m/>
    <m/>
    <m/>
    <m/>
    <m/>
  </r>
  <r>
    <s v="Senior Level Visit"/>
    <s v="Africa"/>
    <s v="West Asia and Africa"/>
    <s v="No Specific Relationship"/>
    <s v="None"/>
    <s v="AFRICOM"/>
    <s v="Lesotho"/>
    <x v="17"/>
    <n v="10"/>
    <x v="4"/>
    <s v="Qi Jianguo"/>
    <m/>
    <s v="GSD Assistant Commander"/>
    <n v="5"/>
    <s v="Abroad"/>
    <m/>
    <m/>
    <m/>
    <m/>
    <m/>
    <m/>
    <m/>
    <m/>
    <m/>
  </r>
  <r>
    <s v="Senior Level Visit"/>
    <s v="Southeast Asia"/>
    <s v="Asia"/>
    <s v="No Specific Relationship"/>
    <s v="None"/>
    <s v="INDOPACOM"/>
    <s v="Myanmar"/>
    <x v="17"/>
    <n v="10"/>
    <x v="4"/>
    <s v="Ma Xiaotian"/>
    <m/>
    <s v="GSD DCGS"/>
    <n v="6"/>
    <s v="Abroad"/>
    <m/>
    <m/>
    <m/>
    <m/>
    <m/>
    <m/>
    <m/>
    <m/>
    <m/>
  </r>
  <r>
    <s v="Senior Level Visit"/>
    <s v="Southeast Asia"/>
    <s v="Asia"/>
    <s v="Strategic Cooperative Partnership [战略合作伙伴关系]"/>
    <s v="Bilateral Defense Treaty"/>
    <s v="INDOPACOM"/>
    <s v="Philippines"/>
    <x v="17"/>
    <n v="10"/>
    <x v="3"/>
    <s v="Liang Guanglie"/>
    <m/>
    <s v="Defense Minister; CMC Member"/>
    <n v="8"/>
    <s v="Hosted"/>
    <s v="Air Force Commander"/>
    <m/>
    <m/>
    <m/>
    <m/>
    <m/>
    <m/>
    <m/>
    <m/>
  </r>
  <r>
    <s v="Senior Level Visit"/>
    <s v="Europe"/>
    <s v="Europe and Central Asia"/>
    <s v="Comprehensive Friendly Cooperative Partnership [全面友好合作伙伴关系]"/>
    <s v="NATO"/>
    <s v="EUCOM"/>
    <s v="Romania"/>
    <x v="17"/>
    <n v="10"/>
    <x v="4"/>
    <s v="Liu Yuan"/>
    <m/>
    <s v="AMS Political Commissar"/>
    <n v="6"/>
    <s v="Abroad"/>
    <m/>
    <m/>
    <m/>
    <m/>
    <m/>
    <m/>
    <m/>
    <m/>
    <m/>
  </r>
  <r>
    <s v="Senior Level Visit"/>
    <s v="Southeast Asia"/>
    <s v="Asia"/>
    <s v="No Specific Relationship"/>
    <s v="None"/>
    <s v="INDOPACOM"/>
    <s v="Singapore"/>
    <x v="17"/>
    <n v="10"/>
    <x v="3"/>
    <s v="Liang Guanglie"/>
    <m/>
    <s v="Defense Minister; CMC Member"/>
    <n v="8"/>
    <s v="Hosted"/>
    <s v="Defense Minister"/>
    <m/>
    <m/>
    <m/>
    <m/>
    <m/>
    <m/>
    <m/>
    <m/>
  </r>
  <r>
    <s v="Senior Level Visit"/>
    <s v="Northeast Asia"/>
    <s v="Asia"/>
    <s v="Strategic Cooperative Partnership [战略合作伙伴关系]"/>
    <s v="Bilateral Defense Treaty"/>
    <s v="INDOPACOM"/>
    <s v="South Korea"/>
    <x v="17"/>
    <n v="10"/>
    <x v="4"/>
    <s v="Ma Xiaotian"/>
    <m/>
    <s v="GSD DCGS"/>
    <n v="6"/>
    <s v="Abroad"/>
    <m/>
    <m/>
    <m/>
    <m/>
    <m/>
    <m/>
    <m/>
    <m/>
    <m/>
  </r>
  <r>
    <s v="Senior Level Visit"/>
    <s v="Europe"/>
    <s v="Europe and Central Asia"/>
    <s v="No Specific Relationship"/>
    <s v="None"/>
    <s v="EUCOM"/>
    <s v="Sweden"/>
    <x v="17"/>
    <n v="10"/>
    <x v="3"/>
    <s v="Liang Guanglie"/>
    <m/>
    <s v="Defense Minister; CMC Member"/>
    <n v="8"/>
    <s v="Hosted"/>
    <s v="Supreme Commander Armed Forces"/>
    <m/>
    <m/>
    <m/>
    <m/>
    <m/>
    <m/>
    <m/>
    <m/>
  </r>
  <r>
    <s v="Senior Level Visit"/>
    <s v="Middle East"/>
    <s v="West Asia and Africa"/>
    <s v="No Specific Relationship"/>
    <s v="None"/>
    <s v="CENTCOM"/>
    <s v="Syria"/>
    <x v="17"/>
    <n v="10"/>
    <x v="4"/>
    <s v="Zhang Haiyang"/>
    <m/>
    <s v="Chengdu MR Political Commissar"/>
    <n v="6"/>
    <s v="Abroad"/>
    <m/>
    <m/>
    <m/>
    <m/>
    <m/>
    <m/>
    <m/>
    <m/>
    <m/>
  </r>
  <r>
    <s v="Senior Level Visit"/>
    <s v="Africa"/>
    <s v="West Asia and Africa"/>
    <s v="No Specific Relationship"/>
    <s v="None"/>
    <s v="AFRICOM"/>
    <s v="Tanzania"/>
    <x v="17"/>
    <n v="10"/>
    <x v="4"/>
    <s v="Jing Zhiyuan"/>
    <m/>
    <s v="PLASAF Commander; CMC Member"/>
    <n v="8"/>
    <s v="Abroad"/>
    <m/>
    <m/>
    <m/>
    <m/>
    <m/>
    <m/>
    <m/>
    <m/>
    <m/>
  </r>
  <r>
    <s v="Senior Level Visit"/>
    <s v="Africa"/>
    <s v="West Asia and Africa"/>
    <s v="No Specific Relationship"/>
    <s v="None"/>
    <s v="AFRICOM"/>
    <s v="Uganda"/>
    <x v="17"/>
    <n v="10"/>
    <x v="4"/>
    <s v="Jing Zhiyuan"/>
    <m/>
    <s v="PLASAF Commander; CMC Member"/>
    <n v="8"/>
    <s v="Abroad"/>
    <m/>
    <m/>
    <m/>
    <m/>
    <m/>
    <m/>
    <m/>
    <m/>
    <m/>
  </r>
  <r>
    <s v="Senior Level Visit"/>
    <s v="South America"/>
    <s v="America and Oceania"/>
    <s v="Strategic Partnership [战略伙伴关系]"/>
    <s v="Major Non-NATO Ally"/>
    <s v="SOUTHCOM"/>
    <s v="Argentina"/>
    <x v="17"/>
    <n v="11"/>
    <x v="4"/>
    <s v="Liu Chengjun"/>
    <m/>
    <s v="AMS President"/>
    <n v="6"/>
    <s v="Abroad"/>
    <m/>
    <m/>
    <m/>
    <m/>
    <m/>
    <m/>
    <m/>
    <m/>
    <m/>
  </r>
  <r>
    <s v="Senior Level Visit"/>
    <s v="Middle East"/>
    <s v="West Asia and Africa"/>
    <s v="Friendly Cooperative Partnership [友好合作伙伴关系]"/>
    <s v="Major Non-NATO Ally"/>
    <s v="CENTCOM"/>
    <s v="Bahrain"/>
    <x v="17"/>
    <n v="11"/>
    <x v="4"/>
    <s v="Liang Guanglie"/>
    <m/>
    <s v="Defense Minister; CMC Member"/>
    <n v="8"/>
    <s v="Abroad"/>
    <m/>
    <m/>
    <m/>
    <m/>
    <m/>
    <m/>
    <m/>
    <m/>
    <m/>
  </r>
  <r>
    <s v="Senior Level Visit"/>
    <s v="South America"/>
    <s v="America and Oceania"/>
    <s v="Comprehensive Strategic Partnership [全面战略伙伴关系]"/>
    <s v="None"/>
    <s v="SOUTHCOM"/>
    <s v="Brazil"/>
    <x v="17"/>
    <n v="11"/>
    <x v="4"/>
    <s v="Xu Caihou"/>
    <m/>
    <s v="CMC Vice Chairman"/>
    <n v="10"/>
    <s v="Abroad"/>
    <m/>
    <m/>
    <m/>
    <m/>
    <m/>
    <m/>
    <m/>
    <m/>
    <m/>
  </r>
  <r>
    <s v="Senior Level Visit"/>
    <s v="Europe"/>
    <s v="Europe and Central Asia"/>
    <s v="No Specific Relationship"/>
    <s v="None"/>
    <s v="EUCOM"/>
    <s v="Bulgaria"/>
    <x v="17"/>
    <n v="11"/>
    <x v="3"/>
    <s v="Xu Caihou"/>
    <m/>
    <s v="CMC Vice Chairman"/>
    <n v="10"/>
    <s v="Hosted"/>
    <s v="COGS"/>
    <m/>
    <m/>
    <m/>
    <m/>
    <m/>
    <m/>
    <m/>
    <m/>
  </r>
  <r>
    <s v="Senior Level Visit"/>
    <s v="South America"/>
    <s v="America and Oceania"/>
    <s v="Comprehensive Partnership [全面伙伴关系]"/>
    <s v="None"/>
    <s v="SOUTHCOM"/>
    <s v="Chile"/>
    <x v="17"/>
    <n v="11"/>
    <x v="4"/>
    <s v="Xu Caihou"/>
    <m/>
    <s v="CMC Vice Chairman"/>
    <n v="10"/>
    <s v="Abroad"/>
    <m/>
    <m/>
    <m/>
    <m/>
    <m/>
    <m/>
    <m/>
    <m/>
    <m/>
  </r>
  <r>
    <s v="Senior Level Visit"/>
    <s v="Africa"/>
    <s v="West Asia and Africa"/>
    <s v="No Specific Relationship"/>
    <s v="None"/>
    <s v="AFRICOM"/>
    <s v="Ethiopia"/>
    <x v="17"/>
    <n v="11"/>
    <x v="4"/>
    <s v="Tong Shiping"/>
    <m/>
    <s v="GPD Deputy Director"/>
    <n v="6"/>
    <s v="Abroad"/>
    <m/>
    <m/>
    <m/>
    <m/>
    <m/>
    <m/>
    <m/>
    <m/>
    <m/>
  </r>
  <r>
    <s v="Senior Level Visit"/>
    <s v="Europe"/>
    <s v="Europe and Central Asia"/>
    <s v="No Specific Relationship"/>
    <s v="NATO"/>
    <s v="EUCOM"/>
    <s v="Germany"/>
    <x v="17"/>
    <n v="11"/>
    <x v="3"/>
    <s v="Liang Guanglie"/>
    <m/>
    <s v="Defense Minister; CMC Member"/>
    <n v="8"/>
    <s v="Hosted"/>
    <s v="Inspector of Navy"/>
    <m/>
    <m/>
    <m/>
    <m/>
    <m/>
    <m/>
    <m/>
    <m/>
  </r>
  <r>
    <s v="Senior Level Visit"/>
    <s v="South Asia"/>
    <s v="Asia"/>
    <s v="Strategic Partnership for Peace and Prosperity [战略伙伴关系]"/>
    <s v="None"/>
    <s v="INDOPACOM"/>
    <s v="India"/>
    <x v="17"/>
    <n v="11"/>
    <x v="4"/>
    <s v="Wu Shengli"/>
    <m/>
    <s v="PLAN Commander; CMC Member"/>
    <n v="8"/>
    <s v="Abroad"/>
    <m/>
    <m/>
    <m/>
    <m/>
    <m/>
    <m/>
    <m/>
    <m/>
    <m/>
  </r>
  <r>
    <s v="Senior Level Visit"/>
    <s v="Northeast Asia"/>
    <s v="Asia"/>
    <s v="Mutually Beneficial Strategic Relationship [战略互惠关系]"/>
    <s v="Bilateral Defense Treaty"/>
    <s v="INDOPACOM"/>
    <s v="Japan"/>
    <x v="17"/>
    <n v="11"/>
    <x v="4"/>
    <s v="Wu Shengli"/>
    <m/>
    <s v="PLAN Commander; CMC Member"/>
    <n v="8"/>
    <s v="Abroad"/>
    <m/>
    <m/>
    <m/>
    <m/>
    <m/>
    <m/>
    <m/>
    <m/>
    <m/>
  </r>
  <r>
    <s v="Senior Level Visit"/>
    <s v="Southeast Asia"/>
    <s v="Asia"/>
    <s v="Comprehensive Cooperative Partnership [全面合作伙伴关系]"/>
    <s v="None"/>
    <s v="INDOPACOM"/>
    <s v="Laos"/>
    <x v="17"/>
    <n v="11"/>
    <x v="4"/>
    <s v="Ma Xiaotian"/>
    <m/>
    <s v="GSD DCGS"/>
    <n v="6"/>
    <s v="Abroad"/>
    <m/>
    <m/>
    <m/>
    <m/>
    <m/>
    <m/>
    <m/>
    <m/>
    <m/>
  </r>
  <r>
    <s v="Senior Level Visit"/>
    <s v="North America"/>
    <s v="America and Oceania"/>
    <s v="Strategic Cooperative Partnership [战略合作伙伴关系]"/>
    <s v="None"/>
    <s v="NORTHCOM"/>
    <s v="Mexico"/>
    <x v="17"/>
    <n v="11"/>
    <x v="4"/>
    <s v="Sun Dafa"/>
    <m/>
    <s v="GLD Political Commissar"/>
    <n v="6"/>
    <s v="Abroad"/>
    <m/>
    <m/>
    <m/>
    <m/>
    <m/>
    <m/>
    <m/>
    <m/>
    <m/>
  </r>
  <r>
    <s v="Senior Level Visit"/>
    <s v="Africa"/>
    <s v="West Asia and Africa"/>
    <s v="No Specific Relationship"/>
    <s v="Major Non-NATO Ally"/>
    <s v="AFRICOM"/>
    <s v="Morocco"/>
    <x v="17"/>
    <n v="11"/>
    <x v="4"/>
    <s v="Tong Shiping"/>
    <m/>
    <s v="GPD Deputy Director"/>
    <n v="6"/>
    <s v="Abroad"/>
    <m/>
    <m/>
    <m/>
    <m/>
    <m/>
    <m/>
    <m/>
    <m/>
    <m/>
  </r>
  <r>
    <s v="Senior Level Visit"/>
    <s v="Middle East"/>
    <s v="West Asia and Africa"/>
    <s v="No Specific Relationship"/>
    <s v="None"/>
    <s v="CENTCOM"/>
    <s v="Oman"/>
    <x v="17"/>
    <n v="11"/>
    <x v="4"/>
    <s v="Liang Guanglie"/>
    <m/>
    <s v="Defense Minister; CMC Member"/>
    <n v="8"/>
    <s v="Abroad"/>
    <m/>
    <m/>
    <m/>
    <m/>
    <m/>
    <m/>
    <m/>
    <m/>
    <m/>
  </r>
  <r>
    <s v="Senior Level Visit"/>
    <s v="Middle East"/>
    <s v="West Asia and Africa"/>
    <s v="No Specific Relationship"/>
    <s v="None"/>
    <s v="CENTCOM"/>
    <s v="Qatar"/>
    <x v="17"/>
    <n v="11"/>
    <x v="4"/>
    <s v="Liang Guanglie"/>
    <m/>
    <s v="Defense Minister; CMC Member"/>
    <n v="8"/>
    <s v="Abroad"/>
    <m/>
    <m/>
    <m/>
    <m/>
    <m/>
    <m/>
    <m/>
    <m/>
    <m/>
  </r>
  <r>
    <s v="Senior Level Visit"/>
    <s v="Europe"/>
    <s v="Europe and Central Asia"/>
    <s v="Comprehensive Friendly Cooperative Partnership [全面友好合作伙伴关系]"/>
    <s v="NATO"/>
    <s v="EUCOM"/>
    <s v="Romania"/>
    <x v="17"/>
    <n v="11"/>
    <x v="3"/>
    <s v="Guo Boxiong"/>
    <m/>
    <s v="CMC Vice Chairman"/>
    <n v="10"/>
    <s v="Hosted"/>
    <s v="COGS"/>
    <m/>
    <m/>
    <m/>
    <m/>
    <m/>
    <m/>
    <m/>
    <m/>
  </r>
  <r>
    <s v="Senior Level Visit"/>
    <s v="Europe"/>
    <s v="Europe and Central Asia"/>
    <s v="No Specific Relationship"/>
    <s v="None"/>
    <s v="EUCOM"/>
    <s v="Serbia"/>
    <x v="17"/>
    <n v="11"/>
    <x v="3"/>
    <s v="Liang Guanglie"/>
    <m/>
    <s v="Defense Minister; CMC Member"/>
    <n v="8"/>
    <s v="Hosted"/>
    <s v="Defense Minister"/>
    <m/>
    <m/>
    <m/>
    <m/>
    <m/>
    <m/>
    <m/>
    <m/>
  </r>
  <r>
    <s v="Senior Level Visit"/>
    <s v="Northeast Asia"/>
    <s v="Asia"/>
    <s v="Strategic Cooperative Partnership [战略合作伙伴关系]"/>
    <s v="Bilateral Defense Treaty"/>
    <s v="INDOPACOM"/>
    <s v="South Korea"/>
    <x v="17"/>
    <n v="11"/>
    <x v="4"/>
    <s v="Wu Shengli"/>
    <m/>
    <s v="PLAN Commander; CMC Member"/>
    <n v="8"/>
    <s v="Abroad"/>
    <m/>
    <m/>
    <m/>
    <m/>
    <m/>
    <m/>
    <m/>
    <m/>
    <m/>
  </r>
  <r>
    <s v="Senior Level Visit"/>
    <s v="Africa"/>
    <s v="West Asia and Africa"/>
    <s v="No Specific Relationship"/>
    <s v="None"/>
    <s v="AFRICOM"/>
    <s v="Tanzania"/>
    <x v="17"/>
    <n v="11"/>
    <x v="4"/>
    <s v="Tong Shiping"/>
    <m/>
    <s v="GPD Deputy Director"/>
    <n v="6"/>
    <s v="Abroad"/>
    <m/>
    <m/>
    <m/>
    <m/>
    <m/>
    <m/>
    <m/>
    <m/>
    <m/>
  </r>
  <r>
    <s v="Senior Level Visit"/>
    <s v="Southeast Asia"/>
    <s v="Asia"/>
    <s v="Strategic Partnership [战略伙伴关系]"/>
    <s v="Bilateral Defense Treaty"/>
    <s v="INDOPACOM"/>
    <s v="Thailand"/>
    <x v="17"/>
    <n v="11"/>
    <x v="4"/>
    <s v="Wu Shengli"/>
    <m/>
    <s v="PLAN Commander; CMC Member"/>
    <n v="8"/>
    <s v="Abroad"/>
    <m/>
    <m/>
    <m/>
    <m/>
    <m/>
    <m/>
    <m/>
    <m/>
    <m/>
  </r>
  <r>
    <s v="Senior Level Visit"/>
    <s v="Africa"/>
    <s v="West Asia and Africa"/>
    <s v="No Specific Relationship"/>
    <s v="Major Non-NATO Ally"/>
    <s v="AFRICOM"/>
    <s v="Tunisia"/>
    <x v="17"/>
    <n v="11"/>
    <x v="4"/>
    <s v="Tong Shiping"/>
    <m/>
    <s v="GPD Deputy Director"/>
    <n v="6"/>
    <s v="Abroad"/>
    <m/>
    <m/>
    <m/>
    <m/>
    <m/>
    <m/>
    <m/>
    <m/>
    <m/>
  </r>
  <r>
    <s v="Senior Level Visit"/>
    <s v="Middle East"/>
    <s v="West Asia and Africa"/>
    <s v="No Specific Relationship"/>
    <s v="None"/>
    <s v="CENTCOM"/>
    <s v="United Arab Emirates"/>
    <x v="17"/>
    <n v="11"/>
    <x v="4"/>
    <s v="Liang Guanglie"/>
    <m/>
    <s v="Defense Minister; CMC Member"/>
    <n v="8"/>
    <s v="Abroad"/>
    <m/>
    <m/>
    <m/>
    <m/>
    <m/>
    <m/>
    <m/>
    <m/>
    <m/>
  </r>
  <r>
    <s v="Senior Level Visit"/>
    <s v="South America"/>
    <s v="America and Oceania"/>
    <s v="Strategic Development Partnership [战略发展伙伴关系]"/>
    <s v="None"/>
    <s v="SOUTHCOM"/>
    <s v="Venezuela"/>
    <x v="17"/>
    <n v="11"/>
    <x v="4"/>
    <s v="Liu Chengjun"/>
    <m/>
    <s v="AMS President"/>
    <n v="6"/>
    <s v="Abroad"/>
    <m/>
    <m/>
    <m/>
    <m/>
    <m/>
    <m/>
    <m/>
    <m/>
    <m/>
  </r>
  <r>
    <s v="Senior Level Visit"/>
    <s v="Southeast Asia"/>
    <s v="Asia"/>
    <s v="Comprehensive Strategic Cooperative Partnership [全面战略合作伙伴关系]"/>
    <s v="None"/>
    <s v="INDOPACOM"/>
    <s v="Vietnam"/>
    <x v="17"/>
    <n v="11"/>
    <x v="4"/>
    <s v="Ma Xiaotian"/>
    <m/>
    <s v="GSD DCGS"/>
    <n v="6"/>
    <s v="Abroad"/>
    <m/>
    <m/>
    <m/>
    <m/>
    <m/>
    <m/>
    <m/>
    <m/>
    <m/>
  </r>
  <r>
    <s v="Naval Port Call"/>
    <s v="Southeast Asia"/>
    <s v="Asia"/>
    <s v="Comprehensive Strategic Cooperative Partnership [全面战略合作伙伴关系]"/>
    <s v="None"/>
    <s v="INDOPACOM"/>
    <s v="Vietnam"/>
    <x v="17"/>
    <n v="11"/>
    <x v="8"/>
    <m/>
    <m/>
    <m/>
    <m/>
    <m/>
    <m/>
    <m/>
    <m/>
    <m/>
    <m/>
    <s v="NETF"/>
    <s v="NETF"/>
    <m/>
    <m/>
  </r>
  <r>
    <s v="Senior Level Visit"/>
    <s v="Middle East"/>
    <s v="West Asia and Africa"/>
    <s v="No Specific Relationship"/>
    <s v="None"/>
    <s v="CENTCOM"/>
    <s v="Yemen"/>
    <x v="17"/>
    <n v="11"/>
    <x v="4"/>
    <s v="Ma Xiaotian"/>
    <m/>
    <s v="GSD DCGS"/>
    <n v="6"/>
    <s v="Abroad"/>
    <m/>
    <m/>
    <m/>
    <m/>
    <m/>
    <m/>
    <m/>
    <m/>
    <m/>
  </r>
  <r>
    <s v="Senior Level Visit"/>
    <s v="Europe"/>
    <s v="Europe and Central Asia"/>
    <s v="No Specific Relationship"/>
    <s v="None"/>
    <s v="EUCOM"/>
    <s v="Armenia"/>
    <x v="17"/>
    <n v="12"/>
    <x v="3"/>
    <s v="Guo Boxiong"/>
    <m/>
    <s v="CMC Vice Chairman"/>
    <n v="10"/>
    <s v="Hosted"/>
    <s v="Defense Minister"/>
    <m/>
    <m/>
    <m/>
    <m/>
    <m/>
    <m/>
    <m/>
    <m/>
  </r>
  <r>
    <s v="Senior Level Visit"/>
    <s v="Europe"/>
    <s v="Europe and Central Asia"/>
    <s v="No Specific Relationship"/>
    <s v="None"/>
    <s v="EUCOM"/>
    <s v="Bosnia-Herzegovina"/>
    <x v="17"/>
    <n v="12"/>
    <x v="3"/>
    <s v="Liang Guanglie"/>
    <m/>
    <s v="GSD Commander; CMC Member"/>
    <n v="8"/>
    <s v="Hosted"/>
    <s v="Head JCS"/>
    <m/>
    <m/>
    <m/>
    <m/>
    <m/>
    <m/>
    <m/>
    <m/>
  </r>
  <r>
    <s v="Senior Level Visit"/>
    <s v="South America"/>
    <s v="America and Oceania"/>
    <s v="Comprehensive Partnership [全面伙伴关系]"/>
    <s v="None"/>
    <s v="SOUTHCOM"/>
    <s v="Chile"/>
    <x v="17"/>
    <n v="12"/>
    <x v="4"/>
    <s v="Chi Wanchun"/>
    <m/>
    <s v="GAD Political Commissar"/>
    <n v="6"/>
    <s v="Abroad"/>
    <m/>
    <m/>
    <m/>
    <m/>
    <m/>
    <m/>
    <m/>
    <m/>
    <m/>
  </r>
  <r>
    <s v="Senior Level Visit"/>
    <s v="Africa"/>
    <s v="West Asia and Africa"/>
    <s v="No Specific Relationship"/>
    <s v="None"/>
    <s v="AFRICOM"/>
    <s v="Gabon"/>
    <x v="17"/>
    <n v="12"/>
    <x v="3"/>
    <s v="Qi Jianguo"/>
    <m/>
    <s v="GSD Assistant Commander"/>
    <n v="5"/>
    <s v="Hosted"/>
    <s v="Defense Minister"/>
    <m/>
    <m/>
    <m/>
    <m/>
    <m/>
    <m/>
    <m/>
    <m/>
  </r>
  <r>
    <s v="Senior Level Visit"/>
    <s v="Europe"/>
    <s v="Europe and Central Asia"/>
    <s v="No Specific Relationship"/>
    <s v="NATO"/>
    <s v="EUCOM"/>
    <s v="Hungary"/>
    <x v="17"/>
    <n v="12"/>
    <x v="3"/>
    <s v="Chen Bingde"/>
    <m/>
    <s v="GSD Commander; CMC Member"/>
    <n v="8"/>
    <s v="Hosted"/>
    <s v="COGS"/>
    <m/>
    <m/>
    <m/>
    <m/>
    <m/>
    <m/>
    <m/>
    <m/>
  </r>
  <r>
    <s v="Senior Level Visit"/>
    <s v="South Asia"/>
    <s v="Asia"/>
    <s v="Strategic Partnership for Peace and Prosperity [战略伙伴关系]"/>
    <s v="None"/>
    <s v="INDOPACOM"/>
    <s v="India"/>
    <x v="17"/>
    <n v="12"/>
    <x v="4"/>
    <s v="Ma Xiaotian"/>
    <m/>
    <s v="GSD DCGS"/>
    <n v="6"/>
    <s v="Abroad"/>
    <m/>
    <m/>
    <m/>
    <m/>
    <m/>
    <m/>
    <m/>
    <m/>
    <m/>
  </r>
  <r>
    <s v="Military Exercise"/>
    <s v="South Asia"/>
    <s v="Asia"/>
    <s v="Strategic Partnership for Peace and Prosperity [战略伙伴关系]"/>
    <s v="None"/>
    <s v="INDOPACOM"/>
    <s v="India"/>
    <x v="17"/>
    <n v="12"/>
    <x v="5"/>
    <m/>
    <m/>
    <m/>
    <m/>
    <m/>
    <m/>
    <s v="Anti-terrorism"/>
    <s v="Hand-in-Hand 2008"/>
    <s v="Army"/>
    <s v="Anti-terrorism"/>
    <m/>
    <m/>
    <m/>
    <m/>
  </r>
  <r>
    <s v="Senior Level Visit"/>
    <s v="Southeast Asia"/>
    <s v="Asia"/>
    <s v="Strategic Partnership [战略伙伴关系]"/>
    <s v="None"/>
    <s v="INDOPACOM"/>
    <s v="Indonesia"/>
    <x v="17"/>
    <n v="12"/>
    <x v="4"/>
    <s v="Chi Wanchun"/>
    <m/>
    <s v="GAD Political Commissar"/>
    <n v="6"/>
    <s v="Abroad"/>
    <m/>
    <m/>
    <m/>
    <m/>
    <m/>
    <m/>
    <m/>
    <m/>
    <m/>
  </r>
  <r>
    <s v="Senior Level Visit"/>
    <s v="Middle East"/>
    <s v="West Asia and Africa"/>
    <s v="No Specific Relationship"/>
    <s v="Major Non-NATO Ally"/>
    <s v="CENTCOM"/>
    <s v="Israel"/>
    <x v="17"/>
    <n v="12"/>
    <x v="4"/>
    <s v="Qi Jianguo"/>
    <m/>
    <s v="GSD Assistant Commander"/>
    <n v="5"/>
    <s v="Abroad"/>
    <m/>
    <m/>
    <m/>
    <m/>
    <m/>
    <m/>
    <m/>
    <m/>
    <m/>
  </r>
  <r>
    <s v="Senior Level Visit"/>
    <s v="Middle East"/>
    <s v="West Asia and Africa"/>
    <s v="No Specific Relationship"/>
    <s v="Major Non-NATO Ally"/>
    <s v="CENTCOM"/>
    <s v="Jordan"/>
    <x v="17"/>
    <n v="12"/>
    <x v="4"/>
    <s v="Zhao Keshi"/>
    <m/>
    <s v="Nanjing MR Commander"/>
    <n v="6"/>
    <s v="Abroad"/>
    <m/>
    <m/>
    <m/>
    <m/>
    <m/>
    <m/>
    <m/>
    <m/>
    <m/>
  </r>
  <r>
    <s v="Senior Level Visit"/>
    <s v="Middle East"/>
    <s v="West Asia and Africa"/>
    <s v="No Specific Relationship"/>
    <s v="None"/>
    <s v="CENTCOM"/>
    <s v="Lebanon"/>
    <x v="17"/>
    <n v="12"/>
    <x v="4"/>
    <s v="Zhao Keshi"/>
    <m/>
    <s v="Nanjing MR Commander"/>
    <n v="6"/>
    <s v="Abroad"/>
    <m/>
    <m/>
    <m/>
    <m/>
    <m/>
    <m/>
    <m/>
    <m/>
    <m/>
  </r>
  <r>
    <s v="Senior Level Visit"/>
    <s v="Europe"/>
    <s v="Europe and Central Asia"/>
    <s v="No Specific Relationship"/>
    <s v="None"/>
    <s v="EUCOM"/>
    <s v="Malta"/>
    <x v="17"/>
    <n v="12"/>
    <x v="4"/>
    <s v="Qi Jianguo"/>
    <m/>
    <s v="GSD Assistant Commander"/>
    <n v="5"/>
    <s v="Abroad"/>
    <m/>
    <m/>
    <m/>
    <m/>
    <m/>
    <m/>
    <m/>
    <m/>
    <m/>
  </r>
  <r>
    <s v="Senior Level Visit"/>
    <s v="Southeast Asia"/>
    <s v="Asia"/>
    <s v="No Specific Relationship"/>
    <s v="None"/>
    <s v="INDOPACOM"/>
    <s v="Myanmar"/>
    <x v="17"/>
    <n v="12"/>
    <x v="3"/>
    <s v="Chen Bingde"/>
    <m/>
    <s v="GSD Commander; CMC Member"/>
    <n v="8"/>
    <s v="Hosted"/>
    <s v="COGS"/>
    <m/>
    <m/>
    <m/>
    <m/>
    <m/>
    <m/>
    <m/>
    <m/>
  </r>
  <r>
    <s v="Senior Level Visit"/>
    <s v="South Asia"/>
    <s v="Asia"/>
    <s v="Good-Neighborly Partnership [世代友好的睦邻伙伴关系]"/>
    <s v="None"/>
    <s v="INDOPACOM"/>
    <s v="Nepal"/>
    <x v="17"/>
    <n v="12"/>
    <x v="4"/>
    <s v="Ma Xiaotian"/>
    <m/>
    <s v="GSD DCGS"/>
    <n v="6"/>
    <s v="Abroad"/>
    <m/>
    <m/>
    <m/>
    <m/>
    <m/>
    <m/>
    <m/>
    <m/>
    <m/>
  </r>
  <r>
    <s v="Senior Level Visit"/>
    <s v="South Asia"/>
    <s v="Asia"/>
    <s v="Strategic Partnership [战略伙伴关系]"/>
    <s v="Major Non-NATO Ally"/>
    <s v="CENTCOM"/>
    <s v="Pakistan"/>
    <x v="17"/>
    <n v="12"/>
    <x v="3"/>
    <s v="Liang Guanglie"/>
    <m/>
    <s v="Defense Minister; CMC Member"/>
    <n v="8"/>
    <s v="Hosted"/>
    <s v="Chairman JCS"/>
    <m/>
    <m/>
    <m/>
    <m/>
    <m/>
    <m/>
    <m/>
    <m/>
  </r>
  <r>
    <s v="Senior Level Visit"/>
    <s v="Russia"/>
    <s v="Europe and Central Asia"/>
    <s v="Strategic Partnership of Coordination [战略协作伙伴关系]"/>
    <s v="None"/>
    <s v="EUCOM"/>
    <s v="Russia"/>
    <x v="17"/>
    <n v="12"/>
    <x v="3"/>
    <s v="Guo Boxiong"/>
    <m/>
    <s v="CMC Vice Chairman"/>
    <n v="10"/>
    <s v="Hosted"/>
    <s v="Defense Minister"/>
    <m/>
    <m/>
    <m/>
    <m/>
    <m/>
    <m/>
    <m/>
    <m/>
  </r>
  <r>
    <s v="Senior Level Visit"/>
    <s v="Southeast Asia"/>
    <s v="Asia"/>
    <s v="No Specific Relationship"/>
    <s v="None"/>
    <s v="INDOPACOM"/>
    <s v="Singapore"/>
    <x v="17"/>
    <n v="12"/>
    <x v="3"/>
    <s v="Liang Guanglie"/>
    <m/>
    <s v="Defense Minister; CMC Member"/>
    <n v="8"/>
    <s v="Hosted"/>
    <s v="COGS"/>
    <m/>
    <m/>
    <m/>
    <m/>
    <m/>
    <m/>
    <m/>
    <m/>
  </r>
  <r>
    <s v="Senior Level Visit"/>
    <s v="North America"/>
    <s v="America and Oceania"/>
    <s v="No Specific Relationship"/>
    <s v="N/A"/>
    <s v="NORTHCOM"/>
    <s v="United States"/>
    <x v="17"/>
    <n v="12"/>
    <x v="3"/>
    <s v="Liang Guanglie"/>
    <m/>
    <s v="Defense Minister; CMC Member"/>
    <n v="8"/>
    <s v="Hosted"/>
    <s v="former Chairman JCS"/>
    <m/>
    <m/>
    <m/>
    <m/>
    <m/>
    <m/>
    <m/>
    <m/>
  </r>
  <r>
    <s v="Senior Level Visit"/>
    <s v="Southeast Asia"/>
    <s v="Asia"/>
    <s v="Comprehensive Strategic Cooperative Partnership [全面战略合作伙伴关系]"/>
    <s v="None"/>
    <s v="INDOPACOM"/>
    <s v="Vietnam"/>
    <x v="17"/>
    <n v="12"/>
    <x v="3"/>
    <s v="Liang Guanglie"/>
    <m/>
    <s v="Defense Minister; CMC Member"/>
    <n v="6"/>
    <s v="Hosted"/>
    <s v="COGS"/>
    <m/>
    <m/>
    <m/>
    <m/>
    <m/>
    <m/>
    <m/>
    <m/>
  </r>
  <r>
    <s v="Senior Level Visit"/>
    <s v="Europe"/>
    <s v="Europe and Central Asia"/>
    <s v="No Specific Relationship"/>
    <s v="None"/>
    <s v="EUCOM"/>
    <s v="Malta"/>
    <x v="18"/>
    <n v="1"/>
    <x v="3"/>
    <s v="Chen Bingde"/>
    <m/>
    <s v="GSD Commander; CMC Member"/>
    <n v="8"/>
    <s v="Hosted"/>
    <s v="Commander Armed Forces"/>
    <m/>
    <m/>
    <m/>
    <m/>
    <m/>
    <m/>
    <m/>
    <m/>
  </r>
  <r>
    <s v="Senior Level Visit"/>
    <s v="Europe"/>
    <s v="Europe and Central Asia"/>
    <s v="No Specific Relationship"/>
    <s v="None"/>
    <s v="EUCOM"/>
    <s v="Ukraine"/>
    <x v="18"/>
    <n v="1"/>
    <x v="3"/>
    <s v="Liang Guanglie"/>
    <m/>
    <s v="Defense Minister; CMC Member"/>
    <n v="8"/>
    <s v="Hosted"/>
    <s v="Defense Minister"/>
    <m/>
    <m/>
    <m/>
    <m/>
    <m/>
    <m/>
    <m/>
    <m/>
  </r>
  <r>
    <s v="Senior Level Visit"/>
    <s v="Southeast Asia"/>
    <s v="Asia"/>
    <s v="No Specific Relationship"/>
    <s v="None"/>
    <s v="INDOPACOM"/>
    <s v="Brunei"/>
    <x v="18"/>
    <n v="2"/>
    <x v="4"/>
    <s v="Ma Xiaotian"/>
    <m/>
    <s v="GSD DCGS"/>
    <n v="6"/>
    <s v="Abroad"/>
    <m/>
    <m/>
    <m/>
    <m/>
    <m/>
    <m/>
    <m/>
    <m/>
    <m/>
  </r>
  <r>
    <s v="Senior Level Visit"/>
    <s v="Middle East"/>
    <s v="West Asia and Africa"/>
    <s v="Strategic Cooperative Partnership [战略合作伙伴关系]"/>
    <s v="Major Non-NATO Ally"/>
    <s v="CENTCOM"/>
    <s v="Egypt"/>
    <x v="18"/>
    <n v="2"/>
    <x v="3"/>
    <s v="Liang Guanglie"/>
    <m/>
    <s v="Defense Minister; CMC Member"/>
    <n v="8"/>
    <s v="Hosted"/>
    <s v="Air Force Commander"/>
    <m/>
    <m/>
    <m/>
    <m/>
    <m/>
    <m/>
    <m/>
    <m/>
  </r>
  <r>
    <s v="Senior Level Visit"/>
    <s v="Europe"/>
    <s v="Europe and Central Asia"/>
    <s v="No Specific Relationship"/>
    <s v="None"/>
    <s v="EUCOM"/>
    <s v="Finland"/>
    <x v="18"/>
    <n v="2"/>
    <x v="3"/>
    <s v="Liang Guanglie"/>
    <m/>
    <s v="Defense Minister; CMC Member"/>
    <n v="8"/>
    <s v="Hosted"/>
    <s v="Defense Minister"/>
    <m/>
    <m/>
    <m/>
    <m/>
    <m/>
    <m/>
    <m/>
    <m/>
  </r>
  <r>
    <s v="Senior Level Visit"/>
    <s v="Northeast Asia"/>
    <s v="Asia"/>
    <s v="Mutually Beneficial Strategic Relationship [战略互惠关系]"/>
    <s v="Bilateral Defense Treaty"/>
    <s v="INDOPACOM"/>
    <s v="Japan"/>
    <x v="18"/>
    <n v="2"/>
    <x v="4"/>
    <s v="Ma Xiaotian"/>
    <m/>
    <s v="GSD DCGS"/>
    <n v="6"/>
    <s v="Abroad"/>
    <m/>
    <m/>
    <m/>
    <m/>
    <m/>
    <m/>
    <m/>
    <m/>
    <m/>
  </r>
  <r>
    <s v="Senior Level Visit"/>
    <s v="South Asia"/>
    <s v="West Asia and Africa"/>
    <s v="No Specific Relationship"/>
    <s v="None"/>
    <s v="INDOPACOM"/>
    <s v="Maldives"/>
    <x v="18"/>
    <n v="2"/>
    <x v="3"/>
    <s v="Liang Guanglie"/>
    <m/>
    <s v="Defense Minister; CMC Member"/>
    <n v="8"/>
    <s v="Hosted"/>
    <s v="Defense Minister"/>
    <m/>
    <m/>
    <m/>
    <m/>
    <m/>
    <m/>
    <m/>
    <m/>
  </r>
  <r>
    <s v="Naval Port Call"/>
    <s v="Middle East"/>
    <s v="West Asia and Africa"/>
    <s v="No Specific Relationship"/>
    <s v="None"/>
    <s v="CENTCOM"/>
    <s v="Yemen"/>
    <x v="18"/>
    <n v="2"/>
    <x v="9"/>
    <m/>
    <m/>
    <m/>
    <m/>
    <m/>
    <m/>
    <m/>
    <m/>
    <m/>
    <m/>
    <s v="ETF"/>
    <s v="ETF-01 "/>
    <s v="South Sea Fleet"/>
    <s v="DDG169 Wuhan, DDG171 Haikou, AOR887 Weishan Hu; unknown, could also be ETF-2"/>
  </r>
  <r>
    <s v="Senior Level Visit"/>
    <s v="Oceania"/>
    <s v="America and Oceania"/>
    <s v="No Specific Relationship"/>
    <s v="ANZUS Treaty"/>
    <s v="INDOPACOM"/>
    <s v="Australia"/>
    <x v="18"/>
    <n v="3"/>
    <x v="3"/>
    <s v="Ma Xiaotian"/>
    <m/>
    <s v="GSD DCGS"/>
    <n v="6"/>
    <s v="Abroad"/>
    <s v="Army Commander"/>
    <m/>
    <m/>
    <m/>
    <m/>
    <m/>
    <m/>
    <m/>
    <m/>
  </r>
  <r>
    <s v="Senior Level Visit"/>
    <s v="South Asia"/>
    <s v="Asia"/>
    <s v="Comprehensive Cooperative Partnership [全面合作伙伴关系]"/>
    <s v="None"/>
    <s v="INDOPACOM"/>
    <s v="Bangladesh"/>
    <x v="18"/>
    <n v="3"/>
    <x v="4"/>
    <s v="Ma Xiaotian"/>
    <m/>
    <s v="GSD DCGS"/>
    <n v="6"/>
    <s v="Abroad"/>
    <m/>
    <m/>
    <m/>
    <m/>
    <m/>
    <m/>
    <m/>
    <m/>
    <m/>
  </r>
  <r>
    <s v="Senior Level Visit"/>
    <s v="South America"/>
    <s v="America and Oceania"/>
    <s v="No Specific Relationship"/>
    <s v="None"/>
    <s v="SOUTHCOM"/>
    <s v="Cuba"/>
    <x v="18"/>
    <n v="3"/>
    <x v="4"/>
    <s v="Fu Tinggui"/>
    <m/>
    <s v="Beijing MR Political Commissar"/>
    <n v="6"/>
    <s v="Abroad"/>
    <m/>
    <m/>
    <m/>
    <m/>
    <m/>
    <m/>
    <m/>
    <m/>
    <m/>
  </r>
  <r>
    <s v="Senior Level Visit"/>
    <s v="Northeast Asia"/>
    <s v="Asia"/>
    <s v="Mutually Beneficial Strategic Relationship [战略互惠关系]"/>
    <s v="Bilateral Defense Treaty"/>
    <s v="INDOPACOM"/>
    <s v="Japan"/>
    <x v="18"/>
    <n v="3"/>
    <x v="3"/>
    <s v="Liang Guanglie"/>
    <m/>
    <s v="Defense Minister; CMC Member"/>
    <n v="8"/>
    <s v="Hosted"/>
    <s v="Defense Minister"/>
    <m/>
    <m/>
    <m/>
    <m/>
    <m/>
    <m/>
    <m/>
    <m/>
  </r>
  <r>
    <s v="Senior Level Visit"/>
    <s v="Southeast Asia"/>
    <s v="Asia"/>
    <s v="Strategic Cooperative Partnership [战略合作伙伴关系]"/>
    <s v="None"/>
    <s v="INDOPACOM"/>
    <s v="Malaysia"/>
    <x v="18"/>
    <n v="3"/>
    <x v="4"/>
    <s v="Ma Xiaotian"/>
    <m/>
    <s v="GSD DCGS"/>
    <n v="6"/>
    <s v="Abroad"/>
    <m/>
    <m/>
    <m/>
    <m/>
    <m/>
    <m/>
    <m/>
    <m/>
    <m/>
  </r>
  <r>
    <s v="Senior Level Visit"/>
    <s v="Africa"/>
    <s v="West Asia and Africa"/>
    <s v="No Specific Relationship"/>
    <s v="None"/>
    <s v="AFRICOM"/>
    <s v="Mozambique"/>
    <x v="18"/>
    <n v="3"/>
    <x v="4"/>
    <s v="Ma Xiaotian"/>
    <m/>
    <s v="GSD DCGS"/>
    <n v="6"/>
    <s v="Abroad"/>
    <m/>
    <m/>
    <m/>
    <m/>
    <m/>
    <m/>
    <m/>
    <m/>
    <m/>
  </r>
  <r>
    <s v="Senior Level Visit"/>
    <s v="Southeast Asia"/>
    <s v="Asia"/>
    <s v="No Specific Relationship"/>
    <s v="None"/>
    <s v="INDOPACOM"/>
    <s v="Myanmar"/>
    <x v="18"/>
    <n v="3"/>
    <x v="4"/>
    <s v="Chen Bingde"/>
    <m/>
    <s v="GSD Commander; CMC Member"/>
    <n v="8"/>
    <s v="Abroad"/>
    <m/>
    <m/>
    <m/>
    <m/>
    <m/>
    <m/>
    <m/>
    <m/>
    <m/>
  </r>
  <r>
    <s v="Senior Level Visit"/>
    <s v="Oceania"/>
    <s v="America and Oceania"/>
    <s v="No Specific Relationship"/>
    <s v="ANZUS Treaty"/>
    <s v="INDOPACOM"/>
    <s v="New Zealand"/>
    <x v="18"/>
    <n v="3"/>
    <x v="4"/>
    <s v="Ma Xiaotian"/>
    <m/>
    <s v="GSD DCGS"/>
    <n v="6"/>
    <s v="Abroad"/>
    <s v="Defense Minister"/>
    <m/>
    <m/>
    <m/>
    <m/>
    <m/>
    <m/>
    <m/>
    <m/>
  </r>
  <r>
    <s v="Senior Level Visit"/>
    <s v="South Asia"/>
    <s v="Asia"/>
    <s v="Strategic Partnership [战略伙伴关系]"/>
    <s v="Major Non-NATO Ally"/>
    <s v="CENTCOM"/>
    <s v="Pakistan"/>
    <x v="18"/>
    <n v="3"/>
    <x v="4"/>
    <s v="Ma Xiaotian"/>
    <m/>
    <s v="GSD DCGS"/>
    <n v="6"/>
    <s v="Abroad"/>
    <m/>
    <m/>
    <m/>
    <m/>
    <m/>
    <m/>
    <m/>
    <m/>
    <m/>
  </r>
  <r>
    <s v="Military Exercise"/>
    <s v="South Asia"/>
    <s v="Asia"/>
    <s v="Strategic Partnership [战略伙伴关系]"/>
    <s v="Major Non-NATO Ally"/>
    <s v="CENTCOM"/>
    <s v="Pakistan"/>
    <x v="18"/>
    <n v="3"/>
    <x v="6"/>
    <m/>
    <m/>
    <m/>
    <m/>
    <m/>
    <m/>
    <s v="MOOTW"/>
    <s v="Aman"/>
    <s v="Navy"/>
    <s v="Maritime in Arabian Sea; Pakistan and 10 other countries"/>
    <m/>
    <m/>
    <m/>
    <m/>
  </r>
  <r>
    <s v="Senior Level Visit"/>
    <s v="Southeast Asia"/>
    <s v="Asia"/>
    <s v="No Specific Relationship"/>
    <s v="None"/>
    <s v="INDOPACOM"/>
    <s v="Singapore"/>
    <x v="18"/>
    <n v="3"/>
    <x v="4"/>
    <s v="Ma Xiaotian"/>
    <m/>
    <s v="GSD DCGS"/>
    <n v="6"/>
    <s v="Abroad"/>
    <m/>
    <m/>
    <m/>
    <m/>
    <m/>
    <m/>
    <m/>
    <m/>
    <m/>
  </r>
  <r>
    <s v="Senior Level Visit"/>
    <s v="Northeast Asia"/>
    <s v="Asia"/>
    <s v="Strategic Cooperative Partnership [战略合作伙伴关系]"/>
    <s v="Bilateral Defense Treaty"/>
    <s v="INDOPACOM"/>
    <s v="South Korea"/>
    <x v="18"/>
    <n v="3"/>
    <x v="4"/>
    <s v="Chen Bingde"/>
    <m/>
    <s v="GSD Commander; CMC Member"/>
    <n v="8"/>
    <s v="Abroad"/>
    <m/>
    <m/>
    <m/>
    <m/>
    <m/>
    <m/>
    <m/>
    <m/>
    <m/>
  </r>
  <r>
    <s v="Senior Level Visit"/>
    <s v="South Asia"/>
    <s v="Asia"/>
    <s v="Comprehensive Cooperative Partnership [全面合作伙伴关系]"/>
    <s v="None"/>
    <s v="INDOPACOM"/>
    <s v="Sri Lanka"/>
    <x v="18"/>
    <n v="3"/>
    <x v="3"/>
    <s v="Ma Xiaotian"/>
    <m/>
    <s v="GSD DCGS"/>
    <n v="6"/>
    <s v="Abroad"/>
    <s v="Permanent Secretary of Ministry of Defense"/>
    <m/>
    <m/>
    <m/>
    <m/>
    <m/>
    <m/>
    <m/>
    <m/>
  </r>
  <r>
    <s v="Senior Level Visit"/>
    <s v="Central Asia"/>
    <s v="Europe and Central Asia"/>
    <s v="No Specific Relationship"/>
    <s v="None"/>
    <s v="CENTCOM"/>
    <s v="Tajikistan"/>
    <x v="18"/>
    <n v="3"/>
    <x v="3"/>
    <s v="Ma Xiaotian"/>
    <m/>
    <s v="GSD DCGS"/>
    <n v="6"/>
    <s v="Abroad"/>
    <s v="Defense Minister"/>
    <m/>
    <m/>
    <m/>
    <m/>
    <m/>
    <m/>
    <m/>
    <m/>
  </r>
  <r>
    <s v="Senior Level Visit"/>
    <s v="Southeast Asia"/>
    <s v="Asia"/>
    <s v="Comprehensive Strategic Cooperative Partnership [全面战略合作伙伴关系]"/>
    <s v="None"/>
    <s v="INDOPACOM"/>
    <s v="Vietnam"/>
    <x v="18"/>
    <n v="3"/>
    <x v="4"/>
    <s v="Chen Bingde"/>
    <m/>
    <s v="GSD Commander; CMC Member"/>
    <n v="8"/>
    <s v="Abroad"/>
    <m/>
    <m/>
    <m/>
    <m/>
    <m/>
    <m/>
    <m/>
    <m/>
    <m/>
  </r>
  <r>
    <s v="Senior Level Visit"/>
    <s v="Africa"/>
    <s v="West Asia and Africa"/>
    <s v="No Specific Relationship"/>
    <s v="None"/>
    <s v="AFRICOM"/>
    <s v="Zambia"/>
    <x v="18"/>
    <n v="3"/>
    <x v="4"/>
    <s v="Ma Xiaotian"/>
    <m/>
    <s v="GSD DCGS"/>
    <n v="6"/>
    <s v="Abroad"/>
    <m/>
    <m/>
    <m/>
    <m/>
    <m/>
    <m/>
    <m/>
    <m/>
    <m/>
  </r>
  <r>
    <s v="Senior Level Visit"/>
    <s v="South America"/>
    <s v="America and Oceania"/>
    <s v="Strategic Partnership [战略伙伴关系]"/>
    <s v="Major Non-NATO Ally"/>
    <s v="SOUTHCOM"/>
    <s v="Argentina"/>
    <x v="18"/>
    <n v="4"/>
    <x v="4"/>
    <s v="Ma Xiaotian"/>
    <m/>
    <s v="GSD DCGS"/>
    <n v="6"/>
    <s v="Abroad"/>
    <m/>
    <m/>
    <m/>
    <m/>
    <m/>
    <m/>
    <m/>
    <m/>
    <m/>
  </r>
  <r>
    <s v="Senior Level Visit"/>
    <s v="South Asia"/>
    <s v="Asia"/>
    <s v="Comprehensive Cooperative Partnership [全面合作伙伴关系]"/>
    <s v="None"/>
    <s v="INDOPACOM"/>
    <s v="Bangladesh"/>
    <x v="18"/>
    <n v="4"/>
    <x v="3"/>
    <s v="Wu Shengli"/>
    <m/>
    <s v="PLAN Commander; CMC Member"/>
    <n v="8"/>
    <s v="Hosted"/>
    <s v="Navy Commander"/>
    <m/>
    <m/>
    <m/>
    <m/>
    <m/>
    <m/>
    <m/>
    <m/>
  </r>
  <r>
    <s v="Senior Level Visit"/>
    <s v="Europe"/>
    <s v="Europe and Central Asia"/>
    <s v="Strategic Partnership [战略伙伴关系]"/>
    <s v="NATO"/>
    <s v="EUCOM"/>
    <s v="Belarus"/>
    <x v="18"/>
    <n v="4"/>
    <x v="4"/>
    <s v="Zhang Youxia"/>
    <m/>
    <s v="Shenyang MR Commander"/>
    <n v="6"/>
    <s v="Abroad"/>
    <m/>
    <m/>
    <m/>
    <m/>
    <m/>
    <m/>
    <m/>
    <m/>
    <m/>
  </r>
  <r>
    <s v="Senior Level Visit"/>
    <s v="South America"/>
    <s v="America and Oceania"/>
    <s v="Comprehensive Strategic Partnership [全面战略伙伴关系]"/>
    <s v="None"/>
    <s v="SOUTHCOM"/>
    <s v="Brazil"/>
    <x v="18"/>
    <n v="4"/>
    <x v="4"/>
    <s v="Ma Xiaotian"/>
    <m/>
    <s v="GSD DCGS"/>
    <n v="6"/>
    <s v="Abroad"/>
    <m/>
    <m/>
    <m/>
    <m/>
    <m/>
    <m/>
    <m/>
    <m/>
    <m/>
  </r>
  <r>
    <s v="Senior Level Visit"/>
    <s v="Southeast Asia"/>
    <s v="Asia"/>
    <s v="Comprehensive Cooperative Partnership [全面合作伙伴关系]"/>
    <s v="None"/>
    <s v="INDOPACOM"/>
    <s v="Cambodia"/>
    <x v="18"/>
    <n v="4"/>
    <x v="4"/>
    <s v="Ma Xiaotian"/>
    <m/>
    <s v="GSD DCGS"/>
    <n v="6"/>
    <s v="Abroad"/>
    <m/>
    <m/>
    <m/>
    <m/>
    <m/>
    <m/>
    <m/>
    <m/>
    <m/>
  </r>
  <r>
    <s v="Senior Level Visit"/>
    <s v="South America"/>
    <s v="America and Oceania"/>
    <s v="Comprehensive Partnership [全面伙伴关系]"/>
    <s v="None"/>
    <s v="SOUTHCOM"/>
    <s v="Chile"/>
    <x v="18"/>
    <n v="4"/>
    <x v="3"/>
    <s v="Wu Shengli"/>
    <m/>
    <s v="PLAN Commander; CMC Member"/>
    <n v="8"/>
    <s v="Hosted"/>
    <s v="Navy Commander"/>
    <m/>
    <m/>
    <m/>
    <m/>
    <m/>
    <m/>
    <m/>
    <m/>
  </r>
  <r>
    <s v="Senior Level Visit"/>
    <s v="South Asia"/>
    <s v="Asia"/>
    <s v="Strategic Partnership for Peace and Prosperity [战略伙伴关系]"/>
    <s v="None"/>
    <s v="INDOPACOM"/>
    <s v="India"/>
    <x v="18"/>
    <n v="4"/>
    <x v="3"/>
    <s v="Wu Shengli"/>
    <m/>
    <s v="PLAN Commander; CMC Member"/>
    <n v="8"/>
    <s v="Hosted"/>
    <s v="Navy Commander"/>
    <m/>
    <m/>
    <m/>
    <m/>
    <m/>
    <m/>
    <m/>
    <m/>
  </r>
  <r>
    <s v="Senior Level Visit"/>
    <s v="Southeast Asia"/>
    <s v="Asia"/>
    <s v="Strategic Partnership [战略伙伴关系]"/>
    <s v="None"/>
    <s v="INDOPACOM"/>
    <s v="Indonesia"/>
    <x v="18"/>
    <n v="4"/>
    <x v="3"/>
    <s v="Wu Shengli"/>
    <m/>
    <s v="PLAN Commander; CMC Member"/>
    <n v="8"/>
    <s v="Hosted"/>
    <s v="Navy Commander"/>
    <m/>
    <m/>
    <m/>
    <m/>
    <m/>
    <m/>
    <m/>
    <m/>
  </r>
  <r>
    <s v="Senior Level Visit"/>
    <s v="Europe"/>
    <s v="Europe and Central Asia"/>
    <s v="Comprehensive Strategic Partnership [全面战略伙伴关系]"/>
    <s v="NATO"/>
    <s v="EUCOM"/>
    <s v="Italy"/>
    <x v="18"/>
    <n v="4"/>
    <x v="4"/>
    <s v="Ma Xiaotian"/>
    <m/>
    <s v="GSD DCGS"/>
    <n v="6"/>
    <s v="Abroad"/>
    <m/>
    <m/>
    <m/>
    <m/>
    <m/>
    <m/>
    <m/>
    <m/>
    <m/>
  </r>
  <r>
    <s v="Senior Level Visit"/>
    <s v="Southeast Asia"/>
    <s v="Asia"/>
    <s v="Comprehensive Strategic Cooperative Partnership [全面战略合作伙伴关系]"/>
    <s v="None"/>
    <s v="INDOPACOM"/>
    <s v="Laos"/>
    <x v="18"/>
    <n v="4"/>
    <x v="4"/>
    <s v="Ma Xiaotian"/>
    <m/>
    <s v="GSD DCGS"/>
    <n v="6"/>
    <s v="Abroad"/>
    <m/>
    <m/>
    <m/>
    <m/>
    <m/>
    <m/>
    <m/>
    <m/>
    <m/>
  </r>
  <r>
    <s v="Senior Level Visit"/>
    <s v="Southeast Asia"/>
    <s v="Asia"/>
    <s v="Strategic Cooperative Partnership [战略合作伙伴关系]"/>
    <s v="None"/>
    <s v="INDOPACOM"/>
    <s v="Malaysia"/>
    <x v="18"/>
    <n v="4"/>
    <x v="4"/>
    <s v="Xu Qiliang"/>
    <m/>
    <s v="PLAAF Commander; CMC Member"/>
    <n v="8"/>
    <s v="Abroad"/>
    <m/>
    <m/>
    <m/>
    <m/>
    <m/>
    <m/>
    <m/>
    <m/>
    <m/>
  </r>
  <r>
    <s v="Senior Level Visit"/>
    <s v="South Asia"/>
    <s v="Asia"/>
    <s v="Strategic Partnership [战略伙伴关系]"/>
    <s v="Major Non-NATO Ally"/>
    <s v="CENTCOM"/>
    <s v="Pakistan"/>
    <x v="18"/>
    <n v="4"/>
    <x v="4"/>
    <s v="Xu Qiliang"/>
    <m/>
    <s v="PLAAF Commander; CMC Member"/>
    <n v="8"/>
    <s v="Abroad"/>
    <m/>
    <m/>
    <m/>
    <m/>
    <m/>
    <m/>
    <m/>
    <m/>
    <m/>
  </r>
  <r>
    <s v="Senior Level Visit"/>
    <s v="South America"/>
    <s v="America and Oceania"/>
    <s v="Strategic Partnership [战略伙伴关系]"/>
    <s v="None"/>
    <s v="SOUTHCOM"/>
    <s v="Peru"/>
    <x v="18"/>
    <n v="4"/>
    <x v="3"/>
    <s v="Wu Shengli"/>
    <m/>
    <s v="PLAN Commander; CMC Member"/>
    <n v="8"/>
    <s v="Hosted"/>
    <s v="Navy Commander"/>
    <m/>
    <m/>
    <m/>
    <m/>
    <m/>
    <m/>
    <m/>
    <m/>
  </r>
  <r>
    <s v="Senior Level Visit"/>
    <s v="Russia"/>
    <s v="Europe and Central Asia"/>
    <s v="Strategic Partnership of Coordination [战略协作伙伴关系]"/>
    <s v="None"/>
    <s v="EUCOM"/>
    <s v="Russia"/>
    <x v="18"/>
    <n v="4"/>
    <x v="4"/>
    <s v="Liang Guanglie"/>
    <m/>
    <s v="Defense Minister; CMC Member"/>
    <n v="8"/>
    <s v="Abroad"/>
    <m/>
    <m/>
    <m/>
    <m/>
    <m/>
    <m/>
    <m/>
    <m/>
    <m/>
  </r>
  <r>
    <s v="Senior Level Visit"/>
    <s v="Central Asia"/>
    <s v="Europe and Central Asia"/>
    <s v="Member"/>
    <s v="None"/>
    <s v="CENTCOM"/>
    <s v="SCO"/>
    <x v="18"/>
    <n v="4"/>
    <x v="1"/>
    <s v="Liang Guanglie"/>
    <m/>
    <s v="Defense Minister; CMC Member"/>
    <n v="8"/>
    <s v="Abroad"/>
    <s v="Seventh official meeting of the SCO Ministers' of Defense in Moscow; Other countries: Kazakhstan, Kyrgyztan, Russia, Tajikistan, Uzbekistan"/>
    <m/>
    <m/>
    <m/>
    <m/>
    <m/>
    <m/>
    <m/>
    <m/>
  </r>
  <r>
    <s v="Senior Level Visit"/>
    <s v="Europe"/>
    <s v="Europe and Central Asia"/>
    <s v="No Specific Relationship"/>
    <s v="NATO"/>
    <s v="EUCOM"/>
    <s v="Slovakia"/>
    <x v="18"/>
    <n v="4"/>
    <x v="4"/>
    <s v="Zhang Youxia"/>
    <m/>
    <s v="Shenyang MR Commander"/>
    <n v="6"/>
    <s v="Abroad"/>
    <m/>
    <m/>
    <m/>
    <m/>
    <m/>
    <m/>
    <m/>
    <m/>
    <m/>
  </r>
  <r>
    <s v="Senior Level Visit"/>
    <s v="Africa"/>
    <s v="West Asia and Africa"/>
    <s v="Strategic Partnership [战略伙伴关系]"/>
    <s v="None"/>
    <s v="AFRICOM"/>
    <s v="South Africa"/>
    <x v="18"/>
    <n v="4"/>
    <x v="3"/>
    <s v="Wu Shengli"/>
    <m/>
    <s v="PLAN Commander; CMC Member"/>
    <n v="8"/>
    <s v="Hosted"/>
    <s v="Navy Commander"/>
    <m/>
    <m/>
    <m/>
    <m/>
    <m/>
    <m/>
    <m/>
    <m/>
  </r>
  <r>
    <s v="Senior Level Visit"/>
    <s v="Northeast Asia"/>
    <s v="Asia"/>
    <s v="Strategic Cooperative Partnership [战略合作伙伴关系]"/>
    <s v="Bilateral Defense Treaty"/>
    <s v="INDOPACOM"/>
    <s v="South Korea"/>
    <x v="18"/>
    <n v="4"/>
    <x v="3"/>
    <s v="Wu Shengli"/>
    <m/>
    <s v="PLAN Commander; CMC Member"/>
    <n v="8"/>
    <s v="Hosted"/>
    <s v="Navy Commander"/>
    <m/>
    <m/>
    <m/>
    <m/>
    <m/>
    <m/>
    <m/>
    <m/>
  </r>
  <r>
    <s v="Senior Level Visit"/>
    <s v="Southeast Asia"/>
    <s v="Asia"/>
    <s v="Strategic Partnership [战略伙伴关系]"/>
    <s v="Bilateral Defense Treaty"/>
    <s v="INDOPACOM"/>
    <s v="Thailand"/>
    <x v="18"/>
    <n v="4"/>
    <x v="4"/>
    <s v="Ma Xiaotian"/>
    <m/>
    <s v="GSD DCGS"/>
    <n v="6"/>
    <s v="Abroad"/>
    <m/>
    <m/>
    <m/>
    <m/>
    <m/>
    <m/>
    <m/>
    <m/>
    <m/>
  </r>
  <r>
    <s v="Senior Level Visit"/>
    <s v="Europe"/>
    <s v="Europe and Central Asia"/>
    <s v="No Specific Relationship"/>
    <s v="NATO"/>
    <s v="EUCOM"/>
    <s v="Turkey"/>
    <x v="18"/>
    <n v="4"/>
    <x v="4"/>
    <s v="Xu Qiliang"/>
    <m/>
    <s v="PLAAF Commander; CMC Member"/>
    <n v="8"/>
    <s v="Abroad"/>
    <m/>
    <m/>
    <m/>
    <m/>
    <m/>
    <m/>
    <m/>
    <m/>
    <m/>
  </r>
  <r>
    <s v="Senior Level Visit"/>
    <s v="North America"/>
    <s v="America and Oceania"/>
    <s v="No Specific Relationship"/>
    <s v="N/A"/>
    <s v="NORTHCOM"/>
    <s v="United States"/>
    <x v="18"/>
    <n v="4"/>
    <x v="3"/>
    <s v="Liang Guanglie"/>
    <m/>
    <s v="Defense Minister; CMC Member"/>
    <n v="8"/>
    <s v="Hosted"/>
    <s v="CNO"/>
    <m/>
    <m/>
    <m/>
    <m/>
    <m/>
    <m/>
    <m/>
    <m/>
  </r>
  <r>
    <s v="Senior Level Visit"/>
    <s v="South America"/>
    <s v="America and Oceania"/>
    <s v="No Specific Relationship"/>
    <s v="None"/>
    <s v="SOUTHCOM"/>
    <s v="Uruguay"/>
    <x v="18"/>
    <n v="4"/>
    <x v="3"/>
    <s v="Liang Guanglie"/>
    <m/>
    <s v="Defense Minister; CMC Member"/>
    <n v="8"/>
    <s v="Hosted"/>
    <s v="Defense Minister"/>
    <m/>
    <m/>
    <m/>
    <m/>
    <m/>
    <m/>
    <m/>
    <m/>
  </r>
  <r>
    <s v="Senior Level Visit"/>
    <s v="Southeast Asia"/>
    <s v="Asia"/>
    <s v="Comprehensive Strategic Cooperative Partnership [全面战略合作伙伴关系]"/>
    <s v="None"/>
    <s v="INDOPACOM"/>
    <s v="Vietnam"/>
    <x v="18"/>
    <n v="4"/>
    <x v="3"/>
    <s v="Wu Shengli"/>
    <m/>
    <s v="PLAN Commander; CMC Member"/>
    <n v="8"/>
    <s v="Hosted"/>
    <s v="Navy Commander"/>
    <m/>
    <m/>
    <m/>
    <m/>
    <m/>
    <m/>
    <m/>
    <m/>
  </r>
  <r>
    <s v="Naval Port Call"/>
    <s v="Middle East"/>
    <s v="West Asia and Africa"/>
    <s v="No Specific Relationship"/>
    <s v="None"/>
    <s v="CENTCOM"/>
    <s v="Yemen"/>
    <x v="18"/>
    <n v="4"/>
    <x v="9"/>
    <m/>
    <m/>
    <m/>
    <m/>
    <m/>
    <m/>
    <m/>
    <m/>
    <m/>
    <m/>
    <s v="ETF"/>
    <s v="ETF-01 "/>
    <s v="South Sea Fleet"/>
    <s v="DDG169 Wuhan, DDG171 Haikou, AOR887 Weishan Hu; unknown, could also be ETF-2"/>
  </r>
  <r>
    <s v="Senior Level Visit"/>
    <s v="Europe"/>
    <s v="Europe and Central Asia"/>
    <s v="No Specific Relationship"/>
    <s v="NATO"/>
    <s v="EUCOM"/>
    <s v="Austria"/>
    <x v="18"/>
    <n v="5"/>
    <x v="4"/>
    <s v="Chang Wanquan"/>
    <m/>
    <s v="GAD Director; CMC Member"/>
    <n v="8"/>
    <s v="Abroad"/>
    <m/>
    <m/>
    <m/>
    <m/>
    <m/>
    <m/>
    <m/>
    <m/>
    <m/>
  </r>
  <r>
    <s v="Senior Level Visit"/>
    <s v="Europe"/>
    <s v="Europe and Central Asia"/>
    <s v="Strategic Partnership [战略伙伴关系]"/>
    <s v="NATO"/>
    <s v="EUCOM"/>
    <s v="Belarus"/>
    <x v="18"/>
    <n v="5"/>
    <x v="4"/>
    <s v="Chang Wanquan"/>
    <m/>
    <s v="GAD Director; CMC Member"/>
    <n v="8"/>
    <s v="Abroad"/>
    <m/>
    <m/>
    <m/>
    <m/>
    <m/>
    <m/>
    <m/>
    <m/>
    <m/>
  </r>
  <r>
    <s v="Senior Level Visit"/>
    <s v="Europe"/>
    <s v="Europe and Central Asia"/>
    <s v="No Specific Relationship"/>
    <s v="None"/>
    <s v="EUCOM"/>
    <s v="Bulgaria"/>
    <x v="18"/>
    <n v="5"/>
    <x v="4"/>
    <s v="Chen Guoling"/>
    <m/>
    <s v="Nanjing MR Political Commissar"/>
    <n v="6"/>
    <s v="Abroad"/>
    <m/>
    <m/>
    <m/>
    <m/>
    <m/>
    <m/>
    <m/>
    <m/>
    <m/>
  </r>
  <r>
    <s v="Senior Level Visit"/>
    <s v="Europe"/>
    <s v="Europe and Central Asia"/>
    <s v="No Specific Relationship"/>
    <s v="NATO"/>
    <s v="EUCOM"/>
    <s v="Czech Republic"/>
    <x v="18"/>
    <n v="5"/>
    <x v="4"/>
    <s v="Deng Changyou"/>
    <m/>
    <s v="PLAAF Political Commissar"/>
    <n v="6"/>
    <s v="Abroad"/>
    <m/>
    <m/>
    <m/>
    <m/>
    <m/>
    <m/>
    <m/>
    <m/>
    <m/>
  </r>
  <r>
    <s v="Senior Level Visit"/>
    <s v="Middle East"/>
    <s v="West Asia and Africa"/>
    <s v="Strategic Cooperative Partnership [战略合作伙伴关系]"/>
    <s v="Major Non-NATO Ally"/>
    <s v="CENTCOM"/>
    <s v="Egypt"/>
    <x v="18"/>
    <n v="5"/>
    <x v="3"/>
    <s v="Liang Guanglie"/>
    <m/>
    <s v="Defense Minister; CMC Member"/>
    <n v="8"/>
    <s v="Hosted"/>
    <s v="CinC Armed Forces, Defense Minister and Military Production"/>
    <m/>
    <m/>
    <m/>
    <m/>
    <m/>
    <m/>
    <m/>
    <m/>
  </r>
  <r>
    <s v="Senior Level Visit"/>
    <s v="Europe"/>
    <s v="Europe and Central Asia"/>
    <s v="No Specific Relationship"/>
    <s v="None"/>
    <s v="EUCOM"/>
    <s v="Finland"/>
    <x v="18"/>
    <n v="5"/>
    <x v="4"/>
    <s v="Guo Boxiong"/>
    <m/>
    <s v="CMC Vice Chairman"/>
    <n v="10"/>
    <s v="Abroad"/>
    <m/>
    <m/>
    <m/>
    <m/>
    <m/>
    <m/>
    <m/>
    <m/>
    <m/>
  </r>
  <r>
    <s v="Senior Level Visit"/>
    <s v="Europe"/>
    <s v="Europe and Central Asia"/>
    <s v="No Specific Relationship"/>
    <s v="NATO"/>
    <s v="EUCOM"/>
    <s v="Germany"/>
    <x v="18"/>
    <n v="5"/>
    <x v="4"/>
    <s v="Guo Boxiong"/>
    <m/>
    <s v="CMC Vice Chairman"/>
    <n v="10"/>
    <s v="Abroad"/>
    <m/>
    <m/>
    <m/>
    <m/>
    <m/>
    <m/>
    <m/>
    <m/>
    <m/>
  </r>
  <r>
    <s v="Senior Level Visit"/>
    <s v="Europe"/>
    <s v="Europe and Central Asia"/>
    <s v="No Specific Relationship"/>
    <s v="NATO"/>
    <s v="EUCOM"/>
    <s v="Hungary"/>
    <x v="18"/>
    <n v="5"/>
    <x v="4"/>
    <s v="Deng Changyou"/>
    <m/>
    <s v="PLAAF Political Commissar"/>
    <n v="6"/>
    <s v="Abroad"/>
    <m/>
    <m/>
    <m/>
    <m/>
    <m/>
    <m/>
    <m/>
    <m/>
    <m/>
  </r>
  <r>
    <s v="Senior Level Visit"/>
    <s v="Southeast Asia"/>
    <s v="Asia"/>
    <s v="No Specific Relationship"/>
    <s v="None"/>
    <s v="INDOPACOM"/>
    <s v="IISS"/>
    <x v="18"/>
    <n v="5"/>
    <x v="1"/>
    <s v="Ma Xiaotian"/>
    <m/>
    <s v="GSD DCGS"/>
    <n v="6"/>
    <s v="Abroad"/>
    <s v="8th Shangri-La Dialogue"/>
    <m/>
    <m/>
    <m/>
    <m/>
    <m/>
    <m/>
    <m/>
    <m/>
  </r>
  <r>
    <s v="Senior Level Visit"/>
    <s v="Africa"/>
    <s v="West Asia and Africa"/>
    <s v="No Specific Relationship"/>
    <s v="None"/>
    <s v="AFRICOM"/>
    <s v="Kenya"/>
    <x v="18"/>
    <n v="5"/>
    <x v="4"/>
    <s v="Ma Xiaotian"/>
    <m/>
    <s v="GSD DCGS"/>
    <n v="6"/>
    <s v="Abroad"/>
    <m/>
    <m/>
    <m/>
    <m/>
    <m/>
    <m/>
    <m/>
    <m/>
    <m/>
  </r>
  <r>
    <s v="Senior Level Visit"/>
    <s v="Central Asia"/>
    <s v="Europe and Central Asia"/>
    <s v="No Specific Relationship"/>
    <s v="None"/>
    <s v="CENTCOM"/>
    <s v="Kyrgyzstan"/>
    <x v="18"/>
    <n v="5"/>
    <x v="3"/>
    <s v="Liang Guanglie"/>
    <m/>
    <s v="Defense Minister; CMC Member"/>
    <n v="8"/>
    <s v="Hosted"/>
    <s v="Commander Border Forces"/>
    <m/>
    <m/>
    <m/>
    <m/>
    <m/>
    <m/>
    <m/>
    <m/>
  </r>
  <r>
    <s v="Senior Level Visit"/>
    <s v="Africa"/>
    <s v="West Asia and Africa"/>
    <s v="No Specific Relationship"/>
    <s v="None"/>
    <s v="AFRICOM"/>
    <s v="Liberia"/>
    <x v="18"/>
    <n v="5"/>
    <x v="3"/>
    <s v="Liang Guanglie"/>
    <m/>
    <s v="Defense Minister; CMC Member"/>
    <n v="8"/>
    <s v="Hosted"/>
    <s v="Defense Minister"/>
    <m/>
    <m/>
    <m/>
    <m/>
    <m/>
    <m/>
    <m/>
    <m/>
  </r>
  <r>
    <s v="Senior Level Visit"/>
    <s v="Africa"/>
    <s v="West Asia and Africa"/>
    <s v="No Specific Relationship"/>
    <s v="None"/>
    <s v="AFRICOM"/>
    <s v="Mozambique"/>
    <x v="18"/>
    <n v="5"/>
    <x v="3"/>
    <s v="Liang Guanglie"/>
    <m/>
    <s v="Defense Minister; CMC Member"/>
    <n v="8"/>
    <s v="Hosted"/>
    <s v="Defense Minister"/>
    <m/>
    <m/>
    <m/>
    <m/>
    <m/>
    <m/>
    <m/>
    <m/>
  </r>
  <r>
    <s v="Senior Level Visit"/>
    <s v="Africa"/>
    <s v="West Asia and Africa"/>
    <s v="No Specific Relationship"/>
    <s v="None"/>
    <s v="AFRICOM"/>
    <s v="Namibia"/>
    <x v="18"/>
    <n v="5"/>
    <x v="4"/>
    <s v="Ma Xiaotian"/>
    <m/>
    <s v="GSD DCGS"/>
    <n v="6"/>
    <s v="Abroad"/>
    <m/>
    <m/>
    <m/>
    <m/>
    <m/>
    <m/>
    <m/>
    <m/>
    <m/>
  </r>
  <r>
    <s v="Senior Level Visit"/>
    <s v="Europe"/>
    <s v="Europe and Central Asia"/>
    <s v="Comprehensive Strategic Partnership [全面战略伙伴关系]"/>
    <s v="NATO"/>
    <s v="EUCOM"/>
    <s v="Portugal"/>
    <x v="18"/>
    <n v="5"/>
    <x v="4"/>
    <s v="Deng Changyou"/>
    <m/>
    <s v="PLAAF Political Commissar"/>
    <n v="6"/>
    <s v="Abroad"/>
    <m/>
    <m/>
    <m/>
    <m/>
    <m/>
    <m/>
    <m/>
    <m/>
    <m/>
  </r>
  <r>
    <s v="Senior Level Visit"/>
    <s v="Europe"/>
    <s v="Europe and Central Asia"/>
    <s v="Comprehensive Friendly Cooperative Partnership [全面友好合作伙伴关系]"/>
    <s v="NATO"/>
    <s v="EUCOM"/>
    <s v="Romania"/>
    <x v="18"/>
    <n v="5"/>
    <x v="4"/>
    <s v="Chen Guoling"/>
    <m/>
    <s v="Nanjing MR Political Commissar"/>
    <n v="6"/>
    <s v="Abroad"/>
    <m/>
    <m/>
    <m/>
    <m/>
    <m/>
    <m/>
    <m/>
    <m/>
    <m/>
  </r>
  <r>
    <s v="Senior Level Visit"/>
    <s v="Russia"/>
    <s v="Europe and Central Asia"/>
    <s v="Strategic Partnership of Coordination [战略协作伙伴关系]"/>
    <s v="None"/>
    <s v="EUCOM"/>
    <s v="Russia"/>
    <x v="18"/>
    <n v="5"/>
    <x v="4"/>
    <s v="Chang Wanquan"/>
    <m/>
    <s v="GAD Director; CMC Member"/>
    <n v="8"/>
    <s v="Abroad"/>
    <m/>
    <m/>
    <m/>
    <m/>
    <m/>
    <m/>
    <m/>
    <m/>
    <m/>
  </r>
  <r>
    <s v="Senior Level Visit"/>
    <s v="Northeast Asia"/>
    <s v="Asia"/>
    <s v="Strategic Cooperative Partnership [战略合作伙伴关系]"/>
    <s v="Bilateral Defense Treaty"/>
    <s v="INDOPACOM"/>
    <s v="South Korea"/>
    <x v="18"/>
    <n v="5"/>
    <x v="3"/>
    <s v="Liang Guanglie"/>
    <m/>
    <s v="Defense Minister; CMC Member"/>
    <n v="8"/>
    <s v="Hosted"/>
    <s v="Defense Minister"/>
    <m/>
    <m/>
    <m/>
    <m/>
    <m/>
    <m/>
    <m/>
    <m/>
  </r>
  <r>
    <s v="Senior Level Visit"/>
    <s v="Europe"/>
    <s v="Europe and Central Asia"/>
    <s v="Comprehensive Strategic Partnership [全面战略伙伴关系]"/>
    <s v="NATO"/>
    <s v="EUCOM"/>
    <s v="Spain"/>
    <x v="18"/>
    <n v="5"/>
    <x v="4"/>
    <s v="Ma Xiaotian"/>
    <m/>
    <s v="GSD DCGS"/>
    <n v="6"/>
    <s v="Abroad"/>
    <m/>
    <m/>
    <m/>
    <m/>
    <m/>
    <m/>
    <m/>
    <m/>
    <m/>
  </r>
  <r>
    <s v="Senior Level Visit"/>
    <s v="Southeast Asia"/>
    <s v="Asia"/>
    <s v="Strategic Partnership [战略伙伴关系]"/>
    <s v="Bilateral Defense Treaty"/>
    <s v="INDOPACOM"/>
    <s v="Thailand"/>
    <x v="18"/>
    <n v="5"/>
    <x v="3"/>
    <s v="Liang Guanglie"/>
    <m/>
    <s v="Defense Minister; CMC Member"/>
    <n v="8"/>
    <s v="Hosted"/>
    <s v="Chief of Defense Forces"/>
    <m/>
    <m/>
    <m/>
    <m/>
    <m/>
    <m/>
    <m/>
    <m/>
  </r>
  <r>
    <s v="Senior Level Visit"/>
    <s v="Europe"/>
    <s v="Europe and Central Asia"/>
    <s v="No Specific Relationship"/>
    <s v="NATO"/>
    <s v="EUCOM"/>
    <s v="Turkey"/>
    <x v="18"/>
    <n v="5"/>
    <x v="4"/>
    <s v="Guo Boxiong"/>
    <m/>
    <s v="CMC Vice Chairman"/>
    <n v="10"/>
    <s v="Abroad"/>
    <m/>
    <m/>
    <m/>
    <m/>
    <m/>
    <m/>
    <m/>
    <m/>
    <m/>
  </r>
  <r>
    <s v="Senior Level Visit"/>
    <s v="North America"/>
    <s v="America and Oceania"/>
    <s v="No Specific Relationship"/>
    <s v="N/A"/>
    <s v="NORTHCOM"/>
    <s v="United States"/>
    <x v="18"/>
    <n v="5"/>
    <x v="4"/>
    <s v="Ma Xiaotian"/>
    <m/>
    <s v="GSD DCGS"/>
    <n v="6"/>
    <s v="Abroad"/>
    <s v="Secretary of Defense"/>
    <m/>
    <m/>
    <m/>
    <m/>
    <m/>
    <m/>
    <m/>
    <m/>
  </r>
  <r>
    <s v="Senior Level Visit"/>
    <s v="Europe"/>
    <s v="Europe and Central Asia"/>
    <s v="No Specific Relationship"/>
    <s v="None"/>
    <s v="EUCOM"/>
    <s v="Finland"/>
    <x v="18"/>
    <n v="6"/>
    <x v="4"/>
    <s v="Ma Xiaotian"/>
    <m/>
    <s v="GSD DCGS"/>
    <n v="6"/>
    <s v="Abroad"/>
    <m/>
    <m/>
    <m/>
    <m/>
    <m/>
    <m/>
    <m/>
    <m/>
    <m/>
  </r>
  <r>
    <s v="Senior Level Visit"/>
    <s v="Africa"/>
    <s v="West Asia and Africa"/>
    <s v="No Specific Relationship"/>
    <s v="None"/>
    <s v="AFRICOM"/>
    <s v="Gabon"/>
    <x v="18"/>
    <n v="6"/>
    <x v="4"/>
    <s v="Ma Xiaotian"/>
    <m/>
    <s v="GSD DCGS"/>
    <n v="6"/>
    <s v="Abroad"/>
    <m/>
    <m/>
    <m/>
    <m/>
    <m/>
    <m/>
    <m/>
    <m/>
    <m/>
  </r>
  <r>
    <s v="Military Exercise"/>
    <s v="Africa"/>
    <s v="West Asia and Africa"/>
    <s v="No Specific Relationship"/>
    <s v="None"/>
    <s v="AFRICOM"/>
    <s v="Gabon"/>
    <x v="18"/>
    <n v="6"/>
    <x v="5"/>
    <m/>
    <m/>
    <m/>
    <m/>
    <m/>
    <m/>
    <s v="MOOTW"/>
    <s v="Peace Angel 2009"/>
    <s v="Army"/>
    <s v="HADR"/>
    <m/>
    <m/>
    <m/>
    <m/>
  </r>
  <r>
    <s v="Military Exercise"/>
    <s v="Northeast Asia"/>
    <s v="Asia"/>
    <s v="No Specific Relationship"/>
    <s v="None"/>
    <s v="INDOPACOM"/>
    <s v="Mongolia"/>
    <x v="18"/>
    <n v="6"/>
    <x v="5"/>
    <m/>
    <m/>
    <m/>
    <m/>
    <m/>
    <m/>
    <s v="MOOTW"/>
    <s v="Peacekeeping Mission"/>
    <s v="Army"/>
    <s v="Peacekeeping"/>
    <m/>
    <m/>
    <m/>
    <m/>
  </r>
  <r>
    <s v="Senior Level Visit"/>
    <s v="Africa"/>
    <s v="West Asia and Africa"/>
    <s v="No Specific Relationship"/>
    <s v="None"/>
    <s v="AFRICOM"/>
    <s v="Namibia"/>
    <x v="18"/>
    <n v="6"/>
    <x v="3"/>
    <s v="Liang Guanglie"/>
    <m/>
    <s v="Defense Minister; CMC Member"/>
    <n v="8"/>
    <s v="Hosted"/>
    <s v="Chief of Defense Force"/>
    <m/>
    <m/>
    <m/>
    <m/>
    <m/>
    <m/>
    <m/>
    <m/>
  </r>
  <r>
    <s v="Senior Level Visit"/>
    <s v="Europe"/>
    <s v="Europe and Central Asia"/>
    <s v="No Specific Relationship"/>
    <s v="NATO"/>
    <s v="EUCOM"/>
    <s v="Norway"/>
    <x v="18"/>
    <n v="6"/>
    <x v="4"/>
    <s v="Sun Dafa"/>
    <m/>
    <s v="GLD Political Commissar"/>
    <n v="6"/>
    <s v="Abroad"/>
    <m/>
    <m/>
    <m/>
    <m/>
    <m/>
    <m/>
    <m/>
    <m/>
    <m/>
  </r>
  <r>
    <s v="Naval Port Call"/>
    <s v="Middle East"/>
    <s v="West Asia and Africa"/>
    <s v="No Specific Relationship"/>
    <s v="None"/>
    <s v="CENTCOM"/>
    <s v="Oman"/>
    <x v="18"/>
    <n v="6"/>
    <x v="9"/>
    <m/>
    <m/>
    <m/>
    <m/>
    <m/>
    <m/>
    <m/>
    <m/>
    <m/>
    <m/>
    <s v="ETF"/>
    <s v="ETF-02"/>
    <s v="South Sea Fleet"/>
    <s v="DDG167 Shenzhen, FFG570 Huangshan, AOR887 Weishan Hu; uncertain, could also be ETF-3"/>
  </r>
  <r>
    <s v="Senior Level Visit"/>
    <s v="South Asia"/>
    <s v="Asia"/>
    <s v="Strategic Partnership [战略伙伴关系]"/>
    <s v="Major Non-NATO Ally"/>
    <s v="CENTCOM"/>
    <s v="Pakistan"/>
    <x v="18"/>
    <n v="6"/>
    <x v="3"/>
    <s v="Liang Guanglie"/>
    <m/>
    <s v="Defense Minister; CMC Member"/>
    <n v="8"/>
    <s v="Hosted"/>
    <s v="Air Force Chief of Staff"/>
    <m/>
    <m/>
    <m/>
    <m/>
    <m/>
    <m/>
    <m/>
    <m/>
  </r>
  <r>
    <s v="Senior Level Visit"/>
    <s v="Southeast Asia"/>
    <s v="America and Oceania"/>
    <s v="No Specific Relationship"/>
    <s v="None"/>
    <s v="INDOPACOM"/>
    <s v="Papua New Guinea"/>
    <x v="18"/>
    <n v="6"/>
    <x v="3"/>
    <s v="Liang Guanglie"/>
    <m/>
    <s v="Defense Minister; CMC Member"/>
    <n v="8"/>
    <s v="Hosted"/>
    <s v="Chief of Defense Force "/>
    <m/>
    <m/>
    <m/>
    <m/>
    <m/>
    <m/>
    <m/>
    <m/>
  </r>
  <r>
    <s v="Military Exercise"/>
    <s v="Southeast Asia"/>
    <s v="Asia"/>
    <s v="No Specific Relationship"/>
    <s v="None"/>
    <s v="INDOPACOM"/>
    <s v="Singapore"/>
    <x v="18"/>
    <n v="6"/>
    <x v="5"/>
    <m/>
    <m/>
    <m/>
    <m/>
    <m/>
    <m/>
    <s v="MOOTW"/>
    <s v="Cooperation 2009"/>
    <s v="Army"/>
    <s v="Security training"/>
    <m/>
    <m/>
    <m/>
    <m/>
  </r>
  <r>
    <s v="Senior Level Visit"/>
    <s v="Europe"/>
    <s v="Europe and Central Asia"/>
    <s v="Comprehensive Strategic Partnership [全面战略伙伴关系]"/>
    <s v="NATO"/>
    <s v="EUCOM"/>
    <s v="Spain"/>
    <x v="18"/>
    <n v="6"/>
    <x v="4"/>
    <s v="Liu Chengjun"/>
    <m/>
    <s v="AMS President"/>
    <n v="6"/>
    <s v="Abroad"/>
    <m/>
    <m/>
    <m/>
    <m/>
    <m/>
    <m/>
    <m/>
    <m/>
    <m/>
  </r>
  <r>
    <s v="Senior Level Visit"/>
    <s v="South America"/>
    <s v="America and Oceania"/>
    <s v="No Specific Relationship"/>
    <s v="None"/>
    <s v="SOUTHCOM"/>
    <s v="Suriname"/>
    <x v="18"/>
    <n v="6"/>
    <x v="3"/>
    <s v="Chen Bingde"/>
    <m/>
    <s v="GSD Commander; CMC Member"/>
    <n v="8"/>
    <s v="Hosted"/>
    <s v="Commander Defense Force"/>
    <m/>
    <m/>
    <m/>
    <m/>
    <m/>
    <m/>
    <m/>
    <m/>
  </r>
  <r>
    <s v="Senior Level Visit"/>
    <s v="Europe"/>
    <s v="Europe and Central Asia"/>
    <s v="No Specific Relationship"/>
    <s v="None"/>
    <s v="EUCOM"/>
    <s v="Sweden"/>
    <x v="18"/>
    <n v="6"/>
    <x v="4"/>
    <s v="Ma Xiaotian"/>
    <m/>
    <s v="GSD DCGS"/>
    <n v="6"/>
    <s v="Abroad"/>
    <m/>
    <m/>
    <m/>
    <m/>
    <m/>
    <m/>
    <m/>
    <m/>
    <m/>
  </r>
  <r>
    <s v="Senior Level Visit"/>
    <s v="Europe"/>
    <s v="Europe and Central Asia"/>
    <s v="No Specific Relationship"/>
    <s v="None"/>
    <s v="EUCOM"/>
    <s v="Switzerland"/>
    <x v="18"/>
    <n v="6"/>
    <x v="4"/>
    <s v="Sun Dafa"/>
    <m/>
    <s v="GLD Political Commissar"/>
    <n v="6"/>
    <s v="Abroad"/>
    <m/>
    <m/>
    <m/>
    <m/>
    <m/>
    <m/>
    <m/>
    <m/>
    <m/>
  </r>
  <r>
    <s v="Senior Level Visit"/>
    <s v="North America"/>
    <s v="America and Oceania"/>
    <s v="No Specific Relationship"/>
    <s v="N/A"/>
    <s v="NORTHCOM"/>
    <s v="United States"/>
    <x v="18"/>
    <n v="6"/>
    <x v="3"/>
    <s v="Liang Guanglie"/>
    <m/>
    <s v="Defense Minister; CMC Member"/>
    <n v="8"/>
    <s v="Hosted"/>
    <s v="USDP"/>
    <m/>
    <m/>
    <m/>
    <m/>
    <m/>
    <m/>
    <m/>
    <m/>
  </r>
  <r>
    <s v="Senior Level Visit"/>
    <s v="South America"/>
    <s v="America and Oceania"/>
    <s v="No Specific Relationship"/>
    <s v="None"/>
    <s v="SOUTHCOM"/>
    <s v="Ecuador"/>
    <x v="18"/>
    <n v="7"/>
    <x v="3"/>
    <s v="Chen Bingde"/>
    <m/>
    <s v="GSD Commander; CMC Member"/>
    <n v="8"/>
    <s v="Hosted"/>
    <s v="Chief of Joint Command"/>
    <m/>
    <m/>
    <m/>
    <m/>
    <m/>
    <m/>
    <m/>
    <m/>
  </r>
  <r>
    <s v="Senior Level Visit"/>
    <s v="Northeast Asia"/>
    <s v="Asia"/>
    <s v="Mutually Beneficial Strategic Relationship [战略互惠关系]"/>
    <s v="Bilateral Defense Treaty"/>
    <s v="INDOPACOM"/>
    <s v="Japan"/>
    <x v="18"/>
    <n v="7"/>
    <x v="3"/>
    <s v="Liang Guanglie"/>
    <m/>
    <s v="Defense Minister; CMC Member"/>
    <n v="8"/>
    <s v="Hosted"/>
    <s v="Chief of Staff Navy"/>
    <m/>
    <m/>
    <m/>
    <m/>
    <m/>
    <m/>
    <m/>
    <m/>
  </r>
  <r>
    <s v="Senior Level Visit"/>
    <s v="Africa"/>
    <s v="West Asia and Africa"/>
    <s v="No Specific Relationship"/>
    <s v="None"/>
    <s v="AFRICOM"/>
    <s v="Kenya"/>
    <x v="18"/>
    <n v="7"/>
    <x v="3"/>
    <s v="Chen Bingde"/>
    <m/>
    <s v="GSD Commander; CMC Member"/>
    <n v="8"/>
    <s v="Hosted"/>
    <s v="Minister of State for Defense"/>
    <m/>
    <m/>
    <m/>
    <m/>
    <m/>
    <m/>
    <m/>
    <m/>
  </r>
  <r>
    <s v="Senior Level Visit"/>
    <s v="Southeast Asia"/>
    <s v="Asia"/>
    <s v="Strategic Cooperative Partnership [战略合作伙伴关系]"/>
    <s v="None"/>
    <s v="INDOPACOM"/>
    <s v="Malaysia"/>
    <x v="18"/>
    <n v="7"/>
    <x v="3"/>
    <s v="Liang Guanglie"/>
    <m/>
    <s v="Defense Minister; CMC Member"/>
    <n v="8"/>
    <s v="Hosted"/>
    <s v="Chief of Armed Forces"/>
    <m/>
    <m/>
    <m/>
    <m/>
    <m/>
    <m/>
    <m/>
    <m/>
  </r>
  <r>
    <s v="Senior Level Visit"/>
    <s v="Northeast Asia"/>
    <s v="Asia"/>
    <s v="No Specific Relationship"/>
    <s v="None"/>
    <s v="INDOPACOM"/>
    <s v="Mongolia"/>
    <x v="18"/>
    <n v="7"/>
    <x v="3"/>
    <s v="Liang Guanglie"/>
    <m/>
    <s v="Defense Minister; CMC Member"/>
    <n v="8"/>
    <s v="Hosted"/>
    <s v="State Secretary of Defense Ministry"/>
    <m/>
    <m/>
    <m/>
    <m/>
    <m/>
    <m/>
    <m/>
    <m/>
  </r>
  <r>
    <s v="Senior Level Visit"/>
    <s v="South Asia"/>
    <s v="Asia"/>
    <s v="Strategic Partnership [战略伙伴关系]"/>
    <s v="Major Non-NATO Ally"/>
    <s v="CENTCOM"/>
    <s v="Pakistan"/>
    <x v="18"/>
    <n v="7"/>
    <x v="3"/>
    <s v="Liang Guanglie"/>
    <m/>
    <s v="Defense Minister; CMC Member"/>
    <n v="8"/>
    <s v="Hosted"/>
    <s v="Chief of Naval Staff"/>
    <m/>
    <m/>
    <m/>
    <m/>
    <m/>
    <m/>
    <m/>
    <m/>
  </r>
  <r>
    <s v="Senior Level Visit"/>
    <s v="Russia"/>
    <s v="Europe and Central Asia"/>
    <s v="Strategic Partnership of Coordination [战略协作伙伴关系]"/>
    <s v="None"/>
    <s v="EUCOM"/>
    <s v="Russia"/>
    <x v="18"/>
    <n v="7"/>
    <x v="3"/>
    <s v="Guo Boxiong"/>
    <m/>
    <s v="CMC Vice Chairman"/>
    <n v="10"/>
    <s v="Hosted"/>
    <s v="COGS"/>
    <m/>
    <m/>
    <m/>
    <m/>
    <m/>
    <m/>
    <m/>
    <m/>
  </r>
  <r>
    <s v="Military Exercise"/>
    <s v="Russia"/>
    <s v="Europe and Central Asia"/>
    <s v="Strategic Partnership of Coordination [战略协作伙伴关系]"/>
    <s v="None"/>
    <s v="EUCOM"/>
    <s v="Russia"/>
    <x v="18"/>
    <n v="7"/>
    <x v="5"/>
    <m/>
    <m/>
    <m/>
    <m/>
    <m/>
    <m/>
    <s v="Combat"/>
    <s v="Peace Mission 2009"/>
    <s v="Joint"/>
    <s v="Army, Navy, Air Force, SOF; anti-terrorism; Participant: Russia; Observer countries: Kazakhstan, Kyrgyzstan, Tajikistan and Uzbekistan. July 22 to 26"/>
    <m/>
    <m/>
    <m/>
    <m/>
  </r>
  <r>
    <s v="Senior Level Visit"/>
    <s v="Europe"/>
    <s v="Europe and Central Asia"/>
    <s v="Strategic Partnership [战略伙伴关系]"/>
    <s v="None"/>
    <s v="EUCOM"/>
    <s v="Serbia"/>
    <x v="18"/>
    <n v="7"/>
    <x v="3"/>
    <s v="Jing Zhiyuan"/>
    <m/>
    <s v="PLASAF Commander; CMC Member"/>
    <n v="8"/>
    <s v="Hosted"/>
    <s v="President of Serbian Parliament"/>
    <m/>
    <m/>
    <m/>
    <m/>
    <m/>
    <m/>
    <m/>
    <m/>
  </r>
  <r>
    <s v="Senior Level Visit"/>
    <s v="Africa"/>
    <s v="West Asia and Africa"/>
    <s v="No Specific Relationship"/>
    <s v="None"/>
    <s v="AFRICOM"/>
    <s v="Sudan"/>
    <x v="18"/>
    <n v="7"/>
    <x v="3"/>
    <s v="Liang Guanglie"/>
    <m/>
    <s v="Defense Minister; CMC Member"/>
    <n v="8"/>
    <s v="Hosted"/>
    <s v="Defense Minister"/>
    <m/>
    <m/>
    <m/>
    <m/>
    <m/>
    <m/>
    <m/>
    <m/>
  </r>
  <r>
    <s v="Senior Level Visit"/>
    <s v="Southeast Asia"/>
    <s v="Asia"/>
    <s v="Strategic Partnership [战略伙伴关系]"/>
    <s v="Bilateral Defense Treaty"/>
    <s v="INDOPACOM"/>
    <s v="Thailand"/>
    <x v="18"/>
    <n v="7"/>
    <x v="3"/>
    <s v="Liang Guanglie"/>
    <m/>
    <s v="Defense Minister; CMC Member"/>
    <n v="8"/>
    <s v="Hosted"/>
    <s v="Defense Minister"/>
    <m/>
    <m/>
    <m/>
    <m/>
    <m/>
    <m/>
    <m/>
    <m/>
  </r>
  <r>
    <s v="Senior Level Visit"/>
    <s v="Europe"/>
    <s v="Europe and Central Asia"/>
    <s v="No Specific Relationship"/>
    <s v="None"/>
    <s v="EUCOM"/>
    <s v="Ukraine"/>
    <x v="18"/>
    <n v="7"/>
    <x v="4"/>
    <s v="Jing Zhiyuan"/>
    <m/>
    <s v="PLASAF Commander; CMC Member"/>
    <n v="8"/>
    <s v="Abroad"/>
    <m/>
    <m/>
    <m/>
    <m/>
    <m/>
    <m/>
    <m/>
    <m/>
    <m/>
  </r>
  <r>
    <s v="Naval Port Call"/>
    <s v="Middle East"/>
    <s v="West Asia and Africa"/>
    <s v="No Specific Relationship"/>
    <s v="None"/>
    <s v="CENTCOM"/>
    <s v="Yemen"/>
    <x v="18"/>
    <n v="7"/>
    <x v="9"/>
    <m/>
    <m/>
    <m/>
    <m/>
    <m/>
    <m/>
    <m/>
    <m/>
    <m/>
    <m/>
    <s v="ETF"/>
    <s v="ETF-02"/>
    <s v="South Sea Fleet"/>
    <s v="DDG167 Shenzhen, FFG570 Huangshan, AOR887 Weishan Hu; uncertain, could also be ETF-3"/>
  </r>
  <r>
    <s v="Senior Level Visit"/>
    <s v="South America"/>
    <s v="America and Oceania"/>
    <s v="Comprehensive Strategic Partnership [全面战略伙伴关系]"/>
    <s v="None"/>
    <s v="SOUTHCOM"/>
    <s v="Brazil"/>
    <x v="18"/>
    <n v="8"/>
    <x v="3"/>
    <s v="Chen Bingde"/>
    <m/>
    <s v="GSD Commander; CMC Member"/>
    <n v="8"/>
    <s v="Hosted"/>
    <s v="Army Commander"/>
    <m/>
    <m/>
    <m/>
    <m/>
    <m/>
    <m/>
    <m/>
    <m/>
  </r>
  <r>
    <s v="Senior Level Visit"/>
    <s v="Europe"/>
    <s v="Europe and Central Asia"/>
    <s v="No Specific Relationship"/>
    <s v="NATO"/>
    <s v="EUCOM"/>
    <s v="Germany"/>
    <x v="18"/>
    <n v="8"/>
    <x v="4"/>
    <s v="Wu Shengli"/>
    <m/>
    <s v="PLAN Commander; CMC Member"/>
    <n v="8"/>
    <s v="Abroad"/>
    <m/>
    <m/>
    <m/>
    <m/>
    <m/>
    <m/>
    <m/>
    <m/>
    <m/>
  </r>
  <r>
    <s v="Senior Level Visit"/>
    <s v="Europe"/>
    <s v="Europe and Central Asia"/>
    <s v="No Specific Relationship"/>
    <s v="NATO"/>
    <s v="EUCOM"/>
    <s v="Hungary"/>
    <x v="18"/>
    <n v="8"/>
    <x v="4"/>
    <s v="Li Jinai"/>
    <m/>
    <s v="GPD Director; CMC Member"/>
    <n v="8"/>
    <s v="Abroad"/>
    <m/>
    <m/>
    <m/>
    <m/>
    <m/>
    <m/>
    <m/>
    <m/>
    <m/>
  </r>
  <r>
    <s v="Naval Port Call"/>
    <s v="South Asia"/>
    <s v="Asia"/>
    <s v="Strategic Partnership for Peace and Prosperity [战略伙伴关系]"/>
    <s v="None"/>
    <s v="INDOPACOM"/>
    <s v="India"/>
    <x v="18"/>
    <n v="8"/>
    <x v="0"/>
    <m/>
    <m/>
    <m/>
    <m/>
    <m/>
    <m/>
    <m/>
    <m/>
    <m/>
    <m/>
    <s v="ETF"/>
    <s v="ETF-02"/>
    <s v="South Sea Fleet"/>
    <s v="DDG167 Shenzhen, FFG570 Huangshan, AOR887 Weishan Hu"/>
  </r>
  <r>
    <s v="Senior Level Visit"/>
    <s v="Europe"/>
    <s v="Europe and Central Asia"/>
    <s v="No Specific Relationship"/>
    <s v="NATO"/>
    <s v="EUCOM"/>
    <s v="Norway"/>
    <x v="18"/>
    <n v="8"/>
    <x v="4"/>
    <s v="Wu Shengli"/>
    <m/>
    <s v="PLAN Commander; CMC Member"/>
    <n v="8"/>
    <s v="Abroad"/>
    <m/>
    <m/>
    <m/>
    <m/>
    <m/>
    <m/>
    <m/>
    <m/>
    <m/>
  </r>
  <r>
    <s v="Naval Port Call"/>
    <s v="Middle East"/>
    <s v="West Asia and Africa"/>
    <s v="No Specific Relationship"/>
    <s v="None"/>
    <s v="CENTCOM"/>
    <s v="Oman"/>
    <x v="18"/>
    <n v="8"/>
    <x v="9"/>
    <m/>
    <m/>
    <m/>
    <m/>
    <m/>
    <m/>
    <m/>
    <m/>
    <m/>
    <m/>
    <s v="ETF"/>
    <s v="ETF-03"/>
    <s v="East Sea Fleet"/>
    <s v="FFG529 Zhoushan, FFG530 Xuzhou, AOR886 Qiandao Hu"/>
  </r>
  <r>
    <s v="Naval Port Call"/>
    <s v="South Asia"/>
    <s v="Asia"/>
    <s v="Strategic Partnership [战略伙伴关系]"/>
    <s v="Major Non-NATO Ally"/>
    <s v="CENTCOM"/>
    <s v="Pakistan"/>
    <x v="18"/>
    <n v="8"/>
    <x v="10"/>
    <m/>
    <m/>
    <m/>
    <m/>
    <m/>
    <m/>
    <m/>
    <m/>
    <m/>
    <m/>
    <s v="ETF"/>
    <s v="ETF-02"/>
    <s v="South Sea Fleet"/>
    <s v="DDG167 Shenzhen, FFG570 Huangshan, AOR887 Weishan Hu"/>
  </r>
  <r>
    <s v="Military Exercise"/>
    <s v="South Asia"/>
    <s v="Asia"/>
    <s v="Strategic Partnership [战略伙伴关系]"/>
    <s v="Major Non-NATO Ally"/>
    <s v="CENTCOM"/>
    <s v="Pakistan"/>
    <x v="18"/>
    <n v="8"/>
    <x v="5"/>
    <m/>
    <m/>
    <m/>
    <m/>
    <m/>
    <m/>
    <s v="Anti-piracy"/>
    <s v="Unknown Karachi 2009"/>
    <s v="Navy"/>
    <s v="5-8 August 2009, anti-piracy ETF joint drills and friendly visit, Six Years p. 129"/>
    <m/>
    <m/>
    <m/>
    <m/>
  </r>
  <r>
    <s v="Senior Level Visit"/>
    <s v="Europe"/>
    <s v="Europe and Central Asia"/>
    <s v="No Specific Relationship"/>
    <s v="NATO"/>
    <s v="EUCOM"/>
    <s v="Poland"/>
    <x v="18"/>
    <n v="8"/>
    <x v="4"/>
    <s v="Li Jinai"/>
    <m/>
    <s v="GPD Director; CMC Member"/>
    <n v="8"/>
    <s v="Abroad"/>
    <m/>
    <m/>
    <m/>
    <m/>
    <m/>
    <m/>
    <m/>
    <m/>
    <m/>
  </r>
  <r>
    <s v="Senior Level Visit"/>
    <s v="Europe"/>
    <s v="Europe and Central Asia"/>
    <s v="Comprehensive Friendly Cooperative Partnership [全面友好合作伙伴关系]"/>
    <s v="NATO"/>
    <s v="EUCOM"/>
    <s v="Romania"/>
    <x v="18"/>
    <n v="8"/>
    <x v="4"/>
    <s v="Li Jinai"/>
    <m/>
    <s v="GPD Director; CMC Member"/>
    <n v="8"/>
    <s v="Abroad"/>
    <m/>
    <m/>
    <m/>
    <m/>
    <m/>
    <m/>
    <m/>
    <m/>
    <m/>
  </r>
  <r>
    <s v="Senior Level Visit"/>
    <s v="Middle East"/>
    <s v="West Asia and Africa"/>
    <s v="No Specific Relationship"/>
    <s v="None"/>
    <s v="CENTCOM"/>
    <s v="Saudi Arabia"/>
    <x v="18"/>
    <n v="8"/>
    <x v="4"/>
    <s v="Chi Wanchun"/>
    <m/>
    <s v="GAD Political Commissar"/>
    <n v="6"/>
    <s v="Abroad"/>
    <m/>
    <m/>
    <m/>
    <m/>
    <m/>
    <m/>
    <m/>
    <m/>
    <m/>
  </r>
  <r>
    <s v="Senior Level Visit"/>
    <s v="Europe"/>
    <s v="Europe and Central Asia"/>
    <s v="No Specific Relationship"/>
    <s v="None"/>
    <s v="EUCOM"/>
    <s v="Ukraine"/>
    <x v="18"/>
    <n v="8"/>
    <x v="4"/>
    <s v="Ma Xiaotian"/>
    <m/>
    <s v="GSD DCGS"/>
    <n v="6"/>
    <s v="Abroad"/>
    <m/>
    <m/>
    <m/>
    <m/>
    <m/>
    <m/>
    <m/>
    <m/>
    <m/>
  </r>
  <r>
    <s v="Senior Level Visit"/>
    <s v="Europe"/>
    <s v="Europe and Central Asia"/>
    <s v="Comprehensive Strategic Partnership [全面战略伙伴关系]"/>
    <s v="NATO"/>
    <s v="EUCOM"/>
    <s v="United Kingdom"/>
    <x v="18"/>
    <n v="8"/>
    <x v="4"/>
    <s v="Chi Wanchun"/>
    <m/>
    <s v="GAD Political Commissar"/>
    <n v="6"/>
    <s v="Abroad"/>
    <m/>
    <m/>
    <m/>
    <m/>
    <m/>
    <m/>
    <m/>
    <m/>
    <m/>
  </r>
  <r>
    <s v="Senior Level Visit"/>
    <s v="North America"/>
    <s v="America and Oceania"/>
    <s v="No Specific Relationship"/>
    <s v="N/A"/>
    <s v="NORTHCOM"/>
    <s v="United States"/>
    <x v="18"/>
    <n v="8"/>
    <x v="3"/>
    <s v="Chen Bingde"/>
    <m/>
    <s v="GSD Commander; CMC Member"/>
    <n v="8"/>
    <s v="Hosted"/>
    <s v="Chief of Army Staff"/>
    <m/>
    <m/>
    <m/>
    <m/>
    <m/>
    <m/>
    <m/>
    <m/>
  </r>
  <r>
    <s v="Naval Port Call"/>
    <s v="Southeast Asia"/>
    <s v="Asia"/>
    <s v="Comprehensive Strategic Cooperative Partnership [全面战略合作伙伴关系]"/>
    <s v="None"/>
    <s v="INDOPACOM"/>
    <s v="Vietnam"/>
    <x v="18"/>
    <n v="8"/>
    <x v="0"/>
    <m/>
    <m/>
    <m/>
    <m/>
    <m/>
    <m/>
    <m/>
    <m/>
    <m/>
    <m/>
    <s v="NETF"/>
    <s v="NETF"/>
    <m/>
    <m/>
  </r>
  <r>
    <s v="Senior Level Visit"/>
    <s v="Europe"/>
    <s v="Europe and Central Asia"/>
    <s v="No Specific Relationship"/>
    <s v="NATO"/>
    <s v="EUCOM"/>
    <s v="Bulgaria"/>
    <x v="18"/>
    <n v="9"/>
    <x v="4"/>
    <s v="Liang Guanglie"/>
    <m/>
    <s v="Defense Minister; CMC Member"/>
    <n v="8"/>
    <s v="Abroad"/>
    <m/>
    <m/>
    <m/>
    <m/>
    <m/>
    <m/>
    <m/>
    <m/>
    <m/>
  </r>
  <r>
    <s v="Naval Port Call"/>
    <s v="Oceania"/>
    <s v="America and Oceania"/>
    <s v="No Specific Relationship"/>
    <s v="None"/>
    <s v="INDOPACOM"/>
    <s v="French Polynesia"/>
    <x v="18"/>
    <n v="9"/>
    <x v="0"/>
    <m/>
    <m/>
    <m/>
    <m/>
    <m/>
    <m/>
    <m/>
    <m/>
    <m/>
    <m/>
    <s v="NETF"/>
    <s v="NETF"/>
    <m/>
    <m/>
  </r>
  <r>
    <s v="Senior Level Visit"/>
    <s v="Europe"/>
    <s v="Europe and Central Asia"/>
    <s v="Friendly Cooperative Partnership [友好合作伙伴关系]"/>
    <s v="None"/>
    <s v="EUCOM"/>
    <s v="Moldova"/>
    <x v="18"/>
    <n v="9"/>
    <x v="3"/>
    <s v="Chen Bingde"/>
    <m/>
    <s v="GSD Commander; CMC Member"/>
    <n v="8"/>
    <s v="Hosted"/>
    <s v="COGS"/>
    <m/>
    <m/>
    <m/>
    <m/>
    <m/>
    <m/>
    <m/>
    <m/>
  </r>
  <r>
    <s v="Senior Level Visit"/>
    <s v="Northeast Asia"/>
    <s v="Asia"/>
    <s v="No Specific Relationship"/>
    <s v="None"/>
    <s v="INDOPACOM"/>
    <s v="Mongolia"/>
    <x v="18"/>
    <n v="9"/>
    <x v="3"/>
    <s v="Liang Guanglie"/>
    <m/>
    <s v="Defense Minister; CMC Member"/>
    <n v="8"/>
    <s v="Hosted"/>
    <s v="Defense Minister"/>
    <m/>
    <m/>
    <m/>
    <m/>
    <m/>
    <m/>
    <m/>
    <m/>
  </r>
  <r>
    <s v="Senior Level Visit"/>
    <s v="Oceania"/>
    <s v="America and Oceania"/>
    <s v="No Specific Relationship"/>
    <s v="ANZUS Treaty"/>
    <s v="INDOPACOM"/>
    <s v="New Zealand"/>
    <x v="18"/>
    <n v="9"/>
    <x v="3"/>
    <s v="Liang Guanglie"/>
    <m/>
    <s v="Defense Minister; CMC Member"/>
    <n v="8"/>
    <s v="Hosted"/>
    <s v="Defense Minister"/>
    <m/>
    <m/>
    <m/>
    <m/>
    <m/>
    <m/>
    <m/>
    <m/>
  </r>
  <r>
    <s v="Military Exercise"/>
    <s v="Europe"/>
    <s v="Europe and Central Asia"/>
    <s v="Comprehensive Friendly Cooperative Partnership [全面友好合作伙伴关系]"/>
    <s v="NATO"/>
    <s v="EUCOM"/>
    <s v="Romania"/>
    <x v="18"/>
    <n v="9"/>
    <x v="5"/>
    <m/>
    <m/>
    <m/>
    <m/>
    <m/>
    <m/>
    <s v="MOOTW"/>
    <s v="Friendship Operation 2009"/>
    <s v="Army"/>
    <s v="Mountain troops"/>
    <m/>
    <m/>
    <m/>
    <m/>
  </r>
  <r>
    <s v="Military Exercise"/>
    <s v="Russia"/>
    <s v="Europe and Central Asia"/>
    <s v="Strategic Partnership of Coordination [战略协作伙伴关系]"/>
    <s v="None"/>
    <s v="EUCOM"/>
    <s v="Russia"/>
    <x v="18"/>
    <n v="9"/>
    <x v="5"/>
    <m/>
    <m/>
    <m/>
    <m/>
    <m/>
    <m/>
    <s v="Anti-piracy"/>
    <s v="Peace Shield 2009"/>
    <s v="Navy"/>
    <s v="Maritime manuever in Gulf of Aden, 18 Sept. 2009"/>
    <m/>
    <m/>
    <m/>
    <m/>
  </r>
  <r>
    <s v="Military Exercise"/>
    <s v="Russia"/>
    <s v="Europe and Central Asia"/>
    <s v="Strategic Partnership of Coordination [战略协作伙伴关系]"/>
    <s v="None"/>
    <s v="EUCOM"/>
    <s v="Russia"/>
    <x v="18"/>
    <n v="9"/>
    <x v="5"/>
    <m/>
    <m/>
    <m/>
    <m/>
    <m/>
    <m/>
    <s v="MOOTW"/>
    <s v="River/port Emergencies Exercises"/>
    <s v="PAP"/>
    <s v="“the first joint border blockading and controlling military exercise” conducted between China and Russia"/>
    <m/>
    <m/>
    <m/>
    <m/>
  </r>
  <r>
    <s v="Senior Level Visit"/>
    <s v="Europe"/>
    <s v="Europe and Central Asia"/>
    <s v="Strategic Partnership [战略伙伴关系]"/>
    <s v="None"/>
    <s v="EUCOM"/>
    <s v="Serbia"/>
    <x v="18"/>
    <n v="9"/>
    <x v="4"/>
    <s v="Liang Guanglie"/>
    <m/>
    <s v="Defense Minister; CMC Member"/>
    <n v="8"/>
    <s v="Abroad"/>
    <m/>
    <m/>
    <m/>
    <m/>
    <m/>
    <m/>
    <m/>
    <m/>
    <m/>
  </r>
  <r>
    <s v="Senior Level Visit"/>
    <s v="Europe"/>
    <s v="Europe and Central Asia"/>
    <s v="No Specific Relationship"/>
    <s v="NATO"/>
    <s v="EUCOM"/>
    <s v="Slovakia"/>
    <x v="18"/>
    <n v="9"/>
    <x v="4"/>
    <s v="Liang Guanglie"/>
    <m/>
    <s v="Defense Minister; CMC Member"/>
    <n v="8"/>
    <s v="Abroad"/>
    <m/>
    <m/>
    <m/>
    <m/>
    <m/>
    <m/>
    <m/>
    <m/>
    <m/>
  </r>
  <r>
    <s v="Senior Level Visit"/>
    <s v="Africa"/>
    <s v="West Asia and Africa"/>
    <s v="No Specific Relationship"/>
    <s v="None"/>
    <s v="AFRICOM"/>
    <s v="Tanzania"/>
    <x v="18"/>
    <n v="9"/>
    <x v="3"/>
    <s v="Liang Guanglie"/>
    <m/>
    <s v="Defense Minister; CMC Member"/>
    <n v="8"/>
    <s v="Hosted"/>
    <s v="Defense Minister"/>
    <m/>
    <m/>
    <m/>
    <m/>
    <m/>
    <m/>
    <m/>
    <m/>
  </r>
  <r>
    <s v="Senior Level Visit"/>
    <s v="Southeast Asia"/>
    <s v="Asia"/>
    <s v="Comprehensive Strategic Cooperative Partnership [全面战略合作伙伴关系]"/>
    <s v="None"/>
    <s v="INDOPACOM"/>
    <s v="Vietnam"/>
    <x v="18"/>
    <n v="9"/>
    <x v="3"/>
    <s v="Liang Guanglie"/>
    <m/>
    <s v="Defense Minister; CMC Member"/>
    <n v="8"/>
    <s v="Hosted"/>
    <s v="DCOGS"/>
    <m/>
    <m/>
    <m/>
    <m/>
    <m/>
    <m/>
    <m/>
    <m/>
  </r>
  <r>
    <s v="Senior Level Visit"/>
    <s v="Southeast Asia"/>
    <s v="Asia"/>
    <s v="Comprehensive Strategic Cooperative Partnership [全面战略合作伙伴关系]"/>
    <s v="None"/>
    <s v="INDOPACOM"/>
    <s v="Vietnam"/>
    <x v="18"/>
    <n v="9"/>
    <x v="3"/>
    <s v="Liang Guanglie"/>
    <m/>
    <s v="Defense Minister; CMC Member"/>
    <n v="8"/>
    <s v="Hosted"/>
    <s v="General Director, GPD"/>
    <m/>
    <m/>
    <m/>
    <m/>
    <m/>
    <m/>
    <m/>
    <m/>
  </r>
  <r>
    <s v="Naval Port Call"/>
    <s v="Middle East"/>
    <s v="West Asia and Africa"/>
    <s v="No Specific Relationship"/>
    <s v="None"/>
    <s v="CENTCOM"/>
    <s v="Yemen"/>
    <x v="18"/>
    <n v="9"/>
    <x v="9"/>
    <m/>
    <m/>
    <m/>
    <m/>
    <m/>
    <m/>
    <m/>
    <m/>
    <m/>
    <m/>
    <s v="ETF"/>
    <s v="ETF-03"/>
    <s v="East Sea Fleet"/>
    <s v="FFG529 Zhoushan, FFG530 Xuzhou, AOR886 Qiandao Hu"/>
  </r>
  <r>
    <s v="Senior Level Visit"/>
    <s v="Oceania"/>
    <s v="America and Oceania"/>
    <s v="No Specific Relationship"/>
    <s v="ANZUS Treaty"/>
    <s v="INDOPACOM"/>
    <s v="Australia"/>
    <x v="18"/>
    <n v="10"/>
    <x v="4"/>
    <s v="Chen Bingde"/>
    <m/>
    <s v="GSD Commander; CMC Member"/>
    <n v="8"/>
    <s v="Abroad"/>
    <m/>
    <m/>
    <m/>
    <m/>
    <m/>
    <s v="ETF"/>
    <m/>
    <m/>
    <m/>
  </r>
  <r>
    <s v="Senior Level Visit"/>
    <s v="Africa"/>
    <s v="West Asia and Africa"/>
    <s v="Comprehensive Strategic Partnership [全面战略伙伴关系]"/>
    <s v="None"/>
    <s v="AFRICOM"/>
    <s v="DR Congo"/>
    <x v="18"/>
    <n v="10"/>
    <x v="3"/>
    <s v="Liang Guanglie"/>
    <m/>
    <s v="Defense Minister; CMC Member"/>
    <n v="8"/>
    <s v="Hosted"/>
    <s v="Defense Minister"/>
    <m/>
    <m/>
    <m/>
    <m/>
    <m/>
    <m/>
    <m/>
    <m/>
  </r>
  <r>
    <s v="Senior Level Visit"/>
    <s v="Europe"/>
    <s v="Europe and Central Asia"/>
    <s v="Comprehensive Strategic Partnership [全面战略伙伴关系]"/>
    <s v="NATO"/>
    <s v="EUCOM"/>
    <s v="Greece"/>
    <x v="18"/>
    <n v="10"/>
    <x v="4"/>
    <s v="Zhang Yang"/>
    <m/>
    <s v="Guangzhou MR Political Commissar"/>
    <n v="6"/>
    <s v="Abroad"/>
    <m/>
    <m/>
    <m/>
    <m/>
    <m/>
    <m/>
    <m/>
    <m/>
    <m/>
  </r>
  <r>
    <s v="Senior Level Visit"/>
    <s v="Europe"/>
    <s v="Europe and Central Asia"/>
    <s v="No Specific Relationship"/>
    <s v="NATO"/>
    <s v="EUCOM"/>
    <s v="Hungary"/>
    <x v="18"/>
    <n v="10"/>
    <x v="4"/>
    <s v="Zhang Yang"/>
    <m/>
    <s v="Guangzhou MR Political Commissar"/>
    <n v="6"/>
    <s v="Abroad"/>
    <m/>
    <m/>
    <m/>
    <m/>
    <m/>
    <m/>
    <m/>
    <m/>
    <m/>
  </r>
  <r>
    <s v="Senior Level Visit"/>
    <s v="Southeast Asia"/>
    <s v="Asia"/>
    <s v="Strategic Partnership [战略伙伴关系]"/>
    <s v="None"/>
    <s v="INDOPACOM"/>
    <s v="Indonesia"/>
    <x v="18"/>
    <n v="10"/>
    <x v="4"/>
    <s v="Ma Xiaotian"/>
    <m/>
    <s v="GSD DCGS"/>
    <n v="6"/>
    <s v="Abroad"/>
    <m/>
    <m/>
    <m/>
    <m/>
    <m/>
    <m/>
    <m/>
    <m/>
    <m/>
  </r>
  <r>
    <s v="Senior Level Visit"/>
    <s v="Northeast Asia"/>
    <s v="Asia"/>
    <s v="Mutually Beneficial Strategic Relationship [战略互惠关系]"/>
    <s v="Bilateral Defense Treaty"/>
    <s v="INDOPACOM"/>
    <s v="Japan"/>
    <x v="18"/>
    <n v="10"/>
    <x v="4"/>
    <s v="Ma Xiaotian"/>
    <m/>
    <s v="GSD DCGS"/>
    <n v="6"/>
    <s v="Abroad"/>
    <m/>
    <m/>
    <m/>
    <m/>
    <m/>
    <m/>
    <m/>
    <m/>
    <m/>
  </r>
  <r>
    <s v="Senior Level Visit"/>
    <s v="Africa"/>
    <s v="West Asia and Africa"/>
    <s v="No Specific Relationship"/>
    <s v="None"/>
    <s v="AFRICOM"/>
    <s v="Malawi"/>
    <x v="18"/>
    <n v="10"/>
    <x v="3"/>
    <s v="Liang Guanglie"/>
    <m/>
    <s v="Defense Minister; CMC Member"/>
    <n v="8"/>
    <s v="Hosted"/>
    <s v="Defense Minister"/>
    <m/>
    <m/>
    <m/>
    <m/>
    <m/>
    <m/>
    <m/>
    <m/>
  </r>
  <r>
    <s v="Senior Level Visit"/>
    <s v="Northeast Asia"/>
    <s v="Asia"/>
    <s v="Bilateral Defense Treaty"/>
    <s v="None"/>
    <s v="INDOPACOM"/>
    <s v="North Korea"/>
    <x v="18"/>
    <n v="10"/>
    <x v="4"/>
    <s v="Ma Xiaotian"/>
    <m/>
    <s v="GSD DCGS"/>
    <n v="6"/>
    <s v="Abroad"/>
    <m/>
    <m/>
    <m/>
    <m/>
    <m/>
    <m/>
    <m/>
    <m/>
    <m/>
  </r>
  <r>
    <s v="Senior Level Visit"/>
    <s v="Southeast Asia"/>
    <s v="America and Oceania"/>
    <s v="No Specific Relationship"/>
    <s v="None"/>
    <s v="INDOPACOM"/>
    <s v="Papua New Guinea"/>
    <x v="18"/>
    <n v="10"/>
    <x v="4"/>
    <s v="Chen Bingde"/>
    <m/>
    <s v="GSD Commander; CMC Member"/>
    <n v="8"/>
    <s v="Abroad"/>
    <m/>
    <m/>
    <m/>
    <m/>
    <m/>
    <m/>
    <m/>
    <m/>
    <m/>
  </r>
  <r>
    <s v="Senior Level Visit"/>
    <s v="Southeast Asia"/>
    <s v="Asia"/>
    <s v="No Specific Relationship"/>
    <s v="None"/>
    <s v="INDOPACOM"/>
    <s v="Singapore"/>
    <x v="18"/>
    <n v="10"/>
    <x v="4"/>
    <s v="Chen Bingde"/>
    <m/>
    <s v="GSD Commander; CMC Member"/>
    <n v="8"/>
    <s v="Abroad"/>
    <m/>
    <m/>
    <m/>
    <m/>
    <m/>
    <m/>
    <m/>
    <m/>
    <m/>
  </r>
  <r>
    <s v="Senior Level Visit"/>
    <s v="Northeast Asia"/>
    <s v="Asia"/>
    <s v="Strategic Cooperative Partnership [战略合作伙伴关系]"/>
    <s v="Bilateral Defense Treaty"/>
    <s v="INDOPACOM"/>
    <s v="South Korea"/>
    <x v="18"/>
    <n v="10"/>
    <x v="4"/>
    <s v="Ma Xiaotian"/>
    <m/>
    <s v="GSD DCGS"/>
    <n v="6"/>
    <s v="Abroad"/>
    <m/>
    <m/>
    <m/>
    <m/>
    <m/>
    <m/>
    <m/>
    <m/>
    <m/>
  </r>
  <r>
    <s v="Senior Level Visit"/>
    <s v="North America"/>
    <s v="America and Oceania"/>
    <s v="No Specific Relationship"/>
    <s v="N/A"/>
    <s v="NORTHCOM"/>
    <s v="United States"/>
    <x v="18"/>
    <n v="10"/>
    <x v="4"/>
    <s v="Xu Caihou"/>
    <m/>
    <s v="CMC Vice Chairman"/>
    <n v="10"/>
    <s v="Abroad"/>
    <s v="Secretary of Defense"/>
    <m/>
    <m/>
    <m/>
    <m/>
    <m/>
    <m/>
    <m/>
    <m/>
  </r>
  <r>
    <s v="Senior Level Visit"/>
    <s v="Central Asia"/>
    <s v="Europe and Central Asia"/>
    <s v="No Specific Relationship"/>
    <s v="None"/>
    <s v="CENTCOM"/>
    <s v="Uzbekistan"/>
    <x v="18"/>
    <n v="10"/>
    <x v="3"/>
    <s v="Liang Guanglie"/>
    <m/>
    <s v="Defense Minister; CMC Member"/>
    <n v="8"/>
    <s v="Hosted"/>
    <s v="Defense Minister"/>
    <m/>
    <m/>
    <m/>
    <m/>
    <m/>
    <m/>
    <m/>
    <m/>
  </r>
  <r>
    <s v="Naval Port Call"/>
    <s v="Middle East"/>
    <s v="West Asia and Africa"/>
    <s v="No Specific Relationship"/>
    <s v="None"/>
    <s v="CENTCOM"/>
    <s v="Yemen"/>
    <x v="18"/>
    <n v="10"/>
    <x v="9"/>
    <m/>
    <m/>
    <m/>
    <m/>
    <m/>
    <m/>
    <m/>
    <m/>
    <m/>
    <m/>
    <s v="ETF"/>
    <s v="ETF-03"/>
    <s v="East Sea Fleet"/>
    <s v="FFG529 Zhoushan, FFG530 Xuzhou, AOR886 Qiandao Hu"/>
  </r>
  <r>
    <s v="Senior Level Visit"/>
    <s v="Middle East"/>
    <s v="West Asia and Africa"/>
    <s v="Friendly Cooperative Partnership [友好合作伙伴关系]"/>
    <s v="Major Non-NATO Ally"/>
    <s v="CENTCOM"/>
    <s v="Bahrain"/>
    <x v="18"/>
    <n v="11"/>
    <x v="3"/>
    <s v="Liang Guanglie"/>
    <m/>
    <s v="Defense Minister; CMC Member"/>
    <n v="8"/>
    <s v="Hosted"/>
    <s v="Minister of State for Defense"/>
    <m/>
    <m/>
    <m/>
    <m/>
    <s v="ETF"/>
    <m/>
    <m/>
    <m/>
  </r>
  <r>
    <s v="Senior Level Visit"/>
    <s v="South Asia"/>
    <s v="Asia"/>
    <s v="Comprehensive Cooperative Partnership [全面合作伙伴关系]"/>
    <s v="None"/>
    <s v="INDOPACOM"/>
    <s v="Bangladesh"/>
    <x v="18"/>
    <n v="11"/>
    <x v="3"/>
    <s v="Xu Qiliang"/>
    <m/>
    <s v="PLAAF Commander; CMC Member"/>
    <n v="8"/>
    <s v="Hosted"/>
    <s v="Air Force Commander"/>
    <m/>
    <m/>
    <m/>
    <m/>
    <m/>
    <m/>
    <m/>
    <m/>
  </r>
  <r>
    <s v="Senior Level Visit"/>
    <s v="South America"/>
    <s v="America and Oceania"/>
    <s v="Comprehensive Strategic Partnership [全面战略伙伴关系]"/>
    <s v="None"/>
    <s v="SOUTHCOM"/>
    <s v="Brazil"/>
    <x v="18"/>
    <n v="11"/>
    <x v="3"/>
    <s v="Xu Caihou"/>
    <m/>
    <s v="CMC Vice Chairman"/>
    <n v="10"/>
    <s v="Hosted"/>
    <s v="Defense Minister"/>
    <m/>
    <m/>
    <m/>
    <m/>
    <m/>
    <m/>
    <m/>
    <m/>
  </r>
  <r>
    <s v="Senior Level Visit"/>
    <s v="South America"/>
    <s v="America and Oceania"/>
    <s v="Comprehensive Partnership [全面伙伴关系]"/>
    <s v="None"/>
    <s v="SOUTHCOM"/>
    <s v="Chile"/>
    <x v="18"/>
    <n v="11"/>
    <x v="3"/>
    <s v="Xu Qiliang"/>
    <m/>
    <s v="PLAAF Commander; CMC Member"/>
    <n v="8"/>
    <s v="Hosted"/>
    <s v="Air Force Commander"/>
    <m/>
    <m/>
    <m/>
    <m/>
    <m/>
    <m/>
    <m/>
    <m/>
  </r>
  <r>
    <s v="Naval Port Call"/>
    <s v="South America"/>
    <s v="South America"/>
    <s v="Comprehensive Partnership [全面伙伴关系]"/>
    <s v="None"/>
    <s v="SOUTHCOM"/>
    <s v="Chile"/>
    <x v="18"/>
    <n v="11"/>
    <x v="0"/>
    <m/>
    <m/>
    <m/>
    <m/>
    <m/>
    <m/>
    <m/>
    <m/>
    <m/>
    <m/>
    <s v="NETF"/>
    <s v="NETF"/>
    <m/>
    <m/>
  </r>
  <r>
    <s v="Senior Level Visit"/>
    <s v="Middle East"/>
    <s v="West Asia and Africa"/>
    <s v="Strategic Cooperative Partnership [战略合作伙伴关系]"/>
    <s v="Major Non-NATO Ally"/>
    <s v="CENTCOM"/>
    <s v="Egypt"/>
    <x v="18"/>
    <n v="11"/>
    <x v="3"/>
    <s v="Xu Qiliang"/>
    <m/>
    <s v="PLAAF Commander; CMC Member"/>
    <n v="8"/>
    <s v="Hosted"/>
    <s v="Air Force Commander"/>
    <m/>
    <m/>
    <m/>
    <m/>
    <m/>
    <m/>
    <m/>
    <m/>
  </r>
  <r>
    <s v="Senior Level Visit"/>
    <s v="Europe"/>
    <s v="Europe and Central Asia"/>
    <s v="Comprehensive Strategic Partnership [全面战略伙伴关系]"/>
    <s v="NATO"/>
    <s v="EUCOM"/>
    <s v="Greece"/>
    <x v="18"/>
    <n v="11"/>
    <x v="3"/>
    <s v="Ma Xiaotian"/>
    <m/>
    <s v="GSD DCGS"/>
    <n v="6"/>
    <s v="Hosted"/>
    <s v="Chief of Staff Army"/>
    <m/>
    <m/>
    <m/>
    <m/>
    <m/>
    <m/>
    <m/>
    <m/>
  </r>
  <r>
    <s v="Senior Level Visit"/>
    <s v="Northeast Asia"/>
    <s v="Asia"/>
    <s v="Mutually Beneficial Strategic Relationship [战略互惠关系]"/>
    <s v="Bilateral Defense Treaty"/>
    <s v="INDOPACOM"/>
    <s v="Japan"/>
    <x v="18"/>
    <n v="11"/>
    <x v="4"/>
    <s v="Liang Guanglie"/>
    <m/>
    <s v="Defense Minister; CMC Member"/>
    <n v="8"/>
    <s v="Abroad"/>
    <m/>
    <m/>
    <m/>
    <m/>
    <m/>
    <m/>
    <m/>
    <m/>
    <m/>
  </r>
  <r>
    <s v="Naval Port Call"/>
    <s v="Northeast Asia"/>
    <s v="Asia"/>
    <s v="Mutually Beneficial Strategic Relationship [战略互惠关系]"/>
    <s v="Bilateral Defense Treaty"/>
    <s v="INDOPACOM"/>
    <s v="Japan"/>
    <x v="18"/>
    <n v="11"/>
    <x v="8"/>
    <m/>
    <m/>
    <m/>
    <m/>
    <m/>
    <m/>
    <m/>
    <m/>
    <m/>
    <m/>
    <s v="NETF"/>
    <s v="2009-11 Zhenghe "/>
    <s v="North Sea Fleet"/>
    <s v="Zheng He"/>
  </r>
  <r>
    <s v="Senior Level Visit"/>
    <s v="Central Asia"/>
    <s v="Europe and Central Asia"/>
    <s v="Strategic Partnership [战略伙伴关系]"/>
    <s v="None"/>
    <s v="CENTCOM"/>
    <s v="Kazakhstan"/>
    <x v="18"/>
    <n v="11"/>
    <x v="3"/>
    <s v="Ma Xiaotian"/>
    <m/>
    <s v="GSD DCGS"/>
    <n v="6"/>
    <s v="Abroad"/>
    <s v="Commander Border Forces"/>
    <m/>
    <m/>
    <m/>
    <m/>
    <m/>
    <m/>
    <m/>
    <m/>
  </r>
  <r>
    <s v="Senior Level Visit"/>
    <s v="Europe"/>
    <s v="Europe and Central Asia"/>
    <s v="No Specific Relationship"/>
    <s v="None"/>
    <s v="EUCOM"/>
    <s v="Macedonia"/>
    <x v="18"/>
    <n v="11"/>
    <x v="3"/>
    <s v="Liang Guanglie"/>
    <m/>
    <s v="Defense Minister; CMC Member"/>
    <n v="8"/>
    <s v="Hosted"/>
    <s v="COGS"/>
    <m/>
    <m/>
    <m/>
    <m/>
    <m/>
    <m/>
    <m/>
    <m/>
  </r>
  <r>
    <s v="Senior Level Visit"/>
    <s v="Europe"/>
    <s v="Europe and Central Asia"/>
    <s v="Comprehensive Strategic Partnership [全面战略伙伴关系]"/>
    <s v="NATO"/>
    <s v="EUCOM"/>
    <s v="NATO"/>
    <x v="18"/>
    <n v="11"/>
    <x v="3"/>
    <m/>
    <m/>
    <m/>
    <m/>
    <s v="Hosted"/>
    <s v="NATO Deputy Secretary General"/>
    <m/>
    <m/>
    <m/>
    <m/>
    <m/>
    <m/>
    <m/>
    <m/>
  </r>
  <r>
    <s v="Senior Level Visit"/>
    <s v="Northeast Asia"/>
    <s v="Asia"/>
    <s v="Bilateral Defense Treaty"/>
    <s v="None"/>
    <s v="INDOPACOM"/>
    <s v="North Korea"/>
    <x v="18"/>
    <n v="11"/>
    <x v="4"/>
    <s v="Liang Guanglie"/>
    <m/>
    <s v="Defense Minister; CMC Member"/>
    <n v="8"/>
    <s v="Abroad"/>
    <m/>
    <m/>
    <m/>
    <m/>
    <m/>
    <m/>
    <m/>
    <m/>
    <m/>
  </r>
  <r>
    <s v="Senior Level Visit"/>
    <s v="South Asia"/>
    <s v="Asia"/>
    <s v="Strategic Partnership [战略伙伴关系]"/>
    <s v="Major Non-NATO Ally"/>
    <s v="CENTCOM"/>
    <s v="Pakistan"/>
    <x v="18"/>
    <n v="11"/>
    <x v="3"/>
    <s v="Xu Qiliang"/>
    <m/>
    <s v="PLAAF Commander; CMC Member"/>
    <n v="8"/>
    <s v="Hosted"/>
    <s v="Air Force Commander"/>
    <m/>
    <m/>
    <m/>
    <m/>
    <m/>
    <m/>
    <m/>
    <m/>
  </r>
  <r>
    <s v="Senior Level Visit"/>
    <s v="Southeast Asia"/>
    <s v="Asia"/>
    <s v="Strategic Cooperative Partnership [战略合作伙伴关系]"/>
    <s v="Bilateral Defense Treaty"/>
    <s v="INDOPACOM"/>
    <s v="Philippines"/>
    <x v="18"/>
    <n v="11"/>
    <x v="3"/>
    <s v="Xu Qiliang"/>
    <m/>
    <s v="PLAAF Commander; CMC Member"/>
    <n v="8"/>
    <s v="Hosted"/>
    <s v="Air Force Commander"/>
    <m/>
    <m/>
    <m/>
    <m/>
    <m/>
    <m/>
    <m/>
    <m/>
  </r>
  <r>
    <s v="Senior Level Visit"/>
    <s v="Europe"/>
    <s v="Europe and Central Asia"/>
    <s v="Comprehensive Friendly Cooperative Partnership [全面友好合作伙伴关系]"/>
    <s v="NATO"/>
    <s v="EUCOM"/>
    <s v="Romania"/>
    <x v="18"/>
    <n v="11"/>
    <x v="4"/>
    <s v="Ma Xiaotian"/>
    <m/>
    <s v="GSD DCGS"/>
    <n v="6"/>
    <s v="Abroad"/>
    <m/>
    <m/>
    <m/>
    <m/>
    <m/>
    <m/>
    <m/>
    <m/>
    <m/>
  </r>
  <r>
    <s v="Senior Level Visit"/>
    <s v="Russia"/>
    <s v="Europe and Central Asia"/>
    <s v="Strategic Partnership of Coordination [战略协作伙伴关系]"/>
    <s v="None"/>
    <s v="EUCOM"/>
    <s v="Russia"/>
    <x v="18"/>
    <n v="11"/>
    <x v="4"/>
    <s v="Guo Boxiong"/>
    <m/>
    <s v="CMC Vice Chairman"/>
    <n v="10"/>
    <s v="Abroad"/>
    <m/>
    <m/>
    <m/>
    <m/>
    <m/>
    <m/>
    <m/>
    <m/>
    <m/>
  </r>
  <r>
    <s v="Senior Level Visit"/>
    <s v="Africa"/>
    <s v="West Asia and Africa"/>
    <s v="No Specific Relationship"/>
    <s v="None"/>
    <s v="AFRICOM"/>
    <s v="Senegal"/>
    <x v="18"/>
    <n v="11"/>
    <x v="3"/>
    <s v="Liang Guanglie"/>
    <m/>
    <s v="Defense Minister; CMC Member"/>
    <n v="8"/>
    <s v="Hosted"/>
    <s v="COGS"/>
    <m/>
    <m/>
    <m/>
    <m/>
    <m/>
    <m/>
    <m/>
    <m/>
  </r>
  <r>
    <s v="Senior Level Visit"/>
    <s v="Africa"/>
    <s v="West Asia and Africa"/>
    <s v="Strategic Partnership [战略伙伴关系]"/>
    <s v="None"/>
    <s v="AFRICOM"/>
    <s v="South Africa"/>
    <x v="18"/>
    <n v="11"/>
    <x v="4"/>
    <s v="Liu Xiaojiang"/>
    <m/>
    <s v="PLAN Political Commissar"/>
    <n v="6"/>
    <s v="Abroad"/>
    <m/>
    <m/>
    <m/>
    <m/>
    <m/>
    <m/>
    <m/>
    <m/>
    <m/>
  </r>
  <r>
    <s v="Senior Level Visit"/>
    <s v="Northeast Asia"/>
    <s v="Asia"/>
    <s v="Strategic Cooperative Partnership [战略合作伙伴关系]"/>
    <s v="Bilateral Defense Treaty"/>
    <s v="INDOPACOM"/>
    <s v="South Korea"/>
    <x v="18"/>
    <n v="11"/>
    <x v="3"/>
    <s v="Xu Qiliang"/>
    <m/>
    <s v="PLAAF Commander; CMC Member"/>
    <n v="8"/>
    <s v="Hosted"/>
    <s v="Air Force Commander"/>
    <m/>
    <m/>
    <m/>
    <m/>
    <m/>
    <m/>
    <m/>
    <m/>
  </r>
  <r>
    <s v="Senior Level Visit"/>
    <s v="Africa"/>
    <s v="West Asia and Africa"/>
    <s v="No Specific Relationship"/>
    <s v="None"/>
    <s v="AFRICOM"/>
    <s v="Tanzania"/>
    <x v="18"/>
    <n v="11"/>
    <x v="4"/>
    <s v="Liu Xiaojiang"/>
    <m/>
    <s v="PLAN Political Commissar"/>
    <n v="6"/>
    <s v="Abroad"/>
    <m/>
    <m/>
    <m/>
    <m/>
    <m/>
    <m/>
    <m/>
    <m/>
    <m/>
  </r>
  <r>
    <s v="Senior Level Visit"/>
    <s v="Southeast Asia"/>
    <s v="Asia"/>
    <s v="Strategic Partnership [战略伙伴关系]"/>
    <s v="Bilateral Defense Treaty"/>
    <s v="INDOPACOM"/>
    <s v="Thailand"/>
    <x v="18"/>
    <n v="11"/>
    <x v="3"/>
    <s v="Liang Guanglie"/>
    <m/>
    <s v="Defense Minister; CMC Member"/>
    <n v="8"/>
    <s v="Hosted"/>
    <s v="Navy Commander"/>
    <m/>
    <m/>
    <m/>
    <m/>
    <m/>
    <m/>
    <m/>
    <m/>
  </r>
  <r>
    <s v="Senior Level Visit"/>
    <s v="Africa"/>
    <s v="West Asia and Africa"/>
    <s v="Comprehensive Strategic Cooperative Partnership [全面战略合作伙伴关系]"/>
    <s v="None"/>
    <s v="AFRICOM"/>
    <s v="Togo"/>
    <x v="18"/>
    <n v="11"/>
    <x v="3"/>
    <s v="Liang Guanglie"/>
    <m/>
    <s v="Defense Minister; CMC Member"/>
    <n v="8"/>
    <s v="Hosted"/>
    <s v="COGS"/>
    <m/>
    <m/>
    <m/>
    <m/>
    <m/>
    <m/>
    <m/>
    <m/>
  </r>
  <r>
    <s v="Senior Level Visit"/>
    <s v="South America"/>
    <s v="America and Oceania"/>
    <s v="No Specific Relationship"/>
    <s v="None"/>
    <s v="SOUTHCOM"/>
    <s v="Uruguay"/>
    <x v="18"/>
    <n v="11"/>
    <x v="3"/>
    <s v="Xu Qiliang"/>
    <m/>
    <s v="PLAAF Commander; CMC Member"/>
    <n v="8"/>
    <s v="Hosted"/>
    <s v="Air Force Commander"/>
    <m/>
    <m/>
    <m/>
    <m/>
    <m/>
    <m/>
    <m/>
    <m/>
  </r>
  <r>
    <s v="Senior Level Visit"/>
    <s v="Southeast Asia"/>
    <s v="Asia"/>
    <s v="Comprehensive Strategic Cooperative Partnership [全面战略合作伙伴关系]"/>
    <s v="None"/>
    <s v="INDOPACOM"/>
    <s v="Vietnam"/>
    <x v="18"/>
    <n v="11"/>
    <x v="3"/>
    <s v="Xu Qiliang"/>
    <m/>
    <s v="PLAAF Commander; CMC Member"/>
    <n v="8"/>
    <s v="Hosted"/>
    <s v="Air Force Commander"/>
    <m/>
    <m/>
    <m/>
    <m/>
    <m/>
    <m/>
    <m/>
    <m/>
  </r>
  <r>
    <s v="Senior Level Visit"/>
    <s v="Europe"/>
    <s v="Europe and Central Asia"/>
    <s v="No Specific Relationship"/>
    <s v="None"/>
    <s v="EUCOM"/>
    <s v="Armenia"/>
    <x v="18"/>
    <n v="12"/>
    <x v="3"/>
    <s v="Ma Xiaotian"/>
    <m/>
    <s v="GSD DCGS"/>
    <n v="6"/>
    <s v="Abroad"/>
    <s v="COGS"/>
    <m/>
    <m/>
    <m/>
    <m/>
    <m/>
    <m/>
    <m/>
    <m/>
  </r>
  <r>
    <s v="Naval Port Call"/>
    <s v="South America"/>
    <s v="America and Oceania"/>
    <s v="No Specific Relationship"/>
    <s v="None"/>
    <s v="SOUTHCOM"/>
    <s v="Ecuador"/>
    <x v="18"/>
    <n v="12"/>
    <x v="0"/>
    <m/>
    <m/>
    <m/>
    <m/>
    <m/>
    <m/>
    <m/>
    <m/>
    <m/>
    <m/>
    <s v="NETF"/>
    <s v="NETF"/>
    <m/>
    <m/>
  </r>
  <r>
    <s v="Senior Level Visit"/>
    <s v="Central Asia"/>
    <s v="Europe and Central Asia"/>
    <s v="Strategic Partnership [战略伙伴关系]"/>
    <s v="None"/>
    <s v="CENTCOM"/>
    <s v="Kazakhstan"/>
    <x v="18"/>
    <n v="12"/>
    <x v="3"/>
    <s v="Guo Boxiong"/>
    <m/>
    <s v="CMC Vice Chairman"/>
    <n v="10"/>
    <s v="Hosted"/>
    <s v="Defense Minister"/>
    <m/>
    <m/>
    <m/>
    <m/>
    <m/>
    <m/>
    <m/>
    <m/>
  </r>
  <r>
    <s v="Naval Port Call"/>
    <s v="Southeast Asia"/>
    <s v="Asia"/>
    <s v="Strategic Cooperative Partnership [战略合作伙伴关系]"/>
    <s v="None"/>
    <s v="INDOPACOM"/>
    <s v="Malaysia"/>
    <x v="18"/>
    <n v="12"/>
    <x v="0"/>
    <m/>
    <m/>
    <m/>
    <m/>
    <m/>
    <m/>
    <m/>
    <m/>
    <m/>
    <m/>
    <s v="ETF"/>
    <s v="ETF-03"/>
    <s v="East Sea Fleet"/>
    <s v="FFG529 Zhoushan, FFG530 Xuzhou, AOR886 Qiandao Hu"/>
  </r>
  <r>
    <s v="Senior Level Visit"/>
    <s v="South Asia"/>
    <s v="Asia"/>
    <s v="Strategic Partnership [战略伙伴关系]"/>
    <s v="Major Non-NATO Ally"/>
    <s v="CENTCOM"/>
    <s v="Pakistan"/>
    <x v="18"/>
    <n v="12"/>
    <x v="3"/>
    <s v="Liang Guanglie"/>
    <m/>
    <s v="Defense Minister; CMC Member"/>
    <n v="8"/>
    <s v="Hosted"/>
    <s v="Chief of Naval Staff"/>
    <m/>
    <m/>
    <m/>
    <m/>
    <s v="ETF"/>
    <m/>
    <m/>
    <m/>
  </r>
  <r>
    <s v="Naval Port Call"/>
    <s v="South America"/>
    <s v="America and Oceania"/>
    <s v="Strategic Partnership [战略伙伴关系]"/>
    <s v="None"/>
    <s v="SOUTHCOM"/>
    <s v="Peru"/>
    <x v="18"/>
    <n v="12"/>
    <x v="0"/>
    <m/>
    <m/>
    <m/>
    <m/>
    <m/>
    <m/>
    <m/>
    <m/>
    <m/>
    <m/>
    <s v="NETF"/>
    <s v="NETF"/>
    <m/>
    <m/>
  </r>
  <r>
    <s v="Senior Level Visit"/>
    <s v="Southeast Asia"/>
    <s v="Asia"/>
    <s v="Strategic Cooperative Partnership [战略合作伙伴关系]"/>
    <s v="Bilateral Defense Treaty"/>
    <s v="INDOPACOM"/>
    <s v="Philippines"/>
    <x v="18"/>
    <n v="12"/>
    <x v="3"/>
    <s v="Liang Guanglie"/>
    <m/>
    <s v="Defense Minister; CMC Member"/>
    <n v="8"/>
    <s v="Hosted"/>
    <s v="COGS"/>
    <m/>
    <m/>
    <m/>
    <m/>
    <m/>
    <m/>
    <m/>
    <m/>
  </r>
  <r>
    <s v="Senior Level Visit"/>
    <s v="Europe"/>
    <s v="Europe and Central Asia"/>
    <s v="No Specific Relationship"/>
    <s v="NATO"/>
    <s v="EUCOM"/>
    <s v="Poland"/>
    <x v="18"/>
    <n v="12"/>
    <x v="3"/>
    <s v="Xu Caihou"/>
    <m/>
    <s v="CMC Vice Chairman"/>
    <n v="10"/>
    <s v="Hosted"/>
    <s v="Defense Minister"/>
    <m/>
    <m/>
    <m/>
    <m/>
    <m/>
    <m/>
    <m/>
    <m/>
  </r>
  <r>
    <s v="Senior Level Visit"/>
    <s v="Europe"/>
    <s v="Europe and Central Asia"/>
    <s v="Comprehensive Friendly Cooperative Partnership [全面友好合作伙伴关系]"/>
    <s v="NATO"/>
    <s v="EUCOM"/>
    <s v="Romania"/>
    <x v="18"/>
    <n v="12"/>
    <x v="3"/>
    <s v="Ma Xiaotian"/>
    <m/>
    <s v="GSD DCGS"/>
    <n v="6"/>
    <s v="Hosted"/>
    <s v="Head of Department of International Military Cooperation, Ministry of Defense"/>
    <m/>
    <m/>
    <m/>
    <m/>
    <m/>
    <m/>
    <m/>
    <m/>
  </r>
  <r>
    <s v="Naval Port Call"/>
    <s v="Southeast Asia"/>
    <s v="Asia"/>
    <s v="No Specific Relationship"/>
    <s v="None"/>
    <s v="INDOPACOM"/>
    <s v="Singapore"/>
    <x v="18"/>
    <n v="12"/>
    <x v="0"/>
    <m/>
    <m/>
    <m/>
    <m/>
    <m/>
    <m/>
    <m/>
    <m/>
    <m/>
    <m/>
    <s v="ETF"/>
    <s v="ETF-03"/>
    <s v="East Sea Fleet"/>
    <s v="FFG529 Zhoushan, FFG530 Xuzhou, AOR886 Qiandao Hu"/>
  </r>
  <r>
    <s v="Naval Port Call"/>
    <s v="Southeast Asia"/>
    <s v="Asia"/>
    <s v="No Specific Relationship"/>
    <s v="None"/>
    <s v="INDOPACOM"/>
    <s v="Singapore"/>
    <x v="18"/>
    <n v="12"/>
    <x v="0"/>
    <m/>
    <m/>
    <m/>
    <m/>
    <m/>
    <m/>
    <m/>
    <m/>
    <m/>
    <m/>
    <s v="ETF"/>
    <s v="ETF-03"/>
    <s v="East Sea Fleet"/>
    <s v="Zhoushan 529 FFG, Xuzhou 530 FFG, Qiandaohu 886"/>
  </r>
  <r>
    <s v="Senior Level Visit"/>
    <s v="Europe"/>
    <s v="Europe and Central Asia"/>
    <s v="No Specific Relationship"/>
    <s v="NATO"/>
    <s v="EUCOM"/>
    <s v="Austria"/>
    <x v="19"/>
    <n v="1"/>
    <x v="3"/>
    <s v="Liang Guanglie"/>
    <m/>
    <s v="Defense Minister; CMC Member"/>
    <n v="8"/>
    <s v="Hosted"/>
    <s v="Minister of Defense and Chief of Defense Staff of the Armed Forces"/>
    <m/>
    <m/>
    <m/>
    <m/>
    <m/>
    <m/>
    <m/>
    <m/>
  </r>
  <r>
    <s v="Naval Port Call"/>
    <s v="Middle East"/>
    <s v="West Asia and Africa"/>
    <s v="No Specific Relationship"/>
    <s v="None"/>
    <s v="CENTCOM"/>
    <s v="Djibouti"/>
    <x v="19"/>
    <n v="1"/>
    <x v="9"/>
    <m/>
    <m/>
    <m/>
    <m/>
    <m/>
    <m/>
    <m/>
    <m/>
    <m/>
    <m/>
    <s v="ETF"/>
    <s v="ETF-04"/>
    <s v="East Sea Fleet"/>
    <s v="FFG525 Ma'anshan, FFG526 Wenzhou, AOR886 Qiandao Hu"/>
  </r>
  <r>
    <s v="Senior Level Visit"/>
    <s v="South Asia"/>
    <s v="Asia"/>
    <s v="Strategic Partnership for Peace and Prosperity [战略伙伴关系]"/>
    <s v="None"/>
    <s v="INDOPACOM"/>
    <s v="India"/>
    <x v="19"/>
    <n v="1"/>
    <x v="3"/>
    <s v="Liang Guanglie"/>
    <m/>
    <s v="Defense Minister; CMC Member"/>
    <n v="8"/>
    <s v="Hosted"/>
    <s v="Defense Secretary"/>
    <m/>
    <m/>
    <m/>
    <m/>
    <m/>
    <m/>
    <m/>
    <m/>
  </r>
  <r>
    <s v="Senior Level Visit"/>
    <s v="Europe"/>
    <s v="Europe and Central Asia"/>
    <s v="Comprehensive Strategic Partnership [全面战略伙伴关系]"/>
    <s v="NATO"/>
    <s v="EUCOM"/>
    <s v="Italy"/>
    <x v="19"/>
    <n v="1"/>
    <x v="3"/>
    <s v="Guo Boxiong"/>
    <m/>
    <s v="CMC Vice Chairman"/>
    <n v="10"/>
    <s v="Hosted"/>
    <s v="Secretary General of Defense and National Armaments Director"/>
    <m/>
    <m/>
    <m/>
    <m/>
    <m/>
    <m/>
    <m/>
    <m/>
  </r>
  <r>
    <s v="Naval Port Call"/>
    <s v="Middle East"/>
    <s v="West Asia and Africa"/>
    <s v="No Specific Relationship"/>
    <s v="None"/>
    <s v="CENTCOM"/>
    <s v="Oman"/>
    <x v="19"/>
    <n v="1"/>
    <x v="9"/>
    <m/>
    <m/>
    <m/>
    <m/>
    <m/>
    <m/>
    <m/>
    <m/>
    <m/>
    <m/>
    <s v="ETF"/>
    <s v="ETF-04"/>
    <s v="East Sea Fleet"/>
    <s v="FFG525 Ma'anshan, FFG526 Wenzhou, AOR886 Qiandao Hu"/>
  </r>
  <r>
    <s v="Senior Level Visit"/>
    <s v="South Asia"/>
    <s v="Asia"/>
    <s v="Strategic Partnership [战略伙伴关系]"/>
    <s v="Major Non-NATO Ally"/>
    <s v="CENTCOM"/>
    <s v="Pakistan"/>
    <x v="19"/>
    <n v="1"/>
    <x v="4"/>
    <s v="Ma Xiaotian"/>
    <m/>
    <s v="GSD DCGS"/>
    <n v="6"/>
    <s v="Abroad"/>
    <m/>
    <m/>
    <m/>
    <m/>
    <m/>
    <m/>
    <m/>
    <m/>
    <m/>
  </r>
  <r>
    <s v="Senior Level Visit"/>
    <s v="Europe"/>
    <s v="Europe and Central Asia"/>
    <s v="Comprehensive Friendly Cooperative Partnership [全面友好合作伙伴关系]"/>
    <s v="NATO"/>
    <s v="EUCOM"/>
    <s v="Romania"/>
    <x v="19"/>
    <n v="1"/>
    <x v="4"/>
    <s v="Ma Xiaotian"/>
    <m/>
    <s v="GSD DCGS"/>
    <n v="6"/>
    <s v="Abroad"/>
    <m/>
    <m/>
    <m/>
    <m/>
    <m/>
    <m/>
    <m/>
    <m/>
    <m/>
  </r>
  <r>
    <s v="Senior Level Visit"/>
    <s v="Southeast Asia"/>
    <s v="Asia"/>
    <s v="No Specific Relationship"/>
    <s v="None"/>
    <s v="INDOPACOM"/>
    <s v="Singapore"/>
    <x v="19"/>
    <n v="1"/>
    <x v="3"/>
    <s v="Liang Guanglie"/>
    <m/>
    <s v="Defense Minister; CMC Member"/>
    <n v="8"/>
    <s v="Hosted"/>
    <s v="Chief of Army"/>
    <m/>
    <m/>
    <m/>
    <m/>
    <m/>
    <m/>
    <m/>
    <m/>
  </r>
  <r>
    <s v="Naval Port Call"/>
    <s v="South Asia"/>
    <s v="Asia"/>
    <s v="Comprehensive Cooperative Partnership [全面合作伙伴关系]"/>
    <s v="None"/>
    <s v="INDOPACOM"/>
    <s v="Sri Lanka"/>
    <x v="19"/>
    <n v="1"/>
    <x v="0"/>
    <m/>
    <m/>
    <m/>
    <m/>
    <m/>
    <m/>
    <m/>
    <m/>
    <m/>
    <m/>
    <s v="ETF"/>
    <s v="ETF-04"/>
    <s v="East Sea Fleet"/>
    <s v="FFG525 Ma'anshan, FFG526 Wenzhou, AOR886 Qiandao Hu"/>
  </r>
  <r>
    <s v="Senior Level Visit"/>
    <s v="Europe"/>
    <s v="Europe and Central Asia"/>
    <s v="Comprehensive Strategic Partnership [全面战略伙伴关系]"/>
    <s v="NATO"/>
    <s v="EUCOM"/>
    <s v="United Kingdom"/>
    <x v="19"/>
    <n v="1"/>
    <x v="4"/>
    <s v="Ma Xiaotian"/>
    <m/>
    <s v="GSD DCGS"/>
    <n v="6"/>
    <s v="Abroad"/>
    <m/>
    <m/>
    <m/>
    <m/>
    <m/>
    <m/>
    <m/>
    <m/>
    <m/>
  </r>
  <r>
    <s v="Senior Level Visit"/>
    <s v="Africa"/>
    <s v="West Asia and Africa"/>
    <s v="Comprehensive Strategic Partnership [全面战略伙伴关系]"/>
    <s v="None"/>
    <s v="AFRICOM"/>
    <s v="DR Congo"/>
    <x v="19"/>
    <n v="2"/>
    <x v="4"/>
    <s v="Ma Xiaotian"/>
    <m/>
    <s v="GSD DCGS"/>
    <n v="6"/>
    <s v="Abroad"/>
    <m/>
    <m/>
    <m/>
    <m/>
    <m/>
    <m/>
    <m/>
    <m/>
    <m/>
  </r>
  <r>
    <s v="Senior Level Visit"/>
    <s v="Middle East"/>
    <s v="West Asia and Africa"/>
    <s v="Strategic Cooperative Partnership [战略合作伙伴关系]"/>
    <s v="Major Non-NATO Ally"/>
    <s v="CENTCOM"/>
    <s v="Egypt"/>
    <x v="19"/>
    <n v="2"/>
    <x v="4"/>
    <s v="Ma Xiaotian"/>
    <m/>
    <s v="GSD DCGS"/>
    <n v="6"/>
    <s v="Abroad"/>
    <m/>
    <m/>
    <m/>
    <m/>
    <m/>
    <m/>
    <m/>
    <m/>
    <m/>
  </r>
  <r>
    <s v="Senior Level Visit"/>
    <s v="Northeast Asia"/>
    <s v="Asia"/>
    <s v="Mutually Beneficial Strategic Relationship [战略互惠关系]"/>
    <s v="Bilateral Defense Treaty"/>
    <s v="INDOPACOM"/>
    <s v="Japan"/>
    <x v="19"/>
    <n v="2"/>
    <x v="3"/>
    <s v="Liang Guanglie"/>
    <m/>
    <s v="Defense Minister; CMC Member"/>
    <n v="8"/>
    <s v="Hosted"/>
    <s v="Chief of Staff of Ground Self Defense Force (GSDF)"/>
    <m/>
    <m/>
    <m/>
    <m/>
    <m/>
    <m/>
    <m/>
    <m/>
  </r>
  <r>
    <s v="Senior Level Visit"/>
    <s v="Africa"/>
    <s v="West Asia and Africa"/>
    <s v="No Specific Relationship"/>
    <s v="None"/>
    <s v="AFRICOM"/>
    <s v="Kenya"/>
    <x v="19"/>
    <n v="2"/>
    <x v="4"/>
    <s v="Ma Xiaotian"/>
    <m/>
    <s v="GSD DCGS"/>
    <n v="6"/>
    <s v="Abroad"/>
    <m/>
    <m/>
    <m/>
    <m/>
    <m/>
    <m/>
    <m/>
    <m/>
    <m/>
  </r>
  <r>
    <s v="Senior Level Visit"/>
    <s v="Europe"/>
    <s v="Europe and Central Asia"/>
    <s v="Comprehensive Strategic Partnership [全面战略伙伴关系]"/>
    <s v="NATO"/>
    <s v="EUCOM"/>
    <s v="United Kingdom"/>
    <x v="19"/>
    <n v="2"/>
    <x v="4"/>
    <s v="Ma Xiaotian"/>
    <m/>
    <s v="GSD DCGS"/>
    <n v="6"/>
    <s v="Abroad"/>
    <s v="Chief of Defense Staff"/>
    <m/>
    <m/>
    <m/>
    <m/>
    <m/>
    <m/>
    <m/>
    <m/>
  </r>
  <r>
    <s v="Naval Port Call"/>
    <s v="Middle East"/>
    <s v="West Asia and Africa"/>
    <s v="No Specific Relationship"/>
    <s v="None"/>
    <s v="CENTCOM"/>
    <s v="Yemen"/>
    <x v="19"/>
    <n v="2"/>
    <x v="9"/>
    <m/>
    <m/>
    <m/>
    <m/>
    <m/>
    <m/>
    <m/>
    <m/>
    <m/>
    <m/>
    <s v="ETF"/>
    <s v="ETF-04"/>
    <s v="East Sea Fleet"/>
    <s v="FFG525 Ma'anshan, FFG526 Wenzhou, AOR886 Qiandao Hu"/>
  </r>
  <r>
    <s v="Senior Level Visit"/>
    <s v="South Asia"/>
    <s v="Europe and Central Asia"/>
    <s v="Comprehensive Cooperative Partnership [全面合作伙伴关系]"/>
    <s v="Major Non-NATO Ally"/>
    <s v="CENTCOM"/>
    <s v="Afghanistan"/>
    <x v="19"/>
    <n v="3"/>
    <x v="3"/>
    <s v="Liang Guanglie"/>
    <m/>
    <s v="Defense Minister; CMC Member"/>
    <n v="8"/>
    <s v="Hosted"/>
    <s v="Defense Minister"/>
    <m/>
    <m/>
    <m/>
    <m/>
    <m/>
    <m/>
    <m/>
    <m/>
  </r>
  <r>
    <s v="Senior Level Visit"/>
    <s v="Middle East"/>
    <s v="West Asia and Africa"/>
    <s v="Strategic Cooperative Partnership [战略合作伙伴关系]"/>
    <s v="Major Non-NATO Ally"/>
    <s v="CENTCOM"/>
    <s v="Egypt"/>
    <x v="19"/>
    <n v="3"/>
    <x v="4"/>
    <s v="Ma Xiaotian"/>
    <m/>
    <s v="GSD DCGS"/>
    <n v="6"/>
    <s v="Abroad"/>
    <s v="Defense Minister"/>
    <m/>
    <m/>
    <m/>
    <m/>
    <m/>
    <m/>
    <m/>
    <m/>
  </r>
  <r>
    <s v="Senior Level Visit"/>
    <s v="Africa"/>
    <s v="West Asia and Africa"/>
    <s v="No Specific Relationship"/>
    <s v="None"/>
    <s v="AFRICOM"/>
    <s v="Ghana"/>
    <x v="19"/>
    <n v="3"/>
    <x v="3"/>
    <s v="Liang Guanglie"/>
    <m/>
    <s v="Defense Minister; CMC Member"/>
    <n v="8"/>
    <s v="Hosted"/>
    <s v="Defense Minister"/>
    <m/>
    <m/>
    <m/>
    <m/>
    <m/>
    <m/>
    <m/>
    <m/>
  </r>
  <r>
    <s v="Senior Level Visit"/>
    <s v="South Asia"/>
    <s v="Asia"/>
    <s v="All-Round Strategic Partnership  [全面合作伙伴关系]"/>
    <s v="None"/>
    <s v="INDOPACOM"/>
    <s v="Nepal"/>
    <x v="19"/>
    <n v="3"/>
    <x v="3"/>
    <s v="Liang Guanglie"/>
    <m/>
    <s v="Defense Minister; CMC Member"/>
    <n v="8"/>
    <s v="Hosted"/>
    <s v="Defense Minister"/>
    <m/>
    <m/>
    <m/>
    <m/>
    <m/>
    <m/>
    <m/>
    <m/>
  </r>
  <r>
    <s v="Naval Port Call"/>
    <s v="South Asia"/>
    <s v="Asia"/>
    <s v="Strategic Partnership [战略伙伴关系]"/>
    <s v="Major Non-NATO Ally"/>
    <s v="CENTCOM"/>
    <s v="Pakistan"/>
    <x v="19"/>
    <n v="3"/>
    <x v="10"/>
    <m/>
    <m/>
    <m/>
    <m/>
    <m/>
    <m/>
    <m/>
    <m/>
    <m/>
    <m/>
    <s v="ETF"/>
    <s v="ETF-05"/>
    <s v="South Sea Fleet"/>
    <s v="DDG168 Guangzhou, FFG568 Hengyang, AOR887 Weishan Hu; uncertain, could also be ETF-4"/>
  </r>
  <r>
    <s v="Military Exercise"/>
    <s v="South Asia"/>
    <s v="Asia"/>
    <s v="Strategic Partnership [战略伙伴关系]"/>
    <s v="Major Non-NATO Ally"/>
    <s v="CENTCOM"/>
    <s v="Pakistan"/>
    <x v="19"/>
    <n v="3"/>
    <x v="5"/>
    <m/>
    <m/>
    <m/>
    <m/>
    <m/>
    <m/>
    <s v="Anti-piracy"/>
    <s v="Unknown Karachi 2010"/>
    <s v="Navy"/>
    <s v=" 7-13 March 2010, anti-piracy ETF joint drills and friendly visit, Six Years p. 129"/>
    <m/>
    <m/>
    <m/>
    <m/>
  </r>
  <r>
    <s v="Senior Level Visit"/>
    <s v="Southeast Asia"/>
    <s v="Asia"/>
    <s v="Strategic Partnership [战略伙伴关系]"/>
    <s v="Bilateral Defense Treaty"/>
    <s v="INDOPACOM"/>
    <s v="Thailand"/>
    <x v="19"/>
    <n v="3"/>
    <x v="3"/>
    <s v="Liang Guanglie"/>
    <m/>
    <s v="Defense Minister; CMC Member"/>
    <n v="8"/>
    <s v="Hosted"/>
    <s v="CO of National Defense Studies Institute"/>
    <m/>
    <m/>
    <m/>
    <m/>
    <m/>
    <m/>
    <m/>
    <m/>
  </r>
  <r>
    <s v="Naval Port Call"/>
    <s v="Middle East"/>
    <s v="West Asia and Africa"/>
    <s v="No Specific Relationship"/>
    <s v="None"/>
    <s v="CENTCOM"/>
    <s v="United Arab Emirates"/>
    <x v="19"/>
    <n v="3"/>
    <x v="0"/>
    <m/>
    <m/>
    <m/>
    <m/>
    <m/>
    <m/>
    <m/>
    <m/>
    <m/>
    <m/>
    <s v="ETF"/>
    <s v="ETF-04"/>
    <s v="East Sea Fleet"/>
    <s v="FFG525 Ma'anshan, FFG526 Wenzhou, AOR886 Qiandao Hu"/>
  </r>
  <r>
    <s v="Senior Level Visit"/>
    <s v="Southeast Asia"/>
    <s v="Asia"/>
    <s v="Comprehensive Strategic Cooperative Partnership [全面战略合作伙伴关系]"/>
    <s v="None"/>
    <s v="INDOPACOM"/>
    <s v="Vietnam"/>
    <x v="19"/>
    <n v="3"/>
    <x v="3"/>
    <s v="Chen Bingde"/>
    <m/>
    <s v="GSD Commander; CMC Member"/>
    <n v="8"/>
    <s v="Hosted"/>
    <s v="Deputy Defense Minister"/>
    <m/>
    <m/>
    <m/>
    <m/>
    <m/>
    <m/>
    <m/>
    <m/>
  </r>
  <r>
    <s v="Naval Port Call"/>
    <s v="Middle East"/>
    <s v="West Asia and Africa"/>
    <s v="No Specific Relationship"/>
    <s v="None"/>
    <s v="CENTCOM"/>
    <s v="Yemen"/>
    <x v="19"/>
    <n v="3"/>
    <x v="9"/>
    <m/>
    <m/>
    <m/>
    <m/>
    <m/>
    <m/>
    <m/>
    <m/>
    <m/>
    <m/>
    <s v="ETF"/>
    <s v="ETF-04"/>
    <s v="East Sea Fleet"/>
    <s v="FFG525 Ma'anshan, FFG526 Wenzhou, AOR886 Qiandao Hu; uncertain, could also be ETF-5"/>
  </r>
  <r>
    <s v="Senior Level Visit"/>
    <s v="South America"/>
    <s v="America and Oceania"/>
    <s v="Strategic Partnership [战略伙伴关系]"/>
    <s v="Major Non-NATO Ally"/>
    <s v="SOUTHCOM"/>
    <s v="Argentina"/>
    <x v="19"/>
    <n v="4"/>
    <x v="4"/>
    <s v="Ma Xiaotian"/>
    <m/>
    <s v="GSD DCGS"/>
    <n v="6"/>
    <s v="Abroad"/>
    <m/>
    <m/>
    <m/>
    <m/>
    <m/>
    <m/>
    <m/>
    <m/>
    <m/>
  </r>
  <r>
    <s v="Senior Level Visit"/>
    <s v="North America"/>
    <s v="America and Oceania"/>
    <s v="Strategic Partnership [战略伙伴关系]"/>
    <s v="NATO"/>
    <s v="NORTHCOM"/>
    <s v="Canada"/>
    <x v="19"/>
    <n v="4"/>
    <x v="4"/>
    <s v="Ma Xiaotian"/>
    <m/>
    <s v="GSD DCGS"/>
    <n v="6"/>
    <s v="Abroad"/>
    <m/>
    <m/>
    <m/>
    <m/>
    <m/>
    <m/>
    <m/>
    <m/>
    <m/>
  </r>
  <r>
    <s v="Senior Level Visit"/>
    <s v="Africa"/>
    <s v="West Asia and Africa"/>
    <s v="No Specific Relationship"/>
    <s v="None"/>
    <s v="AFRICOM"/>
    <s v="Congo"/>
    <x v="19"/>
    <n v="4"/>
    <x v="3"/>
    <s v="Liang Guanglie"/>
    <m/>
    <s v="Defense Minister; CMC Member"/>
    <n v="8"/>
    <s v="Hosted"/>
    <s v="Minister of National Defense"/>
    <m/>
    <m/>
    <m/>
    <m/>
    <m/>
    <m/>
    <m/>
    <m/>
  </r>
  <r>
    <s v="Senior Level Visit"/>
    <s v="South America"/>
    <s v="America and Oceania"/>
    <s v="No Specific Relationship"/>
    <s v="None"/>
    <s v="SOUTHCOM"/>
    <s v="Cuba"/>
    <x v="19"/>
    <n v="4"/>
    <x v="3"/>
    <s v="Chen Bingde"/>
    <m/>
    <s v="GSD Commander; CMC Member"/>
    <n v="8"/>
    <s v="Hosted"/>
    <s v="COGS"/>
    <m/>
    <m/>
    <m/>
    <m/>
    <m/>
    <m/>
    <m/>
    <m/>
  </r>
  <r>
    <s v="Senior Level Visit"/>
    <s v="Africa"/>
    <s v="West Asia and Africa"/>
    <s v="No Specific Relationship"/>
    <s v="None"/>
    <s v="AFRICOM"/>
    <s v="Gabon"/>
    <x v="19"/>
    <n v="4"/>
    <x v="4"/>
    <s v="Ma Xiaotian"/>
    <m/>
    <s v="GSD DCGS"/>
    <n v="6"/>
    <s v="Abroad"/>
    <m/>
    <m/>
    <m/>
    <m/>
    <m/>
    <m/>
    <m/>
    <m/>
    <m/>
  </r>
  <r>
    <s v="Senior Level Visit"/>
    <s v="Central Asia"/>
    <s v="Europe and Central Asia"/>
    <s v="Strategic Partnership [战略伙伴关系]"/>
    <s v="None"/>
    <s v="CENTCOM"/>
    <s v="Kazakhstan"/>
    <x v="19"/>
    <n v="4"/>
    <x v="4"/>
    <s v="Ma Xiaotian"/>
    <m/>
    <s v="GSD DCGS"/>
    <n v="6"/>
    <s v="Abroad"/>
    <m/>
    <m/>
    <m/>
    <m/>
    <m/>
    <m/>
    <m/>
    <m/>
    <m/>
  </r>
  <r>
    <s v="Senior Level Visit"/>
    <s v="Southeast Asia"/>
    <s v="Asia"/>
    <s v="Strategic Cooperative Partnership [战略合作伙伴关系]"/>
    <s v="None"/>
    <s v="INDOPACOM"/>
    <s v="Malaysia"/>
    <x v="19"/>
    <n v="4"/>
    <x v="4"/>
    <s v="Ma Xiaotian"/>
    <m/>
    <s v="GSD DCGS"/>
    <n v="6"/>
    <s v="Abroad"/>
    <m/>
    <m/>
    <m/>
    <m/>
    <m/>
    <m/>
    <m/>
    <m/>
    <m/>
  </r>
  <r>
    <s v="Senior Level Visit"/>
    <s v="Africa"/>
    <s v="West Asia and Africa"/>
    <s v="No Specific Relationship"/>
    <s v="None"/>
    <s v="AFRICOM"/>
    <s v="Mozambique"/>
    <x v="19"/>
    <n v="4"/>
    <x v="4"/>
    <s v="Ma Xiaotian"/>
    <m/>
    <s v="GSD DCGS"/>
    <n v="6"/>
    <s v="Abroad"/>
    <m/>
    <m/>
    <m/>
    <m/>
    <m/>
    <m/>
    <m/>
    <m/>
    <m/>
  </r>
  <r>
    <s v="Naval Port Call"/>
    <s v="Middle East"/>
    <s v="West Asia and Africa"/>
    <s v="No Specific Relationship"/>
    <s v="None"/>
    <s v="CENTCOM"/>
    <s v="Oman"/>
    <x v="19"/>
    <n v="4"/>
    <x v="9"/>
    <m/>
    <m/>
    <m/>
    <m/>
    <m/>
    <m/>
    <m/>
    <m/>
    <m/>
    <m/>
    <s v="ETF"/>
    <s v="ETF-04"/>
    <s v="East Sea Fleet"/>
    <s v="FFG525 Ma'anshan, FFG526 Wenzhou, AOR886 Qiandao Hu; uncertain, could also be ETF-5"/>
  </r>
  <r>
    <s v="Senior Level Visit"/>
    <s v="South America"/>
    <s v="America and Oceania"/>
    <s v="Strategic Partnership [战略伙伴关系]"/>
    <s v="None"/>
    <s v="SOUTHCOM"/>
    <s v="Peru"/>
    <x v="19"/>
    <n v="4"/>
    <x v="3"/>
    <s v="Liang Guanglie"/>
    <m/>
    <s v="Defense Minister; CMC Member"/>
    <n v="8"/>
    <s v="Hosted"/>
    <s v="Minister of Defense"/>
    <m/>
    <m/>
    <m/>
    <m/>
    <m/>
    <m/>
    <m/>
    <m/>
  </r>
  <r>
    <s v="Naval Port Call"/>
    <s v="Southeast Asia"/>
    <s v="Asia"/>
    <s v="Strategic Cooperative Partnership [战略合作伙伴关系]"/>
    <s v="Bilateral Defense Treaty"/>
    <s v="INDOPACOM"/>
    <s v="Philippines"/>
    <x v="19"/>
    <n v="4"/>
    <x v="0"/>
    <m/>
    <m/>
    <m/>
    <m/>
    <m/>
    <m/>
    <m/>
    <m/>
    <m/>
    <m/>
    <s v="ETF"/>
    <s v="ETF-04"/>
    <s v="East Sea Fleet"/>
    <s v="FFG525 Ma'anshan, FFG526 Wenzhou, AOR886 Qiandao Hu"/>
  </r>
  <r>
    <s v="Senior Level Visit"/>
    <s v="Southeast Asia"/>
    <s v="Asia"/>
    <s v="No Specific Relationship"/>
    <s v="None"/>
    <s v="INDOPACOM"/>
    <s v="Singapore"/>
    <x v="19"/>
    <n v="4"/>
    <x v="3"/>
    <s v="Chen Bingde"/>
    <m/>
    <s v="GSD Commander; CMC Member"/>
    <n v="8"/>
    <s v="Hosted"/>
    <s v="Deputy Prime Minister and Defense Minister"/>
    <m/>
    <m/>
    <m/>
    <m/>
    <m/>
    <m/>
    <m/>
    <m/>
  </r>
  <r>
    <s v="Senior Level Visit"/>
    <s v="Africa"/>
    <s v="West Asia and Africa"/>
    <s v="No Specific Relationship"/>
    <s v="None"/>
    <s v="AFRICOM"/>
    <s v="Uganda"/>
    <x v="19"/>
    <n v="4"/>
    <x v="3"/>
    <s v="Liang Guanglie"/>
    <m/>
    <s v="Defense Minister; CMC Member"/>
    <n v="8"/>
    <s v="Hosted"/>
    <s v="Defense Minister"/>
    <m/>
    <m/>
    <m/>
    <m/>
    <m/>
    <m/>
    <m/>
    <m/>
  </r>
  <r>
    <s v="Senior Level Visit"/>
    <s v="South America"/>
    <s v="America and Oceania"/>
    <s v="Strategic Development Partnership [战略发展伙伴关系]"/>
    <s v="None"/>
    <s v="SOUTHCOM"/>
    <s v="Venezuela"/>
    <x v="19"/>
    <n v="4"/>
    <x v="4"/>
    <s v="Fang Fenghui"/>
    <m/>
    <s v="Beijing MR Commander"/>
    <n v="6"/>
    <s v="Abroad"/>
    <m/>
    <m/>
    <m/>
    <m/>
    <m/>
    <m/>
    <m/>
    <m/>
    <m/>
  </r>
  <r>
    <s v="Senior Level Visit"/>
    <s v="Southeast Asia"/>
    <s v="Asia"/>
    <s v="Comprehensive Strategic Cooperative Partnership [全面战略合作伙伴关系]"/>
    <s v="None"/>
    <s v="INDOPACOM"/>
    <s v="Vietnam"/>
    <x v="19"/>
    <n v="4"/>
    <x v="3"/>
    <s v="Liang Guanglie"/>
    <m/>
    <s v="Defense Minister; CMC Member"/>
    <n v="8"/>
    <s v="Hosted"/>
    <s v="Defense Minister"/>
    <m/>
    <m/>
    <m/>
    <m/>
    <m/>
    <m/>
    <m/>
    <m/>
  </r>
  <r>
    <s v="Senior Level Visit"/>
    <s v="Africa"/>
    <s v="West Asia and Africa"/>
    <s v="Strategic Partnership [战略伙伴关系]"/>
    <s v="None"/>
    <s v="AFRICOM"/>
    <s v="Angola"/>
    <x v="19"/>
    <n v="5"/>
    <x v="4"/>
    <s v="Chen Bingde"/>
    <m/>
    <s v="GSD Commander; CMC Member"/>
    <n v="8"/>
    <s v="Abroad"/>
    <m/>
    <m/>
    <m/>
    <m/>
    <m/>
    <m/>
    <m/>
    <m/>
    <m/>
  </r>
  <r>
    <s v="Senior Level Visit"/>
    <s v="Oceania"/>
    <s v="America and Oceania"/>
    <s v="No Specific Relationship"/>
    <s v="ANZUS Treaty"/>
    <s v="INDOPACOM"/>
    <s v="Australia"/>
    <x v="19"/>
    <n v="5"/>
    <x v="4"/>
    <s v="Guo Boxiong"/>
    <m/>
    <s v="CMC Vice Chairman"/>
    <n v="10"/>
    <s v="Abroad"/>
    <s v="Chief of ADF Air Force"/>
    <m/>
    <m/>
    <m/>
    <m/>
    <m/>
    <m/>
    <m/>
    <m/>
  </r>
  <r>
    <s v="Senior Level Visit"/>
    <s v="Europe"/>
    <s v="Europe and Central Asia"/>
    <s v="Strategic Partnership [战略伙伴关系]"/>
    <s v="NATO"/>
    <s v="EUCOM"/>
    <s v="Belarus"/>
    <x v="19"/>
    <n v="5"/>
    <x v="3"/>
    <s v="Xu Caihou"/>
    <m/>
    <s v="CMC Vice Chairman"/>
    <n v="10"/>
    <s v="Hosted"/>
    <s v="Defense Minister"/>
    <m/>
    <m/>
    <m/>
    <m/>
    <m/>
    <m/>
    <m/>
    <m/>
  </r>
  <r>
    <s v="Senior Level Visit"/>
    <s v="Europe"/>
    <s v="Europe and Central Asia"/>
    <s v="No Specific Relationship"/>
    <s v="None"/>
    <s v="EUCOM"/>
    <s v="Bulgaria"/>
    <x v="19"/>
    <n v="5"/>
    <x v="4"/>
    <s v="Du Hengyan"/>
    <m/>
    <s v="Jinan MR Political Commissar"/>
    <n v="6"/>
    <s v="Abroad"/>
    <m/>
    <m/>
    <m/>
    <m/>
    <m/>
    <m/>
    <m/>
    <m/>
    <m/>
  </r>
  <r>
    <s v="Senior Level Visit"/>
    <s v="Southeast Asia"/>
    <s v="Asia"/>
    <s v="Comprehensive Strategic Cooperative Partnership [全面战略合作伙伴关系]"/>
    <s v="None"/>
    <s v="INDOPACOM"/>
    <s v="Cambodia"/>
    <x v="19"/>
    <n v="5"/>
    <x v="3"/>
    <s v="Liang Guanglie"/>
    <m/>
    <s v="Defense Minister; CMC Member"/>
    <n v="8"/>
    <s v="Hosted"/>
    <s v="CinC Armed Forces"/>
    <m/>
    <m/>
    <m/>
    <m/>
    <m/>
    <m/>
    <m/>
    <m/>
  </r>
  <r>
    <s v="Naval Port Call"/>
    <s v="Middle East"/>
    <s v="West Asia and Africa"/>
    <s v="No Specific Relationship"/>
    <s v="None"/>
    <s v="CENTCOM"/>
    <s v="Djibouti"/>
    <x v="19"/>
    <n v="5"/>
    <x v="9"/>
    <m/>
    <m/>
    <m/>
    <m/>
    <m/>
    <m/>
    <m/>
    <m/>
    <m/>
    <m/>
    <s v="ETF"/>
    <s v="ETF-05"/>
    <s v="South Sea Fleet"/>
    <s v="DDG168 Guangzhou, FFG568 Hengyang, AOR887 Weishan Hu"/>
  </r>
  <r>
    <s v="Senior Level Visit"/>
    <s v="Europe"/>
    <s v="Europe and Central Asia"/>
    <s v="No Specific Relationship"/>
    <s v="None"/>
    <s v="EUCOM"/>
    <s v="Finland"/>
    <x v="19"/>
    <n v="5"/>
    <x v="4"/>
    <s v="Du Hengyan"/>
    <m/>
    <s v="Jinan MR Political Commissar"/>
    <n v="6"/>
    <s v="Abroad"/>
    <m/>
    <m/>
    <m/>
    <m/>
    <m/>
    <m/>
    <m/>
    <m/>
    <m/>
  </r>
  <r>
    <s v="Senior Level Visit"/>
    <s v="Europe"/>
    <s v="Europe and Central Asia"/>
    <s v="Comprehensive Strategic Partnership [全面战略伙伴关系]"/>
    <s v="NATO"/>
    <s v="EUCOM"/>
    <s v="France"/>
    <x v="19"/>
    <n v="5"/>
    <x v="4"/>
    <s v="Ma Xiaotian"/>
    <m/>
    <s v="GSD DCGS"/>
    <n v="6"/>
    <s v="Abroad"/>
    <m/>
    <m/>
    <m/>
    <m/>
    <m/>
    <m/>
    <m/>
    <m/>
    <m/>
  </r>
  <r>
    <s v="Senior Level Visit"/>
    <s v="Europe"/>
    <s v="Europe and Central Asia"/>
    <s v="Strategic Partnership [战略伙伴关系]"/>
    <s v="NATO"/>
    <s v="EUCOM"/>
    <s v="Germany"/>
    <x v="19"/>
    <n v="5"/>
    <x v="4"/>
    <s v="Liu Yuan"/>
    <m/>
    <s v="AMS Political Commissar"/>
    <n v="6"/>
    <s v="Abroad"/>
    <m/>
    <m/>
    <m/>
    <m/>
    <m/>
    <m/>
    <m/>
    <m/>
    <m/>
  </r>
  <r>
    <s v="Senior Level Visit"/>
    <s v="Europe"/>
    <s v="Europe and Central Asia"/>
    <s v="Comprehensive Strategic Partnership [全面战略伙伴关系]"/>
    <s v="NATO"/>
    <s v="EUCOM"/>
    <s v="Greece"/>
    <x v="19"/>
    <n v="5"/>
    <x v="4"/>
    <s v="Zhang Haiyang"/>
    <m/>
    <s v="PLASAF Political Commissar"/>
    <n v="6"/>
    <s v="Abroad"/>
    <m/>
    <m/>
    <m/>
    <m/>
    <m/>
    <m/>
    <m/>
    <m/>
    <m/>
  </r>
  <r>
    <s v="Senior Level Visit"/>
    <s v="Southeast Asia"/>
    <s v="Asia"/>
    <s v="Strategic Partnership [战略伙伴关系]"/>
    <s v="None"/>
    <s v="INDOPACOM"/>
    <s v="Indonesia"/>
    <x v="19"/>
    <n v="5"/>
    <x v="4"/>
    <s v="Guo Boxiong"/>
    <m/>
    <s v="CMC Vice Chairman"/>
    <n v="10"/>
    <s v="Abroad"/>
    <m/>
    <m/>
    <m/>
    <m/>
    <m/>
    <m/>
    <m/>
    <m/>
    <m/>
  </r>
  <r>
    <s v="Senior Level Visit"/>
    <s v="Europe"/>
    <s v="Europe and Central Asia"/>
    <s v="Comprehensive Strategic Partnership [全面战略伙伴关系]"/>
    <s v="NATO"/>
    <s v="EUCOM"/>
    <s v="Italy"/>
    <x v="19"/>
    <n v="5"/>
    <x v="4"/>
    <s v="Chang Wanquan"/>
    <m/>
    <s v="GAD Director; CMC Member"/>
    <n v="8"/>
    <s v="Abroad"/>
    <m/>
    <m/>
    <m/>
    <m/>
    <m/>
    <m/>
    <m/>
    <m/>
    <m/>
  </r>
  <r>
    <s v="Senior Level Visit"/>
    <s v="Central Asia"/>
    <s v="Europe and Central Asia"/>
    <s v="Strategic Partnership [战略伙伴关系]"/>
    <s v="None"/>
    <s v="CENTCOM"/>
    <s v="Kazakhstan"/>
    <x v="19"/>
    <n v="5"/>
    <x v="4"/>
    <s v="Liang Guanglie"/>
    <m/>
    <s v="Defense Minister; CMC Member"/>
    <n v="8"/>
    <s v="Abroad"/>
    <m/>
    <m/>
    <m/>
    <m/>
    <m/>
    <m/>
    <m/>
    <m/>
    <m/>
  </r>
  <r>
    <s v="Senior Level Visit"/>
    <s v="Southeast Asia"/>
    <s v="Asia"/>
    <s v="Comprehensive Strategic Cooperative Partnership [全面战略合作伙伴关系]"/>
    <s v="None"/>
    <s v="INDOPACOM"/>
    <s v="Laos"/>
    <x v="19"/>
    <n v="5"/>
    <x v="4"/>
    <s v="Ma Xiaotian"/>
    <m/>
    <s v="GSD DCGS"/>
    <n v="6"/>
    <s v="Abroad"/>
    <m/>
    <m/>
    <m/>
    <m/>
    <m/>
    <m/>
    <m/>
    <m/>
    <m/>
  </r>
  <r>
    <s v="Senior Level Visit"/>
    <s v="Middle East"/>
    <s v="West Asia and Africa"/>
    <s v="No Specific Relationship"/>
    <s v="None"/>
    <s v="CENTCOM"/>
    <s v="Lebanon"/>
    <x v="19"/>
    <n v="5"/>
    <x v="3"/>
    <s v="Chen Bingde"/>
    <m/>
    <s v="GSD Commander; CMC Member"/>
    <n v="8"/>
    <s v="Hosted"/>
    <s v="Army Chief of Staff"/>
    <m/>
    <m/>
    <m/>
    <m/>
    <m/>
    <m/>
    <m/>
    <m/>
  </r>
  <r>
    <s v="Senior Level Visit"/>
    <s v="Europe"/>
    <s v="Europe and Central Asia"/>
    <s v="No Specific Relationship"/>
    <s v="None"/>
    <s v="EUCOM"/>
    <s v="Macedonia"/>
    <x v="19"/>
    <n v="5"/>
    <x v="3"/>
    <s v="Xu Caihou"/>
    <m/>
    <s v="CMC Vice Chairman"/>
    <n v="10"/>
    <s v="Hosted"/>
    <s v="Defense Minister"/>
    <m/>
    <m/>
    <m/>
    <m/>
    <m/>
    <m/>
    <m/>
    <m/>
  </r>
  <r>
    <s v="Senior Level Visit"/>
    <s v="Africa"/>
    <s v="West Asia and Africa"/>
    <s v="No Specific Relationship"/>
    <s v="None"/>
    <s v="AFRICOM"/>
    <s v="Namibia"/>
    <x v="19"/>
    <n v="5"/>
    <x v="4"/>
    <s v="Chen Bingde"/>
    <m/>
    <s v="GSD Commander; CMC Member"/>
    <n v="8"/>
    <s v="Abroad"/>
    <m/>
    <m/>
    <m/>
    <m/>
    <m/>
    <m/>
    <m/>
    <m/>
    <m/>
  </r>
  <r>
    <s v="Senior Level Visit"/>
    <s v="Oceania"/>
    <s v="America and Oceania"/>
    <s v="No Specific Relationship"/>
    <s v="ANZUS Treaty"/>
    <s v="INDOPACOM"/>
    <s v="New Zealand"/>
    <x v="19"/>
    <n v="5"/>
    <x v="4"/>
    <s v="Guo Boxiong"/>
    <m/>
    <s v="CMC Vice Chairman"/>
    <n v="10"/>
    <s v="Abroad"/>
    <m/>
    <m/>
    <m/>
    <m/>
    <m/>
    <m/>
    <m/>
    <m/>
    <m/>
  </r>
  <r>
    <s v="Senior Level Visit"/>
    <s v="South Asia"/>
    <s v="Asia"/>
    <s v="Strategic Partnership [战略伙伴关系]"/>
    <s v="Major Non-NATO Ally"/>
    <s v="CENTCOM"/>
    <s v="Pakistan"/>
    <x v="19"/>
    <n v="5"/>
    <x v="4"/>
    <s v="Liang Guanglie"/>
    <m/>
    <s v="Defense Minister; CMC Member"/>
    <n v="8"/>
    <s v="Abroad"/>
    <s v="Defense Minister"/>
    <m/>
    <m/>
    <m/>
    <m/>
    <m/>
    <m/>
    <m/>
    <m/>
  </r>
  <r>
    <s v="Senior Level Visit"/>
    <s v="Europe"/>
    <s v="Europe and Central Asia"/>
    <s v="No Specific Relationship"/>
    <s v="NATO"/>
    <s v="EUCOM"/>
    <s v="Slovakia"/>
    <x v="19"/>
    <n v="5"/>
    <x v="4"/>
    <s v="Zhang Haiyang"/>
    <m/>
    <s v="PLASAF Political Commissar"/>
    <n v="6"/>
    <s v="Abroad"/>
    <m/>
    <m/>
    <m/>
    <m/>
    <m/>
    <m/>
    <m/>
    <m/>
    <m/>
  </r>
  <r>
    <s v="Senior Level Visit"/>
    <s v="Europe"/>
    <s v="Europe and Central Asia"/>
    <s v="No Specific Relationship"/>
    <s v="None"/>
    <s v="EUCOM"/>
    <s v="Sweden"/>
    <x v="19"/>
    <n v="5"/>
    <x v="4"/>
    <s v="Liu Yuan"/>
    <m/>
    <s v="AMS Political Commissar"/>
    <n v="6"/>
    <s v="Abroad"/>
    <m/>
    <m/>
    <m/>
    <m/>
    <m/>
    <m/>
    <m/>
    <m/>
    <m/>
  </r>
  <r>
    <s v="Senior Level Visit"/>
    <s v="Africa"/>
    <s v="West Asia and Africa"/>
    <s v="No Specific Relationship"/>
    <s v="None"/>
    <s v="AFRICOM"/>
    <s v="Tanzania"/>
    <x v="19"/>
    <n v="5"/>
    <x v="4"/>
    <s v="Chen Bingde"/>
    <m/>
    <s v="GSD Commander; CMC Member"/>
    <n v="8"/>
    <s v="Abroad"/>
    <m/>
    <m/>
    <m/>
    <m/>
    <m/>
    <m/>
    <m/>
    <m/>
    <m/>
  </r>
  <r>
    <s v="Senior Level Visit"/>
    <s v="Europe"/>
    <s v="Europe and Central Asia"/>
    <s v="Strategic Cooperative Partnership [战略合作伙伴关系]"/>
    <s v="NATO"/>
    <s v="EUCOM"/>
    <s v="Turkey"/>
    <x v="19"/>
    <n v="5"/>
    <x v="3"/>
    <s v="Guo Boxiong"/>
    <m/>
    <s v="CMC Vice Chairman"/>
    <n v="10"/>
    <s v="Hosted"/>
    <s v="DCOGS"/>
    <m/>
    <m/>
    <m/>
    <m/>
    <m/>
    <m/>
    <m/>
    <m/>
  </r>
  <r>
    <s v="Senior Level Visit"/>
    <s v="Central Asia"/>
    <s v="Europe and Central Asia"/>
    <s v="No Specific Relationship"/>
    <s v="None"/>
    <s v="CENTCOM"/>
    <s v="Turkmenistan"/>
    <x v="19"/>
    <n v="5"/>
    <x v="4"/>
    <s v="Liang Guanglie"/>
    <m/>
    <s v="Defense Minister; CMC Member"/>
    <n v="8"/>
    <s v="Abroad"/>
    <s v="Defense Minister"/>
    <m/>
    <m/>
    <m/>
    <m/>
    <m/>
    <m/>
    <m/>
    <m/>
  </r>
  <r>
    <s v="Senior Level Visit"/>
    <s v="North America"/>
    <s v="America and Oceania"/>
    <s v="No Specific Relationship"/>
    <s v="N/A"/>
    <s v="NORTHCOM"/>
    <s v="United States"/>
    <x v="19"/>
    <n v="5"/>
    <x v="3"/>
    <s v="Xu Caihou"/>
    <m/>
    <s v="CMC Vice Chairman"/>
    <n v="10"/>
    <s v="Hosted"/>
    <s v="Former Deputy Chairman JCS and former USAF Chief of Staff"/>
    <m/>
    <m/>
    <m/>
    <m/>
    <m/>
    <m/>
    <m/>
    <m/>
  </r>
  <r>
    <s v="Senior Level Visit"/>
    <s v="Southeast Asia"/>
    <s v="Asia"/>
    <s v="Comprehensive Strategic Cooperative Partnership [全面战略合作伙伴关系]"/>
    <s v="None"/>
    <s v="INDOPACOM"/>
    <s v="Vietnam"/>
    <x v="19"/>
    <n v="5"/>
    <x v="4"/>
    <s v="Li Jinai"/>
    <m/>
    <s v="GPD Director; CMC Member"/>
    <n v="8"/>
    <s v="Abroad"/>
    <m/>
    <m/>
    <m/>
    <m/>
    <m/>
    <m/>
    <m/>
    <m/>
    <m/>
  </r>
  <r>
    <s v="Naval Port Call"/>
    <s v="Middle East"/>
    <s v="West Asia and Africa"/>
    <s v="No Specific Relationship"/>
    <s v="None"/>
    <s v="CENTCOM"/>
    <s v="Yemen"/>
    <x v="19"/>
    <n v="5"/>
    <x v="9"/>
    <m/>
    <m/>
    <m/>
    <m/>
    <m/>
    <m/>
    <m/>
    <m/>
    <m/>
    <m/>
    <s v="ETF"/>
    <s v="ETF-05"/>
    <s v="South Sea Fleet"/>
    <s v="DDG168 Guangzhou, FFG568 Hengyang, AOR887 Weishan Hu"/>
  </r>
  <r>
    <s v="Senior Level Visit"/>
    <s v="Southeast Asia"/>
    <s v="Asia"/>
    <s v="Comprehensive Strategic Cooperative Partnership [全面战略合作伙伴关系]"/>
    <s v="None"/>
    <s v="INDOPACOM"/>
    <s v="Cambodia"/>
    <x v="19"/>
    <n v="6"/>
    <x v="4"/>
    <s v="Chi Wanchun"/>
    <m/>
    <s v="GAD Political Commissar"/>
    <n v="6"/>
    <s v="Abroad"/>
    <m/>
    <m/>
    <m/>
    <m/>
    <m/>
    <m/>
    <m/>
    <m/>
    <m/>
  </r>
  <r>
    <s v="Senior Level Visit"/>
    <s v="Africa"/>
    <s v="West Asia and Africa"/>
    <s v="No Specific Relationship"/>
    <s v="None"/>
    <s v="AFRICOM"/>
    <s v="Ethiopia"/>
    <x v="19"/>
    <n v="6"/>
    <x v="3"/>
    <s v="Xu Caihou"/>
    <m/>
    <s v="CMC Vice Chairman"/>
    <n v="10"/>
    <s v="Hosted"/>
    <s v="Chief of Staff Armed Forces"/>
    <m/>
    <m/>
    <m/>
    <m/>
    <m/>
    <m/>
    <m/>
    <m/>
  </r>
  <r>
    <s v="Senior Level Visit"/>
    <s v="Europe"/>
    <s v="Europe and Central Asia"/>
    <s v="Comprehensive Strategic Partnership [全面战略伙伴关系]"/>
    <s v="NATO"/>
    <s v="EUCOM"/>
    <s v="France"/>
    <x v="19"/>
    <n v="6"/>
    <x v="4"/>
    <s v="Ma Xiaotian"/>
    <m/>
    <s v="GSD DCGS"/>
    <n v="6"/>
    <s v="Abroad"/>
    <m/>
    <m/>
    <m/>
    <m/>
    <m/>
    <m/>
    <m/>
    <m/>
    <m/>
  </r>
  <r>
    <s v="Senior Level Visit"/>
    <s v="South America"/>
    <s v="America and Oceania"/>
    <s v="No Specific Relationship"/>
    <s v="None"/>
    <s v="SOUTHCOM"/>
    <s v="Guyana"/>
    <x v="19"/>
    <n v="6"/>
    <x v="3"/>
    <s v="Liang Guanglie"/>
    <m/>
    <s v="Defense Minister; CMC Member"/>
    <n v="8"/>
    <s v="Hosted"/>
    <s v="Chief of the Defense Staff"/>
    <m/>
    <m/>
    <m/>
    <m/>
    <m/>
    <m/>
    <m/>
    <m/>
  </r>
  <r>
    <s v="Senior Level Visit"/>
    <s v="Southeast Asia"/>
    <s v="Asia"/>
    <s v="No Specific Relationship"/>
    <s v="None"/>
    <s v="INDOPACOM"/>
    <s v="IISS"/>
    <x v="19"/>
    <n v="6"/>
    <x v="1"/>
    <s v="Ma Xiaotian"/>
    <m/>
    <s v="GSD DCGS"/>
    <n v="6"/>
    <s v="Abroad"/>
    <s v="9th Shangri-La Dialogue"/>
    <m/>
    <m/>
    <m/>
    <m/>
    <m/>
    <m/>
    <m/>
    <m/>
  </r>
  <r>
    <s v="Senior Level Visit"/>
    <s v="Northeast Asia"/>
    <s v="Asia"/>
    <s v="Mutually Beneficial Strategic Relationship [战略互惠关系]"/>
    <s v="Bilateral Defense Treaty"/>
    <s v="INDOPACOM"/>
    <s v="Japan"/>
    <x v="19"/>
    <n v="6"/>
    <x v="3"/>
    <s v="Liang Guanglie"/>
    <m/>
    <s v="Defense Minister; CMC Member"/>
    <n v="8"/>
    <s v="Hosted"/>
    <s v="Sasakawa Japan-China Friendship Fund"/>
    <m/>
    <m/>
    <m/>
    <m/>
    <m/>
    <m/>
    <m/>
    <m/>
  </r>
  <r>
    <s v="Senior Level Visit"/>
    <s v="Europe"/>
    <s v="Europe and Central Asia"/>
    <s v="No Specific Relationship"/>
    <s v="None"/>
    <s v="EUCOM"/>
    <s v="Macedonia"/>
    <x v="19"/>
    <n v="6"/>
    <x v="4"/>
    <s v="Ma Xiaotian"/>
    <m/>
    <s v="GSD DCGS"/>
    <n v="6"/>
    <s v="Abroad"/>
    <s v="Defense Minister"/>
    <m/>
    <m/>
    <m/>
    <m/>
    <m/>
    <m/>
    <m/>
    <m/>
  </r>
  <r>
    <s v="Senior Level Visit"/>
    <s v="Southeast Asia"/>
    <s v="Asia"/>
    <s v="No Specific Relationship"/>
    <s v="None"/>
    <s v="INDOPACOM"/>
    <s v="Myanmar"/>
    <x v="19"/>
    <n v="6"/>
    <x v="4"/>
    <s v="Fan Changlong"/>
    <m/>
    <s v="Jinan MR Commander"/>
    <n v="6"/>
    <s v="Abroad"/>
    <m/>
    <m/>
    <m/>
    <m/>
    <m/>
    <m/>
    <m/>
    <m/>
    <m/>
  </r>
  <r>
    <s v="Senior Level Visit"/>
    <s v="Europe"/>
    <s v="Europe and Central Asia"/>
    <s v="No Specific Relationship"/>
    <s v="NATO"/>
    <s v="EUCOM"/>
    <s v="Norway"/>
    <x v="19"/>
    <n v="6"/>
    <x v="3"/>
    <s v="Chen Bingde"/>
    <m/>
    <s v="GSD Commander; CMC Member"/>
    <n v="8"/>
    <s v="Hosted"/>
    <s v="Chief of Navy Staff"/>
    <m/>
    <m/>
    <m/>
    <m/>
    <m/>
    <m/>
    <m/>
    <m/>
  </r>
  <r>
    <s v="Senior Level Visit"/>
    <s v="Middle East"/>
    <s v="West Asia and Africa"/>
    <s v="No Specific Relationship"/>
    <s v="None"/>
    <s v="CENTCOM"/>
    <s v="Oman"/>
    <x v="19"/>
    <n v="6"/>
    <x v="3"/>
    <s v="Liang Guanglie"/>
    <m/>
    <s v="Defense Minister; CMC Member"/>
    <n v="8"/>
    <s v="Hosted"/>
    <s v="Minister Responsible for Defense Affairs"/>
    <m/>
    <m/>
    <m/>
    <m/>
    <m/>
    <m/>
    <m/>
    <m/>
  </r>
  <r>
    <s v="Naval Port Call"/>
    <s v="Middle East"/>
    <s v="West Asia and Africa"/>
    <s v="No Specific Relationship"/>
    <s v="None"/>
    <s v="CENTCOM"/>
    <s v="Oman"/>
    <x v="19"/>
    <n v="6"/>
    <x v="9"/>
    <m/>
    <m/>
    <m/>
    <m/>
    <m/>
    <m/>
    <m/>
    <m/>
    <m/>
    <m/>
    <s v="ETF"/>
    <s v="ETF-05"/>
    <s v="South Sea Fleet"/>
    <s v="DDG168 Guangzhou, FFG568 Hengyang, AOR887 Weishan Hu"/>
  </r>
  <r>
    <s v="Senior Level Visit"/>
    <s v="South Asia"/>
    <s v="Asia"/>
    <s v="Strategic Partnership [战略伙伴关系]"/>
    <s v="Major Non-NATO Ally"/>
    <s v="CENTCOM"/>
    <s v="Pakistan"/>
    <x v="19"/>
    <n v="6"/>
    <x v="3"/>
    <s v="Liang Guanglie"/>
    <m/>
    <s v="Defense Minister; CMC Member"/>
    <n v="8"/>
    <s v="Hosted"/>
    <s v="Chief of Army Staff"/>
    <m/>
    <m/>
    <m/>
    <m/>
    <m/>
    <m/>
    <m/>
    <m/>
  </r>
  <r>
    <s v="Senior Level Visit"/>
    <s v="Russia"/>
    <s v="Europe and Central Asia"/>
    <s v="Strategic Partnership of Coordination [战略协作伙伴关系]"/>
    <s v="None"/>
    <s v="EUCOM"/>
    <s v="Russia"/>
    <x v="19"/>
    <n v="6"/>
    <x v="4"/>
    <s v="Ma Xiaotian"/>
    <m/>
    <s v="GSD DCGS"/>
    <n v="6"/>
    <s v="Abroad"/>
    <m/>
    <m/>
    <m/>
    <m/>
    <m/>
    <m/>
    <m/>
    <m/>
    <m/>
  </r>
  <r>
    <s v="Senior Level Visit"/>
    <s v="Europe"/>
    <s v="Europe and Central Asia"/>
    <s v="Strategic Partnership [战略伙伴关系]"/>
    <s v="None"/>
    <s v="EUCOM"/>
    <s v="Serbia"/>
    <x v="19"/>
    <n v="6"/>
    <x v="4"/>
    <s v="Ma Xiaotian"/>
    <m/>
    <s v="GSD DCGS"/>
    <n v="6"/>
    <s v="Abroad"/>
    <m/>
    <m/>
    <m/>
    <m/>
    <m/>
    <m/>
    <m/>
    <m/>
    <m/>
  </r>
  <r>
    <s v="Senior Level Visit"/>
    <s v="Southeast Asia"/>
    <s v="Asia"/>
    <s v="No Specific Relationship"/>
    <s v="None"/>
    <s v="INDOPACOM"/>
    <s v="Singapore"/>
    <x v="19"/>
    <n v="6"/>
    <x v="4"/>
    <s v="Ma Xiaotian"/>
    <m/>
    <s v="GSD DCGS"/>
    <n v="6"/>
    <s v="Abroad"/>
    <m/>
    <m/>
    <m/>
    <m/>
    <m/>
    <m/>
    <m/>
    <m/>
    <m/>
  </r>
  <r>
    <s v="Senior Level Visit"/>
    <s v="Europe"/>
    <s v="Europe and Central Asia"/>
    <s v="No Specific Relationship"/>
    <s v="None"/>
    <s v="EUCOM"/>
    <s v="Sweden"/>
    <x v="19"/>
    <n v="6"/>
    <x v="4"/>
    <s v="Wang Xibin"/>
    <m/>
    <s v="PLA NDU President"/>
    <n v="6"/>
    <s v="Abroad"/>
    <m/>
    <m/>
    <m/>
    <m/>
    <m/>
    <m/>
    <m/>
    <m/>
    <m/>
  </r>
  <r>
    <s v="Senior Level Visit"/>
    <s v="Europe"/>
    <s v="Europe and Central Asia"/>
    <s v="Strategic Cooperative Partnership [战略合作伙伴关系]"/>
    <s v="NATO"/>
    <s v="EUCOM"/>
    <s v="Turkey"/>
    <x v="19"/>
    <n v="6"/>
    <x v="4"/>
    <s v="Wang Xibin"/>
    <m/>
    <s v="PLA NDU President"/>
    <n v="6"/>
    <s v="Abroad"/>
    <m/>
    <m/>
    <m/>
    <m/>
    <m/>
    <m/>
    <m/>
    <m/>
    <m/>
  </r>
  <r>
    <s v="Senior Level Visit"/>
    <s v="Middle East"/>
    <s v="West Asia and Africa"/>
    <s v="No Specific Relationship"/>
    <s v="None"/>
    <s v="CENTCOM"/>
    <s v="United Arab Emirates"/>
    <x v="19"/>
    <n v="6"/>
    <x v="3"/>
    <s v="Liang Guanglie"/>
    <m/>
    <s v="Defense Minister; CMC Member"/>
    <n v="8"/>
    <s v="Hosted"/>
    <s v="COGS"/>
    <m/>
    <m/>
    <m/>
    <m/>
    <m/>
    <m/>
    <m/>
    <m/>
  </r>
  <r>
    <s v="Senior Level Visit"/>
    <s v="Europe"/>
    <s v="Europe and Central Asia"/>
    <s v="Comprehensive Strategic Partnership [全面战略伙伴关系]"/>
    <s v="NATO"/>
    <s v="EUCOM"/>
    <s v="United Kingdom"/>
    <x v="19"/>
    <n v="6"/>
    <x v="4"/>
    <s v="Ma Xiaotian"/>
    <m/>
    <s v="GSD DCGS"/>
    <n v="6"/>
    <s v="Abroad"/>
    <s v="Defense Secretary"/>
    <m/>
    <m/>
    <m/>
    <m/>
    <m/>
    <m/>
    <m/>
    <m/>
  </r>
  <r>
    <s v="Senior Level Visit"/>
    <s v="Africa"/>
    <s v="West Asia and Africa"/>
    <s v="No Specific Relationship"/>
    <s v="None"/>
    <s v="AFRICOM"/>
    <s v="Zimbabwe"/>
    <x v="19"/>
    <n v="6"/>
    <x v="3"/>
    <s v="Liang Guanglie"/>
    <m/>
    <s v="Defense Minister; CMC Member"/>
    <n v="8"/>
    <s v="Hosted"/>
    <s v="Commander of the Defense Forces"/>
    <m/>
    <m/>
    <m/>
    <m/>
    <m/>
    <m/>
    <m/>
    <m/>
  </r>
  <r>
    <s v="Senior Level Visit"/>
    <s v="Africa"/>
    <s v="West Asia and Africa"/>
    <s v="Strategic Partnership [战略伙伴关系]"/>
    <s v="None"/>
    <s v="AFRICOM"/>
    <s v="Angola"/>
    <x v="19"/>
    <n v="7"/>
    <x v="3"/>
    <s v="Liang Guanglie"/>
    <m/>
    <s v="Defense Minister; CMC Member"/>
    <n v="8"/>
    <s v="Hosted"/>
    <s v="Defense Minister"/>
    <m/>
    <m/>
    <m/>
    <m/>
    <m/>
    <m/>
    <m/>
    <m/>
  </r>
  <r>
    <s v="Senior Level Visit"/>
    <s v="Europe"/>
    <s v="Europe and Central Asia"/>
    <s v="Strategic Partnership [战略伙伴关系]"/>
    <s v="NATO"/>
    <s v="EUCOM"/>
    <s v="Belarus"/>
    <x v="19"/>
    <n v="7"/>
    <x v="4"/>
    <s v="Jing Zhiyuan"/>
    <m/>
    <s v="PLASAF Commander; CMC Member"/>
    <n v="8"/>
    <s v="Abroad"/>
    <m/>
    <m/>
    <m/>
    <m/>
    <m/>
    <m/>
    <m/>
    <m/>
    <m/>
  </r>
  <r>
    <s v="Naval Port Call"/>
    <s v="Middle East"/>
    <s v="West Asia and Africa"/>
    <s v="Strategic Cooperative Partnership [战略合作伙伴关系]"/>
    <s v="Major Non-NATO Ally"/>
    <s v="CENTCOM"/>
    <s v="Egypt"/>
    <x v="19"/>
    <n v="7"/>
    <x v="0"/>
    <m/>
    <m/>
    <m/>
    <m/>
    <m/>
    <m/>
    <m/>
    <m/>
    <m/>
    <m/>
    <s v="ETF"/>
    <s v="ETF-05"/>
    <s v="South Sea Fleet"/>
    <s v="DDG168 Guangzhou, FFG568 Hengyang, AOR887 Weishan Hu"/>
  </r>
  <r>
    <s v="Senior Level Visit"/>
    <s v="Europe"/>
    <s v="Europe and Central Asia"/>
    <s v="Strategic Partnership [战略伙伴关系]"/>
    <s v="NATO"/>
    <s v="EUCOM"/>
    <s v="Germany"/>
    <x v="19"/>
    <n v="7"/>
    <x v="4"/>
    <s v="Xu Qiliang"/>
    <m/>
    <s v="PLAAF Commander; CMC Member"/>
    <n v="8"/>
    <s v="Abroad"/>
    <m/>
    <m/>
    <m/>
    <m/>
    <m/>
    <m/>
    <m/>
    <m/>
    <m/>
  </r>
  <r>
    <s v="Senior Level Visit"/>
    <s v="Europe"/>
    <s v="Europe and Central Asia"/>
    <s v="No Specific Relationship"/>
    <s v="NATO"/>
    <s v="EUCOM"/>
    <s v="Hungary"/>
    <x v="19"/>
    <n v="7"/>
    <x v="4"/>
    <s v="Jing Zhiyuan"/>
    <m/>
    <s v="PLASAF Commander; CMC Member"/>
    <n v="8"/>
    <s v="Abroad"/>
    <m/>
    <m/>
    <m/>
    <m/>
    <m/>
    <m/>
    <m/>
    <m/>
    <m/>
  </r>
  <r>
    <s v="Senior Level Visit"/>
    <s v="Europe"/>
    <s v="Europe and Central Asia"/>
    <s v="Comprehensive Strategic Partnership [全面战略伙伴关系]"/>
    <s v="NATO"/>
    <s v="EUCOM"/>
    <s v="Italy"/>
    <x v="19"/>
    <n v="7"/>
    <x v="3"/>
    <s v="Chen Bingde"/>
    <m/>
    <s v="GSD Commander; CMC Member"/>
    <n v="8"/>
    <s v="Hosted"/>
    <s v="Chief of Navy Staff"/>
    <m/>
    <m/>
    <m/>
    <m/>
    <m/>
    <m/>
    <m/>
    <m/>
  </r>
  <r>
    <s v="Senior Level Visit"/>
    <s v="Europe"/>
    <s v="Europe and Central Asia"/>
    <s v="No Specific Relationship"/>
    <s v="NATO"/>
    <s v="EUCOM"/>
    <s v="Norway"/>
    <x v="19"/>
    <n v="7"/>
    <x v="4"/>
    <s v="Ma Xiaotian"/>
    <m/>
    <s v="GSD DCGS"/>
    <n v="6"/>
    <s v="Abroad"/>
    <m/>
    <m/>
    <m/>
    <m/>
    <m/>
    <m/>
    <m/>
    <m/>
    <m/>
  </r>
  <r>
    <s v="Military Exercise"/>
    <s v="South Asia"/>
    <s v="Asia"/>
    <s v="Strategic Partnership [战略伙伴关系]"/>
    <s v="Major Non-NATO Ally"/>
    <s v="CENTCOM"/>
    <s v="Pakistan"/>
    <x v="19"/>
    <n v="7"/>
    <x v="5"/>
    <m/>
    <m/>
    <m/>
    <m/>
    <m/>
    <m/>
    <s v="Anti-terrorism"/>
    <s v="Friendship 2010"/>
    <s v="Army"/>
    <s v="Anti-terrorism"/>
    <m/>
    <m/>
    <m/>
    <m/>
  </r>
  <r>
    <s v="Senior Level Visit"/>
    <s v="Middle East"/>
    <s v="West Asia and Africa"/>
    <s v="No Specific Relationship"/>
    <s v="None"/>
    <s v="CENTCOM"/>
    <s v="Qatar"/>
    <x v="19"/>
    <n v="7"/>
    <x v="3"/>
    <s v="Chen Bingde"/>
    <m/>
    <s v="GSD Commander; CMC Member"/>
    <n v="8"/>
    <s v="Hosted"/>
    <s v="Chief of the General Staff of the Armed Forces"/>
    <m/>
    <m/>
    <m/>
    <m/>
    <m/>
    <m/>
    <m/>
    <m/>
  </r>
  <r>
    <s v="Senior Level Visit"/>
    <s v="Russia"/>
    <s v="Europe and Central Asia"/>
    <s v="Strategic Partnership of Coordination [战略协作伙伴关系]"/>
    <s v="None"/>
    <s v="EUCOM"/>
    <s v="Russia"/>
    <x v="19"/>
    <n v="7"/>
    <x v="4"/>
    <s v="Ma Xiaotian"/>
    <m/>
    <s v="GSD DCGS"/>
    <n v="6"/>
    <s v="Abroad"/>
    <m/>
    <m/>
    <m/>
    <m/>
    <m/>
    <m/>
    <m/>
    <m/>
    <m/>
  </r>
  <r>
    <s v="Senior Level Visit"/>
    <s v="Southeast Asia"/>
    <s v="Asia"/>
    <s v="No Specific Relationship"/>
    <s v="None"/>
    <s v="INDOPACOM"/>
    <s v="Singapore"/>
    <x v="19"/>
    <n v="7"/>
    <x v="3"/>
    <s v="Chen Bingde"/>
    <m/>
    <s v="GSD Commander; CMC Member"/>
    <n v="8"/>
    <s v="Hosted"/>
    <s v="Permanent Secretary of Ministry of Defense"/>
    <m/>
    <m/>
    <m/>
    <m/>
    <m/>
    <m/>
    <m/>
    <m/>
  </r>
  <r>
    <s v="Senior Level Visit"/>
    <s v="Oceania"/>
    <s v="America and Oceania"/>
    <s v="No Specific Relationship"/>
    <s v="None"/>
    <s v="INDOPACOM"/>
    <s v="Tonga"/>
    <x v="19"/>
    <n v="7"/>
    <x v="3"/>
    <s v="Chen Bingde"/>
    <m/>
    <s v="GSD Commander; CMC Member"/>
    <n v="8"/>
    <s v="Hosted"/>
    <s v="Commander of the Defense Services"/>
    <m/>
    <m/>
    <m/>
    <m/>
    <m/>
    <m/>
    <m/>
    <m/>
  </r>
  <r>
    <s v="Naval Port Call"/>
    <s v="Middle East"/>
    <s v="West Asia and Africa"/>
    <s v="No Specific Relationship"/>
    <s v="None"/>
    <s v="CENTCOM"/>
    <s v="Yemen"/>
    <x v="19"/>
    <n v="7"/>
    <x v="9"/>
    <m/>
    <m/>
    <m/>
    <m/>
    <m/>
    <m/>
    <m/>
    <m/>
    <m/>
    <m/>
    <s v="ETF"/>
    <s v="ETF-06"/>
    <s v="South Sea Fleet"/>
    <s v="LPD998 Kunlun Shan, DDG170 Lanzhou, AOR887 Weishan Hu;uncertain, could be ETF-5"/>
  </r>
  <r>
    <s v="Senior Level Visit"/>
    <s v="South America"/>
    <s v="America and Oceania"/>
    <s v="Strategic Partnership [战略伙伴关系]"/>
    <s v="Major Non-NATO Ally"/>
    <s v="SOUTHCOM"/>
    <s v="Argentina"/>
    <x v="19"/>
    <n v="8"/>
    <x v="4"/>
    <s v="Ma Xiaotian"/>
    <m/>
    <s v="GSD DCGS"/>
    <n v="6"/>
    <s v="Abroad"/>
    <m/>
    <m/>
    <m/>
    <m/>
    <m/>
    <m/>
    <m/>
    <m/>
    <m/>
  </r>
  <r>
    <s v="Senior Level Visit"/>
    <s v="Europe"/>
    <s v="Europe and Central Asia"/>
    <s v="Strategic Partnership [战略伙伴关系]"/>
    <s v="NATO"/>
    <s v="EUCOM"/>
    <s v="Belarus"/>
    <x v="19"/>
    <n v="8"/>
    <x v="4"/>
    <s v="Ma Xiaotian"/>
    <m/>
    <s v="GSD DCGS"/>
    <n v="6"/>
    <s v="Abroad"/>
    <m/>
    <m/>
    <m/>
    <m/>
    <m/>
    <m/>
    <m/>
    <m/>
    <m/>
  </r>
  <r>
    <s v="Senior Level Visit"/>
    <s v="South America"/>
    <s v="America and Oceania"/>
    <s v="No Specific Relationship"/>
    <s v="None"/>
    <s v="SOUTHCOM"/>
    <s v="Bolivia"/>
    <x v="19"/>
    <n v="8"/>
    <x v="3"/>
    <s v="Guo Boxiong"/>
    <m/>
    <s v="CMC Vice Chairman"/>
    <n v="10"/>
    <s v="Hosted"/>
    <s v="Defense Minister"/>
    <m/>
    <m/>
    <m/>
    <m/>
    <m/>
    <m/>
    <m/>
    <m/>
  </r>
  <r>
    <s v="Senior Level Visit"/>
    <s v="South America"/>
    <s v="America and Oceania"/>
    <s v="Comprehensive Strategic Partnership [全面战略伙伴关系]"/>
    <s v="None"/>
    <s v="SOUTHCOM"/>
    <s v="Brazil"/>
    <x v="19"/>
    <n v="8"/>
    <x v="4"/>
    <s v="Liang Guanglie"/>
    <m/>
    <s v="Defense Minister; CMC Member"/>
    <n v="8"/>
    <s v="Abroad"/>
    <s v="Defense Minister"/>
    <m/>
    <m/>
    <m/>
    <m/>
    <m/>
    <m/>
    <m/>
    <m/>
  </r>
  <r>
    <s v="Senior Level Visit"/>
    <s v="South America"/>
    <s v="America and Oceania"/>
    <s v="Comprehensive Partnership [全面伙伴关系]"/>
    <s v="None"/>
    <s v="SOUTHCOM"/>
    <s v="Chile"/>
    <x v="19"/>
    <n v="8"/>
    <x v="4"/>
    <s v="Li Jinai"/>
    <m/>
    <s v="GPD Director; CMC Member"/>
    <n v="8"/>
    <s v="Abroad"/>
    <m/>
    <m/>
    <m/>
    <m/>
    <m/>
    <m/>
    <m/>
    <m/>
    <m/>
  </r>
  <r>
    <s v="Senior Level Visit"/>
    <s v="South America"/>
    <s v="America and Oceania"/>
    <s v="No Specific Relationship"/>
    <s v="None"/>
    <s v="SOUTHCOM"/>
    <s v="Colombia"/>
    <x v="19"/>
    <n v="8"/>
    <x v="4"/>
    <s v="Liang Guanglie"/>
    <m/>
    <s v="Defense Minister; CMC Member"/>
    <n v="8"/>
    <s v="Abroad"/>
    <m/>
    <m/>
    <m/>
    <m/>
    <m/>
    <m/>
    <m/>
    <m/>
    <m/>
  </r>
  <r>
    <s v="Senior Level Visit"/>
    <s v="Europe"/>
    <s v="Europe and Central Asia"/>
    <s v="Comprehensive Cooperative Partnership [全面合作伙伴关系]"/>
    <s v="NATO"/>
    <s v="EUCOM"/>
    <s v="Croatia"/>
    <x v="19"/>
    <n v="8"/>
    <x v="4"/>
    <s v="Ma Xiaotian"/>
    <m/>
    <s v="GSD DCGS"/>
    <n v="6"/>
    <s v="Abroad"/>
    <m/>
    <m/>
    <m/>
    <m/>
    <m/>
    <m/>
    <m/>
    <m/>
    <m/>
  </r>
  <r>
    <s v="Senior Level Visit"/>
    <s v="Europe"/>
    <s v="Europe and Central Asia"/>
    <s v="Comprehensive Strategic Partnership [全面战略伙伴关系]"/>
    <s v="NATO"/>
    <s v="EUCOM"/>
    <s v="Greece"/>
    <x v="19"/>
    <n v="8"/>
    <x v="3"/>
    <s v="Xu Qiliang"/>
    <m/>
    <s v="PLAAF Commander; CMC Member"/>
    <n v="8"/>
    <s v="Hosted"/>
    <s v="Air Force COGS"/>
    <m/>
    <m/>
    <m/>
    <m/>
    <m/>
    <m/>
    <m/>
    <m/>
  </r>
  <r>
    <s v="Naval Port Call"/>
    <s v="Europe"/>
    <s v="Europe and Central Asia"/>
    <s v="Comprehensive Strategic Partnership [全面战略伙伴关系]"/>
    <s v="NATO"/>
    <s v="EUCOM"/>
    <s v="Italy"/>
    <x v="19"/>
    <n v="8"/>
    <x v="10"/>
    <m/>
    <m/>
    <m/>
    <m/>
    <m/>
    <m/>
    <m/>
    <m/>
    <m/>
    <m/>
    <s v="ETF"/>
    <s v="ETF-05"/>
    <s v="South Sea Fleet"/>
    <s v="DDG168 Guangzhou, FFG568 Hengyang, AOR887 Weishan Hu"/>
  </r>
  <r>
    <s v="Military Exercise"/>
    <s v="Europe"/>
    <s v="Europe and Central Asia"/>
    <s v="Comprehensive Strategic Partnership [全面战略伙伴关系]"/>
    <s v="NATO"/>
    <s v="EUCOM"/>
    <s v="Italy"/>
    <x v="19"/>
    <n v="8"/>
    <x v="5"/>
    <m/>
    <m/>
    <m/>
    <m/>
    <m/>
    <m/>
    <s v="Combat Support"/>
    <s v="Unknown Taranto 2010"/>
    <s v="Navy"/>
    <s v="Joint drills and friendly port call, Six Years at Sea p. 126"/>
    <m/>
    <m/>
    <m/>
    <m/>
  </r>
  <r>
    <s v="Senior Level Visit"/>
    <s v="North America"/>
    <s v="America and Oceania"/>
    <s v="Strategic Cooperative Partnership [战略合作伙伴关系]"/>
    <s v="None"/>
    <s v="NORTHCOM"/>
    <s v="Mexico"/>
    <x v="19"/>
    <n v="8"/>
    <x v="4"/>
    <s v="Liang Guanglie"/>
    <m/>
    <s v="Defense Minister; CMC Member"/>
    <n v="8"/>
    <s v="Abroad"/>
    <m/>
    <m/>
    <m/>
    <m/>
    <m/>
    <m/>
    <m/>
    <m/>
    <m/>
  </r>
  <r>
    <s v="Senior Level Visit"/>
    <s v="Northeast Asia"/>
    <s v="Asia"/>
    <s v="No Specific Relationship"/>
    <s v="None"/>
    <s v="INDOPACOM"/>
    <s v="Mongolia"/>
    <x v="19"/>
    <n v="8"/>
    <x v="4"/>
    <s v="Ma Xiaotian"/>
    <m/>
    <s v="GSD DCGS"/>
    <n v="6"/>
    <s v="Abroad"/>
    <m/>
    <m/>
    <m/>
    <m/>
    <m/>
    <m/>
    <m/>
    <m/>
    <m/>
  </r>
  <r>
    <s v="Naval Port Call"/>
    <s v="Southeast Asia"/>
    <s v="Asia"/>
    <s v="No Specific Relationship"/>
    <s v="None"/>
    <s v="INDOPACOM"/>
    <s v="Myanmar"/>
    <x v="19"/>
    <n v="8"/>
    <x v="0"/>
    <m/>
    <m/>
    <m/>
    <m/>
    <m/>
    <m/>
    <m/>
    <m/>
    <m/>
    <m/>
    <s v="ETF"/>
    <s v="ETF-05"/>
    <s v="South Sea Fleet"/>
    <s v="DDG168 Guangzhou, FFG568 Hengyang, AOR887 Weishan Hu"/>
  </r>
  <r>
    <s v="Senior Level Visit"/>
    <s v="Oceania"/>
    <s v="America and Oceania"/>
    <s v="No Specific Relationship"/>
    <s v="ANZUS Treaty"/>
    <s v="INDOPACOM"/>
    <s v="New Zealand"/>
    <x v="19"/>
    <n v="8"/>
    <x v="3"/>
    <s v="Guo Boxiong"/>
    <m/>
    <s v="CMC Vice Chairman"/>
    <n v="10"/>
    <s v="Hosted"/>
    <s v="Secretary of Defense"/>
    <m/>
    <m/>
    <m/>
    <m/>
    <m/>
    <m/>
    <m/>
    <m/>
  </r>
  <r>
    <s v="Senior Level Visit"/>
    <s v="Northeast Asia"/>
    <s v="Asia"/>
    <s v="Bilateral Defense Treaty"/>
    <s v="None"/>
    <s v="INDOPACOM"/>
    <s v="North Korea"/>
    <x v="19"/>
    <n v="8"/>
    <x v="4"/>
    <s v="Zhang Youxia"/>
    <m/>
    <s v="Shenyang MR Commander"/>
    <n v="6"/>
    <s v="Abroad"/>
    <m/>
    <m/>
    <m/>
    <m/>
    <m/>
    <m/>
    <m/>
    <m/>
    <m/>
  </r>
  <r>
    <s v="Naval Port Call"/>
    <s v="Middle East"/>
    <s v="West Asia and Africa"/>
    <s v="No Specific Relationship"/>
    <s v="None"/>
    <s v="CENTCOM"/>
    <s v="Oman"/>
    <x v="19"/>
    <n v="8"/>
    <x v="9"/>
    <m/>
    <m/>
    <m/>
    <m/>
    <m/>
    <m/>
    <m/>
    <m/>
    <m/>
    <m/>
    <s v="ETF"/>
    <s v="ETF-05"/>
    <s v="South Sea Fleet"/>
    <s v="DDG168 Guangzhou, FFG568 Hengyang, AOR887 Weishan Hu; uncertain, could also be ETF-6"/>
  </r>
  <r>
    <s v="Senior Level Visit"/>
    <s v="Europe"/>
    <s v="Europe and Central Asia"/>
    <s v="Strategic Partnership [战略伙伴关系]"/>
    <s v="None"/>
    <s v="EUCOM"/>
    <s v="Serbia"/>
    <x v="19"/>
    <n v="8"/>
    <x v="3"/>
    <s v="Liang Guanglie"/>
    <m/>
    <s v="Defense Minister; CMC Member"/>
    <n v="8"/>
    <s v="Hosted"/>
    <s v="Defense Minister"/>
    <m/>
    <m/>
    <m/>
    <m/>
    <m/>
    <m/>
    <m/>
    <m/>
  </r>
  <r>
    <s v="Senior Level Visit"/>
    <s v="Southeast Asia"/>
    <s v="Asia"/>
    <s v="Strategic Partnership [战略伙伴关系]"/>
    <s v="Bilateral Defense Treaty"/>
    <s v="INDOPACOM"/>
    <s v="Thailand"/>
    <x v="19"/>
    <n v="8"/>
    <x v="3"/>
    <s v="Ma Xiaotian"/>
    <m/>
    <s v="GSD DCGS"/>
    <n v="6"/>
    <s v="Hosted"/>
    <s v="Permanent Secretary of Ministry of Defense"/>
    <m/>
    <m/>
    <m/>
    <m/>
    <m/>
    <m/>
    <m/>
    <m/>
  </r>
  <r>
    <s v="Military Exercise"/>
    <s v="Oceania"/>
    <s v="America and Oceania"/>
    <s v="No Specific Relationship"/>
    <s v="ANZUS Treaty"/>
    <s v="INDOPACOM"/>
    <s v="Australia"/>
    <x v="19"/>
    <n v="9"/>
    <x v="5"/>
    <m/>
    <m/>
    <m/>
    <m/>
    <m/>
    <m/>
    <s v="Combat"/>
    <m/>
    <s v="Navy"/>
    <s v="SAREX in Yellow Sea; Included Live Fire exercise"/>
    <m/>
    <m/>
    <m/>
    <m/>
  </r>
  <r>
    <s v="Naval Port Call"/>
    <s v="Oceania"/>
    <s v="America and Oceania"/>
    <s v="No Specific Relationship"/>
    <s v="ANZUS Treaty"/>
    <s v="INDOPACOM"/>
    <s v="Australia"/>
    <x v="19"/>
    <n v="9"/>
    <x v="0"/>
    <m/>
    <m/>
    <m/>
    <m/>
    <m/>
    <m/>
    <m/>
    <m/>
    <m/>
    <m/>
    <s v="NETF"/>
    <s v="2009-10 Zhenghe "/>
    <s v="North Sea Fleet"/>
    <s v=" training ship Zhenghe and frigate Mianyang in Sydney and Darwin"/>
  </r>
  <r>
    <s v="Senior Level Visit"/>
    <s v="Europe"/>
    <s v="Europe and Central Asia"/>
    <s v="Strategic Partnership [战略伙伴关系]"/>
    <s v="NATO"/>
    <s v="EUCOM"/>
    <s v="Belarus"/>
    <x v="19"/>
    <n v="9"/>
    <x v="4"/>
    <s v="Wang Guosheng"/>
    <m/>
    <s v="Lanzhou MR Commander"/>
    <n v="6"/>
    <s v="Abroad"/>
    <m/>
    <m/>
    <m/>
    <m/>
    <m/>
    <m/>
    <m/>
    <m/>
    <m/>
  </r>
  <r>
    <s v="Senior Level Visit"/>
    <s v="South America"/>
    <s v="America and Oceania"/>
    <s v="Comprehensive Strategic Partnership [全面战略伙伴关系]"/>
    <s v="None"/>
    <s v="SOUTHCOM"/>
    <s v="Brazil"/>
    <x v="19"/>
    <n v="9"/>
    <x v="4"/>
    <s v="Liang Guanglie"/>
    <m/>
    <s v="Defense Minister; CMC Member"/>
    <n v="8"/>
    <s v="Abroad"/>
    <s v="Defense Minister"/>
    <m/>
    <m/>
    <m/>
    <m/>
    <m/>
    <m/>
    <m/>
    <m/>
  </r>
  <r>
    <s v="Senior Level Visit"/>
    <s v="Southeast Asia"/>
    <s v="Asia"/>
    <s v="Comprehensive Strategic Cooperative Partnership [全面战略合作伙伴关系]"/>
    <s v="None"/>
    <s v="INDOPACOM"/>
    <s v="Cambodia"/>
    <x v="19"/>
    <n v="9"/>
    <x v="3"/>
    <s v="Liang Guanglie"/>
    <m/>
    <s v="Defense Minister; CMC Member"/>
    <n v="8"/>
    <s v="Hosted"/>
    <s v="Deputy Prime Minister and Defense Minister"/>
    <m/>
    <m/>
    <m/>
    <m/>
    <m/>
    <m/>
    <m/>
    <m/>
  </r>
  <r>
    <s v="Senior Level Visit"/>
    <s v="South America"/>
    <s v="America and Oceania"/>
    <s v="Comprehensive Partnership [全面伙伴关系]"/>
    <s v="None"/>
    <s v="SOUTHCOM"/>
    <s v="Chile"/>
    <x v="19"/>
    <n v="9"/>
    <x v="4"/>
    <s v="Li Jinai"/>
    <m/>
    <s v="GPD Director; CMC Member"/>
    <n v="8"/>
    <s v="Abroad"/>
    <m/>
    <m/>
    <m/>
    <m/>
    <m/>
    <m/>
    <m/>
    <m/>
    <m/>
  </r>
  <r>
    <s v="Naval Port Call"/>
    <s v="Middle East"/>
    <s v="West Asia and Africa"/>
    <s v="No Specific Relationship"/>
    <s v="None"/>
    <s v="CENTCOM"/>
    <s v="Djibouti"/>
    <x v="19"/>
    <n v="9"/>
    <x v="9"/>
    <m/>
    <m/>
    <m/>
    <m/>
    <m/>
    <m/>
    <m/>
    <m/>
    <m/>
    <m/>
    <s v="ETF"/>
    <s v="ETF-06"/>
    <s v="South Sea Fleet"/>
    <s v="LPD998 Kunlun Shan, DDG170 Lanzhou, AOR887 Weishan Hu"/>
  </r>
  <r>
    <s v="Senior Level Visit"/>
    <s v="Middle East"/>
    <s v="West Asia and Africa"/>
    <s v="Strategic Cooperative Partnership [战略合作伙伴关系]"/>
    <s v="Major Non-NATO Ally"/>
    <s v="CENTCOM"/>
    <s v="Egypt"/>
    <x v="19"/>
    <n v="9"/>
    <x v="4"/>
    <s v="Ma Xiaotian"/>
    <m/>
    <s v="GSD DCGS"/>
    <n v="6"/>
    <s v="Abroad"/>
    <m/>
    <m/>
    <m/>
    <m/>
    <m/>
    <m/>
    <m/>
    <m/>
    <m/>
  </r>
  <r>
    <s v="Senior Level Visit"/>
    <s v="Middle East"/>
    <s v="West Asia and Africa"/>
    <s v="No Specific Relationship"/>
    <s v="Major Non-NATO Ally"/>
    <s v="CENTCOM"/>
    <s v="Jordan"/>
    <x v="19"/>
    <n v="9"/>
    <x v="4"/>
    <s v="Ma Xiaotian"/>
    <m/>
    <s v="GSD DCGS"/>
    <n v="6"/>
    <s v="Abroad"/>
    <m/>
    <m/>
    <m/>
    <m/>
    <m/>
    <m/>
    <m/>
    <m/>
    <m/>
  </r>
  <r>
    <s v="Senior Level Visit"/>
    <s v="Central Asia"/>
    <s v="Europe and Central Asia"/>
    <s v="Strategic Partnership [战略伙伴关系]"/>
    <s v="None"/>
    <s v="CENTCOM"/>
    <s v="Kazakhstan"/>
    <x v="19"/>
    <n v="9"/>
    <x v="4"/>
    <s v="Chen Bingde"/>
    <m/>
    <s v="GSD Commander; CMC Member"/>
    <n v="8"/>
    <s v="Abroad"/>
    <m/>
    <m/>
    <m/>
    <m/>
    <m/>
    <m/>
    <m/>
    <m/>
    <m/>
  </r>
  <r>
    <s v="Senior Level Visit"/>
    <s v="Africa"/>
    <s v="West Asia and Africa"/>
    <s v="No Specific Relationship"/>
    <s v="None"/>
    <s v="AFRICOM"/>
    <s v="Kenya"/>
    <x v="19"/>
    <n v="9"/>
    <x v="4"/>
    <s v="Sun Dafa"/>
    <m/>
    <s v="GLD Political Commissar"/>
    <n v="6"/>
    <s v="Abroad"/>
    <m/>
    <m/>
    <m/>
    <m/>
    <m/>
    <m/>
    <m/>
    <m/>
    <m/>
  </r>
  <r>
    <s v="Senior Level Visit"/>
    <s v="Middle East"/>
    <s v="West Asia and Africa"/>
    <s v="No Specific Relationship"/>
    <s v="Major Non-NATO Ally"/>
    <s v="CENTCOM"/>
    <s v="Kuwait"/>
    <x v="19"/>
    <n v="9"/>
    <x v="3"/>
    <s v="Sun Jianguo"/>
    <m/>
    <s v="GSD DCGS"/>
    <n v="6"/>
    <s v="Hosted"/>
    <s v="Assistant to COGS"/>
    <m/>
    <m/>
    <m/>
    <m/>
    <m/>
    <m/>
    <m/>
    <m/>
  </r>
  <r>
    <s v="Senior Level Visit"/>
    <s v="Southeast Asia"/>
    <s v="Asia"/>
    <s v="Strategic Cooperative Partnership [战略合作伙伴关系]"/>
    <s v="None"/>
    <s v="INDOPACOM"/>
    <s v="Malaysia"/>
    <x v="19"/>
    <n v="9"/>
    <x v="4"/>
    <s v="Sun Dafa"/>
    <m/>
    <s v="GLD Political Commissar"/>
    <n v="6"/>
    <s v="Abroad"/>
    <m/>
    <m/>
    <m/>
    <m/>
    <m/>
    <m/>
    <m/>
    <m/>
    <m/>
  </r>
  <r>
    <s v="Senior Level Visit"/>
    <s v="Oceania"/>
    <s v="America and Oceania"/>
    <s v="No Specific Relationship"/>
    <s v="ANZUS Treaty"/>
    <s v="INDOPACOM"/>
    <s v="New Zealand"/>
    <x v="19"/>
    <n v="9"/>
    <x v="4"/>
    <s v="Li Jinai"/>
    <m/>
    <s v="GPD Director; CMC Member"/>
    <n v="8"/>
    <s v="Abroad"/>
    <m/>
    <m/>
    <m/>
    <m/>
    <m/>
    <m/>
    <m/>
    <m/>
    <m/>
  </r>
  <r>
    <s v="Naval Port Call"/>
    <s v="Oceania"/>
    <s v="America and Oceania"/>
    <s v="No Specific Relationship"/>
    <s v="ANZUS Treaty"/>
    <s v="INDOPACOM"/>
    <s v="New Zealand"/>
    <x v="19"/>
    <n v="9"/>
    <x v="0"/>
    <m/>
    <m/>
    <m/>
    <m/>
    <m/>
    <m/>
    <m/>
    <m/>
    <m/>
    <m/>
    <s v="NETF"/>
    <s v="2009-10 Zhenghe "/>
    <s v="North Sea Fleet"/>
    <s v=" training ship Zhenghe and frigate Mianyang in Auckland"/>
  </r>
  <r>
    <s v="Senior Level Visit"/>
    <s v="South Asia"/>
    <s v="Asia"/>
    <s v="Strategic Partnership [战略伙伴关系]"/>
    <s v="Major Non-NATO Ally"/>
    <s v="CENTCOM"/>
    <s v="Pakistan"/>
    <x v="19"/>
    <n v="9"/>
    <x v="3"/>
    <s v="Ma Xiaotian"/>
    <m/>
    <s v="GSD DCGS"/>
    <n v="6"/>
    <s v="Hosted"/>
    <s v="Chief of Naval Staff"/>
    <m/>
    <m/>
    <m/>
    <m/>
    <m/>
    <m/>
    <m/>
    <m/>
  </r>
  <r>
    <s v="Military Exercise"/>
    <s v="Central Asia"/>
    <s v="Europe and Central Asia"/>
    <s v="Member"/>
    <s v="None"/>
    <s v="CENTCOM"/>
    <s v="SCO"/>
    <x v="19"/>
    <n v="9"/>
    <x v="6"/>
    <m/>
    <m/>
    <m/>
    <m/>
    <m/>
    <m/>
    <s v="Combat"/>
    <s v="Peace Mission 2010"/>
    <s v="Joint"/>
    <s v="Army, Navy, Air Force, SOF; anti-terrorism. Other countries: Kazakhstan, Kyrgyzstan, Russia, Tajikistan. Drills in  Kazakhstan from Sept. 9 to 25 "/>
    <m/>
    <m/>
    <m/>
    <m/>
  </r>
  <r>
    <s v="Naval Port Call"/>
    <s v="Southeast Asia"/>
    <s v="Asia"/>
    <s v="No Specific Relationship"/>
    <s v="None"/>
    <s v="INDOPACOM"/>
    <s v="Singapore"/>
    <x v="19"/>
    <n v="9"/>
    <x v="11"/>
    <m/>
    <m/>
    <m/>
    <m/>
    <m/>
    <m/>
    <m/>
    <m/>
    <m/>
    <m/>
    <s v="ETF"/>
    <s v="ETF-05"/>
    <s v="South Sea Fleet"/>
    <s v="DDG168 Guangzhou, FFG568 Hengyang, AOR887 Weishan Hu"/>
  </r>
  <r>
    <s v="Military Exercise"/>
    <s v="Southeast Asia"/>
    <s v="Asia"/>
    <s v="No Specific Relationship"/>
    <s v="None"/>
    <s v="INDOPACOM"/>
    <s v="Singapore"/>
    <x v="19"/>
    <n v="9"/>
    <x v="5"/>
    <m/>
    <m/>
    <m/>
    <m/>
    <m/>
    <m/>
    <s v="Anti-piracy"/>
    <s v="Cooperation 2010"/>
    <s v="Navy"/>
    <s v="Changji 5-7 Sept. 2010, anti-piracy ETF joint drills, friendly visit, and replenish/overhaul; Six Years p. 131"/>
    <m/>
    <m/>
    <m/>
    <m/>
  </r>
  <r>
    <s v="Senior Level Visit"/>
    <s v="South Asia"/>
    <s v="Asia"/>
    <s v="Comprehensive Cooperative Partnership [全面合作伙伴关系]"/>
    <s v="None"/>
    <s v="INDOPACOM"/>
    <s v="Sri Lanka"/>
    <x v="19"/>
    <n v="9"/>
    <x v="3"/>
    <s v="Chen Bingde"/>
    <m/>
    <s v="GSD Commander; CMC Member"/>
    <n v="8"/>
    <s v="Hosted"/>
    <s v="Permanent Secretary of Ministry of Defense"/>
    <m/>
    <m/>
    <m/>
    <m/>
    <m/>
    <m/>
    <m/>
    <m/>
  </r>
  <r>
    <s v="Senior Level Visit"/>
    <s v="Europe"/>
    <s v="Europe and Central Asia"/>
    <s v="No Specific Relationship"/>
    <s v="None"/>
    <s v="EUCOM"/>
    <s v="Switzerland"/>
    <x v="19"/>
    <n v="9"/>
    <x v="3"/>
    <s v="Chen Bingde"/>
    <m/>
    <s v="GSD Commander; CMC Member"/>
    <n v="8"/>
    <s v="Hosted"/>
    <s v="Chief of the Armed Forces"/>
    <m/>
    <m/>
    <m/>
    <m/>
    <m/>
    <m/>
    <m/>
    <m/>
  </r>
  <r>
    <s v="Senior Level Visit"/>
    <s v="Southeast Asia"/>
    <s v="Asia"/>
    <s v="Strategic Partnership [战略伙伴关系]"/>
    <s v="Bilateral Defense Treaty"/>
    <s v="INDOPACOM"/>
    <s v="Thailand"/>
    <x v="19"/>
    <n v="9"/>
    <x v="3"/>
    <s v="Liang Guanglie"/>
    <m/>
    <s v="Defense Minister; CMC Member"/>
    <n v="8"/>
    <s v="Hosted"/>
    <s v="CinC Air Force"/>
    <m/>
    <m/>
    <m/>
    <m/>
    <m/>
    <m/>
    <m/>
    <m/>
  </r>
  <r>
    <s v="Military Exercise"/>
    <s v="Europe"/>
    <s v="Europe and Central Asia"/>
    <s v="Strategic Cooperative Partnership [战略合作伙伴关系]"/>
    <s v="NATO"/>
    <s v="EUCOM"/>
    <s v="Turkey"/>
    <x v="19"/>
    <n v="9"/>
    <x v="5"/>
    <m/>
    <m/>
    <m/>
    <m/>
    <m/>
    <m/>
    <s v="Combat"/>
    <s v="Anatolian Eagle"/>
    <s v="Air Force"/>
    <s v="Operational aerial maneuvers"/>
    <m/>
    <m/>
    <m/>
    <m/>
  </r>
  <r>
    <s v="Senior Level Visit"/>
    <s v="Southeast Asia"/>
    <s v="Asia"/>
    <s v="Strategic Partnership [战略伙伴关系] for Peace and Prosperity"/>
    <s v="None"/>
    <s v="INDOPACOM"/>
    <s v="ASEAN"/>
    <x v="19"/>
    <n v="10"/>
    <x v="1"/>
    <s v="Liang Guanglie"/>
    <m/>
    <s v="Defense Minister; CMC Member"/>
    <n v="8"/>
    <s v="Abroad"/>
    <s v="1st ADMM+"/>
    <m/>
    <m/>
    <m/>
    <m/>
    <m/>
    <m/>
    <m/>
    <m/>
  </r>
  <r>
    <s v="Senior Level Visit"/>
    <s v="Europe"/>
    <s v="Europe and Central Asia"/>
    <s v="No Specific Relationship"/>
    <s v="NATO"/>
    <s v="EUCOM"/>
    <s v="Austria"/>
    <x v="19"/>
    <n v="10"/>
    <x v="3"/>
    <s v="Ma Xiaotian"/>
    <m/>
    <s v="GSD DCGS"/>
    <n v="6"/>
    <s v="Hosted"/>
    <s v="Director Security Policy Directorate"/>
    <m/>
    <m/>
    <m/>
    <m/>
    <m/>
    <m/>
    <m/>
    <m/>
  </r>
  <r>
    <s v="Senior Level Visit"/>
    <s v="Europe"/>
    <s v="Europe and Central Asia"/>
    <s v="No Specific Relationship"/>
    <s v="None"/>
    <s v="EUCOM"/>
    <s v="Azerbaijan"/>
    <x v="19"/>
    <n v="10"/>
    <x v="3"/>
    <s v="Chen Bingde"/>
    <m/>
    <s v="GSD Commander; CMC Member"/>
    <n v="8"/>
    <s v="Hosted"/>
    <s v="Defense Minister"/>
    <m/>
    <m/>
    <m/>
    <m/>
    <m/>
    <m/>
    <m/>
    <m/>
  </r>
  <r>
    <s v="Senior Level Visit"/>
    <s v="Europe"/>
    <s v="Europe and Central Asia"/>
    <s v="No Specific Relationship"/>
    <s v="None"/>
    <s v="EUCOM"/>
    <s v="Azerbaijan"/>
    <x v="19"/>
    <n v="10"/>
    <x v="3"/>
    <s v="Xu Caihou"/>
    <m/>
    <s v="CMC Vice Chairman"/>
    <n v="10"/>
    <s v="Hosted"/>
    <s v="Defense Minister"/>
    <m/>
    <m/>
    <m/>
    <m/>
    <m/>
    <m/>
    <m/>
    <m/>
  </r>
  <r>
    <s v="Senior Level Visit"/>
    <s v="Europe"/>
    <s v="Europe and Central Asia"/>
    <s v="No Specific Relationship"/>
    <s v="None"/>
    <s v="EUCOM"/>
    <s v="Bulgaria"/>
    <x v="19"/>
    <n v="10"/>
    <x v="4"/>
    <s v="Ma Xiaotian"/>
    <m/>
    <s v="GSD DCGS"/>
    <n v="6"/>
    <s v="Abroad"/>
    <m/>
    <m/>
    <m/>
    <m/>
    <m/>
    <m/>
    <m/>
    <m/>
    <m/>
  </r>
  <r>
    <s v="Senior Level Visit"/>
    <s v="Europe"/>
    <s v="Europe and Central Asia"/>
    <s v="No Specific Relationship"/>
    <s v="None"/>
    <s v="EUCOM"/>
    <s v="Finland"/>
    <x v="19"/>
    <n v="10"/>
    <x v="3"/>
    <s v="Ma Xiaotian"/>
    <m/>
    <s v="GSD DCGS"/>
    <n v="6"/>
    <s v="Hosted"/>
    <s v="Director Planning and Policy Bureau, National Defense Staff"/>
    <m/>
    <m/>
    <m/>
    <m/>
    <m/>
    <m/>
    <m/>
    <m/>
  </r>
  <r>
    <s v="Senior Level Visit"/>
    <s v="Europe"/>
    <s v="Europe and Central Asia"/>
    <s v="Comprehensive Strategic Partnership [全面战略伙伴关系]"/>
    <s v="NATO"/>
    <s v="EUCOM"/>
    <s v="Italy"/>
    <x v="19"/>
    <n v="10"/>
    <x v="3"/>
    <s v="Liang Guanglie"/>
    <m/>
    <s v="Defense Minister; CMC Member"/>
    <n v="8"/>
    <s v="Hosted"/>
    <s v="Chief of Defense Staff"/>
    <m/>
    <m/>
    <m/>
    <m/>
    <m/>
    <m/>
    <m/>
    <m/>
  </r>
  <r>
    <s v="Senior Level Visit"/>
    <s v="Northeast Asia"/>
    <s v="Asia"/>
    <s v="Mutually Beneficial Strategic Relationship [战略互惠关系]"/>
    <s v="Bilateral Defense Treaty"/>
    <s v="INDOPACOM"/>
    <s v="Japan"/>
    <x v="19"/>
    <n v="10"/>
    <x v="7"/>
    <s v="Liang Guanglie"/>
    <m/>
    <s v="Defense Minister; CMC Member"/>
    <n v="8"/>
    <s v="Abroad"/>
    <s v="Defense Minister"/>
    <m/>
    <m/>
    <m/>
    <m/>
    <m/>
    <m/>
    <m/>
    <m/>
  </r>
  <r>
    <s v="Naval Port Call"/>
    <s v="Africa"/>
    <s v="West Asia and Africa"/>
    <s v="No Specific Relationship"/>
    <s v="None"/>
    <s v="AFRICOM"/>
    <s v="Kenya"/>
    <x v="19"/>
    <n v="10"/>
    <x v="12"/>
    <m/>
    <m/>
    <m/>
    <m/>
    <m/>
    <m/>
    <m/>
    <m/>
    <m/>
    <m/>
    <s v="NETF"/>
    <s v="2010-11 Peace Ark "/>
    <s v="East Sea Fleet"/>
    <m/>
  </r>
  <r>
    <s v="Senior Level Visit"/>
    <s v="Southeast Asia"/>
    <s v="Asia"/>
    <s v="Comprehensive Strategic Cooperative Partnership [全面战略合作伙伴关系]"/>
    <s v="None"/>
    <s v="INDOPACOM"/>
    <s v="Laos"/>
    <x v="19"/>
    <n v="10"/>
    <x v="7"/>
    <s v="Liang Guanglie"/>
    <m/>
    <s v="Defense Minister; CMC Member"/>
    <n v="8"/>
    <s v="Abroad"/>
    <s v="Deputy Prime Minister and Defense Minister"/>
    <m/>
    <m/>
    <m/>
    <m/>
    <m/>
    <m/>
    <m/>
    <m/>
  </r>
  <r>
    <s v="Senior Level Visit"/>
    <s v="Northeast Asia"/>
    <s v="Asia"/>
    <s v="Bilateral Defense Treaty"/>
    <s v="None"/>
    <s v="INDOPACOM"/>
    <s v="North Korea"/>
    <x v="19"/>
    <n v="10"/>
    <x v="4"/>
    <s v="Guo Boxiong"/>
    <m/>
    <s v="CMC Vice Chairman"/>
    <n v="10"/>
    <s v="Abroad"/>
    <s v="KPA Vice Marshal, Vice Chairman CMC and COGS KPA"/>
    <m/>
    <m/>
    <m/>
    <m/>
    <m/>
    <m/>
    <m/>
    <m/>
  </r>
  <r>
    <s v="Senior Level Visit"/>
    <s v="Europe"/>
    <s v="Europe and Central Asia"/>
    <s v="No Specific Relationship"/>
    <s v="NATO"/>
    <s v="EUCOM"/>
    <s v="Poland"/>
    <x v="19"/>
    <n v="10"/>
    <x v="3"/>
    <s v="Liang Guanglie"/>
    <m/>
    <s v="Defense Minister; CMC Member"/>
    <n v="8"/>
    <s v="Hosted"/>
    <s v="COGS"/>
    <m/>
    <m/>
    <m/>
    <m/>
    <m/>
    <m/>
    <m/>
    <m/>
  </r>
  <r>
    <s v="Senior Level Visit"/>
    <s v="Europe"/>
    <s v="Europe and Central Asia"/>
    <s v="No Specific Relationship"/>
    <s v="NATO"/>
    <s v="EUCOM"/>
    <s v="Poland"/>
    <x v="19"/>
    <n v="10"/>
    <x v="4"/>
    <s v="Ma Xiaotian"/>
    <m/>
    <s v="GSD DCGS"/>
    <n v="6"/>
    <s v="Abroad"/>
    <m/>
    <m/>
    <m/>
    <m/>
    <m/>
    <m/>
    <m/>
    <m/>
    <m/>
  </r>
  <r>
    <s v="Senior Level Visit"/>
    <s v="Africa"/>
    <s v="West Asia and Africa"/>
    <s v="No Specific Relationship"/>
    <s v="None"/>
    <s v="AFRICOM"/>
    <s v="Rwanda"/>
    <x v="19"/>
    <n v="10"/>
    <x v="3"/>
    <s v="Liang Guanglie"/>
    <m/>
    <s v="Defense Minister; CMC Member"/>
    <n v="8"/>
    <s v="Hosted"/>
    <s v="Defense Minister"/>
    <m/>
    <m/>
    <m/>
    <m/>
    <m/>
    <m/>
    <m/>
    <m/>
  </r>
  <r>
    <s v="Naval Port Call"/>
    <s v="Africa"/>
    <s v="West Asia and Africa"/>
    <s v="No Specific Relationship"/>
    <s v="None"/>
    <s v="AFRICOM"/>
    <s v="Seychelles"/>
    <x v="19"/>
    <n v="10"/>
    <x v="12"/>
    <m/>
    <m/>
    <m/>
    <m/>
    <m/>
    <m/>
    <m/>
    <m/>
    <m/>
    <m/>
    <s v="NETF"/>
    <s v="2010-11 Peace Ark "/>
    <s v="East Sea Fleet"/>
    <m/>
  </r>
  <r>
    <s v="Naval Port Call"/>
    <s v="Africa"/>
    <s v="West Asia and Africa"/>
    <s v="No Specific Relationship"/>
    <s v="None"/>
    <s v="AFRICOM"/>
    <s v="Tanzania"/>
    <x v="19"/>
    <n v="10"/>
    <x v="12"/>
    <m/>
    <m/>
    <m/>
    <m/>
    <m/>
    <m/>
    <m/>
    <m/>
    <m/>
    <m/>
    <s v="NETF"/>
    <s v="2010-11 Peace Ark "/>
    <s v="East Sea Fleet"/>
    <m/>
  </r>
  <r>
    <s v="Military Exercise"/>
    <s v="Southeast Asia"/>
    <s v="Asia"/>
    <s v="Strategic Partnership [战略伙伴关系]"/>
    <s v="Bilateral Defense Treaty"/>
    <s v="INDOPACOM"/>
    <s v="Thailand"/>
    <x v="19"/>
    <n v="10"/>
    <x v="5"/>
    <m/>
    <m/>
    <m/>
    <m/>
    <m/>
    <m/>
    <s v="Anti-terrorism"/>
    <s v="Strike 2010"/>
    <s v="Army"/>
    <s v="Anti-terrorism"/>
    <m/>
    <m/>
    <m/>
    <m/>
  </r>
  <r>
    <s v="Senior Level Visit"/>
    <s v="Southeast Asia"/>
    <s v="Asia"/>
    <s v="Comprehensive Strategic Cooperative Partnership [全面战略合作伙伴关系]"/>
    <s v="None"/>
    <s v="INDOPACOM"/>
    <s v="Vietnam"/>
    <x v="19"/>
    <n v="10"/>
    <x v="4"/>
    <s v="Liang Guanglie"/>
    <m/>
    <s v="Defense Minister; CMC Member"/>
    <n v="8"/>
    <s v="Abroad"/>
    <s v="Vietnamese Prime Minister"/>
    <m/>
    <m/>
    <m/>
    <m/>
    <m/>
    <m/>
    <m/>
    <m/>
  </r>
  <r>
    <s v="Naval Port Call"/>
    <s v="Middle East"/>
    <s v="West Asia and Africa"/>
    <s v="No Specific Relationship"/>
    <s v="None"/>
    <s v="CENTCOM"/>
    <s v="Yemen"/>
    <x v="19"/>
    <n v="10"/>
    <x v="9"/>
    <m/>
    <m/>
    <m/>
    <m/>
    <m/>
    <m/>
    <m/>
    <m/>
    <m/>
    <m/>
    <s v="ETF"/>
    <s v="ETF-06"/>
    <s v="South Sea Fleet"/>
    <s v="LPD998 Kunlun Shan, DDG170 Lanzhou, AOR887 Weishan Hu"/>
  </r>
  <r>
    <s v="Senior Level Visit"/>
    <s v="Africa"/>
    <s v="West Asia and Africa"/>
    <s v="No Specific Relationship"/>
    <s v="None"/>
    <s v="AFRICOM"/>
    <s v="Zambia"/>
    <x v="19"/>
    <n v="10"/>
    <x v="3"/>
    <s v="Guo Boxiong"/>
    <m/>
    <s v="CMC Vice Chairman"/>
    <n v="10"/>
    <s v="Hosted"/>
    <s v="Defense Minister"/>
    <m/>
    <m/>
    <m/>
    <m/>
    <m/>
    <m/>
    <m/>
    <m/>
  </r>
  <r>
    <s v="Senior Level Visit"/>
    <s v="Oceania"/>
    <s v="America and Oceania"/>
    <s v="No Specific Relationship"/>
    <s v="ANZUS Treaty"/>
    <s v="INDOPACOM"/>
    <s v="Australia"/>
    <x v="19"/>
    <n v="11"/>
    <x v="4"/>
    <s v="Ma Xiaotian"/>
    <m/>
    <s v="GSD DCGS"/>
    <n v="6"/>
    <s v="Abroad"/>
    <m/>
    <m/>
    <m/>
    <m/>
    <m/>
    <m/>
    <m/>
    <m/>
    <m/>
  </r>
  <r>
    <s v="Senior Level Visit"/>
    <s v="South Asia"/>
    <s v="Asia"/>
    <s v="Comprehensive Cooperative Partnership [全面合作伙伴关系]"/>
    <s v="None"/>
    <s v="INDOPACOM"/>
    <s v="Bangladesh"/>
    <x v="19"/>
    <n v="11"/>
    <x v="3"/>
    <s v="Ma Xiaotian"/>
    <m/>
    <s v="GSD DCGS"/>
    <n v="6"/>
    <s v="Hosted"/>
    <s v="Chief of the Army Staff"/>
    <m/>
    <m/>
    <m/>
    <m/>
    <m/>
    <m/>
    <m/>
    <m/>
  </r>
  <r>
    <s v="Naval Port Call"/>
    <s v="South Asia"/>
    <s v="Asia"/>
    <s v="Comprehensive Cooperative Partnership [全面合作伙伴关系]"/>
    <s v="None"/>
    <s v="INDOPACOM"/>
    <s v="Bangladesh"/>
    <x v="19"/>
    <n v="11"/>
    <x v="12"/>
    <m/>
    <m/>
    <m/>
    <m/>
    <m/>
    <m/>
    <m/>
    <m/>
    <m/>
    <m/>
    <s v="NETF"/>
    <s v="2010-11 Peace Ark "/>
    <s v="East Sea Fleet"/>
    <s v="http://eng.chinamil.com.cn/special-reports/2010-11/15/content_4674260.htm"/>
  </r>
  <r>
    <s v="Senior Level Visit"/>
    <s v="South America"/>
    <s v="America and Oceania"/>
    <s v="Comprehensive Strategic Partnership [全面战略伙伴关系]"/>
    <s v="None"/>
    <s v="SOUTHCOM"/>
    <s v="Brazil"/>
    <x v="19"/>
    <n v="11"/>
    <x v="4"/>
    <s v="Wu Shengli"/>
    <m/>
    <s v="PLAN Commander; CMC Member"/>
    <n v="8"/>
    <s v="Abroad"/>
    <m/>
    <m/>
    <m/>
    <m/>
    <m/>
    <m/>
    <m/>
    <m/>
    <m/>
  </r>
  <r>
    <s v="Senior Level Visit"/>
    <s v="South America"/>
    <s v="America and Oceania"/>
    <s v="Comprehensive Partnership [全面伙伴关系]"/>
    <s v="None"/>
    <s v="SOUTHCOM"/>
    <s v="Chile"/>
    <x v="19"/>
    <n v="11"/>
    <x v="4"/>
    <s v="Wu Shengli"/>
    <m/>
    <s v="PLAN Commander; CMC Member"/>
    <n v="8"/>
    <s v="Abroad"/>
    <m/>
    <m/>
    <m/>
    <m/>
    <m/>
    <m/>
    <m/>
    <m/>
    <m/>
  </r>
  <r>
    <s v="Senior Level Visit"/>
    <s v="South America"/>
    <s v="America and Oceania"/>
    <s v="No Specific Relationship"/>
    <s v="None"/>
    <s v="SOUTHCOM"/>
    <s v="Ecuador"/>
    <x v="19"/>
    <n v="11"/>
    <x v="4"/>
    <s v="Chen Bingde"/>
    <m/>
    <s v="GSD Commander; CMC Member"/>
    <n v="8"/>
    <s v="Abroad"/>
    <m/>
    <m/>
    <m/>
    <m/>
    <m/>
    <m/>
    <m/>
    <m/>
    <m/>
  </r>
  <r>
    <s v="Senior Level Visit"/>
    <s v="Africa"/>
    <s v="West Asia and Africa"/>
    <s v="No Specific Relationship"/>
    <s v="None"/>
    <s v="AFRICOM"/>
    <s v="Ethiopia"/>
    <x v="19"/>
    <n v="11"/>
    <x v="4"/>
    <s v="Li Changcai"/>
    <m/>
    <s v="Lanzhou MR Political Commissar"/>
    <n v="6"/>
    <s v="Abroad"/>
    <m/>
    <m/>
    <m/>
    <m/>
    <m/>
    <m/>
    <m/>
    <m/>
    <m/>
  </r>
  <r>
    <s v="Senior Level Visit"/>
    <s v="Europe"/>
    <s v="Europe and Central Asia"/>
    <s v="Strategic Partnership [战略伙伴关系]"/>
    <s v="NATO"/>
    <s v="EUCOM"/>
    <s v="Germany"/>
    <x v="19"/>
    <n v="11"/>
    <x v="3"/>
    <s v="Chen Bingde"/>
    <m/>
    <s v="GSD Commander; CMC Member"/>
    <n v="8"/>
    <s v="Hosted"/>
    <s v="Defense Minister"/>
    <m/>
    <m/>
    <m/>
    <m/>
    <m/>
    <m/>
    <m/>
    <m/>
  </r>
  <r>
    <s v="Senior Level Visit"/>
    <s v="Southeast Asia"/>
    <s v="Asia"/>
    <s v="Strategic Partnership [战略伙伴关系]"/>
    <s v="None"/>
    <s v="INDOPACOM"/>
    <s v="Indonesia"/>
    <x v="19"/>
    <n v="11"/>
    <x v="4"/>
    <s v="Ma Xiaotian"/>
    <m/>
    <s v="GSD DCGS"/>
    <n v="6"/>
    <s v="Abroad"/>
    <m/>
    <m/>
    <m/>
    <m/>
    <m/>
    <m/>
    <m/>
    <m/>
    <m/>
  </r>
  <r>
    <s v="Senior Level Visit"/>
    <s v="Middle East"/>
    <s v="West Asia and Africa"/>
    <s v="No Specific Relationship"/>
    <s v="Major Non-NATO Ally"/>
    <s v="CENTCOM"/>
    <s v="Jordan"/>
    <x v="19"/>
    <n v="11"/>
    <x v="4"/>
    <s v="Xu Caihou"/>
    <m/>
    <s v="CMC Vice Chairman"/>
    <n v="10"/>
    <s v="Abroad"/>
    <s v="Chairman JCS"/>
    <m/>
    <m/>
    <m/>
    <m/>
    <m/>
    <m/>
    <m/>
    <m/>
  </r>
  <r>
    <s v="Senior Level Visit"/>
    <s v="Europe"/>
    <s v="Europe and Central Asia"/>
    <s v="No Specific Relationship"/>
    <s v="NATO"/>
    <s v="EUCOM"/>
    <s v="Netherlands"/>
    <x v="19"/>
    <n v="11"/>
    <x v="3"/>
    <s v="Liang Guanglie"/>
    <m/>
    <s v="Defense Minister; CMC Member"/>
    <n v="8"/>
    <s v="Hosted"/>
    <s v="Navy Commander"/>
    <m/>
    <m/>
    <m/>
    <m/>
    <m/>
    <m/>
    <m/>
    <m/>
  </r>
  <r>
    <s v="Senior Level Visit"/>
    <s v="Oceania"/>
    <s v="America and Oceania"/>
    <s v="No Specific Relationship"/>
    <s v="ANZUS Treaty"/>
    <s v="INDOPACOM"/>
    <s v="New Zealand"/>
    <x v="19"/>
    <n v="11"/>
    <x v="4"/>
    <s v="Ma Xiaotian"/>
    <m/>
    <s v="GSD DCGS"/>
    <n v="6"/>
    <s v="Abroad"/>
    <m/>
    <m/>
    <m/>
    <m/>
    <m/>
    <m/>
    <m/>
    <m/>
    <m/>
  </r>
  <r>
    <s v="Senior Level Visit"/>
    <s v="Africa"/>
    <s v="West Asia and Africa"/>
    <s v="Strategic Partnership [战略伙伴关系]"/>
    <s v="None"/>
    <s v="AFRICOM"/>
    <s v="Nigeria"/>
    <x v="19"/>
    <n v="11"/>
    <x v="3"/>
    <s v="Xu Qiliang"/>
    <m/>
    <s v="PLAAF Commander; CMC Member"/>
    <n v="8"/>
    <s v="Hosted"/>
    <s v="Chief of Air Staff"/>
    <m/>
    <m/>
    <m/>
    <m/>
    <m/>
    <m/>
    <m/>
    <m/>
  </r>
  <r>
    <s v="Senior Level Visit"/>
    <s v="South Asia"/>
    <s v="Asia"/>
    <s v="Strategic Partnership [战略伙伴关系]"/>
    <s v="Major Non-NATO Ally"/>
    <s v="CENTCOM"/>
    <s v="Pakistan"/>
    <x v="19"/>
    <n v="11"/>
    <x v="3"/>
    <s v="Xu Qiliang"/>
    <m/>
    <s v="PLAAF Commander; CMC Member"/>
    <n v="8"/>
    <s v="Hosted"/>
    <s v="Chief of the Air Staff"/>
    <m/>
    <m/>
    <m/>
    <m/>
    <m/>
    <m/>
    <m/>
    <m/>
  </r>
  <r>
    <s v="Military Exercise"/>
    <s v="South America"/>
    <s v="America and Oceania"/>
    <s v="Strategic Partnership [战略伙伴关系]"/>
    <s v="None"/>
    <s v="SOUTHCOM"/>
    <s v="Peru"/>
    <x v="19"/>
    <n v="11"/>
    <x v="5"/>
    <m/>
    <m/>
    <m/>
    <m/>
    <m/>
    <m/>
    <s v="MOOTW"/>
    <s v="Peace Angel 2010"/>
    <s v="Army"/>
    <s v=" "/>
    <m/>
    <m/>
    <m/>
    <s v=" "/>
  </r>
  <r>
    <s v="Senior Level Visit"/>
    <s v="South America"/>
    <s v="America and Oceania"/>
    <s v="Strategic Partnership [战略伙伴关系]"/>
    <s v="None"/>
    <s v="SOUTHCOM"/>
    <s v="Peru"/>
    <x v="19"/>
    <n v="11"/>
    <x v="4"/>
    <s v="Chen Bingde"/>
    <m/>
    <s v="GSD Commander; CMC Member"/>
    <n v="8"/>
    <s v="Abroad"/>
    <m/>
    <m/>
    <m/>
    <m/>
    <m/>
    <m/>
    <m/>
    <m/>
    <m/>
  </r>
  <r>
    <s v="Senior Level Visit"/>
    <s v="Southeast Asia"/>
    <s v="Asia"/>
    <s v="Strategic Cooperative Partnership [战略合作伙伴关系]"/>
    <s v="Bilateral Defense Treaty"/>
    <s v="INDOPACOM"/>
    <s v="Philippines"/>
    <x v="19"/>
    <n v="11"/>
    <x v="4"/>
    <s v="Ma Xiaotian"/>
    <m/>
    <s v="GSD DCGS"/>
    <n v="6"/>
    <s v="Abroad"/>
    <m/>
    <m/>
    <m/>
    <m/>
    <m/>
    <m/>
    <m/>
    <m/>
    <m/>
  </r>
  <r>
    <s v="Senior Level Visit"/>
    <s v="Europe"/>
    <s v="Europe and Central Asia"/>
    <s v="Comprehensive Friendly Cooperative Partnership [全面友好合作伙伴关系]"/>
    <s v="NATO"/>
    <s v="EUCOM"/>
    <s v="Romania"/>
    <x v="19"/>
    <n v="11"/>
    <x v="3"/>
    <s v="Guo Boxiong"/>
    <m/>
    <s v="CMC Vice Chairman"/>
    <n v="10"/>
    <s v="Hosted"/>
    <s v="Defense Minister"/>
    <m/>
    <m/>
    <m/>
    <m/>
    <m/>
    <m/>
    <m/>
    <m/>
  </r>
  <r>
    <s v="Military Exercise"/>
    <s v="Europe"/>
    <s v="Europe and Central Asia"/>
    <s v="Comprehensive Friendly Cooperative Partnership [全面友好合作伙伴关系]"/>
    <s v="NATO"/>
    <s v="EUCOM"/>
    <s v="Romania"/>
    <x v="19"/>
    <n v="11"/>
    <x v="5"/>
    <m/>
    <m/>
    <m/>
    <m/>
    <m/>
    <m/>
    <s v="Anti-terrorism"/>
    <s v="Friendship Operation 2010"/>
    <s v="Army"/>
    <s v="Mountain troops"/>
    <m/>
    <m/>
    <m/>
    <m/>
  </r>
  <r>
    <s v="Senior Level Visit"/>
    <s v="Russia"/>
    <s v="Europe and Central Asia"/>
    <s v="Strategic Partnership of Coordination [战略协作伙伴关系]"/>
    <s v="None"/>
    <s v="EUCOM"/>
    <s v="Russia"/>
    <x v="19"/>
    <n v="11"/>
    <x v="3"/>
    <s v="Liang Guanglie"/>
    <m/>
    <s v="Defense Minister; CMC Member"/>
    <n v="8"/>
    <s v="Hosted"/>
    <s v="Defense Minister"/>
    <m/>
    <m/>
    <m/>
    <m/>
    <m/>
    <m/>
    <m/>
    <m/>
  </r>
  <r>
    <s v="Naval Port Call"/>
    <s v="Middle East"/>
    <s v="West Asia and Africa"/>
    <s v="No Specific Relationship"/>
    <s v="None"/>
    <s v="CENTCOM"/>
    <s v="Saudi Arabia"/>
    <x v="19"/>
    <n v="11"/>
    <x v="0"/>
    <m/>
    <m/>
    <m/>
    <m/>
    <m/>
    <m/>
    <m/>
    <m/>
    <m/>
    <m/>
    <s v="ETF"/>
    <s v="ETF-06"/>
    <s v="South Sea Fleet"/>
    <s v="LPD998 Kunlun Shan, DDG170 Lanzhou, AOR887 Weishan Hu"/>
  </r>
  <r>
    <s v="Senior Level Visit"/>
    <s v="Africa"/>
    <s v="West Asia and Africa"/>
    <s v="No Specific Relationship"/>
    <s v="None"/>
    <s v="AFRICOM"/>
    <s v="Sierra Leone"/>
    <x v="19"/>
    <n v="11"/>
    <x v="3"/>
    <s v="Liang Guanglie"/>
    <m/>
    <s v="Defense Minister; CMC Member"/>
    <n v="8"/>
    <s v="Hosted"/>
    <s v="Defense Minister"/>
    <m/>
    <m/>
    <m/>
    <m/>
    <m/>
    <m/>
    <m/>
    <m/>
  </r>
  <r>
    <s v="Senior Level Visit"/>
    <s v="Southeast Asia"/>
    <s v="Asia"/>
    <s v="No Specific Relationship"/>
    <s v="None"/>
    <s v="INDOPACOM"/>
    <s v="Singapore"/>
    <x v="19"/>
    <n v="11"/>
    <x v="4"/>
    <s v="Ma Xiaotian"/>
    <m/>
    <s v="GSD DCGS"/>
    <n v="6"/>
    <s v="Abroad"/>
    <m/>
    <m/>
    <m/>
    <m/>
    <m/>
    <m/>
    <m/>
    <m/>
    <m/>
  </r>
  <r>
    <s v="Military Exercise"/>
    <s v="Southeast Asia"/>
    <s v="Asia"/>
    <s v="No Specific Relationship"/>
    <s v="None"/>
    <s v="INDOPACOM"/>
    <s v="Singapore"/>
    <x v="19"/>
    <n v="11"/>
    <x v="5"/>
    <m/>
    <m/>
    <m/>
    <m/>
    <m/>
    <m/>
    <s v="Anti-terrorism"/>
    <s v="Cooperation 2010"/>
    <s v="Army"/>
    <s v="Security training"/>
    <m/>
    <m/>
    <m/>
    <m/>
  </r>
  <r>
    <s v="Senior Level Visit"/>
    <s v="Africa"/>
    <s v="West Asia and Africa"/>
    <s v="Comprehensive Strategic Partnership [全面战略伙伴关系]"/>
    <s v="None"/>
    <s v="AFRICOM"/>
    <s v="South Africa"/>
    <x v="19"/>
    <n v="11"/>
    <x v="3"/>
    <s v="Liang Guanglie"/>
    <m/>
    <s v="Defense Minister; CMC Member"/>
    <n v="8"/>
    <s v="Hosted"/>
    <s v="Secretary of the Ministry of Defense and Commander of the National Defense Force"/>
    <m/>
    <m/>
    <m/>
    <m/>
    <m/>
    <m/>
    <m/>
    <m/>
  </r>
  <r>
    <s v="Senior Level Visit"/>
    <s v="Europe"/>
    <s v="Europe and Central Asia"/>
    <s v="No Specific Relationship"/>
    <s v="None"/>
    <s v="EUCOM"/>
    <s v="Sweden"/>
    <x v="19"/>
    <n v="11"/>
    <x v="4"/>
    <s v="Li Jinai"/>
    <m/>
    <s v="GPD Director; CMC Member"/>
    <n v="8"/>
    <s v="Abroad"/>
    <m/>
    <m/>
    <m/>
    <m/>
    <m/>
    <m/>
    <m/>
    <m/>
    <m/>
  </r>
  <r>
    <s v="Senior Level Visit"/>
    <s v="Middle East"/>
    <s v="West Asia and Africa"/>
    <s v="No Specific Relationship"/>
    <s v="None"/>
    <s v="CENTCOM"/>
    <s v="Syria"/>
    <x v="19"/>
    <n v="11"/>
    <x v="4"/>
    <s v="Xu Caihou"/>
    <m/>
    <s v="CMC Vice Chairman"/>
    <n v="10"/>
    <s v="Abroad"/>
    <m/>
    <m/>
    <m/>
    <m/>
    <m/>
    <m/>
    <m/>
    <m/>
    <m/>
  </r>
  <r>
    <s v="Senior Level Visit"/>
    <s v="Southeast Asia"/>
    <s v="Asia"/>
    <s v="Strategic Partnership [战略伙伴关系]"/>
    <s v="Bilateral Defense Treaty"/>
    <s v="INDOPACOM"/>
    <s v="Thailand"/>
    <x v="19"/>
    <n v="11"/>
    <x v="4"/>
    <s v="Ma Xiaotian"/>
    <m/>
    <s v="GSD DCGS"/>
    <n v="6"/>
    <s v="Abroad"/>
    <s v="Defense Minister"/>
    <m/>
    <m/>
    <m/>
    <m/>
    <m/>
    <m/>
    <m/>
    <m/>
  </r>
  <r>
    <s v="Military Exercise"/>
    <s v="Southeast Asia"/>
    <s v="Asia"/>
    <s v="Strategic Partnership [战略伙伴关系]"/>
    <s v="Bilateral Defense Treaty"/>
    <s v="INDOPACOM"/>
    <s v="Thailand"/>
    <x v="19"/>
    <n v="11"/>
    <x v="5"/>
    <m/>
    <m/>
    <m/>
    <m/>
    <m/>
    <m/>
    <s v="Combat Support"/>
    <s v="Blue Strike 2010"/>
    <s v="Navy"/>
    <s v="Amphibious assault; Marines"/>
    <m/>
    <m/>
    <m/>
    <m/>
  </r>
  <r>
    <s v="Senior Level Visit"/>
    <s v="Africa"/>
    <s v="West Asia and Africa"/>
    <s v="No Specific Relationship"/>
    <s v="Major Non-NATO Ally"/>
    <s v="AFRICOM"/>
    <s v="Tunisia"/>
    <x v="19"/>
    <n v="11"/>
    <x v="4"/>
    <s v="Li Changcai"/>
    <m/>
    <s v="Lanzhou MR Political Commissar"/>
    <n v="6"/>
    <s v="Abroad"/>
    <m/>
    <m/>
    <m/>
    <m/>
    <m/>
    <m/>
    <m/>
    <m/>
    <m/>
  </r>
  <r>
    <s v="Military Exercise"/>
    <s v="Europe"/>
    <s v="Europe and Central Asia"/>
    <s v="Strategic Cooperative Partnership [战略合作伙伴关系]"/>
    <s v="NATO"/>
    <s v="EUCOM"/>
    <s v="Turkey"/>
    <x v="19"/>
    <n v="11"/>
    <x v="5"/>
    <m/>
    <m/>
    <m/>
    <m/>
    <m/>
    <m/>
    <s v="Anti-terrorism"/>
    <m/>
    <s v="Army"/>
    <s v="Special forces in hills of turkey"/>
    <m/>
    <m/>
    <m/>
    <m/>
  </r>
  <r>
    <s v="Senior Level Visit"/>
    <s v="Middle East"/>
    <s v="West Asia and Africa"/>
    <s v="No Specific Relationship"/>
    <s v="None"/>
    <s v="CENTCOM"/>
    <s v="United Arab Emirates"/>
    <x v="19"/>
    <n v="11"/>
    <x v="4"/>
    <s v="Xu Caihou"/>
    <m/>
    <s v="CMC Vice Chairman"/>
    <n v="10"/>
    <s v="Abroad"/>
    <s v="Deputy CinC Armed Forces "/>
    <m/>
    <m/>
    <m/>
    <m/>
    <m/>
    <m/>
    <m/>
    <m/>
  </r>
  <r>
    <s v="Senior Level Visit"/>
    <s v="Europe"/>
    <s v="Europe and Central Asia"/>
    <s v="Comprehensive Strategic Partnership [全面战略伙伴关系]"/>
    <s v="NATO"/>
    <s v="EUCOM"/>
    <s v="United Kingdom"/>
    <x v="19"/>
    <n v="11"/>
    <x v="3"/>
    <s v="Liang Guanglie"/>
    <m/>
    <s v="Defense Minister; CMC Member"/>
    <n v="8"/>
    <s v="Hosted"/>
    <s v="COGS"/>
    <m/>
    <m/>
    <m/>
    <m/>
    <m/>
    <m/>
    <m/>
    <m/>
  </r>
  <r>
    <s v="Senior Level Visit"/>
    <s v="North America"/>
    <s v="America and Oceania"/>
    <s v="No Specific Relationship"/>
    <s v="N/A"/>
    <s v="NORTHCOM"/>
    <s v="United States"/>
    <x v="19"/>
    <n v="11"/>
    <x v="3"/>
    <s v="Li Jinai"/>
    <m/>
    <s v="GPD Director; CMC Member"/>
    <n v="8"/>
    <s v="Hosted"/>
    <s v="Retired USN Admiral"/>
    <m/>
    <m/>
    <m/>
    <m/>
    <m/>
    <m/>
    <m/>
    <m/>
  </r>
  <r>
    <s v="Senior Level Visit"/>
    <s v="South America"/>
    <s v="America and Oceania"/>
    <s v="Strategic Development Partnership [战略发展伙伴关系]"/>
    <s v="None"/>
    <s v="SOUTHCOM"/>
    <s v="Venezuela"/>
    <x v="19"/>
    <n v="11"/>
    <x v="4"/>
    <s v="Chen Bingde"/>
    <m/>
    <s v="GSD Commander; CMC Member"/>
    <n v="8"/>
    <s v="Abroad"/>
    <m/>
    <m/>
    <m/>
    <m/>
    <m/>
    <m/>
    <m/>
    <m/>
    <m/>
  </r>
  <r>
    <s v="Senior Level Visit"/>
    <s v="Southeast Asia"/>
    <s v="Asia"/>
    <s v="Comprehensive Strategic Cooperative Partnership [全面战略合作伙伴关系]"/>
    <s v="None"/>
    <s v="INDOPACOM"/>
    <s v="Vietnam"/>
    <x v="19"/>
    <n v="11"/>
    <x v="3"/>
    <s v="Li Jinai"/>
    <m/>
    <s v="GPD Director; CMC Member"/>
    <n v="8"/>
    <s v="Hosted"/>
    <s v="Navy Political Commissar"/>
    <m/>
    <m/>
    <m/>
    <m/>
    <m/>
    <m/>
    <m/>
    <m/>
  </r>
  <r>
    <s v="Senior Level Visit"/>
    <s v="South Asia"/>
    <s v="Europe and Central Asia"/>
    <s v="Comprehensive Cooperative Partnership [全面合作伙伴关系]"/>
    <s v="Major Non-NATO Ally"/>
    <s v="CENTCOM"/>
    <s v="Afghanistan"/>
    <x v="19"/>
    <n v="12"/>
    <x v="3"/>
    <s v="Sun Jianguo"/>
    <m/>
    <s v="GSD DCGS"/>
    <n v="6"/>
    <s v="Hosted"/>
    <s v="Deputy Defense Minister"/>
    <m/>
    <m/>
    <m/>
    <m/>
    <m/>
    <m/>
    <m/>
    <m/>
  </r>
  <r>
    <s v="Senior Level Visit"/>
    <s v="Europe"/>
    <s v="Europe and Central Asia"/>
    <s v="No Specific Relationship"/>
    <s v="NATO"/>
    <s v="EUCOM"/>
    <s v="Austria"/>
    <x v="19"/>
    <n v="12"/>
    <x v="3"/>
    <s v="Chen Bingde"/>
    <m/>
    <s v="GSD Commander; CMC Member"/>
    <n v="8"/>
    <s v="Hosted"/>
    <s v="Chief of Defense Staff of the Armed Forces"/>
    <m/>
    <m/>
    <m/>
    <m/>
    <m/>
    <m/>
    <m/>
    <m/>
  </r>
  <r>
    <s v="Naval Port Call"/>
    <s v="Middle East"/>
    <s v="West Asia and Africa"/>
    <s v="Friendly Cooperative Partnership [友好合作伙伴关系]"/>
    <s v="Major Non-NATO Ally"/>
    <s v="CENTCOM"/>
    <s v="Bahrain"/>
    <x v="19"/>
    <n v="12"/>
    <x v="0"/>
    <m/>
    <m/>
    <m/>
    <m/>
    <m/>
    <m/>
    <m/>
    <m/>
    <m/>
    <m/>
    <s v="ETF"/>
    <s v="ETF-06"/>
    <s v="South Sea Fleet"/>
    <s v="LPD998 Kunlun Shan, DDG170 Lanzhou, AOR887 Weishan Hu"/>
  </r>
  <r>
    <s v="Senior Level Visit"/>
    <s v="South Asia"/>
    <s v="Asia"/>
    <s v="Comprehensive Cooperative Partnership [全面合作伙伴关系]"/>
    <s v="None"/>
    <s v="INDOPACOM"/>
    <s v="Bangladesh"/>
    <x v="19"/>
    <n v="12"/>
    <x v="3"/>
    <s v="Ma Xiaotian"/>
    <m/>
    <s v="GSD DCGS"/>
    <n v="6"/>
    <s v="Hosted"/>
    <s v="COGS Army"/>
    <m/>
    <m/>
    <m/>
    <m/>
    <m/>
    <m/>
    <m/>
    <m/>
  </r>
  <r>
    <s v="Senior Level Visit"/>
    <s v="Europe"/>
    <s v="Europe and Central Asia"/>
    <s v="Strategic Partnership [战略伙伴关系]"/>
    <s v="NATO"/>
    <s v="EUCOM"/>
    <s v="Belarus"/>
    <x v="19"/>
    <n v="12"/>
    <x v="3"/>
    <s v="Ma Xiaotian"/>
    <m/>
    <s v="GSD DCGS"/>
    <n v="6"/>
    <s v="Hosted"/>
    <s v="Assistant to Defense Minister"/>
    <m/>
    <m/>
    <m/>
    <m/>
    <m/>
    <m/>
    <m/>
    <m/>
  </r>
  <r>
    <s v="Senior Level Visit"/>
    <s v="South America"/>
    <s v="America and Oceania"/>
    <s v="No Specific Relationship"/>
    <s v="None"/>
    <s v="SOUTHCOM"/>
    <s v="Cuba"/>
    <x v="19"/>
    <n v="12"/>
    <x v="4"/>
    <s v="Ma Xiaotian"/>
    <m/>
    <s v="GSD DCGS"/>
    <n v="6"/>
    <s v="Abroad"/>
    <m/>
    <m/>
    <m/>
    <m/>
    <m/>
    <m/>
    <m/>
    <m/>
    <m/>
  </r>
  <r>
    <s v="Naval Port Call"/>
    <s v="Middle East"/>
    <s v="West Asia and Africa"/>
    <s v="No Specific Relationship"/>
    <s v="None"/>
    <s v="CENTCOM"/>
    <s v="Djibouti"/>
    <x v="19"/>
    <n v="12"/>
    <x v="9"/>
    <m/>
    <m/>
    <m/>
    <m/>
    <m/>
    <m/>
    <m/>
    <m/>
    <m/>
    <m/>
    <s v="ETF"/>
    <s v="ETF-06"/>
    <s v="South Sea Fleet"/>
    <s v="LPD998 Kunlun Shan, DDG170 Lanzhou, AOR887 Weishan Hu; uncertain, could also be ETF-7"/>
  </r>
  <r>
    <s v="Senior Level Visit"/>
    <s v="Southeast Asia"/>
    <s v="Asia"/>
    <s v="Strategic Partnership [战略伙伴关系]"/>
    <s v="None"/>
    <s v="INDOPACOM"/>
    <s v="Indonesia"/>
    <x v="19"/>
    <n v="12"/>
    <x v="3"/>
    <s v="Ma Xiaotian"/>
    <m/>
    <s v="GSD DCGS"/>
    <n v="6"/>
    <s v="Hosted"/>
    <s v="Chief of the Army Staff"/>
    <m/>
    <m/>
    <m/>
    <m/>
    <m/>
    <m/>
    <m/>
    <m/>
  </r>
  <r>
    <s v="Naval Port Call"/>
    <s v="Southeast Asia"/>
    <s v="Asia"/>
    <s v="Strategic Partnership [战略伙伴关系]"/>
    <s v="None"/>
    <s v="INDOPACOM"/>
    <s v="Indonesia"/>
    <x v="19"/>
    <n v="12"/>
    <x v="0"/>
    <m/>
    <m/>
    <m/>
    <m/>
    <m/>
    <m/>
    <m/>
    <m/>
    <m/>
    <m/>
    <s v="ETF"/>
    <s v="ETF-06"/>
    <s v="South Sea Fleet"/>
    <s v="LPD998 Kunlun Shan, DDG170 Lanzhou, AOR887 Weishan Hu"/>
  </r>
  <r>
    <s v="Senior Level Visit"/>
    <s v="Middle East"/>
    <s v="West Asia and Africa"/>
    <s v="No Specific Relationship"/>
    <s v="Major Non-NATO Ally"/>
    <s v="CENTCOM"/>
    <s v="Israel"/>
    <x v="19"/>
    <n v="12"/>
    <x v="3"/>
    <s v="Liang Guanglie"/>
    <m/>
    <s v="Defense Minister; CMC Member"/>
    <n v="8"/>
    <s v="Hosted"/>
    <s v="Commander of the Navy"/>
    <m/>
    <m/>
    <m/>
    <m/>
    <m/>
    <m/>
    <m/>
    <m/>
  </r>
  <r>
    <s v="Senior Level Visit"/>
    <s v="Middle East"/>
    <s v="West Asia and Africa"/>
    <s v="No Specific Relationship"/>
    <s v="Major Non-NATO Ally"/>
    <s v="CENTCOM"/>
    <s v="Jordan"/>
    <x v="19"/>
    <n v="12"/>
    <x v="3"/>
    <s v="Ma Xiaotian"/>
    <m/>
    <s v="GSD DCGS"/>
    <n v="6"/>
    <s v="Hosted"/>
    <s v="Chief of Staff, Strategic Planning"/>
    <m/>
    <m/>
    <m/>
    <m/>
    <m/>
    <m/>
    <m/>
    <m/>
  </r>
  <r>
    <s v="Senior Level Visit"/>
    <s v="Northeast Asia"/>
    <s v="Asia"/>
    <s v="No Specific Relationship"/>
    <s v="None"/>
    <s v="INDOPACOM"/>
    <s v="Mongolia"/>
    <x v="19"/>
    <n v="12"/>
    <x v="3"/>
    <s v="Liang Guanglie"/>
    <m/>
    <s v="Defense Minister; CMC Member"/>
    <n v="8"/>
    <s v="Hosted"/>
    <s v="Defense Minister"/>
    <m/>
    <m/>
    <m/>
    <m/>
    <m/>
    <m/>
    <m/>
    <m/>
  </r>
  <r>
    <s v="Senior Level Visit"/>
    <s v="Southeast Asia"/>
    <s v="Asia"/>
    <s v="Strategic Cooperative Partnership [战略合作伙伴关系]"/>
    <s v="Bilateral Defense Treaty"/>
    <s v="INDOPACOM"/>
    <s v="Philippines"/>
    <x v="19"/>
    <n v="12"/>
    <x v="3"/>
    <s v="Liang Guanglie"/>
    <m/>
    <s v="Defense Minister; CMC Member"/>
    <n v="8"/>
    <s v="Hosted"/>
    <s v="COGS"/>
    <m/>
    <m/>
    <m/>
    <m/>
    <m/>
    <m/>
    <m/>
    <m/>
  </r>
  <r>
    <s v="Senior Level Visit"/>
    <s v="Southeast Asia"/>
    <s v="Asia"/>
    <s v="No Specific Relationship"/>
    <s v="None"/>
    <s v="INDOPACOM"/>
    <s v="Singapore"/>
    <x v="19"/>
    <n v="12"/>
    <x v="3"/>
    <s v="Liang Guanglie"/>
    <m/>
    <s v="Defense Minister; CMC Member"/>
    <n v="8"/>
    <s v="Hosted"/>
    <s v="Chief of the Navy Staff"/>
    <m/>
    <m/>
    <m/>
    <m/>
    <m/>
    <m/>
    <m/>
    <m/>
  </r>
  <r>
    <s v="Naval Port Call"/>
    <s v="South Asia"/>
    <s v="Asia"/>
    <s v="Comprehensive Cooperative Partnership [全面合作伙伴关系]"/>
    <s v="None"/>
    <s v="INDOPACOM"/>
    <s v="Sri Lanka"/>
    <x v="19"/>
    <n v="12"/>
    <x v="0"/>
    <m/>
    <m/>
    <m/>
    <m/>
    <m/>
    <m/>
    <m/>
    <m/>
    <m/>
    <m/>
    <s v="ETF"/>
    <s v="ETF-06"/>
    <s v="South Sea Fleet"/>
    <s v="LPD998 Kunlun Shan, DDG170 Lanzhou, AOR887 Weishan Hu"/>
  </r>
  <r>
    <s v="Senior Level Visit"/>
    <s v="South America"/>
    <s v="America and Oceania"/>
    <s v="No Specific Relationship"/>
    <s v="None"/>
    <s v="SOUTHCOM"/>
    <s v="Suriname"/>
    <x v="19"/>
    <n v="12"/>
    <x v="3"/>
    <s v="Liang Guanglie"/>
    <m/>
    <s v="Defense Minister; CMC Member"/>
    <n v="8"/>
    <s v="Hosted"/>
    <s v="Defense Minister"/>
    <m/>
    <m/>
    <m/>
    <m/>
    <m/>
    <m/>
    <m/>
    <m/>
  </r>
  <r>
    <s v="Senior Level Visit"/>
    <s v="North America"/>
    <s v="America and Oceania"/>
    <s v="No Specific Relationship"/>
    <s v="N/A"/>
    <s v="NORTHCOM"/>
    <s v="United States"/>
    <x v="19"/>
    <n v="12"/>
    <x v="4"/>
    <s v="Ma Xiaotian"/>
    <m/>
    <s v="GSD DCGS"/>
    <n v="6"/>
    <s v="Abroad"/>
    <m/>
    <m/>
    <m/>
    <m/>
    <m/>
    <m/>
    <m/>
    <m/>
    <m/>
  </r>
  <r>
    <s v="Senior Level Visit"/>
    <s v="Central Asia"/>
    <s v="Europe and Central Asia"/>
    <s v="No Specific Relationship"/>
    <s v="None"/>
    <s v="CENTCOM"/>
    <s v="Uzbekistan"/>
    <x v="19"/>
    <n v="12"/>
    <x v="3"/>
    <s v="Liang Guanglie"/>
    <m/>
    <s v="Defense Minister; CMC Member"/>
    <n v="8"/>
    <s v="Hosted"/>
    <s v="Deputy Defense Minister"/>
    <m/>
    <m/>
    <m/>
    <m/>
    <m/>
    <m/>
    <m/>
    <m/>
  </r>
  <r>
    <s v="Senior Level Visit"/>
    <s v="South America"/>
    <s v="America and Oceania"/>
    <s v="No Specific Relationship"/>
    <s v="None"/>
    <s v="SOUTHCOM"/>
    <s v="Ecuador"/>
    <x v="20"/>
    <n v="1"/>
    <x v="3"/>
    <s v="Qi Jianguo"/>
    <m/>
    <s v="GSD Assistant Commander"/>
    <n v="5"/>
    <s v="Hosted"/>
    <m/>
    <m/>
    <m/>
    <m/>
    <m/>
    <m/>
    <m/>
    <m/>
    <m/>
  </r>
  <r>
    <s v="Naval Port Call"/>
    <s v="Middle East"/>
    <s v="West Asia and Africa"/>
    <s v="No Specific Relationship"/>
    <s v="None"/>
    <s v="CENTCOM"/>
    <s v="Oman"/>
    <x v="20"/>
    <n v="1"/>
    <x v="9"/>
    <m/>
    <m/>
    <m/>
    <m/>
    <m/>
    <m/>
    <m/>
    <m/>
    <m/>
    <m/>
    <s v="ETF"/>
    <s v="ETF-07"/>
    <s v="East Sea Fleet"/>
    <s v="FFG529 Zhoushan, FFG530 Xuzhou, AOR886 Qingdao Hu"/>
  </r>
  <r>
    <s v="Naval Port Call"/>
    <s v="Middle East"/>
    <s v="West Asia and Africa"/>
    <s v="No Specific Relationship"/>
    <s v="None"/>
    <s v="CENTCOM"/>
    <s v="Oman"/>
    <x v="20"/>
    <n v="1"/>
    <x v="9"/>
    <m/>
    <m/>
    <m/>
    <m/>
    <m/>
    <m/>
    <m/>
    <m/>
    <m/>
    <m/>
    <s v="ETF"/>
    <s v="ETF-07"/>
    <s v="East Sea Fleet"/>
    <s v="FFG529 Zhoushan, FFG530 Xuzhou, AOR886 Qingdao Hu"/>
  </r>
  <r>
    <s v="Senior Level Visit"/>
    <s v="Northeast Asia"/>
    <s v="Asia"/>
    <s v="Strategic Cooperative Partnership [战略合作伙伴关系]"/>
    <s v="Bilateral Defense Treaty"/>
    <s v="INDOPACOM"/>
    <s v="South Korea"/>
    <x v="20"/>
    <n v="1"/>
    <x v="3"/>
    <s v="Ma Xiaotian"/>
    <m/>
    <s v="GSD DCGS"/>
    <n v="6"/>
    <s v="Hosted"/>
    <s v="Director International Policy Bureau of Defense Ministry"/>
    <m/>
    <m/>
    <m/>
    <m/>
    <m/>
    <m/>
    <m/>
    <m/>
  </r>
  <r>
    <s v="Senior Level Visit"/>
    <s v="Central Asia"/>
    <s v="Europe and Central Asia"/>
    <s v="No Specific Relationship"/>
    <s v="None"/>
    <s v="CENTCOM"/>
    <s v="Tajikistan"/>
    <x v="20"/>
    <n v="1"/>
    <x v="3"/>
    <s v="Liang Guanglie"/>
    <m/>
    <s v="Defense Minister; CMC Member"/>
    <n v="8"/>
    <s v="Hosted"/>
    <s v="Defense Minister"/>
    <m/>
    <m/>
    <m/>
    <m/>
    <m/>
    <m/>
    <m/>
    <m/>
  </r>
  <r>
    <s v="Senior Level Visit"/>
    <s v="North America"/>
    <s v="America and Oceania"/>
    <s v="No Specific Relationship"/>
    <s v="N/A"/>
    <s v="NORTHCOM"/>
    <s v="United States"/>
    <x v="20"/>
    <n v="1"/>
    <x v="3"/>
    <s v="Liang Guanglie"/>
    <m/>
    <s v="Defense Minister; CMC Member"/>
    <n v="8"/>
    <s v="Hosted"/>
    <s v="Secretary of Defense"/>
    <m/>
    <m/>
    <m/>
    <m/>
    <m/>
    <m/>
    <m/>
    <m/>
  </r>
  <r>
    <s v="Naval Port Call"/>
    <s v="Middle East"/>
    <s v="West Asia and Africa"/>
    <s v="No Specific Relationship"/>
    <s v="None"/>
    <s v="CENTCOM"/>
    <s v="Djibouti"/>
    <x v="20"/>
    <n v="2"/>
    <x v="9"/>
    <m/>
    <m/>
    <m/>
    <m/>
    <m/>
    <m/>
    <m/>
    <m/>
    <m/>
    <m/>
    <s v="ETF"/>
    <s v="ETF-07"/>
    <s v="East Sea Fleet"/>
    <s v="FFG529 Zhoushan, FFG530 Xuzhou, AOR886 Qingdao Hu"/>
  </r>
  <r>
    <s v="Senior Level Visit"/>
    <s v="Central Asia"/>
    <s v="Europe and Central Asia"/>
    <s v="Comprehensive Strategic Partnership [全面战略伙伴关系]"/>
    <s v="None"/>
    <s v="CENTCOM"/>
    <s v="Kazakhstan"/>
    <x v="20"/>
    <n v="2"/>
    <x v="3"/>
    <s v="Liang Guanglie"/>
    <m/>
    <s v="Defense Minister; CMC Member"/>
    <n v="8"/>
    <s v="Hosted"/>
    <s v="Defense Minister"/>
    <m/>
    <m/>
    <m/>
    <m/>
    <m/>
    <m/>
    <m/>
    <m/>
  </r>
  <r>
    <s v="Senior Level Visit"/>
    <s v="South Asia"/>
    <s v="Asia"/>
    <s v="Strategic Partnership [战略伙伴关系]"/>
    <s v="Major Non-NATO Ally"/>
    <s v="CENTCOM"/>
    <s v="Pakistan"/>
    <x v="20"/>
    <n v="2"/>
    <x v="3"/>
    <s v="Chen Bingde"/>
    <m/>
    <s v="GSD Commander; CMC Member"/>
    <n v="8"/>
    <s v="Hosted"/>
    <m/>
    <m/>
    <m/>
    <m/>
    <m/>
    <m/>
    <m/>
    <m/>
    <m/>
  </r>
  <r>
    <s v="Senior Level Visit"/>
    <s v="Europe"/>
    <s v="Europe and Central Asia"/>
    <s v="Strategic Partnership [战略伙伴关系]"/>
    <s v="NATO"/>
    <s v="EUCOM"/>
    <s v="Poland"/>
    <x v="20"/>
    <n v="2"/>
    <x v="3"/>
    <s v="Ma Xiaotian"/>
    <m/>
    <s v="GSD DCGS"/>
    <n v="6"/>
    <s v="Hosted"/>
    <s v="Director for Military Foreign Affairs"/>
    <m/>
    <m/>
    <m/>
    <m/>
    <m/>
    <m/>
    <m/>
    <m/>
  </r>
  <r>
    <s v="Senior Level Visit"/>
    <s v="South America"/>
    <s v="America and Oceania"/>
    <s v="No Specific Relationship"/>
    <s v="None"/>
    <s v="SOUTHCOM"/>
    <s v="Bolivia"/>
    <x v="20"/>
    <n v="3"/>
    <x v="4"/>
    <s v="Ma Xiaotian"/>
    <m/>
    <s v="GSD DCGS"/>
    <n v="6"/>
    <s v="Abroad"/>
    <s v="Defense Minister"/>
    <m/>
    <m/>
    <m/>
    <m/>
    <m/>
    <m/>
    <m/>
    <m/>
  </r>
  <r>
    <s v="Naval Port Call"/>
    <s v="Europe"/>
    <s v="Europe and Central Asia"/>
    <s v="Comprehensive Strategic Partnership [全面战略伙伴关系]"/>
    <s v="NATO"/>
    <s v="EUCOM"/>
    <s v="Greece"/>
    <x v="20"/>
    <n v="3"/>
    <x v="9"/>
    <m/>
    <m/>
    <m/>
    <m/>
    <m/>
    <m/>
    <m/>
    <m/>
    <m/>
    <m/>
    <s v="ETF"/>
    <s v="ETF-07"/>
    <s v="East Sea Fleet"/>
    <s v="FFG529 Zhoushan, FFG530 Xuzhou, AOR886 Qingdao Hu; Unknown, could also be ETF-8"/>
  </r>
  <r>
    <s v="Senior Level Visit"/>
    <s v="Southeast Asia"/>
    <s v="Asia"/>
    <s v="Strategic Partnership [战略伙伴关系]"/>
    <s v="None"/>
    <s v="INDOPACOM"/>
    <s v="Indonesia"/>
    <x v="20"/>
    <n v="3"/>
    <x v="4"/>
    <s v="Ma Xiaotian"/>
    <m/>
    <s v="GSD DCGS"/>
    <n v="6"/>
    <s v="Abroad"/>
    <s v="President"/>
    <m/>
    <m/>
    <m/>
    <m/>
    <m/>
    <m/>
    <m/>
    <m/>
  </r>
  <r>
    <s v="Senior Level Visit"/>
    <s v="Europe"/>
    <s v="Europe and Central Asia"/>
    <s v="Comprehensive Strategic Partnership [全面战略伙伴关系]"/>
    <s v="NATO"/>
    <s v="EUCOM"/>
    <s v="Italy"/>
    <x v="20"/>
    <n v="3"/>
    <x v="3"/>
    <s v="Liang Guanglie"/>
    <m/>
    <s v="Defense Minister; CMC Member"/>
    <n v="8"/>
    <s v="Hosted"/>
    <s v="Army Chief of Staff"/>
    <m/>
    <m/>
    <m/>
    <m/>
    <m/>
    <m/>
    <m/>
    <m/>
  </r>
  <r>
    <s v="Senior Level Visit"/>
    <s v="Central Asia"/>
    <s v="Europe and Central Asia"/>
    <s v="Comprehensive Strategic Partnership [全面战略伙伴关系]"/>
    <s v="None"/>
    <s v="CENTCOM"/>
    <s v="Kazakhstan"/>
    <x v="20"/>
    <n v="3"/>
    <x v="4"/>
    <s v="Liang Guanglie"/>
    <m/>
    <s v="Defense Minister; CMC Member"/>
    <n v="8"/>
    <s v="Abroad"/>
    <m/>
    <m/>
    <m/>
    <m/>
    <m/>
    <m/>
    <m/>
    <m/>
    <m/>
  </r>
  <r>
    <s v="Senior Level Visit"/>
    <s v="Central Asia"/>
    <s v="Europe and Central Asia"/>
    <s v="No Specific Relationship"/>
    <s v="None"/>
    <s v="CENTCOM"/>
    <s v="Kyrgyzstan"/>
    <x v="20"/>
    <n v="3"/>
    <x v="7"/>
    <s v="Liang Guanglie"/>
    <m/>
    <s v="Defense Minister; CMC Member"/>
    <n v="8"/>
    <s v="Abroad"/>
    <s v="Defense Minister"/>
    <m/>
    <m/>
    <m/>
    <m/>
    <m/>
    <m/>
    <m/>
    <m/>
  </r>
  <r>
    <s v="Senior Level Visit"/>
    <s v="Southeast Asia"/>
    <s v="Asia"/>
    <s v="Comprehensive Strategic Cooperative Partnership [全面战略合作伙伴关系]"/>
    <s v="None"/>
    <s v="INDOPACOM"/>
    <s v="Myanmar"/>
    <x v="20"/>
    <n v="3"/>
    <x v="4"/>
    <s v="Jia Tingan"/>
    <m/>
    <s v="GPD Deputy Director"/>
    <n v="6"/>
    <s v="Abroad"/>
    <m/>
    <m/>
    <m/>
    <m/>
    <m/>
    <m/>
    <m/>
    <m/>
    <m/>
  </r>
  <r>
    <s v="Senior Level Visit"/>
    <s v="South Asia"/>
    <s v="Asia"/>
    <s v="All-Round Strategic Partnership  [全面合作伙伴关系]"/>
    <s v="None"/>
    <s v="INDOPACOM"/>
    <s v="Nepal"/>
    <x v="20"/>
    <n v="3"/>
    <x v="4"/>
    <s v="Chen Bingde"/>
    <m/>
    <s v="GSD Commander; CMC Member"/>
    <n v="8"/>
    <s v="Abroad"/>
    <s v="Chief of Staff Army"/>
    <m/>
    <m/>
    <m/>
    <m/>
    <m/>
    <m/>
    <m/>
    <m/>
  </r>
  <r>
    <s v="Naval Port Call"/>
    <s v="South Asia"/>
    <s v="Asia"/>
    <s v="Strategic Partnership [战略伙伴关系]"/>
    <s v="Major Non-NATO Ally"/>
    <s v="CENTCOM"/>
    <s v="Pakistan"/>
    <x v="20"/>
    <n v="3"/>
    <x v="10"/>
    <m/>
    <m/>
    <m/>
    <m/>
    <m/>
    <m/>
    <m/>
    <m/>
    <m/>
    <m/>
    <s v="ETF"/>
    <s v="ETF-08"/>
    <s v="East Sea Fleet"/>
    <s v="FFG525 Ma'anshan, FFG526 Wenzhou, AOR886 Qiandao Hu"/>
  </r>
  <r>
    <s v="Military Exercise"/>
    <s v="South Asia"/>
    <s v="Asia"/>
    <s v="Strategic Partnership [战略伙伴关系]"/>
    <s v="Major Non-NATO Ally"/>
    <s v="CENTCOM"/>
    <s v="Pakistan"/>
    <x v="20"/>
    <n v="3"/>
    <x v="6"/>
    <m/>
    <m/>
    <m/>
    <m/>
    <m/>
    <m/>
    <s v="MOOTW"/>
    <s v="Aman"/>
    <s v="Navy"/>
    <s v="Special Forces; Pakistan and 13 other countries"/>
    <m/>
    <m/>
    <m/>
    <m/>
  </r>
  <r>
    <s v="Military Exercise"/>
    <s v="South Asia"/>
    <s v="Asia"/>
    <s v="Strategic Partnership [战略伙伴关系]"/>
    <s v="Major Non-NATO Ally"/>
    <s v="CENTCOM"/>
    <s v="Pakistan"/>
    <x v="20"/>
    <n v="3"/>
    <x v="5"/>
    <m/>
    <m/>
    <m/>
    <m/>
    <m/>
    <m/>
    <s v="Anti-piracy"/>
    <s v="Unknown Karachi 2011"/>
    <s v="Navy"/>
    <s v="13 March 2011, joint drills and friendy visit from anti-piracy ETF, Six Years p. 129 - after Aman 2011"/>
    <m/>
    <m/>
    <m/>
    <m/>
  </r>
  <r>
    <s v="Military Exercise"/>
    <s v="South Asia"/>
    <s v="Asia"/>
    <s v="Strategic Partnership [战略伙伴关系]"/>
    <s v="Major Non-NATO Ally"/>
    <s v="CENTCOM"/>
    <s v="Pakistan"/>
    <x v="20"/>
    <n v="3"/>
    <x v="5"/>
    <m/>
    <m/>
    <m/>
    <m/>
    <m/>
    <m/>
    <s v="Combat"/>
    <s v="Shaheen-1"/>
    <s v="Air Force"/>
    <s v="Operational aerial maneuvers"/>
    <m/>
    <m/>
    <m/>
    <m/>
  </r>
  <r>
    <s v="Senior Level Visit"/>
    <s v="Southeast Asia"/>
    <s v="Asia"/>
    <s v="Strategic Cooperative Partnership [战略合作伙伴关系]"/>
    <s v="Bilateral Defense Treaty"/>
    <s v="INDOPACOM"/>
    <s v="Philippines"/>
    <x v="20"/>
    <n v="3"/>
    <x v="4"/>
    <s v="Jia Tingan"/>
    <m/>
    <s v="GPD Deputy Director"/>
    <n v="6"/>
    <s v="Abroad"/>
    <m/>
    <m/>
    <m/>
    <m/>
    <m/>
    <m/>
    <m/>
    <m/>
    <m/>
  </r>
  <r>
    <s v="Senior Level Visit"/>
    <s v="Central Asia"/>
    <s v="Europe and Central Asia"/>
    <s v="Member"/>
    <s v="None"/>
    <s v="CENTCOM"/>
    <s v="SCO"/>
    <x v="20"/>
    <n v="3"/>
    <x v="1"/>
    <s v="Liang Guanglie"/>
    <m/>
    <s v="Defense Minister; CMC Member"/>
    <n v="8"/>
    <s v="Abroad"/>
    <s v="Eighth official meeting of the SCO Ministers' of Defense in Astana; Other countries: Kazakhstan, Kyrgyztan, Russia, Tajikistan, Uzbekistan"/>
    <m/>
    <m/>
    <m/>
    <m/>
    <m/>
    <m/>
    <m/>
    <m/>
  </r>
  <r>
    <s v="Senior Level Visit"/>
    <s v="Europe"/>
    <s v="Europe and Central Asia"/>
    <s v="Comprehensive Strategic Partnership [全面战略伙伴关系]"/>
    <s v="NATO"/>
    <s v="EUCOM"/>
    <s v="United Kingdom"/>
    <x v="20"/>
    <n v="3"/>
    <x v="3"/>
    <s v="Xu Caihou"/>
    <m/>
    <s v="CMC Vice Chairman"/>
    <n v="10"/>
    <s v="Hosted"/>
    <s v="Retired British Generals"/>
    <m/>
    <m/>
    <m/>
    <m/>
    <m/>
    <m/>
    <m/>
    <m/>
  </r>
  <r>
    <s v="Senior Level Visit"/>
    <s v="South America"/>
    <s v="America and Oceania"/>
    <s v="No Specific Relationship"/>
    <s v="None"/>
    <s v="SOUTHCOM"/>
    <s v="Uruguay"/>
    <x v="20"/>
    <n v="3"/>
    <x v="4"/>
    <s v="Ma Xiaotian"/>
    <m/>
    <s v="GSD DCGS"/>
    <n v="6"/>
    <s v="Abroad"/>
    <s v="Defense Minister"/>
    <m/>
    <m/>
    <m/>
    <m/>
    <m/>
    <m/>
    <m/>
    <m/>
  </r>
  <r>
    <s v="Senior Level Visit"/>
    <s v="Central Asia"/>
    <s v="Europe and Central Asia"/>
    <s v="No Specific Relationship"/>
    <s v="None"/>
    <s v="CENTCOM"/>
    <s v="Uzbekistan"/>
    <x v="20"/>
    <n v="3"/>
    <x v="4"/>
    <s v="Liang Guanglie"/>
    <m/>
    <s v="Defense Minister; CMC Member"/>
    <n v="8"/>
    <s v="Abroad"/>
    <m/>
    <m/>
    <m/>
    <m/>
    <m/>
    <m/>
    <m/>
    <m/>
    <m/>
  </r>
  <r>
    <s v="Senior Level Visit"/>
    <s v="Africa"/>
    <s v="West Asia and Africa"/>
    <s v="Friendly Cooperative Relationship [友好合作关系]"/>
    <s v="None"/>
    <s v="AFRICOM"/>
    <s v="Cameroon"/>
    <x v="20"/>
    <n v="4"/>
    <x v="3"/>
    <s v="Guo Boxiong"/>
    <m/>
    <s v="CMC Vice Chairman"/>
    <n v="10"/>
    <s v="Hosted"/>
    <s v="Defense Minister"/>
    <m/>
    <m/>
    <m/>
    <m/>
    <m/>
    <m/>
    <m/>
    <m/>
  </r>
  <r>
    <s v="Senior Level Visit"/>
    <s v="Europe"/>
    <s v="Europe and Central Asia"/>
    <s v="No Specific Relationship"/>
    <s v="None"/>
    <s v="EUCOM"/>
    <s v="Cyprus"/>
    <x v="20"/>
    <n v="4"/>
    <x v="4"/>
    <s v="Ma Xiaotian"/>
    <m/>
    <s v="GSD DCGS"/>
    <n v="6"/>
    <s v="Abroad"/>
    <s v="President"/>
    <m/>
    <m/>
    <m/>
    <m/>
    <m/>
    <m/>
    <m/>
    <m/>
  </r>
  <r>
    <s v="Senior Level Visit"/>
    <s v="Southeast Asia"/>
    <s v="Asia"/>
    <s v="Strategic Partnership [战略伙伴关系]"/>
    <s v="None"/>
    <s v="INDOPACOM"/>
    <s v="Indonesia"/>
    <x v="20"/>
    <n v="4"/>
    <x v="3"/>
    <s v="Sun Jianguo"/>
    <m/>
    <s v="GSD DCGS"/>
    <n v="6"/>
    <s v="Hosted"/>
    <s v="Deputy Chief of Staff Army"/>
    <m/>
    <m/>
    <m/>
    <m/>
    <m/>
    <m/>
    <m/>
    <m/>
  </r>
  <r>
    <s v="Senior Level Visit"/>
    <s v="Central Asia"/>
    <s v="Europe and Central Asia"/>
    <s v="Comprehensive Strategic Partnership [全面战略伙伴关系]"/>
    <s v="None"/>
    <s v="CENTCOM"/>
    <s v="Kazakhstan"/>
    <x v="20"/>
    <n v="4"/>
    <x v="7"/>
    <s v="Chen Bingde"/>
    <m/>
    <s v="GSD Commander; CMC Member"/>
    <n v="8"/>
    <s v="Hosted"/>
    <s v="First Deputy Defense Minister"/>
    <m/>
    <m/>
    <m/>
    <m/>
    <m/>
    <m/>
    <m/>
    <m/>
  </r>
  <r>
    <s v="Senior Level Visit"/>
    <s v="Central Asia"/>
    <s v="Europe and Central Asia"/>
    <s v="No Specific Relationship"/>
    <s v="None"/>
    <s v="CENTCOM"/>
    <s v="Kyrgyzstan"/>
    <x v="20"/>
    <n v="4"/>
    <x v="7"/>
    <s v="Chen Bingde"/>
    <m/>
    <s v="GSD Commander; CMC Member"/>
    <n v="8"/>
    <s v="Hosted"/>
    <s v="Deputy Defense Minister"/>
    <m/>
    <m/>
    <m/>
    <m/>
    <m/>
    <m/>
    <m/>
    <m/>
  </r>
  <r>
    <s v="Naval Port Call"/>
    <s v="Middle East"/>
    <s v="West Asia and Africa"/>
    <s v="No Specific Relationship"/>
    <s v="None"/>
    <s v="CENTCOM"/>
    <s v="Oman"/>
    <x v="20"/>
    <n v="4"/>
    <x v="9"/>
    <m/>
    <m/>
    <m/>
    <m/>
    <m/>
    <m/>
    <m/>
    <m/>
    <m/>
    <m/>
    <s v="ETF"/>
    <s v="ETF-07"/>
    <s v="East Sea Fleet"/>
    <s v="FFG529 Zhoushan, FFG530 Xuzhou, AOR886 Qingdao Hu; Unknown, could also be ETF-8"/>
  </r>
  <r>
    <s v="Senior Level Visit"/>
    <s v="Europe"/>
    <s v="Europe and Central Asia"/>
    <s v="Comprehensive Friendly Cooperative Partnership [全面友好合作伙伴关系]"/>
    <s v="NATO"/>
    <s v="EUCOM"/>
    <s v="Romania"/>
    <x v="20"/>
    <n v="4"/>
    <x v="3"/>
    <s v="Li Jinai"/>
    <m/>
    <s v="GPD Director; CMC Member"/>
    <n v="8"/>
    <s v="Hosted"/>
    <s v="State Secretary of Defense Ministry"/>
    <m/>
    <m/>
    <m/>
    <m/>
    <m/>
    <m/>
    <m/>
    <m/>
  </r>
  <r>
    <s v="Senior Level Visit"/>
    <s v="Russia"/>
    <s v="Europe and Central Asia"/>
    <s v="Strategic Partnership of Coordination [战略协作伙伴关系]"/>
    <s v="None"/>
    <s v="EUCOM"/>
    <s v="Russia"/>
    <x v="20"/>
    <n v="4"/>
    <x v="7"/>
    <s v="Chen Bingde"/>
    <m/>
    <s v="GSD Commander; CMC Member"/>
    <n v="8"/>
    <s v="Hosted"/>
    <s v="Deputy Defense Minister and COGS"/>
    <m/>
    <m/>
    <m/>
    <m/>
    <m/>
    <m/>
    <m/>
    <m/>
  </r>
  <r>
    <s v="Senior Level Visit"/>
    <s v="Central Asia"/>
    <s v="Europe and Central Asia"/>
    <s v="Member"/>
    <s v="None"/>
    <s v="CENTCOM"/>
    <s v="SCO"/>
    <x v="20"/>
    <n v="4"/>
    <x v="2"/>
    <s v="Chen Bingde"/>
    <m/>
    <s v="GSD Commander; CMC Member"/>
    <n v="8"/>
    <s v="Hosted"/>
    <s v="First meeting of SCO military chiefs of staff in Shanghai"/>
    <m/>
    <m/>
    <m/>
    <m/>
    <m/>
    <m/>
    <m/>
    <m/>
  </r>
  <r>
    <s v="Naval Port Call"/>
    <s v="Africa"/>
    <s v="West Asia and Africa"/>
    <s v="No Specific Relationship"/>
    <s v="None"/>
    <s v="AFRICOM"/>
    <s v="Seychelles"/>
    <x v="20"/>
    <n v="4"/>
    <x v="0"/>
    <m/>
    <m/>
    <m/>
    <m/>
    <m/>
    <m/>
    <m/>
    <m/>
    <m/>
    <m/>
    <s v="ETF"/>
    <s v="ETF-07"/>
    <s v="East Sea Fleet"/>
    <s v="FFG529 Zhoushan, FFG530 Xuzhou, AOR886 Qingdao Hu"/>
  </r>
  <r>
    <s v="Naval Port Call"/>
    <s v="Africa"/>
    <s v="West Asia and Africa"/>
    <s v="Comprehensive Strategic Partnership [全面战略伙伴关系]"/>
    <s v="None"/>
    <s v="AFRICOM"/>
    <s v="South Africa"/>
    <x v="20"/>
    <n v="4"/>
    <x v="0"/>
    <m/>
    <m/>
    <m/>
    <m/>
    <m/>
    <m/>
    <m/>
    <m/>
    <m/>
    <m/>
    <s v="ETF"/>
    <s v="ETF-07"/>
    <s v="East Sea Fleet"/>
    <s v="FFG529 Zhoushan, FFG530 Xuzhou, AOR886 Qingdao Hu"/>
  </r>
  <r>
    <s v="Senior Level Visit"/>
    <s v="South Asia"/>
    <s v="Asia"/>
    <s v="Comprehensive Cooperative Partnership [全面合作伙伴关系]"/>
    <s v="None"/>
    <s v="INDOPACOM"/>
    <s v="Sri Lanka"/>
    <x v="20"/>
    <n v="4"/>
    <x v="3"/>
    <s v="Chen Yong"/>
    <m/>
    <s v="GSD Assistant Commander"/>
    <n v="5"/>
    <s v="Hosted"/>
    <m/>
    <m/>
    <m/>
    <m/>
    <m/>
    <m/>
    <m/>
    <m/>
    <m/>
  </r>
  <r>
    <s v="Senior Level Visit"/>
    <s v="Central Asia"/>
    <s v="Europe and Central Asia"/>
    <s v="No Specific Relationship"/>
    <s v="None"/>
    <s v="CENTCOM"/>
    <s v="Tajikistan"/>
    <x v="20"/>
    <n v="4"/>
    <x v="7"/>
    <s v="Chen Bingde"/>
    <m/>
    <s v="GSD Commander; CMC Member"/>
    <n v="8"/>
    <s v="Hosted"/>
    <m/>
    <m/>
    <m/>
    <m/>
    <m/>
    <m/>
    <m/>
    <m/>
    <m/>
  </r>
  <r>
    <s v="Senior Level Visit"/>
    <s v="Southeast Asia"/>
    <s v="Asia"/>
    <s v="Strategic Partnership [战略伙伴关系]"/>
    <s v="Bilateral Defense Treaty"/>
    <s v="INDOPACOM"/>
    <s v="Thailand"/>
    <x v="20"/>
    <n v="4"/>
    <x v="3"/>
    <s v="Guo Boxiong"/>
    <m/>
    <s v="CMC Vice Chairman"/>
    <n v="10"/>
    <s v="Hosted"/>
    <s v="First Deputy Prime Minister"/>
    <m/>
    <m/>
    <m/>
    <m/>
    <m/>
    <m/>
    <m/>
    <m/>
  </r>
  <r>
    <s v="Senior Level Visit"/>
    <s v="Europe"/>
    <s v="Europe and Central Asia"/>
    <s v="Strategic Cooperative Partnership [战略合作伙伴关系]"/>
    <s v="NATO"/>
    <s v="EUCOM"/>
    <s v="Turkey"/>
    <x v="20"/>
    <n v="4"/>
    <x v="4"/>
    <s v="Ma Xiaotian"/>
    <m/>
    <s v="GSD DCGS"/>
    <n v="6"/>
    <s v="Abroad"/>
    <m/>
    <m/>
    <m/>
    <m/>
    <m/>
    <m/>
    <m/>
    <m/>
    <m/>
  </r>
  <r>
    <s v="Senior Level Visit"/>
    <s v="Europe"/>
    <s v="Europe and Central Asia"/>
    <s v="Comprehensive Strategic Partnership [全面战略伙伴关系]"/>
    <s v="NATO"/>
    <s v="EUCOM"/>
    <s v="United Kingdom"/>
    <x v="20"/>
    <n v="4"/>
    <x v="3"/>
    <s v="Chen Bingde"/>
    <m/>
    <s v="GSD Commander; CMC Member"/>
    <n v="8"/>
    <s v="Hosted"/>
    <s v="Deputy Chief of Defense Staff"/>
    <m/>
    <m/>
    <m/>
    <m/>
    <m/>
    <m/>
    <m/>
    <m/>
  </r>
  <r>
    <s v="Senior Level Visit"/>
    <s v="North America"/>
    <s v="America and Oceania"/>
    <s v="No Specific Relationship"/>
    <s v="N/A"/>
    <s v="NORTHCOM"/>
    <s v="United States"/>
    <x v="20"/>
    <n v="4"/>
    <x v="3"/>
    <s v="Chen Bingde"/>
    <m/>
    <s v="GSD Commander; CMC Member"/>
    <n v="8"/>
    <s v="Hosted"/>
    <m/>
    <m/>
    <m/>
    <m/>
    <m/>
    <m/>
    <m/>
    <m/>
    <m/>
  </r>
  <r>
    <s v="Senior Level Visit"/>
    <s v="Central Asia"/>
    <s v="Europe and Central Asia"/>
    <s v="No Specific Relationship"/>
    <s v="None"/>
    <s v="CENTCOM"/>
    <s v="Uzbekistan"/>
    <x v="20"/>
    <n v="4"/>
    <x v="7"/>
    <s v="Chen Bingde"/>
    <m/>
    <s v="GSD Commander; CMC Member"/>
    <n v="8"/>
    <s v="Hosted"/>
    <s v="Deputy Defense Minister"/>
    <m/>
    <m/>
    <m/>
    <m/>
    <m/>
    <m/>
    <m/>
    <m/>
  </r>
  <r>
    <s v="Senior Level Visit"/>
    <s v="Southeast Asia"/>
    <s v="Asia"/>
    <s v="Comprehensive Strategic Cooperative Partnership [全面战略合作伙伴关系]"/>
    <s v="None"/>
    <s v="INDOPACOM"/>
    <s v="Vietnam"/>
    <x v="20"/>
    <n v="4"/>
    <x v="4"/>
    <s v="Guo Boxiong"/>
    <m/>
    <s v="CMC Vice Chairman"/>
    <n v="10"/>
    <s v="Abroad"/>
    <s v="Defense Minister"/>
    <m/>
    <m/>
    <m/>
    <m/>
    <m/>
    <m/>
    <m/>
    <m/>
  </r>
  <r>
    <s v="Senior Level Visit"/>
    <s v="Africa"/>
    <s v="West Asia and Africa"/>
    <s v="No Specific Relationship"/>
    <s v="None"/>
    <s v="AFRICOM"/>
    <s v="Zambia"/>
    <x v="20"/>
    <n v="4"/>
    <x v="3"/>
    <s v="Liang Guanglie"/>
    <m/>
    <s v="Defense Minister; CMC Member"/>
    <n v="8"/>
    <s v="Hosted"/>
    <s v="Army Commander LTG"/>
    <m/>
    <m/>
    <m/>
    <m/>
    <m/>
    <m/>
    <m/>
    <m/>
  </r>
  <r>
    <s v="Senior Level Visit"/>
    <s v="Southeast Asia"/>
    <s v="Asia"/>
    <s v="Strategic Partnership [战略伙伴关系] for Peace and Prosperity"/>
    <s v="None"/>
    <s v="INDOPACOM"/>
    <s v="ASEAN"/>
    <x v="20"/>
    <n v="5"/>
    <x v="1"/>
    <s v="Liang Guanglie"/>
    <m/>
    <s v="Defense Minister; CMC Member"/>
    <n v="8"/>
    <s v="Abroad"/>
    <s v="First China-ASEAN Defense Ministers' Informal Meeting in Indonesia"/>
    <m/>
    <m/>
    <m/>
    <m/>
    <m/>
    <m/>
    <m/>
    <m/>
  </r>
  <r>
    <s v="Senior Level Visit"/>
    <s v="Europe"/>
    <s v="Europe and Central Asia"/>
    <s v="Strategic Partnership [战略伙伴关系]"/>
    <s v="NATO"/>
    <s v="EUCOM"/>
    <s v="Germany"/>
    <x v="20"/>
    <n v="5"/>
    <x v="4"/>
    <s v="Zhang Qinsheng"/>
    <m/>
    <s v="GSD DCGS"/>
    <n v="6"/>
    <s v="Abroad"/>
    <m/>
    <m/>
    <m/>
    <m/>
    <m/>
    <m/>
    <m/>
    <m/>
    <m/>
  </r>
  <r>
    <s v="Senior Level Visit"/>
    <s v="Southeast Asia"/>
    <s v="Asia"/>
    <s v="Strategic Partnership [战略伙伴关系]"/>
    <s v="None"/>
    <s v="INDOPACOM"/>
    <s v="Indonesia"/>
    <x v="20"/>
    <n v="5"/>
    <x v="4"/>
    <s v="Liang Guanglie"/>
    <m/>
    <s v="Defense Minister; CMC Member"/>
    <n v="8"/>
    <s v="Abroad"/>
    <m/>
    <m/>
    <m/>
    <m/>
    <m/>
    <m/>
    <m/>
    <m/>
    <m/>
  </r>
  <r>
    <s v="Senior Level Visit"/>
    <s v="Southeast Asia"/>
    <s v="Asia"/>
    <s v="Comprehensive Strategic Cooperative Partnership [全面战略合作伙伴关系]"/>
    <s v="None"/>
    <s v="INDOPACOM"/>
    <s v="Laos"/>
    <x v="20"/>
    <n v="5"/>
    <x v="3"/>
    <s v="Chen Yong"/>
    <m/>
    <s v="GSD Assistant Commander"/>
    <n v="5"/>
    <s v="Hosted"/>
    <m/>
    <m/>
    <m/>
    <m/>
    <m/>
    <m/>
    <m/>
    <m/>
    <m/>
  </r>
  <r>
    <s v="Senior Level Visit"/>
    <s v="Southeast Asia"/>
    <s v="Asia"/>
    <s v="Comprehensive Strategic Cooperative Partnership [全面战略合作伙伴关系]"/>
    <s v="None"/>
    <s v="INDOPACOM"/>
    <s v="Myanmar"/>
    <x v="20"/>
    <n v="5"/>
    <x v="4"/>
    <s v="Xu Caihou"/>
    <m/>
    <s v="CMC Vice Chairman"/>
    <n v="10"/>
    <s v="Abroad"/>
    <s v="CinC Armed Forces"/>
    <m/>
    <m/>
    <m/>
    <m/>
    <m/>
    <m/>
    <m/>
    <m/>
  </r>
  <r>
    <s v="Senior Level Visit"/>
    <s v="Northeast Asia"/>
    <s v="Asia"/>
    <s v="Bilateral Defense Treaty"/>
    <s v="None"/>
    <s v="INDOPACOM"/>
    <s v="North Korea"/>
    <x v="20"/>
    <n v="5"/>
    <x v="3"/>
    <s v="Chen Yong"/>
    <m/>
    <s v="GSD Assistant Commander"/>
    <n v="5"/>
    <s v="Hosted"/>
    <m/>
    <m/>
    <m/>
    <m/>
    <m/>
    <m/>
    <m/>
    <m/>
    <m/>
  </r>
  <r>
    <s v="Senior Level Visit"/>
    <s v="South America"/>
    <s v="America and Oceania"/>
    <s v="Strategic Partnership [战略伙伴关系]"/>
    <s v="None"/>
    <s v="SOUTHCOM"/>
    <s v="Peru"/>
    <x v="20"/>
    <n v="5"/>
    <x v="3"/>
    <s v="Liang Guanglie"/>
    <m/>
    <s v="Defense Minister; CMC Member"/>
    <n v="8"/>
    <s v="Hosted"/>
    <s v="Defense Minister"/>
    <m/>
    <m/>
    <m/>
    <m/>
    <m/>
    <m/>
    <m/>
    <m/>
  </r>
  <r>
    <s v="Senior Level Visit"/>
    <s v="Southeast Asia"/>
    <s v="Asia"/>
    <s v="Strategic Cooperative Partnership [战略合作伙伴关系]"/>
    <s v="Bilateral Defense Treaty"/>
    <s v="INDOPACOM"/>
    <s v="Philippines"/>
    <x v="20"/>
    <n v="5"/>
    <x v="4"/>
    <s v="Liang Guanglie"/>
    <m/>
    <s v="Defense Minister; CMC Member"/>
    <n v="8"/>
    <s v="Abroad"/>
    <m/>
    <m/>
    <m/>
    <m/>
    <m/>
    <m/>
    <m/>
    <m/>
    <m/>
  </r>
  <r>
    <s v="Military Exercise"/>
    <s v="Central Asia"/>
    <s v="Europe and Central Asia"/>
    <s v="Member"/>
    <s v="None"/>
    <s v="CENTCOM"/>
    <s v="SCO"/>
    <x v="20"/>
    <n v="5"/>
    <x v="6"/>
    <m/>
    <m/>
    <m/>
    <m/>
    <m/>
    <m/>
    <s v="Anti-terrorism"/>
    <s v="Tianshan-2"/>
    <s v="PAP"/>
    <s v="Countries: Kyrgyzstan, Tajikstan; held in Kashi"/>
    <m/>
    <m/>
    <m/>
    <m/>
  </r>
  <r>
    <s v="Senior Level Visit"/>
    <s v="Europe"/>
    <s v="Europe and Central Asia"/>
    <s v="Strategic Partnership [战略伙伴关系]"/>
    <s v="None"/>
    <s v="EUCOM"/>
    <s v="Serbia"/>
    <x v="20"/>
    <n v="5"/>
    <x v="3"/>
    <s v="Chen Bingde"/>
    <m/>
    <s v="GSD Commander; CMC Member"/>
    <n v="8"/>
    <s v="Hosted"/>
    <m/>
    <m/>
    <m/>
    <m/>
    <m/>
    <m/>
    <m/>
    <m/>
    <m/>
  </r>
  <r>
    <s v="Senior Level Visit"/>
    <s v="Southeast Asia"/>
    <s v="Asia"/>
    <s v="No Specific Relationship"/>
    <s v="None"/>
    <s v="INDOPACOM"/>
    <s v="Singapore"/>
    <x v="20"/>
    <n v="5"/>
    <x v="4"/>
    <s v="Liang Guanglie"/>
    <m/>
    <s v="Defense Minister; CMC Member"/>
    <n v="8"/>
    <s v="Abroad"/>
    <m/>
    <m/>
    <m/>
    <m/>
    <m/>
    <m/>
    <m/>
    <m/>
    <m/>
  </r>
  <r>
    <s v="Senior Level Visit"/>
    <s v="Europe"/>
    <s v="Europe and Central Asia"/>
    <s v="No Specific Relationship"/>
    <s v="None"/>
    <s v="EUCOM"/>
    <s v="Sweden"/>
    <x v="20"/>
    <n v="5"/>
    <x v="4"/>
    <s v="Chen Bingde"/>
    <m/>
    <s v="GSD Commander; CMC Member"/>
    <n v="8"/>
    <s v="Abroad"/>
    <s v="Supreme Commander Armed Forces"/>
    <m/>
    <m/>
    <m/>
    <m/>
    <m/>
    <m/>
    <m/>
    <m/>
  </r>
  <r>
    <s v="Senior Level Visit"/>
    <s v="Europe"/>
    <s v="Europe and Central Asia"/>
    <s v="Comprehensive Strategic Partnership [全面战略伙伴关系]"/>
    <s v="NATO"/>
    <s v="EUCOM"/>
    <s v="United Kingdom"/>
    <x v="20"/>
    <n v="5"/>
    <x v="4"/>
    <s v="Zhang Qinsheng"/>
    <m/>
    <s v="GSD DCGS"/>
    <n v="6"/>
    <s v="Abroad"/>
    <m/>
    <m/>
    <m/>
    <m/>
    <m/>
    <m/>
    <m/>
    <m/>
    <m/>
  </r>
  <r>
    <s v="Senior Level Visit"/>
    <s v="North America"/>
    <s v="America and Oceania"/>
    <s v="No Specific Relationship"/>
    <s v="N/A"/>
    <s v="NORTHCOM"/>
    <s v="United States"/>
    <x v="20"/>
    <n v="5"/>
    <x v="4"/>
    <s v="Chen Bingde"/>
    <m/>
    <s v="GSD Commander; CMC Member"/>
    <n v="8"/>
    <s v="Abroad"/>
    <m/>
    <m/>
    <m/>
    <m/>
    <m/>
    <m/>
    <m/>
    <m/>
    <m/>
  </r>
  <r>
    <s v="Senior Level Visit"/>
    <s v="Oceania"/>
    <s v="America and Oceania"/>
    <s v="No Specific Relationship"/>
    <s v="ANZUS Treaty"/>
    <s v="INDOPACOM"/>
    <s v="Australia"/>
    <x v="20"/>
    <n v="6"/>
    <x v="7"/>
    <s v="Liang Guanglie"/>
    <m/>
    <s v="Defense Minister; CMC Member"/>
    <n v="8"/>
    <s v="Abroad"/>
    <s v="Defense Minister"/>
    <m/>
    <m/>
    <m/>
    <m/>
    <m/>
    <m/>
    <m/>
    <m/>
  </r>
  <r>
    <s v="Senior Level Visit"/>
    <s v="Europe"/>
    <s v="Europe and Central Asia"/>
    <s v="Strategic Partnership [战略伙伴关系]"/>
    <s v="NATO"/>
    <s v="EUCOM"/>
    <s v="Belarus"/>
    <x v="20"/>
    <n v="6"/>
    <x v="3"/>
    <s v="Chen Bingde"/>
    <m/>
    <s v="GSD Commander; CMC Member"/>
    <n v="8"/>
    <s v="Hosted"/>
    <s v="COGS"/>
    <m/>
    <m/>
    <m/>
    <m/>
    <m/>
    <m/>
    <m/>
    <m/>
  </r>
  <r>
    <s v="Senior Level Visit"/>
    <s v="Southeast Asia"/>
    <s v="Asia"/>
    <s v="Comprehensive Strategic Cooperative Partnership [全面战略合作伙伴关系]"/>
    <s v="None"/>
    <s v="INDOPACOM"/>
    <s v="Cambodia"/>
    <x v="20"/>
    <n v="6"/>
    <x v="3"/>
    <s v="Liang Guanglie"/>
    <m/>
    <s v="Defense Minister; CMC Member"/>
    <n v="8"/>
    <s v="Hosted"/>
    <m/>
    <m/>
    <m/>
    <m/>
    <m/>
    <m/>
    <m/>
    <m/>
    <m/>
  </r>
  <r>
    <s v="Senior Level Visit"/>
    <s v="South America"/>
    <s v="America and Oceania"/>
    <s v="Comprehensive Partnership [全面伙伴关系]"/>
    <s v="None"/>
    <s v="SOUTHCOM"/>
    <s v="Chile"/>
    <x v="20"/>
    <n v="6"/>
    <x v="3"/>
    <s v="Wu Shengli"/>
    <m/>
    <s v="PLAN Commander; CMC Member"/>
    <n v="8"/>
    <s v="Hosted"/>
    <s v="Navy Commander"/>
    <m/>
    <m/>
    <m/>
    <m/>
    <m/>
    <m/>
    <m/>
    <m/>
  </r>
  <r>
    <s v="Senior Level Visit"/>
    <s v="Europe"/>
    <s v="Europe and Central Asia"/>
    <s v="Comprehensive Strategic Partnership [全面战略伙伴关系]"/>
    <s v="NATO"/>
    <s v="EUCOM"/>
    <s v="Greece"/>
    <x v="20"/>
    <n v="6"/>
    <x v="3"/>
    <s v="Liang Guanglie"/>
    <m/>
    <s v="Defense Minister; CMC Member"/>
    <n v="8"/>
    <s v="Hosted"/>
    <s v="COGS"/>
    <m/>
    <m/>
    <m/>
    <m/>
    <m/>
    <m/>
    <m/>
    <m/>
  </r>
  <r>
    <s v="Senior Level Visit"/>
    <s v="Southeast Asia"/>
    <s v="Asia"/>
    <s v="No Specific Relationship"/>
    <s v="None"/>
    <s v="INDOPACOM"/>
    <s v="IISS"/>
    <x v="20"/>
    <n v="6"/>
    <x v="1"/>
    <s v="Liang Guanglie"/>
    <m/>
    <s v="Defense Minister; CMC Member"/>
    <n v="8"/>
    <s v="Abroad"/>
    <s v="10th Shangri-La Dialogue"/>
    <m/>
    <m/>
    <m/>
    <m/>
    <m/>
    <m/>
    <m/>
    <m/>
  </r>
  <r>
    <s v="Senior Level Visit"/>
    <s v="South Asia"/>
    <s v="Asia"/>
    <s v="Strategic Partnership for Peace and Prosperity [战略伙伴关系]"/>
    <s v="None"/>
    <s v="INDOPACOM"/>
    <s v="India"/>
    <x v="20"/>
    <n v="6"/>
    <x v="7"/>
    <s v="Liang Guanglie"/>
    <m/>
    <s v="Defense Minister; CMC Member"/>
    <n v="8"/>
    <s v="Abroad"/>
    <s v="Minister of State for Defense"/>
    <m/>
    <m/>
    <m/>
    <m/>
    <m/>
    <m/>
    <m/>
    <m/>
  </r>
  <r>
    <s v="Military Exercise"/>
    <s v="Southeast Asia"/>
    <s v="Asia"/>
    <s v="Strategic Partnership [战略伙伴关系]"/>
    <s v="None"/>
    <s v="INDOPACOM"/>
    <s v="Indonesia"/>
    <x v="20"/>
    <n v="6"/>
    <x v="5"/>
    <m/>
    <m/>
    <m/>
    <m/>
    <m/>
    <m/>
    <s v="Anti-terrorism"/>
    <s v="Sharp Knife 2011"/>
    <s v="Air Force"/>
    <s v="Airborne forces"/>
    <m/>
    <m/>
    <m/>
    <m/>
  </r>
  <r>
    <s v="Senior Level Visit"/>
    <s v="Middle East"/>
    <s v="West Asia and Africa"/>
    <s v="No Specific Relationship"/>
    <s v="Major Non-NATO Ally"/>
    <s v="CENTCOM"/>
    <s v="Israel"/>
    <x v="20"/>
    <n v="6"/>
    <x v="3"/>
    <s v="Chen Bingde"/>
    <m/>
    <s v="GSD Commander; CMC Member"/>
    <n v="8"/>
    <s v="Hosted"/>
    <s v="Deputy Prime Minister and Defense Minister"/>
    <m/>
    <m/>
    <m/>
    <m/>
    <m/>
    <m/>
    <m/>
    <m/>
  </r>
  <r>
    <s v="Senior Level Visit"/>
    <s v="Northeast Asia"/>
    <s v="Asia"/>
    <s v="Mutually Beneficial Strategic Relationship [战略互惠关系]"/>
    <s v="Bilateral Defense Treaty"/>
    <s v="INDOPACOM"/>
    <s v="Japan"/>
    <x v="20"/>
    <n v="6"/>
    <x v="7"/>
    <s v="Liang Guanglie"/>
    <m/>
    <s v="Defense Minister; CMC Member"/>
    <n v="8"/>
    <s v="Hosted"/>
    <s v="Former NE Army Region Commander, JGSDF"/>
    <m/>
    <m/>
    <m/>
    <m/>
    <m/>
    <m/>
    <m/>
    <m/>
  </r>
  <r>
    <s v="Senior Level Visit"/>
    <s v="Oceania"/>
    <s v="America and Oceania"/>
    <s v="No Specific Relationship"/>
    <s v="ANZUS Treaty"/>
    <s v="INDOPACOM"/>
    <s v="New Zealand"/>
    <x v="20"/>
    <n v="6"/>
    <x v="7"/>
    <s v="Liang Guanglie"/>
    <m/>
    <s v="Defense Minister; CMC Member"/>
    <n v="8"/>
    <s v="Abroad"/>
    <s v="Defense Minister"/>
    <m/>
    <m/>
    <m/>
    <m/>
    <m/>
    <m/>
    <m/>
    <m/>
  </r>
  <r>
    <s v="Naval Port Call"/>
    <s v="Middle East"/>
    <s v="West Asia and Africa"/>
    <s v="No Specific Relationship"/>
    <s v="None"/>
    <s v="CENTCOM"/>
    <s v="Oman"/>
    <x v="20"/>
    <n v="6"/>
    <x v="9"/>
    <m/>
    <m/>
    <m/>
    <m/>
    <m/>
    <m/>
    <m/>
    <m/>
    <m/>
    <m/>
    <s v="ETF"/>
    <s v="ETF-08"/>
    <s v="East Sea Fleet"/>
    <s v="FFG525 Ma'anshan, FFG526 Wenzhou, AOR886 Qiandao Hu"/>
  </r>
  <r>
    <s v="Senior Level Visit"/>
    <s v="Europe"/>
    <s v="Europe and Central Asia"/>
    <s v="Comprehensive Strategic Partnership [全面战略伙伴关系]"/>
    <s v="NATO"/>
    <s v="EUCOM"/>
    <s v="Portugal"/>
    <x v="20"/>
    <n v="6"/>
    <x v="3"/>
    <s v="Liang Guanglie"/>
    <m/>
    <s v="Defense Minister; CMC Member"/>
    <n v="8"/>
    <s v="Hosted"/>
    <s v="Army Chief of Staff"/>
    <m/>
    <m/>
    <m/>
    <m/>
    <m/>
    <m/>
    <m/>
    <m/>
  </r>
  <r>
    <s v="Senior Level Visit"/>
    <s v="Europe"/>
    <s v="Europe and Central Asia"/>
    <s v="Comprehensive Friendly Cooperative Partnership [全面友好合作伙伴关系]"/>
    <s v="NATO"/>
    <s v="EUCOM"/>
    <s v="Romania"/>
    <x v="20"/>
    <n v="6"/>
    <x v="3"/>
    <s v="Liang Guanglie"/>
    <m/>
    <s v="Defense Minister; CMC Member"/>
    <n v="8"/>
    <s v="Hosted"/>
    <s v="Naval Chief"/>
    <m/>
    <m/>
    <m/>
    <m/>
    <m/>
    <m/>
    <m/>
    <m/>
  </r>
  <r>
    <s v="Senior Level Visit"/>
    <s v="Russia"/>
    <s v="Europe and Central Asia"/>
    <s v="Strategic Partnership of Coordination [战略协作伙伴关系]"/>
    <s v="None"/>
    <s v="EUCOM"/>
    <s v="Russia"/>
    <x v="20"/>
    <n v="6"/>
    <x v="4"/>
    <s v="Liang Guanglie"/>
    <m/>
    <s v="Defense Minister; CMC Member"/>
    <n v="8"/>
    <s v="Abroad"/>
    <s v="Deputy Prime Minister"/>
    <m/>
    <m/>
    <m/>
    <m/>
    <m/>
    <m/>
    <m/>
    <m/>
  </r>
  <r>
    <s v="Senior Level Visit"/>
    <s v="Southeast Asia"/>
    <s v="Asia"/>
    <s v="No Specific Relationship"/>
    <s v="None"/>
    <s v="INDOPACOM"/>
    <s v="Singapore"/>
    <x v="20"/>
    <n v="6"/>
    <x v="4"/>
    <s v="Wu Shengli"/>
    <m/>
    <s v="PLAN Commander; CMC Member"/>
    <n v="8"/>
    <s v="Abroad"/>
    <m/>
    <m/>
    <m/>
    <m/>
    <m/>
    <m/>
    <m/>
    <m/>
    <m/>
  </r>
  <r>
    <s v="Senior Level Visit"/>
    <s v="Europe"/>
    <s v="Europe and Central Asia"/>
    <s v="No Specific Relationship"/>
    <s v="NATO"/>
    <s v="EUCOM"/>
    <s v="Slovenia"/>
    <x v="20"/>
    <n v="6"/>
    <x v="3"/>
    <s v="Xu Caihou"/>
    <m/>
    <s v="CMC Vice Chairman"/>
    <n v="10"/>
    <s v="Hosted"/>
    <s v="Defense Minister"/>
    <m/>
    <m/>
    <m/>
    <m/>
    <m/>
    <m/>
    <m/>
    <m/>
  </r>
  <r>
    <s v="Senior Level Visit"/>
    <s v="Africa"/>
    <s v="West Asia and Africa"/>
    <s v="No Specific Relationship"/>
    <s v="None"/>
    <s v="AFRICOM"/>
    <s v="Tanzania"/>
    <x v="20"/>
    <n v="6"/>
    <x v="3"/>
    <s v="Chen Bingde"/>
    <m/>
    <s v="GSD Commander; CMC Member"/>
    <n v="8"/>
    <s v="Hosted"/>
    <s v="Chief of Defense Forces"/>
    <m/>
    <m/>
    <m/>
    <m/>
    <m/>
    <m/>
    <m/>
    <m/>
  </r>
  <r>
    <s v="Senior Level Visit"/>
    <s v="Europe"/>
    <s v="Europe and Central Asia"/>
    <s v="Comprehensive Strategic Partnership [全面战略伙伴关系]"/>
    <s v="NATO"/>
    <s v="EUCOM"/>
    <s v="United Kingdom"/>
    <x v="20"/>
    <n v="6"/>
    <x v="3"/>
    <s v="Ma Xiaotian"/>
    <m/>
    <s v="GSD DCGS"/>
    <n v="6"/>
    <s v="Hosted"/>
    <s v="Director General of International Security policy of Defense Ministry"/>
    <m/>
    <m/>
    <m/>
    <m/>
    <m/>
    <m/>
    <m/>
    <m/>
  </r>
  <r>
    <s v="Senior Level Visit"/>
    <s v="North America"/>
    <s v="America and Oceania"/>
    <s v="No Specific Relationship"/>
    <s v="N/A"/>
    <s v="NORTHCOM"/>
    <s v="United States"/>
    <x v="20"/>
    <n v="6"/>
    <x v="7"/>
    <s v="Liang Guanglie"/>
    <m/>
    <s v="Defense Minister; CMC Member"/>
    <n v="8"/>
    <s v="Abroad"/>
    <s v="Secretary of Defense"/>
    <m/>
    <m/>
    <m/>
    <m/>
    <m/>
    <m/>
    <m/>
    <m/>
  </r>
  <r>
    <s v="Senior Level Visit"/>
    <s v="Southeast Asia"/>
    <s v="Asia"/>
    <s v="Comprehensive Strategic Cooperative Partnership [全面战略合作伙伴关系]"/>
    <s v="None"/>
    <s v="INDOPACOM"/>
    <s v="Vietnam"/>
    <x v="20"/>
    <n v="6"/>
    <x v="7"/>
    <s v="Liang Guanglie"/>
    <m/>
    <s v="Defense Minister; CMC Member"/>
    <n v="8"/>
    <s v="Abroad"/>
    <s v="Defense Minister"/>
    <m/>
    <m/>
    <m/>
    <m/>
    <m/>
    <m/>
    <m/>
    <m/>
  </r>
  <r>
    <s v="Senior Level Visit"/>
    <s v="South Asia"/>
    <s v="Asia"/>
    <s v="Comprehensive Cooperative Partnership [全面合作伙伴关系]"/>
    <s v="None"/>
    <s v="INDOPACOM"/>
    <s v="Bangladesh"/>
    <x v="20"/>
    <n v="7"/>
    <x v="3"/>
    <s v="Ma Xiaotian"/>
    <m/>
    <s v="GSD DCGS"/>
    <n v="6"/>
    <s v="Hosted"/>
    <m/>
    <m/>
    <m/>
    <m/>
    <m/>
    <m/>
    <m/>
    <m/>
    <m/>
  </r>
  <r>
    <s v="Military Exercise"/>
    <s v="Europe"/>
    <s v="Europe and Central Asia"/>
    <s v="Strategic Partnership [战略伙伴关系]"/>
    <s v="None"/>
    <s v="EUCOM"/>
    <s v="Belarus"/>
    <x v="20"/>
    <n v="7"/>
    <x v="5"/>
    <m/>
    <m/>
    <m/>
    <m/>
    <m/>
    <m/>
    <s v="Anti-terrorism"/>
    <s v="Divine Eagle 2011"/>
    <s v="Air Force"/>
    <s v="Airborne forces"/>
    <m/>
    <m/>
    <m/>
    <m/>
  </r>
  <r>
    <s v="Senior Level Visit"/>
    <s v="Middle East"/>
    <s v="West Asia and Africa"/>
    <s v="No Specific Relationship"/>
    <s v="None"/>
    <s v="CENTCOM"/>
    <s v="Djibouti"/>
    <x v="20"/>
    <n v="7"/>
    <x v="3"/>
    <s v="Wu Shengli"/>
    <m/>
    <s v="PLAN Commander; CMC Member"/>
    <n v="8"/>
    <s v="Hosted"/>
    <s v="Navy Commander"/>
    <m/>
    <m/>
    <m/>
    <m/>
    <m/>
    <m/>
    <m/>
    <m/>
  </r>
  <r>
    <s v="Senior Level Visit"/>
    <s v="Northeast Asia"/>
    <s v="Asia"/>
    <s v="Mutually Beneficial Strategic Relationship [战略互惠关系]"/>
    <s v="Bilateral Defense Treaty"/>
    <s v="INDOPACOM"/>
    <s v="Japan"/>
    <x v="20"/>
    <n v="7"/>
    <x v="4"/>
    <s v="Ma Xiaotian"/>
    <m/>
    <s v="GSD DCGS"/>
    <n v="6"/>
    <s v="Abroad"/>
    <s v="Defense Minister"/>
    <m/>
    <m/>
    <m/>
    <m/>
    <m/>
    <m/>
    <m/>
    <m/>
  </r>
  <r>
    <s v="Senior Level Visit"/>
    <s v="Southeast Asia"/>
    <s v="Asia"/>
    <s v="Comprehensive Strategic Cooperative Partnership [全面战略合作伙伴关系]"/>
    <s v="None"/>
    <s v="INDOPACOM"/>
    <s v="Laos"/>
    <x v="20"/>
    <n v="7"/>
    <x v="3"/>
    <s v="Guo Boxiong"/>
    <m/>
    <s v="CMC Vice Chairman"/>
    <n v="10"/>
    <s v="Hosted"/>
    <s v="COGS"/>
    <m/>
    <m/>
    <m/>
    <m/>
    <m/>
    <m/>
    <m/>
    <m/>
  </r>
  <r>
    <s v="Senior Level Visit"/>
    <s v="Northeast Asia"/>
    <s v="Asia"/>
    <s v="Bilateral Defense Treaty"/>
    <s v="None"/>
    <s v="INDOPACOM"/>
    <s v="North Korea"/>
    <x v="20"/>
    <n v="7"/>
    <x v="3"/>
    <s v="Jia Tingan"/>
    <m/>
    <s v="GPD Deputy Director"/>
    <n v="6"/>
    <s v="Hosted"/>
    <m/>
    <m/>
    <m/>
    <m/>
    <m/>
    <m/>
    <m/>
    <m/>
    <m/>
  </r>
  <r>
    <s v="Senior Level Visit"/>
    <s v="South Asia"/>
    <s v="Asia"/>
    <s v="Strategic Partnership [战略伙伴关系]"/>
    <s v="Major Non-NATO Ally"/>
    <s v="CENTCOM"/>
    <s v="Pakistan"/>
    <x v="20"/>
    <n v="7"/>
    <x v="3"/>
    <s v="Ma Xiaotian"/>
    <m/>
    <s v="GSD DCGS"/>
    <n v="6"/>
    <s v="Hosted"/>
    <s v="Army COGS"/>
    <m/>
    <m/>
    <m/>
    <m/>
    <m/>
    <m/>
    <m/>
    <m/>
  </r>
  <r>
    <s v="Senior Level Visit"/>
    <s v="Northeast Asia"/>
    <s v="Asia"/>
    <s v="Strategic Cooperative Partnership [战略合作伙伴关系]"/>
    <s v="Bilateral Defense Treaty"/>
    <s v="INDOPACOM"/>
    <s v="South Korea"/>
    <x v="20"/>
    <n v="7"/>
    <x v="3"/>
    <s v="Liang Guanglie"/>
    <m/>
    <s v="Defense Minister; CMC Member"/>
    <n v="8"/>
    <s v="Hosted"/>
    <s v="Defense Minister"/>
    <m/>
    <m/>
    <m/>
    <m/>
    <m/>
    <m/>
    <m/>
    <m/>
  </r>
  <r>
    <s v="Senior Level Visit"/>
    <s v="Europe"/>
    <s v="Europe and Central Asia"/>
    <s v="No Specific Relationship"/>
    <s v="None"/>
    <s v="EUCOM"/>
    <s v="Switzerland"/>
    <x v="20"/>
    <n v="7"/>
    <x v="3"/>
    <s v="Guo Boxiong"/>
    <m/>
    <s v="CMC Vice Chairman"/>
    <n v="10"/>
    <s v="Hosted"/>
    <s v="Defense Minister"/>
    <m/>
    <m/>
    <m/>
    <m/>
    <m/>
    <m/>
    <m/>
    <m/>
  </r>
  <r>
    <s v="Senior Level Visit"/>
    <s v="Southeast Asia"/>
    <s v="Asia"/>
    <s v="Strategic Partnership [战略伙伴关系]"/>
    <s v="Bilateral Defense Treaty"/>
    <s v="INDOPACOM"/>
    <s v="Thailand"/>
    <x v="20"/>
    <n v="7"/>
    <x v="3"/>
    <s v="Chen Bingde"/>
    <m/>
    <s v="GSD Commander; CMC Member"/>
    <n v="8"/>
    <s v="Hosted"/>
    <s v="Chief of Defense Forces"/>
    <m/>
    <m/>
    <m/>
    <m/>
    <m/>
    <m/>
    <m/>
    <m/>
  </r>
  <r>
    <s v="Senior Level Visit"/>
    <s v="Europe"/>
    <s v="Europe and Central Asia"/>
    <s v="Comprehensive Strategic Partnership [全面战略伙伴关系]"/>
    <s v="NATO"/>
    <s v="EUCOM"/>
    <s v="United Kingdom"/>
    <x v="20"/>
    <n v="7"/>
    <x v="3"/>
    <s v="Liang Guanglie"/>
    <m/>
    <s v="Defense Minister; CMC Member"/>
    <n v="8"/>
    <s v="Hosted"/>
    <s v="Chief of Naval Staff"/>
    <m/>
    <m/>
    <m/>
    <m/>
    <m/>
    <m/>
    <m/>
    <m/>
  </r>
  <r>
    <s v="Senior Level Visit"/>
    <s v="North America"/>
    <s v="America and Oceania"/>
    <s v="No Specific Relationship"/>
    <s v="N/A"/>
    <s v="NORTHCOM"/>
    <s v="United States"/>
    <x v="20"/>
    <n v="7"/>
    <x v="3"/>
    <s v="Chen Bingde"/>
    <m/>
    <s v="GSD Commander; CMC Member"/>
    <n v="8"/>
    <s v="Hosted"/>
    <s v="Chairman JCS"/>
    <m/>
    <m/>
    <m/>
    <m/>
    <m/>
    <m/>
    <m/>
    <m/>
  </r>
  <r>
    <s v="Senior Level Visit"/>
    <s v="South America"/>
    <s v="America and Oceania"/>
    <s v="Comprehensive Strategic Partnership [全面战略伙伴关系]"/>
    <s v="None"/>
    <s v="SOUTHCOM"/>
    <s v="Brazil"/>
    <x v="20"/>
    <n v="8"/>
    <x v="4"/>
    <s v="Du Jincai"/>
    <m/>
    <s v="GPD Deputy Director"/>
    <n v="6"/>
    <s v="Abroad"/>
    <m/>
    <m/>
    <m/>
    <m/>
    <m/>
    <m/>
    <m/>
    <m/>
    <m/>
  </r>
  <r>
    <s v="Senior Level Visit"/>
    <s v="North America"/>
    <s v="America and Oceania"/>
    <s v="Strategic Partnership [战略伙伴关系]"/>
    <s v="NATO"/>
    <s v="NORTHCOM"/>
    <s v="Canada"/>
    <x v="20"/>
    <n v="8"/>
    <x v="4"/>
    <s v="Du Jincai"/>
    <m/>
    <s v="GPD Deputy Director"/>
    <n v="6"/>
    <s v="Abroad"/>
    <m/>
    <m/>
    <m/>
    <m/>
    <m/>
    <m/>
    <m/>
    <m/>
    <m/>
  </r>
  <r>
    <s v="Senior Level Visit"/>
    <s v="Middle East"/>
    <s v="West Asia and Africa"/>
    <s v="No Specific Relationship"/>
    <s v="Major Non-NATO Ally"/>
    <s v="CENTCOM"/>
    <s v="Israel"/>
    <x v="20"/>
    <n v="8"/>
    <x v="4"/>
    <s v="Chen Bingde"/>
    <m/>
    <s v="GSD Commander; CMC Member"/>
    <n v="8"/>
    <s v="Abroad"/>
    <m/>
    <m/>
    <m/>
    <m/>
    <m/>
    <m/>
    <m/>
    <m/>
    <m/>
  </r>
  <r>
    <s v="Naval Port Call"/>
    <s v="Middle East"/>
    <s v="West Asia and Africa"/>
    <s v="No Specific Relationship"/>
    <s v="None"/>
    <s v="CENTCOM"/>
    <s v="Oman"/>
    <x v="20"/>
    <n v="8"/>
    <x v="9"/>
    <m/>
    <m/>
    <m/>
    <m/>
    <m/>
    <m/>
    <m/>
    <m/>
    <m/>
    <m/>
    <s v="ETF"/>
    <s v="ETF-08"/>
    <s v="East Sea Fleet"/>
    <s v="FFG525 Ma'anshan, FFG526 Wenzhou, AOR886 Qiandao Hu; Unknown, could also be ETF-9"/>
  </r>
  <r>
    <s v="Naval Port Call"/>
    <s v="Middle East"/>
    <s v="West Asia and Africa"/>
    <s v="No Specific Relationship"/>
    <s v="None"/>
    <s v="CENTCOM"/>
    <s v="Qatar"/>
    <x v="20"/>
    <n v="8"/>
    <x v="0"/>
    <m/>
    <m/>
    <m/>
    <m/>
    <m/>
    <m/>
    <m/>
    <m/>
    <m/>
    <m/>
    <s v="ETF"/>
    <s v="ETF-08"/>
    <s v="East Sea Fleet"/>
    <s v="FFG525 Ma'anshan, FFG526 Wenzhou, AOR886 Qiandao Hu"/>
  </r>
  <r>
    <s v="Senior Level Visit"/>
    <s v="Russia"/>
    <s v="Europe and Central Asia"/>
    <s v="Strategic Partnership of Coordination [战略协作伙伴关系]"/>
    <s v="None"/>
    <s v="EUCOM"/>
    <s v="Russia"/>
    <x v="20"/>
    <n v="8"/>
    <x v="4"/>
    <s v="Chen Bingde"/>
    <m/>
    <s v="GSD Commander; CMC Member"/>
    <n v="8"/>
    <s v="Abroad"/>
    <s v="First Deputy Defense Minister and COGS"/>
    <m/>
    <m/>
    <m/>
    <m/>
    <m/>
    <m/>
    <m/>
    <m/>
  </r>
  <r>
    <s v="Naval Port Call"/>
    <s v="Southeast Asia"/>
    <s v="Asia"/>
    <s v="Strategic Partnership [战略伙伴关系]"/>
    <s v="Bilateral Defense Treaty"/>
    <s v="INDOPACOM"/>
    <s v="Thailand"/>
    <x v="20"/>
    <n v="8"/>
    <x v="10"/>
    <m/>
    <m/>
    <m/>
    <m/>
    <m/>
    <m/>
    <m/>
    <m/>
    <m/>
    <m/>
    <s v="ETF"/>
    <s v="ETF-08"/>
    <s v="East Sea Fleet"/>
    <s v="FFG525 Ma'anshan, FFG526 Wenzhou, AOR886 Qiandao Hu"/>
  </r>
  <r>
    <s v="Military Exercise"/>
    <s v="Southeast Asia"/>
    <s v="Asia"/>
    <s v="Strategic Partnership [战略伙伴关系]"/>
    <s v="Bilateral Defense Treaty"/>
    <s v="INDOPACOM"/>
    <s v="Thailand"/>
    <x v="20"/>
    <n v="8"/>
    <x v="5"/>
    <m/>
    <m/>
    <m/>
    <m/>
    <m/>
    <m/>
    <s v="Anti-piracy"/>
    <s v="Unknown Sattahip 2011"/>
    <s v="Navy"/>
    <s v="16-21 August 2011, joint drills and friendy visit from anti-piracy ETF, Six Years p. 132 "/>
    <m/>
    <m/>
    <m/>
    <m/>
  </r>
  <r>
    <s v="Senior Level Visit"/>
    <s v="Europe"/>
    <s v="Europe and Central Asia"/>
    <s v="Strategic Cooperative Partnership [战略合作伙伴关系]"/>
    <s v="None"/>
    <s v="EUCOM"/>
    <s v="Ukraine"/>
    <x v="20"/>
    <n v="8"/>
    <x v="4"/>
    <s v="Chen Bingde"/>
    <m/>
    <s v="GSD Commander; CMC Member"/>
    <n v="8"/>
    <s v="Abroad"/>
    <s v="COGS"/>
    <m/>
    <m/>
    <m/>
    <m/>
    <m/>
    <m/>
    <m/>
    <m/>
  </r>
  <r>
    <s v="Senior Level Visit"/>
    <s v="Southeast Asia"/>
    <s v="Asia"/>
    <s v="Comprehensive Strategic Cooperative Partnership [全面战略合作伙伴关系]"/>
    <s v="None"/>
    <s v="INDOPACOM"/>
    <s v="Vietnam"/>
    <x v="20"/>
    <n v="8"/>
    <x v="3"/>
    <s v="Liang Guanglie"/>
    <m/>
    <s v="Defense Minister; CMC Member"/>
    <n v="8"/>
    <s v="Hosted"/>
    <s v="Vice Defense Minister"/>
    <m/>
    <m/>
    <m/>
    <m/>
    <m/>
    <m/>
    <m/>
    <m/>
  </r>
  <r>
    <s v="Senior Level Visit"/>
    <s v="South Asia"/>
    <s v="Asia"/>
    <s v="Comprehensive Cooperative Partnership [全面合作伙伴关系]"/>
    <s v="None"/>
    <s v="INDOPACOM"/>
    <s v="Bangladesh"/>
    <x v="20"/>
    <n v="9"/>
    <x v="3"/>
    <s v="Liang Guanglie"/>
    <m/>
    <s v="Defense Minister; CMC Member"/>
    <n v="8"/>
    <s v="Hosted"/>
    <m/>
    <m/>
    <m/>
    <m/>
    <m/>
    <m/>
    <m/>
    <m/>
    <m/>
  </r>
  <r>
    <s v="Senior Level Visit"/>
    <s v="Africa"/>
    <s v="West Asia and Africa"/>
    <s v="No Specific Relationship"/>
    <s v="None"/>
    <s v="AFRICOM"/>
    <s v="Botswana"/>
    <x v="20"/>
    <n v="9"/>
    <x v="4"/>
    <s v="Zhao Keshi"/>
    <m/>
    <s v="Nanjing MR Commander"/>
    <n v="6"/>
    <s v="Abroad"/>
    <m/>
    <m/>
    <m/>
    <m/>
    <m/>
    <m/>
    <m/>
    <m/>
    <m/>
  </r>
  <r>
    <s v="Senior Level Visit"/>
    <s v="Africa"/>
    <s v="West Asia and Africa"/>
    <s v="No Specific Relationship"/>
    <s v="None"/>
    <s v="AFRICOM"/>
    <s v="Congo"/>
    <x v="20"/>
    <n v="9"/>
    <x v="4"/>
    <s v="Sun Jianguo"/>
    <m/>
    <s v="GSD DCGS"/>
    <n v="6"/>
    <s v="Abroad"/>
    <m/>
    <m/>
    <m/>
    <m/>
    <m/>
    <m/>
    <m/>
    <m/>
    <m/>
  </r>
  <r>
    <s v="Senior Level Visit"/>
    <s v="Europe"/>
    <s v="Europe and Central Asia"/>
    <s v="Comprehensive Cooperative Partnership [全面合作伙伴关系]"/>
    <s v="NATO"/>
    <s v="EUCOM"/>
    <s v="Croatia"/>
    <x v="20"/>
    <n v="9"/>
    <x v="4"/>
    <s v="Xu Caihou"/>
    <m/>
    <s v="CMC Vice Chairman"/>
    <n v="10"/>
    <s v="Abroad"/>
    <s v="Defense Minister"/>
    <m/>
    <m/>
    <m/>
    <m/>
    <m/>
    <m/>
    <m/>
    <m/>
  </r>
  <r>
    <s v="Senior Level Visit"/>
    <s v="Europe"/>
    <s v="Europe and Central Asia"/>
    <s v="Comprehensive Strategic Partnership [全面战略伙伴关系]"/>
    <s v="NATO"/>
    <s v="EUCOM"/>
    <s v="France"/>
    <x v="20"/>
    <n v="9"/>
    <x v="4"/>
    <s v="Ma Xiaotian"/>
    <m/>
    <s v="GSD DCGS"/>
    <n v="6"/>
    <s v="Abroad"/>
    <m/>
    <m/>
    <m/>
    <m/>
    <m/>
    <m/>
    <m/>
    <m/>
    <m/>
  </r>
  <r>
    <s v="Senior Level Visit"/>
    <s v="Oceania"/>
    <s v="America and Oceania"/>
    <s v="No Specific Relationship"/>
    <s v="ANZUS Treaty"/>
    <s v="INDOPACOM"/>
    <s v="New Zealand"/>
    <x v="20"/>
    <n v="9"/>
    <x v="3"/>
    <s v="Guo Boxiong"/>
    <m/>
    <s v="CMC Vice Chairman"/>
    <n v="10"/>
    <s v="Hosted"/>
    <s v="Head of Defense Force"/>
    <m/>
    <m/>
    <m/>
    <m/>
    <m/>
    <m/>
    <m/>
    <m/>
  </r>
  <r>
    <s v="Senior Level Visit"/>
    <s v="Northeast Asia"/>
    <s v="Asia"/>
    <s v="Bilateral Defense Treaty"/>
    <s v="None"/>
    <s v="INDOPACOM"/>
    <s v="North Korea"/>
    <x v="20"/>
    <n v="9"/>
    <x v="3"/>
    <s v="Wu Shengli"/>
    <m/>
    <s v="PLAN Commander; CMC Member"/>
    <n v="8"/>
    <s v="Hosted"/>
    <s v="Deputy Commander Navy"/>
    <m/>
    <m/>
    <m/>
    <m/>
    <m/>
    <m/>
    <m/>
    <m/>
  </r>
  <r>
    <s v="Senior Level Visit"/>
    <s v="Russia"/>
    <s v="Europe and Central Asia"/>
    <s v="Strategic Partnership of Coordination [战略协作伙伴关系]"/>
    <s v="None"/>
    <s v="EUCOM"/>
    <s v="Russia"/>
    <x v="20"/>
    <n v="9"/>
    <x v="4"/>
    <s v="Guo Boxiong"/>
    <m/>
    <s v="CMC Vice Chairman"/>
    <n v="10"/>
    <s v="Abroad"/>
    <m/>
    <m/>
    <m/>
    <m/>
    <m/>
    <m/>
    <m/>
    <m/>
    <m/>
  </r>
  <r>
    <s v="Naval Port Call"/>
    <s v="Middle East"/>
    <s v="West Asia and Africa"/>
    <s v="No Specific Relationship"/>
    <s v="None"/>
    <s v="CENTCOM"/>
    <s v="Saudi Arabia"/>
    <x v="20"/>
    <n v="9"/>
    <x v="9"/>
    <m/>
    <m/>
    <m/>
    <m/>
    <m/>
    <m/>
    <m/>
    <m/>
    <m/>
    <m/>
    <s v="ETF"/>
    <s v="ETF-09"/>
    <s v="South Sea Fleet"/>
    <s v="DDG169 Wuhan, FFG569 Yulin, AOR885 Qinghai Hu"/>
  </r>
  <r>
    <s v="Senior Level Visit"/>
    <s v="Europe"/>
    <s v="Europe and Central Asia"/>
    <s v="Strategic Partnership [战略伙伴关系]"/>
    <s v="None"/>
    <s v="EUCOM"/>
    <s v="Serbia"/>
    <x v="20"/>
    <n v="9"/>
    <x v="4"/>
    <s v="Xu Caihou"/>
    <m/>
    <s v="CMC Vice Chairman"/>
    <n v="10"/>
    <s v="Abroad"/>
    <m/>
    <m/>
    <m/>
    <m/>
    <m/>
    <m/>
    <m/>
    <m/>
    <m/>
  </r>
  <r>
    <s v="Senior Level Visit"/>
    <s v="Africa"/>
    <s v="West Asia and Africa"/>
    <s v="No Specific Relationship"/>
    <s v="None"/>
    <s v="AFRICOM"/>
    <s v="Tanzania"/>
    <x v="20"/>
    <n v="9"/>
    <x v="4"/>
    <s v="Zhao Keshi"/>
    <m/>
    <s v="Nanjing MR Commander"/>
    <n v="6"/>
    <s v="Abroad"/>
    <m/>
    <m/>
    <m/>
    <m/>
    <m/>
    <m/>
    <m/>
    <m/>
    <m/>
  </r>
  <r>
    <s v="Senior Level Visit"/>
    <s v="North America"/>
    <s v="America and Oceania"/>
    <s v="No Specific Relationship"/>
    <s v="N/A"/>
    <s v="NORTHCOM"/>
    <s v="United States"/>
    <x v="20"/>
    <n v="9"/>
    <x v="4"/>
    <s v="Fan Changlong"/>
    <m/>
    <s v="Jinan MR Commander"/>
    <n v="6"/>
    <s v="Abroad"/>
    <m/>
    <m/>
    <m/>
    <m/>
    <m/>
    <m/>
    <m/>
    <m/>
    <m/>
  </r>
  <r>
    <s v="Senior Level Visit"/>
    <s v="Southeast Asia"/>
    <s v="Asia"/>
    <s v="Comprehensive Strategic Cooperative Partnership [全面战略合作伙伴关系]"/>
    <s v="None"/>
    <s v="INDOPACOM"/>
    <s v="Vietnam"/>
    <x v="20"/>
    <n v="9"/>
    <x v="3"/>
    <s v="Li Jinai"/>
    <m/>
    <s v="GPD Director; CMC Member"/>
    <n v="8"/>
    <s v="Hosted"/>
    <s v="GPD director VPA"/>
    <m/>
    <m/>
    <m/>
    <m/>
    <m/>
    <m/>
    <m/>
    <m/>
  </r>
  <r>
    <s v="Senior Level Visit"/>
    <s v="Africa"/>
    <s v="West Asia and Africa"/>
    <s v="No Specific Relationship"/>
    <s v="None"/>
    <s v="AFRICOM"/>
    <s v="Burundi"/>
    <x v="20"/>
    <n v="10"/>
    <x v="3"/>
    <s v="Guo Boxiong"/>
    <m/>
    <s v="CMC Vice Chairman"/>
    <n v="10"/>
    <s v="Hosted"/>
    <s v="Defense Minister"/>
    <m/>
    <m/>
    <m/>
    <m/>
    <m/>
    <m/>
    <m/>
    <m/>
  </r>
  <r>
    <s v="Senior Level Visit"/>
    <s v="South America"/>
    <s v="America and Oceania"/>
    <s v="No Specific Relationship"/>
    <s v="None"/>
    <s v="SOUTHCOM"/>
    <s v="Colombia"/>
    <x v="20"/>
    <n v="10"/>
    <x v="4"/>
    <s v="Guo Boxiong"/>
    <m/>
    <s v="CMC Vice Chairman"/>
    <n v="10"/>
    <s v="Abroad"/>
    <m/>
    <m/>
    <m/>
    <m/>
    <m/>
    <m/>
    <m/>
    <m/>
    <m/>
  </r>
  <r>
    <s v="Senior Level Visit"/>
    <s v="South America"/>
    <s v="America and Oceania"/>
    <s v="No Specific Relationship"/>
    <s v="None"/>
    <s v="SOUTHCOM"/>
    <s v="Cuba"/>
    <x v="20"/>
    <n v="10"/>
    <x v="4"/>
    <s v="Guo Boxiong"/>
    <m/>
    <s v="CMC Vice Chairman"/>
    <n v="10"/>
    <s v="Abroad"/>
    <s v="Defense Minister"/>
    <m/>
    <m/>
    <m/>
    <m/>
    <m/>
    <m/>
    <m/>
    <m/>
  </r>
  <r>
    <s v="Naval Port Call"/>
    <s v="South America"/>
    <s v="America and Oceania"/>
    <s v="No Specific Relationship"/>
    <s v="None"/>
    <s v="SOUTHCOM"/>
    <s v="Cuba"/>
    <x v="20"/>
    <n v="10"/>
    <x v="12"/>
    <m/>
    <m/>
    <m/>
    <m/>
    <m/>
    <m/>
    <m/>
    <m/>
    <m/>
    <m/>
    <s v="NETF"/>
    <s v="2011-10 Peace Ark "/>
    <s v="East Sea Fleet"/>
    <s v="http://en.people.cn/90786/7623576.html"/>
  </r>
  <r>
    <s v="Naval Port Call"/>
    <s v="Middle East"/>
    <s v="West Asia and Africa"/>
    <s v="No Specific Relationship"/>
    <s v="None"/>
    <s v="CENTCOM"/>
    <s v="Djibouti"/>
    <x v="20"/>
    <n v="10"/>
    <x v="9"/>
    <m/>
    <m/>
    <m/>
    <m/>
    <m/>
    <m/>
    <m/>
    <m/>
    <m/>
    <m/>
    <s v="ETF"/>
    <s v="ETF-09"/>
    <s v="South Sea Fleet"/>
    <s v="DDG169 Wuhan, FFG569 Yulin, AOR885 Qinghai Hu"/>
  </r>
  <r>
    <s v="Senior Level Visit"/>
    <s v="Europe"/>
    <s v="Europe and Central Asia"/>
    <s v="Comprehensive Strategic Partnership [全面战略伙伴关系]"/>
    <s v="NATO"/>
    <s v="EUCOM"/>
    <s v="Greece"/>
    <x v="20"/>
    <n v="10"/>
    <x v="4"/>
    <s v="Tong Shiping"/>
    <m/>
    <s v="GPD Deputy Director"/>
    <n v="6"/>
    <s v="Abroad"/>
    <m/>
    <m/>
    <m/>
    <m/>
    <m/>
    <m/>
    <m/>
    <m/>
    <m/>
  </r>
  <r>
    <s v="Senior Level Visit"/>
    <s v="Europe"/>
    <s v="Europe and Central Asia"/>
    <s v="No Specific Relationship"/>
    <s v="NATO"/>
    <s v="EUCOM"/>
    <s v="Hungary"/>
    <x v="20"/>
    <n v="10"/>
    <x v="4"/>
    <s v="Tong Shiping"/>
    <m/>
    <s v="GPD Deputy Director"/>
    <n v="6"/>
    <s v="Abroad"/>
    <m/>
    <m/>
    <m/>
    <m/>
    <m/>
    <m/>
    <m/>
    <m/>
    <m/>
  </r>
  <r>
    <s v="Naval Port Call"/>
    <s v="South America"/>
    <s v="America and Oceania"/>
    <s v="Friendly Partnership [友好伙伴关系)]"/>
    <s v="None"/>
    <s v="SOUTHCOM"/>
    <s v="Jamaica"/>
    <x v="20"/>
    <n v="10"/>
    <x v="12"/>
    <m/>
    <m/>
    <m/>
    <m/>
    <m/>
    <m/>
    <m/>
    <m/>
    <m/>
    <m/>
    <s v="NETF"/>
    <s v="2011-10 Peace Ark "/>
    <s v="East Sea Fleet"/>
    <m/>
  </r>
  <r>
    <s v="Senior Level Visit"/>
    <s v="Southeast Asia"/>
    <s v="Asia"/>
    <s v="Comprehensive Strategic Cooperative Partnership [全面战略合作伙伴关系]"/>
    <s v="None"/>
    <s v="INDOPACOM"/>
    <s v="Laos"/>
    <x v="20"/>
    <n v="10"/>
    <x v="3"/>
    <s v="Liang Guanglie"/>
    <m/>
    <s v="Defense Minister; CMC Member"/>
    <n v="8"/>
    <s v="Hosted"/>
    <s v="Defense Minister"/>
    <m/>
    <m/>
    <m/>
    <m/>
    <m/>
    <m/>
    <m/>
    <m/>
  </r>
  <r>
    <s v="Senior Level Visit"/>
    <s v="Europe"/>
    <s v="Europe and Central Asia"/>
    <s v="No Specific Relationship"/>
    <s v="None"/>
    <s v="EUCOM"/>
    <s v="Montenegro"/>
    <x v="20"/>
    <n v="10"/>
    <x v="3"/>
    <s v="Guo Boxiong"/>
    <m/>
    <s v="CMC Vice Chairman"/>
    <n v="10"/>
    <s v="Hosted"/>
    <s v="Defense Minister"/>
    <m/>
    <m/>
    <m/>
    <m/>
    <m/>
    <m/>
    <m/>
    <m/>
  </r>
  <r>
    <s v="Senior Level Visit"/>
    <s v="Africa"/>
    <s v="West Asia and Africa"/>
    <s v="No Specific Relationship"/>
    <s v="None"/>
    <s v="AFRICOM"/>
    <s v="Namibia"/>
    <x v="20"/>
    <n v="10"/>
    <x v="3"/>
    <s v="Xu Caihou"/>
    <m/>
    <s v="CMC Vice Chairman"/>
    <n v="10"/>
    <s v="Hosted"/>
    <s v="Defense Minister"/>
    <m/>
    <m/>
    <m/>
    <m/>
    <m/>
    <m/>
    <m/>
    <m/>
  </r>
  <r>
    <s v="Senior Level Visit"/>
    <s v="South Asia"/>
    <s v="Asia"/>
    <s v="All-Round Strategic Partnership  [全面合作伙伴关系]"/>
    <s v="None"/>
    <s v="INDOPACOM"/>
    <s v="Nepal"/>
    <x v="20"/>
    <n v="10"/>
    <x v="3"/>
    <s v="Xu Caihou"/>
    <m/>
    <s v="CMC Vice Chairman"/>
    <n v="10"/>
    <s v="Hosted"/>
    <s v="Army Chief of Staff"/>
    <m/>
    <m/>
    <m/>
    <m/>
    <m/>
    <m/>
    <m/>
    <m/>
  </r>
  <r>
    <s v="Senior Level Visit"/>
    <s v="South America"/>
    <s v="America and Oceania"/>
    <s v="Strategic Partnership [战略伙伴关系]"/>
    <s v="None"/>
    <s v="SOUTHCOM"/>
    <s v="Peru"/>
    <x v="20"/>
    <n v="10"/>
    <x v="4"/>
    <s v="Guo Boxiong"/>
    <m/>
    <s v="CMC Vice Chairman"/>
    <n v="10"/>
    <s v="Abroad"/>
    <m/>
    <m/>
    <m/>
    <m/>
    <m/>
    <m/>
    <m/>
    <m/>
    <m/>
  </r>
  <r>
    <s v="Senior Level Visit"/>
    <s v="Russia"/>
    <s v="Europe and Central Asia"/>
    <s v="Strategic Partnership of Coordination [战略协作伙伴关系]"/>
    <s v="None"/>
    <s v="EUCOM"/>
    <s v="Russia"/>
    <x v="20"/>
    <n v="10"/>
    <x v="3"/>
    <s v="Chen Bingde"/>
    <m/>
    <s v="GSD Commander; CMC Member"/>
    <n v="8"/>
    <s v="Hosted"/>
    <s v="DCOGS"/>
    <m/>
    <m/>
    <m/>
    <m/>
    <m/>
    <m/>
    <m/>
    <m/>
  </r>
  <r>
    <s v="Senior Level Visit"/>
    <s v="Oceania"/>
    <s v="America and Oceania"/>
    <s v="No Specific Relationship"/>
    <s v="ANZUS Treaty"/>
    <s v="INDOPACOM"/>
    <s v="Australia"/>
    <x v="20"/>
    <n v="11"/>
    <x v="3"/>
    <s v="Chen Bingde"/>
    <m/>
    <s v="GSD Commander; CMC Member"/>
    <n v="8"/>
    <s v="Hosted"/>
    <s v="Commander Joint Ops Command"/>
    <m/>
    <m/>
    <m/>
    <m/>
    <m/>
    <m/>
    <m/>
    <m/>
  </r>
  <r>
    <s v="Military Exercise"/>
    <s v="Oceania"/>
    <s v="America and Oceania"/>
    <s v="No Specific Relationship"/>
    <s v="ANZUS Treaty"/>
    <s v="INDOPACOM"/>
    <s v="Australia"/>
    <x v="20"/>
    <n v="11"/>
    <x v="5"/>
    <m/>
    <m/>
    <m/>
    <m/>
    <m/>
    <m/>
    <s v="MOOTW"/>
    <s v="Cooperation Spirit 2011"/>
    <s v="Army"/>
    <s v="HADR in Dujiangyan Sichuan"/>
    <m/>
    <m/>
    <m/>
    <m/>
  </r>
  <r>
    <s v="Senior Level Visit"/>
    <s v="South America"/>
    <s v="America and Oceania"/>
    <s v="Comprehensive Partnership [全面伙伴关系]"/>
    <s v="None"/>
    <s v="SOUTHCOM"/>
    <s v="Chile"/>
    <x v="20"/>
    <n v="11"/>
    <x v="4"/>
    <s v="Chang Wanquan"/>
    <m/>
    <s v="GAD Director; CMC Member"/>
    <n v="8"/>
    <s v="Abroad"/>
    <s v="Acting Commander Army"/>
    <m/>
    <m/>
    <m/>
    <m/>
    <m/>
    <m/>
    <m/>
    <m/>
  </r>
  <r>
    <s v="Naval Port Call"/>
    <s v="South America"/>
    <s v="America and Oceania"/>
    <s v="No Specific Relationship"/>
    <s v="None"/>
    <s v="SOUTHCOM"/>
    <s v="Costa Rica"/>
    <x v="20"/>
    <n v="11"/>
    <x v="12"/>
    <m/>
    <m/>
    <m/>
    <m/>
    <m/>
    <m/>
    <m/>
    <m/>
    <m/>
    <m/>
    <s v="NETF"/>
    <s v="2011-10 Peace Ark "/>
    <s v="East Sea Fleet"/>
    <m/>
  </r>
  <r>
    <s v="Senior Level Visit"/>
    <s v="Europe"/>
    <s v="Europe and Central Asia"/>
    <s v="Strategic Partnership [战略伙伴关系]"/>
    <s v="NATO"/>
    <s v="EUCOM"/>
    <s v="Germany"/>
    <x v="20"/>
    <n v="11"/>
    <x v="3"/>
    <s v="Zhang Qinsheng"/>
    <m/>
    <s v="GSD DCGS"/>
    <n v="6"/>
    <s v="Hosted"/>
    <s v="Parliament State Secretary to Defense Minister"/>
    <m/>
    <m/>
    <m/>
    <m/>
    <m/>
    <m/>
    <m/>
    <m/>
  </r>
  <r>
    <s v="Senior Level Visit"/>
    <s v="Africa"/>
    <s v="West Asia and Africa"/>
    <s v="No Specific Relationship"/>
    <s v="None"/>
    <s v="AFRICOM"/>
    <s v="Ghana"/>
    <x v="20"/>
    <n v="11"/>
    <x v="4"/>
    <s v="Liang Guanglie"/>
    <m/>
    <s v="Defense Minister; CMC Member"/>
    <n v="8"/>
    <s v="Abroad"/>
    <m/>
    <m/>
    <m/>
    <m/>
    <m/>
    <m/>
    <m/>
    <m/>
    <m/>
  </r>
  <r>
    <s v="Naval Port Call"/>
    <s v="Middle East"/>
    <s v="West Asia and Africa"/>
    <s v="No Specific Relationship"/>
    <s v="Major Non-NATO Ally"/>
    <s v="CENTCOM"/>
    <s v="Kuwait"/>
    <x v="20"/>
    <n v="11"/>
    <x v="0"/>
    <m/>
    <m/>
    <m/>
    <m/>
    <m/>
    <m/>
    <m/>
    <m/>
    <m/>
    <m/>
    <s v="ETF"/>
    <s v="ETF-09"/>
    <s v="South Sea Fleet"/>
    <s v="DDG169 Wuhan, FFG569 Yulin, AOR885 Qinghai Hu"/>
  </r>
  <r>
    <s v="Senior Level Visit"/>
    <s v="Southeast Asia"/>
    <s v="Asia"/>
    <s v="Comprehensive Strategic Cooperative Partnership [全面战略合作伙伴关系]"/>
    <s v="None"/>
    <s v="INDOPACOM"/>
    <s v="Myanmar"/>
    <x v="20"/>
    <n v="11"/>
    <x v="4"/>
    <s v="Chen Bingde"/>
    <m/>
    <s v="GSD Commander; CMC Member"/>
    <n v="8"/>
    <s v="Abroad"/>
    <m/>
    <m/>
    <m/>
    <m/>
    <m/>
    <m/>
    <m/>
    <m/>
    <m/>
  </r>
  <r>
    <s v="Senior Level Visit"/>
    <s v="Northeast Asia"/>
    <s v="Asia"/>
    <s v="Bilateral Defense Treaty"/>
    <s v="None"/>
    <s v="INDOPACOM"/>
    <s v="North Korea"/>
    <x v="20"/>
    <n v="11"/>
    <x v="3"/>
    <s v="Li Jinai"/>
    <m/>
    <s v="GPD Director; CMC Member"/>
    <n v="8"/>
    <s v="Hosted"/>
    <s v="Commander, Interior Force and First Deputy Minister of People's Security"/>
    <m/>
    <m/>
    <m/>
    <m/>
    <m/>
    <m/>
    <m/>
    <m/>
  </r>
  <r>
    <s v="Naval Port Call"/>
    <s v="Middle East"/>
    <s v="West Asia and Africa"/>
    <s v="No Specific Relationship"/>
    <s v="None"/>
    <s v="CENTCOM"/>
    <s v="Oman"/>
    <x v="20"/>
    <n v="11"/>
    <x v="9"/>
    <m/>
    <m/>
    <m/>
    <m/>
    <m/>
    <m/>
    <m/>
    <m/>
    <m/>
    <m/>
    <s v="ETF"/>
    <s v="ETF-09"/>
    <s v="South Sea Fleet"/>
    <s v="DDG169 Wuhan, FFG569 Yulin, AOR885 Qinghai Hu; unknown, could be ETF-10"/>
  </r>
  <r>
    <s v="Military Exercise"/>
    <s v="South Asia"/>
    <s v="Asia"/>
    <s v="Strategic Partnership [战略伙伴关系]"/>
    <s v="Major Non-NATO Ally"/>
    <s v="CENTCOM"/>
    <s v="Pakistan"/>
    <x v="20"/>
    <n v="11"/>
    <x v="5"/>
    <m/>
    <m/>
    <m/>
    <m/>
    <m/>
    <m/>
    <s v="Anti-terrorism"/>
    <s v="Friendship 2011"/>
    <s v="Army"/>
    <s v="Anti-terrorism"/>
    <m/>
    <m/>
    <m/>
    <m/>
  </r>
  <r>
    <s v="Senior Level Visit"/>
    <s v="Africa"/>
    <s v="West Asia and Africa"/>
    <s v="No Specific Relationship"/>
    <s v="None"/>
    <s v="AFRICOM"/>
    <s v="Seychelles"/>
    <x v="20"/>
    <n v="11"/>
    <x v="4"/>
    <s v="Liang Guanglie"/>
    <m/>
    <s v="Defense Minister; CMC Member"/>
    <n v="8"/>
    <s v="Abroad"/>
    <m/>
    <m/>
    <m/>
    <m/>
    <m/>
    <m/>
    <m/>
    <m/>
    <m/>
  </r>
  <r>
    <s v="Senior Level Visit"/>
    <s v="Africa"/>
    <s v="West Asia and Africa"/>
    <s v="Comprehensive Strategic Partnership [全面战略伙伴关系]"/>
    <s v="None"/>
    <s v="AFRICOM"/>
    <s v="South Africa"/>
    <x v="20"/>
    <n v="11"/>
    <x v="3"/>
    <s v="Chen Yong"/>
    <m/>
    <s v="GSD Assistant Commander"/>
    <n v="5"/>
    <s v="Hosted"/>
    <m/>
    <m/>
    <m/>
    <m/>
    <m/>
    <m/>
    <m/>
    <m/>
    <m/>
  </r>
  <r>
    <s v="Senior Level Visit"/>
    <s v="Africa"/>
    <s v="West Asia and Africa"/>
    <s v="No Specific Relationship"/>
    <s v="None"/>
    <s v="AFRICOM"/>
    <s v="Sudan"/>
    <x v="20"/>
    <n v="11"/>
    <x v="3"/>
    <s v="Liang Guanglie"/>
    <m/>
    <s v="Defense Minister; CMC Member"/>
    <n v="8"/>
    <s v="Hosted"/>
    <s v="Defense Minister"/>
    <m/>
    <m/>
    <m/>
    <m/>
    <m/>
    <m/>
    <m/>
    <m/>
  </r>
  <r>
    <s v="Senior Level Visit"/>
    <s v="Europe"/>
    <s v="Europe and Central Asia"/>
    <s v="No Specific Relationship"/>
    <s v="None"/>
    <s v="EUCOM"/>
    <s v="Sweden"/>
    <x v="20"/>
    <n v="11"/>
    <x v="3"/>
    <s v="Wu Shengli"/>
    <m/>
    <s v="PLAN Commander; CMC Member"/>
    <n v="8"/>
    <s v="Hosted"/>
    <s v="Navy Inspector General"/>
    <m/>
    <m/>
    <m/>
    <m/>
    <m/>
    <m/>
    <m/>
    <m/>
  </r>
  <r>
    <s v="Naval Port Call"/>
    <s v="South America"/>
    <s v="America and Oceania"/>
    <s v="No Specific Relationship"/>
    <s v="None"/>
    <s v="SOUTHCOM"/>
    <s v="Trinidad and Tobago"/>
    <x v="20"/>
    <n v="11"/>
    <x v="12"/>
    <m/>
    <m/>
    <m/>
    <m/>
    <m/>
    <m/>
    <m/>
    <m/>
    <m/>
    <m/>
    <s v="NETF"/>
    <s v="2011-10 Peace Ark "/>
    <s v="East Sea Fleet"/>
    <m/>
  </r>
  <r>
    <s v="Senior Level Visit"/>
    <s v="Africa"/>
    <s v="West Asia and Africa"/>
    <s v="No Specific Relationship"/>
    <s v="None"/>
    <s v="AFRICOM"/>
    <s v="Uganda"/>
    <x v="20"/>
    <n v="11"/>
    <x v="4"/>
    <s v="Liang Guanglie"/>
    <m/>
    <s v="Defense Minister; CMC Member"/>
    <n v="8"/>
    <s v="Abroad"/>
    <m/>
    <m/>
    <m/>
    <m/>
    <m/>
    <m/>
    <m/>
    <m/>
    <m/>
  </r>
  <r>
    <s v="Military Exercise"/>
    <s v="South America"/>
    <s v="America and Oceania"/>
    <s v="Strategic Development Partnership [战略发展伙伴关系]"/>
    <s v="None"/>
    <s v="SOUTHCOM"/>
    <s v="Venezuela"/>
    <x v="20"/>
    <n v="11"/>
    <x v="5"/>
    <s v=" "/>
    <m/>
    <s v=" "/>
    <s v=" "/>
    <s v=" "/>
    <m/>
    <s v="Combat"/>
    <s v="Cooperation 2011"/>
    <s v="Army"/>
    <s v="SOF urban Warfare Exercise in Venezuela"/>
    <m/>
    <m/>
    <m/>
    <m/>
  </r>
  <r>
    <s v="Senior Level Visit"/>
    <s v="South Asia"/>
    <s v="Asia"/>
    <s v="Comprehensive Cooperative Partnership [全面合作伙伴关系]"/>
    <s v="None"/>
    <s v="INDOPACOM"/>
    <s v="Bangladesh"/>
    <x v="20"/>
    <n v="12"/>
    <x v="4"/>
    <s v="Ma Xiaotian"/>
    <m/>
    <s v="GSD DCGS"/>
    <n v="6"/>
    <s v="Abroad"/>
    <s v="Army Chief of Staff"/>
    <m/>
    <m/>
    <m/>
    <m/>
    <m/>
    <m/>
    <m/>
    <m/>
  </r>
  <r>
    <s v="Senior Level Visit"/>
    <s v="Europe"/>
    <s v="Europe and Central Asia"/>
    <s v="No Specific Relationship"/>
    <s v="None"/>
    <s v="EUCOM"/>
    <s v="Macedonia"/>
    <x v="20"/>
    <n v="12"/>
    <x v="3"/>
    <s v="Guo Boxiong"/>
    <m/>
    <s v="CMC Vice Chairman"/>
    <n v="10"/>
    <s v="Hosted"/>
    <s v="Defense Minister"/>
    <m/>
    <m/>
    <m/>
    <m/>
    <m/>
    <m/>
    <m/>
    <m/>
  </r>
  <r>
    <s v="Senior Level Visit"/>
    <s v="Southeast Asia"/>
    <s v="Asia"/>
    <s v="Strategic Cooperative Partnership [战略合作伙伴关系]"/>
    <s v="None"/>
    <s v="INDOPACOM"/>
    <s v="Malaysia"/>
    <x v="20"/>
    <n v="12"/>
    <x v="3"/>
    <s v="Guo Boxiong"/>
    <m/>
    <s v="CMC Vice Chairman"/>
    <n v="10"/>
    <s v="Hosted"/>
    <s v="Deputy Prime Minister"/>
    <m/>
    <m/>
    <m/>
    <m/>
    <m/>
    <m/>
    <m/>
    <m/>
  </r>
  <r>
    <s v="Senior Level Visit"/>
    <s v="South Asia"/>
    <s v="Asia"/>
    <s v="All-Round Strategic Partnership  [全面合作伙伴关系]"/>
    <s v="None"/>
    <s v="INDOPACOM"/>
    <s v="Nepal"/>
    <x v="20"/>
    <n v="12"/>
    <x v="3"/>
    <s v="Liang Guanglie"/>
    <m/>
    <s v="Defense Minister; CMC Member"/>
    <n v="8"/>
    <s v="Hosted"/>
    <s v="Deputy Prime Minister"/>
    <m/>
    <m/>
    <m/>
    <m/>
    <m/>
    <m/>
    <m/>
    <m/>
  </r>
  <r>
    <s v="Naval Port Call"/>
    <s v="Middle East"/>
    <s v="West Asia and Africa"/>
    <s v="No Specific Relationship"/>
    <s v="None"/>
    <s v="CENTCOM"/>
    <s v="Oman"/>
    <x v="20"/>
    <n v="12"/>
    <x v="0"/>
    <m/>
    <m/>
    <m/>
    <m/>
    <m/>
    <m/>
    <m/>
    <m/>
    <m/>
    <m/>
    <s v="ETF"/>
    <s v="ETF-09"/>
    <s v="South Sea Fleet"/>
    <s v="DDG169 Wuhan, FFG569 Yulin, AOR885 Qinghai Hu"/>
  </r>
  <r>
    <s v="Naval Port Call"/>
    <s v="Southeast Asia"/>
    <s v="Asia"/>
    <s v="No Specific Relationship"/>
    <s v="None"/>
    <s v="INDOPACOM"/>
    <s v="Singapore"/>
    <x v="20"/>
    <n v="12"/>
    <x v="13"/>
    <m/>
    <m/>
    <m/>
    <m/>
    <m/>
    <m/>
    <m/>
    <m/>
    <m/>
    <m/>
    <s v="ETF"/>
    <s v="ETF-10 "/>
    <s v="South Sea Fleet"/>
    <s v="DDG171 Haikou, FFG571 Yuncheng, AOR885 Qinghai Hu; unknown, could also be ETF-9"/>
  </r>
  <r>
    <s v="Senior Level Visit"/>
    <s v="South Asia"/>
    <s v="Asia"/>
    <s v="Comprehensive Cooperative Partnership [全面合作伙伴关系]"/>
    <s v="None"/>
    <s v="INDOPACOM"/>
    <s v="Sri Lanka"/>
    <x v="20"/>
    <n v="12"/>
    <x v="4"/>
    <s v="Ma Xiaotian"/>
    <m/>
    <s v="GSD DCGS"/>
    <n v="6"/>
    <s v="Abroad"/>
    <s v="Army Commander"/>
    <m/>
    <m/>
    <m/>
    <m/>
    <m/>
    <m/>
    <m/>
    <m/>
  </r>
  <r>
    <s v="Senior Level Visit"/>
    <s v="Europe"/>
    <s v="Europe and Central Asia"/>
    <s v="Comprehensive Strategic Partnership [全面战略伙伴关系]"/>
    <s v="NATO"/>
    <s v="EUCOM"/>
    <s v="United Kingdom"/>
    <x v="20"/>
    <n v="12"/>
    <x v="3"/>
    <s v="Xu Qiliang"/>
    <m/>
    <s v="PLAAF Commander; CMC Member"/>
    <n v="8"/>
    <s v="Hosted"/>
    <s v="RAF Chief of Staff"/>
    <m/>
    <m/>
    <m/>
    <m/>
    <m/>
    <m/>
    <m/>
    <m/>
  </r>
  <r>
    <s v="Senior Level Visit"/>
    <s v="North America"/>
    <s v="America and Oceania"/>
    <s v="No Specific Relationship"/>
    <s v="N/A"/>
    <s v="NORTHCOM"/>
    <s v="United States"/>
    <x v="20"/>
    <n v="12"/>
    <x v="3"/>
    <s v="Ma Xiaotian"/>
    <m/>
    <s v="GSD DCGS"/>
    <n v="6"/>
    <s v="Hosted"/>
    <m/>
    <m/>
    <m/>
    <m/>
    <m/>
    <m/>
    <m/>
    <m/>
    <m/>
  </r>
  <r>
    <s v="Senior Level Visit"/>
    <s v="Southeast Asia"/>
    <s v="Asia"/>
    <s v="Strategic Partnership [战略伙伴关系]"/>
    <s v="None"/>
    <s v="INDOPACOM"/>
    <s v="Indonesia"/>
    <x v="21"/>
    <n v="1"/>
    <x v="3"/>
    <s v="Liang Guanglie"/>
    <m/>
    <s v="Defense Minister; CMC Member"/>
    <n v="8"/>
    <s v="Hosted"/>
    <s v="Ambassador to China"/>
    <m/>
    <m/>
    <m/>
    <m/>
    <m/>
    <m/>
    <m/>
    <m/>
  </r>
  <r>
    <s v="Senior Level Visit"/>
    <s v="South Asia"/>
    <s v="Asia"/>
    <s v="Strategic Partnership [战略伙伴关系]"/>
    <s v="Major Non-NATO Ally"/>
    <s v="CENTCOM"/>
    <s v="Pakistan"/>
    <x v="21"/>
    <n v="1"/>
    <x v="3"/>
    <s v="Chen Bingde"/>
    <m/>
    <s v="GSD Commander; CMC Member"/>
    <n v="8"/>
    <s v="Hosted"/>
    <s v="Army Chief of Staff"/>
    <m/>
    <m/>
    <m/>
    <m/>
    <m/>
    <m/>
    <m/>
    <m/>
  </r>
  <r>
    <s v="Senior Level Visit"/>
    <s v="Europe"/>
    <s v="Europe and Central Asia"/>
    <s v="Strategic Partnership [战略伙伴关系]"/>
    <s v="NATO"/>
    <s v="EUCOM"/>
    <s v="Germany"/>
    <x v="21"/>
    <n v="2"/>
    <x v="3"/>
    <s v="Ma Xiaotian"/>
    <m/>
    <s v="GSD DCGS"/>
    <n v="6"/>
    <s v="Hosted"/>
    <s v="Deputy Chief Military Policy and Arms Control, Defense Ministry"/>
    <m/>
    <m/>
    <m/>
    <m/>
    <m/>
    <m/>
    <m/>
    <m/>
  </r>
  <r>
    <s v="Senior Level Visit"/>
    <s v="Southeast Asia"/>
    <s v="Asia"/>
    <s v="Strategic Partnership [战略伙伴关系]"/>
    <s v="None"/>
    <s v="INDOPACOM"/>
    <s v="Indonesia"/>
    <x v="21"/>
    <n v="2"/>
    <x v="3"/>
    <s v="Liang Guanglie"/>
    <m/>
    <s v="Defense Minister; CMC Member"/>
    <n v="8"/>
    <s v="Hosted"/>
    <s v="Defense Minister"/>
    <m/>
    <m/>
    <m/>
    <m/>
    <m/>
    <m/>
    <m/>
    <m/>
  </r>
  <r>
    <s v="Senior Level Visit"/>
    <s v="Europe"/>
    <s v="Europe and Central Asia"/>
    <s v="Comprehensive Strategic Partnership [全面战略伙伴关系]"/>
    <s v="NATO"/>
    <s v="EUCOM"/>
    <s v="Italy"/>
    <x v="21"/>
    <n v="2"/>
    <x v="3"/>
    <s v="Chang Wanquan"/>
    <m/>
    <s v="GAD Director; CMC Member"/>
    <n v="8"/>
    <s v="Hosted"/>
    <s v="Deputy Secretary General of Ministry of Defense"/>
    <m/>
    <m/>
    <m/>
    <m/>
    <m/>
    <m/>
    <m/>
    <m/>
  </r>
  <r>
    <s v="Senior Level Visit"/>
    <s v="Northeast Asia"/>
    <s v="Asia"/>
    <s v="Mutually Beneficial Strategic Relationship [战略互惠关系]"/>
    <s v="Bilateral Defense Treaty"/>
    <s v="INDOPACOM"/>
    <s v="Japan"/>
    <x v="21"/>
    <n v="2"/>
    <x v="3"/>
    <s v="Liang Guanglie"/>
    <m/>
    <s v="Defense Minister; CMC Member"/>
    <n v="8"/>
    <s v="Hosted"/>
    <s v="young military officers"/>
    <m/>
    <m/>
    <m/>
    <m/>
    <m/>
    <m/>
    <m/>
    <m/>
  </r>
  <r>
    <s v="Senior Level Visit"/>
    <s v="Southeast Asia"/>
    <s v="Asia"/>
    <s v="Comprehensive Strategic Cooperative Partnership [全面战略合作伙伴关系]"/>
    <s v="None"/>
    <s v="INDOPACOM"/>
    <s v="Myanmar"/>
    <x v="21"/>
    <n v="2"/>
    <x v="3"/>
    <s v="Chen Bingde"/>
    <m/>
    <s v="GSD Commander; CMC Member"/>
    <n v="8"/>
    <s v="Hosted"/>
    <s v="speaker of house of representatives; former Chief of Staff Armed Forces"/>
    <m/>
    <m/>
    <m/>
    <m/>
    <m/>
    <m/>
    <m/>
    <m/>
  </r>
  <r>
    <s v="Senior Level Visit"/>
    <s v="Europe"/>
    <s v="Europe and Central Asia"/>
    <s v="No Specific Relationship"/>
    <s v="NATO"/>
    <s v="EUCOM"/>
    <s v="NATO"/>
    <x v="21"/>
    <n v="2"/>
    <x v="3"/>
    <s v="Ma Xiaotian"/>
    <m/>
    <s v="GSD DCGS"/>
    <n v="6"/>
    <s v="Hosted"/>
    <s v="Director, IMS, NATO"/>
    <m/>
    <m/>
    <m/>
    <m/>
    <m/>
    <m/>
    <m/>
    <m/>
  </r>
  <r>
    <s v="Naval Port Call"/>
    <s v="Middle East"/>
    <s v="West Asia and Africa"/>
    <s v="No Specific Relationship"/>
    <s v="None"/>
    <s v="CENTCOM"/>
    <s v="Oman"/>
    <x v="21"/>
    <n v="2"/>
    <x v="9"/>
    <m/>
    <m/>
    <m/>
    <m/>
    <m/>
    <m/>
    <m/>
    <m/>
    <m/>
    <m/>
    <s v="ETF"/>
    <s v="ETF-10"/>
    <s v="South Sea Fleet"/>
    <s v="DDG171 Haikou, FFG571 Yuncheng, AOR885 Qinghai Hu"/>
  </r>
  <r>
    <s v="Senior Level Visit"/>
    <s v="Russia"/>
    <s v="Europe and Central Asia"/>
    <s v="Strategic Partnership of Coordination [战略协作伙伴关系]"/>
    <s v="None"/>
    <s v="EUCOM"/>
    <s v="Russia"/>
    <x v="21"/>
    <n v="2"/>
    <x v="3"/>
    <s v="Chen Bingde"/>
    <m/>
    <s v="GSD Commander; CMC Member"/>
    <n v="8"/>
    <s v="Hosted"/>
    <s v="DCOGS"/>
    <m/>
    <m/>
    <m/>
    <m/>
    <m/>
    <m/>
    <m/>
    <m/>
  </r>
  <r>
    <s v="Senior Level Visit"/>
    <s v="South Asia"/>
    <s v="Asia"/>
    <s v="Comprehensive Cooperative Partnership [全面合作伙伴关系]"/>
    <s v="None"/>
    <s v="INDOPACOM"/>
    <s v="Sri Lanka"/>
    <x v="21"/>
    <n v="2"/>
    <x v="3"/>
    <s v="Ma Xiaotian"/>
    <m/>
    <s v="GSD DCGS"/>
    <n v="6"/>
    <s v="Hosted"/>
    <s v="Commander, Eastern Military Command of Navy"/>
    <m/>
    <m/>
    <m/>
    <m/>
    <m/>
    <m/>
    <m/>
    <m/>
  </r>
  <r>
    <s v="Senior Level Visit"/>
    <s v="Southeast Asia"/>
    <s v="Asia"/>
    <s v="Comprehensive Strategic Cooperative Partnership [全面战略合作伙伴关系]"/>
    <s v="Bilateral Defense Treaty"/>
    <s v="INDOPACOM"/>
    <s v="Thailand"/>
    <x v="21"/>
    <n v="2"/>
    <x v="3"/>
    <s v="Liang Guanglie"/>
    <m/>
    <s v="Defense Minister; CMC Member"/>
    <n v="8"/>
    <s v="Hosted"/>
    <s v="CinC Army"/>
    <m/>
    <m/>
    <m/>
    <m/>
    <m/>
    <m/>
    <m/>
    <m/>
  </r>
  <r>
    <s v="Senior Level Visit"/>
    <s v="Europe"/>
    <s v="Europe and Central Asia"/>
    <s v="Strategic Cooperative Partnership [战略合作伙伴关系]"/>
    <s v="None"/>
    <s v="EUCOM"/>
    <s v="Ukraine"/>
    <x v="21"/>
    <n v="2"/>
    <x v="3"/>
    <s v="Wu Shengli"/>
    <m/>
    <s v="PLAN Commander; CMC Member"/>
    <n v="8"/>
    <s v="Hosted"/>
    <s v="Navy Commander"/>
    <m/>
    <m/>
    <m/>
    <m/>
    <m/>
    <m/>
    <m/>
    <m/>
  </r>
  <r>
    <s v="Senior Level Visit"/>
    <s v="Southeast Asia"/>
    <s v="Asia"/>
    <s v="No Specific Relationship"/>
    <s v="None"/>
    <s v="INDOPACOM"/>
    <s v="Brunei"/>
    <x v="21"/>
    <n v="3"/>
    <x v="3"/>
    <s v="Liang Guanglie"/>
    <m/>
    <s v="Defense Minister; CMC Member"/>
    <n v="8"/>
    <s v="Hosted"/>
    <s v="Deputy Defense Minister"/>
    <m/>
    <m/>
    <m/>
    <m/>
    <m/>
    <m/>
    <m/>
    <m/>
  </r>
  <r>
    <s v="Senior Level Visit"/>
    <s v="North America"/>
    <s v="America and Oceania"/>
    <s v="Strategic Partnership [战略伙伴关系]"/>
    <s v="NATO"/>
    <s v="NORTHCOM"/>
    <s v="Canada"/>
    <x v="21"/>
    <n v="3"/>
    <x v="3"/>
    <s v="Guo Boxiong"/>
    <m/>
    <s v="CMC Vice Chairman"/>
    <n v="10"/>
    <s v="Hosted"/>
    <s v="Chief of Staff"/>
    <m/>
    <m/>
    <m/>
    <m/>
    <m/>
    <m/>
    <m/>
    <m/>
  </r>
  <r>
    <s v="Naval Port Call"/>
    <s v="Middle East"/>
    <s v="West Asia and Africa"/>
    <s v="No Specific Relationship"/>
    <s v="None"/>
    <s v="CENTCOM"/>
    <s v="Djibouti"/>
    <x v="21"/>
    <n v="3"/>
    <x v="9"/>
    <m/>
    <m/>
    <m/>
    <m/>
    <m/>
    <m/>
    <m/>
    <m/>
    <m/>
    <m/>
    <s v="ETF"/>
    <s v="ETF-10 "/>
    <s v="South Sea Fleet"/>
    <s v="DDG171 Haikou, FFG571 Yuncheng, AOR885 Qinghai Hu; unknown, could also be ETF-11"/>
  </r>
  <r>
    <s v="Senior Level Visit"/>
    <s v="Europe"/>
    <s v="Europe and Central Asia"/>
    <s v="Comprehensive Strategic Partnership [全面战略伙伴关系]"/>
    <s v="NATO"/>
    <s v="EUCOM"/>
    <s v="France"/>
    <x v="21"/>
    <n v="3"/>
    <x v="3"/>
    <s v="Ma Xiaotian"/>
    <m/>
    <s v="GSD DCGS"/>
    <n v="6"/>
    <s v="Hosted"/>
    <s v="Army Deputy Chief of Staff"/>
    <m/>
    <m/>
    <m/>
    <m/>
    <m/>
    <m/>
    <m/>
    <m/>
  </r>
  <r>
    <s v="Senior Level Visit"/>
    <s v="Europe"/>
    <s v="Europe and Central Asia"/>
    <s v="Strategic Partnership [战略伙伴关系]"/>
    <s v="NATO"/>
    <s v="EUCOM"/>
    <s v="Germany"/>
    <x v="21"/>
    <n v="3"/>
    <x v="3"/>
    <s v="Chen Bingde"/>
    <m/>
    <s v="GSD Commander; CMC Member"/>
    <n v="8"/>
    <s v="Hosted"/>
    <s v="Army Inspector"/>
    <m/>
    <m/>
    <m/>
    <m/>
    <m/>
    <m/>
    <m/>
    <m/>
  </r>
  <r>
    <s v="Senior Level Visit"/>
    <s v="Europe"/>
    <s v="Europe and Central Asia"/>
    <s v="Comprehensive Strategic Partnership [全面战略伙伴关系]"/>
    <s v="NATO"/>
    <s v="EUCOM"/>
    <s v="Italy"/>
    <x v="21"/>
    <n v="3"/>
    <x v="3"/>
    <s v="Ma Xiaotian"/>
    <m/>
    <s v="GSD DCGS"/>
    <n v="6"/>
    <s v="Hosted"/>
    <s v="Deputy Chief 3rd Dept, Plans and Military Policy of Defense General Staff"/>
    <m/>
    <m/>
    <m/>
    <m/>
    <m/>
    <m/>
    <m/>
    <m/>
  </r>
  <r>
    <s v="Senior Level Visit"/>
    <s v="Europe"/>
    <s v="Europe and Central Asia"/>
    <s v="No Specific Relationship"/>
    <s v="None"/>
    <s v="EUCOM"/>
    <s v="Sweden"/>
    <x v="21"/>
    <n v="3"/>
    <x v="3"/>
    <s v="Chen Bingde"/>
    <m/>
    <s v="GSD Commander; CMC Member"/>
    <n v="8"/>
    <s v="Hosted"/>
    <s v="Supreme Commander Armed Forces"/>
    <m/>
    <m/>
    <m/>
    <m/>
    <m/>
    <m/>
    <m/>
    <m/>
  </r>
  <r>
    <s v="Senior Level Visit"/>
    <s v="Africa"/>
    <s v="West Asia and Africa"/>
    <s v="No Specific Relationship"/>
    <s v="None"/>
    <s v="AFRICOM"/>
    <s v="Zimbabwe"/>
    <x v="21"/>
    <n v="3"/>
    <x v="4"/>
    <s v="Tong Shiping"/>
    <m/>
    <s v="GPD Deputy Director"/>
    <n v="6"/>
    <s v="Abroad"/>
    <m/>
    <m/>
    <m/>
    <m/>
    <m/>
    <m/>
    <m/>
    <m/>
    <m/>
  </r>
  <r>
    <s v="Senior Level Visit"/>
    <s v="Europe"/>
    <s v="Europe and Central Asia"/>
    <s v="No Specific Relationship"/>
    <s v="None"/>
    <s v="EUCOM"/>
    <s v="Armenia"/>
    <x v="21"/>
    <n v="4"/>
    <x v="3"/>
    <s v="Ma Xiaotian"/>
    <m/>
    <s v="GSD DCGS"/>
    <n v="6"/>
    <s v="Hosted"/>
    <s v="Director, Defense Policy Bureau of Defense Ministry"/>
    <m/>
    <m/>
    <m/>
    <m/>
    <m/>
    <m/>
    <m/>
    <m/>
  </r>
  <r>
    <s v="Senior Level Visit"/>
    <s v="Europe"/>
    <s v="Europe and Central Asia"/>
    <s v="Strategic Partnership [战略伙伴关系]"/>
    <s v="NATO"/>
    <s v="EUCOM"/>
    <s v="Germany"/>
    <x v="21"/>
    <n v="4"/>
    <x v="3"/>
    <s v="Guo Boxiong"/>
    <m/>
    <s v="CMC Vice Chairman"/>
    <n v="10"/>
    <s v="Hosted"/>
    <s v="Secretary of State for Defense"/>
    <m/>
    <m/>
    <m/>
    <m/>
    <m/>
    <m/>
    <m/>
    <m/>
  </r>
  <r>
    <s v="Senior Level Visit"/>
    <s v="Central Asia"/>
    <s v="Europe and Central Asia"/>
    <s v="Comprehensive Strategic Partnership [全面战略伙伴关系]"/>
    <s v="None"/>
    <s v="CENTCOM"/>
    <s v="Kazakhstan"/>
    <x v="21"/>
    <n v="4"/>
    <x v="7"/>
    <s v="Liang Guanglie"/>
    <m/>
    <s v="Defense Minister; CMC Member"/>
    <n v="8"/>
    <s v="Hosted"/>
    <s v="Defense Minister"/>
    <m/>
    <m/>
    <m/>
    <m/>
    <m/>
    <m/>
    <m/>
    <m/>
  </r>
  <r>
    <s v="Senior Level Visit"/>
    <s v="Africa"/>
    <s v="West Asia and Africa"/>
    <s v="No Specific Relationship"/>
    <s v="None"/>
    <s v="AFRICOM"/>
    <s v="Malawi"/>
    <x v="21"/>
    <n v="4"/>
    <x v="3"/>
    <s v="Liang Guanglie"/>
    <m/>
    <s v="Defense Minister; CMC Member"/>
    <n v="8"/>
    <s v="Hosted"/>
    <s v="Permanent Secretary of Ministry of Defense"/>
    <m/>
    <m/>
    <m/>
    <m/>
    <m/>
    <m/>
    <m/>
    <m/>
  </r>
  <r>
    <s v="Naval Port Call"/>
    <s v="Africa"/>
    <s v="West Asia and Africa"/>
    <s v="No Specific Relationship"/>
    <s v="None"/>
    <s v="AFRICOM"/>
    <s v="Mozambique"/>
    <x v="21"/>
    <n v="4"/>
    <x v="0"/>
    <m/>
    <m/>
    <m/>
    <m/>
    <m/>
    <m/>
    <m/>
    <m/>
    <m/>
    <m/>
    <s v="ETF"/>
    <s v="ETF-10"/>
    <s v="South Sea Fleet"/>
    <s v="DDG171 Haikou, FFG571 Yuncheng, AOR885 Qinghai Hu"/>
  </r>
  <r>
    <s v="Senior Level Visit"/>
    <s v="South Asia"/>
    <s v="Asia"/>
    <s v="Strategic Partnership [战略伙伴关系]"/>
    <s v="Major Non-NATO Ally"/>
    <s v="CENTCOM"/>
    <s v="Pakistan"/>
    <x v="21"/>
    <n v="4"/>
    <x v="3"/>
    <s v="Liang Guanglie"/>
    <m/>
    <s v="Defense Minister; CMC Member"/>
    <n v="8"/>
    <s v="Hosted"/>
    <s v="Chairman JCS"/>
    <m/>
    <m/>
    <m/>
    <m/>
    <m/>
    <m/>
    <m/>
    <m/>
  </r>
  <r>
    <s v="Senior Level Visit"/>
    <s v="Russia"/>
    <s v="Europe and Central Asia"/>
    <s v="Strategic Partnership of Coordination [战略协作伙伴关系]"/>
    <s v="None"/>
    <s v="EUCOM"/>
    <s v="Russia"/>
    <x v="21"/>
    <n v="4"/>
    <x v="3"/>
    <s v="Guo Boxiong"/>
    <m/>
    <s v="CMC Vice Chairman"/>
    <n v="10"/>
    <s v="Hosted"/>
    <s v="Deputy PM"/>
    <m/>
    <m/>
    <m/>
    <m/>
    <m/>
    <m/>
    <m/>
    <m/>
  </r>
  <r>
    <s v="Military Exercise"/>
    <s v="Russia"/>
    <s v="Europe and Central Asia"/>
    <s v="Strategic Partnership of Coordination [战略协作伙伴关系]"/>
    <s v="None"/>
    <s v="EUCOM"/>
    <s v="Russia"/>
    <x v="21"/>
    <n v="4"/>
    <x v="5"/>
    <m/>
    <m/>
    <m/>
    <m/>
    <m/>
    <m/>
    <s v="Combat"/>
    <s v="Maritime Cooperation 2012 (aka Joint Sea 2012)"/>
    <s v="Navy"/>
    <s v="Maritime; HADR; live-fire drills. April 22 to 27"/>
    <m/>
    <m/>
    <m/>
    <m/>
  </r>
  <r>
    <s v="Senior Level Visit"/>
    <s v="Central Asia"/>
    <s v="Europe and Central Asia"/>
    <s v="Member"/>
    <s v="None"/>
    <s v="CENTCOM"/>
    <s v="SCO"/>
    <x v="21"/>
    <n v="4"/>
    <x v="2"/>
    <s v="Liang Guanglie"/>
    <m/>
    <s v="Defense Minister; CMC Member"/>
    <n v="8"/>
    <s v="Abroad"/>
    <s v="Ninth official meeting of the SCO Ministers' of Defense in Tajikistan; Other countries: Kazakhstan, Kyrgyztan, Russia, Tajikistan, Uzbekistan"/>
    <m/>
    <m/>
    <m/>
    <m/>
    <m/>
    <m/>
    <m/>
    <m/>
  </r>
  <r>
    <s v="Senior Level Visit"/>
    <s v="Central Asia"/>
    <s v="Europe and Central Asia"/>
    <s v="No Specific Relationship"/>
    <s v="None"/>
    <s v="CENTCOM"/>
    <s v="Tajikistan"/>
    <x v="21"/>
    <n v="4"/>
    <x v="7"/>
    <s v="Liang Guanglie"/>
    <m/>
    <s v="Defense Minister; CMC Member"/>
    <n v="8"/>
    <s v="Hosted"/>
    <s v="Defense Minister"/>
    <m/>
    <m/>
    <m/>
    <m/>
    <m/>
    <m/>
    <m/>
    <m/>
  </r>
  <r>
    <s v="Naval Port Call"/>
    <s v="Southeast Asia"/>
    <s v="Asia"/>
    <s v="Comprehensive Strategic Cooperative Partnership [全面战略合作伙伴关系]"/>
    <s v="Bilateral Defense Treaty"/>
    <s v="INDOPACOM"/>
    <s v="Thailand"/>
    <x v="21"/>
    <n v="4"/>
    <x v="0"/>
    <m/>
    <m/>
    <m/>
    <m/>
    <m/>
    <m/>
    <m/>
    <m/>
    <m/>
    <m/>
    <s v="ETF"/>
    <s v="ETF-10"/>
    <s v="South Sea Fleet"/>
    <s v="DDG171 Haikou, FFG571 Yuncheng, AOR885 Qinghai Hu"/>
  </r>
  <r>
    <s v="Senior Level Visit"/>
    <s v="South America"/>
    <s v="America and Oceania"/>
    <s v="No Specific Relationship"/>
    <s v="None"/>
    <s v="SOUTHCOM"/>
    <s v="Trinidad and Tobago"/>
    <x v="21"/>
    <n v="4"/>
    <x v="3"/>
    <s v="Liang Guanglie"/>
    <m/>
    <s v="Defense Minister; CMC Member"/>
    <n v="8"/>
    <s v="Hosted"/>
    <s v="Defense Minister"/>
    <m/>
    <m/>
    <m/>
    <m/>
    <m/>
    <m/>
    <m/>
    <m/>
  </r>
  <r>
    <s v="Senior Level Visit"/>
    <s v="Central Asia"/>
    <s v="Europe and Central Asia"/>
    <s v="Strategic Partnership [战略伙伴关系]"/>
    <s v="None"/>
    <s v="CENTCOM"/>
    <s v="Uzbekistan"/>
    <x v="21"/>
    <n v="4"/>
    <x v="3"/>
    <s v="Xu Caihou"/>
    <m/>
    <s v="CMC Vice Chairman"/>
    <n v="10"/>
    <s v="Hosted"/>
    <s v="Chief of Joint Staff"/>
    <m/>
    <m/>
    <m/>
    <m/>
    <m/>
    <m/>
    <m/>
    <m/>
  </r>
  <r>
    <s v="Senior Level Visit"/>
    <s v="Southeast Asia"/>
    <s v="Asia"/>
    <s v="Comprehensive Strategic Cooperative Partnership [全面战略合作伙伴关系]"/>
    <s v="None"/>
    <s v="INDOPACOM"/>
    <s v="Vietnam"/>
    <x v="21"/>
    <n v="4"/>
    <x v="3"/>
    <s v="Chen Bingde"/>
    <m/>
    <s v="GSD Commander; CMC Member"/>
    <n v="8"/>
    <s v="Hosted"/>
    <s v="COGS Army"/>
    <m/>
    <m/>
    <m/>
    <m/>
    <m/>
    <m/>
    <m/>
    <m/>
  </r>
  <r>
    <s v="Naval Port Call"/>
    <s v="Middle East"/>
    <s v="West Asia and Africa"/>
    <s v="No Specific Relationship"/>
    <s v="None"/>
    <s v="CENTCOM"/>
    <s v="Djibouti"/>
    <x v="21"/>
    <n v="5"/>
    <x v="9"/>
    <m/>
    <m/>
    <m/>
    <m/>
    <m/>
    <m/>
    <m/>
    <m/>
    <m/>
    <m/>
    <s v="ETF"/>
    <s v="ETF-11"/>
    <s v="North Sea Fleet"/>
    <s v="DDG113 Qingdao, FFG538 Yantai, AOR887 Weishan Hu"/>
  </r>
  <r>
    <s v="Senior Level Visit"/>
    <s v="Africa"/>
    <s v="West Asia and Africa"/>
    <s v="No Specific Relationship"/>
    <s v="None"/>
    <s v="AFRICOM"/>
    <s v="Ethiopia"/>
    <x v="21"/>
    <n v="5"/>
    <x v="4"/>
    <s v="Wang Guosheng"/>
    <m/>
    <s v="Lanzhou MR Commander"/>
    <n v="6"/>
    <s v="Abroad"/>
    <m/>
    <m/>
    <m/>
    <m/>
    <m/>
    <m/>
    <m/>
    <m/>
    <m/>
  </r>
  <r>
    <s v="Senior Level Visit"/>
    <s v="Europe"/>
    <s v="Europe and Central Asia"/>
    <s v="No Specific Relationship"/>
    <s v="None"/>
    <s v="EUCOM"/>
    <s v="Finland"/>
    <x v="21"/>
    <n v="5"/>
    <x v="3"/>
    <s v="Qi Jianguo"/>
    <m/>
    <s v="GSD Assistant Commander"/>
    <n v="5"/>
    <s v="Hosted"/>
    <s v="DCOGS"/>
    <m/>
    <m/>
    <m/>
    <m/>
    <m/>
    <m/>
    <m/>
    <m/>
  </r>
  <r>
    <s v="Senior Level Visit"/>
    <s v="Middle East"/>
    <s v="West Asia and Africa"/>
    <s v="No Specific Relationship"/>
    <s v="Major Non-NATO Ally"/>
    <s v="CENTCOM"/>
    <s v="Israel"/>
    <x v="21"/>
    <n v="5"/>
    <x v="3"/>
    <s v="Chen Bingde"/>
    <m/>
    <s v="GSD Commander; CMC Member"/>
    <n v="8"/>
    <s v="Hosted"/>
    <s v="IDF Chief of Staff"/>
    <m/>
    <m/>
    <m/>
    <m/>
    <m/>
    <m/>
    <m/>
    <m/>
  </r>
  <r>
    <s v="Senior Level Visit"/>
    <s v="Europe"/>
    <s v="Europe and Central Asia"/>
    <s v="Comprehensive Strategic Partnership [全面战略伙伴关系]"/>
    <s v="NATO"/>
    <s v="EUCOM"/>
    <s v="Italy"/>
    <x v="21"/>
    <n v="5"/>
    <x v="3"/>
    <s v="Li Jinai"/>
    <m/>
    <s v="GPD Director; CMC Member"/>
    <n v="8"/>
    <s v="Hosted"/>
    <s v="Air Force Chief of Staff"/>
    <m/>
    <m/>
    <m/>
    <m/>
    <m/>
    <m/>
    <m/>
    <m/>
  </r>
  <r>
    <s v="Senior Level Visit"/>
    <s v="Europe"/>
    <s v="Europe and Central Asia"/>
    <s v="Friendly Cooperative Partnership [友好合作伙伴关系]"/>
    <s v="NATO"/>
    <s v="EUCOM"/>
    <s v="Latvia"/>
    <x v="21"/>
    <n v="5"/>
    <x v="4"/>
    <s v="Liang Guanglie"/>
    <m/>
    <s v="Defense Minister; CMC Member"/>
    <n v="8"/>
    <s v="Abroad"/>
    <m/>
    <m/>
    <m/>
    <m/>
    <m/>
    <m/>
    <m/>
    <m/>
    <m/>
  </r>
  <r>
    <s v="Senior Level Visit"/>
    <s v="Northeast Asia"/>
    <s v="Asia"/>
    <s v="Strategic Partnership [战略伙伴关系]"/>
    <s v="None"/>
    <s v="INDOPACOM"/>
    <s v="Mongolia"/>
    <x v="21"/>
    <n v="5"/>
    <x v="4"/>
    <s v="Xu Caihou"/>
    <m/>
    <s v="CMC Vice Chairman"/>
    <n v="10"/>
    <s v="Abroad"/>
    <m/>
    <m/>
    <m/>
    <m/>
    <m/>
    <m/>
    <m/>
    <m/>
    <m/>
  </r>
  <r>
    <s v="Senior Level Visit"/>
    <s v="Africa"/>
    <s v="West Asia and Africa"/>
    <s v="No Specific Relationship"/>
    <s v="None"/>
    <s v="AFRICOM"/>
    <s v="Mozambique"/>
    <x v="21"/>
    <n v="5"/>
    <x v="3"/>
    <s v="Liang Guanglie"/>
    <m/>
    <s v="Defense Minister; CMC Member"/>
    <n v="8"/>
    <s v="Hosted"/>
    <s v="Defense Minister"/>
    <m/>
    <m/>
    <m/>
    <m/>
    <m/>
    <m/>
    <m/>
    <m/>
  </r>
  <r>
    <s v="Senior Level Visit"/>
    <s v="Southeast Asia"/>
    <s v="Asia"/>
    <s v="Comprehensive Strategic Cooperative Partnership [全面战略合作伙伴关系]"/>
    <s v="None"/>
    <s v="INDOPACOM"/>
    <s v="Myanmar"/>
    <x v="21"/>
    <n v="5"/>
    <x v="3"/>
    <s v="Qi Jianguo"/>
    <m/>
    <s v="GSD Assistant Commander"/>
    <n v="5"/>
    <s v="Hosted"/>
    <s v="Head of 2nd Special Forces Department"/>
    <m/>
    <m/>
    <m/>
    <m/>
    <m/>
    <m/>
    <m/>
    <m/>
  </r>
  <r>
    <s v="Senior Level Visit"/>
    <s v="Europe"/>
    <s v="Europe and Central Asia"/>
    <s v="Strategic Partnership [战略伙伴关系]"/>
    <s v="NATO"/>
    <s v="EUCOM"/>
    <s v="Poland"/>
    <x v="21"/>
    <n v="5"/>
    <x v="3"/>
    <s v="Liang Guanglie"/>
    <m/>
    <s v="Defense Minister; CMC Member"/>
    <n v="8"/>
    <s v="Hosted"/>
    <s v="Defense Minister"/>
    <m/>
    <m/>
    <m/>
    <m/>
    <m/>
    <m/>
    <m/>
    <m/>
  </r>
  <r>
    <s v="Senior Level Visit"/>
    <s v="Central Asia"/>
    <s v="Europe and Central Asia"/>
    <s v="Member"/>
    <s v="None"/>
    <s v="CENTCOM"/>
    <s v="SCO"/>
    <x v="21"/>
    <n v="5"/>
    <x v="1"/>
    <s v="Chen Bingde"/>
    <m/>
    <s v="GSD Commander; CMC Member"/>
    <n v="8"/>
    <s v="Abroad"/>
    <s v="Second meeting of SCO military chiefs of staff in Tajikistan"/>
    <m/>
    <m/>
    <m/>
    <m/>
    <m/>
    <m/>
    <m/>
    <m/>
  </r>
  <r>
    <s v="Senior Level Visit"/>
    <s v="South Asia"/>
    <s v="Asia"/>
    <s v="Comprehensive Cooperative Partnership [全面合作伙伴关系]"/>
    <s v="None"/>
    <s v="INDOPACOM"/>
    <s v="Sri Lanka"/>
    <x v="21"/>
    <n v="5"/>
    <x v="3"/>
    <s v="Liang Guanglie"/>
    <m/>
    <s v="Defense Minister; CMC Member"/>
    <n v="8"/>
    <s v="Hosted"/>
    <s v="Army Commander"/>
    <m/>
    <m/>
    <m/>
    <m/>
    <m/>
    <m/>
    <m/>
    <m/>
  </r>
  <r>
    <s v="Senior Level Visit"/>
    <s v="Central Asia"/>
    <s v="Europe and Central Asia"/>
    <s v="No Specific Relationship"/>
    <s v="None"/>
    <s v="CENTCOM"/>
    <s v="Tajikistan"/>
    <x v="21"/>
    <n v="5"/>
    <x v="4"/>
    <s v="Chen Bingde"/>
    <m/>
    <s v="GSD Commander; CMC Member"/>
    <n v="8"/>
    <s v="Abroad"/>
    <m/>
    <m/>
    <m/>
    <m/>
    <m/>
    <m/>
    <m/>
    <m/>
    <m/>
  </r>
  <r>
    <s v="Military Exercise"/>
    <s v="Southeast Asia"/>
    <s v="Asia"/>
    <s v="Comprehensive Strategic Cooperative Partnership [全面战略合作伙伴关系]"/>
    <s v="Bilateral Defense Treaty"/>
    <s v="INDOPACOM"/>
    <s v="Thailand"/>
    <x v="21"/>
    <n v="5"/>
    <x v="5"/>
    <m/>
    <m/>
    <m/>
    <m/>
    <m/>
    <m/>
    <s v="Combat Support"/>
    <s v="Blue Strike 2012"/>
    <s v="Navy"/>
    <s v="Amphibious assault; Marines"/>
    <m/>
    <m/>
    <m/>
    <m/>
  </r>
  <r>
    <s v="Senior Level Visit"/>
    <s v="Central Asia"/>
    <s v="Europe and Central Asia"/>
    <s v="No Specific Relationship"/>
    <s v="None"/>
    <s v="CENTCOM"/>
    <s v="Turkmenistan"/>
    <x v="21"/>
    <n v="5"/>
    <x v="4"/>
    <s v="Chen Bingde"/>
    <m/>
    <s v="GSD Commander; CMC Member"/>
    <n v="8"/>
    <s v="Abroad"/>
    <m/>
    <m/>
    <m/>
    <m/>
    <m/>
    <m/>
    <m/>
    <m/>
    <m/>
  </r>
  <r>
    <s v="Senior Level Visit"/>
    <s v="North America"/>
    <s v="America and Oceania"/>
    <s v="No Specific Relationship"/>
    <s v="N/A"/>
    <s v="NORTHCOM"/>
    <s v="United States"/>
    <x v="21"/>
    <n v="5"/>
    <x v="4"/>
    <s v="Liang Guanglie"/>
    <m/>
    <s v="Defense Minister; CMC Member"/>
    <n v="8"/>
    <s v="Abroad"/>
    <m/>
    <m/>
    <m/>
    <m/>
    <m/>
    <m/>
    <m/>
    <m/>
    <m/>
  </r>
  <r>
    <s v="Senior Level Visit"/>
    <s v="Central Asia"/>
    <s v="Europe and Central Asia"/>
    <s v="Strategic Partnership [战略伙伴关系]"/>
    <s v="None"/>
    <s v="CENTCOM"/>
    <s v="Uzbekistan"/>
    <x v="21"/>
    <n v="5"/>
    <x v="4"/>
    <s v="Chen Bingde"/>
    <m/>
    <s v="GSD Commander; CMC Member"/>
    <n v="8"/>
    <s v="Abroad"/>
    <m/>
    <m/>
    <m/>
    <m/>
    <m/>
    <m/>
    <m/>
    <m/>
    <m/>
  </r>
  <r>
    <s v="Senior Level Visit"/>
    <s v="Africa"/>
    <s v="West Asia and Africa"/>
    <s v="No Specific Relationship"/>
    <s v="None"/>
    <s v="AFRICOM"/>
    <s v="Zambia"/>
    <x v="21"/>
    <n v="5"/>
    <x v="4"/>
    <s v="Wang Guosheng"/>
    <m/>
    <s v="Lanzhou MR Commander"/>
    <n v="6"/>
    <s v="Abroad"/>
    <m/>
    <m/>
    <m/>
    <m/>
    <m/>
    <m/>
    <m/>
    <m/>
    <m/>
  </r>
  <r>
    <s v="Senior Level Visit"/>
    <s v="South America"/>
    <s v="America and Oceania"/>
    <s v="Strategic Partnership [战略伙伴关系]"/>
    <s v="Major Non-NATO Ally"/>
    <s v="SOUTHCOM"/>
    <s v="Argentina"/>
    <x v="21"/>
    <n v="6"/>
    <x v="3"/>
    <s v="Guo Boxiong"/>
    <m/>
    <s v="CMC Vice Chairman"/>
    <n v="10"/>
    <s v="Hosted"/>
    <s v="Defense Minister"/>
    <m/>
    <m/>
    <m/>
    <m/>
    <m/>
    <m/>
    <m/>
    <m/>
  </r>
  <r>
    <s v="Senior Level Visit"/>
    <s v="Southeast Asia"/>
    <s v="Asia"/>
    <s v="No Specific Relationship"/>
    <s v="None"/>
    <s v="INDOPACOM"/>
    <s v="IISS"/>
    <x v="21"/>
    <n v="6"/>
    <x v="1"/>
    <s v="Ren Haiquan"/>
    <m/>
    <s v="AMS Vice President"/>
    <n v="6"/>
    <s v="Abroad"/>
    <s v="11th Shangri-La Dialogue"/>
    <m/>
    <m/>
    <m/>
    <m/>
    <m/>
    <m/>
    <m/>
    <m/>
  </r>
  <r>
    <s v="Senior Level Visit"/>
    <s v="Southeast Asia"/>
    <s v="Asia"/>
    <s v="Strategic Partnership [战略伙伴关系]"/>
    <s v="None"/>
    <s v="INDOPACOM"/>
    <s v="Indonesia"/>
    <x v="21"/>
    <n v="6"/>
    <x v="4"/>
    <s v="Jing Zhiyuan"/>
    <m/>
    <s v="PLASAF Commander; CMC Member"/>
    <n v="8"/>
    <s v="Abroad"/>
    <s v="Defense Minister"/>
    <m/>
    <m/>
    <m/>
    <m/>
    <m/>
    <m/>
    <m/>
    <m/>
  </r>
  <r>
    <s v="Naval Port Call"/>
    <s v="Middle East"/>
    <s v="West Asia and Africa"/>
    <s v="No Specific Relationship"/>
    <s v="None"/>
    <s v="CENTCOM"/>
    <s v="Saudi Arabia"/>
    <x v="21"/>
    <n v="6"/>
    <x v="9"/>
    <m/>
    <m/>
    <m/>
    <m/>
    <m/>
    <m/>
    <m/>
    <m/>
    <m/>
    <m/>
    <s v="ETF"/>
    <s v="ETF-11"/>
    <s v="North Sea Fleet"/>
    <s v="DDG113 Qingdao, FFG538 Yantai, AOR887 Weishan Hu"/>
  </r>
  <r>
    <s v="Military Exercise"/>
    <s v="Central Asia"/>
    <s v="Europe and Central Asia"/>
    <s v="Member"/>
    <s v="None"/>
    <s v="CENTCOM"/>
    <s v="SCO"/>
    <x v="21"/>
    <n v="6"/>
    <x v="6"/>
    <m/>
    <m/>
    <m/>
    <m/>
    <m/>
    <m/>
    <s v="Combat"/>
    <s v="Peace Mission 2012"/>
    <s v="Joint"/>
    <s v="Army, Navy, Air Force, SOF; anti-terrorism. Other countries: Tajikistan, Russia, Kyrgyzstan, Kazakhstan. Held in  Tajikistan on June 9-14"/>
    <m/>
    <m/>
    <m/>
    <m/>
  </r>
  <r>
    <s v="Senior Level Visit"/>
    <s v="Southeast Asia"/>
    <s v="Asia"/>
    <s v="No Specific Relationship"/>
    <s v="None"/>
    <s v="INDOPACOM"/>
    <s v="Singapore"/>
    <x v="21"/>
    <n v="6"/>
    <x v="3"/>
    <s v="Xu Caihou"/>
    <m/>
    <s v="CMC Vice Chairman"/>
    <n v="10"/>
    <s v="Hosted"/>
    <s v="Defense Minister"/>
    <m/>
    <m/>
    <m/>
    <m/>
    <m/>
    <m/>
    <m/>
    <m/>
  </r>
  <r>
    <s v="Senior Level Visit"/>
    <s v="Northeast Asia"/>
    <s v="Asia"/>
    <s v="Strategic Cooperative Partnership [战略合作伙伴关系]"/>
    <s v="Bilateral Defense Treaty"/>
    <s v="INDOPACOM"/>
    <s v="South Korea"/>
    <x v="21"/>
    <n v="6"/>
    <x v="3"/>
    <s v="Liang Guanglie"/>
    <m/>
    <s v="Defense Minister; CMC Member"/>
    <n v="8"/>
    <s v="Hosted"/>
    <m/>
    <m/>
    <m/>
    <m/>
    <m/>
    <m/>
    <m/>
    <m/>
    <m/>
  </r>
  <r>
    <s v="Senior Level Visit"/>
    <s v="Southeast Asia"/>
    <s v="Asia"/>
    <s v="Comprehensive Strategic Cooperative Partnership [全面战略合作伙伴关系]"/>
    <s v="Bilateral Defense Treaty"/>
    <s v="INDOPACOM"/>
    <s v="Thailand"/>
    <x v="21"/>
    <n v="6"/>
    <x v="4"/>
    <s v="Jing Zhiyuan"/>
    <m/>
    <s v="PLASAF Commander; CMC Member"/>
    <n v="8"/>
    <s v="Abroad"/>
    <s v="Defense Minister"/>
    <m/>
    <m/>
    <m/>
    <m/>
    <m/>
    <m/>
    <m/>
    <m/>
  </r>
  <r>
    <s v="Senior Level Visit"/>
    <s v="North America"/>
    <s v="America and Oceania"/>
    <s v="No Specific Relationship"/>
    <s v="N/A"/>
    <s v="NORTHCOM"/>
    <s v="United States"/>
    <x v="21"/>
    <n v="6"/>
    <x v="3"/>
    <s v="Liang Guanglie"/>
    <m/>
    <s v="Defense Minister; CMC Member"/>
    <n v="8"/>
    <s v="Hosted"/>
    <s v="PACOM Commander Locklear"/>
    <m/>
    <m/>
    <m/>
    <m/>
    <m/>
    <m/>
    <m/>
    <m/>
  </r>
  <r>
    <s v="Senior Level Visit"/>
    <s v="South Asia"/>
    <s v="Europe and Central Asia"/>
    <s v="Strategic Partnership [战略伙伴关系]"/>
    <s v="Major Non-NATO Ally"/>
    <s v="CENTCOM"/>
    <s v="Afghanistan"/>
    <x v="21"/>
    <n v="7"/>
    <x v="3"/>
    <s v="Guo Boxiong"/>
    <m/>
    <s v="CMC Vice Chairman"/>
    <n v="10"/>
    <s v="Hosted"/>
    <s v="Defense Minister"/>
    <m/>
    <m/>
    <m/>
    <m/>
    <m/>
    <m/>
    <m/>
    <m/>
  </r>
  <r>
    <s v="Senior Level Visit"/>
    <s v="Oceania"/>
    <s v="America and Oceania"/>
    <s v="No Specific Relationship"/>
    <s v="ANZUS Treaty"/>
    <s v="INDOPACOM"/>
    <s v="Australia"/>
    <x v="21"/>
    <n v="7"/>
    <x v="3"/>
    <s v="Ma Xiaotian"/>
    <m/>
    <s v="GSD DCGS"/>
    <n v="6"/>
    <s v="Hosted"/>
    <s v="ADF vice Chief"/>
    <m/>
    <m/>
    <m/>
    <m/>
    <m/>
    <m/>
    <m/>
    <m/>
  </r>
  <r>
    <s v="Senior Level Visit"/>
    <s v="Europe"/>
    <s v="Europe and Central Asia"/>
    <s v="Comprehensive Cooperative Partnership [全面合作伙伴关系]"/>
    <s v="None"/>
    <s v="EUCOM"/>
    <s v="European Union"/>
    <x v="21"/>
    <n v="7"/>
    <x v="3"/>
    <s v="Liang Guanglie"/>
    <m/>
    <s v="Defense Minister; CMC Member"/>
    <n v="8"/>
    <s v="Hosted"/>
    <s v="EU Representative for Foreign Affairs and Security Policy"/>
    <m/>
    <m/>
    <m/>
    <m/>
    <m/>
    <m/>
    <m/>
    <m/>
  </r>
  <r>
    <s v="Military Exercise"/>
    <s v="Southeast Asia"/>
    <s v="Asia"/>
    <s v="Strategic Partnership [战略伙伴关系]"/>
    <s v="None"/>
    <s v="INDOPACOM"/>
    <s v="Indonesia"/>
    <x v="21"/>
    <n v="7"/>
    <x v="5"/>
    <m/>
    <m/>
    <m/>
    <m/>
    <m/>
    <m/>
    <s v="Anti-terrorism"/>
    <s v="Sharp Knife 2012"/>
    <s v="Air Force"/>
    <s v="Airborne forces"/>
    <m/>
    <m/>
    <m/>
    <m/>
  </r>
  <r>
    <s v="Senior Level Visit"/>
    <s v="Europe"/>
    <s v="Europe and Central Asia"/>
    <s v="Friendly Cooperative Partnership [友好合作伙伴关系]"/>
    <s v="NATO"/>
    <s v="EUCOM"/>
    <s v="Lithuania"/>
    <x v="21"/>
    <n v="7"/>
    <x v="4"/>
    <s v="Xu Caihou"/>
    <m/>
    <s v="CMC Vice Chairman"/>
    <n v="10"/>
    <s v="Abroad"/>
    <m/>
    <m/>
    <m/>
    <m/>
    <m/>
    <m/>
    <m/>
    <m/>
    <m/>
  </r>
  <r>
    <s v="Naval Port Call"/>
    <s v="Middle East"/>
    <s v="West Asia and Africa"/>
    <s v="No Specific Relationship"/>
    <s v="None"/>
    <s v="CENTCOM"/>
    <s v="Oman"/>
    <x v="21"/>
    <n v="7"/>
    <x v="9"/>
    <m/>
    <m/>
    <m/>
    <m/>
    <m/>
    <m/>
    <m/>
    <m/>
    <m/>
    <m/>
    <s v="ETF"/>
    <s v="ETF-11"/>
    <s v="North Sea Fleet"/>
    <s v="DDG113 Qingdao, FFG538 Yantai, AOR887 Weishan Hu"/>
  </r>
  <r>
    <s v="Naval Port Call"/>
    <s v="Middle East"/>
    <s v="West Asia and Africa"/>
    <s v="No Specific Relationship"/>
    <s v="None"/>
    <s v="CENTCOM"/>
    <s v="Oman"/>
    <x v="21"/>
    <n v="7"/>
    <x v="9"/>
    <m/>
    <m/>
    <m/>
    <m/>
    <m/>
    <m/>
    <m/>
    <m/>
    <m/>
    <m/>
    <s v="ETF"/>
    <s v="ETF-11 "/>
    <s v="North Sea Fleet"/>
    <s v="DDG113 Qingdao, FFG538 Yantai, AOR887 Weishan Hu; unknown, could also be ETF-12"/>
  </r>
  <r>
    <s v="Senior Level Visit"/>
    <s v="Europe"/>
    <s v="Europe and Central Asia"/>
    <s v="Comprehensive Friendly Cooperative Partnership [全面友好合作伙伴关系]"/>
    <s v="NATO"/>
    <s v="EUCOM"/>
    <s v="Romania"/>
    <x v="21"/>
    <n v="7"/>
    <x v="3"/>
    <s v="Chen Yong"/>
    <m/>
    <s v="GSD Assistant Commander"/>
    <n v="5"/>
    <s v="Hosted"/>
    <s v="Head of NDU"/>
    <m/>
    <m/>
    <m/>
    <m/>
    <m/>
    <m/>
    <m/>
    <m/>
  </r>
  <r>
    <s v="Senior Level Visit"/>
    <s v="Africa"/>
    <s v="West Asia and Africa"/>
    <s v="Comprehensive Strategic Partnership [全面战略伙伴关系]"/>
    <s v="None"/>
    <s v="AFRICOM"/>
    <s v="South Africa"/>
    <x v="21"/>
    <n v="7"/>
    <x v="4"/>
    <s v="Ma Xiaotian"/>
    <m/>
    <s v="GSD DCGS"/>
    <n v="6"/>
    <s v="Abroad"/>
    <s v="Defense Minister"/>
    <m/>
    <m/>
    <m/>
    <m/>
    <m/>
    <m/>
    <m/>
    <m/>
  </r>
  <r>
    <s v="Naval Port Call"/>
    <s v="Europe"/>
    <s v="Europe and Central Asia"/>
    <s v="No Specific Relationship"/>
    <s v="NATO"/>
    <s v="EUCOM"/>
    <s v="Bulgaria"/>
    <x v="21"/>
    <n v="8"/>
    <x v="0"/>
    <m/>
    <m/>
    <m/>
    <m/>
    <m/>
    <m/>
    <m/>
    <m/>
    <m/>
    <m/>
    <s v="ETF"/>
    <s v="ETF-11"/>
    <s v="North Sea Fleet"/>
    <s v="DDG113 Qingdao, FFG538 Yantai, AOR887 Weishan Hu"/>
  </r>
  <r>
    <s v="Senior Level Visit"/>
    <s v="Europe"/>
    <s v="Europe and Central Asia"/>
    <s v="Comprehensive Cooperative Partnership [全面合作伙伴关系]"/>
    <s v="NATO"/>
    <s v="EUCOM"/>
    <s v="Croatia"/>
    <x v="21"/>
    <n v="8"/>
    <x v="3"/>
    <s v="Xu Caihou"/>
    <m/>
    <s v="CMC Vice Chairman"/>
    <n v="10"/>
    <s v="Hosted"/>
    <s v="Defense Minister"/>
    <m/>
    <m/>
    <m/>
    <m/>
    <m/>
    <m/>
    <m/>
    <m/>
  </r>
  <r>
    <s v="Naval Port Call"/>
    <s v="Middle East"/>
    <s v="West Asia and Africa"/>
    <s v="No Specific Relationship"/>
    <s v="None"/>
    <s v="CENTCOM"/>
    <s v="Djibouti"/>
    <x v="21"/>
    <n v="8"/>
    <x v="9"/>
    <m/>
    <m/>
    <m/>
    <m/>
    <m/>
    <m/>
    <m/>
    <m/>
    <m/>
    <m/>
    <s v="ETF"/>
    <s v="ETF-11 "/>
    <s v="North Sea Fleet"/>
    <s v="DDG113 Qingdao, FFG538 Yantai, AOR887 Weishan Hu; Unknown, could also be ETF-12"/>
  </r>
  <r>
    <s v="Naval Port Call"/>
    <s v="Middle East"/>
    <s v="West Asia and Africa"/>
    <s v="No Specific Relationship"/>
    <s v="Major Non-NATO Ally"/>
    <s v="CENTCOM"/>
    <s v="Israel"/>
    <x v="21"/>
    <n v="8"/>
    <x v="0"/>
    <m/>
    <m/>
    <m/>
    <m/>
    <m/>
    <m/>
    <m/>
    <m/>
    <m/>
    <m/>
    <s v="ETF"/>
    <s v="ETF-11"/>
    <s v="North Sea Fleet"/>
    <s v="DDG113 Qingdao, FFG538 Yantai, AOR887 Weishan Hu"/>
  </r>
  <r>
    <s v="Naval Port Call"/>
    <s v="Europe"/>
    <s v="Europe and Central Asia"/>
    <s v="Comprehensive Friendly Cooperative Partnership [全面友好合作伙伴关系]"/>
    <s v="NATO"/>
    <s v="EUCOM"/>
    <s v="Romania"/>
    <x v="21"/>
    <n v="8"/>
    <x v="0"/>
    <m/>
    <m/>
    <m/>
    <m/>
    <m/>
    <m/>
    <m/>
    <m/>
    <m/>
    <m/>
    <s v="ETF"/>
    <s v="ETF-11"/>
    <s v="North Sea Fleet"/>
    <s v="DDG113 Qingdao, FFG538 Yantai, AOR887 Weishan Hu"/>
  </r>
  <r>
    <s v="Naval Port Call"/>
    <s v="Europe"/>
    <s v="Europe and Central Asia"/>
    <s v="Strategic Cooperative Partnership [战略合作伙伴关系]"/>
    <s v="NATO"/>
    <s v="EUCOM"/>
    <s v="Turkey"/>
    <x v="21"/>
    <n v="8"/>
    <x v="0"/>
    <m/>
    <m/>
    <m/>
    <m/>
    <m/>
    <m/>
    <m/>
    <m/>
    <m/>
    <m/>
    <s v="ETF"/>
    <s v="ETF-11"/>
    <s v="North Sea Fleet"/>
    <s v="DDG113 Qingdao, FFG538 Yantai, AOR887 Weishan Hu"/>
  </r>
  <r>
    <s v="Naval Port Call"/>
    <s v="Europe"/>
    <s v="Europe and Central Asia"/>
    <s v="Strategic Cooperative Partnership [战略合作伙伴关系]"/>
    <s v="None"/>
    <s v="EUCOM"/>
    <s v="Ukraine"/>
    <x v="21"/>
    <n v="8"/>
    <x v="0"/>
    <m/>
    <m/>
    <m/>
    <m/>
    <m/>
    <m/>
    <m/>
    <m/>
    <m/>
    <m/>
    <s v="ETF"/>
    <s v="ETF-11"/>
    <s v="North Sea Fleet"/>
    <s v="DDG113 Qingdao, FFG538 Yantai, AOR887 Weishan Hu"/>
  </r>
  <r>
    <s v="Senior Level Visit"/>
    <s v="North America"/>
    <s v="America and Oceania"/>
    <s v="No Specific Relationship"/>
    <s v="N/A"/>
    <s v="NORTHCOM"/>
    <s v="United States"/>
    <x v="21"/>
    <n v="8"/>
    <x v="4"/>
    <s v="Cai Yingting"/>
    <m/>
    <s v="GSD DCGS"/>
    <n v="6"/>
    <s v="Abroad"/>
    <s v=" "/>
    <m/>
    <m/>
    <m/>
    <m/>
    <m/>
    <m/>
    <m/>
    <s v=" "/>
  </r>
  <r>
    <s v="Senior Level Visit"/>
    <s v="South America"/>
    <s v="America and Oceania"/>
    <s v="Strategic Partnership [战略伙伴关系]"/>
    <s v="None"/>
    <s v="SOUTHCOM"/>
    <s v="Chile"/>
    <x v="21"/>
    <n v="9"/>
    <x v="3"/>
    <s v="Xu Qiliang"/>
    <m/>
    <s v="PLAAF Commander; CMC Member"/>
    <n v="8"/>
    <s v="Hosted"/>
    <s v="Air Force Commander"/>
    <m/>
    <m/>
    <m/>
    <m/>
    <m/>
    <m/>
    <m/>
    <m/>
  </r>
  <r>
    <s v="Senior Level Visit"/>
    <s v="South Asia"/>
    <s v="Asia"/>
    <s v="Strategic Partnership for Peace and Prosperity [战略伙伴关系]"/>
    <s v="None"/>
    <s v="INDOPACOM"/>
    <s v="India"/>
    <x v="21"/>
    <n v="9"/>
    <x v="4"/>
    <s v="Liang Guanglie"/>
    <m/>
    <s v="Defense Minister; CMC Member"/>
    <n v="8"/>
    <s v="Abroad"/>
    <m/>
    <m/>
    <m/>
    <m/>
    <m/>
    <m/>
    <m/>
    <m/>
    <m/>
  </r>
  <r>
    <s v="Senior Level Visit"/>
    <s v="Southeast Asia"/>
    <s v="Asia"/>
    <s v="Comprehensive Strategic Cooperative Partnership [全面战略合作伙伴关系]"/>
    <s v="None"/>
    <s v="INDOPACOM"/>
    <s v="Laos"/>
    <x v="21"/>
    <n v="9"/>
    <x v="4"/>
    <s v="Liang Guanglie"/>
    <m/>
    <s v="Defense Minister; CMC Member"/>
    <n v="8"/>
    <s v="Abroad"/>
    <m/>
    <m/>
    <m/>
    <m/>
    <m/>
    <m/>
    <m/>
    <m/>
    <m/>
  </r>
  <r>
    <s v="Senior Level Visit"/>
    <s v="Southeast Asia"/>
    <s v="Asia"/>
    <s v="Strategic Cooperative Partnership [战略合作伙伴关系]"/>
    <s v="None"/>
    <s v="INDOPACOM"/>
    <s v="Malaysia"/>
    <x v="21"/>
    <n v="9"/>
    <x v="4"/>
    <s v="Ma Xiaotian"/>
    <m/>
    <s v="GSD DCGS"/>
    <n v="6"/>
    <s v="Abroad"/>
    <s v="Secretary General Defense Ministry"/>
    <m/>
    <m/>
    <m/>
    <m/>
    <m/>
    <m/>
    <m/>
    <m/>
  </r>
  <r>
    <s v="Senior Level Visit"/>
    <s v="Southeast Asia"/>
    <s v="Asia"/>
    <s v="Comprehensive Strategic Cooperative Partnership [全面战略合作伙伴关系]"/>
    <s v="None"/>
    <s v="INDOPACOM"/>
    <s v="Myanmar"/>
    <x v="21"/>
    <n v="9"/>
    <x v="4"/>
    <s v="Ma Xiaotian"/>
    <m/>
    <s v="GSD DCGS"/>
    <n v="6"/>
    <s v="Abroad"/>
    <s v="Vice President"/>
    <m/>
    <m/>
    <m/>
    <m/>
    <m/>
    <m/>
    <m/>
    <m/>
  </r>
  <r>
    <s v="Senior Level Visit"/>
    <s v="South Asia"/>
    <s v="Asia"/>
    <s v="Strategic Partnership [战略伙伴关系]"/>
    <s v="Major Non-NATO Ally"/>
    <s v="CENTCOM"/>
    <s v="Pakistan"/>
    <x v="21"/>
    <n v="9"/>
    <x v="4"/>
    <s v="Ma Xiaotian"/>
    <m/>
    <s v="GSD DCGS"/>
    <n v="6"/>
    <s v="Abroad"/>
    <s v="Chairman JCS"/>
    <m/>
    <m/>
    <m/>
    <m/>
    <m/>
    <m/>
    <m/>
    <m/>
  </r>
  <r>
    <s v="Naval Port Call"/>
    <s v="South Asia"/>
    <s v="Asia"/>
    <s v="Strategic Partnership [战略伙伴关系]"/>
    <s v="Major Non-NATO Ally"/>
    <s v="CENTCOM"/>
    <s v="Pakistan"/>
    <x v="21"/>
    <n v="9"/>
    <x v="9"/>
    <m/>
    <m/>
    <m/>
    <m/>
    <m/>
    <m/>
    <m/>
    <m/>
    <m/>
    <m/>
    <s v="ETF"/>
    <s v="ETF-11"/>
    <s v="North Sea Fleet"/>
    <s v="DDG113 Qingdao, FFG538 Yantai, AOR887 Weishan Hu"/>
  </r>
  <r>
    <s v="Senior Level Visit"/>
    <s v="Southeast Asia"/>
    <s v="Asia"/>
    <s v="No Specific Relationship"/>
    <s v="None"/>
    <s v="INDOPACOM"/>
    <s v="Singapore"/>
    <x v="21"/>
    <n v="9"/>
    <x v="4"/>
    <s v="Ma Xiaotian"/>
    <m/>
    <s v="GSD DCGS"/>
    <n v="6"/>
    <s v="Abroad"/>
    <m/>
    <m/>
    <m/>
    <m/>
    <m/>
    <m/>
    <m/>
    <m/>
    <m/>
  </r>
  <r>
    <s v="Senior Level Visit"/>
    <s v="South Asia"/>
    <s v="Asia"/>
    <s v="Comprehensive Cooperative Partnership [全面合作伙伴关系]"/>
    <s v="None"/>
    <s v="INDOPACOM"/>
    <s v="Sri Lanka"/>
    <x v="21"/>
    <n v="9"/>
    <x v="4"/>
    <s v="Liang Guanglie"/>
    <m/>
    <s v="Defense Minister; CMC Member"/>
    <n v="8"/>
    <s v="Abroad"/>
    <m/>
    <m/>
    <m/>
    <m/>
    <m/>
    <m/>
    <m/>
    <m/>
    <m/>
  </r>
  <r>
    <s v="Military Exercise"/>
    <s v="South Asia"/>
    <s v="Asia"/>
    <s v="Comprehensive Cooperative Partnership [全面合作伙伴关系]"/>
    <s v="None"/>
    <s v="INDOPACOM"/>
    <s v="Sri Lanka"/>
    <x v="21"/>
    <n v="9"/>
    <x v="5"/>
    <m/>
    <m/>
    <m/>
    <m/>
    <m/>
    <m/>
    <s v="Anti-terrorism"/>
    <s v="Cormorant Strike"/>
    <s v="Army"/>
    <s v="Special Forces"/>
    <m/>
    <m/>
    <m/>
    <m/>
  </r>
  <r>
    <s v="Military Exercise"/>
    <s v="South Asia"/>
    <s v="Asia"/>
    <s v="Comprehensive Cooperative Partnership [全面合作伙伴关系]"/>
    <s v="None"/>
    <s v="INDOPACOM"/>
    <s v="Sri Lanka"/>
    <x v="21"/>
    <n v="9"/>
    <x v="6"/>
    <s v=" "/>
    <m/>
    <s v=" "/>
    <s v=" "/>
    <s v=" "/>
    <m/>
    <s v="Combat"/>
    <s v="Cormorant Strike 2012"/>
    <s v="Army"/>
    <s v="SOF exercise on eastern coast of Sri Lanka; Eleven officers and twenty-nine Other Ranks from the Armed Forces in China, Pakistan, Bangladesh, Maldives and India"/>
    <m/>
    <m/>
    <m/>
    <m/>
  </r>
  <r>
    <s v="Senior Level Visit"/>
    <s v="North America"/>
    <s v="America and Oceania"/>
    <s v="No Specific Relationship"/>
    <s v="N/A"/>
    <s v="NORTHCOM"/>
    <s v="United States"/>
    <x v="21"/>
    <n v="9"/>
    <x v="3"/>
    <s v="Liang Guanglie"/>
    <m/>
    <s v="Defense Minister; CMC Member"/>
    <n v="8"/>
    <s v="Hosted"/>
    <s v="Secretary of Defense Panetta"/>
    <m/>
    <m/>
    <m/>
    <m/>
    <m/>
    <m/>
    <m/>
    <m/>
  </r>
  <r>
    <s v="Military Exercise"/>
    <s v="North America"/>
    <s v="America and Oceania"/>
    <s v="No Specific Relationship"/>
    <s v="N/A"/>
    <s v="NORTHCOM"/>
    <s v="United States"/>
    <x v="21"/>
    <n v="9"/>
    <x v="5"/>
    <m/>
    <m/>
    <m/>
    <m/>
    <m/>
    <m/>
    <s v="Anti-piracy"/>
    <m/>
    <s v="Navy"/>
    <s v="1st US-CH BL counter-piracy exercise in Gulf of Aden"/>
    <m/>
    <m/>
    <m/>
    <s v="2014 CH Milpower Report"/>
  </r>
  <r>
    <s v="Military Exercise"/>
    <s v="Oceania"/>
    <s v="America and Oceania"/>
    <s v="No Specific Relationship"/>
    <s v="ANZUS Treaty"/>
    <s v="INDOPACOM"/>
    <s v="Australia"/>
    <x v="21"/>
    <n v="10"/>
    <x v="6"/>
    <m/>
    <m/>
    <m/>
    <m/>
    <m/>
    <m/>
    <s v="MOOTW"/>
    <s v="Cooperation Spirit 2012"/>
    <s v="Army"/>
    <s v="HADR. Other countries: New Zealand "/>
    <m/>
    <m/>
    <m/>
    <m/>
  </r>
  <r>
    <s v="Senior Level Visit"/>
    <s v="Europe"/>
    <s v="Europe and Central Asia"/>
    <s v="No Specific Relationship"/>
    <s v="None"/>
    <s v="EUCOM"/>
    <s v="Finland"/>
    <x v="21"/>
    <n v="10"/>
    <x v="3"/>
    <s v="Liang Guanglie"/>
    <m/>
    <s v="Defense Minister; CMC Member"/>
    <n v="8"/>
    <s v="Hosted"/>
    <s v="Permanent Secretary of Ministry of Defense"/>
    <m/>
    <m/>
    <m/>
    <m/>
    <m/>
    <m/>
    <m/>
    <m/>
  </r>
  <r>
    <s v="Senior Level Visit"/>
    <s v="Southeast Asia"/>
    <s v="Asia"/>
    <s v="Comprehensive Strategic Cooperative Partnership [全面战略合作伙伴关系]"/>
    <s v="None"/>
    <s v="INDOPACOM"/>
    <s v="Laos"/>
    <x v="21"/>
    <n v="10"/>
    <x v="3"/>
    <s v="Ma Xiaotian"/>
    <m/>
    <s v="GSD DCGS"/>
    <n v="6"/>
    <s v="Hosted"/>
    <s v="President National Defense College"/>
    <m/>
    <m/>
    <m/>
    <m/>
    <m/>
    <m/>
    <m/>
    <m/>
  </r>
  <r>
    <s v="Senior Level Visit"/>
    <s v="Southeast Asia"/>
    <s v="Asia"/>
    <s v="Strategic Partnership [战略伙伴关系] for Peace and Prosperity"/>
    <s v="None"/>
    <s v="INDOPACOM"/>
    <s v="ASEAN"/>
    <x v="21"/>
    <n v="11"/>
    <x v="1"/>
    <s v="Liang Guanglie"/>
    <m/>
    <s v="Defense Minister; CMC Member"/>
    <n v="8"/>
    <s v="Abroad"/>
    <s v="Second China-ASEAN Defense Ministers' Informal Meeting in Cambodia"/>
    <m/>
    <m/>
    <m/>
    <m/>
    <m/>
    <m/>
    <m/>
    <m/>
  </r>
  <r>
    <s v="Military Exercise"/>
    <s v="Europe"/>
    <s v="Europe and Central Asia"/>
    <s v="Strategic Partnership [战略伙伴关系]"/>
    <s v="NATO"/>
    <s v="EUCOM"/>
    <s v="Belarus"/>
    <x v="21"/>
    <n v="11"/>
    <x v="5"/>
    <s v=" "/>
    <m/>
    <s v=" "/>
    <s v=" "/>
    <s v=" "/>
    <s v=" "/>
    <s v="Anti-terrorism"/>
    <s v="Divine Eagle 2012"/>
    <s v="Air Force"/>
    <s v="Chinese and Belarusian airborne troops practiced parachuting, ground penetration, drones, sniping and other combat skills in Hubei"/>
    <m/>
    <m/>
    <m/>
    <m/>
  </r>
  <r>
    <s v="Senior Level Visit"/>
    <s v="Southeast Asia"/>
    <s v="Asia"/>
    <s v="Comprehensive Strategic Cooperative Partnership [全面战略合作伙伴关系]"/>
    <s v="None"/>
    <s v="INDOPACOM"/>
    <s v="Cambodia"/>
    <x v="21"/>
    <n v="11"/>
    <x v="3"/>
    <s v="Qi Jianguo"/>
    <m/>
    <s v="GSD DCGS"/>
    <n v="6"/>
    <s v="Hosted"/>
    <m/>
    <m/>
    <m/>
    <m/>
    <m/>
    <m/>
    <m/>
    <m/>
    <m/>
  </r>
  <r>
    <s v="Senior Level Visit"/>
    <s v="South America"/>
    <s v="America and Oceania"/>
    <s v="No Specific Relationship"/>
    <s v="None"/>
    <s v="SOUTHCOM"/>
    <s v="CELAC"/>
    <x v="21"/>
    <n v="11"/>
    <x v="2"/>
    <s v="Liang Guanglie"/>
    <m/>
    <s v="Defense Minister; CMC Member"/>
    <n v="8"/>
    <s v="Hosted"/>
    <s v="First China-Latin America Defense Forum"/>
    <m/>
    <m/>
    <m/>
    <m/>
    <m/>
    <m/>
    <m/>
    <m/>
  </r>
  <r>
    <s v="Military Exercise"/>
    <s v="South America"/>
    <s v="America and Oceania"/>
    <s v="No Specific Relationship"/>
    <s v="None"/>
    <s v="SOUTHCOM"/>
    <s v="Colombia"/>
    <x v="21"/>
    <n v="11"/>
    <x v="5"/>
    <m/>
    <m/>
    <m/>
    <m/>
    <m/>
    <m/>
    <s v="MOOTW"/>
    <s v="Cooperation"/>
    <s v="Army"/>
    <s v="HADR"/>
    <m/>
    <m/>
    <m/>
    <m/>
  </r>
  <r>
    <s v="Senior Level Visit"/>
    <s v="Europe"/>
    <s v="Europe and Central Asia"/>
    <s v="No Specific Relationship"/>
    <s v="None"/>
    <s v="EUCOM"/>
    <s v="Finland"/>
    <x v="21"/>
    <n v="11"/>
    <x v="3"/>
    <s v="Qi Jianguo"/>
    <m/>
    <s v="GSD DCGS"/>
    <n v="6"/>
    <s v="Hosted"/>
    <m/>
    <m/>
    <m/>
    <m/>
    <m/>
    <m/>
    <m/>
    <m/>
    <m/>
  </r>
  <r>
    <s v="Military Exercise"/>
    <s v="Middle East"/>
    <s v="West Asia and Africa"/>
    <s v="No Specific Relationship"/>
    <s v="Major Non-NATO Ally"/>
    <s v="CENTCOM"/>
    <s v="Jordan"/>
    <x v="21"/>
    <n v="11"/>
    <x v="5"/>
    <s v=" "/>
    <m/>
    <s v=" "/>
    <s v=" "/>
    <s v=" "/>
    <m/>
    <s v="Anti-terrorism"/>
    <m/>
    <s v="Army"/>
    <s v="SOF Anti-terrorism exercise in Amman Jordan"/>
    <m/>
    <m/>
    <m/>
    <m/>
  </r>
  <r>
    <s v="Senior Level Visit"/>
    <s v="Europe"/>
    <s v="Europe and Central Asia"/>
    <s v="Friendly Cooperative Partnership [友好合作伙伴关系]"/>
    <s v="NATO"/>
    <s v="EUCOM"/>
    <s v="Latvia"/>
    <x v="21"/>
    <n v="11"/>
    <x v="3"/>
    <s v="Fan Changlong"/>
    <m/>
    <s v="CMC Vice Chairman"/>
    <n v="10"/>
    <s v="Hosted"/>
    <s v="Defense Minister"/>
    <m/>
    <m/>
    <m/>
    <m/>
    <m/>
    <m/>
    <m/>
    <m/>
  </r>
  <r>
    <s v="Senior Level Visit"/>
    <s v="Southeast Asia"/>
    <s v="Asia"/>
    <s v="Comprehensive Strategic Cooperative Partnership [全面战略合作伙伴关系]"/>
    <s v="None"/>
    <s v="INDOPACOM"/>
    <s v="Myanmar"/>
    <x v="21"/>
    <n v="11"/>
    <x v="3"/>
    <s v="Qi Jianguo"/>
    <m/>
    <s v="GSD DCGS"/>
    <n v="6"/>
    <s v="Hosted"/>
    <s v="Vice Chief of Armed Forces "/>
    <m/>
    <m/>
    <m/>
    <m/>
    <m/>
    <m/>
    <m/>
    <m/>
  </r>
  <r>
    <s v="Senior Level Visit"/>
    <s v="Oceania"/>
    <s v="America and Oceania"/>
    <s v="No Specific Relationship"/>
    <s v="ANZUS Treaty"/>
    <s v="INDOPACOM"/>
    <s v="New Zealand"/>
    <x v="21"/>
    <n v="11"/>
    <x v="3"/>
    <s v="Ma Xiaotian"/>
    <m/>
    <s v="PLAAF Commander; CMC Member"/>
    <n v="8"/>
    <s v="Hosted"/>
    <s v="Vice Chief of the Defense Forces"/>
    <m/>
    <m/>
    <m/>
    <m/>
    <m/>
    <m/>
    <m/>
    <m/>
  </r>
  <r>
    <s v="Senior Level Visit"/>
    <s v="Russia"/>
    <s v="Europe and Central Asia"/>
    <s v="Strategic Partnership of Coordination [战略协作伙伴关系]"/>
    <s v="None"/>
    <s v="EUCOM"/>
    <s v="Russia"/>
    <x v="21"/>
    <n v="11"/>
    <x v="3"/>
    <s v="Xu Qiliang"/>
    <m/>
    <s v="CMC Vice Chairman"/>
    <n v="10"/>
    <s v="Hosted"/>
    <s v="Air Force Commander"/>
    <m/>
    <m/>
    <m/>
    <m/>
    <m/>
    <m/>
    <m/>
    <m/>
  </r>
  <r>
    <s v="Senior Level Visit"/>
    <s v="Europe"/>
    <s v="Europe and Central Asia"/>
    <s v="No Specific Relationship"/>
    <s v="NATO"/>
    <s v="EUCOM"/>
    <s v="Slovakia"/>
    <x v="21"/>
    <n v="11"/>
    <x v="3"/>
    <s v="Fang Fenghui"/>
    <m/>
    <s v="GSD Commander; CMC Member"/>
    <n v="8"/>
    <s v="Hosted"/>
    <s v="COGS"/>
    <m/>
    <m/>
    <m/>
    <m/>
    <m/>
    <m/>
    <m/>
    <m/>
  </r>
  <r>
    <s v="Senior Level Visit"/>
    <s v="South Asia"/>
    <s v="Asia"/>
    <s v="Comprehensive Cooperative Partnership [全面合作伙伴关系]"/>
    <s v="None"/>
    <s v="INDOPACOM"/>
    <s v="Sri Lanka"/>
    <x v="21"/>
    <n v="11"/>
    <x v="3"/>
    <s v="Liang Guanglie"/>
    <m/>
    <s v="Defense Minister; CMC Member"/>
    <n v="8"/>
    <s v="Hosted"/>
    <s v="Secretary of Defense and Urban Development"/>
    <m/>
    <m/>
    <m/>
    <m/>
    <m/>
    <m/>
    <m/>
    <m/>
  </r>
  <r>
    <s v="Senior Level Visit"/>
    <s v="North America"/>
    <s v="America and Oceania"/>
    <s v="No Specific Relationship"/>
    <s v="N/A"/>
    <s v="NORTHCOM"/>
    <s v="United States"/>
    <x v="21"/>
    <n v="11"/>
    <x v="3"/>
    <s v="Wu Shengli"/>
    <m/>
    <s v="PLAN Commander; CMC Member"/>
    <n v="8"/>
    <s v="Hosted"/>
    <s v="Secretary of the Navy Mabus"/>
    <m/>
    <m/>
    <m/>
    <m/>
    <m/>
    <m/>
    <m/>
    <m/>
  </r>
  <r>
    <s v="Senior Level Visit"/>
    <s v="Oceania"/>
    <s v="America and Oceania"/>
    <s v="No Specific Relationship"/>
    <s v="ANZUS Treaty"/>
    <s v="INDOPACOM"/>
    <s v="Australia"/>
    <x v="21"/>
    <n v="12"/>
    <x v="3"/>
    <s v="Xu Qiliang"/>
    <m/>
    <s v="CMC Vice Chairman"/>
    <n v="10"/>
    <s v="Hosted"/>
    <s v="ADF chief"/>
    <m/>
    <m/>
    <m/>
    <m/>
    <m/>
    <m/>
    <m/>
    <m/>
  </r>
  <r>
    <s v="Naval Port Call"/>
    <s v="Oceania"/>
    <s v="America and Oceania"/>
    <s v="No Specific Relationship"/>
    <s v="ANZUS Treaty"/>
    <s v="INDOPACOM"/>
    <s v="Australia"/>
    <x v="21"/>
    <n v="12"/>
    <x v="0"/>
    <m/>
    <m/>
    <m/>
    <m/>
    <m/>
    <m/>
    <m/>
    <m/>
    <m/>
    <m/>
    <s v="ETF"/>
    <s v="ETF-12"/>
    <s v="East Sea Fleet"/>
    <s v="FFG548 Yiyang, FFG549 Changzhou, AOR886 Qiandao Hu"/>
  </r>
  <r>
    <s v="Senior Level Visit"/>
    <s v="Europe"/>
    <s v="Europe and Central Asia"/>
    <s v="Strategic Partnership [战略伙伴关系]"/>
    <s v="NATO"/>
    <s v="EUCOM"/>
    <s v="Belarus"/>
    <x v="21"/>
    <n v="12"/>
    <x v="3"/>
    <s v="Xu Qiliang"/>
    <m/>
    <s v="CMC Vice Chairman"/>
    <n v="10"/>
    <s v="Hosted"/>
    <s v="Defense Minister"/>
    <m/>
    <m/>
    <m/>
    <m/>
    <m/>
    <m/>
    <m/>
    <m/>
  </r>
  <r>
    <s v="Military Exercise"/>
    <s v="Europe"/>
    <s v="Europe and Central Asia"/>
    <s v="Strategic Partnership [战略伙伴关系]"/>
    <s v="None"/>
    <s v="EUCOM"/>
    <s v="Belarus"/>
    <x v="21"/>
    <n v="12"/>
    <x v="5"/>
    <m/>
    <m/>
    <m/>
    <m/>
    <m/>
    <m/>
    <s v="Anti-terrorism"/>
    <s v="Divine Eagle 2012"/>
    <s v="Air Force"/>
    <s v="Airborne forces"/>
    <m/>
    <m/>
    <m/>
    <m/>
  </r>
  <r>
    <s v="Senior Level Visit"/>
    <s v="South America"/>
    <s v="America and Oceania"/>
    <s v="No Specific Relationship"/>
    <s v="None"/>
    <s v="SOUTHCOM"/>
    <s v="Cuba"/>
    <x v="21"/>
    <n v="12"/>
    <x v="4"/>
    <s v="Qi Jianguo"/>
    <m/>
    <s v="GSD DCGS"/>
    <n v="6"/>
    <s v="Abroad"/>
    <s v="Fidel Castro"/>
    <m/>
    <m/>
    <m/>
    <m/>
    <m/>
    <m/>
    <m/>
    <m/>
  </r>
  <r>
    <s v="Naval Port Call"/>
    <s v="Middle East"/>
    <s v="West Asia and Africa"/>
    <s v="No Specific Relationship"/>
    <s v="None"/>
    <s v="CENTCOM"/>
    <s v="Djibouti"/>
    <x v="21"/>
    <n v="12"/>
    <x v="9"/>
    <m/>
    <m/>
    <m/>
    <m/>
    <m/>
    <m/>
    <m/>
    <m/>
    <m/>
    <m/>
    <s v="ETF"/>
    <s v="ETF-12 "/>
    <s v="East Sea Fleet"/>
    <s v="FFG548 Yiyang, FFG549 Changzhou, AOR886 Qiandao Hu; unknown, could be ETF-13"/>
  </r>
  <r>
    <s v="Senior Level Visit"/>
    <s v="Central Asia"/>
    <s v="Europe and Central Asia"/>
    <s v="Comprehensive Strategic Partnership [全面战略伙伴关系]"/>
    <s v="None"/>
    <s v="CENTCOM"/>
    <s v="Kazakhstan"/>
    <x v="21"/>
    <n v="12"/>
    <x v="3"/>
    <s v="Fan Changlong"/>
    <m/>
    <s v="CMC Vice Chairman"/>
    <n v="10"/>
    <s v="Hosted"/>
    <s v="Defense Minister"/>
    <m/>
    <m/>
    <m/>
    <m/>
    <m/>
    <m/>
    <m/>
    <m/>
  </r>
  <r>
    <s v="Senior Level Visit"/>
    <s v="Southeast Asia"/>
    <s v="Asia"/>
    <s v="Comprehensive Strategic Cooperative Partnership [全面战略合作伙伴关系]"/>
    <s v="None"/>
    <s v="INDOPACOM"/>
    <s v="Laos"/>
    <x v="21"/>
    <n v="12"/>
    <x v="3"/>
    <s v="Qi Jianguo"/>
    <m/>
    <s v="GSD DCGS"/>
    <n v="6"/>
    <s v="Hosted"/>
    <s v="Head of Foreign Affairs, Ministry of Defense"/>
    <m/>
    <m/>
    <m/>
    <m/>
    <m/>
    <m/>
    <m/>
    <m/>
  </r>
  <r>
    <s v="Senior Level Visit"/>
    <s v="South Asia"/>
    <s v="West Asia and Africa"/>
    <s v="No Specific Relationship"/>
    <s v="None"/>
    <s v="INDOPACOM"/>
    <s v="Maldives"/>
    <x v="21"/>
    <n v="12"/>
    <x v="3"/>
    <s v="Xu Qiliang"/>
    <m/>
    <s v="CMC Vice Chairman"/>
    <n v="10"/>
    <s v="Hosted"/>
    <s v="Defense Minister"/>
    <m/>
    <m/>
    <m/>
    <m/>
    <m/>
    <m/>
    <m/>
    <m/>
  </r>
  <r>
    <s v="Senior Level Visit"/>
    <s v="Europe"/>
    <s v="Europe and Central Asia"/>
    <s v="Strategic Partnership [战略伙伴关系]"/>
    <s v="NATO"/>
    <s v="EUCOM"/>
    <s v="Poland"/>
    <x v="21"/>
    <n v="12"/>
    <x v="3"/>
    <s v="Wu Shengli"/>
    <m/>
    <s v="PLAN Commander; CMC Member"/>
    <n v="8"/>
    <s v="Hosted"/>
    <s v="Navy Commander"/>
    <m/>
    <m/>
    <m/>
    <m/>
    <m/>
    <m/>
    <m/>
    <m/>
  </r>
  <r>
    <s v="Senior Level Visit"/>
    <s v="Africa"/>
    <s v="West Asia and Africa"/>
    <s v="Comprehensive Strategic Cooperative Partnership [全面战略合作伙伴关系]"/>
    <s v="None"/>
    <s v="AFRICOM"/>
    <s v="Togo"/>
    <x v="21"/>
    <n v="12"/>
    <x v="3"/>
    <s v="Fang Fenghui"/>
    <m/>
    <s v="GSD Commander; CMC Member"/>
    <n v="8"/>
    <s v="Hosted"/>
    <s v="COGS"/>
    <m/>
    <m/>
    <m/>
    <m/>
    <m/>
    <m/>
    <m/>
    <m/>
  </r>
  <r>
    <s v="Senior Level Visit"/>
    <s v="North America"/>
    <s v="America and Oceania"/>
    <s v="No Specific Relationship"/>
    <s v="N/A"/>
    <s v="NORTHCOM"/>
    <s v="United States"/>
    <x v="21"/>
    <n v="12"/>
    <x v="4"/>
    <s v="Qi Jianguo"/>
    <m/>
    <s v="GSD DCGS"/>
    <n v="6"/>
    <s v="Abroad"/>
    <s v="Deputy Secretary of Defense"/>
    <m/>
    <m/>
    <m/>
    <m/>
    <m/>
    <m/>
    <m/>
    <m/>
  </r>
  <r>
    <s v="Senior Level Visit"/>
    <s v="Southeast Asia"/>
    <s v="Asia"/>
    <s v="Comprehensive Strategic Cooperative Partnership [全面战略合作伙伴关系]"/>
    <s v="None"/>
    <s v="INDOPACOM"/>
    <s v="Cambodia"/>
    <x v="22"/>
    <n v="1"/>
    <x v="4"/>
    <s v="Qi Jianguo"/>
    <m/>
    <s v="GSD DCGS"/>
    <n v="6"/>
    <s v="Abroad"/>
    <m/>
    <m/>
    <m/>
    <m/>
    <m/>
    <m/>
    <m/>
    <m/>
    <m/>
  </r>
  <r>
    <s v="Senior Level Visit"/>
    <s v="Europe"/>
    <s v="Europe and Central Asia"/>
    <s v="Comprehensive Strategic Partnership [全面战略伙伴关系]"/>
    <s v="NATO"/>
    <s v="EUCOM"/>
    <s v="France"/>
    <x v="22"/>
    <n v="1"/>
    <x v="3"/>
    <s v="Qi Jianguo"/>
    <m/>
    <s v="GSD DCGS"/>
    <n v="6"/>
    <s v="Hosted"/>
    <s v="Director, General Staff Regional Bureau"/>
    <m/>
    <m/>
    <m/>
    <m/>
    <m/>
    <m/>
    <m/>
    <m/>
  </r>
  <r>
    <s v="Senior Level Visit"/>
    <s v="South Asia"/>
    <s v="Asia"/>
    <s v="Strategic Partnership for Peace and Prosperity [战略伙伴关系]"/>
    <s v="None"/>
    <s v="INDOPACOM"/>
    <s v="India"/>
    <x v="22"/>
    <n v="1"/>
    <x v="3"/>
    <s v="Xu Qiliang"/>
    <m/>
    <s v="CMC Vice Chairman"/>
    <n v="10"/>
    <s v="Hosted"/>
    <s v="Defense Secretary"/>
    <m/>
    <m/>
    <m/>
    <m/>
    <m/>
    <m/>
    <m/>
    <m/>
  </r>
  <r>
    <s v="Senior Level Visit"/>
    <s v="Southeast Asia"/>
    <s v="Asia"/>
    <s v="Comprehensive Strategic Partnership [全面战略伙伴关系]"/>
    <s v="None"/>
    <s v="INDOPACOM"/>
    <s v="Indonesia"/>
    <x v="22"/>
    <n v="1"/>
    <x v="3"/>
    <s v="Fan Changlong"/>
    <m/>
    <s v="CMC Vice Chairman"/>
    <n v="10"/>
    <s v="Hosted"/>
    <s v="Deputy Defense Minister"/>
    <m/>
    <m/>
    <m/>
    <m/>
    <m/>
    <m/>
    <m/>
    <m/>
  </r>
  <r>
    <s v="Senior Level Visit"/>
    <s v="Middle East"/>
    <s v="West Asia and Africa"/>
    <s v="No Specific Relationship"/>
    <s v="None"/>
    <s v="CENTCOM"/>
    <s v="Oman"/>
    <x v="22"/>
    <n v="1"/>
    <x v="3"/>
    <s v="Wu Shengli"/>
    <m/>
    <s v="PLAN Commander; CMC Member"/>
    <n v="8"/>
    <s v="Hosted"/>
    <s v="Navy Commander"/>
    <m/>
    <m/>
    <m/>
    <m/>
    <m/>
    <m/>
    <m/>
    <m/>
  </r>
  <r>
    <s v="Naval Port Call"/>
    <s v="Middle East"/>
    <s v="West Asia and Africa"/>
    <s v="No Specific Relationship"/>
    <s v="None"/>
    <s v="CENTCOM"/>
    <s v="Saudi Arabia"/>
    <x v="22"/>
    <n v="1"/>
    <x v="9"/>
    <m/>
    <m/>
    <m/>
    <m/>
    <m/>
    <m/>
    <m/>
    <m/>
    <m/>
    <m/>
    <s v="ETF"/>
    <s v="ETF-12 "/>
    <s v="East Sea Fleet"/>
    <s v="FFG548 Yiyang, FFG549 Changzhou, AOR886 Qiandao Hu; unknown, could be ETF-13"/>
  </r>
  <r>
    <s v="Naval Port Call"/>
    <s v="Southeast Asia"/>
    <s v="Asia"/>
    <s v="Comprehensive Strategic Cooperative Partnership [全面战略合作伙伴关系]"/>
    <s v="None"/>
    <s v="INDOPACOM"/>
    <s v="Vietnam"/>
    <x v="22"/>
    <n v="1"/>
    <x v="0"/>
    <m/>
    <m/>
    <m/>
    <m/>
    <m/>
    <m/>
    <m/>
    <m/>
    <m/>
    <m/>
    <s v="ETF"/>
    <s v="ETF-12"/>
    <s v="East Sea Fleet"/>
    <s v="FFG548 Yiyang, FFG549 Changzhou, AOR886 Qiandao Hu"/>
  </r>
  <r>
    <s v="Senior Level Visit"/>
    <s v="Oceania"/>
    <s v="America and Oceania"/>
    <s v="No Specific Relationship"/>
    <s v="ANZUS Treaty"/>
    <s v="INDOPACOM"/>
    <s v="Australia"/>
    <x v="22"/>
    <n v="3"/>
    <x v="3"/>
    <s v="Fang Fenghui"/>
    <m/>
    <s v="GSD Commander; CMC Member"/>
    <n v="8"/>
    <s v="Hosted"/>
    <s v="Secretary General of the Department of Defense"/>
    <m/>
    <m/>
    <m/>
    <m/>
    <m/>
    <m/>
    <m/>
    <m/>
  </r>
  <r>
    <s v="Naval Port Call"/>
    <s v="Europe"/>
    <s v="Europe and Central Asia"/>
    <s v="No Specific Relationship"/>
    <s v="None"/>
    <s v="EUCOM"/>
    <s v="Malta"/>
    <x v="22"/>
    <n v="3"/>
    <x v="0"/>
    <m/>
    <m/>
    <m/>
    <m/>
    <m/>
    <m/>
    <m/>
    <m/>
    <m/>
    <m/>
    <s v="ETF"/>
    <s v="ETF-13"/>
    <s v="South Sea Fleet"/>
    <s v="FFG568 Hengyang, FFG570 Huangshan, AOR885 Qinghai Hu"/>
  </r>
  <r>
    <s v="Naval Port Call"/>
    <s v="Middle East"/>
    <s v="West Asia and Africa"/>
    <s v="No Specific Relationship"/>
    <s v="None"/>
    <s v="CENTCOM"/>
    <s v="Oman"/>
    <x v="22"/>
    <n v="3"/>
    <x v="9"/>
    <m/>
    <m/>
    <m/>
    <m/>
    <m/>
    <m/>
    <m/>
    <m/>
    <m/>
    <m/>
    <s v="ETF"/>
    <s v="ETF-13 "/>
    <s v="South Sea Fleet"/>
    <s v="FFG568 Hengyang, FFG570 Huangshan, AOR885 Qinghai Hu; unknown, could also be ETF-14"/>
  </r>
  <r>
    <s v="Senior Level Visit"/>
    <s v="Russia"/>
    <s v="Europe and Central Asia"/>
    <s v="Comprehensive Collaborative Strategic Partnership [全面战略协作伙伴关系]"/>
    <s v="None"/>
    <s v="EUCOM"/>
    <s v="Russia"/>
    <x v="22"/>
    <n v="3"/>
    <x v="4"/>
    <s v="Chang Wanquan"/>
    <m/>
    <s v="Defense Minister; CMC Member"/>
    <n v="8"/>
    <s v="Abroad"/>
    <s v="Defense Minister"/>
    <m/>
    <m/>
    <m/>
    <m/>
    <m/>
    <m/>
    <m/>
    <m/>
  </r>
  <r>
    <s v="Naval Port Call"/>
    <s v="Africa"/>
    <s v="West Asia and Africa"/>
    <s v="Strategic Partnership [战略伙伴关系]"/>
    <s v="None"/>
    <s v="AFRICOM"/>
    <s v="Algeria"/>
    <x v="22"/>
    <n v="4"/>
    <x v="0"/>
    <m/>
    <m/>
    <m/>
    <m/>
    <m/>
    <m/>
    <m/>
    <m/>
    <m/>
    <m/>
    <s v="ETF"/>
    <s v="ETF-13"/>
    <s v="South Sea Fleet"/>
    <s v="FFG568 Hengyang, FFG570 Huangshan, AOR885 Qinghai Hu"/>
  </r>
  <r>
    <s v="Senior Level Visit"/>
    <s v="South America"/>
    <s v="America and Oceania"/>
    <s v="Comprehensive Strategic Partnership [全面战略伙伴关系]"/>
    <s v="None"/>
    <s v="SOUTHCOM"/>
    <s v="Brazil"/>
    <x v="22"/>
    <n v="4"/>
    <x v="3"/>
    <s v="Chang Wanquan"/>
    <m/>
    <s v="Defense Minister; CMC Member"/>
    <n v="8"/>
    <s v="Hosted"/>
    <s v="Director of Strategic Affairs Department under JCS"/>
    <m/>
    <m/>
    <m/>
    <m/>
    <m/>
    <m/>
    <m/>
    <m/>
  </r>
  <r>
    <s v="Senior Level Visit"/>
    <s v="Europe"/>
    <s v="Europe and Central Asia"/>
    <s v="No Specific Relationship"/>
    <s v="NATO"/>
    <s v="EUCOM"/>
    <s v="Bulgaria"/>
    <x v="22"/>
    <n v="4"/>
    <x v="3"/>
    <s v="Chang Wanquan"/>
    <m/>
    <s v="Defense Minister; CMC Member"/>
    <n v="8"/>
    <s v="Hosted"/>
    <s v="Chief of Defense Staff"/>
    <m/>
    <m/>
    <m/>
    <m/>
    <m/>
    <m/>
    <m/>
    <m/>
  </r>
  <r>
    <s v="Senior Level Visit"/>
    <s v="Southeast Asia"/>
    <s v="Asia"/>
    <s v="Comprehensive Strategic Cooperative Partnership [全面战略合作伙伴关系]"/>
    <s v="None"/>
    <s v="INDOPACOM"/>
    <s v="Cambodia"/>
    <x v="22"/>
    <n v="4"/>
    <x v="3"/>
    <s v="Chang Wanquan"/>
    <m/>
    <s v="Defense Minister; CMC Member"/>
    <n v="8"/>
    <s v="Hosted"/>
    <s v="Deputy Prime Minister and Minister of Defense"/>
    <m/>
    <m/>
    <m/>
    <m/>
    <m/>
    <m/>
    <m/>
    <m/>
  </r>
  <r>
    <s v="Naval Port Call"/>
    <s v="Europe"/>
    <s v="Europe and Central Asia"/>
    <s v="Comprehensive Strategic Partnership [全面战略伙伴关系]"/>
    <s v="NATO"/>
    <s v="EUCOM"/>
    <s v="France"/>
    <x v="22"/>
    <n v="4"/>
    <x v="0"/>
    <m/>
    <m/>
    <m/>
    <m/>
    <m/>
    <m/>
    <m/>
    <m/>
    <m/>
    <m/>
    <s v="ETF"/>
    <s v="ETF-13"/>
    <s v="South Sea Fleet"/>
    <s v="FFG568 Hengyang, FFG570 Huangshan, AOR885 Qinghai Hu"/>
  </r>
  <r>
    <s v="Naval Port Call"/>
    <s v="South Asia"/>
    <s v="Asia"/>
    <s v="Strategic Partnership for Peace and Prosperity [战略伙伴关系]"/>
    <s v="None"/>
    <s v="INDOPACOM"/>
    <s v="India"/>
    <x v="22"/>
    <n v="4"/>
    <x v="0"/>
    <m/>
    <m/>
    <m/>
    <m/>
    <m/>
    <m/>
    <m/>
    <m/>
    <m/>
    <m/>
    <s v="NETF"/>
    <s v="2013-04 Zhenghe "/>
    <s v="North Sea Fleet"/>
    <s v="PLA FR XJP draft p. 24"/>
  </r>
  <r>
    <s v="Naval Port Call"/>
    <s v="Southeast Asia"/>
    <s v="Asia"/>
    <s v="Comprehensive Strategic Partnership [全面战略伙伴关系]"/>
    <s v="None"/>
    <s v="INDOPACOM"/>
    <s v="Indonesia"/>
    <x v="22"/>
    <n v="4"/>
    <x v="0"/>
    <m/>
    <m/>
    <m/>
    <m/>
    <m/>
    <m/>
    <m/>
    <m/>
    <m/>
    <m/>
    <s v="NETF"/>
    <s v="2013-04 Zhenghe "/>
    <s v="North Sea Fleet"/>
    <s v="PLA FR XJP draft p. 24"/>
  </r>
  <r>
    <s v="Senior Level Visit"/>
    <s v="Middle East"/>
    <s v="West Asia and Africa"/>
    <s v="No Specific Relationship"/>
    <s v="Major Non-NATO Ally"/>
    <s v="CENTCOM"/>
    <s v="Jordan"/>
    <x v="22"/>
    <n v="4"/>
    <x v="3"/>
    <s v="Chen Yong"/>
    <m/>
    <s v="GSD Assistant Commander"/>
    <n v="5"/>
    <s v="Hosted"/>
    <m/>
    <m/>
    <m/>
    <m/>
    <m/>
    <m/>
    <m/>
    <m/>
    <m/>
  </r>
  <r>
    <s v="Naval Port Call"/>
    <s v="Africa"/>
    <s v="West Asia and Africa"/>
    <s v="No Specific Relationship"/>
    <s v="Major Non-NATO Ally"/>
    <s v="AFRICOM"/>
    <s v="Morocco"/>
    <x v="22"/>
    <n v="4"/>
    <x v="0"/>
    <m/>
    <m/>
    <m/>
    <m/>
    <m/>
    <m/>
    <m/>
    <m/>
    <m/>
    <m/>
    <s v="ETF"/>
    <s v="ETF-13"/>
    <s v="South Sea Fleet"/>
    <s v="FFG568 Hengyang, FFG570 Huangshan, AOR885 Qinghai Hu"/>
  </r>
  <r>
    <s v="Naval Port Call"/>
    <s v="Southeast Asia"/>
    <s v="Asia"/>
    <s v="Comprehensive Strategic Cooperative Partnership [全面战略合作伙伴关系]"/>
    <s v="None"/>
    <s v="INDOPACOM"/>
    <s v="Myanmar"/>
    <x v="22"/>
    <n v="4"/>
    <x v="0"/>
    <m/>
    <m/>
    <m/>
    <m/>
    <m/>
    <m/>
    <m/>
    <m/>
    <m/>
    <m/>
    <s v="NETF"/>
    <s v="2013-04 Zhenghe "/>
    <s v="North Sea Fleet"/>
    <s v="PLA FR XJP draft p. 24"/>
  </r>
  <r>
    <s v="Senior Level Visit"/>
    <s v="Southeast Asia"/>
    <s v="Asia"/>
    <s v="Strategic Cooperative Partnership [战略合作伙伴关系]"/>
    <s v="Bilateral Defense Treaty"/>
    <s v="INDOPACOM"/>
    <s v="Philippines"/>
    <x v="22"/>
    <n v="4"/>
    <x v="3"/>
    <s v="Chang Wanquan"/>
    <m/>
    <s v="Defense Minister; CMC Member"/>
    <n v="8"/>
    <s v="Hosted"/>
    <s v="Defense Undersecretary"/>
    <m/>
    <m/>
    <m/>
    <m/>
    <m/>
    <m/>
    <m/>
    <m/>
  </r>
  <r>
    <s v="Naval Port Call"/>
    <s v="Europe"/>
    <s v="Europe and Central Asia"/>
    <s v="Comprehensive Strategic Partnership [全面战略伙伴关系]"/>
    <s v="NATO"/>
    <s v="EUCOM"/>
    <s v="Portugal"/>
    <x v="22"/>
    <n v="4"/>
    <x v="0"/>
    <m/>
    <m/>
    <m/>
    <m/>
    <m/>
    <m/>
    <m/>
    <m/>
    <m/>
    <m/>
    <s v="ETF"/>
    <s v="ETF-13"/>
    <s v="South Sea Fleet"/>
    <s v="FFG568 Hengyang, FFG570 Huangshan, AOR885 Qinghai Hu"/>
  </r>
  <r>
    <s v="Military Exercise"/>
    <s v="Russia"/>
    <s v="Europe and Central Asia"/>
    <s v="Comprehensive Collaborative Strategic Partnership [全面战略协作伙伴关系]"/>
    <s v="None"/>
    <s v="EUCOM"/>
    <s v="Russia"/>
    <x v="22"/>
    <n v="4"/>
    <x v="5"/>
    <m/>
    <m/>
    <m/>
    <m/>
    <m/>
    <m/>
    <s v="Anti-terrorism"/>
    <s v="Unnamed"/>
    <s v="PAP"/>
    <s v="Response to Manzhouli city security threats; joint border drills"/>
    <m/>
    <m/>
    <m/>
    <m/>
  </r>
  <r>
    <s v="Senior Level Visit"/>
    <s v="Middle East"/>
    <s v="West Asia and Africa"/>
    <s v="No Specific Relationship"/>
    <s v="None"/>
    <s v="CENTCOM"/>
    <s v="Saudi Arabia"/>
    <x v="22"/>
    <n v="4"/>
    <x v="3"/>
    <s v="Chang Wanquan"/>
    <m/>
    <s v="Defense Minister; CMC Member"/>
    <n v="8"/>
    <s v="Hosted"/>
    <s v="Deputy Defense Minister"/>
    <m/>
    <m/>
    <m/>
    <m/>
    <m/>
    <m/>
    <m/>
    <m/>
  </r>
  <r>
    <s v="Naval Port Call"/>
    <s v="Middle East"/>
    <s v="West Asia and Africa"/>
    <s v="No Specific Relationship"/>
    <s v="None"/>
    <s v="CENTCOM"/>
    <s v="Saudi Arabia"/>
    <x v="22"/>
    <n v="4"/>
    <x v="9"/>
    <m/>
    <m/>
    <m/>
    <m/>
    <m/>
    <m/>
    <m/>
    <m/>
    <m/>
    <m/>
    <s v="ETF"/>
    <s v="ETF-14 "/>
    <s v="North Sea Fleet"/>
    <s v="DDG112 Harbin, FFG528 Mianyang, AOR887 Weishan Hu; Unknown, could also be ETF-13"/>
  </r>
  <r>
    <s v="Senior Level Visit"/>
    <s v="Africa"/>
    <s v="West Asia and Africa"/>
    <s v="Comprehensive Strategic Partnership [全面战略伙伴关系]"/>
    <s v="None"/>
    <s v="AFRICOM"/>
    <s v="South Africa"/>
    <x v="22"/>
    <n v="4"/>
    <x v="3"/>
    <s v="Jia Tingan"/>
    <m/>
    <s v="GPD Deputy Director"/>
    <n v="6"/>
    <s v="Hosted"/>
    <s v="Department of Defense HR Division Chief"/>
    <m/>
    <m/>
    <m/>
    <m/>
    <m/>
    <m/>
    <m/>
    <m/>
  </r>
  <r>
    <s v="Senior Level Visit"/>
    <s v="South Asia"/>
    <s v="Asia"/>
    <s v="Strategic Cooperative Partnership [战略合作伙伴关系]"/>
    <s v="None"/>
    <s v="INDOPACOM"/>
    <s v="Sri Lanka"/>
    <x v="22"/>
    <n v="4"/>
    <x v="3"/>
    <s v="Wu Shengli"/>
    <m/>
    <s v="PLAN Commander; CMC Member"/>
    <n v="8"/>
    <s v="Hosted"/>
    <s v="Navy Commander"/>
    <m/>
    <m/>
    <m/>
    <m/>
    <m/>
    <m/>
    <m/>
    <m/>
  </r>
  <r>
    <s v="Senior Level Visit"/>
    <s v="Europe"/>
    <s v="Europe and Central Asia"/>
    <s v="No Specific Relationship"/>
    <s v="None"/>
    <s v="EUCOM"/>
    <s v="Sweden"/>
    <x v="22"/>
    <n v="4"/>
    <x v="3"/>
    <s v="Chang Wanquan"/>
    <m/>
    <s v="Defense Minister; CMC Member"/>
    <n v="8"/>
    <s v="Hosted"/>
    <s v="Chief of National Defense General Staff"/>
    <m/>
    <m/>
    <m/>
    <m/>
    <m/>
    <m/>
    <m/>
    <m/>
  </r>
  <r>
    <s v="Senior Level Visit"/>
    <s v="Africa"/>
    <s v="West Asia and Africa"/>
    <s v="Comprehensive Cooperative Partnership [全面合作伙伴关系]"/>
    <s v="None"/>
    <s v="AFRICOM"/>
    <s v="Tanzania"/>
    <x v="22"/>
    <n v="4"/>
    <x v="3"/>
    <s v="Fan Changlong"/>
    <m/>
    <s v="CMC Vice Chairman"/>
    <n v="10"/>
    <s v="Hosted"/>
    <s v="Defense Minister"/>
    <m/>
    <m/>
    <m/>
    <m/>
    <m/>
    <m/>
    <m/>
    <m/>
  </r>
  <r>
    <s v="Senior Level Visit"/>
    <s v="North America"/>
    <s v="America and Oceania"/>
    <s v="No Specific Relationship"/>
    <s v="N/A"/>
    <s v="NORTHCOM"/>
    <s v="United States"/>
    <x v="22"/>
    <n v="4"/>
    <x v="3"/>
    <s v="Fan Changlong"/>
    <m/>
    <s v="CMC Vice Chairman"/>
    <n v="10"/>
    <s v="Hosted"/>
    <s v="CJCS Dempsey"/>
    <m/>
    <m/>
    <m/>
    <m/>
    <m/>
    <m/>
    <m/>
    <m/>
  </r>
  <r>
    <s v="Naval Port Call"/>
    <s v="Southeast Asia"/>
    <s v="Asia"/>
    <s v="Comprehensive Strategic Cooperative Partnership [全面战略合作伙伴关系]"/>
    <s v="None"/>
    <s v="INDOPACOM"/>
    <s v="Vietnam"/>
    <x v="22"/>
    <n v="4"/>
    <x v="0"/>
    <m/>
    <m/>
    <m/>
    <m/>
    <m/>
    <m/>
    <m/>
    <m/>
    <m/>
    <m/>
    <s v="NETF"/>
    <s v="2013-04 Zhenghe "/>
    <s v="North Sea Fleet"/>
    <s v="PLA FR XJP draft p. 24"/>
  </r>
  <r>
    <s v="Senior Level Visit"/>
    <s v="Southeast Asia"/>
    <s v="Asia"/>
    <s v="Strategic Partnership [战略伙伴关系] for Peace and Prosperity"/>
    <s v="None"/>
    <s v="INDOPACOM"/>
    <s v="ASEAN"/>
    <x v="22"/>
    <n v="5"/>
    <x v="1"/>
    <s v="Chang Wanquan"/>
    <m/>
    <s v="Defense Minister; CMC Member"/>
    <n v="8"/>
    <s v="Abroad"/>
    <s v="Third China-ASEAN Defense Ministers' Informal Meeting in Brunei"/>
    <m/>
    <m/>
    <m/>
    <m/>
    <m/>
    <m/>
    <m/>
    <m/>
  </r>
  <r>
    <s v="Senior Level Visit"/>
    <s v="Europe"/>
    <s v="Europe and Central Asia"/>
    <s v="Comprehensive Strategic Partnership [全面战略伙伴关系]"/>
    <s v="None"/>
    <s v="EUCOM"/>
    <s v="Belarus"/>
    <x v="22"/>
    <n v="5"/>
    <x v="4"/>
    <s v="Xu Qiliang"/>
    <m/>
    <s v="CMC Vice Chairman"/>
    <n v="10"/>
    <s v="Abroad"/>
    <m/>
    <m/>
    <m/>
    <m/>
    <m/>
    <m/>
    <m/>
    <m/>
    <m/>
  </r>
  <r>
    <s v="Senior Level Visit"/>
    <s v="South America"/>
    <s v="America and Oceania"/>
    <s v="No Specific Relationship"/>
    <s v="None"/>
    <s v="SOUTHCOM"/>
    <s v="Bolivia"/>
    <x v="22"/>
    <n v="5"/>
    <x v="4"/>
    <s v="Wang Guanzhong"/>
    <m/>
    <s v="GSD DCGS"/>
    <n v="6"/>
    <s v="Abroad"/>
    <m/>
    <m/>
    <m/>
    <m/>
    <m/>
    <m/>
    <m/>
    <m/>
    <m/>
  </r>
  <r>
    <s v="Senior Level Visit"/>
    <s v="Southeast Asia"/>
    <s v="Asia"/>
    <s v="No Specific Relationship"/>
    <s v="None"/>
    <s v="INDOPACOM"/>
    <s v="Brunei"/>
    <x v="22"/>
    <n v="5"/>
    <x v="4"/>
    <s v="Chang Wanquan"/>
    <m/>
    <s v="Defense Minister; CMC Member"/>
    <n v="8"/>
    <s v="Abroad"/>
    <m/>
    <m/>
    <m/>
    <m/>
    <m/>
    <m/>
    <m/>
    <m/>
    <m/>
  </r>
  <r>
    <s v="Senior Level Visit"/>
    <s v="Middle East"/>
    <s v="West Asia and Africa"/>
    <s v="Strategic Cooperative Partnership [战略合作伙伴关系]"/>
    <s v="Major Non-NATO Ally"/>
    <s v="CENTCOM"/>
    <s v="Egypt"/>
    <x v="22"/>
    <n v="5"/>
    <x v="3"/>
    <s v="Ma Xiaotian"/>
    <m/>
    <s v="PLAAF Commander; CMC Member"/>
    <n v="8"/>
    <s v="Hosted"/>
    <s v="Air Force Commander"/>
    <m/>
    <m/>
    <m/>
    <m/>
    <m/>
    <m/>
    <m/>
    <m/>
  </r>
  <r>
    <s v="Senior Level Visit"/>
    <s v="Europe"/>
    <s v="Europe and Central Asia"/>
    <s v="No Specific Relationship"/>
    <s v="None"/>
    <s v="EUCOM"/>
    <s v="Finland"/>
    <x v="22"/>
    <n v="5"/>
    <x v="3"/>
    <s v="Xu Qiliang"/>
    <m/>
    <s v="CMC Vice Chairman"/>
    <n v="10"/>
    <s v="Hosted"/>
    <s v="Chief of Defense Staff"/>
    <m/>
    <m/>
    <m/>
    <m/>
    <m/>
    <m/>
    <m/>
    <m/>
  </r>
  <r>
    <s v="Senior Level Visit"/>
    <s v="South America"/>
    <s v="America and Oceania"/>
    <s v="Friendly Partnership [友好伙伴关系)]"/>
    <s v="None"/>
    <s v="SOUTHCOM"/>
    <s v="Jamaica"/>
    <x v="22"/>
    <n v="5"/>
    <x v="3"/>
    <s v="Fang Fenghui"/>
    <m/>
    <s v="GSD Commander; CMC Member"/>
    <n v="8"/>
    <s v="Hosted"/>
    <s v="Chief of Staff of the Defense Forces"/>
    <m/>
    <m/>
    <m/>
    <m/>
    <m/>
    <m/>
    <m/>
    <m/>
  </r>
  <r>
    <s v="Senior Level Visit"/>
    <s v="Central Asia"/>
    <s v="Europe and Central Asia"/>
    <s v="Comprehensive Strategic Partnership [全面战略伙伴关系]"/>
    <s v="None"/>
    <s v="CENTCOM"/>
    <s v="Kazakhstan"/>
    <x v="22"/>
    <n v="5"/>
    <x v="3"/>
    <s v="Fan Changlong"/>
    <m/>
    <s v="CMC Vice Chairman"/>
    <n v="10"/>
    <s v="Hosted"/>
    <s v="COGS"/>
    <m/>
    <m/>
    <m/>
    <m/>
    <m/>
    <m/>
    <m/>
    <m/>
  </r>
  <r>
    <s v="Senior Level Visit"/>
    <s v="Africa"/>
    <s v="West Asia and Africa"/>
    <s v="No Specific Relationship"/>
    <s v="None"/>
    <s v="AFRICOM"/>
    <s v="Mozambique"/>
    <x v="22"/>
    <n v="5"/>
    <x v="3"/>
    <s v="Chang Wanquan"/>
    <m/>
    <s v="Defense Minister; CMC Member"/>
    <n v="8"/>
    <s v="Hosted"/>
    <s v="COGS"/>
    <m/>
    <m/>
    <m/>
    <m/>
    <m/>
    <m/>
    <m/>
    <m/>
  </r>
  <r>
    <s v="Senior Level Visit"/>
    <s v="Oceania"/>
    <s v="America and Oceania"/>
    <s v="No Specific Relationship"/>
    <s v="ANZUS Treaty"/>
    <s v="INDOPACOM"/>
    <s v="New Zealand"/>
    <x v="22"/>
    <n v="5"/>
    <x v="3"/>
    <s v="Ma Xiaotian"/>
    <m/>
    <s v="PLAAF Commander; CMC Member"/>
    <n v="8"/>
    <s v="Hosted"/>
    <s v="Air Force Commander"/>
    <m/>
    <m/>
    <m/>
    <m/>
    <m/>
    <m/>
    <m/>
    <m/>
  </r>
  <r>
    <s v="Senior Level Visit"/>
    <s v="Northeast Asia"/>
    <s v="Asia"/>
    <s v="Bilateral Defense Treaty"/>
    <s v="None"/>
    <s v="INDOPACOM"/>
    <s v="North Korea"/>
    <x v="22"/>
    <n v="5"/>
    <x v="3"/>
    <s v="Fan Changlong"/>
    <m/>
    <s v="CMC Vice Chairman"/>
    <n v="10"/>
    <s v="Hosted"/>
    <s v="Special Envoy"/>
    <m/>
    <m/>
    <m/>
    <m/>
    <m/>
    <m/>
    <m/>
    <m/>
  </r>
  <r>
    <s v="Senior Level Visit"/>
    <s v="South Asia"/>
    <s v="Asia"/>
    <s v="Strategic Partnership [战略伙伴关系]"/>
    <s v="Major Non-NATO Ally"/>
    <s v="CENTCOM"/>
    <s v="Pakistan"/>
    <x v="22"/>
    <n v="5"/>
    <x v="3"/>
    <s v="Ma Xiaotian"/>
    <m/>
    <s v="PLAAF Commander; CMC Member"/>
    <n v="8"/>
    <s v="Hosted"/>
    <s v="Air Force First Deputy Chief of Air Staff"/>
    <m/>
    <m/>
    <m/>
    <m/>
    <m/>
    <m/>
    <m/>
    <m/>
  </r>
  <r>
    <s v="Senior Level Visit"/>
    <s v="Europe"/>
    <s v="Europe and Central Asia"/>
    <s v="Strategic Partnership [战略伙伴关系]"/>
    <s v="NATO"/>
    <s v="EUCOM"/>
    <s v="Poland"/>
    <x v="22"/>
    <n v="5"/>
    <x v="3"/>
    <s v="Fan Changlong"/>
    <m/>
    <s v="CMC Vice Chairman"/>
    <n v="10"/>
    <s v="Hosted"/>
    <s v="Defense Minister"/>
    <m/>
    <m/>
    <m/>
    <m/>
    <m/>
    <m/>
    <m/>
    <m/>
  </r>
  <r>
    <s v="Senior Level Visit"/>
    <s v="Europe"/>
    <s v="Europe and Central Asia"/>
    <s v="Comprehensive Strategic Partnership [全面战略伙伴关系]"/>
    <s v="NATO"/>
    <s v="EUCOM"/>
    <s v="Spain"/>
    <x v="22"/>
    <n v="5"/>
    <x v="3"/>
    <s v="Fang Fenghui"/>
    <m/>
    <s v="GSD Commander; CMC Member"/>
    <n v="8"/>
    <s v="Hosted"/>
    <s v="Chief Chairman JCS"/>
    <m/>
    <m/>
    <m/>
    <m/>
    <m/>
    <m/>
    <m/>
    <m/>
  </r>
  <r>
    <s v="Senior Level Visit"/>
    <s v="South America"/>
    <s v="America and Oceania"/>
    <s v="No Specific Relationship"/>
    <s v="None"/>
    <s v="SOUTHCOM"/>
    <s v="Suriname"/>
    <x v="22"/>
    <n v="5"/>
    <x v="3"/>
    <s v="Fang Fenghui"/>
    <m/>
    <s v="GSD Commander; CMC Member"/>
    <n v="8"/>
    <s v="Hosted"/>
    <s v="Commander of National Defense Forces"/>
    <m/>
    <m/>
    <m/>
    <m/>
    <m/>
    <m/>
    <m/>
    <m/>
  </r>
  <r>
    <s v="Senior Level Visit"/>
    <s v="Europe"/>
    <s v="Europe and Central Asia"/>
    <s v="Strategic Cooperative Partnership [战略合作伙伴关系]"/>
    <s v="NATO"/>
    <s v="EUCOM"/>
    <s v="Turkey"/>
    <x v="22"/>
    <n v="5"/>
    <x v="3"/>
    <s v="Xu Qiliang"/>
    <m/>
    <s v="CMC Vice Chairman"/>
    <n v="10"/>
    <s v="Hosted"/>
    <s v="DCOGS"/>
    <m/>
    <m/>
    <m/>
    <m/>
    <m/>
    <m/>
    <m/>
    <m/>
  </r>
  <r>
    <s v="Senior Level Visit"/>
    <s v="Europe"/>
    <s v="Europe and Central Asia"/>
    <s v="Strategic Cooperative Partnership [战略合作伙伴关系]"/>
    <s v="None"/>
    <s v="EUCOM"/>
    <s v="Ukraine"/>
    <x v="22"/>
    <n v="5"/>
    <x v="3"/>
    <s v="Xu Qiliang"/>
    <m/>
    <s v="CMC Vice Chairman"/>
    <n v="10"/>
    <s v="Hosted"/>
    <s v="First Deputy Defense Minister"/>
    <m/>
    <m/>
    <m/>
    <m/>
    <m/>
    <m/>
    <m/>
    <m/>
  </r>
  <r>
    <s v="Senior Level Visit"/>
    <s v="North America"/>
    <s v="America and Oceania"/>
    <s v="No Specific Relationship"/>
    <s v="N/A"/>
    <s v="NORTHCOM"/>
    <s v="United States"/>
    <x v="22"/>
    <n v="5"/>
    <x v="3"/>
    <s v="Wu Shengli"/>
    <m/>
    <s v="PLAN Commander; CMC Member"/>
    <n v="8"/>
    <s v="Hosted"/>
    <s v="Pacific Fleet Commander Haney"/>
    <m/>
    <m/>
    <m/>
    <m/>
    <m/>
    <m/>
    <m/>
    <m/>
  </r>
  <r>
    <s v="Senior Level Visit"/>
    <s v="Africa"/>
    <s v="West Asia and Africa"/>
    <s v="No Specific Relationship"/>
    <s v="None"/>
    <s v="AFRICOM"/>
    <s v="Zambia"/>
    <x v="22"/>
    <n v="5"/>
    <x v="3"/>
    <s v="Chang Wanquan"/>
    <m/>
    <s v="Defense Minister; CMC Member"/>
    <n v="8"/>
    <s v="Hosted"/>
    <s v="Army Commander"/>
    <m/>
    <m/>
    <m/>
    <m/>
    <m/>
    <m/>
    <m/>
    <m/>
  </r>
  <r>
    <s v="Military Exercise"/>
    <s v="Southeast Asia"/>
    <s v="Asia"/>
    <s v="Strategic Partnership [战略伙伴关系] for Peace and Prosperity"/>
    <s v="None"/>
    <s v="INDOPACOM"/>
    <s v="ASEAN"/>
    <x v="22"/>
    <n v="6"/>
    <x v="6"/>
    <s v=" "/>
    <m/>
    <s v=" "/>
    <s v=" "/>
    <s v=" "/>
    <s v=" "/>
    <s v="MOOTW"/>
    <s v="ADMM+ HADR exercise"/>
    <s v="Navy"/>
    <s v="ADMM+ HADR exercise; PLAN forces included Peace Ark; US also participated "/>
    <m/>
    <m/>
    <m/>
    <s v="https://admm.asean.org/index.php/admm-news/40-news/asean-secretariat-news/282-asean-defence-ministers-strengthen-cooperation-ties.html"/>
  </r>
  <r>
    <s v="Naval Port Call"/>
    <s v="Southeast Asia"/>
    <s v="Asia"/>
    <s v="No Specific Relationship"/>
    <s v="None"/>
    <s v="INDOPACOM"/>
    <s v="Brunei"/>
    <x v="22"/>
    <n v="6"/>
    <x v="12"/>
    <m/>
    <m/>
    <m/>
    <m/>
    <m/>
    <m/>
    <m/>
    <m/>
    <m/>
    <m/>
    <s v="NETF"/>
    <s v="2013-06 Harmonious Mission"/>
    <s v="East Sea Fleet"/>
    <s v="PLA FR XJP draft p. 26"/>
  </r>
  <r>
    <s v="Senior Level Visit"/>
    <s v="North America"/>
    <s v="America and Oceania"/>
    <s v="Strategic Partnership [战略伙伴关系]"/>
    <s v="NATO"/>
    <s v="NORTHCOM"/>
    <s v="Canada"/>
    <x v="22"/>
    <n v="6"/>
    <x v="3"/>
    <s v="Chang Wanquan"/>
    <m/>
    <s v="Defense Minister; CMC Member"/>
    <n v="8"/>
    <s v="Hosted"/>
    <s v="Defense Minister"/>
    <m/>
    <m/>
    <m/>
    <m/>
    <m/>
    <m/>
    <m/>
    <m/>
  </r>
  <r>
    <s v="Naval Port Call"/>
    <s v="Middle East"/>
    <s v="West Asia and Africa"/>
    <s v="No Specific Relationship"/>
    <s v="None"/>
    <s v="CENTCOM"/>
    <s v="Djibouti"/>
    <x v="22"/>
    <n v="6"/>
    <x v="9"/>
    <m/>
    <m/>
    <m/>
    <m/>
    <m/>
    <m/>
    <m/>
    <m/>
    <m/>
    <m/>
    <s v="ETF"/>
    <s v="ETF-14"/>
    <s v="North Sea Fleet"/>
    <s v="DDG112 Harbin, FFG528 Mianyang, AOR887 Weishan Hu"/>
  </r>
  <r>
    <s v="Senior Level Visit"/>
    <s v="Europe"/>
    <s v="Europe and Central Asia"/>
    <s v="No Specific Relationship"/>
    <s v="NATO"/>
    <s v="EUCOM"/>
    <s v="Hungary"/>
    <x v="22"/>
    <n v="6"/>
    <x v="4"/>
    <s v="Jia Tingan"/>
    <m/>
    <s v="GPD Deputy Director"/>
    <n v="6"/>
    <s v="Abroad"/>
    <m/>
    <m/>
    <m/>
    <m/>
    <m/>
    <m/>
    <m/>
    <m/>
    <m/>
  </r>
  <r>
    <s v="Senior Level Visit"/>
    <s v="Southeast Asia"/>
    <s v="Asia"/>
    <s v="No Specific Relationship"/>
    <s v="None"/>
    <s v="INDOPACOM"/>
    <s v="IISS"/>
    <x v="22"/>
    <n v="6"/>
    <x v="1"/>
    <s v="Qi Jianguo"/>
    <m/>
    <s v="GSD DCGS"/>
    <n v="6"/>
    <s v="Abroad"/>
    <s v="12th Shangri-La Dialogue"/>
    <m/>
    <m/>
    <m/>
    <m/>
    <m/>
    <m/>
    <m/>
    <m/>
  </r>
  <r>
    <s v="Senior Level Visit"/>
    <s v="Central Asia"/>
    <s v="Europe and Central Asia"/>
    <s v="Strategic Partnership [战略伙伴关系]"/>
    <s v="None"/>
    <s v="CENTCOM"/>
    <s v="Kyrgyzstan"/>
    <x v="22"/>
    <n v="6"/>
    <x v="4"/>
    <s v="Chang Wanquan"/>
    <m/>
    <s v="Defense Minister; CMC Member"/>
    <n v="8"/>
    <s v="Abroad"/>
    <m/>
    <m/>
    <m/>
    <m/>
    <m/>
    <m/>
    <m/>
    <m/>
    <m/>
  </r>
  <r>
    <s v="Senior Level Visit"/>
    <s v="Middle East"/>
    <s v="West Asia and Africa"/>
    <s v="No Specific Relationship"/>
    <s v="None"/>
    <s v="CENTCOM"/>
    <s v="Lebanon"/>
    <x v="22"/>
    <n v="6"/>
    <x v="3"/>
    <s v="Fang Fenghui"/>
    <m/>
    <s v="GSD Commander; CMC Member"/>
    <n v="8"/>
    <s v="Hosted"/>
    <s v="Chief of Staff of Armed Forces"/>
    <m/>
    <m/>
    <m/>
    <m/>
    <m/>
    <m/>
    <m/>
    <m/>
  </r>
  <r>
    <s v="Naval Port Call"/>
    <s v="South Asia"/>
    <s v="West Asia and Africa"/>
    <s v="No Specific Relationship"/>
    <s v="None"/>
    <s v="INDOPACOM"/>
    <s v="Maldives"/>
    <x v="22"/>
    <n v="6"/>
    <x v="12"/>
    <m/>
    <m/>
    <m/>
    <m/>
    <m/>
    <m/>
    <m/>
    <m/>
    <m/>
    <m/>
    <s v="NETF"/>
    <s v="2013-06 Harmonious Mission"/>
    <s v="East Sea Fleet"/>
    <s v="PLA FR XJP draft p. 26"/>
  </r>
  <r>
    <s v="Naval Port Call"/>
    <s v="South Asia"/>
    <s v="Asia"/>
    <s v="Strategic Partnership [战略伙伴关系]"/>
    <s v="Major Non-NATO Ally"/>
    <s v="CENTCOM"/>
    <s v="Pakistan"/>
    <x v="22"/>
    <n v="6"/>
    <x v="12"/>
    <m/>
    <m/>
    <m/>
    <m/>
    <m/>
    <m/>
    <m/>
    <m/>
    <m/>
    <m/>
    <s v="NETF"/>
    <s v="2013-06 Harmonious Mission"/>
    <s v="East Sea Fleet"/>
    <s v="PLA FR XJP draft p. 26"/>
  </r>
  <r>
    <s v="Military Exercise"/>
    <s v="Russia"/>
    <s v="Europe and Central Asia"/>
    <s v="Comprehensive Collaborative Strategic Partnership [全面战略协作伙伴关系]"/>
    <s v="None"/>
    <s v="EUCOM"/>
    <s v="Russia"/>
    <x v="22"/>
    <n v="6"/>
    <x v="5"/>
    <m/>
    <m/>
    <m/>
    <m/>
    <m/>
    <m/>
    <s v="Anti-terrorism"/>
    <s v="Cooperation 2013"/>
    <s v="PAP"/>
    <s v="Snow Leopard commando unit; 10 day joint training exercise in Russia "/>
    <m/>
    <m/>
    <m/>
    <m/>
  </r>
  <r>
    <s v="Senior Level Visit"/>
    <s v="Central Asia"/>
    <s v="Europe and Central Asia"/>
    <s v="Member"/>
    <s v="None"/>
    <s v="CENTCOM"/>
    <s v="SCO"/>
    <x v="22"/>
    <n v="6"/>
    <x v="1"/>
    <s v="Chang Wanquan"/>
    <m/>
    <s v="Defense Minister; CMC Member"/>
    <n v="8"/>
    <s v="Abroad"/>
    <s v="10th official meeting of the SCO Ministers' of Defense in Kyrgyzstan; Other countries: Kazakhstan, Kyrgyztan, Russia, Tajikistan, Uzbekistan"/>
    <m/>
    <m/>
    <m/>
    <m/>
    <m/>
    <m/>
    <m/>
    <m/>
  </r>
  <r>
    <s v="Naval Port Call"/>
    <s v="Africa"/>
    <s v="West Asia and Africa"/>
    <s v="No Specific Relationship"/>
    <s v="None"/>
    <s v="AFRICOM"/>
    <s v="Seychelles"/>
    <x v="22"/>
    <n v="6"/>
    <x v="0"/>
    <m/>
    <m/>
    <m/>
    <m/>
    <m/>
    <m/>
    <m/>
    <m/>
    <m/>
    <m/>
    <s v="ETF"/>
    <s v="ETF-14"/>
    <s v="North Sea Fleet"/>
    <s v="DDG112 Harbin, FFG528 Mianyang, AOR887 Weishan Hu"/>
  </r>
  <r>
    <s v="Senior Level Visit"/>
    <s v="Northeast Asia"/>
    <s v="Asia"/>
    <s v="Strategic Cooperative Partnership [战略合作伙伴关系]"/>
    <s v="Bilateral Defense Treaty"/>
    <s v="INDOPACOM"/>
    <s v="South Korea"/>
    <x v="22"/>
    <n v="6"/>
    <x v="3"/>
    <s v="Fan Changlong"/>
    <m/>
    <s v="CMC Vice Chairman"/>
    <n v="10"/>
    <s v="Hosted"/>
    <s v="Chairman JCS"/>
    <m/>
    <m/>
    <m/>
    <m/>
    <m/>
    <m/>
    <m/>
    <m/>
  </r>
  <r>
    <s v="Senior Level Visit"/>
    <s v="Southeast Asia"/>
    <s v="Asia"/>
    <s v="Comprehensive Strategic Cooperative Partnership [全面战略合作伙伴关系]"/>
    <s v="Bilateral Defense Treaty"/>
    <s v="INDOPACOM"/>
    <s v="Thailand"/>
    <x v="22"/>
    <n v="6"/>
    <x v="3"/>
    <s v="Fan Changlong"/>
    <m/>
    <s v="CMC Vice Chairman"/>
    <n v="10"/>
    <s v="Hosted"/>
    <s v="Supreme Commander Armed Forces"/>
    <m/>
    <m/>
    <m/>
    <m/>
    <m/>
    <m/>
    <m/>
    <m/>
  </r>
  <r>
    <s v="Senior Level Visit"/>
    <s v="Southeast Asia"/>
    <s v="Asia"/>
    <s v="Comprehensive Strategic Cooperative Partnership [全面战略合作伙伴关系]"/>
    <s v="None"/>
    <s v="INDOPACOM"/>
    <s v="Vietnam"/>
    <x v="22"/>
    <n v="6"/>
    <x v="3"/>
    <s v="Chang Wanquan"/>
    <m/>
    <s v="Defense Minister; CMC Member"/>
    <n v="8"/>
    <s v="Hosted"/>
    <s v="Deputy Defense Minister"/>
    <m/>
    <m/>
    <m/>
    <m/>
    <m/>
    <m/>
    <m/>
    <m/>
  </r>
  <r>
    <s v="Naval Port Call"/>
    <s v="Middle East"/>
    <s v="West Asia and Africa"/>
    <s v="No Specific Relationship"/>
    <s v="None"/>
    <s v="CENTCOM"/>
    <s v="Djibouti"/>
    <x v="22"/>
    <n v="7"/>
    <x v="9"/>
    <m/>
    <m/>
    <m/>
    <m/>
    <m/>
    <m/>
    <m/>
    <m/>
    <m/>
    <m/>
    <s v="ETF"/>
    <s v="ETF-14"/>
    <s v="North Sea Fleet"/>
    <s v="DDG112 Harbin, FFG528 Mianyang, AOR887 Weishan Hu"/>
  </r>
  <r>
    <s v="Senior Level Visit"/>
    <s v="South Asia"/>
    <s v="Asia"/>
    <s v="Strategic Partnership for Peace and Prosperity [战略伙伴关系]"/>
    <s v="None"/>
    <s v="INDOPACOM"/>
    <s v="India"/>
    <x v="22"/>
    <n v="7"/>
    <x v="3"/>
    <s v="Chang Wanquan"/>
    <m/>
    <s v="Defense Minister; CMC Member"/>
    <n v="8"/>
    <s v="Hosted"/>
    <s v="Defense Minister"/>
    <m/>
    <m/>
    <m/>
    <m/>
    <m/>
    <m/>
    <m/>
    <m/>
  </r>
  <r>
    <s v="Senior Level Visit"/>
    <s v="Europe"/>
    <s v="Europe and Central Asia"/>
    <s v="Comprehensive Strategic Partnership [全面战略伙伴关系]"/>
    <s v="NATO"/>
    <s v="EUCOM"/>
    <s v="Italy"/>
    <x v="22"/>
    <n v="7"/>
    <x v="4"/>
    <s v="Zhang Youxia"/>
    <m/>
    <s v="GAD Director; CMC Member"/>
    <n v="8"/>
    <s v="Abroad"/>
    <m/>
    <m/>
    <m/>
    <m/>
    <m/>
    <m/>
    <m/>
    <m/>
    <m/>
  </r>
  <r>
    <s v="Senior Level Visit"/>
    <s v="Central Asia"/>
    <s v="Europe and Central Asia"/>
    <s v="Comprehensive Strategic Partnership [全面战略伙伴关系]"/>
    <s v="None"/>
    <s v="CENTCOM"/>
    <s v="Kazakhstan"/>
    <x v="22"/>
    <n v="7"/>
    <x v="4"/>
    <s v="Fan Changlong"/>
    <m/>
    <s v="CMC Vice Chairman"/>
    <n v="10"/>
    <s v="Abroad"/>
    <m/>
    <m/>
    <m/>
    <m/>
    <m/>
    <m/>
    <m/>
    <m/>
    <m/>
  </r>
  <r>
    <s v="Senior Level Visit"/>
    <s v="Southeast Asia"/>
    <s v="Asia"/>
    <s v="Comprehensive Strategic Cooperative Partnership [全面战略合作伙伴关系]"/>
    <s v="None"/>
    <s v="INDOPACOM"/>
    <s v="Laos"/>
    <x v="22"/>
    <n v="7"/>
    <x v="3"/>
    <s v="Chang Wanquan"/>
    <m/>
    <s v="Defense Minister; CMC Member"/>
    <n v="8"/>
    <s v="Hosted"/>
    <s v="Deputy Prime Minister and Minister of Defense"/>
    <m/>
    <m/>
    <m/>
    <m/>
    <m/>
    <m/>
    <m/>
    <m/>
  </r>
  <r>
    <s v="Senior Level Visit"/>
    <s v="Africa"/>
    <s v="West Asia and Africa"/>
    <s v="Strategic Partnership [战略伙伴关系]"/>
    <s v="None"/>
    <s v="AFRICOM"/>
    <s v="Nigeria"/>
    <x v="22"/>
    <n v="7"/>
    <x v="3"/>
    <s v="Chang Wanquan"/>
    <m/>
    <s v="Defense Minister; CMC Member"/>
    <n v="8"/>
    <s v="Hosted"/>
    <s v="Acting Defense Minister"/>
    <m/>
    <m/>
    <m/>
    <m/>
    <m/>
    <m/>
    <m/>
    <m/>
  </r>
  <r>
    <s v="Senior Level Visit"/>
    <s v="Russia"/>
    <s v="Europe and Central Asia"/>
    <s v="Comprehensive Collaborative Strategic Partnership [全面战略协作伙伴关系]"/>
    <s v="None"/>
    <s v="EUCOM"/>
    <s v="Russia"/>
    <x v="22"/>
    <n v="7"/>
    <x v="4"/>
    <s v="Fang Fenghui"/>
    <m/>
    <s v="GSD Commander; CMC Member"/>
    <n v="8"/>
    <s v="Abroad"/>
    <s v="COGS"/>
    <m/>
    <m/>
    <m/>
    <m/>
    <m/>
    <m/>
    <m/>
    <m/>
  </r>
  <r>
    <s v="Military Exercise"/>
    <s v="Russia"/>
    <s v="Europe and Central Asia"/>
    <s v="Comprehensive Collaborative Strategic Partnership [全面战略协作伙伴关系]"/>
    <s v="None"/>
    <s v="EUCOM"/>
    <s v="Russia"/>
    <x v="22"/>
    <n v="7"/>
    <x v="5"/>
    <m/>
    <m/>
    <m/>
    <m/>
    <m/>
    <m/>
    <s v="Combat"/>
    <s v="Maritime Cooperation 2013 (aka Joint Sea 2013)"/>
    <s v="Navy"/>
    <s v="Maritime; HADR; live-fire drills. July 5-12"/>
    <m/>
    <m/>
    <m/>
    <m/>
  </r>
  <r>
    <s v="Military Exercise"/>
    <s v="Russia"/>
    <s v="Europe and Central Asia"/>
    <s v="Comprehensive Collaborative Strategic Partnership [全面战略协作伙伴关系]"/>
    <s v="None"/>
    <s v="EUCOM"/>
    <s v="Russia"/>
    <x v="22"/>
    <n v="7"/>
    <x v="5"/>
    <m/>
    <m/>
    <m/>
    <m/>
    <m/>
    <m/>
    <s v="Combat"/>
    <s v="Peace Mission 2013"/>
    <s v="Joint"/>
    <s v="Army, Navy, Air Force, SOF; anti-terrorism.  July 27–August 15, 2013"/>
    <m/>
    <m/>
    <m/>
    <m/>
  </r>
  <r>
    <s v="Senior Level Visit"/>
    <s v="Southeast Asia"/>
    <s v="Asia"/>
    <s v="No Specific Relationship"/>
    <s v="None"/>
    <s v="INDOPACOM"/>
    <s v="Singapore"/>
    <x v="22"/>
    <n v="7"/>
    <x v="3"/>
    <s v="Wu Shengli"/>
    <m/>
    <s v="PLAN Commander; CMC Member"/>
    <n v="8"/>
    <s v="Hosted"/>
    <s v="Navy Commander"/>
    <m/>
    <m/>
    <m/>
    <m/>
    <m/>
    <m/>
    <m/>
    <m/>
  </r>
  <r>
    <s v="Senior Level Visit"/>
    <s v="Northeast Asia"/>
    <s v="Asia"/>
    <s v="Strategic Cooperative Partnership [战略合作伙伴关系]"/>
    <s v="Bilateral Defense Treaty"/>
    <s v="INDOPACOM"/>
    <s v="South Korea"/>
    <x v="22"/>
    <n v="7"/>
    <x v="3"/>
    <s v="Wu Shengli"/>
    <m/>
    <s v="PLAN Commander; CMC Member"/>
    <n v="8"/>
    <s v="Hosted"/>
    <s v="Chief of Naval Operations"/>
    <m/>
    <m/>
    <m/>
    <m/>
    <m/>
    <m/>
    <m/>
    <m/>
  </r>
  <r>
    <s v="Senior Level Visit"/>
    <s v="Southeast Asia"/>
    <s v="Asia"/>
    <s v="Comprehensive Strategic Cooperative Partnership [全面战略合作伙伴关系]"/>
    <s v="Bilateral Defense Treaty"/>
    <s v="INDOPACOM"/>
    <s v="Thailand"/>
    <x v="22"/>
    <n v="7"/>
    <x v="4"/>
    <s v="Fan Changlong"/>
    <m/>
    <s v="CMC Vice Chairman"/>
    <n v="10"/>
    <s v="Abroad"/>
    <m/>
    <m/>
    <m/>
    <m/>
    <m/>
    <m/>
    <m/>
    <m/>
    <m/>
  </r>
  <r>
    <s v="Military Exercise"/>
    <s v="Southeast Asia"/>
    <s v="Asia"/>
    <s v="Comprehensive Strategic Cooperative Partnership [全面战略合作伙伴关系]"/>
    <s v="Bilateral Defense Treaty"/>
    <s v="INDOPACOM"/>
    <s v="Thailand"/>
    <x v="22"/>
    <n v="7"/>
    <x v="5"/>
    <m/>
    <m/>
    <m/>
    <m/>
    <m/>
    <m/>
    <s v="Anti-terrorism"/>
    <s v="Strike 2013"/>
    <s v="Army"/>
    <s v="Anti-terrorism"/>
    <m/>
    <m/>
    <m/>
    <m/>
  </r>
  <r>
    <s v="Senior Level Visit"/>
    <s v="Africa"/>
    <s v="West Asia and Africa"/>
    <s v="Strategic Partnership [战略伙伴关系]"/>
    <s v="None"/>
    <s v="AFRICOM"/>
    <s v="Angola"/>
    <x v="22"/>
    <n v="8"/>
    <x v="3"/>
    <s v="Jia Tingan"/>
    <m/>
    <s v="GPD Deputy Director"/>
    <n v="6"/>
    <s v="Hosted"/>
    <s v="Inspector of Military Procurarate"/>
    <m/>
    <m/>
    <m/>
    <m/>
    <m/>
    <m/>
    <m/>
    <m/>
  </r>
  <r>
    <s v="Senior Level Visit"/>
    <s v="Southeast Asia"/>
    <s v="Asia"/>
    <s v="Strategic Partnership [战略伙伴关系] for Peace and Prosperity"/>
    <s v="None"/>
    <s v="INDOPACOM"/>
    <s v="ASEAN"/>
    <x v="22"/>
    <n v="8"/>
    <x v="1"/>
    <s v="Chang Wanquan"/>
    <m/>
    <s v="Defense Minister; CMC Member"/>
    <n v="8"/>
    <s v="Abroad"/>
    <s v="2nd ADMM+"/>
    <m/>
    <m/>
    <m/>
    <m/>
    <m/>
    <m/>
    <m/>
    <m/>
  </r>
  <r>
    <s v="Senior Level Visit"/>
    <s v="Oceania"/>
    <s v="America and Oceania"/>
    <s v="No Specific Relationship"/>
    <s v="ANZUS Treaty"/>
    <s v="INDOPACOM"/>
    <s v="Australia"/>
    <x v="22"/>
    <n v="8"/>
    <x v="3"/>
    <s v="Wu Shengli"/>
    <m/>
    <s v="PLAN Commander; CMC Member"/>
    <n v="8"/>
    <s v="Hosted"/>
    <s v="Navy Commander"/>
    <m/>
    <m/>
    <m/>
    <m/>
    <m/>
    <m/>
    <m/>
    <m/>
  </r>
  <r>
    <s v="Naval Port Call"/>
    <s v="Oceania"/>
    <s v="America and Oceania"/>
    <s v="No Specific Relationship"/>
    <s v="ANZUS Treaty"/>
    <s v="INDOPACOM"/>
    <s v="Australia"/>
    <x v="22"/>
    <n v="8"/>
    <x v="0"/>
    <m/>
    <m/>
    <m/>
    <m/>
    <m/>
    <m/>
    <m/>
    <m/>
    <m/>
    <m/>
    <s v="NETF"/>
    <s v="2013-08 DDG113 Qingdao"/>
    <s v="North Sea Fleet"/>
    <s v="PLA FR XJP draft p. 23"/>
  </r>
  <r>
    <s v="Naval Port Call"/>
    <s v="South Asia"/>
    <s v="Asia"/>
    <s v="Comprehensive Cooperative Partnership [全面合作伙伴关系]"/>
    <s v="None"/>
    <s v="INDOPACOM"/>
    <s v="Bangladesh"/>
    <x v="22"/>
    <n v="8"/>
    <x v="12"/>
    <m/>
    <m/>
    <m/>
    <m/>
    <m/>
    <m/>
    <m/>
    <m/>
    <m/>
    <m/>
    <s v="NETF"/>
    <s v="2013-06 Harmonious Mission"/>
    <s v="East Sea Fleet"/>
    <s v="PLA FR XJP draft p. 26"/>
  </r>
  <r>
    <s v="Senior Level Visit"/>
    <s v="Southeast Asia"/>
    <s v="Asia"/>
    <s v="No Specific Relationship"/>
    <s v="None"/>
    <s v="INDOPACOM"/>
    <s v="Brunei"/>
    <x v="22"/>
    <n v="8"/>
    <x v="4"/>
    <s v="Chang Wanquan"/>
    <m/>
    <s v="Defense Minister; CMC Member"/>
    <n v="8"/>
    <s v="Abroad"/>
    <s v="Sultan Hassanal Bolkiah"/>
    <m/>
    <m/>
    <m/>
    <m/>
    <m/>
    <m/>
    <m/>
    <m/>
  </r>
  <r>
    <s v="Senior Level Visit"/>
    <s v="North America"/>
    <s v="America and Oceania"/>
    <s v="Strategic Partnership [战略伙伴关系]"/>
    <s v="NATO"/>
    <s v="NORTHCOM"/>
    <s v="Canada"/>
    <x v="22"/>
    <n v="8"/>
    <x v="4"/>
    <s v="Chang Wanquan"/>
    <m/>
    <s v="Defense Minister; CMC Member"/>
    <n v="8"/>
    <s v="Abroad"/>
    <s v="Defense Minister"/>
    <m/>
    <m/>
    <m/>
    <m/>
    <m/>
    <m/>
    <m/>
    <m/>
  </r>
  <r>
    <s v="Naval Port Call"/>
    <s v="Europe"/>
    <s v="Europe and Central Asia"/>
    <s v="Comprehensive Strategic Partnership [全面战略伙伴关系]"/>
    <s v="NATO"/>
    <s v="EUCOM"/>
    <s v="Greece"/>
    <x v="22"/>
    <n v="8"/>
    <x v="0"/>
    <m/>
    <m/>
    <m/>
    <m/>
    <m/>
    <m/>
    <m/>
    <m/>
    <m/>
    <m/>
    <s v="ETF"/>
    <s v="ETF-14 "/>
    <s v="North Sea Fleet"/>
    <s v="DDG112 Harbin, FFG528 Mianyang, AOR887 Weishan Hu; Unknown, could also be ETF-15"/>
  </r>
  <r>
    <s v="Naval Port Call"/>
    <s v="South Asia"/>
    <s v="Asia"/>
    <s v="Strategic Partnership for Peace and Prosperity [战略伙伴关系]"/>
    <s v="None"/>
    <s v="INDOPACOM"/>
    <s v="India"/>
    <x v="22"/>
    <n v="8"/>
    <x v="12"/>
    <m/>
    <m/>
    <m/>
    <m/>
    <m/>
    <m/>
    <m/>
    <m/>
    <m/>
    <m/>
    <s v="NETF"/>
    <s v="2013-06 Harmonious Mission"/>
    <s v="East Sea Fleet"/>
    <s v="PLA FR XJP draft p. 26"/>
  </r>
  <r>
    <s v="Military Exercise"/>
    <s v="Central Asia"/>
    <s v="Europe and Central Asia"/>
    <s v="Strategic Partnership [战略伙伴关系]"/>
    <s v="None"/>
    <s v="CENTCOM"/>
    <s v="Kyrgyzstan"/>
    <x v="22"/>
    <n v="8"/>
    <x v="5"/>
    <m/>
    <m/>
    <m/>
    <m/>
    <m/>
    <m/>
    <s v="Anti-terrorism"/>
    <s v="Frontier Defense Joint Determination 2013 "/>
    <s v="PAP"/>
    <s v="Armed police from both sides, "/>
    <m/>
    <m/>
    <m/>
    <m/>
  </r>
  <r>
    <s v="Naval Port Call"/>
    <s v="Southeast Asia"/>
    <s v="Asia"/>
    <s v="Comprehensive Strategic Partnership [全面战略伙伴关系]"/>
    <s v="None"/>
    <s v="INDOPACOM"/>
    <s v="Malaysia"/>
    <x v="22"/>
    <n v="8"/>
    <x v="0"/>
    <m/>
    <m/>
    <m/>
    <m/>
    <m/>
    <m/>
    <m/>
    <m/>
    <m/>
    <m/>
    <s v="NETF"/>
    <s v="2013-08 Zhenghe "/>
    <s v="North Sea Fleet"/>
    <s v="PLA FR XJP draft p. 24"/>
  </r>
  <r>
    <s v="Naval Port Call"/>
    <s v="Southeast Asia"/>
    <s v="Asia"/>
    <s v="Comprehensive Strategic Cooperative Partnership [全面战略合作伙伴关系]"/>
    <s v="None"/>
    <s v="INDOPACOM"/>
    <s v="Myanmar"/>
    <x v="22"/>
    <n v="8"/>
    <x v="12"/>
    <m/>
    <m/>
    <m/>
    <m/>
    <m/>
    <m/>
    <m/>
    <m/>
    <m/>
    <m/>
    <s v="NETF"/>
    <s v="2013-06 Harmonious Mission"/>
    <s v="East Sea Fleet"/>
    <s v="PLA FR XJP draft p. 26"/>
  </r>
  <r>
    <s v="Senior Level Visit"/>
    <s v="Oceania"/>
    <s v="America and Oceania"/>
    <s v="No Specific Relationship"/>
    <s v="ANZUS Treaty"/>
    <s v="INDOPACOM"/>
    <s v="New Zealand"/>
    <x v="22"/>
    <n v="8"/>
    <x v="4"/>
    <s v="Wu Changde "/>
    <m/>
    <s v="GPD Deputy Director"/>
    <n v="6"/>
    <s v="Abroad"/>
    <m/>
    <m/>
    <m/>
    <m/>
    <m/>
    <m/>
    <m/>
    <m/>
    <m/>
  </r>
  <r>
    <s v="Naval Port Call"/>
    <s v="Oceania"/>
    <s v="America and Oceania"/>
    <s v="No Specific Relationship"/>
    <s v="ANZUS Treaty"/>
    <s v="INDOPACOM"/>
    <s v="New Zealand"/>
    <x v="22"/>
    <n v="8"/>
    <x v="0"/>
    <m/>
    <m/>
    <m/>
    <m/>
    <m/>
    <m/>
    <m/>
    <m/>
    <m/>
    <m/>
    <s v="NETF"/>
    <s v="2013-08 DDG113 Qingdao"/>
    <s v="North Sea Fleet"/>
    <s v="PLA FR XJP draft p. 23"/>
  </r>
  <r>
    <s v="Military Exercise"/>
    <s v="Oceania"/>
    <s v="America and Oceania"/>
    <s v="No Specific Relationship"/>
    <s v="ANZUS Treaty"/>
    <s v="INDOPACOM"/>
    <s v="New Zealand"/>
    <x v="22"/>
    <n v="8"/>
    <x v="6"/>
    <m/>
    <m/>
    <m/>
    <m/>
    <m/>
    <m/>
    <s v="MOOTW"/>
    <s v="Phoenix Spirit"/>
    <s v="Army"/>
    <s v="Medical; HADR.Other countries: Australia, United States"/>
    <m/>
    <m/>
    <m/>
    <m/>
  </r>
  <r>
    <s v="Military Exercise"/>
    <s v="South Asia"/>
    <s v="Asia"/>
    <s v="Strategic Partnership [战略伙伴关系]"/>
    <s v="Major Non-NATO Ally"/>
    <s v="CENTCOM"/>
    <s v="Pakistan"/>
    <x v="22"/>
    <n v="8"/>
    <x v="5"/>
    <m/>
    <m/>
    <m/>
    <m/>
    <m/>
    <m/>
    <s v="Combat"/>
    <s v="Shaheen-2"/>
    <s v="Air Force"/>
    <s v="Operational aerial maneuvers"/>
    <m/>
    <m/>
    <m/>
    <m/>
  </r>
  <r>
    <s v="Senior Level Visit"/>
    <s v="South Asia"/>
    <s v="Asia"/>
    <s v="Strategic Partnership [战略伙伴关系]"/>
    <s v="Major Non-NATO Ally"/>
    <s v="CENTCOM"/>
    <s v="Pakistan"/>
    <x v="22"/>
    <n v="8"/>
    <x v="3"/>
    <s v="Xu Qiliang"/>
    <m/>
    <s v="CMC Vice Chairman"/>
    <n v="10"/>
    <s v="Hosted"/>
    <s v="Chairman JCS"/>
    <m/>
    <m/>
    <m/>
    <m/>
    <m/>
    <m/>
    <m/>
    <m/>
  </r>
  <r>
    <s v="Senior Level Visit"/>
    <s v="Southeast Asia"/>
    <s v="Asia"/>
    <s v="No Specific Relationship"/>
    <s v="None"/>
    <s v="INDOPACOM"/>
    <s v="Singapore"/>
    <x v="22"/>
    <n v="8"/>
    <x v="7"/>
    <s v="Chang Wanquan"/>
    <m/>
    <s v="Defense Minister; CMC Member"/>
    <n v="8"/>
    <s v="Abroad"/>
    <s v="2nd ADMM+; Minister for Defence Dr Ng Eng Hen"/>
    <m/>
    <m/>
    <m/>
    <m/>
    <m/>
    <m/>
    <m/>
    <m/>
  </r>
  <r>
    <s v="Senior Level Visit"/>
    <s v="Northeast Asia"/>
    <s v="Asia"/>
    <s v="Strategic Cooperative Partnership [战略合作伙伴关系]"/>
    <s v="Bilateral Defense Treaty"/>
    <s v="INDOPACOM"/>
    <s v="South Korea"/>
    <x v="22"/>
    <n v="8"/>
    <x v="7"/>
    <s v="Chang Wanquan"/>
    <m/>
    <s v="Defense Minister; CMC Member"/>
    <n v="8"/>
    <s v="Abroad"/>
    <s v="2nd ADMM+; Defense Minister Kim Kwan-jin"/>
    <m/>
    <m/>
    <m/>
    <m/>
    <m/>
    <m/>
    <m/>
    <m/>
  </r>
  <r>
    <s v="Naval Port Call"/>
    <s v="Northeast Asia"/>
    <s v="Asia"/>
    <s v="Strategic Cooperative Partnership [战略合作伙伴关系]"/>
    <s v="Bilateral Defense Treaty"/>
    <s v="INDOPACOM"/>
    <s v="South Korea"/>
    <x v="22"/>
    <n v="8"/>
    <x v="0"/>
    <m/>
    <m/>
    <m/>
    <m/>
    <m/>
    <m/>
    <m/>
    <m/>
    <m/>
    <m/>
    <s v="NETF"/>
    <s v="2013-08 Zhenghe "/>
    <s v="North Sea Fleet"/>
    <s v="PLA FR XJP draft p. 24"/>
  </r>
  <r>
    <s v="Senior Level Visit"/>
    <s v="Oceania"/>
    <s v="America and Oceania"/>
    <s v="No Specific Relationship"/>
    <s v="None"/>
    <s v="INDOPACOM"/>
    <s v="Tonga"/>
    <x v="22"/>
    <n v="8"/>
    <x v="4"/>
    <s v="Wu Changde "/>
    <m/>
    <s v="GPD Deputy Director"/>
    <n v="6"/>
    <s v="Abroad"/>
    <m/>
    <m/>
    <m/>
    <m/>
    <m/>
    <m/>
    <m/>
    <m/>
    <m/>
  </r>
  <r>
    <s v="Senior Level Visit"/>
    <s v="North America"/>
    <s v="America and Oceania"/>
    <s v="No Specific Relationship"/>
    <s v="N/A"/>
    <s v="NORTHCOM"/>
    <s v="United States"/>
    <x v="22"/>
    <n v="8"/>
    <x v="4"/>
    <s v="Chang Wanquan"/>
    <m/>
    <s v="Defense Minister; CMC Member"/>
    <n v="8"/>
    <s v="Abroad"/>
    <s v="Secretary of Defense Hagel"/>
    <m/>
    <m/>
    <m/>
    <m/>
    <m/>
    <m/>
    <m/>
    <m/>
  </r>
  <r>
    <s v="Military Exercise"/>
    <s v="North America"/>
    <s v="America and Oceania"/>
    <s v="No Specific Relationship"/>
    <s v="N/A"/>
    <s v="NORTHCOM"/>
    <s v="United States"/>
    <x v="22"/>
    <n v="8"/>
    <x v="5"/>
    <m/>
    <m/>
    <m/>
    <m/>
    <m/>
    <m/>
    <s v="Anti-piracy"/>
    <m/>
    <s v="Navy"/>
    <s v="2nd US-CH BL counter-piracy exercise in Gulf of Aden"/>
    <m/>
    <m/>
    <m/>
    <m/>
  </r>
  <r>
    <s v="Senior Level Visit"/>
    <s v="Africa"/>
    <s v="West Asia and Africa"/>
    <s v="No Specific Relationship"/>
    <s v="None"/>
    <s v="AFRICOM"/>
    <s v="Zambia"/>
    <x v="22"/>
    <n v="8"/>
    <x v="3"/>
    <s v="Ma Xiaotian"/>
    <m/>
    <s v="PLAAF Commander; CMC Member"/>
    <n v="8"/>
    <s v="Hosted"/>
    <s v="Air Force Commander"/>
    <m/>
    <m/>
    <m/>
    <m/>
    <m/>
    <m/>
    <m/>
    <m/>
  </r>
  <r>
    <s v="Naval Port Call"/>
    <s v="South America"/>
    <s v="America and Oceania"/>
    <s v="Strategic Partnership [战略伙伴关系]"/>
    <s v="Major Non-NATO Ally"/>
    <s v="SOUTHCOM"/>
    <s v="Argentina"/>
    <x v="22"/>
    <n v="9"/>
    <x v="0"/>
    <m/>
    <m/>
    <m/>
    <m/>
    <m/>
    <m/>
    <m/>
    <m/>
    <m/>
    <m/>
    <s v="NETF"/>
    <s v="2013-09 DDG170 Lanzhou"/>
    <s v="South Sea Fleet"/>
    <s v="PLA FR XJP draft p. 23"/>
  </r>
  <r>
    <s v="Senior Level Visit"/>
    <s v="South Asia"/>
    <s v="Asia"/>
    <s v="Comprehensive Cooperative Partnership [全面合作伙伴关系]"/>
    <s v="None"/>
    <s v="INDOPACOM"/>
    <s v="Bangladesh"/>
    <x v="22"/>
    <n v="9"/>
    <x v="3"/>
    <s v="Ma Xiaotian"/>
    <m/>
    <s v="PLAAF Commander; CMC Member"/>
    <n v="8"/>
    <s v="Hosted"/>
    <s v="Air Force Chief of Staff"/>
    <m/>
    <m/>
    <m/>
    <m/>
    <m/>
    <m/>
    <m/>
    <m/>
  </r>
  <r>
    <s v="Senior Level Visit"/>
    <s v="Europe"/>
    <s v="Europe and Central Asia"/>
    <s v="No Specific Relationship"/>
    <s v="NATO"/>
    <s v="EUCOM"/>
    <s v="Belgium"/>
    <x v="22"/>
    <n v="9"/>
    <x v="4"/>
    <s v="Du Jincai"/>
    <m/>
    <s v="GPD Deputy Director"/>
    <n v="6"/>
    <s v="Abroad"/>
    <m/>
    <m/>
    <m/>
    <m/>
    <m/>
    <m/>
    <m/>
    <m/>
    <m/>
  </r>
  <r>
    <s v="Naval Port Call"/>
    <s v="South America"/>
    <s v="America and Oceania"/>
    <s v="Comprehensive Strategic Partnership [全面战略伙伴关系]"/>
    <s v="None"/>
    <s v="SOUTHCOM"/>
    <s v="Brazil"/>
    <x v="22"/>
    <n v="9"/>
    <x v="0"/>
    <m/>
    <m/>
    <m/>
    <m/>
    <m/>
    <m/>
    <m/>
    <m/>
    <m/>
    <m/>
    <s v="NETF"/>
    <s v="2013-09 DDG170 Lanzhou"/>
    <s v="South Sea Fleet"/>
    <s v="PLA FR XJP draft p. 23"/>
  </r>
  <r>
    <s v="Naval Port Call"/>
    <s v="Southeast Asia"/>
    <s v="Asia"/>
    <s v="Comprehensive Strategic Cooperative Partnership [全面战略合作伙伴关系]"/>
    <s v="None"/>
    <s v="INDOPACOM"/>
    <s v="Cambodia"/>
    <x v="22"/>
    <n v="9"/>
    <x v="12"/>
    <m/>
    <m/>
    <m/>
    <m/>
    <m/>
    <m/>
    <m/>
    <m/>
    <m/>
    <m/>
    <s v="NETF"/>
    <s v="2013-06 Harmonious Mission"/>
    <s v="East Sea Fleet"/>
    <s v="PLA FR XJP draft p. 26"/>
  </r>
  <r>
    <s v="Naval Port Call"/>
    <s v="South America"/>
    <s v="America and Oceania"/>
    <s v="Strategic Partnership [战略伙伴关系]"/>
    <s v="None"/>
    <s v="SOUTHCOM"/>
    <s v="Chile"/>
    <x v="22"/>
    <n v="9"/>
    <x v="0"/>
    <m/>
    <m/>
    <m/>
    <m/>
    <m/>
    <m/>
    <m/>
    <m/>
    <m/>
    <m/>
    <s v="NETF"/>
    <s v="2013-09 DDG170 Lanzhou"/>
    <s v="South Sea Fleet"/>
    <s v="PLA FR XJP draft p. 23"/>
  </r>
  <r>
    <s v="Senior Level Visit"/>
    <s v="Europe"/>
    <s v="Europe and Central Asia"/>
    <s v="Comprehensive Cooperative Partnership [全面合作伙伴关系]"/>
    <s v="NATO"/>
    <s v="EUCOM"/>
    <s v="Croatia"/>
    <x v="22"/>
    <n v="9"/>
    <x v="4"/>
    <s v="Du Jincai"/>
    <m/>
    <s v="GPD Deputy Director"/>
    <n v="6"/>
    <s v="Abroad"/>
    <m/>
    <m/>
    <m/>
    <m/>
    <m/>
    <m/>
    <m/>
    <m/>
    <m/>
  </r>
  <r>
    <s v="Senior Level Visit"/>
    <s v="Europe"/>
    <s v="Europe and Central Asia"/>
    <s v="Strategic Partnership [战略伙伴关系]"/>
    <s v="NATO"/>
    <s v="EUCOM"/>
    <s v="Germany"/>
    <x v="22"/>
    <n v="9"/>
    <x v="3"/>
    <s v="Sun Jianguo"/>
    <m/>
    <s v="GSD DCGS"/>
    <n v="6"/>
    <s v="Hosted"/>
    <s v="Former Inspector General, Federal Defense Forces "/>
    <m/>
    <m/>
    <m/>
    <m/>
    <m/>
    <m/>
    <m/>
    <m/>
  </r>
  <r>
    <s v="Senior Level Visit"/>
    <s v="South Asia"/>
    <s v="Asia"/>
    <s v="Strategic Partnership for Peace and Prosperity [战略伙伴关系]"/>
    <s v="None"/>
    <s v="INDOPACOM"/>
    <s v="India"/>
    <x v="22"/>
    <n v="9"/>
    <x v="3"/>
    <s v="Sun Jianguo"/>
    <m/>
    <s v="GSD DCGS"/>
    <n v="6"/>
    <s v="Hosted"/>
    <s v="Delegation for CIISS"/>
    <m/>
    <m/>
    <m/>
    <m/>
    <m/>
    <m/>
    <m/>
    <m/>
  </r>
  <r>
    <s v="Naval Port Call"/>
    <s v="Southeast Asia"/>
    <s v="Asia"/>
    <s v="Comprehensive Strategic Partnership [全面战略伙伴关系]"/>
    <s v="None"/>
    <s v="INDOPACOM"/>
    <s v="Indonesia"/>
    <x v="22"/>
    <n v="9"/>
    <x v="12"/>
    <m/>
    <m/>
    <m/>
    <m/>
    <m/>
    <m/>
    <m/>
    <m/>
    <m/>
    <m/>
    <s v="NETF"/>
    <s v="2013-06 Harmonious Mission"/>
    <s v="East Sea Fleet"/>
    <s v="PLA FR XJP draft p. 26"/>
  </r>
  <r>
    <s v="Military Exercise"/>
    <s v="Northeast Asia"/>
    <s v="Asia"/>
    <s v="Strategic Partnership [战略伙伴关系]"/>
    <s v="None"/>
    <s v="INDOPACOM"/>
    <s v="Mongolia"/>
    <x v="22"/>
    <n v="9"/>
    <x v="5"/>
    <m/>
    <m/>
    <m/>
    <m/>
    <m/>
    <m/>
    <s v="MOOTW"/>
    <s v="Prairie Pioneer"/>
    <s v="Army"/>
    <s v="Medical; engineers"/>
    <m/>
    <m/>
    <m/>
    <m/>
  </r>
  <r>
    <s v="Military Exercise"/>
    <s v="Russia"/>
    <s v="Europe and Central Asia"/>
    <s v="Comprehensive Collaborative Strategic Partnership [全面战略协作伙伴关系]"/>
    <s v="None"/>
    <s v="EUCOM"/>
    <s v="Russia"/>
    <x v="22"/>
    <n v="9"/>
    <x v="5"/>
    <m/>
    <m/>
    <m/>
    <m/>
    <m/>
    <m/>
    <s v="MOOTW"/>
    <s v="Unnamed"/>
    <s v="PAP"/>
    <s v="Joint drill at Chinese land port; aimed at countering illegal border crossing; likely PAP"/>
    <m/>
    <m/>
    <m/>
    <m/>
  </r>
  <r>
    <s v="Naval Port Call"/>
    <s v="Middle East"/>
    <s v="West Asia and Africa"/>
    <s v="No Specific Relationship"/>
    <s v="None"/>
    <s v="CENTCOM"/>
    <s v="Saudi Arabia"/>
    <x v="22"/>
    <n v="9"/>
    <x v="9"/>
    <m/>
    <m/>
    <m/>
    <m/>
    <m/>
    <m/>
    <m/>
    <m/>
    <m/>
    <m/>
    <s v="ETF"/>
    <s v="ETF-15"/>
    <s v="South Sea Fleet"/>
    <s v="LPD999 Jingangshan, FFG572 Hengshui, AOR889 Taihu"/>
  </r>
  <r>
    <s v="Naval Port Call"/>
    <s v="Southeast Asia"/>
    <s v="Asia"/>
    <s v="No Specific Relationship"/>
    <s v="None"/>
    <s v="INDOPACOM"/>
    <s v="Singapore"/>
    <x v="22"/>
    <n v="9"/>
    <x v="0"/>
    <m/>
    <m/>
    <m/>
    <m/>
    <m/>
    <m/>
    <m/>
    <m/>
    <m/>
    <m/>
    <s v="ETF"/>
    <s v="ETF-14"/>
    <s v="North Sea Fleet"/>
    <s v="DDG112 Harbin, FFG528 Mianyang, AOR887 Weishan Hu"/>
  </r>
  <r>
    <s v="Senior Level Visit"/>
    <s v="Europe"/>
    <s v="Europe and Central Asia"/>
    <s v="Comprehensive Strategic Partnership [全面战略伙伴关系]"/>
    <s v="NATO"/>
    <s v="EUCOM"/>
    <s v="Spain"/>
    <x v="22"/>
    <n v="9"/>
    <x v="4"/>
    <s v="Wei Fenghe"/>
    <m/>
    <s v="PLASAF Commander; CMC Member"/>
    <n v="8"/>
    <s v="Abroad"/>
    <m/>
    <m/>
    <m/>
    <m/>
    <m/>
    <m/>
    <m/>
    <m/>
    <m/>
  </r>
  <r>
    <s v="Senior Level Visit"/>
    <s v="South Asia"/>
    <s v="Asia"/>
    <s v="Strategic Cooperative Partnership [战略合作伙伴关系]"/>
    <s v="None"/>
    <s v="INDOPACOM"/>
    <s v="Sri Lanka"/>
    <x v="22"/>
    <n v="9"/>
    <x v="3"/>
    <s v="Ma Xiaotian"/>
    <m/>
    <s v="PLAAF Commander; CMC Member"/>
    <n v="8"/>
    <s v="Hosted"/>
    <s v="Defense Minister and Urban Development Executive Secretary"/>
    <m/>
    <m/>
    <m/>
    <m/>
    <m/>
    <m/>
    <m/>
    <m/>
  </r>
  <r>
    <s v="Senior Level Visit"/>
    <s v="Europe"/>
    <s v="Europe and Central Asia"/>
    <s v="No Specific Relationship"/>
    <s v="None"/>
    <s v="EUCOM"/>
    <s v="Switzerland"/>
    <x v="22"/>
    <n v="9"/>
    <x v="4"/>
    <s v="Wei Fenghe"/>
    <m/>
    <s v="PLASAF Commander; CMC Member"/>
    <n v="8"/>
    <s v="Abroad"/>
    <m/>
    <m/>
    <m/>
    <m/>
    <m/>
    <m/>
    <m/>
    <m/>
    <m/>
  </r>
  <r>
    <s v="Naval Port Call"/>
    <s v="Southeast Asia"/>
    <s v="Asia"/>
    <s v="Comprehensive Strategic Cooperative Partnership [全面战略合作伙伴关系]"/>
    <s v="Bilateral Defense Treaty"/>
    <s v="INDOPACOM"/>
    <s v="Thailand"/>
    <x v="22"/>
    <n v="9"/>
    <x v="0"/>
    <m/>
    <m/>
    <m/>
    <m/>
    <m/>
    <m/>
    <m/>
    <m/>
    <m/>
    <m/>
    <s v="ETF"/>
    <s v="ETF-14"/>
    <s v="North Sea Fleet"/>
    <s v="DDG112 Harbin, FFG528 Mianyang, AOR887 Weishan Hu"/>
  </r>
  <r>
    <s v="Senior Level Visit"/>
    <s v="North America"/>
    <s v="America and Oceania"/>
    <s v="No Specific Relationship"/>
    <s v="N/A"/>
    <s v="NORTHCOM"/>
    <s v="United States"/>
    <x v="22"/>
    <n v="9"/>
    <x v="4"/>
    <s v="Wu Shengli"/>
    <m/>
    <s v="PLAN Commander; CMC Member"/>
    <n v="8"/>
    <s v="Abroad"/>
    <s v="CNO Greenert"/>
    <m/>
    <m/>
    <m/>
    <m/>
    <m/>
    <m/>
    <m/>
    <m/>
  </r>
  <r>
    <s v="Naval Port Call"/>
    <s v="North America"/>
    <s v="America and Oceania"/>
    <s v="No Specific Relationship"/>
    <s v="N/A"/>
    <s v="NORTHCOM"/>
    <s v="United States"/>
    <x v="22"/>
    <n v="9"/>
    <x v="0"/>
    <m/>
    <m/>
    <m/>
    <m/>
    <m/>
    <m/>
    <m/>
    <m/>
    <m/>
    <m/>
    <s v="NETF"/>
    <s v="2013-08 DDG113 Qingdao"/>
    <s v="North Sea Fleet"/>
    <s v="Pearl Harbor-- Qingdao DD113, Linyi FF547, Hongzehu AOR881 PLA FR XJP draft p. 23"/>
  </r>
  <r>
    <s v="Senior Level Visit"/>
    <s v="North America"/>
    <s v="America and Oceania"/>
    <s v="No Specific Relationship"/>
    <s v="N/A"/>
    <s v="NORTHCOM"/>
    <s v="United States"/>
    <x v="22"/>
    <n v="9"/>
    <x v="3"/>
    <s v="Ma Xiaotian"/>
    <m/>
    <s v="PLAAF Commander; CMC Member"/>
    <n v="8"/>
    <s v="Hosted"/>
    <s v="Air Force Chief of Staff Welsh"/>
    <m/>
    <m/>
    <m/>
    <m/>
    <m/>
    <m/>
    <m/>
    <m/>
  </r>
  <r>
    <s v="Senior Level Visit"/>
    <s v="Middle East"/>
    <s v="West Asia and Africa"/>
    <s v="No Specific Relationship"/>
    <s v="None"/>
    <s v="CENTCOM"/>
    <s v="Yemen"/>
    <x v="22"/>
    <n v="9"/>
    <x v="3"/>
    <s v="Xu Qiliang"/>
    <m/>
    <s v="CMC Vice Chairman"/>
    <n v="10"/>
    <s v="Hosted"/>
    <s v="Defense Minister"/>
    <m/>
    <m/>
    <m/>
    <m/>
    <m/>
    <m/>
    <m/>
    <m/>
  </r>
  <r>
    <s v="Senior Level Visit"/>
    <s v="Africa"/>
    <s v="West Asia and Africa"/>
    <s v="Strategic Partnership [战略伙伴关系]"/>
    <s v="None"/>
    <s v="AFRICOM"/>
    <s v="Angola"/>
    <x v="22"/>
    <n v="10"/>
    <x v="3"/>
    <s v="Fang Fenghui"/>
    <m/>
    <s v="GSD Commander; CMC Member"/>
    <n v="8"/>
    <s v="Hosted"/>
    <s v="COGS"/>
    <m/>
    <m/>
    <m/>
    <m/>
    <m/>
    <m/>
    <m/>
    <m/>
  </r>
  <r>
    <s v="Senior Level Visit"/>
    <s v="Oceania"/>
    <s v="America and Oceania"/>
    <s v="No Specific Relationship"/>
    <s v="ANZUS Treaty"/>
    <s v="INDOPACOM"/>
    <s v="Australia"/>
    <x v="22"/>
    <n v="10"/>
    <x v="4"/>
    <s v="Zhao Keshi"/>
    <m/>
    <s v="GLD Director; CMC Member"/>
    <n v="8"/>
    <s v="Abroad"/>
    <m/>
    <m/>
    <m/>
    <m/>
    <m/>
    <m/>
    <m/>
    <m/>
    <m/>
  </r>
  <r>
    <s v="Senior Level Visit"/>
    <s v="Oceania"/>
    <s v="Europe and Central Asia"/>
    <s v="No Specific Relationship"/>
    <s v="None"/>
    <s v="EUCOM"/>
    <s v="Bosnia-Herzegovina"/>
    <x v="22"/>
    <n v="10"/>
    <x v="3"/>
    <s v="Xu Qiliang"/>
    <m/>
    <s v="CMC Vice Chairman"/>
    <n v="10"/>
    <s v="Hosted"/>
    <s v="Defense Minister"/>
    <m/>
    <m/>
    <m/>
    <m/>
    <m/>
    <m/>
    <m/>
    <m/>
  </r>
  <r>
    <s v="Senior Level Visit"/>
    <s v="Oceania"/>
    <s v="America and Oceania"/>
    <s v="Strategic Partnership [战略伙伴关系]"/>
    <s v="None"/>
    <s v="SOUTHCOM"/>
    <s v="Chile"/>
    <x v="22"/>
    <n v="10"/>
    <x v="3"/>
    <s v="Hou Shusen"/>
    <m/>
    <s v="GSD DCGS"/>
    <n v="6"/>
    <s v="Hosted"/>
    <s v="CinC Army"/>
    <m/>
    <m/>
    <m/>
    <m/>
    <m/>
    <m/>
    <m/>
    <m/>
  </r>
  <r>
    <s v="Senior Level Visit"/>
    <s v="Oceania"/>
    <s v="West Asia and Africa"/>
    <s v="No Specific Relationship"/>
    <s v="None"/>
    <s v="AFRICOM"/>
    <s v="Congo"/>
    <x v="22"/>
    <n v="10"/>
    <x v="3"/>
    <s v="Xu Qiliang"/>
    <m/>
    <s v="CMC Vice Chairman"/>
    <n v="10"/>
    <s v="Hosted"/>
    <s v="Defense Minister"/>
    <m/>
    <m/>
    <m/>
    <m/>
    <m/>
    <m/>
    <m/>
    <m/>
  </r>
  <r>
    <s v="Naval Port Call"/>
    <s v="Oceania"/>
    <s v="West Asia and Africa"/>
    <s v="No Specific Relationship"/>
    <s v="None"/>
    <s v="CENTCOM"/>
    <s v="Djibouti"/>
    <x v="22"/>
    <n v="10"/>
    <x v="9"/>
    <m/>
    <m/>
    <m/>
    <m/>
    <m/>
    <m/>
    <m/>
    <m/>
    <m/>
    <m/>
    <s v="ETF"/>
    <s v="ETF-15"/>
    <s v="South Sea Fleet"/>
    <s v="LPD999 Jingangshan, FFG572 Hengshui, AOR889 Taihu"/>
  </r>
  <r>
    <s v="Senior Level Visit"/>
    <s v="Oceania"/>
    <s v="Europe and Central Asia"/>
    <s v="Comprehensive Strategic Partnership [全面战略伙伴关系]"/>
    <s v="NATO"/>
    <s v="EUCOM"/>
    <s v="Italy"/>
    <x v="22"/>
    <n v="10"/>
    <x v="3"/>
    <s v="Sun Jianguo"/>
    <m/>
    <s v="GSD DCGS"/>
    <n v="6"/>
    <s v="Hosted"/>
    <s v="Delegation for CIISS; Security Intelligence Committee"/>
    <m/>
    <m/>
    <m/>
    <m/>
    <m/>
    <m/>
    <m/>
    <m/>
  </r>
  <r>
    <s v="Senior Level Visit"/>
    <s v="Oceania"/>
    <s v="Asia"/>
    <s v="Comprehensive Strategic Partnership [全面战略伙伴关系]"/>
    <s v="None"/>
    <s v="INDOPACOM"/>
    <s v="Malaysia"/>
    <x v="22"/>
    <n v="10"/>
    <x v="3"/>
    <s v="Xu Qiliang"/>
    <m/>
    <s v="CMC Vice Chairman"/>
    <n v="10"/>
    <s v="Hosted"/>
    <s v="Defense Minister"/>
    <m/>
    <m/>
    <m/>
    <m/>
    <m/>
    <m/>
    <m/>
    <m/>
  </r>
  <r>
    <s v="Senior Level Visit"/>
    <s v="Southeast Asia"/>
    <s v="Asia"/>
    <s v="Comprehensive Strategic Cooperative Partnership [全面战略合作伙伴关系]"/>
    <s v="None"/>
    <s v="INDOPACOM"/>
    <s v="Myanmar"/>
    <x v="22"/>
    <n v="10"/>
    <x v="3"/>
    <s v="Fan Changlong"/>
    <m/>
    <s v="CMC Vice Chairman"/>
    <n v="10"/>
    <s v="Hosted"/>
    <s v="CinC Defense Services"/>
    <m/>
    <m/>
    <m/>
    <m/>
    <m/>
    <m/>
    <m/>
    <m/>
  </r>
  <r>
    <s v="Senior Level Visit"/>
    <s v="Oceania"/>
    <s v="America and Oceania"/>
    <s v="No Specific Relationship"/>
    <s v="ANZUS Treaty"/>
    <s v="INDOPACOM"/>
    <s v="New Zealand"/>
    <x v="22"/>
    <n v="10"/>
    <x v="4"/>
    <s v="Zhao Keshi"/>
    <m/>
    <s v="GLD Director; CMC Member"/>
    <n v="8"/>
    <s v="Abroad"/>
    <m/>
    <m/>
    <m/>
    <m/>
    <m/>
    <m/>
    <m/>
    <m/>
    <m/>
  </r>
  <r>
    <s v="Senior Level Visit"/>
    <s v="South Asia"/>
    <s v="Asia"/>
    <s v="Strategic Partnership [战略伙伴关系]"/>
    <s v="Major Non-NATO Ally"/>
    <s v="CENTCOM"/>
    <s v="Pakistan"/>
    <x v="22"/>
    <n v="10"/>
    <x v="3"/>
    <s v="Fan Changlong"/>
    <m/>
    <s v="CMC Vice Chairman"/>
    <n v="10"/>
    <s v="Hosted"/>
    <s v="Chief of Army Staff"/>
    <m/>
    <m/>
    <m/>
    <m/>
    <m/>
    <m/>
    <m/>
    <m/>
  </r>
  <r>
    <s v="Senior Level Visit"/>
    <s v="Russia"/>
    <s v="Europe and Central Asia"/>
    <s v="Comprehensive Collaborative Strategic Partnership [全面战略协作伙伴关系]"/>
    <s v="None"/>
    <s v="EUCOM"/>
    <s v="Russia"/>
    <x v="22"/>
    <n v="10"/>
    <x v="4"/>
    <s v="Xu Qiliang"/>
    <m/>
    <s v="CMC Vice Chairman"/>
    <n v="10"/>
    <s v="Abroad"/>
    <m/>
    <m/>
    <m/>
    <m/>
    <m/>
    <m/>
    <m/>
    <m/>
    <m/>
  </r>
  <r>
    <s v="Senior Level Visit"/>
    <s v="Oceania"/>
    <s v="America and Oceania"/>
    <s v="No Specific Relationship"/>
    <s v="ANZUS Treaty"/>
    <s v="INDOPACOM"/>
    <s v="Australia"/>
    <x v="22"/>
    <n v="11"/>
    <x v="3"/>
    <s v="Zhao Keshi"/>
    <m/>
    <s v="GLD Director; CMC Member"/>
    <n v="8"/>
    <s v="Hosted"/>
    <m/>
    <m/>
    <m/>
    <m/>
    <m/>
    <m/>
    <m/>
    <m/>
    <m/>
  </r>
  <r>
    <s v="Senior Level Visit"/>
    <s v="Oceania"/>
    <s v="Asia"/>
    <s v="Comprehensive Cooperative Partnership [全面合作伙伴关系]"/>
    <s v="None"/>
    <s v="INDOPACOM"/>
    <s v="Bangladesh"/>
    <x v="22"/>
    <n v="11"/>
    <x v="3"/>
    <s v="Sun Jianguo"/>
    <m/>
    <s v="GSD DCGS"/>
    <n v="6"/>
    <s v="Hosted"/>
    <s v="Delegation for CIISS"/>
    <m/>
    <m/>
    <m/>
    <m/>
    <m/>
    <m/>
    <m/>
    <m/>
  </r>
  <r>
    <s v="Senior Level Visit"/>
    <s v="Oceania"/>
    <s v="Europe and Central Asia"/>
    <s v="Comprehensive Friendly Cooperative Partnership [全面友好合作伙伴关系]"/>
    <s v="NATO"/>
    <s v="EUCOM"/>
    <s v="Bulgaria"/>
    <x v="22"/>
    <n v="11"/>
    <x v="4"/>
    <s v="Wang Guanzhong"/>
    <m/>
    <s v="GSD DCGS"/>
    <n v="6"/>
    <s v="Abroad"/>
    <m/>
    <m/>
    <m/>
    <m/>
    <m/>
    <m/>
    <m/>
    <m/>
    <m/>
  </r>
  <r>
    <s v="Senior Level Visit"/>
    <s v="Oceania"/>
    <s v="Asia"/>
    <s v="Comprehensive Strategic Cooperative Partnership [全面战略合作伙伴关系]"/>
    <s v="None"/>
    <s v="INDOPACOM"/>
    <s v="Cambodia"/>
    <x v="22"/>
    <n v="11"/>
    <x v="3"/>
    <s v="Chang Wanquan"/>
    <m/>
    <s v="Defense Minister; CMC Member"/>
    <n v="8"/>
    <s v="Hosted"/>
    <s v="Deputy Prime Minister and Concurrent Defense Minister"/>
    <m/>
    <m/>
    <m/>
    <m/>
    <m/>
    <m/>
    <m/>
    <m/>
  </r>
  <r>
    <s v="Senior Level Visit"/>
    <s v="South America"/>
    <s v="America and Oceania"/>
    <s v="No Specific Relationship"/>
    <s v="None"/>
    <s v="SOUTHCOM"/>
    <s v="Cuba"/>
    <x v="22"/>
    <n v="11"/>
    <x v="3"/>
    <s v="Zhao Keshi"/>
    <m/>
    <s v="GLD Director; CMC Member"/>
    <n v="8"/>
    <s v="Hosted"/>
    <s v="Logistics Department Director"/>
    <m/>
    <m/>
    <m/>
    <m/>
    <m/>
    <m/>
    <m/>
    <m/>
  </r>
  <r>
    <s v="Senior Level Visit"/>
    <s v="Oceania"/>
    <s v="America and Oceania"/>
    <s v="No Specific Relationship"/>
    <s v="None"/>
    <s v="INDOPACOM"/>
    <s v="Fiji"/>
    <x v="22"/>
    <n v="11"/>
    <x v="3"/>
    <s v="Chang Wanquan"/>
    <m/>
    <s v="Defense Minister; CMC Member"/>
    <n v="8"/>
    <s v="Hosted"/>
    <s v="Defense Minister"/>
    <m/>
    <m/>
    <m/>
    <m/>
    <m/>
    <m/>
    <m/>
    <m/>
  </r>
  <r>
    <s v="Senior Level Visit"/>
    <s v="Europe"/>
    <s v="Europe and Central Asia"/>
    <s v="Comprehensive Strategic Partnership [全面战略伙伴关系]"/>
    <s v="NATO"/>
    <s v="EUCOM"/>
    <s v="Greece"/>
    <x v="22"/>
    <n v="11"/>
    <x v="3"/>
    <s v="Wu Shengli"/>
    <m/>
    <s v="PLAN Commander; CMC Member"/>
    <n v="8"/>
    <s v="Hosted"/>
    <s v="Navy Chief of Staff"/>
    <m/>
    <m/>
    <m/>
    <m/>
    <m/>
    <m/>
    <m/>
    <m/>
  </r>
  <r>
    <s v="Senior Level Visit"/>
    <s v="Europe"/>
    <s v="Europe and Central Asia"/>
    <s v="No Specific Relationship"/>
    <s v="NATO"/>
    <s v="EUCOM"/>
    <s v="Hungary"/>
    <x v="22"/>
    <n v="11"/>
    <x v="3"/>
    <s v="Xu Qiliang"/>
    <m/>
    <s v="CMC Vice Chairman"/>
    <n v="10"/>
    <s v="Hosted"/>
    <s v="Defense Minister"/>
    <m/>
    <m/>
    <m/>
    <m/>
    <m/>
    <m/>
    <m/>
    <m/>
  </r>
  <r>
    <s v="Military Exercise"/>
    <s v="South Asia"/>
    <s v="Asia"/>
    <s v="Strategic Partnership for Peace and Prosperity [战略伙伴关系]"/>
    <s v="None"/>
    <s v="INDOPACOM"/>
    <s v="India"/>
    <x v="22"/>
    <n v="11"/>
    <x v="5"/>
    <m/>
    <m/>
    <m/>
    <m/>
    <m/>
    <m/>
    <s v="Anti-terrorism"/>
    <s v="Hand-in-Hand 2013"/>
    <s v="Army"/>
    <s v="Anti-terrorism"/>
    <m/>
    <m/>
    <m/>
    <m/>
  </r>
  <r>
    <s v="Military Exercise"/>
    <s v="Southeast Asia"/>
    <s v="Asia"/>
    <s v="Comprehensive Strategic Partnership [全面战略伙伴关系]"/>
    <s v="None"/>
    <s v="INDOPACOM"/>
    <s v="Indonesia"/>
    <x v="22"/>
    <n v="11"/>
    <x v="5"/>
    <m/>
    <m/>
    <m/>
    <m/>
    <m/>
    <m/>
    <s v="Anti-terrorism"/>
    <s v="Sharp Knife 2013"/>
    <s v="Air Force"/>
    <m/>
    <m/>
    <m/>
    <m/>
    <m/>
  </r>
  <r>
    <s v="Senior Level Visit"/>
    <s v="Central Asia"/>
    <s v="Europe and Central Asia"/>
    <s v="Strategic Partnership [战略伙伴关系]"/>
    <s v="None"/>
    <s v="CENTCOM"/>
    <s v="Kyrgyzstan"/>
    <x v="22"/>
    <n v="11"/>
    <x v="3"/>
    <s v="Chang Wanquan"/>
    <m/>
    <s v="Defense Minister; CMC Member"/>
    <n v="8"/>
    <s v="Hosted"/>
    <s v="First Deputy Prime Minister and concurrent COGS"/>
    <m/>
    <m/>
    <m/>
    <m/>
    <m/>
    <m/>
    <m/>
    <m/>
  </r>
  <r>
    <s v="Senior Level Visit"/>
    <s v="Africa"/>
    <s v="West Asia and Africa"/>
    <s v="Friendly Cooperative Relationship [友好合作关系]"/>
    <s v="None"/>
    <s v="AFRICOM"/>
    <s v="Mauritania"/>
    <x v="22"/>
    <n v="11"/>
    <x v="3"/>
    <s v="Fang Fenghui"/>
    <m/>
    <s v="GSD Commander; CMC Member"/>
    <n v="8"/>
    <s v="Hosted"/>
    <s v="COGS"/>
    <m/>
    <m/>
    <m/>
    <m/>
    <m/>
    <m/>
    <m/>
    <m/>
  </r>
  <r>
    <s v="Senior Level Visit"/>
    <s v="Europe"/>
    <s v="Europe and Central Asia"/>
    <s v="No Specific Relationship"/>
    <s v="NATO"/>
    <s v="EUCOM"/>
    <s v="Netherlands"/>
    <x v="22"/>
    <n v="11"/>
    <x v="3"/>
    <s v="Fang Fenghui"/>
    <m/>
    <s v="GSD Commander; CMC Member"/>
    <n v="8"/>
    <s v="Hosted"/>
    <s v="Chief of Defense Forces"/>
    <m/>
    <m/>
    <m/>
    <m/>
    <m/>
    <m/>
    <m/>
    <m/>
  </r>
  <r>
    <s v="Senior Level Visit"/>
    <s v="Oceania"/>
    <s v="America and Oceania"/>
    <s v="No Specific Relationship"/>
    <s v="ANZUS Treaty"/>
    <s v="INDOPACOM"/>
    <s v="New Zealand"/>
    <x v="22"/>
    <n v="11"/>
    <x v="3"/>
    <s v="Zhao Keshi"/>
    <m/>
    <s v="GLD Director; CMC Member"/>
    <n v="8"/>
    <s v="Hosted"/>
    <s v="Defense Minister"/>
    <m/>
    <m/>
    <m/>
    <m/>
    <m/>
    <m/>
    <m/>
    <m/>
  </r>
  <r>
    <s v="Naval Port Call"/>
    <s v="Southeast Asia"/>
    <s v="Asia"/>
    <s v="Strategic Cooperative Partnership [战略合作伙伴关系]"/>
    <s v="Bilateral Defense Treaty"/>
    <s v="INDOPACOM"/>
    <s v="Philippines"/>
    <x v="22"/>
    <n v="11"/>
    <x v="12"/>
    <m/>
    <m/>
    <m/>
    <m/>
    <m/>
    <m/>
    <m/>
    <m/>
    <m/>
    <m/>
    <s v="NETF"/>
    <s v="2013-11  Medical Mission "/>
    <s v="East Sea Fleet"/>
    <s v="post-Haiyan; PLA FR XJP draft p. 26"/>
  </r>
  <r>
    <s v="Senior Level Visit"/>
    <s v="Russia"/>
    <s v="Europe and Central Asia"/>
    <s v="Comprehensive Collaborative Strategic Partnership [全面战略协作伙伴关系]"/>
    <s v="None"/>
    <s v="EUCOM"/>
    <s v="Russia"/>
    <x v="22"/>
    <n v="11"/>
    <x v="3"/>
    <s v="Fang Fenghui"/>
    <m/>
    <s v="GSD Commander; CMC Member"/>
    <n v="8"/>
    <s v="Hosted"/>
    <s v="DCOGS"/>
    <m/>
    <m/>
    <m/>
    <m/>
    <m/>
    <m/>
    <m/>
    <m/>
  </r>
  <r>
    <s v="Naval Port Call"/>
    <s v="Middle East"/>
    <s v="West Asia and Africa"/>
    <s v="No Specific Relationship"/>
    <s v="None"/>
    <s v="CENTCOM"/>
    <s v="Saudi Arabia"/>
    <x v="22"/>
    <n v="11"/>
    <x v="9"/>
    <m/>
    <m/>
    <m/>
    <m/>
    <m/>
    <m/>
    <m/>
    <m/>
    <m/>
    <m/>
    <s v="ETF"/>
    <s v="ETF-15"/>
    <s v="South Sea Fleet"/>
    <s v="LPD999 Jingangshan, FFG572 Hengshui, AOR889 Taihu"/>
  </r>
  <r>
    <s v="Senior Level Visit"/>
    <s v="Northeast Asia"/>
    <s v="Asia"/>
    <s v="Strategic Cooperative Partnership [战略合作伙伴关系]"/>
    <s v="Bilateral Defense Treaty"/>
    <s v="INDOPACOM"/>
    <s v="South Korea"/>
    <x v="22"/>
    <n v="11"/>
    <x v="3"/>
    <s v="Ma Xiaotian"/>
    <m/>
    <s v="PLAAF Commander; CMC Member"/>
    <n v="8"/>
    <s v="Hosted"/>
    <s v="Air Force Chief of Staff"/>
    <m/>
    <m/>
    <m/>
    <m/>
    <m/>
    <m/>
    <m/>
    <m/>
  </r>
  <r>
    <s v="Senior Level Visit"/>
    <s v="South Asia"/>
    <s v="Asia"/>
    <s v="Strategic Cooperative Partnership [战略合作伙伴关系]"/>
    <s v="None"/>
    <s v="INDOPACOM"/>
    <s v="Sri Lanka"/>
    <x v="22"/>
    <n v="11"/>
    <x v="4"/>
    <s v="Wang Guanzhong"/>
    <m/>
    <s v="GSD DCGS"/>
    <n v="6"/>
    <s v="Abroad"/>
    <m/>
    <m/>
    <m/>
    <m/>
    <m/>
    <m/>
    <m/>
    <m/>
    <m/>
  </r>
  <r>
    <s v="Senior Level Visit"/>
    <s v="Southeast Asia"/>
    <s v="Asia"/>
    <s v="Comprehensive Strategic Cooperative Partnership [全面战略合作伙伴关系]"/>
    <s v="Bilateral Defense Treaty"/>
    <s v="INDOPACOM"/>
    <s v="Thailand"/>
    <x v="22"/>
    <n v="11"/>
    <x v="3"/>
    <s v="Ma Xiaotian"/>
    <m/>
    <s v="PLAAF Commander; CMC Member"/>
    <n v="8"/>
    <s v="Hosted"/>
    <s v="Air Force CinC"/>
    <m/>
    <m/>
    <m/>
    <m/>
    <m/>
    <m/>
    <m/>
    <m/>
  </r>
  <r>
    <s v="Senior Level Visit"/>
    <s v="Central Asia"/>
    <s v="Europe and Central Asia"/>
    <s v="Strategic Partnership [战略伙伴关系]"/>
    <s v="None"/>
    <s v="CENTCOM"/>
    <s v="Turkmenistan"/>
    <x v="22"/>
    <n v="11"/>
    <x v="3"/>
    <s v="Fan Changlong"/>
    <m/>
    <s v="CMC Vice Chairman"/>
    <n v="10"/>
    <s v="Hosted"/>
    <s v="Defense Minister"/>
    <m/>
    <m/>
    <m/>
    <m/>
    <m/>
    <m/>
    <m/>
    <m/>
  </r>
  <r>
    <s v="Senior Level Visit"/>
    <s v="North America"/>
    <s v="America and Oceania"/>
    <s v="No Specific Relationship"/>
    <s v="N/A"/>
    <s v="NORTHCOM"/>
    <s v="United States"/>
    <x v="22"/>
    <n v="11"/>
    <x v="4"/>
    <s v="Zhang Shibo"/>
    <m/>
    <s v="Beijing MR Commander"/>
    <n v="6"/>
    <s v="Abroad"/>
    <s v=" "/>
    <m/>
    <m/>
    <m/>
    <m/>
    <m/>
    <m/>
    <m/>
    <m/>
  </r>
  <r>
    <s v="Military Exercise"/>
    <s v="North America"/>
    <s v="America and Oceania"/>
    <s v="No Specific Relationship"/>
    <s v="N/A"/>
    <s v="NORTHCOM"/>
    <s v="United States"/>
    <x v="22"/>
    <n v="11"/>
    <x v="5"/>
    <m/>
    <m/>
    <m/>
    <m/>
    <m/>
    <m/>
    <s v="MOOTW"/>
    <s v="9th Disaster Management Exchange"/>
    <s v="Army"/>
    <s v="Hawaii; first DME with field exercise component"/>
    <m/>
    <m/>
    <m/>
    <m/>
  </r>
  <r>
    <s v="Senior Level Visit"/>
    <s v="Europe"/>
    <s v="Europe and Central Asia"/>
    <s v="No Specific Relationship"/>
    <s v="None"/>
    <s v="EUCOM"/>
    <s v="Armenia"/>
    <x v="22"/>
    <n v="12"/>
    <x v="3"/>
    <s v="Xu Qiliang"/>
    <m/>
    <s v="CMC Vice Chairman"/>
    <n v="10"/>
    <s v="Hosted"/>
    <s v="Minister of National Defense"/>
    <m/>
    <m/>
    <m/>
    <m/>
    <m/>
    <m/>
    <m/>
    <m/>
  </r>
  <r>
    <s v="Senior Level Visit"/>
    <s v="Middle East"/>
    <s v="West Asia and Africa"/>
    <s v="No Specific Relationship"/>
    <s v="None"/>
    <s v="CENTCOM"/>
    <s v="Djibouti"/>
    <x v="22"/>
    <n v="12"/>
    <x v="3"/>
    <s v="Fan Changlong"/>
    <m/>
    <s v="CMC Vice Chairman"/>
    <n v="10"/>
    <s v="Hosted"/>
    <s v="Defense Minister"/>
    <m/>
    <m/>
    <m/>
    <m/>
    <m/>
    <m/>
    <m/>
    <m/>
  </r>
  <r>
    <s v="Senior Level Visit"/>
    <s v="Southeast Asia"/>
    <s v="Asia"/>
    <s v="Comprehensive Strategic Partnership [全面战略伙伴关系]"/>
    <s v="None"/>
    <s v="INDOPACOM"/>
    <s v="Indonesia"/>
    <x v="22"/>
    <n v="12"/>
    <x v="4"/>
    <s v="Chang Wanquan"/>
    <m/>
    <s v="Defense Minister; CMC Member"/>
    <n v="8"/>
    <s v="Abroad"/>
    <s v="Minister of Defense"/>
    <m/>
    <m/>
    <m/>
    <m/>
    <m/>
    <m/>
    <m/>
    <m/>
  </r>
  <r>
    <s v="Senior Level Visit"/>
    <s v="Southeast Asia"/>
    <s v="Asia"/>
    <s v="Comprehensive Strategic Partnership [全面战略伙伴关系]"/>
    <s v="None"/>
    <s v="INDOPACOM"/>
    <s v="Malaysia"/>
    <x v="22"/>
    <n v="12"/>
    <x v="3"/>
    <s v="Chang Wanquan"/>
    <m/>
    <s v="Defense Minister; CMC Member"/>
    <n v="8"/>
    <s v="Hosted"/>
    <s v="Chief of Armed Forces"/>
    <m/>
    <m/>
    <m/>
    <m/>
    <m/>
    <m/>
    <m/>
    <m/>
  </r>
  <r>
    <s v="Senior Level Visit"/>
    <s v="Europe"/>
    <s v="Europe and Central Asia"/>
    <s v="Strategic Partnership [战略伙伴关系]"/>
    <s v="NATO"/>
    <s v="EUCOM"/>
    <s v="Poland"/>
    <x v="22"/>
    <n v="12"/>
    <x v="3"/>
    <s v="Wang Guanzhong"/>
    <m/>
    <s v="GSD DCGS"/>
    <n v="6"/>
    <s v="Hosted"/>
    <s v="Ministry of Defense Secretary of State"/>
    <m/>
    <m/>
    <m/>
    <m/>
    <m/>
    <m/>
    <m/>
    <m/>
  </r>
  <r>
    <s v="Senior Level Visit"/>
    <s v="Europe"/>
    <s v="Europe and Central Asia"/>
    <s v="Comprehensive Strategic Partnership [全面战略伙伴关系]"/>
    <s v="NATO"/>
    <s v="EUCOM"/>
    <s v="Denmark"/>
    <x v="23"/>
    <n v="1"/>
    <x v="3"/>
    <s v="Xu Qiliang"/>
    <m/>
    <s v="CMC Vice Chairman"/>
    <n v="10"/>
    <s v="Hosted"/>
    <s v="Defense Minister"/>
    <m/>
    <m/>
    <m/>
    <m/>
    <m/>
    <m/>
    <m/>
    <m/>
  </r>
  <r>
    <s v="Naval Port Call"/>
    <s v="Africa"/>
    <s v="West Asia and Africa"/>
    <s v="Comprehensive Cooperative Partnership [全面合作伙伴关系]"/>
    <s v="None"/>
    <s v="AFRICOM"/>
    <s v="Kenya"/>
    <x v="23"/>
    <n v="1"/>
    <x v="0"/>
    <m/>
    <m/>
    <m/>
    <m/>
    <m/>
    <m/>
    <m/>
    <m/>
    <m/>
    <m/>
    <s v="ETF"/>
    <s v="ETF-15"/>
    <s v="South Sea Fleet"/>
    <s v="LPD999 Jingangshan, FFG572 Hengshui, AOR889 Taihu"/>
  </r>
  <r>
    <s v="Military Exercise"/>
    <s v="Russia"/>
    <s v="Europe and Central Asia"/>
    <s v="Comprehensive Collaborative Strategic Partnership [全面战略协作伙伴关系]"/>
    <s v="None"/>
    <s v="EUCOM"/>
    <s v="Russia"/>
    <x v="23"/>
    <n v="1"/>
    <x v="5"/>
    <m/>
    <m/>
    <m/>
    <m/>
    <m/>
    <m/>
    <s v="Combat"/>
    <s v="None"/>
    <s v="Navy"/>
    <s v="naval drill in the Mediterranean"/>
    <m/>
    <m/>
    <m/>
    <m/>
  </r>
  <r>
    <s v="Naval Port Call"/>
    <s v="South Asia"/>
    <s v="Asia"/>
    <s v="Strategic Cooperative Partnership [战略合作伙伴关系]"/>
    <s v="None"/>
    <s v="INDOPACOM"/>
    <s v="Sri Lanka"/>
    <x v="23"/>
    <n v="1"/>
    <x v="0"/>
    <m/>
    <m/>
    <m/>
    <m/>
    <m/>
    <m/>
    <m/>
    <m/>
    <m/>
    <m/>
    <s v="ETF"/>
    <s v="ETF-16"/>
    <s v="North Sea Fleet"/>
    <s v="FFG546 Yancheng, FF527 Luoyang, AOR889 Tai Hu"/>
  </r>
  <r>
    <s v="Naval Port Call"/>
    <s v="Africa"/>
    <s v="West Asia and Africa"/>
    <s v="Comprehensive Cooperative Partnership [全面合作伙伴关系]"/>
    <s v="None"/>
    <s v="AFRICOM"/>
    <s v="Tanzania"/>
    <x v="23"/>
    <n v="1"/>
    <x v="0"/>
    <m/>
    <m/>
    <m/>
    <m/>
    <m/>
    <m/>
    <m/>
    <m/>
    <m/>
    <m/>
    <s v="ETF"/>
    <s v="ETF-15"/>
    <s v="South Sea Fleet"/>
    <s v="LPD999 Jingangshan, FFG572 Hengshui, AOR889 Taihu"/>
  </r>
  <r>
    <s v="Senior Level Visit"/>
    <s v="North America"/>
    <s v="America and Oceania"/>
    <s v="No Specific Relationship"/>
    <s v="N/A"/>
    <s v="NORTHCOM"/>
    <s v="United States"/>
    <x v="23"/>
    <n v="1"/>
    <x v="3"/>
    <s v="Wang Guanzhong"/>
    <m/>
    <s v="GSD DCGS"/>
    <n v="6"/>
    <s v="Hosted"/>
    <s v="DEP SECSTATE; PACOM J-5"/>
    <m/>
    <m/>
    <m/>
    <m/>
    <m/>
    <m/>
    <m/>
    <m/>
  </r>
  <r>
    <s v="Senior Level Visit"/>
    <s v="Oceania"/>
    <s v="America and Oceania"/>
    <s v="Strategic Partnership [战略伙伴关系]"/>
    <s v="None"/>
    <s v="INDOPACOM"/>
    <s v="Vanuatu"/>
    <x v="23"/>
    <n v="1"/>
    <x v="4"/>
    <s v="Wang Guanzhong"/>
    <m/>
    <s v="GSD DCGS"/>
    <n v="6"/>
    <s v="Abroad"/>
    <m/>
    <m/>
    <m/>
    <m/>
    <m/>
    <m/>
    <m/>
    <m/>
    <m/>
  </r>
  <r>
    <s v="Senior Level Visit"/>
    <s v="Middle East"/>
    <s v="West Asia and Africa"/>
    <s v="No Specific Relationship"/>
    <s v="None"/>
    <s v="CENTCOM"/>
    <s v="Djibouti"/>
    <x v="23"/>
    <n v="2"/>
    <x v="4"/>
    <s v="Chang Wanquan"/>
    <m/>
    <s v="Defense Minister; CMC Member"/>
    <n v="8"/>
    <s v="Abroad"/>
    <s v="Defense Minister"/>
    <m/>
    <m/>
    <m/>
    <m/>
    <m/>
    <m/>
    <m/>
    <m/>
  </r>
  <r>
    <s v="Naval Port Call"/>
    <s v="Middle East"/>
    <s v="West Asia and Africa"/>
    <s v="No Specific Relationship"/>
    <s v="None"/>
    <s v="CENTCOM"/>
    <s v="Djibouti"/>
    <x v="23"/>
    <n v="2"/>
    <x v="9"/>
    <m/>
    <m/>
    <m/>
    <m/>
    <m/>
    <m/>
    <m/>
    <m/>
    <m/>
    <m/>
    <s v="ETF"/>
    <s v="ETF-16"/>
    <s v="North Sea Fleet"/>
    <s v="FFG546 Yancheng, FF527 Luoyang, AOR889 Tai Hu"/>
  </r>
  <r>
    <s v="Senior Level Visit"/>
    <s v="Southeast Asia"/>
    <s v="Asia"/>
    <s v="Comprehensive Strategic Partnership [全面战略伙伴关系]"/>
    <s v="None"/>
    <s v="INDOPACOM"/>
    <s v="Indonesia"/>
    <x v="23"/>
    <n v="2"/>
    <x v="3"/>
    <s v="Fang Fenghui"/>
    <m/>
    <s v="GSD Commander; CMC Member"/>
    <n v="8"/>
    <s v="Hosted"/>
    <s v="Commander of Armed Forces"/>
    <m/>
    <m/>
    <m/>
    <m/>
    <m/>
    <m/>
    <m/>
    <m/>
  </r>
  <r>
    <s v="Senior Level Visit"/>
    <s v="South Asia"/>
    <s v="Asia"/>
    <s v="Strategic Partnership [战略伙伴关系]"/>
    <s v="Major Non-NATO Ally"/>
    <s v="CENTCOM"/>
    <s v="Pakistan"/>
    <x v="23"/>
    <n v="2"/>
    <x v="4"/>
    <s v="Chang Wanquan"/>
    <m/>
    <s v="Defense Minister; CMC Member"/>
    <n v="8"/>
    <s v="Abroad"/>
    <s v="Defense Minister"/>
    <m/>
    <m/>
    <m/>
    <m/>
    <m/>
    <m/>
    <m/>
    <m/>
  </r>
  <r>
    <s v="Military Exercise"/>
    <s v="Southeast Asia"/>
    <s v="Asia"/>
    <s v="Comprehensive Strategic Cooperative Partnership [全面战略合作伙伴关系]"/>
    <s v="Bilateral Defense Treaty"/>
    <s v="INDOPACOM"/>
    <s v="Thailand"/>
    <x v="23"/>
    <n v="2"/>
    <x v="6"/>
    <m/>
    <m/>
    <m/>
    <m/>
    <m/>
    <m/>
    <s v="MOOTW"/>
    <s v="Cobra Gold 2014"/>
    <s v="Navy"/>
    <s v="Amphibious assault; Navy and Marines; Other countries: United States"/>
    <m/>
    <m/>
    <m/>
    <m/>
  </r>
  <r>
    <s v="Senior Level Visit"/>
    <s v="North America"/>
    <s v="America and Oceania"/>
    <s v="No Specific Relationship"/>
    <s v="N/A"/>
    <s v="NORTHCOM"/>
    <s v="United States"/>
    <x v="23"/>
    <n v="2"/>
    <x v="3"/>
    <s v="Fan Changlong"/>
    <m/>
    <s v="CMC Vice Chairman"/>
    <n v="10"/>
    <s v="Hosted"/>
    <s v="Army Chief of Staff Odierno"/>
    <m/>
    <m/>
    <m/>
    <m/>
    <m/>
    <m/>
    <m/>
    <m/>
  </r>
  <r>
    <s v="Military Exercise"/>
    <s v="Southeast Asia"/>
    <s v="Asia"/>
    <s v="Comprehensive Strategic Partnership [全面战略伙伴关系]"/>
    <s v="None"/>
    <s v="INDOPACOM"/>
    <s v="Indonesia"/>
    <x v="23"/>
    <n v="3"/>
    <x v="6"/>
    <m/>
    <m/>
    <m/>
    <m/>
    <m/>
    <m/>
    <s v="Combat Support"/>
    <s v="Komodo 2014"/>
    <s v="Navy"/>
    <s v="Navy and Marines. Other countries: refer to source for a complete list of countries"/>
    <m/>
    <m/>
    <m/>
    <m/>
  </r>
  <r>
    <s v="Senior Level Visit"/>
    <s v="Middle East"/>
    <s v="West Asia and Africa"/>
    <s v="No Specific Relationship"/>
    <s v="Major Non-NATO Ally"/>
    <s v="CENTCOM"/>
    <s v="Israel"/>
    <x v="23"/>
    <n v="3"/>
    <x v="3"/>
    <s v="Zhao Keshi"/>
    <m/>
    <s v="GLD Director; CMC Member"/>
    <n v="8"/>
    <s v="Hosted"/>
    <s v="Head of Technologies and Logistics Directorate"/>
    <m/>
    <m/>
    <m/>
    <m/>
    <m/>
    <m/>
    <m/>
    <m/>
  </r>
  <r>
    <s v="Senior Level Visit"/>
    <s v="Central Asia"/>
    <s v="Europe and Central Asia"/>
    <s v="Member"/>
    <s v="None"/>
    <s v="CENTCOM"/>
    <s v="SCO"/>
    <x v="23"/>
    <n v="3"/>
    <x v="1"/>
    <s v="Chang Wanquan"/>
    <m/>
    <s v="Defense Minister; CMC Member"/>
    <n v="8"/>
    <s v="Abroad"/>
    <s v="11th official meeting of the SCO Ministers' of Defense in Beijing; Other countries: Kazakhstan, Kyrgyztan, Russia, Tajikistan, Uzbekistan"/>
    <m/>
    <m/>
    <m/>
    <m/>
    <m/>
    <m/>
    <m/>
    <m/>
  </r>
  <r>
    <s v="Senior Level Visit"/>
    <s v="Northeast Asia"/>
    <s v="Asia"/>
    <s v="Strategic Cooperative Partnership [战略合作伙伴关系]"/>
    <s v="Bilateral Defense Treaty"/>
    <s v="INDOPACOM"/>
    <s v="South Korea"/>
    <x v="23"/>
    <n v="3"/>
    <x v="3"/>
    <s v="Wang Guanzhong"/>
    <m/>
    <s v="GSD DCGS"/>
    <n v="6"/>
    <s v="Hosted"/>
    <s v="NDU President"/>
    <m/>
    <m/>
    <m/>
    <m/>
    <m/>
    <m/>
    <m/>
    <m/>
  </r>
  <r>
    <s v="Senior Level Visit"/>
    <s v="Central Asia"/>
    <s v="Europe and Central Asia"/>
    <s v="Strategic Partnership [战略伙伴关系]"/>
    <s v="None"/>
    <s v="CENTCOM"/>
    <s v="Tajikistan"/>
    <x v="23"/>
    <n v="3"/>
    <x v="4"/>
    <s v="Chang Wanquan"/>
    <m/>
    <s v="Defense Minister; CMC Member"/>
    <n v="8"/>
    <s v="Abroad"/>
    <m/>
    <m/>
    <m/>
    <m/>
    <m/>
    <m/>
    <m/>
    <m/>
    <m/>
  </r>
  <r>
    <s v="Military Exercise"/>
    <s v="Southeast Asia"/>
    <s v="Asia"/>
    <s v="Strategic Partnership [战略伙伴关系] for Peace and Prosperity"/>
    <s v="None"/>
    <s v="INDOPACOM"/>
    <s v="ASEAN"/>
    <x v="23"/>
    <n v="4"/>
    <x v="6"/>
    <m/>
    <m/>
    <m/>
    <m/>
    <m/>
    <m/>
    <s v="MOOTW"/>
    <s v="AM -Hex"/>
    <s v="Army"/>
    <s v="HADR; Thailand and 12 other countries"/>
    <m/>
    <m/>
    <m/>
    <m/>
  </r>
  <r>
    <s v="Naval Port Call"/>
    <s v="Oceania"/>
    <s v="America and Oceania"/>
    <s v="Comprehensive Strategic Partnership [全面战略伙伴关系]"/>
    <s v="ANZUS Treaty"/>
    <s v="INDOPACOM"/>
    <s v="Australia"/>
    <x v="23"/>
    <n v="4"/>
    <x v="0"/>
    <m/>
    <m/>
    <m/>
    <m/>
    <m/>
    <m/>
    <m/>
    <m/>
    <m/>
    <m/>
    <s v="NETF"/>
    <s v="2014-04 Zhenghe "/>
    <s v="North Sea Fleet"/>
    <s v="PLA FR XJP draft p. 24"/>
  </r>
  <r>
    <s v="Naval Port Call"/>
    <s v="South Asia"/>
    <s v="Asia"/>
    <s v="Comprehensive Cooperative Partnership [全面合作伙伴关系]"/>
    <s v="None"/>
    <s v="INDOPACOM"/>
    <s v="Bangladesh"/>
    <x v="23"/>
    <n v="4"/>
    <x v="0"/>
    <m/>
    <m/>
    <m/>
    <m/>
    <m/>
    <m/>
    <m/>
    <m/>
    <m/>
    <m/>
    <s v="NETF"/>
    <s v="2014-04 Zhenghe "/>
    <s v="North Sea Fleet"/>
    <s v="PLA FR XJP draft p. 24"/>
  </r>
  <r>
    <s v="Senior Level Visit"/>
    <s v="Europe"/>
    <s v="Europe and Central Asia"/>
    <s v="Comprehensive Strategic Partnership [全面战略伙伴关系]"/>
    <s v="None"/>
    <s v="EUCOM"/>
    <s v="Belarus"/>
    <x v="23"/>
    <n v="4"/>
    <x v="3"/>
    <s v="Xu Qiliang"/>
    <m/>
    <s v="CMC Vice Chairman"/>
    <n v="10"/>
    <s v="Hosted"/>
    <s v="First Deputy Minister of Defense and COGS"/>
    <m/>
    <m/>
    <m/>
    <m/>
    <m/>
    <m/>
    <m/>
    <m/>
  </r>
  <r>
    <s v="Naval Port Call"/>
    <s v="Middle East"/>
    <s v="West Asia and Africa"/>
    <s v="No Specific Relationship"/>
    <s v="None"/>
    <s v="CENTCOM"/>
    <s v="Djibouti"/>
    <x v="23"/>
    <n v="4"/>
    <x v="9"/>
    <m/>
    <m/>
    <m/>
    <m/>
    <m/>
    <m/>
    <m/>
    <m/>
    <m/>
    <m/>
    <s v="ETF"/>
    <s v="ETF-16"/>
    <s v="North Sea Fleet"/>
    <s v="FFG546 Yancheng, FF527 Luoyang, AOR889 Tai Hu"/>
  </r>
  <r>
    <s v="Senior Level Visit"/>
    <s v="Europe"/>
    <s v="Europe and Central Asia"/>
    <s v="Comprehensive Strategic Partnership [全面战略伙伴关系]"/>
    <s v="NATO"/>
    <s v="EUCOM"/>
    <s v="France"/>
    <x v="23"/>
    <n v="4"/>
    <x v="3"/>
    <s v="Ma Xiaotian"/>
    <m/>
    <s v="PLAAF Commander; CMC Member"/>
    <n v="8"/>
    <s v="Hosted"/>
    <s v="Air Force Chief of Staff"/>
    <m/>
    <m/>
    <m/>
    <m/>
    <m/>
    <m/>
    <m/>
    <m/>
  </r>
  <r>
    <s v="Senior Level Visit"/>
    <s v="South Asia"/>
    <s v="Asia"/>
    <s v="Strategic Partnership for Peace and Prosperity [战略伙伴关系]"/>
    <s v="None"/>
    <s v="INDOPACOM"/>
    <s v="India"/>
    <x v="23"/>
    <n v="4"/>
    <x v="4"/>
    <s v="Qi Jianguo"/>
    <m/>
    <s v="GSD DCGS"/>
    <n v="6"/>
    <s v="Abroad"/>
    <m/>
    <m/>
    <m/>
    <m/>
    <m/>
    <m/>
    <m/>
    <m/>
    <m/>
  </r>
  <r>
    <s v="Senior Level Visit"/>
    <s v="Europe"/>
    <s v="Europe and Central Asia"/>
    <s v="Comprehensive Cooperative Partnership [全面合作伙伴关系]"/>
    <s v="NATO"/>
    <s v="EUCOM"/>
    <s v="Netherlands"/>
    <x v="23"/>
    <n v="4"/>
    <x v="3"/>
    <s v="Xu Qiliang"/>
    <m/>
    <s v="CMC Vice Chairman"/>
    <n v="10"/>
    <s v="Hosted"/>
    <s v="Defense Minister"/>
    <m/>
    <m/>
    <m/>
    <m/>
    <m/>
    <m/>
    <m/>
    <m/>
  </r>
  <r>
    <s v="Naval Port Call"/>
    <s v="Oceania"/>
    <s v="America and Oceania"/>
    <s v="Comprehensive Strategic Partnership [全面战略伙伴关系]"/>
    <s v="ANZUS Treaty"/>
    <s v="INDOPACOM"/>
    <s v="New Zealand"/>
    <x v="23"/>
    <n v="4"/>
    <x v="0"/>
    <m/>
    <m/>
    <m/>
    <m/>
    <m/>
    <m/>
    <m/>
    <m/>
    <m/>
    <m/>
    <s v="NETF"/>
    <s v="2014-04 Zhenghe "/>
    <s v="North Sea Fleet"/>
    <s v="PLA FR XJP draft p. 24"/>
  </r>
  <r>
    <s v="Naval Port Call"/>
    <s v="Middle East"/>
    <s v="West Asia and Africa"/>
    <s v="No Specific Relationship"/>
    <s v="None"/>
    <s v="CENTCOM"/>
    <s v="Oman"/>
    <x v="23"/>
    <n v="4"/>
    <x v="9"/>
    <m/>
    <m/>
    <m/>
    <m/>
    <m/>
    <m/>
    <m/>
    <m/>
    <m/>
    <m/>
    <s v="ETF"/>
    <s v="ETF-16"/>
    <s v="North Sea Fleet"/>
    <s v="FFG546 Yancheng, FF527 Luoyang, AOR889 Tai Hu"/>
  </r>
  <r>
    <s v="Military Exercise"/>
    <s v="South Asia"/>
    <s v="Asia"/>
    <s v="Strategic Partnership [战略伙伴关系]"/>
    <s v="Major Non-NATO Ally"/>
    <s v="CENTCOM"/>
    <s v="Pakistan"/>
    <x v="23"/>
    <n v="4"/>
    <x v="5"/>
    <m/>
    <m/>
    <m/>
    <m/>
    <m/>
    <m/>
    <s v="Combat Support"/>
    <s v="Peace Angel 2014"/>
    <s v="Army"/>
    <s v="GLD; Medical and HADR"/>
    <m/>
    <m/>
    <m/>
    <m/>
  </r>
  <r>
    <s v="Senior Level Visit"/>
    <s v="Middle East"/>
    <s v="West Asia and Africa"/>
    <s v="No Specific Relationship"/>
    <s v="None"/>
    <s v="CENTCOM"/>
    <s v="Saudi Arabia"/>
    <x v="23"/>
    <n v="4"/>
    <x v="3"/>
    <s v="Wang Guanzhong"/>
    <m/>
    <s v="GSD DCGS"/>
    <n v="6"/>
    <s v="Hosted"/>
    <s v="Military delegation"/>
    <m/>
    <m/>
    <m/>
    <m/>
    <m/>
    <m/>
    <m/>
    <m/>
  </r>
  <r>
    <s v="Naval Port Call"/>
    <s v="Southeast Asia"/>
    <s v="Asia"/>
    <s v="No Specific Relationship"/>
    <s v="None"/>
    <s v="INDOPACOM"/>
    <s v="Singapore"/>
    <x v="23"/>
    <n v="4"/>
    <x v="0"/>
    <m/>
    <m/>
    <m/>
    <m/>
    <m/>
    <m/>
    <m/>
    <m/>
    <m/>
    <m/>
    <s v="NETF"/>
    <s v="2014-04 Zhenghe "/>
    <s v="North Sea Fleet"/>
    <s v="PLA FR XJP draft p. 24"/>
  </r>
  <r>
    <s v="Senior Level Visit"/>
    <s v="Europe"/>
    <s v="Europe and Central Asia"/>
    <s v="No Specific Relationship"/>
    <s v="None"/>
    <s v="EUCOM"/>
    <s v="Switzerland"/>
    <x v="23"/>
    <n v="4"/>
    <x v="3"/>
    <s v="Sun Jianguo"/>
    <m/>
    <s v="GSD DCGS"/>
    <n v="6"/>
    <s v="Hosted"/>
    <s v="Delegation for CIISS; Geneva Center for Security Policy"/>
    <m/>
    <m/>
    <m/>
    <m/>
    <m/>
    <m/>
    <m/>
    <m/>
  </r>
  <r>
    <s v="Naval Port Call"/>
    <s v="Southeast Asia"/>
    <s v="Asia"/>
    <s v="Comprehensive Strategic Cooperative Partnership [全面战略合作伙伴关系]"/>
    <s v="Bilateral Defense Treaty"/>
    <s v="INDOPACOM"/>
    <s v="Thailand"/>
    <x v="23"/>
    <n v="4"/>
    <x v="0"/>
    <m/>
    <m/>
    <m/>
    <m/>
    <m/>
    <m/>
    <m/>
    <m/>
    <m/>
    <m/>
    <s v="NETF"/>
    <s v="2014-04 Zhenghe "/>
    <s v="North Sea Fleet"/>
    <s v="PLA FR XJP draft p. 24"/>
  </r>
  <r>
    <s v="Senior Level Visit"/>
    <s v="North America"/>
    <s v="America and Oceania"/>
    <s v="No Specific Relationship"/>
    <s v="N/A"/>
    <s v="NORTHCOM"/>
    <s v="United States"/>
    <x v="23"/>
    <n v="4"/>
    <x v="3"/>
    <s v="Chang Wanquan"/>
    <m/>
    <s v="Defense Minister; CMC Member"/>
    <n v="8"/>
    <s v="Hosted"/>
    <s v="Secretary of Defense Hagel"/>
    <m/>
    <m/>
    <m/>
    <m/>
    <m/>
    <m/>
    <m/>
    <m/>
  </r>
  <r>
    <s v="Senior Level Visit"/>
    <s v="North America"/>
    <s v="America and Oceania"/>
    <s v="No Specific Relationship"/>
    <s v="N/A"/>
    <s v="NORTHCOM"/>
    <s v="United States"/>
    <x v="23"/>
    <n v="4"/>
    <x v="7"/>
    <s v="Wu Shengli"/>
    <m/>
    <s v="PLAN Commander; CMC Member"/>
    <n v="8"/>
    <s v="Abroad"/>
    <s v="Chief of Naval Operations"/>
    <m/>
    <m/>
    <m/>
    <m/>
    <m/>
    <m/>
    <m/>
    <s v="2015 CH Mil Power Report"/>
  </r>
  <r>
    <s v="Senior Level Visit"/>
    <s v="Northeast Asia"/>
    <s v="N/A"/>
    <s v="Member"/>
    <s v="None"/>
    <s v="INDOPACOM"/>
    <s v="WPNS"/>
    <x v="23"/>
    <n v="4"/>
    <x v="2"/>
    <s v="Fan Changlong"/>
    <m/>
    <s v="CMC Vice Chairman"/>
    <n v="10"/>
    <s v="Hosted"/>
    <s v="Western Pacific Naval Symposium; meeting approved CUES"/>
    <m/>
    <m/>
    <m/>
    <m/>
    <m/>
    <m/>
    <m/>
    <m/>
  </r>
  <r>
    <s v="Military Exercise"/>
    <s v="Northeast Asia"/>
    <s v="N/A"/>
    <s v="Member"/>
    <s v="None"/>
    <s v="INDOPACOM"/>
    <s v="WPNS"/>
    <x v="23"/>
    <n v="4"/>
    <x v="6"/>
    <m/>
    <m/>
    <m/>
    <m/>
    <m/>
    <m/>
    <s v="Anti-piracy"/>
    <s v="WPNS 2014 Maritime Exercise (MMEx)"/>
    <s v="Navy"/>
    <s v="Maritime; HADR; WPNS 2014 attendees +7; Bangladesh, Brunei, China, India, Indonesia, Malaysia, Pakistan and Singapore; CUES; Joint Anti-Hijacking, Search and Rescue (SAR) and small arms firing."/>
    <m/>
    <m/>
    <m/>
    <m/>
  </r>
  <r>
    <s v="Senior Level Visit"/>
    <s v="Africa"/>
    <s v="West Asia and Africa"/>
    <s v="Strategic Partnership [战略伙伴关系]"/>
    <s v="None"/>
    <s v="AFRICOM"/>
    <s v="Algeria"/>
    <x v="23"/>
    <n v="5"/>
    <x v="4"/>
    <s v="Hou Shusen"/>
    <m/>
    <s v="GSD DCGS"/>
    <n v="6"/>
    <s v="Abroad"/>
    <m/>
    <m/>
    <m/>
    <m/>
    <m/>
    <m/>
    <m/>
    <m/>
    <m/>
  </r>
  <r>
    <s v="Senior Level Visit"/>
    <s v="Southeast Asia"/>
    <s v="Asia"/>
    <s v="Strategic Partnership [战略伙伴关系] for Peace and Prosperity"/>
    <s v="None"/>
    <s v="INDOPACOM"/>
    <s v="ASEAN"/>
    <x v="23"/>
    <n v="5"/>
    <x v="1"/>
    <s v="Chang Wanquan"/>
    <m/>
    <s v="Defense Minister; CMC Member"/>
    <n v="8"/>
    <s v="Abroad"/>
    <s v="Fourth China-ASEAN Defense Ministers' Informal Meeting in Myanmar"/>
    <m/>
    <m/>
    <m/>
    <m/>
    <m/>
    <m/>
    <m/>
    <m/>
  </r>
  <r>
    <s v="Senior Level Visit"/>
    <s v="Oceania"/>
    <s v="America and Oceania"/>
    <s v="Comprehensive Strategic Partnership [全面战略伙伴关系]"/>
    <s v="ANZUS Treaty"/>
    <s v="INDOPACOM"/>
    <s v="Australia"/>
    <x v="23"/>
    <n v="5"/>
    <x v="3"/>
    <s v="Chang Wanquan"/>
    <m/>
    <s v="Defense Minister; CMC Member"/>
    <n v="8"/>
    <s v="Hosted"/>
    <s v="Former Prime Minister"/>
    <m/>
    <m/>
    <m/>
    <m/>
    <m/>
    <m/>
    <m/>
    <m/>
  </r>
  <r>
    <s v="Senior Level Visit"/>
    <s v="South Asia"/>
    <s v="Asia"/>
    <s v="Comprehensive Cooperative Partnership [全面合作伙伴关系]"/>
    <s v="None"/>
    <s v="INDOPACOM"/>
    <s v="Bangladesh"/>
    <x v="23"/>
    <n v="5"/>
    <x v="4"/>
    <s v="Xu Qiliang"/>
    <m/>
    <s v="CMC Vice Chairman"/>
    <n v="10"/>
    <s v="Abroad"/>
    <m/>
    <m/>
    <m/>
    <m/>
    <m/>
    <m/>
    <m/>
    <m/>
    <m/>
  </r>
  <r>
    <s v="Senior Level Visit"/>
    <s v="Europe"/>
    <s v="Europe and Central Asia"/>
    <s v="Comprehensive Strategic Partnership [全面战略伙伴关系]"/>
    <s v="None"/>
    <s v="EUCOM"/>
    <s v="Belarus"/>
    <x v="23"/>
    <n v="5"/>
    <x v="3"/>
    <s v="Chang Wanquan"/>
    <m/>
    <s v="Defense Minister; CMC Member"/>
    <n v="8"/>
    <s v="Hosted"/>
    <s v="Air Force Commander"/>
    <m/>
    <m/>
    <m/>
    <m/>
    <m/>
    <m/>
    <m/>
    <m/>
  </r>
  <r>
    <s v="Senior Level Visit"/>
    <s v="Southeast Asia"/>
    <s v="Asia"/>
    <s v="Comprehensive Strategic Cooperative Partnership [全面战略合作伙伴关系]"/>
    <s v="None"/>
    <s v="INDOPACOM"/>
    <s v="Cambodia"/>
    <x v="23"/>
    <n v="5"/>
    <x v="4"/>
    <s v="Xu Qiliang"/>
    <m/>
    <s v="CMC Vice Chairman"/>
    <n v="10"/>
    <s v="Abroad"/>
    <m/>
    <m/>
    <m/>
    <m/>
    <m/>
    <m/>
    <m/>
    <m/>
    <m/>
  </r>
  <r>
    <s v="Senior Level Visit"/>
    <s v="South America"/>
    <s v="America and Oceania"/>
    <s v="No Specific Relationship"/>
    <s v="None"/>
    <s v="SOUTHCOM"/>
    <s v="Cuba"/>
    <x v="23"/>
    <n v="5"/>
    <x v="4"/>
    <s v="Fang Fenghui"/>
    <m/>
    <s v="GSD Commander; CMC Member"/>
    <n v="8"/>
    <s v="Abroad"/>
    <m/>
    <m/>
    <m/>
    <m/>
    <m/>
    <m/>
    <m/>
    <m/>
    <m/>
  </r>
  <r>
    <s v="Senior Level Visit"/>
    <s v="Europe"/>
    <s v="Europe and Central Asia"/>
    <s v="Comprehensive Strategic Partnership [全面战略伙伴关系]"/>
    <s v="NATO"/>
    <s v="EUCOM"/>
    <s v="Germany"/>
    <x v="23"/>
    <n v="5"/>
    <x v="4"/>
    <s v="Wang Guanzhong"/>
    <m/>
    <s v="GSD DCGS"/>
    <n v="6"/>
    <s v="Abroad"/>
    <m/>
    <m/>
    <m/>
    <m/>
    <m/>
    <m/>
    <m/>
    <m/>
    <m/>
  </r>
  <r>
    <s v="Senior Level Visit"/>
    <s v="Middle East"/>
    <s v="West Asia and Africa"/>
    <s v="No Specific Relationship"/>
    <s v="None"/>
    <s v="CENTCOM"/>
    <s v="Iran"/>
    <x v="23"/>
    <n v="5"/>
    <x v="3"/>
    <s v="Fan Changlong"/>
    <m/>
    <s v="CMC Vice Chairman"/>
    <n v="10"/>
    <s v="Hosted"/>
    <s v="Defense Minister and Minister of Armed Forces Logistics"/>
    <m/>
    <m/>
    <m/>
    <m/>
    <m/>
    <m/>
    <m/>
    <m/>
  </r>
  <r>
    <s v="Naval Port Call"/>
    <s v="Africa"/>
    <s v="West Asia and Africa"/>
    <s v="No Specific Relationship"/>
    <s v="None"/>
    <s v="AFRICOM"/>
    <s v="Ivory Coast"/>
    <x v="23"/>
    <n v="5"/>
    <x v="0"/>
    <m/>
    <m/>
    <m/>
    <m/>
    <m/>
    <m/>
    <m/>
    <m/>
    <m/>
    <m/>
    <s v="ETF"/>
    <s v="ETF-16"/>
    <s v="North Sea Fleet"/>
    <s v="FFG546 Yancheng, FF527 Luoyang, AOR889 Tai Hu"/>
  </r>
  <r>
    <s v="Senior Level Visit"/>
    <s v="Southeast Asia"/>
    <s v="Asia"/>
    <s v="Comprehensive Strategic Cooperative Partnership [全面战略合作伙伴关系]"/>
    <s v="None"/>
    <s v="INDOPACOM"/>
    <s v="Laos"/>
    <x v="23"/>
    <n v="5"/>
    <x v="4"/>
    <s v="Chang Wanquan"/>
    <m/>
    <s v="Defense Minister; CMC Member"/>
    <n v="8"/>
    <s v="Abroad"/>
    <m/>
    <m/>
    <m/>
    <m/>
    <m/>
    <m/>
    <m/>
    <m/>
    <m/>
  </r>
  <r>
    <s v="Senior Level Visit"/>
    <s v="Africa"/>
    <s v="West Asia and Africa"/>
    <s v="No Specific Relationship"/>
    <s v="Major Non-NATO Ally"/>
    <s v="AFRICOM"/>
    <s v="Morocco"/>
    <x v="23"/>
    <n v="5"/>
    <x v="4"/>
    <s v="Hou Shusen"/>
    <m/>
    <s v="GSD DCGS"/>
    <n v="6"/>
    <s v="Abroad"/>
    <m/>
    <m/>
    <m/>
    <m/>
    <m/>
    <m/>
    <m/>
    <m/>
    <m/>
  </r>
  <r>
    <s v="Senior Level Visit"/>
    <s v="Southeast Asia"/>
    <s v="Asia"/>
    <s v="Comprehensive Strategic Cooperative Partnership [全面战略合作伙伴关系]"/>
    <s v="None"/>
    <s v="INDOPACOM"/>
    <s v="Myanmar"/>
    <x v="23"/>
    <n v="5"/>
    <x v="3"/>
    <s v="Ma Xiaotian"/>
    <m/>
    <s v="PLAAF Commander; CMC Member"/>
    <n v="8"/>
    <s v="Hosted"/>
    <s v="Air Force Commander"/>
    <m/>
    <m/>
    <m/>
    <m/>
    <m/>
    <m/>
    <m/>
    <m/>
  </r>
  <r>
    <s v="Military Exercise"/>
    <s v="Africa"/>
    <s v="West Asia and Africa"/>
    <s v="Strategic Partnership [战略伙伴关系]"/>
    <s v="None"/>
    <s v="AFRICOM"/>
    <s v="Nigeria"/>
    <x v="23"/>
    <n v="5"/>
    <x v="5"/>
    <m/>
    <m/>
    <m/>
    <m/>
    <m/>
    <m/>
    <s v="Anti-piracy"/>
    <s v="None"/>
    <s v="Navy"/>
    <s v="anti-piracy drill"/>
    <m/>
    <m/>
    <m/>
    <m/>
  </r>
  <r>
    <s v="Naval Port Call"/>
    <s v="Africa"/>
    <s v="West Asia and Africa"/>
    <s v="Strategic Partnership [战略伙伴关系]"/>
    <s v="None"/>
    <s v="AFRICOM"/>
    <s v="Nigeria"/>
    <x v="23"/>
    <n v="5"/>
    <x v="0"/>
    <m/>
    <m/>
    <m/>
    <m/>
    <m/>
    <m/>
    <m/>
    <m/>
    <m/>
    <m/>
    <s v="ETF"/>
    <s v="ETF-16"/>
    <s v="North Sea Fleet"/>
    <s v="FFG546 Yancheng, FF527 Luoyang, AOR889 Tai Hu"/>
  </r>
  <r>
    <s v="Naval Port Call"/>
    <s v="Middle East"/>
    <s v="West Asia and Africa"/>
    <s v="No Specific Relationship"/>
    <s v="None"/>
    <s v="CENTCOM"/>
    <s v="Oman"/>
    <x v="23"/>
    <n v="5"/>
    <x v="9"/>
    <m/>
    <m/>
    <m/>
    <m/>
    <m/>
    <m/>
    <m/>
    <m/>
    <m/>
    <m/>
    <s v="ETF"/>
    <s v="ETF-16 "/>
    <s v="North Sea Fleet"/>
    <s v="FFG546 Yancheng, FF527 Luoyang, AOR889 Tai Hu; unknown, could also be ETF-17"/>
  </r>
  <r>
    <s v="Military Exercise"/>
    <s v="South Asia"/>
    <s v="Asia"/>
    <s v="Strategic Partnership [战略伙伴关系]"/>
    <s v="Major Non-NATO Ally"/>
    <s v="CENTCOM"/>
    <s v="Pakistan"/>
    <x v="23"/>
    <n v="5"/>
    <x v="5"/>
    <m/>
    <m/>
    <m/>
    <m/>
    <m/>
    <m/>
    <s v="Combat"/>
    <s v="Shaheen-3"/>
    <s v="Air Force"/>
    <s v="Operational aerial maneuvers"/>
    <m/>
    <m/>
    <m/>
    <m/>
  </r>
  <r>
    <s v="Senior Level Visit"/>
    <s v="Russia"/>
    <s v="Europe and Central Asia"/>
    <s v="Comprehensive Collaborative Strategic Partnership [全面战略协作伙伴关系]"/>
    <s v="None"/>
    <s v="EUCOM"/>
    <s v="Russia"/>
    <x v="23"/>
    <n v="5"/>
    <x v="3"/>
    <s v="Wu Shengli"/>
    <m/>
    <s v="PLAN Commander; CMC Member"/>
    <n v="8"/>
    <s v="Hosted"/>
    <s v="Navy Commander"/>
    <m/>
    <m/>
    <m/>
    <m/>
    <m/>
    <m/>
    <m/>
    <m/>
  </r>
  <r>
    <s v="Military Exercise"/>
    <s v="Russia"/>
    <s v="Europe and Central Asia"/>
    <s v="Comprehensive Collaborative Strategic Partnership [全面战略协作伙伴关系]"/>
    <s v="None"/>
    <s v="EUCOM"/>
    <s v="Russia"/>
    <x v="23"/>
    <n v="5"/>
    <x v="5"/>
    <m/>
    <m/>
    <m/>
    <m/>
    <m/>
    <m/>
    <s v="Combat"/>
    <s v="Maritime Cooperation 2014 (AKA Joint Sea 2014)"/>
    <s v="Navy"/>
    <s v="Maritime; HADR; live-fire drills.  May 20 to 26"/>
    <m/>
    <m/>
    <m/>
    <m/>
  </r>
  <r>
    <s v="Naval Port Call"/>
    <s v="Africa"/>
    <s v="West Asia and Africa"/>
    <s v="No Specific Relationship"/>
    <s v="None"/>
    <s v="AFRICOM"/>
    <s v="Senegal"/>
    <x v="23"/>
    <n v="5"/>
    <x v="0"/>
    <m/>
    <m/>
    <m/>
    <m/>
    <m/>
    <m/>
    <m/>
    <m/>
    <m/>
    <m/>
    <s v="ETF"/>
    <s v="ETF-16"/>
    <s v="North Sea Fleet"/>
    <s v="FFG546 Yancheng, FF527 Luoyang, AOR889 Tai Hu"/>
  </r>
  <r>
    <s v="Senior Level Visit"/>
    <s v="South Asia"/>
    <s v="Asia"/>
    <s v="Strategic Cooperative Partnership [战略合作伙伴关系]"/>
    <s v="None"/>
    <s v="INDOPACOM"/>
    <s v="Sri Lanka"/>
    <x v="23"/>
    <n v="5"/>
    <x v="4"/>
    <s v="Xu Qiliang"/>
    <m/>
    <s v="CMC Vice Chairman"/>
    <n v="10"/>
    <s v="Abroad"/>
    <m/>
    <m/>
    <m/>
    <m/>
    <m/>
    <m/>
    <m/>
    <m/>
    <m/>
  </r>
  <r>
    <s v="Senior Level Visit"/>
    <s v="Southeast Asia"/>
    <s v="Asia"/>
    <s v="Comprehensive Strategic Cooperative Partnership [全面战略合作伙伴关系]"/>
    <s v="Bilateral Defense Treaty"/>
    <s v="INDOPACOM"/>
    <s v="Thailand"/>
    <x v="23"/>
    <n v="5"/>
    <x v="3"/>
    <s v="Wang Guanzhong"/>
    <m/>
    <s v="GSD DCGS"/>
    <n v="6"/>
    <s v="Hosted"/>
    <s v="Chief of Joint Staff"/>
    <m/>
    <m/>
    <m/>
    <m/>
    <m/>
    <m/>
    <m/>
    <m/>
  </r>
  <r>
    <s v="Naval Port Call"/>
    <s v="Africa"/>
    <s v="West Asia and Africa"/>
    <s v="No Specific Relationship"/>
    <s v="Major Non-NATO Ally"/>
    <s v="AFRICOM"/>
    <s v="Tunisia"/>
    <x v="23"/>
    <n v="5"/>
    <x v="0"/>
    <m/>
    <m/>
    <m/>
    <m/>
    <m/>
    <m/>
    <m/>
    <m/>
    <m/>
    <m/>
    <s v="ETF"/>
    <s v="ETF-16"/>
    <s v="North Sea Fleet"/>
    <s v="FFG546 Yancheng, FF527 Luoyang, AOR889 Tai Hu"/>
  </r>
  <r>
    <s v="Senior Level Visit"/>
    <s v="North America"/>
    <s v="America and Oceania"/>
    <s v="No Specific Relationship"/>
    <s v="N/A"/>
    <s v="NORTHCOM"/>
    <s v="United States"/>
    <x v="23"/>
    <n v="5"/>
    <x v="4"/>
    <s v="Fang Fenghui"/>
    <m/>
    <s v="GSD Commander; CMC Member"/>
    <n v="8"/>
    <s v="Abroad"/>
    <s v="CJCS Dempsey"/>
    <m/>
    <m/>
    <m/>
    <m/>
    <m/>
    <m/>
    <m/>
    <m/>
  </r>
  <r>
    <s v="Senior Level Visit"/>
    <s v="Southeast Asia"/>
    <s v="Asia"/>
    <s v="Comprehensive Strategic Cooperative Partnership [全面战略合作伙伴关系]"/>
    <s v="None"/>
    <s v="INDOPACOM"/>
    <s v="Vietnam"/>
    <x v="23"/>
    <n v="5"/>
    <x v="4"/>
    <s v="Chang Wanquan"/>
    <m/>
    <s v="Defense Minister; CMC Member"/>
    <n v="8"/>
    <s v="Abroad"/>
    <m/>
    <m/>
    <m/>
    <m/>
    <m/>
    <m/>
    <m/>
    <m/>
    <m/>
  </r>
  <r>
    <s v="Naval Port Call"/>
    <s v="Africa"/>
    <s v="West Asia and Africa"/>
    <s v="Strategic Partnership [战略伙伴关系]"/>
    <s v="None"/>
    <s v="AFRICOM"/>
    <s v="Algeria"/>
    <x v="23"/>
    <n v="6"/>
    <x v="0"/>
    <m/>
    <m/>
    <m/>
    <m/>
    <m/>
    <m/>
    <m/>
    <m/>
    <m/>
    <m/>
    <s v="ETF"/>
    <s v="ETF-16"/>
    <s v="North Sea Fleet"/>
    <s v="FFG546 Yancheng, FF527 Luoyang, AOR889 Tai Hu"/>
  </r>
  <r>
    <s v="Naval Port Call"/>
    <s v="Africa"/>
    <s v="West Asia and Africa"/>
    <s v="Strategic Partnership [战略伙伴关系]"/>
    <s v="None"/>
    <s v="AFRICOM"/>
    <s v="Angola"/>
    <x v="23"/>
    <n v="6"/>
    <x v="0"/>
    <m/>
    <m/>
    <m/>
    <m/>
    <m/>
    <m/>
    <m/>
    <m/>
    <m/>
    <m/>
    <s v="ETF"/>
    <s v="ETF-16"/>
    <s v="North Sea Fleet"/>
    <s v="FFG546 Yancheng, FF527 Luoyang, AOR889 Tai Hu"/>
  </r>
  <r>
    <s v="Senior Level Visit"/>
    <s v="Oceania"/>
    <s v="America and Oceania"/>
    <s v="Comprehensive Strategic Partnership [全面战略伙伴关系]"/>
    <s v="ANZUS Treaty"/>
    <s v="INDOPACOM"/>
    <s v="Australia"/>
    <x v="23"/>
    <n v="6"/>
    <x v="3"/>
    <s v="Xu Qiliang"/>
    <m/>
    <s v="CMC Vice Chairman"/>
    <n v="10"/>
    <s v="Hosted"/>
    <s v="Air Force Chief"/>
    <m/>
    <m/>
    <m/>
    <m/>
    <m/>
    <m/>
    <m/>
    <m/>
  </r>
  <r>
    <s v="Senior Level Visit"/>
    <s v="Southeast Asia"/>
    <s v="Asia"/>
    <s v="No Specific Relationship"/>
    <s v="None"/>
    <s v="INDOPACOM"/>
    <s v="Brunei"/>
    <x v="23"/>
    <n v="6"/>
    <x v="4"/>
    <s v="Chang Wanquan"/>
    <m/>
    <s v="Defense Minister; CMC Member"/>
    <n v="8"/>
    <s v="Abroad"/>
    <m/>
    <m/>
    <m/>
    <m/>
    <m/>
    <m/>
    <m/>
    <m/>
    <m/>
  </r>
  <r>
    <s v="Military Exercise"/>
    <s v="Africa"/>
    <s v="West Asia and Africa"/>
    <s v="Friendly Cooperative Relationship [友好合作关系]"/>
    <s v="None"/>
    <s v="AFRICOM"/>
    <s v="Cameroon"/>
    <x v="23"/>
    <n v="6"/>
    <x v="5"/>
    <m/>
    <m/>
    <m/>
    <m/>
    <m/>
    <m/>
    <s v="Anti-piracy"/>
    <s v="None"/>
    <s v="Navy"/>
    <s v="anti-piracy drill"/>
    <m/>
    <m/>
    <m/>
    <m/>
  </r>
  <r>
    <s v="Naval Port Call"/>
    <s v="Africa"/>
    <s v="West Asia and Africa"/>
    <s v="Friendly Cooperative Relationship [友好合作关系]"/>
    <s v="None"/>
    <s v="AFRICOM"/>
    <s v="Cameroon"/>
    <x v="23"/>
    <n v="6"/>
    <x v="0"/>
    <m/>
    <m/>
    <m/>
    <m/>
    <m/>
    <m/>
    <m/>
    <m/>
    <m/>
    <m/>
    <s v="ETF"/>
    <s v="ETF-16"/>
    <s v="North Sea Fleet"/>
    <s v="FFG546 Yancheng, FF527 Luoyang, AOR889 Tai Hu"/>
  </r>
  <r>
    <s v="Senior Level Visit"/>
    <s v="Africa"/>
    <s v="West Asia and Africa"/>
    <s v="Comprehensive Strategic Partnership [全面战略伙伴关系]"/>
    <s v="None"/>
    <s v="AFRICOM"/>
    <s v="DR Congo"/>
    <x v="23"/>
    <n v="6"/>
    <x v="3"/>
    <s v="Xu Qiliang"/>
    <m/>
    <s v="CMC Vice Chairman"/>
    <n v="10"/>
    <s v="Hosted"/>
    <s v="Deputy Prime Minister and Concurrent Defense Minister"/>
    <m/>
    <m/>
    <m/>
    <m/>
    <m/>
    <m/>
    <m/>
    <m/>
  </r>
  <r>
    <s v="Senior Level Visit"/>
    <s v="Southeast Asia"/>
    <s v="Asia"/>
    <s v="No Specific Relationship"/>
    <s v="None"/>
    <s v="INDOPACOM"/>
    <s v="IISS"/>
    <x v="23"/>
    <n v="6"/>
    <x v="1"/>
    <s v="Wang Guanzhong"/>
    <m/>
    <s v="GSD DCGS"/>
    <n v="6"/>
    <s v="Abroad"/>
    <s v="13th Shangri-La Dialogue"/>
    <m/>
    <m/>
    <m/>
    <m/>
    <m/>
    <m/>
    <m/>
    <m/>
  </r>
  <r>
    <s v="Military Exercise"/>
    <s v="Southeast Asia"/>
    <s v="Asia"/>
    <s v="Comprehensive Strategic Partnership [全面战略伙伴关系]"/>
    <s v="None"/>
    <s v="INDOPACOM"/>
    <s v="Indonesia"/>
    <x v="23"/>
    <n v="6"/>
    <x v="5"/>
    <m/>
    <m/>
    <m/>
    <m/>
    <m/>
    <m/>
    <s v="MOOTW"/>
    <s v="None"/>
    <s v="Navy"/>
    <s v="CUES drill with Indonesian patrol boat; communications exercise only"/>
    <m/>
    <m/>
    <m/>
    <m/>
  </r>
  <r>
    <s v="Senior Level Visit"/>
    <s v="Northeast Asia"/>
    <s v="Asia"/>
    <s v="Mutually Beneficial Strategic Relationship [战略互惠关系]"/>
    <s v="Bilateral Defense Treaty"/>
    <s v="INDOPACOM"/>
    <s v="Japan"/>
    <x v="23"/>
    <n v="6"/>
    <x v="3"/>
    <s v="Zhang Yang"/>
    <m/>
    <s v="GPD Director; CMC Member"/>
    <n v="8"/>
    <s v="Hosted"/>
    <s v="Japan-China Political and Economic Forum "/>
    <m/>
    <m/>
    <m/>
    <m/>
    <m/>
    <m/>
    <m/>
    <m/>
  </r>
  <r>
    <s v="Senior Level Visit"/>
    <s v="Southeast Asia"/>
    <s v="Asia"/>
    <s v="Comprehensive Strategic Cooperative Partnership [全面战略合作伙伴关系]"/>
    <s v="None"/>
    <s v="INDOPACOM"/>
    <s v="Myanmar"/>
    <x v="23"/>
    <n v="6"/>
    <x v="7"/>
    <s v="Wang Guanzhong"/>
    <m/>
    <s v="GSD DCGS"/>
    <n v="6"/>
    <s v="Abroad"/>
    <m/>
    <m/>
    <m/>
    <m/>
    <m/>
    <m/>
    <m/>
    <m/>
    <m/>
  </r>
  <r>
    <s v="Naval Port Call"/>
    <s v="Africa"/>
    <s v="West Asia and Africa"/>
    <s v="No Specific Relationship"/>
    <s v="None"/>
    <s v="AFRICOM"/>
    <s v="Namibia"/>
    <x v="23"/>
    <n v="6"/>
    <x v="0"/>
    <m/>
    <m/>
    <m/>
    <m/>
    <m/>
    <m/>
    <m/>
    <m/>
    <m/>
    <m/>
    <s v="ETF"/>
    <s v="ETF-16"/>
    <s v="North Sea Fleet"/>
    <s v="FFG546 Yancheng, FF527 Luoyang, AOR889 Tai Hu"/>
  </r>
  <r>
    <s v="Military Exercise"/>
    <s v="Africa"/>
    <s v="West Asia and Africa"/>
    <s v="No Specific Relationship"/>
    <s v="None"/>
    <s v="AFRICOM"/>
    <s v="Namibia"/>
    <x v="23"/>
    <n v="6"/>
    <x v="5"/>
    <m/>
    <m/>
    <m/>
    <m/>
    <m/>
    <m/>
    <s v="MOOTW"/>
    <s v="None"/>
    <s v="Navy"/>
    <s v="communication and fleet formation"/>
    <m/>
    <m/>
    <m/>
    <m/>
  </r>
  <r>
    <s v="Senior Level Visit"/>
    <s v="South Asia"/>
    <s v="Asia"/>
    <s v="Strategic Partnership [战略伙伴关系]"/>
    <s v="Major Non-NATO Ally"/>
    <s v="CENTCOM"/>
    <s v="Pakistan"/>
    <x v="23"/>
    <n v="6"/>
    <x v="3"/>
    <s v="Fan Changlong"/>
    <m/>
    <s v="CMC Vice Chairman"/>
    <n v="10"/>
    <s v="Hosted"/>
    <s v="Chief of Army Staff"/>
    <m/>
    <m/>
    <m/>
    <m/>
    <m/>
    <m/>
    <m/>
    <m/>
  </r>
  <r>
    <s v="Senior Level Visit"/>
    <s v="Russia"/>
    <s v="Europe and Central Asia"/>
    <s v="Comprehensive Collaborative Strategic Partnership [全面战略协作伙伴关系]"/>
    <s v="None"/>
    <s v="EUCOM"/>
    <s v="Russia"/>
    <x v="23"/>
    <n v="6"/>
    <x v="4"/>
    <s v="Zhang Youxia"/>
    <m/>
    <s v="GAD Director; CMC Member"/>
    <n v="8"/>
    <s v="Abroad"/>
    <m/>
    <m/>
    <m/>
    <m/>
    <m/>
    <m/>
    <m/>
    <m/>
    <m/>
  </r>
  <r>
    <s v="Senior Level Visit"/>
    <s v="Southeast Asia"/>
    <s v="Asia"/>
    <s v="No Specific Relationship"/>
    <s v="None"/>
    <s v="INDOPACOM"/>
    <s v="Singapore"/>
    <x v="23"/>
    <n v="6"/>
    <x v="4"/>
    <s v="Wang Guanzhong"/>
    <m/>
    <s v="GSD DCGS"/>
    <n v="6"/>
    <s v="Abroad"/>
    <m/>
    <m/>
    <m/>
    <m/>
    <m/>
    <m/>
    <m/>
    <m/>
    <m/>
  </r>
  <r>
    <s v="Naval Port Call"/>
    <s v="Africa"/>
    <s v="West Asia and Africa"/>
    <s v="Comprehensive Strategic Partnership [全面战略伙伴关系]"/>
    <s v="None"/>
    <s v="AFRICOM"/>
    <s v="South Africa"/>
    <x v="23"/>
    <n v="6"/>
    <x v="0"/>
    <m/>
    <m/>
    <m/>
    <m/>
    <m/>
    <m/>
    <m/>
    <m/>
    <m/>
    <m/>
    <s v="ETF"/>
    <s v="ETF-16"/>
    <s v="North Sea Fleet"/>
    <s v="FFG546 Yancheng, FF527 Luoyang, AOR889 Tai Hu"/>
  </r>
  <r>
    <s v="Senior Level Visit"/>
    <s v="Northeast Asia"/>
    <s v="Asia"/>
    <s v="Strategic Cooperative Partnership [战略合作伙伴关系]"/>
    <s v="Bilateral Defense Treaty"/>
    <s v="INDOPACOM"/>
    <s v="South Korea"/>
    <x v="23"/>
    <n v="6"/>
    <x v="3"/>
    <s v="Sun Jianguo"/>
    <m/>
    <s v="GSD DCGS"/>
    <n v="6"/>
    <s v="Hosted"/>
    <s v="Delegation for CIISS; Retired Generals and Admirals Association"/>
    <m/>
    <m/>
    <m/>
    <m/>
    <m/>
    <m/>
    <m/>
    <m/>
  </r>
  <r>
    <s v="Senior Level Visit"/>
    <s v="Southeast Asia"/>
    <s v="Asia"/>
    <s v="Comprehensive Strategic Cooperative Partnership [全面战略合作伙伴关系]"/>
    <s v="Bilateral Defense Treaty"/>
    <s v="INDOPACOM"/>
    <s v="Thailand"/>
    <x v="23"/>
    <n v="6"/>
    <x v="3"/>
    <s v="Wang Guanzhong"/>
    <m/>
    <s v="GSD DCGS"/>
    <n v="6"/>
    <s v="Hosted"/>
    <m/>
    <m/>
    <m/>
    <m/>
    <m/>
    <m/>
    <m/>
    <m/>
    <m/>
  </r>
  <r>
    <s v="Senior Level Visit"/>
    <s v="Oceania"/>
    <s v="America and Oceania"/>
    <s v="Comprehensive Strategic Partnership [全面战略伙伴关系]"/>
    <s v="ANZUS Treaty"/>
    <s v="INDOPACOM"/>
    <s v="Australia"/>
    <x v="23"/>
    <n v="7"/>
    <x v="4"/>
    <s v="Fan Changlong"/>
    <m/>
    <s v="CMC Vice Chairman"/>
    <n v="10"/>
    <s v="Abroad"/>
    <m/>
    <m/>
    <m/>
    <m/>
    <m/>
    <m/>
    <m/>
    <m/>
    <m/>
  </r>
  <r>
    <s v="Senior Level Visit"/>
    <s v="South America"/>
    <s v="America and Oceania"/>
    <s v="Comprehensive Cooperative Partnership [全面合作伙伴关系]"/>
    <s v="None"/>
    <s v="SOUTHCOM"/>
    <s v="CELAC"/>
    <x v="23"/>
    <n v="7"/>
    <x v="2"/>
    <s v="Wang Guanzhong"/>
    <m/>
    <s v="GSD DCGS"/>
    <n v="6"/>
    <s v="Hosted"/>
    <s v="Second China-Latin America Defense Forum"/>
    <m/>
    <m/>
    <m/>
    <m/>
    <m/>
    <m/>
    <m/>
    <m/>
  </r>
  <r>
    <s v="Naval Port Call"/>
    <s v="Middle East"/>
    <s v="West Asia and Africa"/>
    <s v="No Specific Relationship"/>
    <s v="None"/>
    <s v="CENTCOM"/>
    <s v="Djibouti"/>
    <x v="23"/>
    <n v="7"/>
    <x v="9"/>
    <m/>
    <m/>
    <m/>
    <m/>
    <m/>
    <m/>
    <m/>
    <m/>
    <m/>
    <m/>
    <s v="ETF"/>
    <s v="ETF-16 "/>
    <s v="North Sea Fleet"/>
    <s v="FFG546 Yancheng, FF527 Luoyang, AOR889 Tai Hu; unknown, could also be ETF-17"/>
  </r>
  <r>
    <s v="Military Exercise"/>
    <s v="Europe"/>
    <s v="Europe and Central Asia"/>
    <s v="Comprehensive Cooperative Partnership [全面合作伙伴关系]"/>
    <s v="None"/>
    <s v="EUCOM"/>
    <s v="European Union"/>
    <x v="23"/>
    <n v="7"/>
    <x v="6"/>
    <m/>
    <m/>
    <m/>
    <m/>
    <m/>
    <m/>
    <s v="Anti-piracy"/>
    <s v="Venus No. 2"/>
    <s v="Navy"/>
    <s v="anti-piracy drill with EU CTF 465"/>
    <m/>
    <m/>
    <m/>
    <m/>
  </r>
  <r>
    <s v="Naval Port Call"/>
    <s v="Oceania"/>
    <s v="America and Oceania"/>
    <s v="Strategic Partnership [战略伙伴关系]"/>
    <s v="None"/>
    <s v="INDOPACOM"/>
    <s v="Fiji"/>
    <x v="23"/>
    <n v="7"/>
    <x v="12"/>
    <m/>
    <m/>
    <m/>
    <m/>
    <m/>
    <m/>
    <m/>
    <m/>
    <m/>
    <m/>
    <s v="NETF"/>
    <s v="2014-07 Harmonious Mission "/>
    <s v="East Sea Fleet"/>
    <s v="post-RIMPAC 2014; PLA FR XJP draft p. 26"/>
  </r>
  <r>
    <s v="Senior Level Visit"/>
    <s v="Southeast Asia"/>
    <s v="Asia"/>
    <s v="Comprehensive Strategic Partnership [全面战略伙伴关系]"/>
    <s v="None"/>
    <s v="INDOPACOM"/>
    <s v="Indonesia"/>
    <x v="23"/>
    <n v="7"/>
    <x v="4"/>
    <s v="Fan Changlong"/>
    <m/>
    <s v="CMC Vice Chairman"/>
    <n v="10"/>
    <s v="Abroad"/>
    <m/>
    <m/>
    <m/>
    <m/>
    <m/>
    <m/>
    <m/>
    <m/>
    <m/>
  </r>
  <r>
    <s v="Senior Level Visit"/>
    <s v="Europe"/>
    <s v="Europe and Central Asia"/>
    <s v="Comprehensive Strategic Partnership [全面战略伙伴关系]"/>
    <s v="NATO"/>
    <s v="EUCOM"/>
    <s v="Italy"/>
    <x v="23"/>
    <n v="7"/>
    <x v="3"/>
    <s v="Xu Qiliang"/>
    <m/>
    <s v="CMC Vice Chairman"/>
    <n v="10"/>
    <s v="Hosted"/>
    <s v="Secretary General of Defense and Director of Armaments"/>
    <m/>
    <m/>
    <m/>
    <m/>
    <m/>
    <m/>
    <m/>
    <m/>
  </r>
  <r>
    <s v="Senior Level Visit"/>
    <s v="Europe"/>
    <s v="Europe and Central Asia"/>
    <s v="Comprehensive Cooperative Partnership [全面合作伙伴关系]"/>
    <s v="NATO"/>
    <s v="EUCOM"/>
    <s v="Netherlands"/>
    <x v="23"/>
    <n v="7"/>
    <x v="4"/>
    <s v="Hou Shusen"/>
    <m/>
    <s v="GSD DCGS"/>
    <n v="6"/>
    <s v="Abroad"/>
    <m/>
    <m/>
    <m/>
    <m/>
    <m/>
    <m/>
    <m/>
    <m/>
    <m/>
  </r>
  <r>
    <s v="Naval Port Call"/>
    <s v="Southeast Asia"/>
    <s v="America and Oceania"/>
    <s v="Strategic Partnership [战略伙伴关系]"/>
    <s v="None"/>
    <s v="INDOPACOM"/>
    <s v="Papua New Guinea"/>
    <x v="23"/>
    <n v="7"/>
    <x v="12"/>
    <m/>
    <m/>
    <m/>
    <m/>
    <m/>
    <m/>
    <m/>
    <m/>
    <m/>
    <m/>
    <s v="NETF"/>
    <s v="2014-07 Harmonious Mission "/>
    <s v="East Sea Fleet"/>
    <s v="post-RIMPAC 2014; PLA FR XJP draft p. 26"/>
  </r>
  <r>
    <s v="Senior Level Visit"/>
    <s v="Europe"/>
    <s v="Europe and Central Asia"/>
    <s v="Comprehensive Strategic Partnership [全面战略伙伴关系]"/>
    <s v="NATO"/>
    <s v="EUCOM"/>
    <s v="Portugal"/>
    <x v="23"/>
    <n v="7"/>
    <x v="4"/>
    <s v="Zhang Yang"/>
    <m/>
    <s v="GPD Director; CMC Member"/>
    <n v="8"/>
    <s v="Abroad"/>
    <m/>
    <m/>
    <m/>
    <m/>
    <m/>
    <m/>
    <m/>
    <m/>
    <m/>
  </r>
  <r>
    <s v="Senior Level Visit"/>
    <s v="Europe"/>
    <s v="Europe and Central Asia"/>
    <s v="Comprehensive Friendly Cooperative Partnership [全面友好合作伙伴关系]"/>
    <s v="NATO"/>
    <s v="EUCOM"/>
    <s v="Romania"/>
    <x v="23"/>
    <n v="7"/>
    <x v="4"/>
    <s v="Hou Shusen"/>
    <m/>
    <s v="GSD DCGS"/>
    <n v="6"/>
    <s v="Abroad"/>
    <m/>
    <m/>
    <m/>
    <m/>
    <m/>
    <m/>
    <m/>
    <m/>
    <m/>
  </r>
  <r>
    <s v="Military Exercise"/>
    <s v="Russia"/>
    <s v="Europe and Central Asia"/>
    <s v="Comprehensive Collaborative Strategic Partnership [全面战略协作伙伴关系]"/>
    <s v="None"/>
    <s v="EUCOM"/>
    <s v="Russia"/>
    <x v="23"/>
    <n v="7"/>
    <x v="6"/>
    <m/>
    <m/>
    <m/>
    <m/>
    <m/>
    <m/>
    <s v="Competition"/>
    <s v="Aviadarts 2014"/>
    <s v="Air Force"/>
    <s v="Competition. Other countries: Belarus "/>
    <m/>
    <m/>
    <m/>
    <m/>
  </r>
  <r>
    <s v="Senior Level Visit"/>
    <s v="Africa"/>
    <s v="West Asia and Africa"/>
    <s v="Comprehensive Strategic Partnership [全面战略伙伴关系]"/>
    <s v="None"/>
    <s v="AFRICOM"/>
    <s v="South Africa"/>
    <x v="23"/>
    <n v="7"/>
    <x v="4"/>
    <s v="Chang Wanquan"/>
    <m/>
    <s v="Defense Minister; CMC Member"/>
    <n v="8"/>
    <s v="Abroad"/>
    <m/>
    <m/>
    <m/>
    <m/>
    <m/>
    <m/>
    <m/>
    <m/>
    <m/>
  </r>
  <r>
    <s v="Senior Level Visit"/>
    <s v="Northeast Asia"/>
    <s v="Asia"/>
    <s v="Strategic Cooperative Partnership [战略合作伙伴关系]"/>
    <s v="Bilateral Defense Treaty"/>
    <s v="INDOPACOM"/>
    <s v="South Korea"/>
    <x v="23"/>
    <n v="7"/>
    <x v="3"/>
    <s v="Chang Wanquan"/>
    <m/>
    <s v="Defense Minister; CMC Member"/>
    <n v="8"/>
    <s v="Hosted"/>
    <s v="Vice Defense Minister"/>
    <m/>
    <m/>
    <m/>
    <m/>
    <m/>
    <m/>
    <m/>
    <m/>
  </r>
  <r>
    <s v="Senior Level Visit"/>
    <s v="Europe"/>
    <s v="Europe and Central Asia"/>
    <s v="No Specific Relationship"/>
    <s v="None"/>
    <s v="EUCOM"/>
    <s v="Switzerland"/>
    <x v="23"/>
    <n v="7"/>
    <x v="4"/>
    <s v="Zhang Yang"/>
    <m/>
    <s v="GPD Director; CMC Member"/>
    <n v="8"/>
    <s v="Abroad"/>
    <m/>
    <m/>
    <m/>
    <m/>
    <m/>
    <m/>
    <m/>
    <m/>
    <m/>
  </r>
  <r>
    <s v="Senior Level Visit"/>
    <s v="Africa"/>
    <s v="West Asia and Africa"/>
    <s v="Comprehensive Cooperative Partnership [全面合作伙伴关系]"/>
    <s v="None"/>
    <s v="AFRICOM"/>
    <s v="Tanzania"/>
    <x v="23"/>
    <n v="7"/>
    <x v="4"/>
    <s v="Chang Wanquan"/>
    <m/>
    <s v="Defense Minister; CMC Member"/>
    <n v="8"/>
    <s v="Abroad"/>
    <m/>
    <m/>
    <m/>
    <m/>
    <m/>
    <m/>
    <m/>
    <m/>
    <m/>
  </r>
  <r>
    <s v="Naval Port Call"/>
    <s v="Oceania"/>
    <s v="America and Oceania"/>
    <s v="Strategic Partnership [战略伙伴关系]"/>
    <s v="None"/>
    <s v="INDOPACOM"/>
    <s v="Tonga"/>
    <x v="23"/>
    <n v="7"/>
    <x v="12"/>
    <m/>
    <m/>
    <m/>
    <m/>
    <m/>
    <m/>
    <m/>
    <m/>
    <m/>
    <m/>
    <s v="NETF"/>
    <s v="2014-07 Harmonious Mission "/>
    <s v="East Sea Fleet"/>
    <s v="post-RIMPAC 2014; PLA FR XJP draft p. 26"/>
  </r>
  <r>
    <s v="Senior Level Visit"/>
    <s v="Europe"/>
    <s v="Europe and Central Asia"/>
    <s v="Strategic Cooperative Partnership [战略合作伙伴关系]"/>
    <s v="NATO"/>
    <s v="EUCOM"/>
    <s v="Turkey"/>
    <x v="23"/>
    <n v="7"/>
    <x v="3"/>
    <s v="Wu Shengli"/>
    <m/>
    <s v="PLAN Commander; CMC Member"/>
    <n v="8"/>
    <s v="Hosted"/>
    <s v="Navy Commander"/>
    <m/>
    <m/>
    <m/>
    <m/>
    <m/>
    <m/>
    <m/>
    <m/>
  </r>
  <r>
    <s v="Senior Level Visit"/>
    <s v="North America"/>
    <s v="America and Oceania"/>
    <s v="No Specific Relationship"/>
    <s v="N/A"/>
    <s v="NORTHCOM"/>
    <s v="United States"/>
    <x v="23"/>
    <n v="7"/>
    <x v="3"/>
    <s v="Wu Shengli"/>
    <m/>
    <s v="PLAN Commander; CMC Member"/>
    <n v="8"/>
    <s v="Hosted"/>
    <s v="Chief of Naval Operations Greenert"/>
    <m/>
    <m/>
    <m/>
    <m/>
    <m/>
    <m/>
    <m/>
    <m/>
  </r>
  <r>
    <s v="Military Exercise"/>
    <s v="North America"/>
    <s v="America and Oceania"/>
    <s v="No Specific Relationship"/>
    <s v="N/A"/>
    <s v="NORTHCOM"/>
    <s v="United States"/>
    <x v="23"/>
    <n v="7"/>
    <x v="6"/>
    <m/>
    <m/>
    <m/>
    <m/>
    <m/>
    <m/>
    <s v="Combat"/>
    <s v="RIMPAC 2014"/>
    <s v="Navy"/>
    <s v="Maritime; HADR; US and other countries' live-fire gunnery"/>
    <m/>
    <m/>
    <m/>
    <m/>
  </r>
  <r>
    <s v="Naval Port Call"/>
    <s v="Oceania"/>
    <s v="America and Oceania"/>
    <s v="Strategic Partnership [战略伙伴关系]"/>
    <s v="None"/>
    <s v="INDOPACOM"/>
    <s v="Vanuatu"/>
    <x v="23"/>
    <n v="7"/>
    <x v="12"/>
    <m/>
    <m/>
    <m/>
    <m/>
    <m/>
    <m/>
    <m/>
    <m/>
    <m/>
    <m/>
    <s v="NETF"/>
    <s v="2014-07 Harmonious Mission "/>
    <s v="East Sea Fleet"/>
    <s v="post-RIMPAC 2014; PLA FR XJP draft p. 26"/>
  </r>
  <r>
    <s v="Senior Level Visit"/>
    <s v="South America"/>
    <s v="America and Oceania"/>
    <s v="Comprehensive Strategic Partnership [全面战略伙伴关系]"/>
    <s v="Major Non-NATO Ally"/>
    <s v="SOUTHCOM"/>
    <s v="Argentina"/>
    <x v="23"/>
    <n v="8"/>
    <x v="4"/>
    <s v="Zhao Keshi"/>
    <m/>
    <s v="GLD Director; CMC Member"/>
    <n v="8"/>
    <s v="Abroad"/>
    <m/>
    <m/>
    <m/>
    <m/>
    <m/>
    <m/>
    <m/>
    <m/>
    <m/>
  </r>
  <r>
    <s v="Military Exercise"/>
    <s v="Oceania"/>
    <s v="America and Oceania"/>
    <s v="Comprehensive Strategic Partnership [全面战略伙伴关系]"/>
    <s v="ANZUS Treaty"/>
    <s v="INDOPACOM"/>
    <s v="Australia"/>
    <x v="23"/>
    <n v="8"/>
    <x v="6"/>
    <m/>
    <m/>
    <m/>
    <m/>
    <m/>
    <m/>
    <s v="Combat Support"/>
    <s v="Kakadu 2014"/>
    <s v="Navy"/>
    <s v="PLAN sent observers only. Other countries: Japan, New Zealand, Pakistan, Philippines"/>
    <m/>
    <m/>
    <m/>
    <m/>
  </r>
  <r>
    <s v="Senior Level Visit"/>
    <s v="South America"/>
    <s v="America and Oceania"/>
    <s v="Comprehensive Strategic Partnership [全面战略伙伴关系]"/>
    <s v="None"/>
    <s v="SOUTHCOM"/>
    <s v="Brazil"/>
    <x v="23"/>
    <n v="8"/>
    <x v="4"/>
    <s v="Zhao Keshi"/>
    <m/>
    <s v="GLD Director; CMC Member"/>
    <n v="8"/>
    <s v="Abroad"/>
    <m/>
    <m/>
    <m/>
    <m/>
    <m/>
    <m/>
    <m/>
    <m/>
    <m/>
  </r>
  <r>
    <s v="Senior Level Visit"/>
    <s v="Middle East"/>
    <s v="West Asia and Africa"/>
    <s v="Comprehensive Strategic Partnership [全面战略伙伴关系]"/>
    <s v="Major Non-NATO Ally"/>
    <s v="CENTCOM"/>
    <s v="Egypt"/>
    <x v="23"/>
    <n v="8"/>
    <x v="3"/>
    <s v="Chang Wanquan"/>
    <m/>
    <s v="Defense Minister; CMC Member"/>
    <n v="8"/>
    <s v="Hosted"/>
    <s v="Vice Defense Minister"/>
    <m/>
    <m/>
    <m/>
    <m/>
    <m/>
    <m/>
    <m/>
    <m/>
  </r>
  <r>
    <s v="Senior Level Visit"/>
    <s v="Southeast Asia"/>
    <s v="Asia"/>
    <s v="Comprehensive Strategic Partnership [全面战略伙伴关系]"/>
    <s v="None"/>
    <s v="INDOPACOM"/>
    <s v="Indonesia"/>
    <x v="23"/>
    <n v="8"/>
    <x v="3"/>
    <s v="Fan Changlong"/>
    <m/>
    <s v="CMC Vice Chairman"/>
    <n v="10"/>
    <s v="Hosted"/>
    <s v="Deputy Defense Minister"/>
    <m/>
    <m/>
    <m/>
    <m/>
    <m/>
    <m/>
    <m/>
    <m/>
  </r>
  <r>
    <s v="Senior Level Visit"/>
    <s v="Central Asia"/>
    <s v="Europe and Central Asia"/>
    <s v="Comprehensive Strategic Partnership [全面战略伙伴关系]"/>
    <s v="None"/>
    <s v="CENTCOM"/>
    <s v="Kazakhstan"/>
    <x v="23"/>
    <n v="8"/>
    <x v="7"/>
    <s v="Fang Fenghui"/>
    <m/>
    <s v="GSD Commander; CMC Member"/>
    <n v="8"/>
    <s v="Hosted"/>
    <s v="First Deputy Minister of Defense and COGS"/>
    <m/>
    <m/>
    <m/>
    <m/>
    <m/>
    <m/>
    <m/>
    <m/>
  </r>
  <r>
    <s v="Military Exercise"/>
    <s v="Russia"/>
    <s v="Europe and Central Asia"/>
    <s v="Comprehensive Collaborative Strategic Partnership [全面战略协作伙伴关系]"/>
    <s v="None"/>
    <s v="EUCOM"/>
    <s v="Russia"/>
    <x v="23"/>
    <n v="8"/>
    <x v="6"/>
    <m/>
    <m/>
    <m/>
    <m/>
    <m/>
    <m/>
    <s v="Competition"/>
    <s v="Tank Biathlon 2014"/>
    <s v="Army"/>
    <s v="Competition; Russia and 11 other countries"/>
    <m/>
    <m/>
    <m/>
    <m/>
  </r>
  <r>
    <s v="Senior Level Visit"/>
    <s v="Central Asia"/>
    <s v="Europe and Central Asia"/>
    <s v="Member"/>
    <s v="None"/>
    <s v="CENTCOM"/>
    <s v="SCO"/>
    <x v="23"/>
    <n v="8"/>
    <x v="1"/>
    <s v="Fang Fenghui"/>
    <m/>
    <s v="GSD Commander; CMC Member"/>
    <n v="8"/>
    <s v="Abroad"/>
    <s v="Third meeting of SCO military chiefs of staff in Beijing"/>
    <m/>
    <m/>
    <m/>
    <m/>
    <m/>
    <m/>
    <m/>
    <m/>
  </r>
  <r>
    <s v="Military Exercise"/>
    <s v="Central Asia"/>
    <s v="Europe and Central Asia"/>
    <s v="Member"/>
    <s v="None"/>
    <s v="CENTCOM"/>
    <s v="SCO"/>
    <x v="23"/>
    <n v="8"/>
    <x v="6"/>
    <m/>
    <m/>
    <m/>
    <m/>
    <m/>
    <m/>
    <s v="Combat"/>
    <s v="Peace Mission 2014"/>
    <s v="Joint"/>
    <s v="Army, Navy, Air Force, SOF; anti-terrorism. Other countries: Russia, Kyrgyzstan, Kazakhstan, Tajikistan. August 24-29"/>
    <m/>
    <m/>
    <m/>
    <m/>
  </r>
  <r>
    <s v="Senior Level Visit"/>
    <s v="Africa"/>
    <s v="West Asia and Africa"/>
    <s v="Comprehensive Strategic Partnership [全面战略伙伴关系]"/>
    <s v="None"/>
    <s v="AFRICOM"/>
    <s v="South Africa"/>
    <x v="23"/>
    <n v="8"/>
    <x v="3"/>
    <s v="Chang Wanquan"/>
    <m/>
    <s v="Defense Minister; CMC Member"/>
    <n v="8"/>
    <s v="Hosted"/>
    <s v="Chief of the Armed Forces"/>
    <m/>
    <m/>
    <m/>
    <m/>
    <m/>
    <m/>
    <m/>
    <m/>
  </r>
  <r>
    <s v="Naval Port Call"/>
    <s v="South Asia"/>
    <s v="Asia"/>
    <s v="Strategic Cooperative Partnership [战略合作伙伴关系]"/>
    <s v="None"/>
    <s v="INDOPACOM"/>
    <s v="Sri Lanka"/>
    <x v="23"/>
    <n v="8"/>
    <x v="9"/>
    <m/>
    <m/>
    <m/>
    <m/>
    <m/>
    <m/>
    <m/>
    <m/>
    <m/>
    <m/>
    <s v="ETF"/>
    <s v="ETF-17"/>
    <s v="East Sea Fleet"/>
    <s v="DDG150 Changchun, FFG549 Changzhou, AOR890 Chao Hu"/>
  </r>
  <r>
    <s v="Senior Level Visit"/>
    <s v="Central Asia"/>
    <s v="Europe and Central Asia"/>
    <s v="Strategic Partnership [战略伙伴关系]"/>
    <s v="None"/>
    <s v="CENTCOM"/>
    <s v="Tajikistan"/>
    <x v="23"/>
    <n v="8"/>
    <x v="7"/>
    <s v="Fang Fenghui"/>
    <m/>
    <s v="GSD Commander; CMC Member"/>
    <n v="8"/>
    <s v="Hosted"/>
    <s v="First Deputy Minister of Defense and COGS"/>
    <m/>
    <m/>
    <m/>
    <m/>
    <m/>
    <m/>
    <m/>
    <m/>
  </r>
  <r>
    <s v="Senior Level Visit"/>
    <s v="Central Asia"/>
    <s v="Europe and Central Asia"/>
    <s v="Strategic Partnership [战略伙伴关系]"/>
    <s v="None"/>
    <s v="CENTCOM"/>
    <s v="Uzbekistan"/>
    <x v="23"/>
    <n v="8"/>
    <x v="7"/>
    <s v="Fang Fenghui"/>
    <m/>
    <s v="GSD Commander; CMC Member"/>
    <n v="8"/>
    <s v="Hosted"/>
    <s v="First Deputy Minister of Defense and COGS"/>
    <m/>
    <m/>
    <m/>
    <m/>
    <m/>
    <m/>
    <m/>
    <m/>
  </r>
  <r>
    <s v="Senior Level Visit"/>
    <s v="Europe"/>
    <s v="Europe and Central Asia"/>
    <s v="No Specific Relationship"/>
    <s v="None"/>
    <s v="EUCOM"/>
    <s v="Cyprus"/>
    <x v="23"/>
    <n v="9"/>
    <x v="3"/>
    <s v="Xu Qiliang "/>
    <m/>
    <s v="CMC Vice Chairman"/>
    <n v="10"/>
    <s v="Hosted"/>
    <s v="Defense Minister"/>
    <m/>
    <m/>
    <m/>
    <m/>
    <m/>
    <m/>
    <m/>
    <m/>
  </r>
  <r>
    <s v="Naval Port Call"/>
    <s v="Middle East"/>
    <s v="West Asia and Africa"/>
    <s v="No Specific Relationship"/>
    <s v="None"/>
    <s v="CENTCOM"/>
    <s v="Djibouti"/>
    <x v="23"/>
    <n v="9"/>
    <x v="9"/>
    <m/>
    <m/>
    <m/>
    <m/>
    <m/>
    <m/>
    <m/>
    <m/>
    <m/>
    <m/>
    <s v="ETF"/>
    <s v="ETF-17"/>
    <s v="East Sea Fleet"/>
    <s v="DDG150 Changchun, FFG549 Changzhou, AOR890 Chao Hu"/>
  </r>
  <r>
    <s v="Senior Level Visit"/>
    <s v="South America"/>
    <s v="America and Oceania"/>
    <s v="No Specific Relationship"/>
    <s v="None"/>
    <s v="SOUTHCOM"/>
    <s v="Ecuador"/>
    <x v="23"/>
    <n v="9"/>
    <x v="3"/>
    <s v="Chang Wanquan"/>
    <m/>
    <s v="Defense Minister; CMC Member"/>
    <n v="8"/>
    <s v="Hosted"/>
    <s v="Defense Minister"/>
    <m/>
    <m/>
    <m/>
    <m/>
    <m/>
    <m/>
    <m/>
    <m/>
  </r>
  <r>
    <s v="Senior Level Visit"/>
    <s v="Europe"/>
    <s v="Europe and Central Asia"/>
    <s v="Comprehensive Strategic Partnership [全面战略伙伴关系]"/>
    <s v="NATO"/>
    <s v="EUCOM"/>
    <s v="Germany"/>
    <x v="23"/>
    <n v="9"/>
    <x v="3"/>
    <s v="Zhao Keshi"/>
    <m/>
    <s v="GLD Director; CMC Member"/>
    <n v="8"/>
    <s v="Hosted"/>
    <s v="Inspector General of Central Medical Service"/>
    <m/>
    <m/>
    <m/>
    <m/>
    <m/>
    <m/>
    <m/>
    <m/>
  </r>
  <r>
    <s v="Senior Level Visit"/>
    <s v="Southeast Asia"/>
    <s v="Asia"/>
    <s v="Comprehensive Strategic Partnership [全面战略伙伴关系]"/>
    <s v="None"/>
    <s v="INDOPACOM"/>
    <s v="Indonesia"/>
    <x v="23"/>
    <n v="9"/>
    <x v="3"/>
    <s v="Fan Changlong"/>
    <m/>
    <s v="CMC Vice Chairman"/>
    <n v="10"/>
    <s v="Hosted"/>
    <s v="Defense Minister"/>
    <m/>
    <m/>
    <m/>
    <m/>
    <m/>
    <m/>
    <m/>
    <m/>
  </r>
  <r>
    <s v="Naval Port Call"/>
    <s v="Middle East"/>
    <s v="West Asia and Africa"/>
    <s v="No Specific Relationship"/>
    <s v="None"/>
    <s v="CENTCOM"/>
    <s v="Iran"/>
    <x v="23"/>
    <n v="9"/>
    <x v="0"/>
    <m/>
    <m/>
    <m/>
    <m/>
    <m/>
    <m/>
    <m/>
    <m/>
    <m/>
    <m/>
    <s v="ETF"/>
    <s v="ETF-17"/>
    <s v="East Sea Fleet"/>
    <s v="DDG150 Changchun, FFG549 Changzhou, AOR890 Chao Hu"/>
  </r>
  <r>
    <s v="Naval Port Call"/>
    <s v="Middle East"/>
    <s v="West Asia and Africa"/>
    <s v="No Specific Relationship"/>
    <s v="Major Non-NATO Ally"/>
    <s v="CENTCOM"/>
    <s v="Jordan"/>
    <x v="23"/>
    <n v="9"/>
    <x v="0"/>
    <m/>
    <m/>
    <m/>
    <m/>
    <m/>
    <m/>
    <m/>
    <m/>
    <m/>
    <m/>
    <s v="ETF"/>
    <s v="ETF-17"/>
    <s v="East Sea Fleet"/>
    <s v="DDG150 Changchun, FFG549 Changzhou, AOR890 Chao Hu"/>
  </r>
  <r>
    <s v="Senior Level Visit"/>
    <s v="Central Asia"/>
    <s v="Europe and Central Asia"/>
    <s v="Comprehensive Strategic Partnership [全面战略伙伴关系]"/>
    <s v="None"/>
    <s v="CENTCOM"/>
    <s v="Kazakhstan"/>
    <x v="23"/>
    <n v="9"/>
    <x v="3"/>
    <s v="Chang Wanquan"/>
    <m/>
    <s v="Defense Minister; CMC Member"/>
    <n v="8"/>
    <s v="Hosted"/>
    <s v="Defense Minister"/>
    <m/>
    <m/>
    <m/>
    <m/>
    <m/>
    <m/>
    <m/>
    <m/>
  </r>
  <r>
    <s v="Senior Level Visit"/>
    <s v="Southeast Asia"/>
    <s v="Asia"/>
    <s v="Comprehensive Strategic Cooperative Partnership [全面战略合作伙伴关系]"/>
    <s v="None"/>
    <s v="INDOPACOM"/>
    <s v="Laos"/>
    <x v="23"/>
    <n v="9"/>
    <x v="3"/>
    <s v="Chang Wanquan"/>
    <m/>
    <s v="Defense Minister; CMC Member"/>
    <n v="8"/>
    <s v="Hosted"/>
    <s v="COGS"/>
    <m/>
    <m/>
    <m/>
    <m/>
    <m/>
    <m/>
    <m/>
    <m/>
  </r>
  <r>
    <s v="Naval Port Call"/>
    <s v="South Asia"/>
    <s v="Asia"/>
    <s v="Strategic Partnership [战略伙伴关系]"/>
    <s v="Major Non-NATO Ally"/>
    <s v="CENTCOM"/>
    <s v="Pakistan"/>
    <x v="23"/>
    <n v="9"/>
    <x v="0"/>
    <m/>
    <m/>
    <m/>
    <m/>
    <m/>
    <m/>
    <m/>
    <m/>
    <m/>
    <m/>
    <s v="ETF"/>
    <s v="ETF-17"/>
    <s v="East Sea Fleet"/>
    <s v="DDG150 Changchun, FFG549 Changzhou, AOR890 Chao Hu"/>
  </r>
  <r>
    <s v="Senior Level Visit"/>
    <s v="Europe"/>
    <s v="Europe and Central Asia"/>
    <s v="Strategic Partnership [战略伙伴关系]"/>
    <s v="NATO"/>
    <s v="EUCOM"/>
    <s v="Poland"/>
    <x v="23"/>
    <n v="9"/>
    <x v="4"/>
    <s v="Chang Wanquan"/>
    <m/>
    <s v="Defense Minister; CMC Member"/>
    <n v="8"/>
    <s v="Abroad"/>
    <m/>
    <m/>
    <m/>
    <m/>
    <m/>
    <m/>
    <m/>
    <m/>
    <m/>
  </r>
  <r>
    <s v="Senior Level Visit"/>
    <s v="Europe"/>
    <s v="Europe and Central Asia"/>
    <s v="Comprehensive Friendly Cooperative Partnership [全面友好合作伙伴关系]"/>
    <s v="NATO"/>
    <s v="EUCOM"/>
    <s v="Romania"/>
    <x v="23"/>
    <n v="9"/>
    <x v="3"/>
    <s v="Xu Qiliang "/>
    <m/>
    <s v="CMC Vice Chairman"/>
    <n v="10"/>
    <s v="Hosted"/>
    <s v="Defense Minister"/>
    <m/>
    <m/>
    <m/>
    <m/>
    <m/>
    <m/>
    <m/>
    <m/>
  </r>
  <r>
    <s v="Senior Level Visit"/>
    <s v="Southeast Asia"/>
    <s v="Asia"/>
    <s v="No Specific Relationship"/>
    <s v="None"/>
    <s v="INDOPACOM"/>
    <s v="Singapore"/>
    <x v="23"/>
    <n v="9"/>
    <x v="3"/>
    <s v="Wang Guanzhong"/>
    <m/>
    <s v="GSD DCGS"/>
    <n v="6"/>
    <s v="Hosted"/>
    <m/>
    <m/>
    <m/>
    <m/>
    <m/>
    <m/>
    <m/>
    <m/>
    <m/>
  </r>
  <r>
    <s v="Naval Port Call"/>
    <s v="South Asia"/>
    <s v="Asia"/>
    <s v="Strategic Cooperative Partnership [战略合作伙伴关系]"/>
    <s v="None"/>
    <s v="INDOPACOM"/>
    <s v="Sri Lanka"/>
    <x v="23"/>
    <n v="9"/>
    <x v="9"/>
    <m/>
    <m/>
    <m/>
    <m/>
    <m/>
    <m/>
    <m/>
    <m/>
    <m/>
    <m/>
    <s v="ETF"/>
    <s v="ETF-17"/>
    <s v="East Sea Fleet"/>
    <s v="DDG150 Changchun, FFG549 Changzhou, AOR890 Chao Hu"/>
  </r>
  <r>
    <s v="Naval Port Call"/>
    <s v="South Asia"/>
    <s v="Asia"/>
    <s v="Strategic Cooperative Partnership [战略合作伙伴关系]"/>
    <s v="None"/>
    <s v="INDOPACOM"/>
    <s v="Sri Lanka"/>
    <x v="23"/>
    <n v="9"/>
    <x v="0"/>
    <m/>
    <m/>
    <m/>
    <m/>
    <m/>
    <m/>
    <m/>
    <m/>
    <m/>
    <m/>
    <s v="NETF"/>
    <s v="2014-09 SSK329"/>
    <s v="South Sea Fleet"/>
    <s v="PLA FR XJP draft p. 24"/>
  </r>
  <r>
    <s v="Senior Level Visit"/>
    <s v="Europe"/>
    <s v="Europe and Central Asia"/>
    <s v="No Specific Relationship"/>
    <s v="None"/>
    <s v="EUCOM"/>
    <s v="Switzerland"/>
    <x v="23"/>
    <n v="9"/>
    <x v="3"/>
    <s v="Chang Wanquan"/>
    <m/>
    <s v="Defense Minister; CMC Member"/>
    <n v="8"/>
    <s v="Hosted"/>
    <s v="Defense Minister"/>
    <m/>
    <m/>
    <m/>
    <m/>
    <m/>
    <m/>
    <m/>
    <m/>
  </r>
  <r>
    <s v="Naval Port Call"/>
    <s v="Middle East"/>
    <s v="West Asia and Africa"/>
    <s v="Strategic Partnership [战略伙伴关系]"/>
    <s v="None"/>
    <s v="CENTCOM"/>
    <s v="United Arab Emirates"/>
    <x v="23"/>
    <n v="9"/>
    <x v="0"/>
    <m/>
    <m/>
    <m/>
    <m/>
    <m/>
    <m/>
    <m/>
    <m/>
    <m/>
    <m/>
    <s v="ETF"/>
    <s v="ETF-17"/>
    <s v="East Sea Fleet"/>
    <s v="DDG150 Changchun, FFG549 Changzhou, AOR890 Chao Hu"/>
  </r>
  <r>
    <s v="Senior Level Visit"/>
    <s v="North America"/>
    <s v="America and Oceania"/>
    <s v="No Specific Relationship"/>
    <s v="N/A"/>
    <s v="NORTHCOM"/>
    <s v="United States"/>
    <x v="23"/>
    <n v="9"/>
    <x v="4"/>
    <s v="Huang Guoxian"/>
    <m/>
    <s v="MR Deputy Commander"/>
    <n v="5"/>
    <s v="Abroad"/>
    <s v="PACAF Commander Carlisle"/>
    <m/>
    <m/>
    <m/>
    <m/>
    <m/>
    <m/>
    <m/>
    <m/>
  </r>
  <r>
    <s v="Senior Level Visit"/>
    <s v="Oceania"/>
    <s v="America and Oceania"/>
    <s v="Comprehensive Strategic Partnership [全面战略伙伴关系]"/>
    <s v="ANZUS Treaty"/>
    <s v="INDOPACOM"/>
    <s v="Australia"/>
    <x v="23"/>
    <n v="10"/>
    <x v="3"/>
    <s v="Fan Changlong"/>
    <m/>
    <s v="CMC Vice Chairman"/>
    <n v="10"/>
    <s v="Hosted"/>
    <s v="Defense Minister"/>
    <m/>
    <m/>
    <m/>
    <m/>
    <m/>
    <m/>
    <m/>
    <m/>
  </r>
  <r>
    <s v="Military Exercise"/>
    <s v="Oceania"/>
    <s v="America and Oceania"/>
    <s v="Comprehensive Strategic Partnership [全面战略伙伴关系]"/>
    <s v="ANZUS Treaty"/>
    <s v="INDOPACOM"/>
    <s v="Australia"/>
    <x v="23"/>
    <n v="10"/>
    <x v="6"/>
    <m/>
    <m/>
    <m/>
    <m/>
    <m/>
    <m/>
    <s v="MOOTW"/>
    <s v="Kowari 2014"/>
    <s v="Army"/>
    <s v="Survival skills. Other countries: United States "/>
    <m/>
    <m/>
    <m/>
    <m/>
  </r>
  <r>
    <s v="Senior Level Visit"/>
    <s v="South Asia"/>
    <s v="Asia"/>
    <s v="Comprehensive Cooperative Partnership [全面合作伙伴关系]"/>
    <s v="None"/>
    <s v="INDOPACOM"/>
    <s v="Bangladesh"/>
    <x v="23"/>
    <n v="10"/>
    <x v="3"/>
    <s v="Wu Shengli"/>
    <m/>
    <s v="PLAN Commander; CMC Member"/>
    <n v="8"/>
    <s v="Hosted"/>
    <s v="Navy Commander and Chief of Staff"/>
    <m/>
    <m/>
    <m/>
    <m/>
    <m/>
    <m/>
    <m/>
    <m/>
  </r>
  <r>
    <s v="Senior Level Visit"/>
    <s v="Europe"/>
    <s v="Europe and Central Asia"/>
    <s v="Comprehensive Cooperative Partnership [全面合作伙伴关系]"/>
    <s v="None"/>
    <s v="EUCOM"/>
    <s v="European Union"/>
    <x v="23"/>
    <n v="10"/>
    <x v="3"/>
    <s v="Chang Wanquan"/>
    <m/>
    <s v="Defense Minister; CMC Member"/>
    <n v="8"/>
    <s v="Hosted"/>
    <s v="Chairman EU Military Committee"/>
    <m/>
    <m/>
    <m/>
    <m/>
    <m/>
    <m/>
    <m/>
    <m/>
  </r>
  <r>
    <s v="Senior Level Visit"/>
    <s v="Europe"/>
    <s v="Europe and Central Asia"/>
    <s v="No Specific Relationship"/>
    <s v="None"/>
    <s v="EUCOM"/>
    <s v="Finland"/>
    <x v="23"/>
    <n v="10"/>
    <x v="3"/>
    <s v="Xu Qiliang"/>
    <m/>
    <s v="CMC Vice Chairman"/>
    <n v="10"/>
    <s v="Hosted"/>
    <s v="Defense Minister"/>
    <m/>
    <m/>
    <m/>
    <m/>
    <m/>
    <m/>
    <m/>
    <m/>
  </r>
  <r>
    <s v="Senior Level Visit"/>
    <s v="Europe"/>
    <s v="Europe and Central Asia"/>
    <s v="Comprehensive Strategic Partnership [全面战略伙伴关系]"/>
    <s v="NATO"/>
    <s v="EUCOM"/>
    <s v="France"/>
    <x v="23"/>
    <n v="10"/>
    <x v="3"/>
    <s v="Fan Changlong"/>
    <m/>
    <s v="CMC Vice Chairman"/>
    <n v="10"/>
    <s v="Hosted"/>
    <s v="Army Chief of Staff"/>
    <m/>
    <m/>
    <m/>
    <m/>
    <m/>
    <m/>
    <m/>
    <m/>
  </r>
  <r>
    <s v="Military Exercise"/>
    <s v="Southeast Asia"/>
    <s v="Asia"/>
    <s v="Comprehensive Strategic Partnership [全面战略伙伴关系]"/>
    <s v="None"/>
    <s v="INDOPACOM"/>
    <s v="Indonesia"/>
    <x v="23"/>
    <n v="10"/>
    <x v="5"/>
    <m/>
    <m/>
    <m/>
    <m/>
    <m/>
    <m/>
    <s v="Anti-terrorism"/>
    <s v="Sharp Knife 2014"/>
    <s v="Air Force"/>
    <s v="Airborne forces"/>
    <m/>
    <m/>
    <m/>
    <m/>
  </r>
  <r>
    <s v="Senior Level Visit"/>
    <s v="Middle East"/>
    <s v="West Asia and Africa"/>
    <s v="No Specific Relationship"/>
    <s v="None"/>
    <s v="CENTCOM"/>
    <s v="Iran"/>
    <x v="23"/>
    <n v="10"/>
    <x v="3"/>
    <s v="Chang Wanquan"/>
    <m/>
    <s v="Defense Minister; CMC Member"/>
    <n v="8"/>
    <s v="Hosted"/>
    <s v="Navy Commander"/>
    <m/>
    <m/>
    <m/>
    <m/>
    <m/>
    <m/>
    <m/>
    <m/>
  </r>
  <r>
    <s v="Senior Level Visit"/>
    <s v="Northeast Asia"/>
    <s v="Asia"/>
    <s v="Comprehensive Strategic Partnership [全面战略伙伴关系]"/>
    <s v="None"/>
    <s v="INDOPACOM"/>
    <s v="Mongolia"/>
    <x v="23"/>
    <n v="10"/>
    <x v="3"/>
    <s v="Sun Jianguo"/>
    <m/>
    <s v="GSD DCGS"/>
    <n v="6"/>
    <s v="Hosted"/>
    <s v="Delegation for CIISS; Retired director of Mongolian Institute of Strategic Studies; former Mongolian Defense Minister"/>
    <m/>
    <m/>
    <m/>
    <m/>
    <m/>
    <m/>
    <m/>
    <m/>
  </r>
  <r>
    <s v="Naval Port Call"/>
    <s v="Middle East"/>
    <s v="West Asia and Africa"/>
    <s v="No Specific Relationship"/>
    <s v="None"/>
    <s v="CENTCOM"/>
    <s v="Oman"/>
    <x v="23"/>
    <n v="10"/>
    <x v="9"/>
    <m/>
    <m/>
    <m/>
    <m/>
    <m/>
    <m/>
    <m/>
    <m/>
    <m/>
    <m/>
    <s v="ETF"/>
    <s v="ETF-17"/>
    <s v="East Sea Fleet"/>
    <s v="DDG150 Changchun, FFG549 Changzhou, AOR890 Chao Hu"/>
  </r>
  <r>
    <s v="Military Exercise"/>
    <s v="Russia"/>
    <s v="Europe and Central Asia"/>
    <s v="Comprehensive Collaborative Strategic Partnership [全面战略协作伙伴关系]"/>
    <s v="None"/>
    <s v="EUCOM"/>
    <s v="Russia"/>
    <x v="23"/>
    <n v="10"/>
    <x v="5"/>
    <m/>
    <m/>
    <m/>
    <m/>
    <m/>
    <m/>
    <s v="Anti-terrorism"/>
    <s v="Lijian (Sharp Sword) 2014"/>
    <s v="PAP"/>
    <s v="Manzhouli drill; anti-terror and riot control"/>
    <m/>
    <m/>
    <m/>
    <m/>
  </r>
  <r>
    <s v="Senior Level Visit"/>
    <s v="Southeast Asia"/>
    <s v="Asia"/>
    <s v="No Specific Relationship"/>
    <s v="None"/>
    <s v="INDOPACOM"/>
    <s v="Singapore"/>
    <x v="23"/>
    <n v="10"/>
    <x v="3"/>
    <s v="Fan Changlong"/>
    <m/>
    <s v="CMC Vice Chairman"/>
    <n v="10"/>
    <s v="Hosted"/>
    <s v="Deputy Prime Minister and Coordinating Minister for National Security"/>
    <m/>
    <m/>
    <m/>
    <m/>
    <m/>
    <m/>
    <m/>
    <m/>
  </r>
  <r>
    <s v="Naval Port Call"/>
    <s v="Southeast Asia"/>
    <s v="Asia"/>
    <s v="No Specific Relationship"/>
    <s v="None"/>
    <s v="INDOPACOM"/>
    <s v="Singapore"/>
    <x v="23"/>
    <n v="10"/>
    <x v="13"/>
    <m/>
    <m/>
    <m/>
    <m/>
    <m/>
    <m/>
    <m/>
    <m/>
    <m/>
    <m/>
    <s v="ETF"/>
    <s v="ETF-17"/>
    <s v="East Sea Fleet"/>
    <s v="DDG150 Changchun, FFG549 Changzhou, AOR890 Chao Hu"/>
  </r>
  <r>
    <s v="Naval Port Call"/>
    <s v="South Asia"/>
    <s v="Asia"/>
    <s v="Strategic Cooperative Partnership [战略合作伙伴关系]"/>
    <s v="None"/>
    <s v="INDOPACOM"/>
    <s v="Sri Lanka"/>
    <x v="23"/>
    <n v="10"/>
    <x v="9"/>
    <m/>
    <m/>
    <m/>
    <m/>
    <m/>
    <m/>
    <m/>
    <m/>
    <m/>
    <m/>
    <s v="ETF"/>
    <s v="ETF-17"/>
    <s v="East Sea Fleet"/>
    <s v="DDG150 Changchun, FFG549 Changzhou, AOR890 Chao Hu"/>
  </r>
  <r>
    <s v="Senior Level Visit"/>
    <s v="Africa"/>
    <s v="West Asia and Africa"/>
    <s v="No Specific Relationship"/>
    <s v="None"/>
    <s v="AFRICOM"/>
    <s v="Sudan"/>
    <x v="23"/>
    <n v="10"/>
    <x v="3"/>
    <s v="Xu Qiliang"/>
    <m/>
    <s v="CMC Vice Chairman"/>
    <n v="10"/>
    <s v="Hosted"/>
    <s v="Defense Minister"/>
    <m/>
    <m/>
    <m/>
    <m/>
    <m/>
    <m/>
    <m/>
    <m/>
  </r>
  <r>
    <s v="Military Exercise"/>
    <s v="Africa"/>
    <s v="West Asia and Africa"/>
    <s v="Comprehensive Cooperative Partnership [全面合作伙伴关系]"/>
    <s v="None"/>
    <s v="AFRICOM"/>
    <s v="Tanzania"/>
    <x v="23"/>
    <n v="10"/>
    <x v="5"/>
    <m/>
    <m/>
    <m/>
    <m/>
    <m/>
    <m/>
    <s v="Anti-terrorism"/>
    <s v="Beyond 2014"/>
    <s v="Navy"/>
    <s v="marines; counter-terrorism scenario; &quot;marine tactics&quot; plus anti-piracy"/>
    <m/>
    <m/>
    <m/>
    <m/>
  </r>
  <r>
    <s v="Senior Level Visit"/>
    <s v="South America"/>
    <s v="America and Oceania"/>
    <s v="Comprehensive Cooperative Partnership [全面合作伙伴关系]"/>
    <s v="None"/>
    <s v="SOUTHCOM"/>
    <s v="Trinidad and Tobago"/>
    <x v="23"/>
    <n v="10"/>
    <x v="4"/>
    <s v="Wang Guanzhong"/>
    <m/>
    <s v="GSD DCGS"/>
    <n v="6"/>
    <s v="Abroad"/>
    <m/>
    <m/>
    <m/>
    <m/>
    <m/>
    <m/>
    <m/>
    <m/>
    <m/>
  </r>
  <r>
    <s v="Senior Level Visit"/>
    <s v="North America"/>
    <s v="America and Oceania"/>
    <s v="No Specific Relationship"/>
    <s v="N/A"/>
    <s v="NORTHCOM"/>
    <s v="United States"/>
    <x v="23"/>
    <n v="10"/>
    <x v="4"/>
    <s v="Wang Guanzhong"/>
    <m/>
    <s v="GSD DCGS"/>
    <n v="6"/>
    <s v="Abroad"/>
    <s v="USD(P) Wormouth"/>
    <m/>
    <m/>
    <m/>
    <m/>
    <m/>
    <m/>
    <m/>
    <m/>
  </r>
  <r>
    <s v="Senior Level Visit"/>
    <s v="Southeast Asia"/>
    <s v="Asia"/>
    <s v="Comprehensive Strategic Cooperative Partnership [全面战略合作伙伴关系]"/>
    <s v="None"/>
    <s v="INDOPACOM"/>
    <s v="Vietnam"/>
    <x v="23"/>
    <n v="10"/>
    <x v="3"/>
    <s v="Chang Wanquan"/>
    <m/>
    <s v="Defense Minister; CMC Member"/>
    <n v="8"/>
    <s v="Hosted"/>
    <s v="Defense Minister"/>
    <m/>
    <m/>
    <m/>
    <m/>
    <m/>
    <m/>
    <m/>
    <m/>
  </r>
  <r>
    <s v="Senior Level Visit"/>
    <s v="Africa"/>
    <s v="West Asia and Africa"/>
    <s v="No Specific Relationship"/>
    <s v="None"/>
    <s v="AFRICOM"/>
    <s v="Zimbabwe"/>
    <x v="23"/>
    <n v="10"/>
    <x v="3"/>
    <s v="Chang Wanquan"/>
    <m/>
    <s v="Defense Minister; CMC Member"/>
    <n v="8"/>
    <s v="Hosted"/>
    <s v="Defense Minister"/>
    <m/>
    <m/>
    <m/>
    <m/>
    <m/>
    <m/>
    <m/>
    <m/>
  </r>
  <r>
    <s v="Senior Level Visit"/>
    <s v="Europe"/>
    <s v="Europe and Central Asia"/>
    <s v="Comprehensive Strategic Partnership [全面战略伙伴关系]"/>
    <s v="None"/>
    <s v="EUCOM"/>
    <s v="Belarus"/>
    <x v="23"/>
    <n v="11"/>
    <x v="4"/>
    <s v="Wang Guanzhong"/>
    <m/>
    <s v="GSD DCGS"/>
    <n v="6"/>
    <s v="Abroad"/>
    <m/>
    <m/>
    <m/>
    <m/>
    <m/>
    <m/>
    <m/>
    <m/>
    <m/>
  </r>
  <r>
    <s v="Senior Level Visit"/>
    <s v="South America"/>
    <s v="America and Oceania"/>
    <s v="Comprehensive Strategic Partnership [全面战略伙伴关系]"/>
    <s v="None"/>
    <s v="SOUTHCOM"/>
    <s v="Brazil"/>
    <x v="23"/>
    <n v="11"/>
    <x v="3"/>
    <s v="Fan Changlong"/>
    <m/>
    <s v="CMC Vice Chairman"/>
    <n v="10"/>
    <s v="Hosted"/>
    <s v="Chief of the Joint Staff"/>
    <m/>
    <m/>
    <m/>
    <m/>
    <m/>
    <m/>
    <m/>
    <m/>
  </r>
  <r>
    <s v="Senior Level Visit"/>
    <s v="Southeast Asia"/>
    <s v="Asia"/>
    <s v="Comprehensive Strategic Cooperative Partnership [全面战略合作伙伴关系]"/>
    <s v="None"/>
    <s v="INDOPACOM"/>
    <s v="Cambodia"/>
    <x v="23"/>
    <n v="11"/>
    <x v="3"/>
    <s v="Xu Qiliang"/>
    <m/>
    <s v="CMC Vice Chairman"/>
    <n v="10"/>
    <s v="Hosted"/>
    <s v="CinC Armed Forces"/>
    <m/>
    <m/>
    <m/>
    <m/>
    <m/>
    <m/>
    <m/>
    <m/>
  </r>
  <r>
    <s v="Senior Level Visit"/>
    <s v="North America"/>
    <s v="America and Oceania"/>
    <s v="Strategic Partnership [战略伙伴关系]"/>
    <s v="NATO"/>
    <s v="NORTHCOM"/>
    <s v="Canada"/>
    <x v="23"/>
    <n v="11"/>
    <x v="3"/>
    <s v="Ma Xiaotian"/>
    <m/>
    <s v="PLAAF Commander; CMC Member"/>
    <n v="8"/>
    <s v="Hosted"/>
    <s v="Air Force Commander"/>
    <m/>
    <m/>
    <m/>
    <m/>
    <m/>
    <m/>
    <m/>
    <m/>
  </r>
  <r>
    <s v="Naval Port Call"/>
    <s v="Middle East"/>
    <s v="West Asia and Africa"/>
    <s v="No Specific Relationship"/>
    <s v="None"/>
    <s v="CENTCOM"/>
    <s v="Djibouti"/>
    <x v="23"/>
    <n v="11"/>
    <x v="9"/>
    <m/>
    <m/>
    <m/>
    <m/>
    <m/>
    <m/>
    <m/>
    <m/>
    <m/>
    <m/>
    <s v="ETF"/>
    <s v="ETF-18"/>
    <s v="South Sea Fleet"/>
    <s v="LPD989 Changbai Shan, FFG571 Yuncheng, AOR890 Chao Hu"/>
  </r>
  <r>
    <s v="Senior Level Visit"/>
    <s v="Southeast Asia"/>
    <s v="Asia"/>
    <s v="Comprehensive Cooperative Partnership [全面合作伙伴关系]"/>
    <s v="None"/>
    <s v="INDOPACOM"/>
    <s v="East Timor"/>
    <x v="23"/>
    <n v="11"/>
    <x v="3"/>
    <s v="Fang Fenghui"/>
    <m/>
    <s v="GSD Commander; CMC Member"/>
    <n v="8"/>
    <s v="Hosted"/>
    <s v="National Defense Force Commander"/>
    <m/>
    <m/>
    <m/>
    <m/>
    <m/>
    <m/>
    <m/>
    <m/>
  </r>
  <r>
    <s v="Military Exercise"/>
    <s v="South Asia"/>
    <s v="Asia"/>
    <s v="Strategic Partnership for Peace and Prosperity [战略伙伴关系]"/>
    <s v="None"/>
    <s v="INDOPACOM"/>
    <s v="India"/>
    <x v="23"/>
    <n v="11"/>
    <x v="5"/>
    <m/>
    <m/>
    <m/>
    <m/>
    <m/>
    <m/>
    <s v="Anti-terrorism"/>
    <s v="Hand-in-Hand 2014"/>
    <s v="Army"/>
    <s v="Anti-terrorism"/>
    <m/>
    <m/>
    <m/>
    <m/>
  </r>
  <r>
    <s v="Senior Level Visit"/>
    <s v="Central Asia"/>
    <s v="Europe and Central Asia"/>
    <s v="Strategic Partnership [战略伙伴关系]"/>
    <s v="None"/>
    <s v="CENTCOM"/>
    <s v="Kyrgyzstan"/>
    <x v="23"/>
    <n v="11"/>
    <x v="7"/>
    <s v="Chang Wanquan"/>
    <m/>
    <s v="Defense Minister; CMC Member"/>
    <n v="8"/>
    <s v="Hosted"/>
    <s v="Defense Minister"/>
    <m/>
    <m/>
    <m/>
    <m/>
    <m/>
    <m/>
    <m/>
    <m/>
  </r>
  <r>
    <s v="Senior Level Visit"/>
    <s v="Southeast Asia"/>
    <s v="Asia"/>
    <s v="Comprehensive Strategic Cooperative Partnership [全面战略合作伙伴关系]"/>
    <s v="None"/>
    <s v="INDOPACOM"/>
    <s v="Laos"/>
    <x v="23"/>
    <n v="11"/>
    <x v="3"/>
    <s v="Zhang Yang"/>
    <m/>
    <s v="GPD Director; CMC Member"/>
    <n v="8"/>
    <s v="Hosted"/>
    <s v="Deputy Director of General Political Department"/>
    <m/>
    <m/>
    <m/>
    <m/>
    <m/>
    <m/>
    <m/>
    <m/>
  </r>
  <r>
    <s v="Senior Level Visit"/>
    <s v="Southeast Asia"/>
    <s v="Asia"/>
    <s v="Comprehensive Strategic Partnership [全面战略伙伴关系]"/>
    <s v="None"/>
    <s v="INDOPACOM"/>
    <s v="Malaysia"/>
    <x v="23"/>
    <n v="11"/>
    <x v="3"/>
    <s v="Fang Fenghui"/>
    <m/>
    <s v="GSD Commander; CMC Member"/>
    <n v="8"/>
    <s v="Hosted"/>
    <s v="Chief of Armed Forces"/>
    <m/>
    <m/>
    <m/>
    <m/>
    <m/>
    <m/>
    <m/>
    <m/>
  </r>
  <r>
    <s v="Senior Level Visit"/>
    <s v="South Asia"/>
    <s v="West Asia and Africa"/>
    <s v="Comprehensive Friendly Cooperative Partnership [全面友好合作伙伴关系]"/>
    <s v="None"/>
    <s v="INDOPACOM"/>
    <s v="Maldives"/>
    <x v="23"/>
    <n v="11"/>
    <x v="3"/>
    <s v="Chang Wanquan"/>
    <m/>
    <s v="Defense Minister; CMC Member"/>
    <n v="8"/>
    <s v="Hosted"/>
    <s v="Defense Minister"/>
    <m/>
    <m/>
    <m/>
    <m/>
    <m/>
    <m/>
    <m/>
    <m/>
  </r>
  <r>
    <s v="Senior Level Visit"/>
    <s v="Northeast Asia"/>
    <s v="Asia"/>
    <s v="Comprehensive Strategic Partnership [全面战略伙伴关系]"/>
    <s v="None"/>
    <s v="INDOPACOM"/>
    <s v="Mongolia"/>
    <x v="23"/>
    <n v="11"/>
    <x v="3"/>
    <s v="Wang Guanzhong"/>
    <m/>
    <s v="GSD DCGS"/>
    <n v="6"/>
    <s v="Hosted"/>
    <s v="Deputy Secretary of Defense"/>
    <m/>
    <m/>
    <m/>
    <m/>
    <m/>
    <m/>
    <m/>
    <m/>
  </r>
  <r>
    <s v="Senior Level Visit"/>
    <s v="Southeast Asia"/>
    <s v="Asia"/>
    <s v="Comprehensive Strategic Cooperative Partnership [全面战略合作伙伴关系]"/>
    <s v="None"/>
    <s v="INDOPACOM"/>
    <s v="Myanmar"/>
    <x v="23"/>
    <n v="11"/>
    <x v="3"/>
    <s v="Wang Guanzhong"/>
    <m/>
    <s v="GSD DCGS"/>
    <n v="6"/>
    <s v="Hosted"/>
    <s v="Armed Forces Chief of Staff"/>
    <m/>
    <m/>
    <m/>
    <m/>
    <m/>
    <m/>
    <m/>
    <m/>
  </r>
  <r>
    <s v="Senior Level Visit"/>
    <s v="Northeast Asia"/>
    <s v="Asia"/>
    <s v="N/A"/>
    <s v="None"/>
    <s v="INDOPACOM"/>
    <s v="N/A"/>
    <x v="23"/>
    <n v="11"/>
    <x v="2"/>
    <s v="Chang Wanquan"/>
    <m/>
    <s v="Defense Minister; CMC Member"/>
    <n v="8"/>
    <s v="Hosted"/>
    <s v="Xiangshan Forum 2014; Defense Minister"/>
    <m/>
    <m/>
    <m/>
    <m/>
    <m/>
    <m/>
    <m/>
    <m/>
  </r>
  <r>
    <s v="Naval Port Call"/>
    <s v="Middle East"/>
    <s v="West Asia and Africa"/>
    <s v="No Specific Relationship"/>
    <s v="None"/>
    <s v="CENTCOM"/>
    <s v="Oman"/>
    <x v="23"/>
    <n v="11"/>
    <x v="9"/>
    <m/>
    <m/>
    <m/>
    <m/>
    <m/>
    <m/>
    <m/>
    <m/>
    <m/>
    <m/>
    <s v="ETF"/>
    <s v="ETF-18"/>
    <s v="South Sea Fleet"/>
    <s v="LPD989 Changbai Shan, FFG571 Yuncheng, AOR890 Chao Hu"/>
  </r>
  <r>
    <s v="Senior Level Visit"/>
    <s v="South Asia"/>
    <s v="Asia"/>
    <s v="Strategic Partnership [战略伙伴关系]"/>
    <s v="Major Non-NATO Ally"/>
    <s v="CENTCOM"/>
    <s v="Pakistan"/>
    <x v="23"/>
    <n v="11"/>
    <x v="3"/>
    <s v="Xu Qiliang"/>
    <m/>
    <s v="CMC Vice Chairman"/>
    <n v="10"/>
    <s v="Hosted"/>
    <s v="Chairman JCS"/>
    <m/>
    <m/>
    <m/>
    <m/>
    <m/>
    <m/>
    <m/>
    <m/>
  </r>
  <r>
    <s v="Senior Level Visit"/>
    <s v="Europe"/>
    <s v="Europe and Central Asia"/>
    <s v="Strategic Partnership [战略伙伴关系]"/>
    <s v="NATO"/>
    <s v="EUCOM"/>
    <s v="Poland"/>
    <x v="23"/>
    <n v="11"/>
    <x v="3"/>
    <s v="Wang Guanzhong"/>
    <m/>
    <s v="GSD DCGS"/>
    <n v="6"/>
    <s v="Hosted"/>
    <s v="Ministry of Defense Undersecretary of State"/>
    <m/>
    <m/>
    <m/>
    <m/>
    <m/>
    <m/>
    <m/>
    <m/>
  </r>
  <r>
    <s v="Senior Level Visit"/>
    <s v="Russia"/>
    <s v="Europe and Central Asia"/>
    <s v="Comprehensive Collaborative Strategic Partnership [全面战略协作伙伴关系]"/>
    <s v="None"/>
    <s v="EUCOM"/>
    <s v="Russia"/>
    <x v="23"/>
    <n v="11"/>
    <x v="3"/>
    <s v="Xu Qiliang"/>
    <m/>
    <s v="CMC Vice Chairman"/>
    <n v="10"/>
    <s v="Hosted"/>
    <s v="Defense Minister"/>
    <m/>
    <m/>
    <m/>
    <m/>
    <m/>
    <m/>
    <m/>
    <m/>
  </r>
  <r>
    <s v="Senior Level Visit"/>
    <s v="Europe"/>
    <s v="Europe and Central Asia"/>
    <s v="Strategic Partnership [战略伙伴关系]"/>
    <s v="None"/>
    <s v="EUCOM"/>
    <s v="Serbia"/>
    <x v="23"/>
    <n v="11"/>
    <x v="3"/>
    <s v="Fan Changlong"/>
    <m/>
    <s v="CMC Vice Chairman"/>
    <n v="10"/>
    <s v="Hosted"/>
    <s v="Defense Minister"/>
    <m/>
    <m/>
    <m/>
    <m/>
    <m/>
    <m/>
    <m/>
    <m/>
  </r>
  <r>
    <s v="Senior Level Visit"/>
    <s v="Southeast Asia"/>
    <s v="Asia"/>
    <s v="No Specific Relationship"/>
    <s v="None"/>
    <s v="INDOPACOM"/>
    <s v="Singapore"/>
    <x v="23"/>
    <n v="11"/>
    <x v="3"/>
    <s v="Xu Qiliang"/>
    <m/>
    <s v="CMC Vice Chairman"/>
    <n v="10"/>
    <s v="Hosted"/>
    <s v="Defense Minister"/>
    <m/>
    <m/>
    <m/>
    <m/>
    <m/>
    <m/>
    <m/>
    <m/>
  </r>
  <r>
    <s v="Military Exercise"/>
    <s v="Southeast Asia"/>
    <s v="Asia"/>
    <s v="No Specific Relationship"/>
    <s v="None"/>
    <s v="INDOPACOM"/>
    <s v="Singapore"/>
    <x v="23"/>
    <n v="11"/>
    <x v="5"/>
    <m/>
    <m/>
    <m/>
    <m/>
    <m/>
    <m/>
    <s v="Anti-terrorism"/>
    <s v="Cooperation 2014"/>
    <s v="Army"/>
    <s v="Security training"/>
    <m/>
    <m/>
    <m/>
    <m/>
  </r>
  <r>
    <s v="Senior Level Visit"/>
    <s v="Africa"/>
    <s v="West Asia and Africa"/>
    <s v="Comprehensive Strategic Partnership [全面战略伙伴关系]"/>
    <s v="None"/>
    <s v="AFRICOM"/>
    <s v="South Africa"/>
    <x v="23"/>
    <n v="11"/>
    <x v="3"/>
    <s v="Zhao Keshi"/>
    <m/>
    <s v="GLD Director; CMC Member"/>
    <n v="8"/>
    <s v="Hosted"/>
    <s v="Logistics Department  Director"/>
    <m/>
    <m/>
    <m/>
    <m/>
    <m/>
    <m/>
    <m/>
    <m/>
  </r>
  <r>
    <s v="Senior Level Visit"/>
    <s v="Central Asia"/>
    <s v="Europe and Central Asia"/>
    <s v="Strategic Partnership [战略伙伴关系]"/>
    <s v="None"/>
    <s v="CENTCOM"/>
    <s v="Tajikistan"/>
    <x v="23"/>
    <n v="11"/>
    <x v="7"/>
    <s v="Chang Wanquan"/>
    <m/>
    <s v="Defense Minister; CMC Member"/>
    <n v="8"/>
    <s v="Hosted"/>
    <s v="Defense Minister"/>
    <m/>
    <m/>
    <m/>
    <m/>
    <m/>
    <m/>
    <m/>
    <m/>
  </r>
  <r>
    <s v="Senior Level Visit"/>
    <s v="Southeast Asia"/>
    <s v="Asia"/>
    <s v="Comprehensive Strategic Cooperative Partnership [全面战略合作伙伴关系]"/>
    <s v="Bilateral Defense Treaty"/>
    <s v="INDOPACOM"/>
    <s v="Thailand"/>
    <x v="23"/>
    <n v="11"/>
    <x v="3"/>
    <s v="Chang Wanquan"/>
    <m/>
    <s v="Defense Minister; CMC Member"/>
    <n v="8"/>
    <s v="Hosted"/>
    <s v="Defense Minister"/>
    <m/>
    <m/>
    <m/>
    <m/>
    <m/>
    <m/>
    <m/>
    <m/>
  </r>
  <r>
    <s v="Senior Level Visit"/>
    <s v="North America"/>
    <s v="America and Oceania"/>
    <s v="No Specific Relationship"/>
    <s v="N/A"/>
    <s v="NORTHCOM"/>
    <s v="United States"/>
    <x v="23"/>
    <n v="11"/>
    <x v="4"/>
    <s v="Sun Jianguo"/>
    <m/>
    <s v="GSD DCGS"/>
    <n v="6"/>
    <s v="Abroad"/>
    <s v="DEP SECDEF Work"/>
    <m/>
    <m/>
    <m/>
    <m/>
    <m/>
    <m/>
    <m/>
    <m/>
  </r>
  <r>
    <s v="Senior Level Visit"/>
    <s v="Oceania"/>
    <s v="America and Oceania"/>
    <s v="Comprehensive Strategic Partnership [全面战略伙伴关系]"/>
    <s v="ANZUS Treaty"/>
    <s v="INDOPACOM"/>
    <s v="Australia"/>
    <x v="23"/>
    <n v="12"/>
    <x v="3"/>
    <s v="Fan Changlong"/>
    <m/>
    <s v="CMC Vice Chairman"/>
    <n v="10"/>
    <s v="Hosted"/>
    <s v="ADF Chief"/>
    <m/>
    <m/>
    <m/>
    <m/>
    <m/>
    <m/>
    <m/>
    <m/>
  </r>
  <r>
    <s v="Senior Level Visit"/>
    <s v="South America"/>
    <s v="America and Oceania"/>
    <s v="No Specific Relationship"/>
    <s v="None"/>
    <s v="SOUTHCOM"/>
    <s v="Cuba"/>
    <x v="23"/>
    <n v="12"/>
    <x v="3"/>
    <s v="Chang Wanquan"/>
    <m/>
    <s v="Defense Minister; CMC Member"/>
    <n v="8"/>
    <s v="Hosted"/>
    <s v="Minister of Armed Forces"/>
    <m/>
    <m/>
    <m/>
    <m/>
    <m/>
    <m/>
    <m/>
    <m/>
  </r>
  <r>
    <s v="Senior Level Visit"/>
    <s v="Europe"/>
    <s v="Europe and Central Asia"/>
    <s v="Comprehensive Strategic Partnership [全面战略伙伴关系]"/>
    <s v="NATO"/>
    <s v="EUCOM"/>
    <s v="Germany"/>
    <x v="23"/>
    <n v="12"/>
    <x v="3"/>
    <s v="Sun Jianguo"/>
    <m/>
    <s v="GSD DCGS"/>
    <n v="6"/>
    <s v="Hosted"/>
    <s v="Delegation for CIISS; former minister of the interior"/>
    <m/>
    <m/>
    <m/>
    <m/>
    <m/>
    <m/>
    <m/>
    <m/>
  </r>
  <r>
    <s v="Senior Level Visit"/>
    <s v="Europe"/>
    <s v="Europe and Central Asia"/>
    <s v="Comprehensive Strategic Partnership [全面战略伙伴关系]"/>
    <s v="NATO"/>
    <s v="EUCOM"/>
    <s v="Greece"/>
    <x v="23"/>
    <n v="12"/>
    <x v="3"/>
    <s v="Sun Jianguo"/>
    <m/>
    <s v="GSD DCGS"/>
    <n v="6"/>
    <s v="Hosted"/>
    <s v="Delegation for CIISS; former chief of defense staff"/>
    <m/>
    <m/>
    <m/>
    <m/>
    <m/>
    <m/>
    <m/>
    <m/>
  </r>
  <r>
    <s v="Senior Level Visit"/>
    <s v="Central Asia"/>
    <s v="Europe and Central Asia"/>
    <s v="Comprehensive Strategic Partnership [全面战略伙伴关系]"/>
    <s v="None"/>
    <s v="CENTCOM"/>
    <s v="Kazakhstan"/>
    <x v="23"/>
    <n v="12"/>
    <x v="3"/>
    <s v="Sun Jianguo"/>
    <m/>
    <s v="GSD DCGS"/>
    <n v="6"/>
    <s v="Hosted"/>
    <s v="Delegation for CIISS; Kazakhstan Military Strategic Research Center"/>
    <m/>
    <m/>
    <m/>
    <m/>
    <m/>
    <m/>
    <m/>
    <m/>
  </r>
  <r>
    <s v="Senior Level Visit"/>
    <s v="Europe"/>
    <s v="Europe and Central Asia"/>
    <s v="No Specific Relationship"/>
    <s v="None"/>
    <s v="EUCOM"/>
    <s v="Macedonia"/>
    <x v="23"/>
    <n v="12"/>
    <x v="3"/>
    <s v="Chang Wanquan"/>
    <m/>
    <s v="Defense Minister; CMC Member"/>
    <n v="8"/>
    <s v="Hosted"/>
    <s v="State Secretary of Defense Ministry"/>
    <m/>
    <m/>
    <m/>
    <m/>
    <m/>
    <m/>
    <m/>
    <m/>
  </r>
  <r>
    <s v="Military Exercise"/>
    <s v="Southeast Asia"/>
    <s v="Asia"/>
    <s v="Comprehensive Strategic Partnership [全面战略伙伴关系]"/>
    <s v="None"/>
    <s v="INDOPACOM"/>
    <s v="Malaysia"/>
    <x v="23"/>
    <n v="12"/>
    <x v="5"/>
    <m/>
    <m/>
    <m/>
    <m/>
    <m/>
    <m/>
    <s v="MOOTW"/>
    <s v="Peace and Friendship 2014"/>
    <s v="Joint"/>
    <m/>
    <m/>
    <m/>
    <m/>
    <m/>
  </r>
  <r>
    <s v="Senior Level Visit"/>
    <s v="Oceania"/>
    <s v="America and Oceania"/>
    <s v="Comprehensive Strategic Partnership [全面战略伙伴关系]"/>
    <s v="ANZUS Treaty"/>
    <s v="INDOPACOM"/>
    <s v="New Zealand"/>
    <x v="23"/>
    <n v="12"/>
    <x v="3"/>
    <s v="Chang Wanquan "/>
    <m/>
    <s v="Defense Minister; CMC Member"/>
    <n v="8"/>
    <s v="Hosted"/>
    <s v="Deputy Secretary of Defense"/>
    <m/>
    <m/>
    <m/>
    <m/>
    <m/>
    <m/>
    <m/>
    <m/>
  </r>
  <r>
    <s v="Senior Level Visit"/>
    <s v="Europe"/>
    <s v="Europe and Central Asia"/>
    <s v="Comprehensive Strategic Partnership [全面战略伙伴关系]"/>
    <s v="NATO"/>
    <s v="EUCOM"/>
    <s v="Portugal"/>
    <x v="23"/>
    <n v="12"/>
    <x v="3"/>
    <s v="Ma Xiaotian"/>
    <m/>
    <s v="PLAAF Commander; CMC Member"/>
    <n v="8"/>
    <s v="Hosted"/>
    <s v="Air Force Chief of Staff"/>
    <m/>
    <m/>
    <m/>
    <m/>
    <m/>
    <m/>
    <m/>
    <m/>
  </r>
  <r>
    <s v="Military Exercise"/>
    <s v="North America"/>
    <s v="America and Oceania"/>
    <s v="No Specific Relationship"/>
    <s v="N/A"/>
    <s v="NORTHCOM"/>
    <s v="United States"/>
    <x v="23"/>
    <n v="12"/>
    <x v="5"/>
    <m/>
    <m/>
    <m/>
    <m/>
    <m/>
    <m/>
    <s v="Anti-piracy"/>
    <s v="None"/>
    <s v="Navy"/>
    <s v="anti-piracy drill, CUES"/>
    <m/>
    <m/>
    <m/>
    <m/>
  </r>
  <r>
    <s v="Senior Level Visit"/>
    <s v="Southeast Asia"/>
    <s v="Asia"/>
    <s v="Comprehensive Strategic Cooperative Partnership [全面战略合作伙伴关系]"/>
    <s v="None"/>
    <s v="INDOPACOM"/>
    <s v="Vietnam"/>
    <x v="23"/>
    <n v="12"/>
    <x v="3"/>
    <s v="Jia Tingan"/>
    <m/>
    <s v="GPD Deputy Director"/>
    <n v="6"/>
    <s v="Hosted"/>
    <s v="Political Work delegation"/>
    <m/>
    <m/>
    <m/>
    <m/>
    <m/>
    <m/>
    <m/>
    <m/>
  </r>
  <r>
    <s v="Naval Port Call"/>
    <s v="Middle East"/>
    <s v="West Asia and Africa"/>
    <s v="No Specific Relationship"/>
    <s v="None"/>
    <s v="CENTCOM"/>
    <s v="Djibouti"/>
    <x v="24"/>
    <n v="1"/>
    <x v="9"/>
    <m/>
    <m/>
    <m/>
    <m/>
    <m/>
    <m/>
    <m/>
    <m/>
    <m/>
    <m/>
    <s v="ETF"/>
    <s v="ETF-19"/>
    <s v="North Sea Fleet"/>
    <s v="FFG547 Linyi, FFG550 Weifang, AOR887 Weishan Hu"/>
  </r>
  <r>
    <s v="Naval Port Call"/>
    <s v="Europe"/>
    <s v="Europe and Central Asia"/>
    <s v="Comprehensive Strategic Partnership [全面战略伙伴关系]"/>
    <s v="NATO"/>
    <s v="EUCOM"/>
    <s v="Germany"/>
    <x v="24"/>
    <n v="1"/>
    <x v="0"/>
    <m/>
    <m/>
    <m/>
    <m/>
    <m/>
    <m/>
    <m/>
    <m/>
    <m/>
    <m/>
    <s v="ETF"/>
    <s v="ETF-18"/>
    <s v="South Sea Fleet"/>
    <s v="LPD989 Changbai Shan, FFG571 Yuncheng, AOR890 Chao Hu"/>
  </r>
  <r>
    <s v="Naval Port Call"/>
    <s v="Europe"/>
    <s v="Europe and Central Asia"/>
    <s v="Comprehensive Cooperative Partnership [全面合作伙伴关系]"/>
    <s v="NATO"/>
    <s v="EUCOM"/>
    <s v="Netherlands"/>
    <x v="24"/>
    <n v="1"/>
    <x v="0"/>
    <m/>
    <m/>
    <m/>
    <m/>
    <m/>
    <m/>
    <m/>
    <m/>
    <m/>
    <m/>
    <s v="ETF"/>
    <s v="ETF-18"/>
    <s v="South Sea Fleet"/>
    <s v="LPD989 Changbai Shan, FFG571 Yuncheng, AOR890 Chao Hu"/>
  </r>
  <r>
    <s v="Naval Port Call"/>
    <s v="Middle East"/>
    <s v="West Asia and Africa"/>
    <s v="No Specific Relationship"/>
    <s v="None"/>
    <s v="CENTCOM"/>
    <s v="Oman"/>
    <x v="24"/>
    <n v="1"/>
    <x v="9"/>
    <m/>
    <m/>
    <m/>
    <m/>
    <m/>
    <m/>
    <m/>
    <m/>
    <m/>
    <m/>
    <s v="ETF"/>
    <s v="ETF-19"/>
    <s v="North Sea Fleet"/>
    <s v="FFG547 Linyi, FFG550 Weifang, AOR887 Weishan Hu"/>
  </r>
  <r>
    <s v="Naval Port Call"/>
    <s v="Europe"/>
    <s v="Europe and Central Asia"/>
    <s v="Comprehensive Strategic Partnership [全面战略伙伴关系]"/>
    <s v="NATO"/>
    <s v="EUCOM"/>
    <s v="United Kingdom"/>
    <x v="24"/>
    <n v="1"/>
    <x v="0"/>
    <m/>
    <m/>
    <m/>
    <m/>
    <m/>
    <m/>
    <m/>
    <m/>
    <m/>
    <m/>
    <s v="ETF"/>
    <s v="ETF-19"/>
    <s v="North Sea Fleet"/>
    <s v="FFG547 Linyi, FFG550 Weifang, AOR887 Weishan Hu"/>
  </r>
  <r>
    <s v="Military Exercise"/>
    <s v="North America"/>
    <s v="America and Oceania"/>
    <s v="No Specific Relationship"/>
    <s v="N/A"/>
    <s v="NORTHCOM"/>
    <s v="United States"/>
    <x v="24"/>
    <n v="1"/>
    <x v="5"/>
    <m/>
    <m/>
    <m/>
    <m/>
    <m/>
    <m/>
    <s v="MOOTW"/>
    <s v="10th Disaster Management Exchange"/>
    <s v="Army"/>
    <s v="Guangzhou and Haikou; HADR with academic discussion, TTX, and field exchange; planned for 2014"/>
    <m/>
    <m/>
    <m/>
    <m/>
  </r>
  <r>
    <s v="Military Exercise"/>
    <s v="Europe"/>
    <s v="Europe and Central Asia"/>
    <s v="Comprehensive Strategic Partnership [全面战略伙伴关系]"/>
    <s v="NATO"/>
    <s v="EUCOM"/>
    <s v="France"/>
    <x v="24"/>
    <n v="2"/>
    <x v="5"/>
    <m/>
    <m/>
    <m/>
    <m/>
    <m/>
    <m/>
    <s v="MOOTW"/>
    <s v="None"/>
    <s v="Navy"/>
    <s v="communication and fleet maneuvers; ETF-18"/>
    <m/>
    <m/>
    <m/>
    <m/>
  </r>
  <r>
    <s v="Naval Port Call"/>
    <s v="Europe"/>
    <s v="Europe and Central Asia"/>
    <s v="Comprehensive Strategic Partnership [全面战略伙伴关系]"/>
    <s v="NATO"/>
    <s v="EUCOM"/>
    <s v="France"/>
    <x v="24"/>
    <n v="2"/>
    <x v="0"/>
    <m/>
    <m/>
    <m/>
    <m/>
    <m/>
    <m/>
    <m/>
    <m/>
    <m/>
    <m/>
    <s v="ETF"/>
    <s v="ETF-18"/>
    <s v="South Sea Fleet"/>
    <s v="LPD989 Changbai Shan, FFG571 Yuncheng, AOR890 Chao Hu"/>
  </r>
  <r>
    <s v="Military Exercise"/>
    <s v="Europe"/>
    <s v="Europe and Central Asia"/>
    <s v="Comprehensive Strategic Partnership [全面战略伙伴关系]"/>
    <s v="NATO"/>
    <s v="EUCOM"/>
    <s v="Greece"/>
    <x v="24"/>
    <n v="2"/>
    <x v="5"/>
    <m/>
    <m/>
    <m/>
    <m/>
    <m/>
    <m/>
    <s v="MOOTW"/>
    <s v="None"/>
    <s v="Navy"/>
    <s v="communication and fleet maneuvers; ETF-18"/>
    <m/>
    <m/>
    <m/>
    <m/>
  </r>
  <r>
    <s v="Naval Port Call"/>
    <s v="Europe"/>
    <s v="Europe and Central Asia"/>
    <s v="Comprehensive Strategic Partnership [全面战略伙伴关系]"/>
    <s v="NATO"/>
    <s v="EUCOM"/>
    <s v="Greece"/>
    <x v="24"/>
    <n v="2"/>
    <x v="0"/>
    <m/>
    <m/>
    <m/>
    <m/>
    <m/>
    <m/>
    <m/>
    <m/>
    <m/>
    <m/>
    <s v="ETF"/>
    <s v="ETF-18"/>
    <s v="South Sea Fleet"/>
    <s v="LPD989 Changbai Shan, FFG571 Yuncheng, AOR890 Chao Hu"/>
  </r>
  <r>
    <s v="Senior Level Visit"/>
    <s v="Europe"/>
    <s v="Europe and Central Asia"/>
    <s v="Strategic Partnership [战略伙伴关系]"/>
    <s v="NATO"/>
    <s v="EUCOM"/>
    <s v="Poland"/>
    <x v="24"/>
    <n v="2"/>
    <x v="3"/>
    <s v="Sun Jianguo"/>
    <m/>
    <s v="GSD DCGS"/>
    <n v="6"/>
    <s v="Hosted"/>
    <s v="Commander, Multi-Service Joint GHQ of Armed Forces"/>
    <m/>
    <m/>
    <m/>
    <m/>
    <m/>
    <m/>
    <m/>
    <m/>
  </r>
  <r>
    <s v="Senior Level Visit"/>
    <s v="Northeast Asia"/>
    <s v="Asia"/>
    <s v="Strategic Cooperative Partnership [战略合作伙伴关系]"/>
    <s v="Bilateral Defense Treaty"/>
    <s v="INDOPACOM"/>
    <s v="South Korea"/>
    <x v="24"/>
    <n v="2"/>
    <x v="4"/>
    <s v="Chang Wanquan"/>
    <m/>
    <s v="Defense Minister; CMC Member"/>
    <n v="8"/>
    <s v="Abroad"/>
    <m/>
    <m/>
    <m/>
    <m/>
    <m/>
    <m/>
    <m/>
    <m/>
    <m/>
  </r>
  <r>
    <s v="Senior Level Visit"/>
    <s v="Southeast Asia"/>
    <s v="Asia"/>
    <s v="Comprehensive Strategic Cooperative Partnership [全面战略合作伙伴关系]"/>
    <s v="Bilateral Defense Treaty"/>
    <s v="INDOPACOM"/>
    <s v="Thailand"/>
    <x v="24"/>
    <n v="2"/>
    <x v="4"/>
    <s v="Chang Wanquan"/>
    <m/>
    <s v="Defense Minister; CMC Member"/>
    <n v="8"/>
    <s v="Abroad"/>
    <m/>
    <m/>
    <m/>
    <m/>
    <m/>
    <m/>
    <m/>
    <m/>
    <m/>
  </r>
  <r>
    <s v="Military Exercise"/>
    <s v="Southeast Asia"/>
    <s v="Asia"/>
    <s v="Comprehensive Strategic Cooperative Partnership [全面战略合作伙伴关系]"/>
    <s v="Bilateral Defense Treaty"/>
    <s v="INDOPACOM"/>
    <s v="Thailand"/>
    <x v="24"/>
    <n v="2"/>
    <x v="6"/>
    <m/>
    <m/>
    <m/>
    <m/>
    <m/>
    <m/>
    <s v="MOOTW"/>
    <s v="Cobra Gold 2015"/>
    <s v="Army"/>
    <s v="HADR"/>
    <m/>
    <m/>
    <m/>
    <m/>
  </r>
  <r>
    <s v="Senior Level Visit"/>
    <s v="Europe"/>
    <s v="Europe and Central Asia"/>
    <s v="No Specific Relationship"/>
    <s v="NATO"/>
    <s v="EUCOM"/>
    <s v="Czech Republic"/>
    <x v="24"/>
    <n v="3"/>
    <x v="4"/>
    <s v="Sun Jianguo"/>
    <m/>
    <s v="GSD DCGS"/>
    <n v="6"/>
    <s v="Abroad"/>
    <m/>
    <m/>
    <m/>
    <m/>
    <m/>
    <m/>
    <m/>
    <m/>
    <m/>
  </r>
  <r>
    <s v="Senior Level Visit"/>
    <s v="Europe"/>
    <s v="Europe and Central Asia"/>
    <s v="Comprehensive Strategic Partnership [全面战略伙伴关系]"/>
    <s v="NATO"/>
    <s v="EUCOM"/>
    <s v="France"/>
    <x v="24"/>
    <n v="3"/>
    <x v="3"/>
    <s v="Wu Shengli"/>
    <m/>
    <s v="PLAN Commander; CMC Member"/>
    <n v="8"/>
    <s v="Hosted"/>
    <s v="Navy Chief of Staff"/>
    <m/>
    <m/>
    <m/>
    <m/>
    <m/>
    <m/>
    <m/>
    <m/>
  </r>
  <r>
    <s v="Senior Level Visit"/>
    <s v="South Asia"/>
    <s v="Asia"/>
    <s v="Strategic Partnership for Peace and Prosperity [战略伙伴关系]"/>
    <s v="None"/>
    <s v="INDOPACOM"/>
    <s v="India"/>
    <x v="24"/>
    <n v="3"/>
    <x v="3"/>
    <s v="Sun Jianguo"/>
    <m/>
    <s v="GSD DCGS"/>
    <n v="6"/>
    <s v="Hosted"/>
    <s v="Military delegation"/>
    <m/>
    <m/>
    <m/>
    <m/>
    <m/>
    <m/>
    <m/>
    <m/>
  </r>
  <r>
    <s v="Senior Level Visit"/>
    <s v="Africa"/>
    <s v="West Asia and Africa"/>
    <s v="No Specific Relationship"/>
    <s v="None"/>
    <s v="AFRICOM"/>
    <s v="Namibia"/>
    <x v="24"/>
    <n v="3"/>
    <x v="4"/>
    <s v="Chang Wanquan"/>
    <m/>
    <s v="Defense Minister; CMC Member"/>
    <n v="8"/>
    <s v="Abroad"/>
    <m/>
    <m/>
    <m/>
    <m/>
    <m/>
    <m/>
    <m/>
    <m/>
    <m/>
  </r>
  <r>
    <s v="Naval Port Call"/>
    <s v="Middle East"/>
    <s v="West Asia and Africa"/>
    <s v="No Specific Relationship"/>
    <s v="None"/>
    <s v="CENTCOM"/>
    <s v="Oman"/>
    <x v="24"/>
    <n v="3"/>
    <x v="9"/>
    <m/>
    <m/>
    <m/>
    <m/>
    <m/>
    <m/>
    <m/>
    <m/>
    <m/>
    <m/>
    <s v="ETF"/>
    <s v="ETF-19"/>
    <s v="North Sea Fleet"/>
    <s v="FFG547 Linyi, FFG550 Weifang, AOR887 Weishan Hu"/>
  </r>
  <r>
    <s v="Senior Level Visit"/>
    <s v="South Asia"/>
    <s v="Asia"/>
    <s v="All-Weather Strategic Cooperative Partnership [全天候战略合作伙伴关系]"/>
    <s v="Major Non-NATO Ally"/>
    <s v="CENTCOM"/>
    <s v="Pakistan"/>
    <x v="24"/>
    <n v="3"/>
    <x v="3"/>
    <s v="Fan Changlong"/>
    <m/>
    <s v="CMC Vice Chairman"/>
    <n v="10"/>
    <s v="Hosted"/>
    <s v="Navy Chief of Staff"/>
    <m/>
    <m/>
    <m/>
    <m/>
    <m/>
    <m/>
    <m/>
    <m/>
  </r>
  <r>
    <s v="Senior Level Visit"/>
    <s v="Europe"/>
    <s v="Europe and Central Asia"/>
    <s v="Strategic Partnership [战略伙伴关系]"/>
    <s v="NATO"/>
    <s v="EUCOM"/>
    <s v="Poland"/>
    <x v="24"/>
    <n v="3"/>
    <x v="4"/>
    <s v="Sun Jianguo"/>
    <m/>
    <s v="GSD DCGS"/>
    <n v="6"/>
    <s v="Abroad"/>
    <m/>
    <m/>
    <m/>
    <m/>
    <m/>
    <m/>
    <m/>
    <m/>
    <m/>
  </r>
  <r>
    <s v="Senior Level Visit"/>
    <s v="Europe"/>
    <s v="Europe and Central Asia"/>
    <s v="Comprehensive Friendly Cooperative Partnership [全面友好合作伙伴关系]"/>
    <s v="NATO"/>
    <s v="EUCOM"/>
    <s v="Romania"/>
    <x v="24"/>
    <n v="3"/>
    <x v="4"/>
    <s v="Sun Jianguo"/>
    <m/>
    <s v="GSD DCGS"/>
    <n v="6"/>
    <s v="Abroad"/>
    <m/>
    <m/>
    <m/>
    <m/>
    <m/>
    <m/>
    <m/>
    <m/>
    <m/>
  </r>
  <r>
    <s v="Senior Level Visit"/>
    <s v="Russia"/>
    <s v="Europe and Central Asia"/>
    <s v="Comprehensive Collaborative Strategic Partnership [全面战略协作伙伴关系]"/>
    <s v="None"/>
    <s v="EUCOM"/>
    <s v="Russia"/>
    <x v="24"/>
    <n v="3"/>
    <x v="3"/>
    <s v="Qi Jianguo"/>
    <m/>
    <s v="GSD DCGS"/>
    <n v="6"/>
    <s v="Hosted"/>
    <s v="DCOGS and concurrent Chief of Main Communications Directorate"/>
    <m/>
    <m/>
    <m/>
    <m/>
    <m/>
    <m/>
    <m/>
    <m/>
  </r>
  <r>
    <s v="Naval Port Call"/>
    <s v="Southeast Asia"/>
    <s v="Asia"/>
    <s v="All-Round Cooperative Partnership [全方合作伙伴关系]"/>
    <s v="None"/>
    <s v="INDOPACOM"/>
    <s v="Singapore"/>
    <x v="24"/>
    <n v="3"/>
    <x v="0"/>
    <m/>
    <m/>
    <m/>
    <m/>
    <m/>
    <m/>
    <m/>
    <m/>
    <m/>
    <m/>
    <s v="ETF"/>
    <s v="ETF-18"/>
    <s v="South Sea Fleet"/>
    <s v="LPD989 Changbai Shan, FFG571 Yuncheng, AOR890 Chao Hu"/>
  </r>
  <r>
    <s v="Senior Level Visit"/>
    <s v="Southeast Asia"/>
    <s v="Asia"/>
    <s v="Comprehensive Strategic Cooperative Partnership [全面战略合作伙伴关系]"/>
    <s v="Bilateral Defense Treaty"/>
    <s v="INDOPACOM"/>
    <s v="Thailand"/>
    <x v="24"/>
    <n v="3"/>
    <x v="3"/>
    <s v="Qi Jianguo"/>
    <m/>
    <s v="GSD DCGS"/>
    <n v="6"/>
    <s v="Hosted"/>
    <s v="Commander, Counter-terrorism Center of Supreme Command HQ"/>
    <m/>
    <m/>
    <m/>
    <m/>
    <m/>
    <m/>
    <m/>
    <m/>
  </r>
  <r>
    <s v="Senior Level Visit"/>
    <s v="Europe"/>
    <s v="Europe and Central Asia"/>
    <s v="Comprehensive Strategic Partnership [全面战略伙伴关系]"/>
    <s v="NATO"/>
    <s v="EUCOM"/>
    <s v="United Kingdom"/>
    <x v="24"/>
    <n v="3"/>
    <x v="3"/>
    <s v="Xu Qiliang"/>
    <m/>
    <s v="CMC Vice Chairman"/>
    <n v="10"/>
    <s v="Hosted"/>
    <s v="COGS"/>
    <m/>
    <m/>
    <m/>
    <m/>
    <m/>
    <m/>
    <m/>
    <m/>
  </r>
  <r>
    <s v="Senior Level Visit"/>
    <s v="North America"/>
    <s v="America and Oceania"/>
    <s v="No Specific Relationship"/>
    <s v="N/A"/>
    <s v="NORTHCOM"/>
    <s v="United States"/>
    <x v="24"/>
    <n v="3"/>
    <x v="4"/>
    <s v="Sun Jianguo"/>
    <m/>
    <s v="GSD DCGS"/>
    <n v="6"/>
    <s v="Abroad"/>
    <m/>
    <m/>
    <m/>
    <m/>
    <m/>
    <m/>
    <m/>
    <m/>
    <m/>
  </r>
  <r>
    <s v="Senior Level Visit"/>
    <s v="Africa"/>
    <s v="West Asia and Africa"/>
    <s v="No Specific Relationship"/>
    <s v="None"/>
    <s v="AFRICOM"/>
    <s v="Zimbabwe"/>
    <x v="24"/>
    <n v="3"/>
    <x v="4"/>
    <s v="Chang Wanquan"/>
    <m/>
    <s v="Defense Minister; CMC Member"/>
    <n v="8"/>
    <s v="Abroad"/>
    <m/>
    <m/>
    <m/>
    <m/>
    <m/>
    <m/>
    <m/>
    <m/>
    <m/>
  </r>
  <r>
    <s v="Senior Level Visit"/>
    <s v="South America"/>
    <s v="America and Oceania"/>
    <s v="Comprehensive Strategic Partnership [全面战略伙伴关系]"/>
    <s v="Major Non-NATO Ally"/>
    <s v="SOUTHCOM"/>
    <s v="Argentina"/>
    <x v="24"/>
    <n v="4"/>
    <x v="4"/>
    <s v="Sun Jianguo"/>
    <m/>
    <s v="GSD DCGS"/>
    <n v="6"/>
    <s v="Abroad"/>
    <m/>
    <m/>
    <m/>
    <m/>
    <m/>
    <m/>
    <m/>
    <m/>
    <m/>
  </r>
  <r>
    <s v="Senior Level Visit"/>
    <s v="Europe"/>
    <s v="Europe and Central Asia"/>
    <s v="Comprehensive Strategic Partnership [全面战略伙伴关系]"/>
    <s v="None"/>
    <s v="EUCOM"/>
    <s v="Belarus"/>
    <x v="24"/>
    <n v="4"/>
    <x v="3"/>
    <s v="Xu Qiliang"/>
    <m/>
    <s v="CMC Vice Chairman"/>
    <n v="10"/>
    <s v="Hosted"/>
    <s v="Security Council Secretary"/>
    <m/>
    <m/>
    <m/>
    <m/>
    <m/>
    <m/>
    <m/>
    <m/>
  </r>
  <r>
    <s v="Senior Level Visit"/>
    <s v="South America"/>
    <s v="America and Oceania"/>
    <s v="Comprehensive Strategic Partnership [全面战略伙伴关系]"/>
    <s v="None"/>
    <s v="SOUTHCOM"/>
    <s v="Brazil"/>
    <x v="24"/>
    <n v="4"/>
    <x v="4"/>
    <s v="Sun Jianguo"/>
    <m/>
    <s v="GSD DCGS"/>
    <n v="6"/>
    <s v="Abroad"/>
    <m/>
    <m/>
    <m/>
    <m/>
    <m/>
    <m/>
    <m/>
    <m/>
    <m/>
  </r>
  <r>
    <s v="Senior Level Visit"/>
    <s v="South America"/>
    <s v="America and Oceania"/>
    <s v="Strategic Partnership [战略伙伴关系]"/>
    <s v="None"/>
    <s v="SOUTHCOM"/>
    <s v="Chile"/>
    <x v="24"/>
    <n v="4"/>
    <x v="3"/>
    <s v="Chang Wanquan"/>
    <m/>
    <s v="Defense Minister; CMC Member"/>
    <n v="8"/>
    <s v="Hosted"/>
    <s v="Air Force Commander"/>
    <m/>
    <m/>
    <m/>
    <m/>
    <m/>
    <m/>
    <m/>
    <m/>
  </r>
  <r>
    <s v="Senior Level Visit"/>
    <s v="Middle East"/>
    <s v="West Asia and Africa"/>
    <s v="Comprehensive Strategic Partnership [全面战略伙伴关系]"/>
    <s v="Major Non-NATO Ally"/>
    <s v="CENTCOM"/>
    <s v="Egypt"/>
    <x v="24"/>
    <n v="4"/>
    <x v="3"/>
    <s v="Fan Changlong"/>
    <m/>
    <s v="CMC Vice Chairman"/>
    <n v="10"/>
    <s v="Hosted"/>
    <s v="Defense Minister"/>
    <m/>
    <m/>
    <m/>
    <m/>
    <m/>
    <m/>
    <m/>
    <m/>
  </r>
  <r>
    <s v="Senior Level Visit"/>
    <s v="Europe"/>
    <s v="Europe and Central Asia"/>
    <s v="No Specific Relationship"/>
    <s v="None"/>
    <s v="EUCOM"/>
    <s v="Finland"/>
    <x v="24"/>
    <n v="4"/>
    <x v="3"/>
    <s v="Zhao Keshi"/>
    <m/>
    <s v="GLD Director; CMC Member"/>
    <n v="8"/>
    <s v="Hosted"/>
    <s v="DCOGS"/>
    <m/>
    <m/>
    <m/>
    <m/>
    <m/>
    <m/>
    <m/>
    <m/>
  </r>
  <r>
    <s v="Senior Level Visit"/>
    <s v="Europe"/>
    <s v="Europe and Central Asia"/>
    <s v="Comprehensive Strategic Partnership [全面战略伙伴关系]"/>
    <s v="NATO"/>
    <s v="EUCOM"/>
    <s v="France"/>
    <x v="24"/>
    <n v="4"/>
    <x v="3"/>
    <s v="Fang Fenghui"/>
    <m/>
    <s v="GSD Commander; CMC Member"/>
    <n v="8"/>
    <s v="Hosted"/>
    <s v="Navy Chief of Staff"/>
    <m/>
    <m/>
    <m/>
    <m/>
    <m/>
    <m/>
    <m/>
    <m/>
  </r>
  <r>
    <s v="Senior Level Visit"/>
    <s v="South Asia"/>
    <s v="Asia"/>
    <s v="Strategic Partnership for Peace and Prosperity [战略伙伴关系]"/>
    <s v="None"/>
    <s v="INDOPACOM"/>
    <s v="India"/>
    <x v="24"/>
    <n v="4"/>
    <x v="3"/>
    <s v="Chang Wanquan"/>
    <m/>
    <s v="Defense Minister; CMC Member"/>
    <n v="8"/>
    <s v="Hosted"/>
    <s v="Defense Secretary"/>
    <m/>
    <m/>
    <m/>
    <m/>
    <m/>
    <m/>
    <m/>
    <m/>
  </r>
  <r>
    <s v="Senior Level Visit"/>
    <s v="Middle East"/>
    <s v="West Asia and Africa"/>
    <s v="No Specific Relationship"/>
    <s v="None"/>
    <s v="CENTCOM"/>
    <s v="Iran"/>
    <x v="24"/>
    <n v="4"/>
    <x v="4"/>
    <s v="Chang Wanquan"/>
    <m/>
    <s v="Defense Minister; CMC Member"/>
    <n v="8"/>
    <s v="Abroad"/>
    <s v="Defense Minister"/>
    <m/>
    <m/>
    <m/>
    <m/>
    <m/>
    <m/>
    <m/>
    <m/>
  </r>
  <r>
    <s v="Senior Level Visit"/>
    <s v="Africa"/>
    <s v="West Asia and Africa"/>
    <s v="No Specific Relationship"/>
    <s v="None"/>
    <s v="AFRICOM"/>
    <s v="Ivory Coast"/>
    <x v="24"/>
    <n v="4"/>
    <x v="3"/>
    <s v="Chang Wanquan"/>
    <m/>
    <s v="Defense Minister; CMC Member"/>
    <n v="8"/>
    <s v="Hosted"/>
    <s v="Defense Minister"/>
    <m/>
    <m/>
    <m/>
    <m/>
    <m/>
    <m/>
    <m/>
    <m/>
  </r>
  <r>
    <s v="Naval Port Call"/>
    <s v="Africa"/>
    <s v="West Asia and Africa"/>
    <s v="No Specific Relationship"/>
    <s v="None"/>
    <s v="AFRICOM"/>
    <s v="Mauritius"/>
    <x v="24"/>
    <n v="4"/>
    <x v="0"/>
    <m/>
    <m/>
    <m/>
    <m/>
    <m/>
    <m/>
    <m/>
    <m/>
    <m/>
    <m/>
    <s v="NETF"/>
    <s v="2015-04 Zhu Kezhen "/>
    <s v="East Sea Fleet"/>
    <s v="survey ship"/>
  </r>
  <r>
    <s v="Senior Level Visit"/>
    <s v="Northeast Asia"/>
    <s v="Asia"/>
    <s v="Comprehensive Strategic Partnership [全面战略伙伴关系]"/>
    <s v="None"/>
    <s v="INDOPACOM"/>
    <s v="Mongolia"/>
    <x v="24"/>
    <n v="4"/>
    <x v="3"/>
    <s v="Chang Wanquan"/>
    <m/>
    <s v="Defense Minister; CMC Member"/>
    <n v="8"/>
    <s v="Hosted"/>
    <s v="Commander of General Purpose Troops"/>
    <m/>
    <m/>
    <m/>
    <m/>
    <m/>
    <m/>
    <m/>
    <m/>
  </r>
  <r>
    <s v="Senior Level Visit"/>
    <s v="Southeast Asia"/>
    <s v="Asia"/>
    <s v="Comprehensive Strategic Cooperative Partnership [全面战略合作伙伴关系]"/>
    <s v="None"/>
    <s v="INDOPACOM"/>
    <s v="Myanmar"/>
    <x v="24"/>
    <n v="4"/>
    <x v="3"/>
    <s v="Fang Fenghui"/>
    <m/>
    <s v="GSD Commander; CMC Member"/>
    <n v="8"/>
    <s v="Hosted"/>
    <s v="Chief of Second Bureau of Special Operations, Myanmar Army"/>
    <m/>
    <m/>
    <m/>
    <m/>
    <m/>
    <m/>
    <m/>
    <m/>
  </r>
  <r>
    <s v="Senior Level Visit"/>
    <s v="Russia"/>
    <s v="Europe and Central Asia"/>
    <s v="Comprehensive Collaborative Strategic Partnership [全面战略协作伙伴关系]"/>
    <s v="None"/>
    <s v="EUCOM"/>
    <s v="Russia"/>
    <x v="24"/>
    <n v="4"/>
    <x v="4"/>
    <s v="Chang Wanquan"/>
    <m/>
    <s v="Defense Minister; CMC Member"/>
    <n v="8"/>
    <s v="Abroad"/>
    <m/>
    <m/>
    <m/>
    <m/>
    <m/>
    <m/>
    <m/>
    <m/>
    <m/>
  </r>
  <r>
    <s v="Military Exercise"/>
    <s v="Central Asia"/>
    <s v="Europe and Central Asia"/>
    <s v="Member"/>
    <s v="None"/>
    <s v="CENTCOM"/>
    <s v="SCO"/>
    <x v="24"/>
    <n v="4"/>
    <x v="6"/>
    <m/>
    <m/>
    <m/>
    <m/>
    <m/>
    <m/>
    <s v="Anti-terrorism"/>
    <s v="None"/>
    <s v="Army"/>
    <s v="SCO anti-terrorism; Kazakhstan, Kyrgyzstan, Tajikistan,Russia"/>
    <m/>
    <m/>
    <m/>
    <m/>
  </r>
  <r>
    <s v="Senior Level Visit"/>
    <s v="Southeast Asia"/>
    <s v="Asia"/>
    <s v="All-Round Cooperative Partnership [全方合作伙伴关系]"/>
    <s v="None"/>
    <s v="INDOPACOM"/>
    <s v="Singapore"/>
    <x v="24"/>
    <n v="4"/>
    <x v="3"/>
    <s v="Chang Wanquan"/>
    <m/>
    <s v="Defense Minister; CMC Member"/>
    <n v="8"/>
    <s v="Hosted"/>
    <s v="Chief of Defense Force"/>
    <m/>
    <m/>
    <m/>
    <m/>
    <m/>
    <m/>
    <m/>
    <m/>
  </r>
  <r>
    <s v="Naval Port Call"/>
    <s v="Africa"/>
    <s v="West Asia and Africa"/>
    <s v="Comprehensive Strategic Partnership [全面战略伙伴关系]"/>
    <s v="None"/>
    <s v="AFRICOM"/>
    <s v="South Africa"/>
    <x v="24"/>
    <n v="4"/>
    <x v="0"/>
    <m/>
    <m/>
    <m/>
    <m/>
    <m/>
    <m/>
    <m/>
    <m/>
    <m/>
    <m/>
    <s v="NETF"/>
    <s v="2015-04 Zhu Kezhen "/>
    <s v="East Sea Fleet"/>
    <s v="survey ship"/>
  </r>
  <r>
    <s v="Senior Level Visit"/>
    <s v="Southeast Asia"/>
    <s v="Asia"/>
    <s v="Comprehensive Strategic Cooperative Partnership [全面战略合作伙伴关系]"/>
    <s v="Bilateral Defense Treaty"/>
    <s v="INDOPACOM"/>
    <s v="Thailand"/>
    <x v="24"/>
    <n v="4"/>
    <x v="3"/>
    <s v="Xu Qiliang"/>
    <m/>
    <s v="CMC Vice Chairman"/>
    <n v="10"/>
    <s v="Hosted"/>
    <s v="Defense Minister"/>
    <m/>
    <m/>
    <m/>
    <m/>
    <m/>
    <m/>
    <m/>
    <m/>
  </r>
  <r>
    <s v="Naval Port Call"/>
    <s v="Middle East"/>
    <s v="West Asia and Africa"/>
    <s v="No Specific Relationship"/>
    <s v="None"/>
    <s v="CENTCOM"/>
    <s v="Yemen"/>
    <x v="24"/>
    <n v="4"/>
    <x v="14"/>
    <m/>
    <m/>
    <m/>
    <m/>
    <m/>
    <m/>
    <m/>
    <m/>
    <m/>
    <m/>
    <s v="ETF"/>
    <s v="ETF-19"/>
    <s v="North Sea Fleet"/>
    <s v="Linyi FFG, Weifang FFG"/>
  </r>
  <r>
    <s v="Military Exercise"/>
    <s v="Southeast Asia"/>
    <s v="Asia"/>
    <s v="Strategic Partnership [战略伙伴关系] for Peace and Prosperity"/>
    <s v="None"/>
    <s v="INDOPACOM"/>
    <s v="ASEAN"/>
    <x v="24"/>
    <n v="5"/>
    <x v="6"/>
    <m/>
    <m/>
    <m/>
    <m/>
    <m/>
    <m/>
    <s v="MOOTW"/>
    <s v="ARF Disaster Relief - DiRex 2015"/>
    <s v="Navy"/>
    <s v="HADR. Other countries: Malaysia, Brunei, Cambodia, India, Indonesia, Singapore, Thailand, Vietnam"/>
    <m/>
    <m/>
    <m/>
    <m/>
  </r>
  <r>
    <s v="Senior Level Visit"/>
    <s v="Oceania"/>
    <s v="America and Oceania"/>
    <s v="Comprehensive Strategic Partnership [全面战略伙伴关系]"/>
    <s v="ANZUS Treaty"/>
    <s v="INDOPACOM"/>
    <s v="Australia"/>
    <x v="24"/>
    <n v="5"/>
    <x v="3"/>
    <s v="Wang Jianping"/>
    <m/>
    <s v="GSD DCGS"/>
    <n v="6"/>
    <s v="Hosted"/>
    <s v="Chief of Joint Operations"/>
    <m/>
    <m/>
    <m/>
    <m/>
    <m/>
    <m/>
    <m/>
    <m/>
  </r>
  <r>
    <s v="Senior Level Visit"/>
    <s v="Europe"/>
    <s v="Europe and Central Asia"/>
    <s v="Comprehensive Strategic Partnership [全面战略伙伴关系]"/>
    <s v="None"/>
    <s v="EUCOM"/>
    <s v="Belarus"/>
    <x v="24"/>
    <n v="5"/>
    <x v="3"/>
    <s v="Fan Changlong"/>
    <m/>
    <s v="CMC Vice Chairman"/>
    <n v="10"/>
    <s v="Hosted"/>
    <s v="Defense Minister"/>
    <m/>
    <m/>
    <m/>
    <m/>
    <m/>
    <m/>
    <m/>
    <m/>
  </r>
  <r>
    <s v="Naval Port Call"/>
    <s v="South America"/>
    <s v="America and Oceania"/>
    <s v="Comprehensive Strategic Partnership [全面战略伙伴关系]"/>
    <s v="None"/>
    <s v="SOUTHCOM"/>
    <s v="Brazil"/>
    <x v="24"/>
    <n v="5"/>
    <x v="0"/>
    <m/>
    <m/>
    <m/>
    <m/>
    <m/>
    <m/>
    <m/>
    <m/>
    <m/>
    <m/>
    <s v="NETF"/>
    <s v="2015-05 Zhu Kezhen "/>
    <s v="East Sea Fleet"/>
    <s v="survey ship"/>
  </r>
  <r>
    <s v="Military Exercise"/>
    <s v="Europe"/>
    <s v="Europe and Central Asia"/>
    <s v="Comprehensive Strategic Partnership [全面战略伙伴关系]"/>
    <s v="NATO"/>
    <s v="EUCOM"/>
    <s v="France"/>
    <x v="24"/>
    <n v="5"/>
    <x v="5"/>
    <m/>
    <m/>
    <m/>
    <m/>
    <m/>
    <m/>
    <s v="MOOTW"/>
    <s v="None"/>
    <s v="Navy"/>
    <s v="FFG529 Zhoushan UNREP sailing, boarding"/>
    <m/>
    <m/>
    <m/>
    <m/>
  </r>
  <r>
    <s v="Senior Level Visit"/>
    <s v="Southeast Asia"/>
    <s v="Asia"/>
    <s v="No Specific Relationship"/>
    <s v="None"/>
    <s v="INDOPACOM"/>
    <s v="IISS"/>
    <x v="24"/>
    <n v="5"/>
    <x v="1"/>
    <s v="Sun Jianguo"/>
    <m/>
    <s v="CMC/JSD DCJS"/>
    <n v="6"/>
    <s v="Abroad"/>
    <s v="Defense Minister; 14th Shangri-la"/>
    <m/>
    <m/>
    <m/>
    <m/>
    <m/>
    <m/>
    <m/>
    <m/>
  </r>
  <r>
    <s v="Senior Level Visit"/>
    <s v="Southeast Asia"/>
    <s v="Asia"/>
    <s v="Comprehensive Strategic Partnership [全面战略伙伴关系]"/>
    <s v="None"/>
    <s v="INDOPACOM"/>
    <s v="Indonesia"/>
    <x v="24"/>
    <n v="5"/>
    <x v="7"/>
    <s v="Sun Jianguo"/>
    <m/>
    <s v="GSD DCGS"/>
    <n v="6"/>
    <s v="Abroad"/>
    <s v="Defense Minister; 14th Shangri-la"/>
    <m/>
    <m/>
    <m/>
    <m/>
    <m/>
    <m/>
    <m/>
    <m/>
  </r>
  <r>
    <s v="Senior Level Visit"/>
    <s v="Europe"/>
    <s v="Europe and Central Asia"/>
    <s v="Comprehensive Strategic Partnership [全面战略伙伴关系]"/>
    <s v="NATO"/>
    <s v="EUCOM"/>
    <s v="Italy"/>
    <x v="24"/>
    <n v="5"/>
    <x v="3"/>
    <s v="Chang Wanquan"/>
    <m/>
    <s v="Defense Minister; CMC Member"/>
    <n v="8"/>
    <s v="Hosted"/>
    <s v="Air Force Chief of Staff"/>
    <m/>
    <m/>
    <m/>
    <m/>
    <m/>
    <m/>
    <m/>
    <m/>
  </r>
  <r>
    <s v="Senior Level Visit"/>
    <s v="Northeast Asia"/>
    <s v="Asia"/>
    <s v="Mutually Beneficial Strategic Relationship [战略互惠关系]"/>
    <s v="Bilateral Defense Treaty"/>
    <s v="INDOPACOM"/>
    <s v="Japan"/>
    <x v="24"/>
    <n v="5"/>
    <x v="7"/>
    <s v="Sun Jianguo"/>
    <m/>
    <s v="GSD DCGS"/>
    <n v="6"/>
    <s v="Abroad"/>
    <s v="Director General of Defense Policy Bureau, Ministry of Defense; 14th Shangri-la"/>
    <m/>
    <m/>
    <m/>
    <m/>
    <m/>
    <m/>
    <m/>
    <m/>
  </r>
  <r>
    <s v="Senior Level Visit"/>
    <s v="Southeast Asia"/>
    <s v="Asia"/>
    <s v="Comprehensive Strategic Cooperative Partnership [全面战略合作伙伴关系]"/>
    <s v="None"/>
    <s v="INDOPACOM"/>
    <s v="Laos"/>
    <x v="24"/>
    <n v="5"/>
    <x v="4"/>
    <s v="Xu Qiliang"/>
    <m/>
    <s v="CMC Vice Chairman"/>
    <n v="10"/>
    <s v="Abroad"/>
    <m/>
    <m/>
    <m/>
    <m/>
    <m/>
    <m/>
    <m/>
    <m/>
    <m/>
  </r>
  <r>
    <s v="Senior Level Visit"/>
    <s v="Southeast Asia"/>
    <s v="Asia"/>
    <s v="Comprehensive Strategic Partnership [全面战略伙伴关系]"/>
    <s v="None"/>
    <s v="INDOPACOM"/>
    <s v="Malaysia"/>
    <x v="24"/>
    <n v="5"/>
    <x v="3"/>
    <s v="Xu Qiliang"/>
    <m/>
    <s v="CMC Vice Chairman"/>
    <n v="10"/>
    <s v="Hosted"/>
    <s v="Defense Minister"/>
    <m/>
    <m/>
    <m/>
    <m/>
    <m/>
    <m/>
    <m/>
    <m/>
  </r>
  <r>
    <s v="Senior Level Visit"/>
    <s v="Europe"/>
    <s v="Europe and Central Asia"/>
    <s v="No Specific Relationship"/>
    <s v="NATO"/>
    <s v="EUCOM"/>
    <s v="NATO"/>
    <x v="24"/>
    <n v="5"/>
    <x v="7"/>
    <s v="Sun Jianguo"/>
    <m/>
    <s v="GSD DCGS"/>
    <n v="6"/>
    <s v="Abroad"/>
    <s v="Chairman NATO Military Committee ; 14th Shangri-la"/>
    <m/>
    <m/>
    <m/>
    <m/>
    <m/>
    <m/>
    <m/>
    <m/>
  </r>
  <r>
    <s v="Senior Level Visit"/>
    <s v="Oceania"/>
    <s v="America and Oceania"/>
    <s v="Comprehensive Strategic Partnership [全面战略伙伴关系]"/>
    <s v="ANZUS Treaty"/>
    <s v="INDOPACOM"/>
    <s v="New Zealand"/>
    <x v="24"/>
    <n v="5"/>
    <x v="7"/>
    <s v="Sun Jianguo"/>
    <m/>
    <s v="GSD DCGS"/>
    <n v="6"/>
    <s v="Abroad"/>
    <s v="Defense Minister; 14th Shangri-la"/>
    <m/>
    <m/>
    <m/>
    <m/>
    <m/>
    <m/>
    <m/>
    <m/>
  </r>
  <r>
    <s v="Naval Port Call"/>
    <s v="Middle East"/>
    <s v="West Asia and Africa"/>
    <s v="No Specific Relationship"/>
    <s v="None"/>
    <s v="CENTCOM"/>
    <s v="Oman"/>
    <x v="24"/>
    <n v="5"/>
    <x v="9"/>
    <m/>
    <m/>
    <m/>
    <m/>
    <m/>
    <m/>
    <m/>
    <m/>
    <m/>
    <m/>
    <s v="ETF"/>
    <s v="ETF-20"/>
    <s v="East Sea Fleet"/>
    <s v="DDG152 Jinan, FFG548 Yiyang, AOR886 Qiandao Hu "/>
  </r>
  <r>
    <s v="Senior Level Visit"/>
    <s v="South Asia"/>
    <s v="Asia"/>
    <s v="All-Weather Strategic Cooperative Partnership [全天候战略合作伙伴关系]"/>
    <s v="Major Non-NATO Ally"/>
    <s v="CENTCOM"/>
    <s v="Pakistan"/>
    <x v="24"/>
    <n v="5"/>
    <x v="3"/>
    <s v="Qi Jianguo"/>
    <m/>
    <s v="GSD DCGS"/>
    <n v="6"/>
    <s v="Hosted"/>
    <s v="Director General of Armored Corps, Army GHQ"/>
    <m/>
    <m/>
    <m/>
    <m/>
    <m/>
    <m/>
    <m/>
    <m/>
  </r>
  <r>
    <s v="Senior Level Visit"/>
    <s v="Russia"/>
    <s v="Europe and Central Asia"/>
    <s v="Comprehensive Collaborative Strategic Partnership [全面战略协作伙伴关系]"/>
    <s v="None"/>
    <s v="EUCOM"/>
    <s v="Russia"/>
    <x v="24"/>
    <n v="5"/>
    <x v="4"/>
    <s v="Fan Changlong"/>
    <m/>
    <s v="CMC Vice Chairman"/>
    <n v="10"/>
    <s v="Abroad"/>
    <m/>
    <m/>
    <m/>
    <m/>
    <m/>
    <m/>
    <m/>
    <m/>
    <m/>
  </r>
  <r>
    <s v="Naval Port Call"/>
    <s v="Russia"/>
    <s v="Europe and Central Asia"/>
    <s v="Comprehensive Collaborative Strategic Partnership [全面战略协作伙伴关系]"/>
    <s v="None"/>
    <s v="EUCOM"/>
    <s v="Russia"/>
    <x v="24"/>
    <n v="5"/>
    <x v="0"/>
    <m/>
    <m/>
    <m/>
    <m/>
    <m/>
    <m/>
    <m/>
    <m/>
    <m/>
    <m/>
    <s v="ETF"/>
    <s v="ETF-19 "/>
    <s v="North Sea Fleet"/>
    <s v="FFG547 Linyi, FFG550 Weifang, AOR887 Weishan Hu; unknown, could also be ETF-20"/>
  </r>
  <r>
    <s v="Military Exercise"/>
    <s v="Russia"/>
    <s v="Europe and Central Asia"/>
    <s v="Comprehensive Collaborative Strategic Partnership [全面战略协作伙伴关系]"/>
    <s v="None"/>
    <s v="EUCOM"/>
    <s v="Russia"/>
    <x v="24"/>
    <n v="5"/>
    <x v="5"/>
    <m/>
    <m/>
    <m/>
    <m/>
    <m/>
    <m/>
    <s v="Combat"/>
    <s v="Joint Sea 2015 (I)"/>
    <s v="Navy"/>
    <s v="Maritime naval exercises in Mediterrean Sea.  May 11-21"/>
    <m/>
    <m/>
    <m/>
    <m/>
  </r>
  <r>
    <s v="Senior Level Visit"/>
    <s v="Southeast Asia"/>
    <s v="Asia"/>
    <s v="All-Round Cooperative Partnership [全方合作伙伴关系]"/>
    <s v="None"/>
    <s v="INDOPACOM"/>
    <s v="Singapore"/>
    <x v="24"/>
    <n v="5"/>
    <x v="7"/>
    <s v="Sun Jianguo"/>
    <m/>
    <s v="GSD DCGS"/>
    <n v="6"/>
    <s v="Abroad"/>
    <s v="Defense Minister; 14th Shangri-la"/>
    <m/>
    <m/>
    <m/>
    <m/>
    <m/>
    <m/>
    <m/>
    <m/>
  </r>
  <r>
    <s v="Military Exercise"/>
    <s v="Southeast Asia"/>
    <s v="Asia"/>
    <s v="All-Round Cooperative Partnership [全方合作伙伴关系]"/>
    <s v="None"/>
    <s v="INDOPACOM"/>
    <s v="Singapore"/>
    <x v="24"/>
    <n v="5"/>
    <x v="5"/>
    <m/>
    <m/>
    <m/>
    <m/>
    <m/>
    <m/>
    <s v="Combat"/>
    <s v="Maritime Cooperation 2015"/>
    <s v="Navy"/>
    <s v="maritime naval exercises; gunnery firing and manoeuvring drills; air-defence and other war-fighting drills."/>
    <m/>
    <m/>
    <m/>
    <m/>
  </r>
  <r>
    <s v="Senior Level Visit"/>
    <s v="Northeast Asia"/>
    <s v="Asia"/>
    <s v="Strategic Cooperative Partnership [战略合作伙伴关系]"/>
    <s v="Bilateral Defense Treaty"/>
    <s v="INDOPACOM"/>
    <s v="South Korea"/>
    <x v="24"/>
    <n v="5"/>
    <x v="7"/>
    <s v="Sun Jianguo"/>
    <m/>
    <s v="GSD DCGS"/>
    <n v="6"/>
    <s v="Abroad"/>
    <s v="Defense Minister; 14th Shangri-la"/>
    <m/>
    <m/>
    <m/>
    <m/>
    <m/>
    <m/>
    <m/>
    <m/>
  </r>
  <r>
    <s v="Senior Level Visit"/>
    <s v="South Asia"/>
    <s v="Asia"/>
    <s v="Strategic Cooperative Partnership [战略合作伙伴关系]"/>
    <s v="None"/>
    <s v="INDOPACOM"/>
    <s v="Sri Lanka"/>
    <x v="24"/>
    <n v="5"/>
    <x v="7"/>
    <s v="Sun Jianguo"/>
    <m/>
    <s v="GSD DCGS"/>
    <n v="6"/>
    <s v="Abroad"/>
    <s v="Defense Minister; 14th Shangri-la"/>
    <m/>
    <m/>
    <m/>
    <m/>
    <m/>
    <m/>
    <m/>
    <m/>
  </r>
  <r>
    <s v="Senior Level Visit"/>
    <s v="Europe"/>
    <s v="Europe and Central Asia"/>
    <s v="No Specific Relationship"/>
    <s v="None"/>
    <s v="EUCOM"/>
    <s v="Switzerland"/>
    <x v="24"/>
    <n v="5"/>
    <x v="4"/>
    <s v="Sun Jianguo"/>
    <m/>
    <s v="GSD DCGS"/>
    <n v="6"/>
    <s v="Abroad"/>
    <s v="Deputy Secretary General of Ministry of Defense; 14th Shangri-la"/>
    <m/>
    <m/>
    <m/>
    <m/>
    <m/>
    <m/>
    <m/>
    <m/>
  </r>
  <r>
    <s v="Senior Level Visit"/>
    <s v="Southeast Asia"/>
    <s v="Asia"/>
    <s v="Comprehensive Strategic Cooperative Partnership [全面战略合作伙伴关系]"/>
    <s v="Bilateral Defense Treaty"/>
    <s v="INDOPACOM"/>
    <s v="Thailand"/>
    <x v="24"/>
    <n v="5"/>
    <x v="4"/>
    <s v="Xu Qiliang"/>
    <m/>
    <s v="CMC Vice Chairman"/>
    <n v="10"/>
    <s v="Abroad"/>
    <m/>
    <m/>
    <m/>
    <m/>
    <m/>
    <m/>
    <m/>
    <m/>
    <m/>
  </r>
  <r>
    <s v="Military Exercise"/>
    <s v="Europe"/>
    <s v="Europe and Central Asia"/>
    <s v="Strategic Cooperative Partnership [战略合作伙伴关系]"/>
    <s v="NATO"/>
    <s v="EUCOM"/>
    <s v="Turkey"/>
    <x v="24"/>
    <n v="5"/>
    <x v="5"/>
    <m/>
    <m/>
    <m/>
    <m/>
    <m/>
    <m/>
    <s v="MOOTW"/>
    <s v="None"/>
    <s v="Navy"/>
    <s v="communication and fleet maneuvers"/>
    <m/>
    <m/>
    <m/>
    <m/>
  </r>
  <r>
    <s v="Naval Port Call"/>
    <s v="Europe"/>
    <s v="Europe and Central Asia"/>
    <s v="Strategic Cooperative Partnership [战略合作伙伴关系]"/>
    <s v="NATO"/>
    <s v="EUCOM"/>
    <s v="Turkey"/>
    <x v="24"/>
    <n v="5"/>
    <x v="0"/>
    <m/>
    <m/>
    <m/>
    <m/>
    <m/>
    <m/>
    <m/>
    <m/>
    <m/>
    <m/>
    <s v="ETF"/>
    <s v="ETF-19"/>
    <s v="North Sea Fleet"/>
    <s v="FFG547 Linyi, FFG550 Weifang, AOR887 Weishan Hu"/>
  </r>
  <r>
    <s v="Senior Level Visit"/>
    <s v="North America"/>
    <s v="America and Oceania"/>
    <s v="No Specific Relationship"/>
    <s v="N/A"/>
    <s v="NORTHCOM"/>
    <s v="United States"/>
    <x v="24"/>
    <n v="5"/>
    <x v="4"/>
    <s v="Li Zuocheng"/>
    <m/>
    <s v="MR Commander"/>
    <n v="6"/>
    <s v="Abroad"/>
    <s v="PACOM Deputy Commander"/>
    <m/>
    <m/>
    <m/>
    <m/>
    <m/>
    <m/>
    <m/>
    <m/>
  </r>
  <r>
    <s v="Senior Level Visit"/>
    <s v="North America"/>
    <s v="America and Oceania"/>
    <s v="No Specific Relationship"/>
    <s v="N/A"/>
    <s v="NORTHCOM"/>
    <s v="United States"/>
    <x v="24"/>
    <n v="5"/>
    <x v="3"/>
    <s v="Huang Guoxian"/>
    <m/>
    <s v="MR Deputy Commander"/>
    <n v="5"/>
    <s v="Hosted"/>
    <s v="PACAF Commander"/>
    <m/>
    <m/>
    <m/>
    <m/>
    <m/>
    <m/>
    <m/>
    <m/>
  </r>
  <r>
    <s v="Senior Level Visit"/>
    <s v="Southeast Asia"/>
    <s v="Asia"/>
    <s v="Comprehensive Strategic Cooperative Partnership [全面战略合作伙伴关系]"/>
    <s v="None"/>
    <s v="INDOPACOM"/>
    <s v="Vietnam"/>
    <x v="24"/>
    <n v="5"/>
    <x v="3"/>
    <s v="Chang Wanquan"/>
    <m/>
    <s v="Defense Minister; CMC Member"/>
    <n v="8"/>
    <s v="Hosted"/>
    <s v="Defense Minister"/>
    <m/>
    <m/>
    <m/>
    <m/>
    <m/>
    <m/>
    <m/>
    <m/>
  </r>
  <r>
    <s v="Military Exercise"/>
    <s v="Northeast Asia"/>
    <s v="N/A"/>
    <s v="Member"/>
    <s v="None"/>
    <s v="INDOPACOM"/>
    <s v="WPNS"/>
    <x v="24"/>
    <n v="5"/>
    <x v="6"/>
    <m/>
    <m/>
    <m/>
    <m/>
    <m/>
    <m/>
    <s v="MOOTW"/>
    <s v="WPNS 2015"/>
    <s v="Navy"/>
    <s v="maritime surveillance and SAR. Other countries: Singapore, Indonesia, Thailand, United States"/>
    <m/>
    <m/>
    <m/>
    <m/>
  </r>
  <r>
    <s v="Military Exercise"/>
    <s v="Europe"/>
    <s v="Europe and Central Asia"/>
    <s v="Comprehensive Strategic Partnership [全面战略伙伴关系]"/>
    <s v="None"/>
    <s v="EUCOM"/>
    <s v="Belarus"/>
    <x v="24"/>
    <n v="6"/>
    <x v="5"/>
    <m/>
    <m/>
    <m/>
    <m/>
    <m/>
    <m/>
    <s v="Anti-terrorism"/>
    <s v="Divine Eagle 2015"/>
    <s v="Air Force"/>
    <s v="Airborne forces"/>
    <m/>
    <m/>
    <m/>
    <m/>
  </r>
  <r>
    <s v="Senior Level Visit"/>
    <s v="South America"/>
    <s v="America and Oceania"/>
    <s v="Strategic Partnership [战略伙伴关系]"/>
    <s v="None"/>
    <s v="SOUTHCOM"/>
    <s v="Chile"/>
    <x v="24"/>
    <n v="6"/>
    <x v="3"/>
    <s v="Chang Wanquan"/>
    <m/>
    <s v="Defense Minister; CMC Member"/>
    <n v="8"/>
    <s v="Hosted"/>
    <s v="Defense Minister"/>
    <m/>
    <m/>
    <m/>
    <m/>
    <m/>
    <m/>
    <m/>
    <m/>
  </r>
  <r>
    <s v="Naval Port Call"/>
    <s v="Europe"/>
    <s v="Europe and Central Asia"/>
    <s v="Comprehensive Cooperative Partnership [全面合作伙伴关系]"/>
    <s v="NATO"/>
    <s v="EUCOM"/>
    <s v="Croatia"/>
    <x v="24"/>
    <n v="6"/>
    <x v="0"/>
    <m/>
    <m/>
    <m/>
    <m/>
    <m/>
    <m/>
    <m/>
    <m/>
    <m/>
    <m/>
    <s v="ETF"/>
    <s v="ETF-19"/>
    <s v="North Sea Fleet"/>
    <s v="FFG547 Linyi, FFG550 Weifang, AOR887 Weishan Hu"/>
  </r>
  <r>
    <s v="Senior Level Visit"/>
    <s v="South America"/>
    <s v="America and Oceania"/>
    <s v="No Specific Relationship"/>
    <s v="None"/>
    <s v="SOUTHCOM"/>
    <s v="Cuba"/>
    <x v="24"/>
    <n v="6"/>
    <x v="4"/>
    <s v="Fan Changlong"/>
    <m/>
    <s v="CMC Vice Chairman"/>
    <n v="10"/>
    <s v="Abroad"/>
    <m/>
    <m/>
    <m/>
    <m/>
    <m/>
    <m/>
    <m/>
    <m/>
    <m/>
  </r>
  <r>
    <s v="Naval Port Call"/>
    <s v="South America"/>
    <s v="America and Oceania"/>
    <s v="Strategic Partnership [战略伙伴关系]"/>
    <s v="None"/>
    <s v="SOUTHCOM"/>
    <s v="Ecuador"/>
    <x v="24"/>
    <n v="6"/>
    <x v="0"/>
    <m/>
    <m/>
    <m/>
    <m/>
    <m/>
    <m/>
    <m/>
    <m/>
    <m/>
    <m/>
    <s v="NETF"/>
    <s v="2015-05 Zhu Kezhen "/>
    <s v="East Sea Fleet"/>
    <s v="survey ship"/>
  </r>
  <r>
    <s v="Senior Level Visit"/>
    <s v="Europe"/>
    <s v="Europe and Central Asia"/>
    <s v="Comprehensive Strategic Partnership [全面战略伙伴关系]"/>
    <s v="NATO"/>
    <s v="EUCOM"/>
    <s v="Greece"/>
    <x v="24"/>
    <n v="6"/>
    <x v="3"/>
    <s v="Ma Xiaotian"/>
    <m/>
    <s v="PLAAF Commander; CMC Member"/>
    <n v="8"/>
    <s v="Hosted"/>
    <s v="Air Force COGS"/>
    <m/>
    <m/>
    <m/>
    <m/>
    <m/>
    <m/>
    <m/>
    <m/>
  </r>
  <r>
    <s v="Naval Port Call"/>
    <s v="Europe"/>
    <s v="Europe and Central Asia"/>
    <s v="Comprehensive Strategic Partnership [全面战略伙伴关系]"/>
    <s v="NATO"/>
    <s v="EUCOM"/>
    <s v="Italy"/>
    <x v="24"/>
    <n v="6"/>
    <x v="0"/>
    <m/>
    <m/>
    <m/>
    <m/>
    <m/>
    <m/>
    <m/>
    <m/>
    <m/>
    <m/>
    <s v="ETF"/>
    <s v="ETF-19"/>
    <s v="North Sea Fleet"/>
    <s v="FFG547 Linyi, FFG550 Weifang, AOR887 Weishan Hu"/>
  </r>
  <r>
    <s v="Senior Level Visit"/>
    <s v="Central Asia"/>
    <s v="Europe and Central Asia"/>
    <s v="Strategic Partnership [战略伙伴关系]"/>
    <s v="None"/>
    <s v="CENTCOM"/>
    <s v="Kyrgyzstan"/>
    <x v="24"/>
    <n v="6"/>
    <x v="3"/>
    <s v="Du Jincai"/>
    <m/>
    <s v="GPD Deputy Director"/>
    <n v="6"/>
    <s v="Hosted"/>
    <s v="President of the Military Court"/>
    <m/>
    <m/>
    <m/>
    <m/>
    <m/>
    <m/>
    <m/>
    <m/>
  </r>
  <r>
    <s v="Naval Port Call"/>
    <s v="Southeast Asia"/>
    <s v="Asia"/>
    <s v="Comprehensive Strategic Partnership [全面战略伙伴关系]"/>
    <s v="None"/>
    <s v="INDOPACOM"/>
    <s v="Malaysia"/>
    <x v="24"/>
    <n v="6"/>
    <x v="13"/>
    <m/>
    <m/>
    <m/>
    <m/>
    <m/>
    <m/>
    <m/>
    <m/>
    <m/>
    <m/>
    <s v="ETF"/>
    <s v="ETF-19"/>
    <s v="North Sea Fleet"/>
    <s v="FFG547 Linyi, FFG550 Weifang, AOR887 Weishan Hu"/>
  </r>
  <r>
    <s v="Military Exercise"/>
    <s v="Northeast Asia"/>
    <s v="Asia"/>
    <s v="Comprehensive Strategic Partnership [全面战略伙伴关系]"/>
    <s v="None"/>
    <s v="INDOPACOM"/>
    <s v="Mongolia"/>
    <x v="24"/>
    <n v="6"/>
    <x v="6"/>
    <m/>
    <m/>
    <m/>
    <m/>
    <m/>
    <m/>
    <s v="MOOTW"/>
    <s v="Khaan Quest 2015"/>
    <s v="Army"/>
    <s v="Peacekeeping "/>
    <m/>
    <m/>
    <m/>
    <m/>
  </r>
  <r>
    <s v="Military Exercise"/>
    <s v="Northeast Asia"/>
    <s v="Asia"/>
    <s v="Comprehensive Strategic Partnership [全面战略伙伴关系]"/>
    <s v="None"/>
    <s v="INDOPACOM"/>
    <s v="Mongolia"/>
    <x v="24"/>
    <n v="6"/>
    <x v="6"/>
    <m/>
    <m/>
    <m/>
    <m/>
    <m/>
    <m/>
    <s v="MOOTW"/>
    <s v="Khaan Quest 2015"/>
    <s v="Army"/>
    <s v="PKO and Stability ops. Other countries: refer to source for a complete list of countries "/>
    <m/>
    <m/>
    <m/>
    <m/>
  </r>
  <r>
    <s v="Senior Level Visit"/>
    <s v="Oceania"/>
    <s v="America and Oceania"/>
    <s v="Comprehensive Strategic Partnership [全面战略伙伴关系]"/>
    <s v="ANZUS Treaty"/>
    <s v="INDOPACOM"/>
    <s v="New Zealand"/>
    <x v="24"/>
    <n v="6"/>
    <x v="3"/>
    <s v="Fang Fenghui"/>
    <m/>
    <s v="GSD Commander; CMC Member"/>
    <n v="8"/>
    <s v="Hosted"/>
    <s v="NZDF Chief"/>
    <m/>
    <m/>
    <m/>
    <m/>
    <m/>
    <m/>
    <m/>
    <m/>
  </r>
  <r>
    <s v="Senior Level Visit"/>
    <s v="South Asia"/>
    <s v="Asia"/>
    <s v="All-Weather Strategic Cooperative Partnership [全天候战略合作伙伴关系]"/>
    <s v="Major Non-NATO Ally"/>
    <s v="CENTCOM"/>
    <s v="Pakistan"/>
    <x v="24"/>
    <n v="6"/>
    <x v="3"/>
    <s v="Fan Changlong"/>
    <m/>
    <s v="CMC Vice Chairman"/>
    <n v="10"/>
    <s v="Hosted"/>
    <s v="Air Force Chief Marshal"/>
    <m/>
    <m/>
    <m/>
    <m/>
    <m/>
    <m/>
    <m/>
    <m/>
  </r>
  <r>
    <s v="Senior Level Visit"/>
    <s v="South Asia"/>
    <s v="Asia"/>
    <s v="Strategic Cooperative Partnership [战略合作伙伴关系]"/>
    <s v="None"/>
    <s v="INDOPACOM"/>
    <s v="Sri Lanka"/>
    <x v="24"/>
    <n v="6"/>
    <x v="3"/>
    <s v="Chang Wanquan"/>
    <m/>
    <s v="Defense Minister; CMC Member"/>
    <n v="8"/>
    <s v="Hosted"/>
    <s v="Navy Commander"/>
    <m/>
    <m/>
    <m/>
    <m/>
    <m/>
    <m/>
    <m/>
    <m/>
  </r>
  <r>
    <s v="Military Exercise"/>
    <s v="South Asia"/>
    <s v="Asia"/>
    <s v="Strategic Cooperative Partnership [战略合作伙伴关系]"/>
    <s v="None"/>
    <s v="INDOPACOM"/>
    <s v="Sri Lanka"/>
    <x v="24"/>
    <n v="6"/>
    <x v="5"/>
    <m/>
    <m/>
    <m/>
    <m/>
    <m/>
    <m/>
    <s v="Anti-terrorism"/>
    <s v="Silk Road Cooperation 2015"/>
    <s v="PAP"/>
    <s v="joint drill with Guangdong PAP contingent"/>
    <m/>
    <m/>
    <m/>
    <m/>
  </r>
  <r>
    <s v="Senior Level Visit"/>
    <s v="North America"/>
    <s v="America and Oceania"/>
    <s v="No Specific Relationship"/>
    <s v="N/A"/>
    <s v="NORTHCOM"/>
    <s v="United States"/>
    <x v="24"/>
    <n v="6"/>
    <x v="4"/>
    <s v="Fan Changlong"/>
    <m/>
    <s v="CMC Vice Chairman"/>
    <n v="10"/>
    <s v="Abroad"/>
    <s v="Secretary of Defense Carter"/>
    <m/>
    <m/>
    <m/>
    <m/>
    <m/>
    <m/>
    <m/>
    <m/>
  </r>
  <r>
    <s v="Senior Level Visit"/>
    <s v="Southeast Asia"/>
    <s v="Asia"/>
    <s v="Comprehensive Strategic Cooperative Partnership [全面战略合作伙伴关系]"/>
    <s v="None"/>
    <s v="INDOPACOM"/>
    <s v="Cambodia"/>
    <x v="24"/>
    <n v="7"/>
    <x v="3"/>
    <s v="Xu Qiliang"/>
    <m/>
    <s v="CMC Vice Chairman"/>
    <n v="10"/>
    <s v="Hosted"/>
    <s v="Deputy Prime Minister and Minister of Defense"/>
    <m/>
    <m/>
    <m/>
    <m/>
    <m/>
    <m/>
    <m/>
    <m/>
  </r>
  <r>
    <s v="Senior Level Visit"/>
    <s v="Oceania"/>
    <s v="America and Oceania"/>
    <s v="Strategic Partnership [战略伙伴关系]"/>
    <s v="None"/>
    <s v="INDOPACOM"/>
    <s v="Fiji"/>
    <x v="24"/>
    <n v="7"/>
    <x v="3"/>
    <s v="Fang Fenghui"/>
    <m/>
    <s v="GSD Commander; CMC Member"/>
    <n v="8"/>
    <s v="Hosted"/>
    <s v="Commander of Armed Forces"/>
    <m/>
    <m/>
    <m/>
    <m/>
    <m/>
    <m/>
    <m/>
    <m/>
  </r>
  <r>
    <s v="Senior Level Visit"/>
    <s v="Europe"/>
    <s v="Europe and Central Asia"/>
    <s v="No Specific Relationship"/>
    <s v="None"/>
    <s v="EUCOM"/>
    <s v="Finland"/>
    <x v="24"/>
    <n v="7"/>
    <x v="4"/>
    <s v="Chang Wanquan"/>
    <m/>
    <s v="Defense Minister; CMC Member"/>
    <n v="8"/>
    <s v="Abroad"/>
    <m/>
    <m/>
    <m/>
    <m/>
    <m/>
    <m/>
    <m/>
    <m/>
    <m/>
  </r>
  <r>
    <s v="Senior Level Visit"/>
    <s v="Europe"/>
    <s v="Europe and Central Asia"/>
    <s v="Comprehensive Strategic Partnership [全面战略伙伴关系]"/>
    <s v="NATO"/>
    <s v="EUCOM"/>
    <s v="Italy"/>
    <x v="24"/>
    <n v="7"/>
    <x v="3"/>
    <s v="Xu Qiliang"/>
    <m/>
    <s v="CMC Vice Chairman"/>
    <n v="10"/>
    <s v="Hosted"/>
    <s v="Defense Minister"/>
    <m/>
    <m/>
    <m/>
    <m/>
    <m/>
    <m/>
    <m/>
    <m/>
  </r>
  <r>
    <s v="Senior Level Visit"/>
    <s v="Southeast Asia"/>
    <s v="Asia"/>
    <s v="Comprehensive Strategic Cooperative Partnership [全面战略合作伙伴关系]"/>
    <s v="None"/>
    <s v="INDOPACOM"/>
    <s v="Laos"/>
    <x v="24"/>
    <n v="7"/>
    <x v="3"/>
    <s v="Xu Qiliang"/>
    <m/>
    <s v="CMC Vice Chairman"/>
    <n v="10"/>
    <s v="Hosted"/>
    <s v="Defense Minister"/>
    <m/>
    <m/>
    <m/>
    <m/>
    <m/>
    <m/>
    <m/>
    <m/>
  </r>
  <r>
    <s v="Military Exercise"/>
    <s v="South Asia"/>
    <s v="Asia"/>
    <s v="All-Weather Strategic Cooperative Partnership [全天候战略合作伙伴关系]"/>
    <s v="Major Non-NATO Ally"/>
    <s v="CENTCOM"/>
    <s v="Pakistan"/>
    <x v="24"/>
    <n v="7"/>
    <x v="5"/>
    <m/>
    <m/>
    <m/>
    <m/>
    <m/>
    <m/>
    <s v="Anti-terrorism"/>
    <s v="Warrior-III"/>
    <s v="Army"/>
    <s v="SSG and PLAA SOF"/>
    <m/>
    <m/>
    <m/>
    <m/>
  </r>
  <r>
    <s v="Senior Level Visit"/>
    <s v="Russia"/>
    <s v="Europe and Central Asia"/>
    <s v="Comprehensive Collaborative Strategic Partnership [全面战略协作伙伴关系]"/>
    <s v="None"/>
    <s v="EUCOM"/>
    <s v="Russia"/>
    <x v="24"/>
    <n v="7"/>
    <x v="4"/>
    <s v="Chang Wanquan"/>
    <m/>
    <s v="Defense Minister; CMC Member"/>
    <n v="8"/>
    <s v="Abroad"/>
    <m/>
    <m/>
    <m/>
    <m/>
    <m/>
    <m/>
    <m/>
    <m/>
    <m/>
  </r>
  <r>
    <s v="Senior Level Visit"/>
    <s v="Central Asia"/>
    <s v="Europe and Central Asia"/>
    <s v="Member"/>
    <s v="None"/>
    <s v="CENTCOM"/>
    <s v="SCO"/>
    <x v="24"/>
    <n v="7"/>
    <x v="1"/>
    <s v="Chang Wanquan"/>
    <m/>
    <s v="Defense Minister; CMC Member"/>
    <n v="8"/>
    <s v="Abroad"/>
    <s v="12th official meeting of the SCO Ministers' of Defense in St Petersburg; Other countries: Kazakhstan, Kyrgyztan, Russia, Tajikistan, Uzbekistan"/>
    <m/>
    <m/>
    <m/>
    <m/>
    <m/>
    <m/>
    <m/>
    <m/>
  </r>
  <r>
    <s v="Senior Level Visit"/>
    <s v="Southeast Asia"/>
    <s v="Asia"/>
    <s v="All-Round Cooperative Partnership [全方合作伙伴关系]"/>
    <s v="None"/>
    <s v="INDOPACOM"/>
    <s v="Singapore"/>
    <x v="24"/>
    <n v="7"/>
    <x v="3"/>
    <s v="Wu Shengli"/>
    <m/>
    <s v="PLAN Commander; CMC Member"/>
    <n v="8"/>
    <s v="Hosted"/>
    <s v="Navy Commander"/>
    <m/>
    <m/>
    <m/>
    <m/>
    <m/>
    <m/>
    <m/>
    <m/>
  </r>
  <r>
    <s v="Senior Level Visit"/>
    <s v="Africa"/>
    <s v="West Asia and Africa"/>
    <s v="Comprehensive Strategic Partnership [全面战略伙伴关系]"/>
    <s v="None"/>
    <s v="AFRICOM"/>
    <s v="South Africa"/>
    <x v="24"/>
    <n v="7"/>
    <x v="3"/>
    <s v="Ma Xiaotian"/>
    <m/>
    <s v="PLAAF Commander; CMC Member"/>
    <n v="8"/>
    <s v="Hosted"/>
    <s v="Air Force Commander"/>
    <m/>
    <m/>
    <m/>
    <m/>
    <m/>
    <m/>
    <m/>
    <m/>
  </r>
  <r>
    <s v="Senior Level Visit"/>
    <s v="South America"/>
    <s v="America and Oceania"/>
    <s v="Comprehensive Strategic Partnership [全面战略伙伴关系]"/>
    <s v="Major Non-NATO Ally"/>
    <s v="SOUTHCOM"/>
    <s v="Argentina"/>
    <x v="24"/>
    <n v="8"/>
    <x v="3"/>
    <s v="Fang Fenghui"/>
    <m/>
    <s v="GSD Commander; CMC Member"/>
    <n v="8"/>
    <s v="Hosted"/>
    <s v="Chairman JCS"/>
    <m/>
    <m/>
    <m/>
    <m/>
    <m/>
    <m/>
    <m/>
    <m/>
  </r>
  <r>
    <s v="Military Exercise"/>
    <s v="Oceania"/>
    <s v="America and Oceania"/>
    <s v="Comprehensive Strategic Partnership [全面战略伙伴关系]"/>
    <s v="ANZUS Treaty"/>
    <s v="INDOPACOM"/>
    <s v="Australia"/>
    <x v="24"/>
    <n v="8"/>
    <x v="6"/>
    <m/>
    <m/>
    <m/>
    <m/>
    <m/>
    <m/>
    <s v="MOOTW"/>
    <s v="Kowari 2015"/>
    <s v="Army"/>
    <s v="Survival skills"/>
    <m/>
    <m/>
    <m/>
    <m/>
  </r>
  <r>
    <s v="Senior Level Visit"/>
    <s v="Southeast Asia"/>
    <s v="Asia"/>
    <s v="Comprehensive Strategic Cooperative Partnership [全面战略合作伙伴关系]"/>
    <s v="None"/>
    <s v="INDOPACOM"/>
    <s v="Cambodia"/>
    <x v="24"/>
    <n v="8"/>
    <x v="3"/>
    <s v="Sun Jianguo"/>
    <m/>
    <s v="GSD DCGS"/>
    <n v="6"/>
    <s v="Hosted"/>
    <s v="Deputy CinC Armed Forces "/>
    <m/>
    <m/>
    <m/>
    <m/>
    <m/>
    <m/>
    <m/>
    <m/>
  </r>
  <r>
    <s v="Military Exercise"/>
    <s v="Russia"/>
    <s v="Europe and Central Asia"/>
    <s v="Comprehensive Collaborative Strategic Partnership [全面战略协作伙伴关系]"/>
    <s v="None"/>
    <s v="EUCOM"/>
    <s v="Russia"/>
    <x v="24"/>
    <n v="8"/>
    <x v="6"/>
    <m/>
    <m/>
    <m/>
    <m/>
    <m/>
    <m/>
    <s v="Competition"/>
    <s v="International Army Games 2015"/>
    <s v="Army"/>
    <s v="Competition; Army, AF, Navy"/>
    <m/>
    <m/>
    <m/>
    <m/>
  </r>
  <r>
    <s v="Military Exercise"/>
    <s v="Russia"/>
    <s v="Europe and Central Asia"/>
    <s v="Comprehensive Collaborative Strategic Partnership [全面战略协作伙伴关系]"/>
    <s v="None"/>
    <s v="EUCOM"/>
    <s v="Russia"/>
    <x v="24"/>
    <n v="8"/>
    <x v="5"/>
    <m/>
    <m/>
    <m/>
    <m/>
    <m/>
    <m/>
    <s v="Combat"/>
    <s v="Joint Sea 2015 (II)"/>
    <s v="Navy"/>
    <s v="The drills took place from Aug. 20-28 in the Peter the Great Gulf, waters off the Clerk Cape, and the Sea of Japan."/>
    <m/>
    <m/>
    <m/>
    <m/>
  </r>
  <r>
    <s v="Naval Port Call"/>
    <s v="Africa"/>
    <s v="West Asia and Africa"/>
    <s v="Strategic Partnership [战略伙伴关系]"/>
    <s v="None"/>
    <s v="AFRICOM"/>
    <s v="Sudan"/>
    <x v="24"/>
    <n v="8"/>
    <x v="0"/>
    <m/>
    <m/>
    <m/>
    <m/>
    <m/>
    <m/>
    <m/>
    <m/>
    <m/>
    <m/>
    <s v="ETF"/>
    <s v="ETF-20"/>
    <s v="East Sea Fleet"/>
    <s v="DDG152 Jinan, FFG548 Yiyang, AOR886 Qiandao Hu "/>
  </r>
  <r>
    <s v="Senior Level Visit"/>
    <s v="Southeast Asia"/>
    <s v="Asia"/>
    <s v="Comprehensive Strategic Cooperative Partnership [全面战略合作伙伴关系]"/>
    <s v="None"/>
    <s v="INDOPACOM"/>
    <s v="Vietnam"/>
    <x v="24"/>
    <n v="8"/>
    <x v="4"/>
    <s v="Sun Jianguo"/>
    <m/>
    <s v="GSD DCGS"/>
    <n v="6"/>
    <s v="Abroad"/>
    <m/>
    <m/>
    <m/>
    <m/>
    <m/>
    <m/>
    <m/>
    <m/>
    <m/>
  </r>
  <r>
    <s v="Senior Level Visit"/>
    <s v="Africa"/>
    <s v="West Asia and Africa"/>
    <s v="No Specific Relationship"/>
    <s v="None"/>
    <s v="AFRICOM"/>
    <s v="Zimbabwe"/>
    <x v="24"/>
    <n v="8"/>
    <x v="3"/>
    <s v="Ma Xiaotian"/>
    <m/>
    <s v="PLAAF Commander; CMC Member"/>
    <n v="8"/>
    <s v="Hosted"/>
    <s v="Air Force Commander"/>
    <m/>
    <m/>
    <m/>
    <m/>
    <m/>
    <m/>
    <m/>
    <m/>
  </r>
  <r>
    <s v="Military Exercise"/>
    <s v="Oceania"/>
    <s v="America and Oceania"/>
    <s v="Comprehensive Strategic Partnership [全面战略伙伴关系]"/>
    <s v="ANZUS Treaty"/>
    <s v="INDOPACOM"/>
    <s v="Australia"/>
    <x v="24"/>
    <n v="9"/>
    <x v="5"/>
    <m/>
    <m/>
    <m/>
    <m/>
    <m/>
    <m/>
    <s v="MOOTW"/>
    <s v="Panda-Kangaroo 2015"/>
    <s v="Army"/>
    <s v="Survival skills"/>
    <m/>
    <m/>
    <m/>
    <m/>
  </r>
  <r>
    <s v="Senior Level Visit"/>
    <s v="South America"/>
    <s v="America and Oceania"/>
    <s v="Comprehensive Strategic Partnership [全面战略伙伴关系]"/>
    <s v="None"/>
    <s v="SOUTHCOM"/>
    <s v="Brazil"/>
    <x v="24"/>
    <n v="9"/>
    <x v="3"/>
    <s v="Chang Wanquan"/>
    <m/>
    <s v="Defense Minister; CMC Member"/>
    <n v="8"/>
    <s v="Hosted"/>
    <s v="Special Envoy of the President and Defense Minister"/>
    <m/>
    <m/>
    <m/>
    <m/>
    <m/>
    <m/>
    <m/>
    <m/>
  </r>
  <r>
    <s v="Senior Level Visit"/>
    <s v="South America"/>
    <s v="America and Oceania"/>
    <s v="Strategic Partnership [战略伙伴关系]"/>
    <s v="None"/>
    <s v="SOUTHCOM"/>
    <s v="Costa Rica"/>
    <x v="24"/>
    <n v="9"/>
    <x v="4"/>
    <s v="Wang Guanzhong"/>
    <m/>
    <s v="GSD DCGS"/>
    <n v="6"/>
    <s v="Abroad"/>
    <m/>
    <m/>
    <m/>
    <m/>
    <m/>
    <m/>
    <m/>
    <m/>
    <m/>
  </r>
  <r>
    <s v="Senior Level Visit"/>
    <s v="South America"/>
    <s v="America and Oceania"/>
    <s v="No Specific Relationship"/>
    <s v="None"/>
    <s v="SOUTHCOM"/>
    <s v="Cuba"/>
    <x v="24"/>
    <n v="9"/>
    <x v="3"/>
    <s v="Fan Changlong"/>
    <m/>
    <s v="CMC Vice Chairman"/>
    <n v="10"/>
    <s v="Hosted"/>
    <s v="First Deputy Minister of Defense and COGS"/>
    <m/>
    <m/>
    <m/>
    <m/>
    <m/>
    <m/>
    <m/>
    <m/>
  </r>
  <r>
    <s v="Naval Port Call"/>
    <s v="Europe"/>
    <s v="Europe and Central Asia"/>
    <s v="Comprehensive Strategic Partnership [全面战略伙伴关系]"/>
    <s v="NATO"/>
    <s v="EUCOM"/>
    <s v="Denmark"/>
    <x v="24"/>
    <n v="9"/>
    <x v="0"/>
    <m/>
    <m/>
    <m/>
    <m/>
    <m/>
    <m/>
    <m/>
    <m/>
    <m/>
    <m/>
    <s v="ETF"/>
    <s v="ETF-20"/>
    <s v="East Sea Fleet"/>
    <s v="DDG152 Jinan, FFG548 Yiyang, AOR886 Qiandao Hu "/>
  </r>
  <r>
    <s v="Military Exercise"/>
    <s v="Europe"/>
    <s v="Europe and Central Asia"/>
    <s v="Comprehensive Strategic Partnership [全面战略伙伴关系]"/>
    <s v="NATO"/>
    <s v="EUCOM"/>
    <s v="Denmark"/>
    <x v="24"/>
    <n v="9"/>
    <x v="5"/>
    <m/>
    <m/>
    <m/>
    <m/>
    <m/>
    <m/>
    <s v="MOOTW"/>
    <s v="None"/>
    <s v="Navy"/>
    <s v="communication and fleet maneuvers"/>
    <m/>
    <m/>
    <m/>
    <m/>
  </r>
  <r>
    <s v="Naval Port Call"/>
    <s v="Middle East"/>
    <s v="West Asia and Africa"/>
    <s v="Comprehensive Strategic Partnership [全面战略伙伴关系]"/>
    <s v="Major Non-NATO Ally"/>
    <s v="CENTCOM"/>
    <s v="Egypt"/>
    <x v="24"/>
    <n v="9"/>
    <x v="10"/>
    <m/>
    <m/>
    <m/>
    <m/>
    <m/>
    <m/>
    <m/>
    <m/>
    <m/>
    <m/>
    <s v="ETF"/>
    <s v="ETF-20"/>
    <s v="East Sea Fleet"/>
    <s v="DDG152 Jinan, FFG548 Yiyang, AOR886 Qiandao Hu "/>
  </r>
  <r>
    <s v="Military Exercise"/>
    <s v="Middle East"/>
    <s v="West Asia and Africa"/>
    <s v="Comprehensive Strategic Partnership [全面战略伙伴关系]"/>
    <s v="Major Non-NATO Ally"/>
    <s v="CENTCOM"/>
    <s v="Egypt"/>
    <x v="24"/>
    <n v="9"/>
    <x v="5"/>
    <m/>
    <m/>
    <m/>
    <m/>
    <m/>
    <m/>
    <s v="MOOTW"/>
    <s v="None"/>
    <s v="Navy"/>
    <s v="fleet maneuvers, communications drill, underway replenishment; ETF-20"/>
    <m/>
    <m/>
    <m/>
    <m/>
  </r>
  <r>
    <s v="Naval Port Call"/>
    <s v="Europe"/>
    <s v="Europe and Central Asia"/>
    <s v="No Specific Relationship"/>
    <s v="None"/>
    <s v="EUCOM"/>
    <s v="Finland"/>
    <x v="24"/>
    <n v="9"/>
    <x v="0"/>
    <m/>
    <m/>
    <m/>
    <m/>
    <m/>
    <m/>
    <m/>
    <m/>
    <m/>
    <m/>
    <s v="ETF"/>
    <s v="ETF-20"/>
    <s v="East Sea Fleet"/>
    <s v="DDG152 Jinan, FFG548 Yiyang, AOR886 Qiandao Hu "/>
  </r>
  <r>
    <s v="Senior Level Visit"/>
    <s v="Europe"/>
    <s v="Europe and Central Asia"/>
    <s v="No Specific Relationship"/>
    <s v="NATO"/>
    <s v="EUCOM"/>
    <s v="Hungary"/>
    <x v="24"/>
    <n v="9"/>
    <x v="3"/>
    <s v="Chang Wanquan"/>
    <m/>
    <s v="Defense Minister; CMC Member"/>
    <n v="8"/>
    <s v="Hosted"/>
    <s v="Deputy State Secretary at the Defense Ministry"/>
    <m/>
    <m/>
    <m/>
    <m/>
    <m/>
    <m/>
    <m/>
    <m/>
  </r>
  <r>
    <s v="Senior Level Visit"/>
    <s v="Europe"/>
    <s v="Europe and Central Asia"/>
    <s v="Comprehensive Strategic Partnership [全面战略伙伴关系]"/>
    <s v="NATO"/>
    <s v="EUCOM"/>
    <s v="Italy"/>
    <x v="24"/>
    <n v="9"/>
    <x v="4"/>
    <s v="Du Jincai"/>
    <m/>
    <s v="GPD Deputy Director"/>
    <n v="6"/>
    <s v="Abroad"/>
    <m/>
    <m/>
    <m/>
    <m/>
    <m/>
    <m/>
    <m/>
    <m/>
    <m/>
  </r>
  <r>
    <s v="Military Exercise"/>
    <s v="Southeast Asia"/>
    <s v="Asia"/>
    <s v="Comprehensive Strategic Partnership [全面战略伙伴关系]"/>
    <s v="None"/>
    <s v="INDOPACOM"/>
    <s v="Malaysia"/>
    <x v="24"/>
    <n v="9"/>
    <x v="5"/>
    <m/>
    <m/>
    <m/>
    <m/>
    <m/>
    <m/>
    <s v="MOOTW"/>
    <s v="Peace and Friendship 2015"/>
    <s v="Navy"/>
    <s v="HADR, SAREX, anti-terrorism; &quot;weapons use&quot;"/>
    <m/>
    <m/>
    <m/>
    <m/>
  </r>
  <r>
    <s v="Senior Level Visit"/>
    <s v="North America"/>
    <s v="America and Oceania"/>
    <s v="Comprehensive Strategic Partnership [全面战略伙伴关系]"/>
    <s v="None"/>
    <s v="NORTHCOM"/>
    <s v="Mexico"/>
    <x v="24"/>
    <n v="9"/>
    <x v="4"/>
    <s v="Wang Guanzhong"/>
    <m/>
    <s v="GSD DCGS"/>
    <n v="6"/>
    <s v="Abroad"/>
    <m/>
    <m/>
    <m/>
    <m/>
    <m/>
    <m/>
    <m/>
    <m/>
    <m/>
  </r>
  <r>
    <s v="Military Exercise"/>
    <s v="Northeast Asia"/>
    <s v="Asia"/>
    <s v="Comprehensive Strategic Partnership [全面战略伙伴关系]"/>
    <s v="None"/>
    <s v="INDOPACOM"/>
    <s v="Mongolia"/>
    <x v="24"/>
    <n v="9"/>
    <x v="5"/>
    <m/>
    <m/>
    <m/>
    <m/>
    <m/>
    <m/>
    <s v="Anti-terrorism"/>
    <s v="Eagle 2015"/>
    <s v="PAP"/>
    <s v="Joint anti-terrorism drill in Mongolia"/>
    <m/>
    <m/>
    <m/>
    <m/>
  </r>
  <r>
    <s v="Senior Level Visit"/>
    <s v="Africa"/>
    <s v="West Asia and Africa"/>
    <s v="No Specific Relationship"/>
    <s v="None"/>
    <s v="AFRICOM"/>
    <s v="Namibia"/>
    <x v="24"/>
    <n v="9"/>
    <x v="3"/>
    <s v="Xu Qiliang"/>
    <m/>
    <s v="CMC Vice Chairman"/>
    <n v="10"/>
    <s v="Hosted"/>
    <s v="Defense Minister"/>
    <m/>
    <m/>
    <m/>
    <m/>
    <m/>
    <m/>
    <m/>
    <m/>
  </r>
  <r>
    <s v="Senior Level Visit"/>
    <s v="Oceania"/>
    <s v="America and Oceania"/>
    <s v="Comprehensive Strategic Partnership [全面战略伙伴关系]"/>
    <s v="ANZUS Treaty"/>
    <s v="INDOPACOM"/>
    <s v="New Zealand"/>
    <x v="24"/>
    <n v="9"/>
    <x v="3"/>
    <s v="Fan Changlong"/>
    <m/>
    <s v="CMC Vice Chairman"/>
    <n v="10"/>
    <s v="Hosted"/>
    <s v="Defense Minister"/>
    <m/>
    <m/>
    <m/>
    <m/>
    <m/>
    <m/>
    <m/>
    <m/>
  </r>
  <r>
    <s v="Military Exercise"/>
    <s v="Oceania"/>
    <s v="America and Oceania"/>
    <s v="Comprehensive Strategic Partnership [全面战略伙伴关系]"/>
    <s v="ANZUS Treaty"/>
    <s v="INDOPACOM"/>
    <s v="New Zealand"/>
    <x v="24"/>
    <n v="9"/>
    <x v="6"/>
    <m/>
    <m/>
    <m/>
    <m/>
    <m/>
    <m/>
    <s v="MOOTW"/>
    <s v="Tropic Twilight"/>
    <s v="Army"/>
    <s v="Engineering, HADR. Other countries: United Kingdom, United States"/>
    <m/>
    <m/>
    <m/>
    <m/>
  </r>
  <r>
    <s v="Military Exercise"/>
    <s v="South Asia"/>
    <s v="Asia"/>
    <s v="All-Weather Strategic Cooperative Partnership [全天候战略合作伙伴关系]"/>
    <s v="Major Non-NATO Ally"/>
    <s v="CENTCOM"/>
    <s v="Pakistan"/>
    <x v="24"/>
    <n v="9"/>
    <x v="5"/>
    <m/>
    <m/>
    <m/>
    <m/>
    <m/>
    <m/>
    <s v="Combat"/>
    <s v="Shaheen-4"/>
    <s v="Air Force"/>
    <s v="Operational aerial maneuvers"/>
    <m/>
    <m/>
    <m/>
    <m/>
  </r>
  <r>
    <s v="Senior Level Visit"/>
    <s v="Russia"/>
    <s v="Europe and Central Asia"/>
    <s v="Comprehensive Collaborative Strategic Partnership [全面战略协作伙伴关系]"/>
    <s v="None"/>
    <s v="EUCOM"/>
    <s v="Russia"/>
    <x v="24"/>
    <n v="9"/>
    <x v="3"/>
    <s v="Fan Changlong"/>
    <m/>
    <s v="CMC Vice Chairman"/>
    <n v="10"/>
    <s v="Hosted"/>
    <s v="Defense Minister"/>
    <m/>
    <m/>
    <m/>
    <m/>
    <m/>
    <m/>
    <m/>
    <m/>
  </r>
  <r>
    <s v="Military Exercise"/>
    <s v="Central Asia"/>
    <s v="Europe and Central Asia"/>
    <s v="Member"/>
    <s v="None"/>
    <s v="CENTCOM"/>
    <s v="SCO"/>
    <x v="24"/>
    <n v="9"/>
    <x v="6"/>
    <m/>
    <m/>
    <m/>
    <m/>
    <m/>
    <m/>
    <s v="Anti-terrorism"/>
    <s v="None"/>
    <s v="Army"/>
    <s v="SCO anti-terrorism joint-command staff exercise in Kyrgyzstan; Russia, China, Kyrgyzstan, Kazakhstan, Tajikistan, possibly Uzbekistan"/>
    <m/>
    <m/>
    <m/>
    <m/>
  </r>
  <r>
    <s v="Senior Level Visit"/>
    <s v="Europe"/>
    <s v="Europe and Central Asia"/>
    <s v="Comprehensive Strategic Partnership [全面战略伙伴关系]"/>
    <s v="NATO"/>
    <s v="EUCOM"/>
    <s v="Spain"/>
    <x v="24"/>
    <n v="9"/>
    <x v="3"/>
    <s v="Ma Xiaotian"/>
    <m/>
    <s v="PLAAF Commander; CMC Member"/>
    <n v="8"/>
    <s v="Hosted"/>
    <s v="Air Force Chief of Staff"/>
    <m/>
    <m/>
    <m/>
    <m/>
    <m/>
    <m/>
    <m/>
    <m/>
  </r>
  <r>
    <s v="Military Exercise"/>
    <s v="South Asia"/>
    <s v="Asia"/>
    <s v="Strategic Cooperative Partnership [战略合作伙伴关系]"/>
    <s v="None"/>
    <s v="INDOPACOM"/>
    <s v="Sri Lanka"/>
    <x v="24"/>
    <n v="9"/>
    <x v="6"/>
    <m/>
    <m/>
    <m/>
    <m/>
    <m/>
    <m/>
    <s v="Anti-terrorism"/>
    <s v="Cormorant Strike VI 2015"/>
    <s v="Army"/>
    <s v="SOF; likely observer. Other countries: Bangladesh, India, Indonesia, Malaysia, Nepal, Pakistan, United  States"/>
    <m/>
    <m/>
    <m/>
    <m/>
  </r>
  <r>
    <s v="Senior Level Visit"/>
    <s v="Europe"/>
    <s v="Europe and Central Asia"/>
    <s v="No Specific Relationship"/>
    <s v="None"/>
    <s v="EUCOM"/>
    <s v="Switzerland"/>
    <x v="24"/>
    <n v="9"/>
    <x v="3"/>
    <s v="Chang Wanquan"/>
    <m/>
    <s v="Defense Minister; CMC Member"/>
    <n v="8"/>
    <s v="Hosted"/>
    <s v="Chief of Armed Forces"/>
    <m/>
    <m/>
    <m/>
    <m/>
    <m/>
    <m/>
    <m/>
    <m/>
  </r>
  <r>
    <s v="Senior Level Visit"/>
    <s v="Southeast Asia"/>
    <s v="Asia"/>
    <s v="Comprehensive Strategic Cooperative Partnership [全面战略合作伙伴关系]"/>
    <s v="Bilateral Defense Treaty"/>
    <s v="INDOPACOM"/>
    <s v="Thailand"/>
    <x v="24"/>
    <n v="9"/>
    <x v="3"/>
    <s v="Xu Qiliang"/>
    <m/>
    <s v="CMC Vice Chairman"/>
    <n v="10"/>
    <s v="Hosted"/>
    <s v="Deputy Prime Minister and Minister of Defense"/>
    <m/>
    <m/>
    <m/>
    <m/>
    <m/>
    <m/>
    <m/>
    <m/>
  </r>
  <r>
    <s v="Senior Level Visit"/>
    <s v="Africa"/>
    <s v="West Asia and Africa"/>
    <s v="No Specific Relationship"/>
    <s v="Major Non-NATO Ally"/>
    <s v="AFRICOM"/>
    <s v="Tunisia"/>
    <x v="24"/>
    <n v="9"/>
    <x v="3"/>
    <s v="Chang Wanquan"/>
    <m/>
    <s v="Defense Minister; CMC Member"/>
    <n v="8"/>
    <s v="Hosted"/>
    <s v="Defense Minister"/>
    <m/>
    <m/>
    <m/>
    <m/>
    <m/>
    <m/>
    <m/>
    <m/>
  </r>
  <r>
    <s v="Senior Level Visit"/>
    <s v="Europe"/>
    <s v="Europe and Central Asia"/>
    <s v="Comprehensive Strategic Partnership [全面战略伙伴关系]"/>
    <s v="NATO"/>
    <s v="EUCOM"/>
    <s v="United Kingdom"/>
    <x v="24"/>
    <n v="9"/>
    <x v="4"/>
    <s v="Du Jincai"/>
    <m/>
    <s v="GPD Deputy Director"/>
    <n v="6"/>
    <s v="Abroad"/>
    <m/>
    <m/>
    <m/>
    <m/>
    <m/>
    <m/>
    <m/>
    <m/>
    <m/>
  </r>
  <r>
    <s v="Senior Level Visit"/>
    <s v="South Asia"/>
    <s v="Europe and Central Asia"/>
    <s v="Strategic Partnership [战略伙伴关系]"/>
    <s v="Major Non-NATO Ally"/>
    <s v="CENTCOM"/>
    <s v="Afghanistan"/>
    <x v="24"/>
    <n v="10"/>
    <x v="3"/>
    <s v="Sun Jianguo"/>
    <m/>
    <s v="GSD DCGS"/>
    <n v="6"/>
    <s v="Hosted"/>
    <s v="Acting Defense Minister"/>
    <m/>
    <m/>
    <m/>
    <m/>
    <m/>
    <m/>
    <m/>
    <m/>
  </r>
  <r>
    <s v="Senior Level Visit"/>
    <s v="Southeast Asia"/>
    <s v="Asia"/>
    <s v="Strategic Partnership [战略伙伴关系] for Peace and Prosperity"/>
    <s v="None"/>
    <s v="INDOPACOM"/>
    <s v="ASEAN"/>
    <x v="24"/>
    <n v="10"/>
    <x v="2"/>
    <s v="Chang Wanquan"/>
    <m/>
    <s v="Defense Minister; CMC Member"/>
    <n v="8"/>
    <s v="Hosted"/>
    <s v="Fifth China-ASEAN Defense Ministers' Informal Meeting in Beijing"/>
    <m/>
    <m/>
    <m/>
    <m/>
    <m/>
    <m/>
    <m/>
    <m/>
  </r>
  <r>
    <s v="Naval Port Call"/>
    <s v="Oceania"/>
    <s v="America and Oceania"/>
    <s v="Comprehensive Strategic Partnership [全面战略伙伴关系]"/>
    <s v="ANZUS Treaty"/>
    <s v="INDOPACOM"/>
    <s v="Australia"/>
    <x v="24"/>
    <n v="10"/>
    <x v="12"/>
    <m/>
    <m/>
    <m/>
    <m/>
    <m/>
    <m/>
    <m/>
    <m/>
    <m/>
    <m/>
    <s v="NETF"/>
    <s v="2015-10 Harmonious Mission "/>
    <s v="East Sea Fleet"/>
    <m/>
  </r>
  <r>
    <s v="Senior Level Visit"/>
    <s v="Europe"/>
    <s v="Europe and Central Asia"/>
    <s v="Comprehensive Strategic Partnership [全面战略伙伴关系]"/>
    <s v="None"/>
    <s v="EUCOM"/>
    <s v="Belarus"/>
    <x v="24"/>
    <n v="10"/>
    <x v="4"/>
    <s v="Sun Jianguo"/>
    <m/>
    <s v="GSD DCGS"/>
    <n v="6"/>
    <s v="Abroad"/>
    <m/>
    <m/>
    <m/>
    <m/>
    <m/>
    <m/>
    <m/>
    <m/>
    <m/>
  </r>
  <r>
    <s v="Naval Port Call"/>
    <s v="Europe"/>
    <s v="Europe and Central Asia"/>
    <s v="Comprehensive Strategic Partnership [全面战略伙伴关系]"/>
    <s v="NATO"/>
    <s v="EUCOM"/>
    <s v="France"/>
    <x v="24"/>
    <n v="10"/>
    <x v="0"/>
    <m/>
    <m/>
    <m/>
    <m/>
    <m/>
    <m/>
    <m/>
    <m/>
    <m/>
    <m/>
    <s v="NETF"/>
    <s v="2015-10 Harmonious Mission "/>
    <s v="East Sea Fleet"/>
    <s v="French Polynesia"/>
  </r>
  <r>
    <s v="Military Exercise"/>
    <s v="Europe"/>
    <s v="Europe and Central Asia"/>
    <s v="Comprehensive Strategic Partnership [全面战略伙伴关系]"/>
    <s v="NATO"/>
    <s v="EUCOM"/>
    <s v="France"/>
    <x v="24"/>
    <n v="10"/>
    <x v="5"/>
    <m/>
    <m/>
    <m/>
    <m/>
    <m/>
    <m/>
    <s v="MOOTW"/>
    <s v="None"/>
    <s v="Navy"/>
    <s v="communication, formation movement in English Channel"/>
    <m/>
    <m/>
    <m/>
    <m/>
  </r>
  <r>
    <s v="Military Exercise"/>
    <s v="Europe"/>
    <s v="Europe and Central Asia"/>
    <s v="Comprehensive Strategic Partnership [全面战略伙伴关系]"/>
    <s v="NATO"/>
    <s v="EUCOM"/>
    <s v="France"/>
    <x v="24"/>
    <n v="10"/>
    <x v="5"/>
    <m/>
    <m/>
    <m/>
    <m/>
    <m/>
    <m/>
    <s v="MOOTW"/>
    <s v="None"/>
    <s v="Navy"/>
    <s v="Peace Ark, HADR"/>
    <m/>
    <m/>
    <m/>
    <m/>
  </r>
  <r>
    <s v="Military Exercise"/>
    <s v="Europe"/>
    <s v="Europe and Central Asia"/>
    <s v="Comprehensive Strategic Partnership [全面战略伙伴关系]"/>
    <s v="NATO"/>
    <s v="EUCOM"/>
    <s v="France"/>
    <x v="24"/>
    <n v="10"/>
    <x v="5"/>
    <m/>
    <m/>
    <m/>
    <m/>
    <m/>
    <m/>
    <s v="MOOTW"/>
    <s v="Harmonious Mission 2015"/>
    <s v="Navy"/>
    <s v="Communication drills"/>
    <m/>
    <m/>
    <m/>
    <m/>
  </r>
  <r>
    <s v="Military Exercise"/>
    <s v="Europe"/>
    <s v="Europe and Central Asia"/>
    <s v="Comprehensive Strategic Partnership [全面战略伙伴关系]"/>
    <s v="NATO"/>
    <s v="EUCOM"/>
    <s v="France"/>
    <x v="24"/>
    <n v="10"/>
    <x v="5"/>
    <m/>
    <m/>
    <m/>
    <m/>
    <m/>
    <m/>
    <s v="MOOTW"/>
    <s v="None"/>
    <s v="Navy"/>
    <s v="Navigation drills"/>
    <m/>
    <m/>
    <m/>
    <m/>
  </r>
  <r>
    <s v="Military Exercise"/>
    <s v="South Asia"/>
    <s v="Asia"/>
    <s v="Strategic Partnership for Peace and Prosperity [战略伙伴关系]"/>
    <s v="None"/>
    <s v="INDOPACOM"/>
    <s v="India"/>
    <x v="24"/>
    <n v="10"/>
    <x v="5"/>
    <m/>
    <m/>
    <m/>
    <m/>
    <m/>
    <m/>
    <s v="Anti-terrorism"/>
    <s v="Hand-in-Hand 2015"/>
    <s v="Army"/>
    <s v="Anti-terrorism"/>
    <m/>
    <m/>
    <m/>
    <m/>
  </r>
  <r>
    <s v="Senior Level Visit"/>
    <s v="Southeast Asia"/>
    <s v="Asia"/>
    <s v="Comprehensive Strategic Partnership [全面战略伙伴关系]"/>
    <s v="None"/>
    <s v="INDOPACOM"/>
    <s v="Indonesia"/>
    <x v="24"/>
    <n v="10"/>
    <x v="7"/>
    <s v="Chang Wanquan"/>
    <m/>
    <s v="Defense Minister; CMC Member"/>
    <n v="8"/>
    <s v="Hosted"/>
    <s v="Defense Minister"/>
    <m/>
    <m/>
    <m/>
    <m/>
    <m/>
    <m/>
    <m/>
    <m/>
  </r>
  <r>
    <s v="Senior Level Visit"/>
    <s v="Middle East"/>
    <s v="West Asia and Africa"/>
    <s v="No Specific Relationship"/>
    <s v="None"/>
    <s v="CENTCOM"/>
    <s v="Iran"/>
    <x v="24"/>
    <n v="10"/>
    <x v="4"/>
    <s v="Sun Jianguo"/>
    <m/>
    <s v="GSD DCGS"/>
    <n v="6"/>
    <s v="Abroad"/>
    <m/>
    <m/>
    <m/>
    <m/>
    <m/>
    <m/>
    <m/>
    <m/>
    <m/>
  </r>
  <r>
    <s v="Senior Level Visit"/>
    <s v="Central Asia"/>
    <s v="Europe and Central Asia"/>
    <s v="Comprehensive Strategic Partnership [全面战略伙伴关系]"/>
    <s v="None"/>
    <s v="CENTCOM"/>
    <s v="Kazakhstan"/>
    <x v="24"/>
    <n v="10"/>
    <x v="4"/>
    <s v="Chang Wanquan"/>
    <m/>
    <s v="Defense Minister; CMC Member"/>
    <n v="8"/>
    <s v="Abroad"/>
    <m/>
    <m/>
    <m/>
    <m/>
    <m/>
    <m/>
    <m/>
    <m/>
    <m/>
  </r>
  <r>
    <s v="Military Exercise"/>
    <s v="Central Asia"/>
    <s v="Europe and Central Asia"/>
    <s v="Comprehensive Strategic Partnership [全面战略伙伴关系]"/>
    <s v="None"/>
    <s v="CENTCOM"/>
    <s v="Kazakhstan"/>
    <x v="24"/>
    <n v="10"/>
    <x v="5"/>
    <m/>
    <m/>
    <m/>
    <m/>
    <m/>
    <m/>
    <s v="Anti-terrorism"/>
    <s v="Fox Hunting 2015"/>
    <s v="Army"/>
    <s v="Anti-terror drills"/>
    <m/>
    <m/>
    <m/>
    <m/>
  </r>
  <r>
    <s v="Senior Level Visit"/>
    <s v="Southeast Asia"/>
    <s v="Asia"/>
    <s v="Comprehensive Strategic Cooperative Partnership [全面战略合作伙伴关系]"/>
    <s v="None"/>
    <s v="INDOPACOM"/>
    <s v="Laos"/>
    <x v="24"/>
    <n v="10"/>
    <x v="3"/>
    <s v="Sun Jianguo"/>
    <m/>
    <s v="GSD DCGS"/>
    <n v="6"/>
    <s v="Hosted"/>
    <s v="Delegation of senior army officers"/>
    <m/>
    <m/>
    <m/>
    <m/>
    <m/>
    <m/>
    <m/>
    <m/>
  </r>
  <r>
    <s v="Senior Level Visit"/>
    <s v="Europe"/>
    <s v="Europe and Central Asia"/>
    <s v="Friendly Cooperative Partnership [友好合作伙伴关系]"/>
    <s v="NATO"/>
    <s v="EUCOM"/>
    <s v="Latvia"/>
    <x v="24"/>
    <n v="10"/>
    <x v="3"/>
    <s v="Fang Fenghui"/>
    <m/>
    <s v="GSD Commander; CMC Member"/>
    <n v="8"/>
    <s v="Hosted"/>
    <s v="CinC Armed Forces"/>
    <m/>
    <m/>
    <m/>
    <m/>
    <m/>
    <m/>
    <m/>
    <m/>
  </r>
  <r>
    <s v="Senior Level Visit"/>
    <s v="Southeast Asia"/>
    <s v="Asia"/>
    <s v="Comprehensive Strategic Partnership [全面战略伙伴关系]"/>
    <s v="None"/>
    <s v="INDOPACOM"/>
    <s v="Malaysia"/>
    <x v="24"/>
    <n v="10"/>
    <x v="3"/>
    <s v="Fan Changlong"/>
    <m/>
    <s v="CMC Vice Chairman"/>
    <n v="10"/>
    <s v="Hosted"/>
    <s v="Defense Minister"/>
    <m/>
    <m/>
    <m/>
    <m/>
    <m/>
    <m/>
    <m/>
    <m/>
  </r>
  <r>
    <s v="Senior Level Visit"/>
    <s v="Northeast Asia"/>
    <s v="Asia"/>
    <s v="Comprehensive Strategic Partnership [全面战略伙伴关系]"/>
    <s v="None"/>
    <s v="INDOPACOM"/>
    <s v="Mongolia"/>
    <x v="24"/>
    <n v="10"/>
    <x v="4"/>
    <s v="Chang Wanquan"/>
    <m/>
    <s v="Defense Minister; CMC Member"/>
    <n v="8"/>
    <s v="Abroad"/>
    <m/>
    <m/>
    <m/>
    <m/>
    <m/>
    <m/>
    <m/>
    <m/>
    <m/>
  </r>
  <r>
    <s v="Military Exercise"/>
    <s v="Northeast Asia"/>
    <s v="Asia"/>
    <s v="Comprehensive Strategic Partnership [全面战略伙伴关系]"/>
    <s v="None"/>
    <s v="INDOPACOM"/>
    <s v="Mongolia"/>
    <x v="24"/>
    <n v="10"/>
    <x v="5"/>
    <m/>
    <m/>
    <m/>
    <m/>
    <m/>
    <m/>
    <s v="Anti-terrorism"/>
    <s v="Falcon 2015"/>
    <s v="Army"/>
    <s v="PLAA SOF, anti-terrorism"/>
    <m/>
    <m/>
    <m/>
    <m/>
  </r>
  <r>
    <s v="Senior Level Visit"/>
    <s v="Africa"/>
    <s v="West Asia and Africa"/>
    <s v="No Specific Relationship"/>
    <s v="None"/>
    <s v="AFRICOM"/>
    <s v="Mozambique"/>
    <x v="24"/>
    <n v="10"/>
    <x v="3"/>
    <s v="Fan Changlong"/>
    <m/>
    <s v="CMC Vice Chairman"/>
    <n v="10"/>
    <s v="Hosted"/>
    <s v="Defense Minister"/>
    <m/>
    <m/>
    <m/>
    <m/>
    <m/>
    <m/>
    <m/>
    <m/>
  </r>
  <r>
    <s v="Senior Level Visit"/>
    <s v="Southeast Asia"/>
    <s v="Asia"/>
    <s v="Comprehensive Strategic Cooperative Partnership [全面战略合作伙伴关系]"/>
    <s v="None"/>
    <s v="INDOPACOM"/>
    <s v="Myanmar"/>
    <x v="24"/>
    <n v="10"/>
    <x v="3"/>
    <s v="Chang Wanquan"/>
    <m/>
    <s v="Defense Minister; CMC Member"/>
    <n v="8"/>
    <s v="Hosted"/>
    <s v="Defense Minister"/>
    <m/>
    <m/>
    <m/>
    <m/>
    <m/>
    <m/>
    <m/>
    <m/>
  </r>
  <r>
    <s v="Senior Level Visit"/>
    <s v="Northeast Asia"/>
    <s v="Asia"/>
    <s v="N/A"/>
    <s v="None"/>
    <s v="INDOPACOM"/>
    <s v="N/A"/>
    <x v="24"/>
    <n v="10"/>
    <x v="2"/>
    <s v="Chang Wanquan"/>
    <m/>
    <s v="Defense Minister; CMC Member"/>
    <n v="8"/>
    <s v="Hosted"/>
    <s v="Xiangshan Forum 2015; Defense Minister"/>
    <m/>
    <m/>
    <m/>
    <m/>
    <m/>
    <m/>
    <m/>
    <m/>
  </r>
  <r>
    <s v="Naval Port Call"/>
    <s v="Europe"/>
    <s v="Europe and Central Asia"/>
    <s v="Strategic Partnership [战略伙伴关系]"/>
    <s v="NATO"/>
    <s v="EUCOM"/>
    <s v="Poland"/>
    <x v="24"/>
    <n v="10"/>
    <x v="0"/>
    <m/>
    <m/>
    <m/>
    <m/>
    <m/>
    <m/>
    <m/>
    <m/>
    <m/>
    <m/>
    <s v="ETF"/>
    <s v="ETF-20"/>
    <s v="East Sea Fleet"/>
    <s v="DDG152 Jinan, FFG548 Yiyang, AOR886 Qiandao Hu "/>
  </r>
  <r>
    <s v="Naval Port Call"/>
    <s v="Europe"/>
    <s v="Europe and Central Asia"/>
    <s v="Comprehensive Strategic Partnership [全面战略伙伴关系]"/>
    <s v="NATO"/>
    <s v="EUCOM"/>
    <s v="Portugal"/>
    <x v="24"/>
    <n v="10"/>
    <x v="0"/>
    <m/>
    <m/>
    <m/>
    <m/>
    <m/>
    <m/>
    <m/>
    <m/>
    <m/>
    <m/>
    <s v="ETF"/>
    <s v="ETF-20"/>
    <s v="East Sea Fleet"/>
    <s v="DDG152 Jinan, FFG548 Yiyang, AOR886 Qiandao Hu "/>
  </r>
  <r>
    <s v="Senior Level Visit"/>
    <s v="Middle East"/>
    <s v="West Asia and Africa"/>
    <s v="No Specific Relationship"/>
    <s v="None"/>
    <s v="CENTCOM"/>
    <s v="Saudi Arabia"/>
    <x v="24"/>
    <n v="10"/>
    <x v="3"/>
    <s v="Wu Shengli"/>
    <m/>
    <s v="PLAN Commander; CMC Member"/>
    <n v="8"/>
    <s v="Hosted"/>
    <s v="Navy Commander"/>
    <m/>
    <m/>
    <m/>
    <m/>
    <m/>
    <m/>
    <m/>
    <m/>
  </r>
  <r>
    <s v="Senior Level Visit"/>
    <s v="South Asia"/>
    <s v="Asia"/>
    <s v="Strategic Cooperative Partnership [战略合作伙伴关系]"/>
    <s v="None"/>
    <s v="INDOPACOM"/>
    <s v="Sri Lanka"/>
    <x v="24"/>
    <n v="10"/>
    <x v="3"/>
    <s v="Sun Jianguo"/>
    <m/>
    <s v="GSD DCGS"/>
    <n v="6"/>
    <s v="Hosted"/>
    <s v="Secretary to the Defense Minister"/>
    <m/>
    <m/>
    <m/>
    <m/>
    <m/>
    <m/>
    <m/>
    <m/>
  </r>
  <r>
    <s v="Naval Port Call"/>
    <s v="Europe"/>
    <s v="Europe and Central Asia"/>
    <s v="No Specific Relationship"/>
    <s v="None"/>
    <s v="EUCOM"/>
    <s v="Sweden"/>
    <x v="24"/>
    <n v="10"/>
    <x v="0"/>
    <m/>
    <m/>
    <m/>
    <m/>
    <m/>
    <m/>
    <m/>
    <m/>
    <m/>
    <m/>
    <s v="ETF"/>
    <s v="ETF-20"/>
    <s v="East Sea Fleet"/>
    <s v="DDG152 Jinan, FFG548 Yiyang, AOR886 Qiandao Hu "/>
  </r>
  <r>
    <s v="Senior Level Visit"/>
    <s v="Central Asia"/>
    <s v="Europe and Central Asia"/>
    <s v="Strategic Partnership [战略伙伴关系]"/>
    <s v="None"/>
    <s v="CENTCOM"/>
    <s v="Tajikistan"/>
    <x v="24"/>
    <n v="10"/>
    <x v="7"/>
    <s v="Chang Wanquan"/>
    <m/>
    <s v="Defense Minister; CMC Member"/>
    <n v="8"/>
    <s v="Hosted"/>
    <s v="Defense Minister"/>
    <m/>
    <m/>
    <m/>
    <m/>
    <m/>
    <m/>
    <m/>
    <m/>
  </r>
  <r>
    <s v="Naval Port Call"/>
    <s v="North America"/>
    <s v="America and Oceania"/>
    <s v="No Specific Relationship"/>
    <s v="N/A"/>
    <s v="NORTHCOM"/>
    <s v="United States"/>
    <x v="24"/>
    <n v="10"/>
    <x v="0"/>
    <m/>
    <m/>
    <m/>
    <m/>
    <m/>
    <m/>
    <m/>
    <m/>
    <m/>
    <m/>
    <s v="NETF"/>
    <s v="2015-10  Zhenghe"/>
    <s v="East Sea Fleet"/>
    <m/>
  </r>
  <r>
    <s v="Military Exercise"/>
    <s v="North America"/>
    <s v="America and Oceania"/>
    <s v="No Specific Relationship"/>
    <s v="N/A"/>
    <s v="NORTHCOM"/>
    <s v="United States"/>
    <x v="24"/>
    <n v="10"/>
    <x v="5"/>
    <m/>
    <m/>
    <m/>
    <m/>
    <m/>
    <m/>
    <s v="Combat Support"/>
    <s v="None"/>
    <s v="Navy"/>
    <s v="Damage control, SAR planning"/>
    <m/>
    <m/>
    <m/>
    <m/>
  </r>
  <r>
    <s v="Senior Level Visit"/>
    <s v="Southeast Asia"/>
    <s v="Asia"/>
    <s v="Strategic Partnership [战略伙伴关系] for Peace and Prosperity"/>
    <s v="None"/>
    <s v="INDOPACOM"/>
    <s v="ASEAN"/>
    <x v="24"/>
    <n v="11"/>
    <x v="1"/>
    <s v="Chang Wanquan"/>
    <m/>
    <s v="Defense Minister; CMC Member"/>
    <n v="8"/>
    <s v="Abroad"/>
    <s v="3rd ADMM+ Malaysia"/>
    <m/>
    <m/>
    <m/>
    <m/>
    <m/>
    <m/>
    <m/>
    <m/>
  </r>
  <r>
    <s v="Senior Level Visit"/>
    <s v="Oceania"/>
    <s v="America and Oceania"/>
    <s v="Comprehensive Strategic Partnership [全面战略伙伴关系]"/>
    <s v="ANZUS Treaty"/>
    <s v="INDOPACOM"/>
    <s v="Australia"/>
    <x v="24"/>
    <n v="11"/>
    <x v="7"/>
    <s v="Chang Wanquan"/>
    <m/>
    <s v="Defense Minister; CMC Member"/>
    <n v="8"/>
    <s v="Abroad"/>
    <s v="Defense Minister"/>
    <m/>
    <m/>
    <m/>
    <m/>
    <m/>
    <m/>
    <m/>
    <m/>
  </r>
  <r>
    <s v="Military Exercise"/>
    <s v="Oceania"/>
    <s v="America and Oceania"/>
    <s v="Comprehensive Strategic Partnership [全面战略伙伴关系]"/>
    <s v="ANZUS Treaty"/>
    <s v="INDOPACOM"/>
    <s v="Australia"/>
    <x v="24"/>
    <n v="11"/>
    <x v="5"/>
    <m/>
    <m/>
    <m/>
    <m/>
    <m/>
    <m/>
    <s v="MOOTW"/>
    <s v="None"/>
    <s v="Navy"/>
    <s v="Navigation drills"/>
    <m/>
    <m/>
    <m/>
    <m/>
  </r>
  <r>
    <s v="Senior Level Visit"/>
    <s v="Europe"/>
    <s v="Europe and Central Asia"/>
    <s v="Comprehensive Strategic Partnership [全面战略伙伴关系]"/>
    <s v="None"/>
    <s v="EUCOM"/>
    <s v="Belarus"/>
    <x v="24"/>
    <n v="11"/>
    <x v="3"/>
    <s v="Zhao Keshi"/>
    <m/>
    <s v="GLD Director; CMC Member"/>
    <n v="8"/>
    <s v="Hosted"/>
    <s v="Deputy Minister of Defense for Logistics"/>
    <m/>
    <m/>
    <m/>
    <m/>
    <m/>
    <m/>
    <m/>
    <m/>
  </r>
  <r>
    <s v="Senior Level Visit"/>
    <s v="Southeast Asia"/>
    <s v="Asia"/>
    <s v="Comprehensive Strategic Cooperative Partnership [全面战略合作伙伴关系]"/>
    <s v="None"/>
    <s v="INDOPACOM"/>
    <s v="Cambodia"/>
    <x v="24"/>
    <n v="11"/>
    <x v="4"/>
    <s v="Chang Wanquan"/>
    <m/>
    <s v="Defense Minister; CMC Member"/>
    <n v="8"/>
    <s v="Abroad"/>
    <s v="Defense Minister"/>
    <m/>
    <m/>
    <m/>
    <m/>
    <m/>
    <m/>
    <m/>
    <m/>
  </r>
  <r>
    <s v="Naval Port Call"/>
    <s v="South America"/>
    <s v="America and Oceania"/>
    <s v="No Specific Relationship"/>
    <s v="None"/>
    <s v="SOUTHCOM"/>
    <s v="Cuba"/>
    <x v="24"/>
    <n v="11"/>
    <x v="0"/>
    <m/>
    <m/>
    <m/>
    <m/>
    <m/>
    <m/>
    <m/>
    <m/>
    <m/>
    <m/>
    <s v="ETF"/>
    <s v="ETF-20"/>
    <s v="East Sea Fleet"/>
    <s v="DDG152 Jinan, FFG548 Yiyang, AOR886 Qiandao Hu "/>
  </r>
  <r>
    <s v="Military Exercise"/>
    <s v="Europe"/>
    <s v="Europe and Central Asia"/>
    <s v="Comprehensive Strategic Partnership [全面战略伙伴关系]"/>
    <s v="NATO"/>
    <s v="EUCOM"/>
    <s v="Denmark"/>
    <x v="24"/>
    <n v="11"/>
    <x v="5"/>
    <m/>
    <m/>
    <m/>
    <m/>
    <m/>
    <m/>
    <s v="Anti-piracy"/>
    <s v="None"/>
    <s v="Navy"/>
    <s v="helicopter landing on each other’s warship, maritime replenishment, visit, board, search and seizure training; UNREP, fleet maneuvers, boarding; ETF-21; anti-piracy"/>
    <m/>
    <m/>
    <m/>
    <m/>
  </r>
  <r>
    <s v="Senior Level Visit"/>
    <s v="Middle East"/>
    <s v="West Asia and Africa"/>
    <s v="No Specific Relationship"/>
    <s v="None"/>
    <s v="CENTCOM"/>
    <s v="Djibouti"/>
    <x v="24"/>
    <n v="11"/>
    <x v="4"/>
    <s v="Fang Fenghui"/>
    <m/>
    <s v="GSD Commander; CMC Member"/>
    <n v="8"/>
    <s v="Abroad"/>
    <m/>
    <m/>
    <m/>
    <m/>
    <m/>
    <m/>
    <m/>
    <m/>
    <m/>
  </r>
  <r>
    <s v="Naval Port Call"/>
    <s v="Middle East"/>
    <s v="West Asia and Africa"/>
    <s v="No Specific Relationship"/>
    <s v="None"/>
    <s v="CENTCOM"/>
    <s v="Djibouti"/>
    <x v="24"/>
    <n v="11"/>
    <x v="9"/>
    <m/>
    <m/>
    <m/>
    <m/>
    <m/>
    <m/>
    <m/>
    <m/>
    <m/>
    <m/>
    <s v="ETF"/>
    <s v="ETF-21"/>
    <s v="South Sea Fleet"/>
    <s v="FFG573 Liuzhou, FFG574 Sanya, AOR885 Qinghai Hu"/>
  </r>
  <r>
    <s v="Senior Level Visit"/>
    <s v="South America"/>
    <s v="America and Oceania"/>
    <s v="Strategic Partnership [战略伙伴关系]"/>
    <s v="None"/>
    <s v="SOUTHCOM"/>
    <s v="Ecuador"/>
    <x v="24"/>
    <n v="11"/>
    <x v="3"/>
    <s v="Chang Wanquan"/>
    <m/>
    <s v="Defense Minister; CMC Member"/>
    <n v="8"/>
    <s v="Hosted"/>
    <s v="Defense Minister"/>
    <m/>
    <m/>
    <m/>
    <m/>
    <m/>
    <m/>
    <m/>
    <m/>
  </r>
  <r>
    <s v="Senior Level Visit"/>
    <s v="Africa"/>
    <s v="West Asia and Africa"/>
    <s v="No Specific Relationship"/>
    <s v="None"/>
    <s v="AFRICOM"/>
    <s v="Ghana"/>
    <x v="24"/>
    <n v="11"/>
    <x v="3"/>
    <s v="Xu Qiliang"/>
    <m/>
    <s v="CMC Vice Chairman"/>
    <n v="10"/>
    <s v="Hosted"/>
    <s v="Defense Minister"/>
    <m/>
    <m/>
    <m/>
    <m/>
    <m/>
    <m/>
    <m/>
    <m/>
  </r>
  <r>
    <s v="Senior Level Visit"/>
    <s v="Europe"/>
    <s v="Europe and Central Asia"/>
    <s v="No Specific Relationship"/>
    <s v="NATO"/>
    <s v="EUCOM"/>
    <s v="Hungary"/>
    <x v="24"/>
    <n v="11"/>
    <x v="3"/>
    <s v="Wang Guanzhong"/>
    <m/>
    <s v="GSD DCGS"/>
    <n v="6"/>
    <s v="Hosted"/>
    <s v="Deputy Chairman JCS"/>
    <m/>
    <m/>
    <m/>
    <m/>
    <m/>
    <m/>
    <m/>
    <m/>
  </r>
  <r>
    <s v="Senior Level Visit"/>
    <s v="South Asia"/>
    <s v="Asia"/>
    <s v="Strategic Partnership for Peace and Prosperity [战略伙伴关系]"/>
    <s v="None"/>
    <s v="INDOPACOM"/>
    <s v="India"/>
    <x v="24"/>
    <n v="11"/>
    <x v="4"/>
    <s v="Fan Changlong"/>
    <m/>
    <s v="CMC Vice Chairman"/>
    <n v="10"/>
    <s v="Abroad"/>
    <m/>
    <m/>
    <m/>
    <m/>
    <m/>
    <m/>
    <m/>
    <m/>
    <m/>
  </r>
  <r>
    <s v="Senior Level Visit"/>
    <s v="Southeast Asia"/>
    <s v="Asia"/>
    <s v="Comprehensive Strategic Partnership [全面战略伙伴关系]"/>
    <s v="None"/>
    <s v="INDOPACOM"/>
    <s v="Indonesia"/>
    <x v="24"/>
    <n v="11"/>
    <x v="4"/>
    <s v="Wu Shengli"/>
    <m/>
    <s v="PLAN Commander; CMC Member"/>
    <n v="8"/>
    <s v="Abroad"/>
    <m/>
    <m/>
    <m/>
    <m/>
    <m/>
    <m/>
    <m/>
    <m/>
    <m/>
  </r>
  <r>
    <s v="Senior Level Visit"/>
    <s v="Middle East"/>
    <s v="West Asia and Africa"/>
    <s v="No Specific Relationship"/>
    <s v="None"/>
    <s v="CENTCOM"/>
    <s v="Iran"/>
    <x v="24"/>
    <n v="11"/>
    <x v="3"/>
    <s v="Ma Xiaotian"/>
    <m/>
    <s v="PLAAF Commander; CMC Member"/>
    <n v="8"/>
    <s v="Hosted"/>
    <s v="Air Force Commander"/>
    <m/>
    <m/>
    <m/>
    <m/>
    <m/>
    <m/>
    <m/>
    <m/>
  </r>
  <r>
    <s v="Senior Level Visit"/>
    <s v="Southeast Asia"/>
    <s v="Asia"/>
    <s v="Comprehensive Strategic Partnership [全面战略伙伴关系]"/>
    <s v="None"/>
    <s v="INDOPACOM"/>
    <s v="Malaysia"/>
    <x v="24"/>
    <n v="11"/>
    <x v="4"/>
    <s v="Chang Wanquan"/>
    <m/>
    <s v="Defense Minister; CMC Member"/>
    <n v="8"/>
    <s v="Abroad"/>
    <s v="Defense Minister"/>
    <m/>
    <m/>
    <m/>
    <m/>
    <m/>
    <m/>
    <m/>
    <m/>
  </r>
  <r>
    <s v="Senior Level Visit"/>
    <s v="Southeast Asia"/>
    <s v="Asia"/>
    <s v="Comprehensive Strategic Partnership [全面战略伙伴关系]"/>
    <s v="None"/>
    <s v="INDOPACOM"/>
    <s v="Malaysia"/>
    <x v="24"/>
    <n v="11"/>
    <x v="4"/>
    <s v="Wu Shengli"/>
    <m/>
    <s v="PLAN Commander; CMC Member"/>
    <n v="8"/>
    <s v="Abroad"/>
    <m/>
    <m/>
    <m/>
    <m/>
    <m/>
    <m/>
    <m/>
    <m/>
    <m/>
  </r>
  <r>
    <s v="Senior Level Visit"/>
    <s v="South Asia"/>
    <s v="West Asia and Africa"/>
    <s v="Comprehensive Friendly Cooperative Partnership [全面友好合作伙伴关系]"/>
    <s v="None"/>
    <s v="INDOPACOM"/>
    <s v="Maldives"/>
    <x v="24"/>
    <n v="11"/>
    <x v="4"/>
    <s v="Wu Shengli"/>
    <m/>
    <s v="PLAN Commander; CMC Member"/>
    <n v="8"/>
    <s v="Abroad"/>
    <m/>
    <m/>
    <m/>
    <m/>
    <m/>
    <m/>
    <m/>
    <m/>
    <m/>
  </r>
  <r>
    <s v="Senior Level Visit"/>
    <s v="Africa"/>
    <s v="West Asia and Africa"/>
    <s v="No Specific Relationship"/>
    <s v="None"/>
    <s v="AFRICOM"/>
    <s v="Mali"/>
    <x v="24"/>
    <n v="11"/>
    <x v="3"/>
    <s v="Fan Changlong"/>
    <m/>
    <s v="CMC Vice Chairman"/>
    <n v="10"/>
    <s v="Hosted"/>
    <s v="Defense Minister"/>
    <m/>
    <m/>
    <m/>
    <m/>
    <m/>
    <m/>
    <m/>
    <m/>
  </r>
  <r>
    <s v="Naval Port Call"/>
    <s v="North America"/>
    <s v="America and Oceania"/>
    <s v="Comprehensive Strategic Partnership [全面战略伙伴关系]"/>
    <s v="None"/>
    <s v="NORTHCOM"/>
    <s v="Mexico"/>
    <x v="24"/>
    <n v="11"/>
    <x v="0"/>
    <m/>
    <m/>
    <m/>
    <m/>
    <m/>
    <m/>
    <m/>
    <m/>
    <m/>
    <m/>
    <s v="ETF"/>
    <s v="ETF-20"/>
    <s v="East Sea Fleet"/>
    <s v="DDG152 Jinan, FFG548 Yiyang, AOR886 Qiandao Hu "/>
  </r>
  <r>
    <s v="Naval Port Call"/>
    <s v="North America"/>
    <s v="America and Oceania"/>
    <s v="Comprehensive Strategic Partnership [全面战略伙伴关系]"/>
    <s v="None"/>
    <s v="NORTHCOM"/>
    <s v="Mexico"/>
    <x v="24"/>
    <n v="11"/>
    <x v="12"/>
    <m/>
    <m/>
    <m/>
    <m/>
    <m/>
    <m/>
    <m/>
    <m/>
    <m/>
    <m/>
    <s v="NETF"/>
    <s v="2015-11 Harmonious Mission "/>
    <s v="East Sea Fleet"/>
    <m/>
  </r>
  <r>
    <s v="Senior Level Visit"/>
    <s v="South Asia"/>
    <s v="Asia"/>
    <s v="All-Weather Strategic Cooperative Partnership [全天候战略合作伙伴关系]"/>
    <s v="Major Non-NATO Ally"/>
    <s v="CENTCOM"/>
    <s v="Pakistan"/>
    <x v="24"/>
    <n v="11"/>
    <x v="4"/>
    <s v="Fan Changlong"/>
    <m/>
    <s v="CMC Vice Chairman"/>
    <n v="10"/>
    <s v="Abroad"/>
    <m/>
    <m/>
    <m/>
    <m/>
    <m/>
    <m/>
    <m/>
    <m/>
    <m/>
  </r>
  <r>
    <s v="Senior Level Visit"/>
    <s v="Europe"/>
    <s v="Europe and Central Asia"/>
    <s v="Comprehensive Strategic Partnership [全面战略伙伴关系]"/>
    <s v="NATO"/>
    <s v="EUCOM"/>
    <s v="Portugal"/>
    <x v="24"/>
    <n v="11"/>
    <x v="3"/>
    <s v="Chang Wanquan "/>
    <m/>
    <s v="Defense Minister; CMC Member"/>
    <n v="8"/>
    <s v="Hosted"/>
    <s v="COGS"/>
    <m/>
    <m/>
    <m/>
    <m/>
    <m/>
    <m/>
    <m/>
    <m/>
  </r>
  <r>
    <s v="Senior Level Visit"/>
    <s v="Middle East"/>
    <s v="West Asia and Africa"/>
    <s v="Strategic Partnership [战略伙伴关系]"/>
    <s v="None"/>
    <s v="CENTCOM"/>
    <s v="Qatar"/>
    <x v="24"/>
    <n v="11"/>
    <x v="3"/>
    <s v="Fang Fenghui"/>
    <m/>
    <s v="GSD Commander; CMC Member"/>
    <n v="8"/>
    <s v="Hosted"/>
    <s v="COGS"/>
    <m/>
    <m/>
    <m/>
    <m/>
    <m/>
    <m/>
    <m/>
    <m/>
  </r>
  <r>
    <s v="Senior Level Visit"/>
    <s v="Russia"/>
    <s v="Europe and Central Asia"/>
    <s v="Comprehensive Collaborative Strategic Partnership [全面战略协作伙伴关系]"/>
    <s v="None"/>
    <s v="EUCOM"/>
    <s v="Russia"/>
    <x v="24"/>
    <n v="11"/>
    <x v="4"/>
    <s v="Xu Qiliang"/>
    <m/>
    <s v="CMC Vice Chairman"/>
    <n v="10"/>
    <s v="Abroad"/>
    <m/>
    <m/>
    <m/>
    <m/>
    <m/>
    <m/>
    <m/>
    <m/>
    <m/>
  </r>
  <r>
    <s v="Senior Level Visit"/>
    <s v="Southeast Asia"/>
    <s v="Asia"/>
    <s v="All-Round Cooperative Partnership [全方合作伙伴关系]"/>
    <s v="None"/>
    <s v="INDOPACOM"/>
    <s v="Singapore"/>
    <x v="24"/>
    <n v="11"/>
    <x v="3"/>
    <s v="Zhao Keshi"/>
    <m/>
    <s v="GLD Director; CMC Member"/>
    <n v="8"/>
    <s v="Hosted"/>
    <s v="Head of Joint Logistics Department"/>
    <m/>
    <m/>
    <m/>
    <m/>
    <m/>
    <m/>
    <m/>
    <m/>
  </r>
  <r>
    <s v="Senior Level Visit"/>
    <s v="Africa"/>
    <s v="West Asia and Africa"/>
    <s v="Comprehensive Strategic Partnership [全面战略伙伴关系]"/>
    <s v="None"/>
    <s v="AFRICOM"/>
    <s v="South Africa"/>
    <x v="24"/>
    <n v="11"/>
    <x v="3"/>
    <s v="Wu Shengli"/>
    <m/>
    <s v="PLAN Commander; CMC Member"/>
    <n v="8"/>
    <s v="Hosted"/>
    <s v="Navy Commander"/>
    <m/>
    <m/>
    <m/>
    <m/>
    <m/>
    <m/>
    <m/>
    <m/>
  </r>
  <r>
    <s v="Senior Level Visit"/>
    <s v="Northeast Asia"/>
    <s v="Asia"/>
    <s v="Strategic Cooperative Partnership [战略合作伙伴关系]"/>
    <s v="Bilateral Defense Treaty"/>
    <s v="INDOPACOM"/>
    <s v="South Korea"/>
    <x v="24"/>
    <n v="11"/>
    <x v="7"/>
    <s v="Chang Wanquan"/>
    <m/>
    <s v="Defense Minister; CMC Member"/>
    <n v="8"/>
    <s v="Abroad"/>
    <s v="Defense Minister"/>
    <m/>
    <m/>
    <m/>
    <m/>
    <m/>
    <m/>
    <m/>
    <m/>
  </r>
  <r>
    <s v="Military Exercise"/>
    <s v="Northeast Asia"/>
    <s v="Asia"/>
    <s v="Strategic Cooperative Partnership [战略合作伙伴关系]"/>
    <s v="Bilateral Defense Treaty"/>
    <s v="INDOPACOM"/>
    <s v="South Korea"/>
    <x v="24"/>
    <n v="11"/>
    <x v="5"/>
    <m/>
    <m/>
    <m/>
    <m/>
    <m/>
    <m/>
    <s v="Anti-piracy"/>
    <s v="None"/>
    <s v="Navy"/>
    <s v="anti-piracy in Gulf of Aden"/>
    <m/>
    <m/>
    <m/>
    <m/>
  </r>
  <r>
    <s v="Military Exercise"/>
    <s v="Southeast Asia"/>
    <s v="Asia"/>
    <s v="Comprehensive Strategic Cooperative Partnership [全面战略合作伙伴关系]"/>
    <s v="Bilateral Defense Treaty"/>
    <s v="INDOPACOM"/>
    <s v="Thailand"/>
    <x v="24"/>
    <n v="11"/>
    <x v="5"/>
    <m/>
    <m/>
    <m/>
    <m/>
    <m/>
    <m/>
    <s v="Combat"/>
    <s v="Falcon Strike 2015"/>
    <s v="Air Force"/>
    <s v="Aerial maneuvers"/>
    <m/>
    <m/>
    <m/>
    <m/>
  </r>
  <r>
    <s v="Senior Level Visit"/>
    <s v="North America"/>
    <s v="America and Oceania"/>
    <s v="No Specific Relationship"/>
    <s v="N/A"/>
    <s v="NORTHCOM"/>
    <s v="United States"/>
    <x v="24"/>
    <n v="11"/>
    <x v="7"/>
    <s v="Chang Wanquan"/>
    <m/>
    <s v="Defense Minister; CMC Member"/>
    <n v="8"/>
    <s v="Abroad"/>
    <s v="Secretary of Defense Carter"/>
    <m/>
    <m/>
    <m/>
    <m/>
    <m/>
    <m/>
    <m/>
    <m/>
  </r>
  <r>
    <s v="Senior Level Visit"/>
    <s v="North America"/>
    <s v="America and Oceania"/>
    <s v="No Specific Relationship"/>
    <s v="N/A"/>
    <s v="NORTHCOM"/>
    <s v="United States"/>
    <x v="24"/>
    <n v="11"/>
    <x v="3"/>
    <s v="Fan Changlong"/>
    <m/>
    <s v="CMC Vice Chairman"/>
    <n v="10"/>
    <s v="Hosted"/>
    <s v="PACOM Commander Harris"/>
    <m/>
    <m/>
    <m/>
    <m/>
    <m/>
    <m/>
    <m/>
    <m/>
  </r>
  <r>
    <s v="Naval Port Call"/>
    <s v="North America"/>
    <s v="America and Oceania"/>
    <s v="No Specific Relationship"/>
    <s v="N/A"/>
    <s v="NORTHCOM"/>
    <s v="United States"/>
    <x v="24"/>
    <n v="11"/>
    <x v="10"/>
    <m/>
    <m/>
    <m/>
    <m/>
    <m/>
    <m/>
    <m/>
    <m/>
    <m/>
    <m/>
    <s v="ETF"/>
    <s v="ETF-20"/>
    <s v="East Sea Fleet"/>
    <s v="DDG152 Jinan, FFG548 Yiyang, AOR886 Qiandao Hu; Florida and Hawaii"/>
  </r>
  <r>
    <s v="Naval Port Call"/>
    <s v="North America"/>
    <s v="America and Oceania"/>
    <s v="No Specific Relationship"/>
    <s v="N/A"/>
    <s v="NORTHCOM"/>
    <s v="United States"/>
    <x v="24"/>
    <n v="11"/>
    <x v="12"/>
    <m/>
    <m/>
    <m/>
    <m/>
    <m/>
    <m/>
    <m/>
    <m/>
    <m/>
    <m/>
    <s v="NETF"/>
    <s v="2015-11  Harmonious Mission "/>
    <s v="East Sea Fleet"/>
    <s v="Peace Ark to San Diego"/>
  </r>
  <r>
    <s v="Military Exercise"/>
    <s v="North America"/>
    <s v="America and Oceania"/>
    <s v="No Specific Relationship"/>
    <s v="N/A"/>
    <s v="NORTHCOM"/>
    <s v="United States"/>
    <x v="24"/>
    <n v="11"/>
    <x v="5"/>
    <m/>
    <m/>
    <m/>
    <m/>
    <m/>
    <m/>
    <s v="MOOTW"/>
    <s v="11th Disaster Management Exchange"/>
    <s v="Army"/>
    <s v="Joint Base Lewis-McChord; HADR with academic discussion, TTX, and field exchange"/>
    <m/>
    <m/>
    <m/>
    <m/>
  </r>
  <r>
    <s v="Military Exercise"/>
    <s v="North America"/>
    <s v="America and Oceania"/>
    <s v="No Specific Relationship"/>
    <s v="N/A"/>
    <s v="NORTHCOM"/>
    <s v="United States"/>
    <x v="24"/>
    <n v="11"/>
    <x v="5"/>
    <m/>
    <m/>
    <m/>
    <m/>
    <m/>
    <m/>
    <s v="MOOTW"/>
    <s v="None"/>
    <s v="Navy"/>
    <s v="Communications and SAR exercise; USS Stethem"/>
    <m/>
    <m/>
    <m/>
    <m/>
  </r>
  <r>
    <s v="Senior Level Visit"/>
    <s v="Oceania"/>
    <s v="America and Oceania"/>
    <s v="Comprehensive Strategic Partnership [全面战略伙伴关系]"/>
    <s v="ANZUS Treaty"/>
    <s v="INDOPACOM"/>
    <s v="Australia"/>
    <x v="24"/>
    <n v="12"/>
    <x v="4"/>
    <s v="Fang Fenghui"/>
    <m/>
    <s v="GSD Commander; CMC Member"/>
    <n v="8"/>
    <s v="Abroad"/>
    <m/>
    <m/>
    <m/>
    <m/>
    <m/>
    <m/>
    <m/>
    <m/>
    <m/>
  </r>
  <r>
    <s v="Senior Level Visit"/>
    <s v="South Asia"/>
    <s v="Asia"/>
    <s v="Comprehensive Cooperative Partnership [全面合作伙伴关系]"/>
    <s v="None"/>
    <s v="INDOPACOM"/>
    <s v="Bangladesh"/>
    <x v="24"/>
    <n v="12"/>
    <x v="3"/>
    <s v="Chang Wanquan"/>
    <m/>
    <s v="Defense Minister; CMC Member"/>
    <n v="8"/>
    <s v="Hosted"/>
    <s v="Army Chief of Staff"/>
    <m/>
    <m/>
    <m/>
    <m/>
    <m/>
    <m/>
    <m/>
    <m/>
  </r>
  <r>
    <s v="Naval Port Call"/>
    <s v="South America"/>
    <s v="America and Oceania"/>
    <s v="No Specific Relationship"/>
    <s v="None"/>
    <s v="SOUTHCOM"/>
    <s v="Barbados"/>
    <x v="24"/>
    <n v="12"/>
    <x v="12"/>
    <m/>
    <m/>
    <m/>
    <m/>
    <m/>
    <m/>
    <m/>
    <m/>
    <m/>
    <m/>
    <s v="NETF"/>
    <s v="2015-12 Harmonious Mission "/>
    <s v="East Sea Fleet"/>
    <m/>
  </r>
  <r>
    <s v="Senior Level Visit"/>
    <s v="Europe"/>
    <s v="Europe and Central Asia"/>
    <s v="Comprehensive Strategic Partnership [全面战略伙伴关系]"/>
    <s v="NATO"/>
    <s v="EUCOM"/>
    <s v="Germany"/>
    <x v="24"/>
    <n v="12"/>
    <x v="3"/>
    <s v="Sun Jianguo"/>
    <m/>
    <s v="GSD DCGS"/>
    <n v="6"/>
    <s v="Hosted"/>
    <s v="Delegation of senior military officers"/>
    <m/>
    <m/>
    <m/>
    <m/>
    <m/>
    <m/>
    <m/>
    <m/>
  </r>
  <r>
    <s v="Naval Port Call"/>
    <s v="South America"/>
    <s v="America and Oceania"/>
    <s v="No Specific Relationship"/>
    <s v="None"/>
    <s v="SOUTHCOM"/>
    <s v="Grenada"/>
    <x v="24"/>
    <n v="12"/>
    <x v="12"/>
    <m/>
    <m/>
    <m/>
    <m/>
    <m/>
    <m/>
    <m/>
    <m/>
    <m/>
    <m/>
    <s v="NETF"/>
    <s v="2015-12 Harmonious Mission "/>
    <s v="East Sea Fleet"/>
    <m/>
  </r>
  <r>
    <s v="Senior Level Visit"/>
    <s v="South Asia"/>
    <s v="Asia"/>
    <s v="Strategic Partnership for Peace and Prosperity [战略伙伴关系]"/>
    <s v="None"/>
    <s v="INDOPACOM"/>
    <s v="India"/>
    <x v="24"/>
    <n v="12"/>
    <x v="3"/>
    <s v="Qi Jianguo"/>
    <m/>
    <s v="GSD DCGS"/>
    <n v="6"/>
    <s v="Hosted"/>
    <s v="CinC Indian Army Northern Command"/>
    <m/>
    <m/>
    <m/>
    <m/>
    <m/>
    <m/>
    <m/>
    <m/>
  </r>
  <r>
    <s v="Military Exercise"/>
    <s v="South Asia"/>
    <s v="Asia"/>
    <s v="All-Weather Strategic Cooperative Partnership [全天候战略合作伙伴关系]"/>
    <s v="Major Non-NATO Ally"/>
    <s v="CENTCOM"/>
    <s v="Pakistan"/>
    <x v="24"/>
    <n v="12"/>
    <x v="5"/>
    <m/>
    <m/>
    <m/>
    <m/>
    <m/>
    <m/>
    <s v="Combat"/>
    <s v="Friends"/>
    <s v="Navy"/>
    <s v="live-fire drills, joint escort, anti-piracy with FFGs Xuzhou, Yangzhou, and Shamsheer; ASW"/>
    <m/>
    <m/>
    <m/>
    <m/>
  </r>
  <r>
    <s v="Military Exercise"/>
    <s v="South Asia"/>
    <s v="Asia"/>
    <s v="All-Weather Strategic Cooperative Partnership [全天候战略合作伙伴关系]"/>
    <s v="Major Non-NATO Ally"/>
    <s v="CENTCOM"/>
    <s v="Pakistan"/>
    <x v="24"/>
    <n v="12"/>
    <x v="5"/>
    <m/>
    <m/>
    <m/>
    <m/>
    <m/>
    <m/>
    <s v="Anti-terrorism"/>
    <s v="Friendship 2015"/>
    <s v="Army"/>
    <s v="anti-terrorism"/>
    <m/>
    <m/>
    <m/>
    <m/>
  </r>
  <r>
    <s v="Naval Port Call"/>
    <s v="South America"/>
    <s v="America and Oceania"/>
    <s v="Comprehensive Strategic Partnership [全面战略伙伴关系]"/>
    <s v="None"/>
    <s v="SOUTHCOM"/>
    <s v="Peru"/>
    <x v="24"/>
    <n v="12"/>
    <x v="12"/>
    <m/>
    <m/>
    <m/>
    <m/>
    <m/>
    <m/>
    <m/>
    <m/>
    <m/>
    <m/>
    <s v="NETF"/>
    <s v="2015-12 Harmonious Mission "/>
    <s v="East Sea Fleet"/>
    <m/>
  </r>
  <r>
    <s v="Military Exercise"/>
    <s v="Oceania"/>
    <s v="America and Oceania"/>
    <s v="Comprehensive Strategic Partnership [全面战略伙伴关系]"/>
    <s v="ANZUS Treaty"/>
    <s v="INDOPACOM"/>
    <s v="Australia"/>
    <x v="25"/>
    <n v="1"/>
    <x v="5"/>
    <m/>
    <m/>
    <m/>
    <m/>
    <m/>
    <m/>
    <s v="Combat Support"/>
    <s v="None"/>
    <s v="Navy"/>
    <s v="FFG Yiyang and FFG Darwin maritime exercises"/>
    <m/>
    <m/>
    <m/>
    <m/>
  </r>
  <r>
    <s v="Naval Port Call"/>
    <s v="Oceania"/>
    <s v="America and Oceania"/>
    <s v="Comprehensive Strategic Partnership [全面战略伙伴关系]"/>
    <s v="ANZUS Treaty"/>
    <s v="INDOPACOM"/>
    <s v="Australia"/>
    <x v="25"/>
    <n v="1"/>
    <x v="10"/>
    <m/>
    <m/>
    <m/>
    <m/>
    <m/>
    <m/>
    <m/>
    <m/>
    <m/>
    <m/>
    <s v="ETF"/>
    <s v="ETF-20"/>
    <s v="East Sea Fleet"/>
    <s v="DDG152 Jinan, FFG548 Yiyang, AOR886 Qiandao Hu "/>
  </r>
  <r>
    <s v="Military Exercise"/>
    <s v="South Asia"/>
    <s v="Asia"/>
    <s v="Comprehensive Cooperative Partnership [全面合作伙伴关系]"/>
    <s v="None"/>
    <s v="INDOPACOM"/>
    <s v="Bangladesh"/>
    <x v="25"/>
    <n v="1"/>
    <x v="5"/>
    <m/>
    <m/>
    <m/>
    <m/>
    <m/>
    <m/>
    <s v="MOOTW"/>
    <s v="None"/>
    <s v="Navy"/>
    <s v="fleet maneuvers, communications drill, SAR, UNREP; ETF-21"/>
    <m/>
    <m/>
    <m/>
    <m/>
  </r>
  <r>
    <s v="Naval Port Call"/>
    <s v="South Asia"/>
    <s v="Asia"/>
    <s v="Comprehensive Cooperative Partnership [全面合作伙伴关系]"/>
    <s v="None"/>
    <s v="INDOPACOM"/>
    <s v="Bangladesh"/>
    <x v="25"/>
    <n v="1"/>
    <x v="10"/>
    <m/>
    <m/>
    <m/>
    <m/>
    <m/>
    <m/>
    <m/>
    <m/>
    <m/>
    <m/>
    <s v="ETF"/>
    <s v="ETF-21"/>
    <s v="South Sea Fleet"/>
    <s v="FFG573 Liuzhou, FFG574 Sanya, AOR885 Qinghai Hu"/>
  </r>
  <r>
    <s v="Naval Port Call"/>
    <s v="Southeast Asia"/>
    <s v="Asia"/>
    <s v="Comprehensive Cooperative Partnership [全面合作伙伴关系]"/>
    <s v="None"/>
    <s v="INDOPACOM"/>
    <s v="East Timor"/>
    <x v="25"/>
    <n v="1"/>
    <x v="0"/>
    <m/>
    <m/>
    <m/>
    <m/>
    <m/>
    <m/>
    <m/>
    <m/>
    <m/>
    <m/>
    <s v="ETF"/>
    <s v="ETF-20"/>
    <s v="East Sea Fleet"/>
    <s v="DDG152 Jinan, FFG548 Yiyang, AOR886 Qiandao Hu "/>
  </r>
  <r>
    <s v="Naval Port Call"/>
    <s v="Southeast Asia"/>
    <s v="Asia"/>
    <s v="Comprehensive Strategic Partnership [全面战略伙伴关系]"/>
    <s v="None"/>
    <s v="INDOPACOM"/>
    <s v="Indonesia"/>
    <x v="25"/>
    <n v="1"/>
    <x v="0"/>
    <m/>
    <m/>
    <m/>
    <m/>
    <m/>
    <m/>
    <m/>
    <m/>
    <m/>
    <m/>
    <s v="ETF"/>
    <s v="ETF-20"/>
    <s v="East Sea Fleet"/>
    <s v="DDG152 Jinan, FFG548 Yiyang, AOR886 Qiandao Hu "/>
  </r>
  <r>
    <s v="Military Exercise"/>
    <s v="South Asia"/>
    <s v="Asia"/>
    <s v="All-Weather Strategic Cooperative Partnership [全天候战略合作伙伴关系]"/>
    <s v="Major Non-NATO Ally"/>
    <s v="CENTCOM"/>
    <s v="Pakistan"/>
    <x v="25"/>
    <n v="1"/>
    <x v="5"/>
    <m/>
    <m/>
    <m/>
    <m/>
    <m/>
    <m/>
    <s v="Combat Support"/>
    <s v="None"/>
    <s v="Navy"/>
    <s v="ETF-21, formation maneuver, replenishment, formation air defense, cross-deck helo landing"/>
    <m/>
    <m/>
    <m/>
    <m/>
  </r>
  <r>
    <s v="Naval Port Call"/>
    <s v="South Asia"/>
    <s v="Asia"/>
    <s v="All-Weather Strategic Cooperative Partnership [全天候战略合作伙伴关系]"/>
    <s v="Major Non-NATO Ally"/>
    <s v="CENTCOM"/>
    <s v="Pakistan"/>
    <x v="25"/>
    <n v="1"/>
    <x v="10"/>
    <m/>
    <m/>
    <m/>
    <m/>
    <m/>
    <m/>
    <m/>
    <m/>
    <m/>
    <m/>
    <s v="ETF"/>
    <s v="ETF-21"/>
    <s v="South Sea Fleet"/>
    <s v="FFG573 Liuzhou, FFG574 Sanya, AOR885 Qinghai Hu; communications drills"/>
  </r>
  <r>
    <s v="Military Exercise"/>
    <s v="South Asia"/>
    <s v="Asia"/>
    <s v="Strategic Cooperative Partnership [战略合作伙伴关系]"/>
    <s v="None"/>
    <s v="INDOPACOM"/>
    <s v="Sri Lanka"/>
    <x v="25"/>
    <n v="1"/>
    <x v="5"/>
    <m/>
    <m/>
    <m/>
    <m/>
    <m/>
    <m/>
    <s v="MOOTW"/>
    <s v="None"/>
    <s v="Navy"/>
    <s v="fleet maneuvers, communications drill, SAR,ETF-21"/>
    <m/>
    <m/>
    <m/>
    <m/>
  </r>
  <r>
    <s v="Naval Port Call"/>
    <s v="South Asia"/>
    <s v="Asia"/>
    <s v="Strategic Cooperative Partnership [战略合作伙伴关系]"/>
    <s v="None"/>
    <s v="INDOPACOM"/>
    <s v="Sri Lanka"/>
    <x v="25"/>
    <n v="1"/>
    <x v="10"/>
    <m/>
    <m/>
    <m/>
    <m/>
    <m/>
    <m/>
    <m/>
    <m/>
    <m/>
    <m/>
    <s v="ETF"/>
    <s v="ETF-21"/>
    <s v="South Sea Fleet"/>
    <s v="FFG573 Liuzhou, FFG574 Sanya, AOR885 Qinghai Hu"/>
  </r>
  <r>
    <s v="Senior Level Visit"/>
    <s v="Southeast Asia"/>
    <s v="Asia"/>
    <s v="Comprehensive Strategic Cooperative Partnership [全面战略合作伙伴关系]"/>
    <s v="Bilateral Defense Treaty"/>
    <s v="INDOPACOM"/>
    <s v="Thailand"/>
    <x v="25"/>
    <n v="1"/>
    <x v="3"/>
    <s v="Chang Wanquan"/>
    <m/>
    <s v="Defense Minister; CMC Member"/>
    <n v="8"/>
    <s v="Hosted"/>
    <s v="Chief of Army"/>
    <m/>
    <m/>
    <m/>
    <m/>
    <m/>
    <m/>
    <m/>
    <m/>
  </r>
  <r>
    <s v="Senior Level Visit"/>
    <s v="Southeast Asia"/>
    <s v="Asia"/>
    <s v="Comprehensive Strategic Cooperative Partnership [全面战略合作伙伴关系]"/>
    <s v="None"/>
    <s v="INDOPACOM"/>
    <s v="Vietnam"/>
    <x v="25"/>
    <n v="1"/>
    <x v="3"/>
    <s v="Sun Jianguo"/>
    <m/>
    <s v="CMC/JSD DCJS"/>
    <n v="6"/>
    <s v="Hosted"/>
    <s v="Vice Defense Minister"/>
    <m/>
    <m/>
    <m/>
    <m/>
    <m/>
    <m/>
    <m/>
    <m/>
  </r>
  <r>
    <s v="Senior Level Visit"/>
    <s v="South Asia"/>
    <s v="Europe and Central Asia"/>
    <s v="Strategic Partnership [战略伙伴关系]"/>
    <s v="Major Non-NATO Ally"/>
    <s v="CENTCOM"/>
    <s v="Afghanistan"/>
    <x v="25"/>
    <n v="2"/>
    <x v="4"/>
    <s v="Fang Fenghui"/>
    <m/>
    <s v="CMC/JSD Commander; CMC Member"/>
    <n v="8"/>
    <s v="Abroad"/>
    <m/>
    <m/>
    <m/>
    <m/>
    <m/>
    <m/>
    <m/>
    <m/>
    <m/>
  </r>
  <r>
    <s v="Naval Port Call"/>
    <s v="Southeast Asia"/>
    <s v="Asia"/>
    <s v="Comprehensive Strategic Cooperative Partnership [全面战略合作伙伴关系]"/>
    <s v="None"/>
    <s v="INDOPACOM"/>
    <s v="Cambodia"/>
    <x v="25"/>
    <n v="2"/>
    <x v="0"/>
    <m/>
    <m/>
    <m/>
    <m/>
    <m/>
    <m/>
    <m/>
    <m/>
    <m/>
    <m/>
    <s v="ETF"/>
    <s v="ETF-21"/>
    <s v="South Sea Fleet"/>
    <s v="FFG573 Liuzhou, FFG574 Sanya, AOR885 Qinghai Hu"/>
  </r>
  <r>
    <s v="Military Exercise"/>
    <s v="Europe"/>
    <s v="Europe and Central Asia"/>
    <s v="Comprehensive Cooperative Partnership [全面合作伙伴关系]"/>
    <s v="None"/>
    <s v="EUCOM"/>
    <s v="European Union"/>
    <x v="25"/>
    <n v="2"/>
    <x v="6"/>
    <m/>
    <m/>
    <m/>
    <m/>
    <m/>
    <m/>
    <s v="Anti-piracy"/>
    <s v="None"/>
    <s v="Navy"/>
    <s v="ETF-22 anti-piracy drills with EU Combined Task Force 465"/>
    <m/>
    <m/>
    <m/>
    <m/>
  </r>
  <r>
    <s v="Military Exercise"/>
    <s v="South Asia"/>
    <s v="Asia"/>
    <s v="Strategic Partnership for Peace and Prosperity [战略伙伴关系]"/>
    <s v="None"/>
    <s v="INDOPACOM"/>
    <s v="India"/>
    <x v="25"/>
    <n v="2"/>
    <x v="6"/>
    <m/>
    <m/>
    <m/>
    <m/>
    <m/>
    <m/>
    <s v="MOOTW"/>
    <s v="Indian Fleet Review 2016"/>
    <s v="Navy"/>
    <s v="navigation and formation maneuvers; ETF-21. Other countries: refer to source for a complete list of countries"/>
    <m/>
    <m/>
    <m/>
    <m/>
  </r>
  <r>
    <s v="Senior Level Visit"/>
    <s v="Central Asia"/>
    <s v="Europe and Central Asia"/>
    <s v="Strategic Partnership [战略伙伴关系]"/>
    <s v="None"/>
    <s v="CENTCOM"/>
    <s v="Tajikistan"/>
    <x v="25"/>
    <n v="2"/>
    <x v="4"/>
    <s v="Fang Fenghui"/>
    <m/>
    <s v="CMC/JSD Commander; CMC Member"/>
    <n v="8"/>
    <s v="Abroad"/>
    <s v="Defense Minister"/>
    <m/>
    <m/>
    <m/>
    <m/>
    <m/>
    <m/>
    <m/>
    <m/>
  </r>
  <r>
    <s v="Military Exercise"/>
    <s v="Southeast Asia"/>
    <s v="Asia"/>
    <s v="Comprehensive Strategic Cooperative Partnership [全面战略合作伙伴关系]"/>
    <s v="Bilateral Defense Treaty"/>
    <s v="INDOPACOM"/>
    <s v="Thailand"/>
    <x v="25"/>
    <n v="2"/>
    <x v="6"/>
    <m/>
    <m/>
    <m/>
    <m/>
    <m/>
    <m/>
    <s v="MOOTW"/>
    <s v="Cobra Gold 2016"/>
    <s v="Army"/>
    <s v="HADR"/>
    <m/>
    <m/>
    <m/>
    <m/>
  </r>
  <r>
    <s v="Naval Port Call"/>
    <s v="Southeast Asia"/>
    <s v="Asia"/>
    <s v="Comprehensive Strategic Cooperative Partnership [全面战略合作伙伴关系]"/>
    <s v="Bilateral Defense Treaty"/>
    <s v="INDOPACOM"/>
    <s v="Thailand"/>
    <x v="25"/>
    <n v="2"/>
    <x v="10"/>
    <m/>
    <m/>
    <m/>
    <m/>
    <m/>
    <m/>
    <m/>
    <m/>
    <m/>
    <m/>
    <s v="ETF"/>
    <s v="ETF-21"/>
    <s v="South Sea Fleet"/>
    <s v="FFG573 Liuzhou, FFG574 Sanya, AOR885 Qinghai Hu"/>
  </r>
  <r>
    <s v="Military Exercise"/>
    <s v="Southeast Asia"/>
    <s v="Asia"/>
    <s v="Strategic Partnership [战略伙伴关系] for Peace and Prosperity"/>
    <s v="None"/>
    <s v="INDOPACOM"/>
    <s v="ASEAN"/>
    <x v="25"/>
    <n v="3"/>
    <x v="6"/>
    <m/>
    <m/>
    <m/>
    <m/>
    <m/>
    <m/>
    <s v="MOOTW"/>
    <s v="Force 18"/>
    <s v="Army"/>
    <s v="ADMM-Plus Humanitarian Mine Action and Peacekeeping Operations: Hosted by India with ASEAN and 8 dialogue partners"/>
    <m/>
    <m/>
    <m/>
    <m/>
  </r>
  <r>
    <s v="Senior Level Visit"/>
    <s v="Middle East"/>
    <s v="West Asia and Africa"/>
    <s v="All-Round Partnership for Innovation [创新全面伙伴关系]"/>
    <s v="Major Non-NATO Ally"/>
    <s v="CENTCOM"/>
    <s v="Israel"/>
    <x v="25"/>
    <n v="3"/>
    <x v="3"/>
    <s v="Zhao Keshi"/>
    <m/>
    <s v="CMC/LSD Director; CMC Member"/>
    <n v="8"/>
    <s v="Hosted"/>
    <m/>
    <m/>
    <m/>
    <m/>
    <m/>
    <m/>
    <m/>
    <m/>
    <m/>
  </r>
  <r>
    <s v="Senior Level Visit"/>
    <s v="South Asia"/>
    <s v="Asia"/>
    <s v="All-Round Strategic Partnership [全方位战略伙伴关系]"/>
    <s v="None"/>
    <s v="INDOPACOM"/>
    <s v="Nepal"/>
    <x v="25"/>
    <n v="3"/>
    <x v="3"/>
    <s v="Xu Qiliang"/>
    <m/>
    <s v="CMC Vice Chairman"/>
    <n v="10"/>
    <s v="Hosted"/>
    <s v="Chief of Army Staff"/>
    <m/>
    <m/>
    <m/>
    <m/>
    <m/>
    <m/>
    <m/>
    <m/>
  </r>
  <r>
    <s v="Military Exercise"/>
    <s v="Europe"/>
    <s v="Europe and Central Asia"/>
    <s v="Comprehensive Strategic Partnership [全面战略伙伴关系]"/>
    <s v="NATO"/>
    <s v="EUCOM"/>
    <s v="United Kingdom"/>
    <x v="25"/>
    <n v="3"/>
    <x v="5"/>
    <m/>
    <m/>
    <m/>
    <m/>
    <m/>
    <m/>
    <s v="MOOTW"/>
    <s v="Joint Evacuation 2016"/>
    <s v="Navy"/>
    <s v="TTX; NEO"/>
    <m/>
    <m/>
    <m/>
    <m/>
  </r>
  <r>
    <s v="Senior Level Visit"/>
    <s v="Southeast Asia"/>
    <s v="Asia"/>
    <s v="Comprehensive Strategic Cooperative Partnership [全面战略合作伙伴关系]"/>
    <s v="None"/>
    <s v="INDOPACOM"/>
    <s v="Vietnam"/>
    <x v="25"/>
    <n v="3"/>
    <x v="4"/>
    <s v="Chang Wanquan"/>
    <m/>
    <s v="Defense Minister; CMC Member"/>
    <n v="8"/>
    <s v="Abroad"/>
    <s v="Defense Minister"/>
    <m/>
    <m/>
    <m/>
    <m/>
    <m/>
    <m/>
    <m/>
    <m/>
  </r>
  <r>
    <s v="Senior Level Visit"/>
    <s v="South Asia"/>
    <s v="Europe and Central Asia"/>
    <s v="Strategic Partnership [战略伙伴关系]"/>
    <s v="Major Non-NATO Ally"/>
    <s v="CENTCOM"/>
    <s v="Afghanistan"/>
    <x v="25"/>
    <n v="4"/>
    <x v="3"/>
    <s v="Fang Fenghui"/>
    <m/>
    <s v="CMC/JSD Commander; CMC Member"/>
    <n v="8"/>
    <s v="Hosted"/>
    <s v="National Security Advisor"/>
    <m/>
    <m/>
    <m/>
    <m/>
    <m/>
    <m/>
    <m/>
    <m/>
  </r>
  <r>
    <s v="Senior Level Visit"/>
    <s v="South Asia"/>
    <s v="Asia"/>
    <s v="Strategic Partnership for Peace and Prosperity [战略伙伴关系]"/>
    <s v="None"/>
    <s v="INDOPACOM"/>
    <s v="India"/>
    <x v="25"/>
    <n v="4"/>
    <x v="3"/>
    <s v="Chang Wanquan"/>
    <m/>
    <s v="Defense Minister; CMC Member"/>
    <n v="8"/>
    <s v="Hosted"/>
    <s v="Defense Minister"/>
    <m/>
    <m/>
    <m/>
    <m/>
    <m/>
    <m/>
    <m/>
    <m/>
  </r>
  <r>
    <s v="Military Exercise"/>
    <s v="Southeast Asia"/>
    <s v="Asia"/>
    <s v="Comprehensive Strategic Partnership [全面战略伙伴关系]"/>
    <s v="None"/>
    <s v="INDOPACOM"/>
    <s v="Indonesia"/>
    <x v="25"/>
    <n v="4"/>
    <x v="6"/>
    <m/>
    <m/>
    <m/>
    <m/>
    <m/>
    <m/>
    <s v="Combat Support"/>
    <s v="None"/>
    <s v="Navy"/>
    <s v="port-and-shore activities, maritime drills, engineering and rescue ashore; Russia; France; US"/>
    <m/>
    <m/>
    <m/>
    <m/>
  </r>
  <r>
    <s v="Military Exercise"/>
    <s v="Southeast Asia"/>
    <s v="Asia"/>
    <s v="Comprehensive Strategic Partnership [全面战略伙伴关系]"/>
    <s v="None"/>
    <s v="INDOPACOM"/>
    <s v="Indonesia"/>
    <x v="25"/>
    <n v="4"/>
    <x v="6"/>
    <m/>
    <m/>
    <m/>
    <m/>
    <m/>
    <m/>
    <s v="MOOTW"/>
    <s v="Komodo 2016"/>
    <s v="Navy"/>
    <s v="HADR TTX; formation maneuvers, communication drills. Other countries: refer to source for a complete list of countries "/>
    <m/>
    <m/>
    <m/>
    <m/>
  </r>
  <r>
    <s v="Military Exercise"/>
    <s v="South Asia"/>
    <s v="Asia"/>
    <s v="All-Weather Strategic Cooperative Partnership [全天候战略合作伙伴关系]"/>
    <s v="Major Non-NATO Ally"/>
    <s v="CENTCOM"/>
    <s v="Pakistan"/>
    <x v="25"/>
    <n v="4"/>
    <x v="5"/>
    <m/>
    <m/>
    <m/>
    <m/>
    <m/>
    <m/>
    <s v="Combat"/>
    <s v="Shaheen 5"/>
    <s v="Air Force"/>
    <s v="combat exercises"/>
    <m/>
    <m/>
    <m/>
    <m/>
  </r>
  <r>
    <s v="Senior Level Visit"/>
    <s v="Russia"/>
    <s v="Europe and Central Asia"/>
    <s v="Comprehensive Collaborative Strategic Partnership [全面战略协作伙伴关系]"/>
    <s v="None"/>
    <s v="EUCOM"/>
    <s v="Russia"/>
    <x v="25"/>
    <n v="4"/>
    <x v="4"/>
    <s v="Chang Wanquan"/>
    <m/>
    <s v="Defense Minister; CMC Member"/>
    <n v="8"/>
    <s v="Abroad"/>
    <s v="Defense Minister"/>
    <m/>
    <m/>
    <m/>
    <m/>
    <m/>
    <m/>
    <m/>
    <m/>
  </r>
  <r>
    <s v="Senior Level Visit"/>
    <s v="Europe"/>
    <s v="Europe and Central Asia"/>
    <s v="Comprehensive Strategic Partnership [全面战略伙伴关系]"/>
    <s v="NATO"/>
    <s v="EUCOM"/>
    <s v="United Kingdom"/>
    <x v="25"/>
    <n v="4"/>
    <x v="3"/>
    <s v="Ma Xiaotian"/>
    <m/>
    <s v="PLAAF Commander; CMC Member"/>
    <n v="8"/>
    <s v="Hosted"/>
    <s v="Air Chief Marshal"/>
    <m/>
    <m/>
    <m/>
    <m/>
    <m/>
    <m/>
    <m/>
    <m/>
  </r>
  <r>
    <s v="Senior Level Visit"/>
    <s v="Southeast Asia"/>
    <s v="Asia"/>
    <s v="Strategic Partnership [战略伙伴关系] for Peace and Prosperity"/>
    <s v="None"/>
    <s v="INDOPACOM"/>
    <s v="ASEAN"/>
    <x v="25"/>
    <n v="5"/>
    <x v="1"/>
    <s v="Chang Wanquan"/>
    <m/>
    <s v="Defense Minister; CMC Member"/>
    <n v="8"/>
    <s v="Abroad"/>
    <s v="Sixth China-ASEAN Defense Ministers' Informal Meeting in Laos"/>
    <m/>
    <m/>
    <m/>
    <m/>
    <m/>
    <m/>
    <m/>
    <m/>
  </r>
  <r>
    <s v="Military Exercise"/>
    <s v="Southeast Asia"/>
    <s v="Asia"/>
    <s v="Strategic Partnership [战略伙伴关系] for Peace and Prosperity"/>
    <s v="None"/>
    <s v="INDOPACOM"/>
    <s v="ASEAN"/>
    <x v="25"/>
    <n v="5"/>
    <x v="6"/>
    <m/>
    <m/>
    <m/>
    <m/>
    <m/>
    <m/>
    <s v="Anti-terrorism"/>
    <s v="ADMM-Plus Maritime Security and Counter Terrorism Exercise"/>
    <s v="Army"/>
    <s v="ADMM-Plus Maritime Security and Counter Terrorism Exercise; Brunei and Singapore hosted"/>
    <m/>
    <m/>
    <m/>
    <m/>
  </r>
  <r>
    <s v="Senior Level Visit"/>
    <s v="Oceania"/>
    <s v="America and Oceania"/>
    <s v="Comprehensive Strategic Partnership [全面战略伙伴关系]"/>
    <s v="ANZUS Treaty"/>
    <s v="INDOPACOM"/>
    <s v="Australia"/>
    <x v="25"/>
    <n v="5"/>
    <x v="3"/>
    <s v="Sun Jianguo"/>
    <m/>
    <s v="CMC/JSD DCJS"/>
    <n v="6"/>
    <s v="Hosted"/>
    <s v="Vice Chief ADF"/>
    <m/>
    <m/>
    <m/>
    <m/>
    <m/>
    <m/>
    <m/>
    <m/>
  </r>
  <r>
    <s v="Military Exercise"/>
    <s v="Oceania"/>
    <s v="America and Oceania"/>
    <s v="Comprehensive Strategic Partnership [全面战略伙伴关系]"/>
    <s v="ANZUS Treaty"/>
    <s v="INDOPACOM"/>
    <s v="Australia"/>
    <x v="25"/>
    <n v="5"/>
    <x v="6"/>
    <m/>
    <m/>
    <m/>
    <m/>
    <m/>
    <m/>
    <s v="Competition"/>
    <s v="Australian Army Skill At Arms Meeting (AASAM)"/>
    <s v="Army"/>
    <s v="27th Combined Corps Chinese Central TC; sharpshooting competition. Other countries: Canada, France, Indonesia, Malaysia, Philippines, South Korea, United Kingdom, United States"/>
    <m/>
    <m/>
    <m/>
    <m/>
  </r>
  <r>
    <s v="Senior Level Visit"/>
    <s v="South Asia"/>
    <s v="Asia"/>
    <s v="Comprehensive Cooperative Partnership [全面合作伙伴关系]"/>
    <s v="None"/>
    <s v="INDOPACOM"/>
    <s v="Bangladesh"/>
    <x v="25"/>
    <n v="5"/>
    <x v="4"/>
    <s v="Chang Wanquan"/>
    <m/>
    <s v="Defense Minister; CMC Member"/>
    <n v="8"/>
    <s v="Abroad"/>
    <m/>
    <m/>
    <m/>
    <m/>
    <m/>
    <m/>
    <m/>
    <m/>
    <m/>
  </r>
  <r>
    <s v="Naval Port Call"/>
    <s v="Middle East"/>
    <s v="West Asia and Africa"/>
    <s v="No Specific Relationship"/>
    <s v="None"/>
    <s v="CENTCOM"/>
    <s v="Djibouti"/>
    <x v="25"/>
    <n v="5"/>
    <x v="9"/>
    <m/>
    <m/>
    <m/>
    <m/>
    <m/>
    <m/>
    <m/>
    <m/>
    <m/>
    <m/>
    <s v="ETF"/>
    <s v="ETF-22"/>
    <s v="North Sea Fleet"/>
    <s v="DDG113 Qingdao, FFG576 Daqing, AOR889 Tai Hu "/>
  </r>
  <r>
    <s v="Senior Level Visit"/>
    <s v="Middle East"/>
    <s v="West Asia and Africa"/>
    <s v="Comprehensive Strategic Partnership [全面战略伙伴关系]"/>
    <s v="Major Non-NATO Ally"/>
    <s v="CENTCOM"/>
    <s v="Egypt"/>
    <x v="25"/>
    <n v="5"/>
    <x v="4"/>
    <s v="Wu Shengli"/>
    <m/>
    <s v="PLAN Commander; CMC Member"/>
    <n v="8"/>
    <s v="Abroad"/>
    <m/>
    <m/>
    <m/>
    <m/>
    <m/>
    <m/>
    <m/>
    <m/>
    <m/>
  </r>
  <r>
    <s v="Senior Level Visit"/>
    <s v="Southeast Asia"/>
    <s v="Asia"/>
    <s v="Comprehensive Strategic Partnership [全面战略伙伴关系]"/>
    <s v="None"/>
    <s v="INDOPACOM"/>
    <s v="Indonesia"/>
    <x v="25"/>
    <n v="5"/>
    <x v="4"/>
    <s v="Chang Wanquan"/>
    <m/>
    <s v="Defense Minister; CMC Member"/>
    <n v="8"/>
    <s v="Abroad"/>
    <s v="Defense Minister"/>
    <m/>
    <m/>
    <m/>
    <m/>
    <m/>
    <m/>
    <m/>
    <m/>
  </r>
  <r>
    <s v="Senior Level Visit"/>
    <s v="Europe"/>
    <s v="Europe and Central Asia"/>
    <s v="Comprehensive Strategic Partnership [全面战略伙伴关系]"/>
    <s v="NATO"/>
    <s v="EUCOM"/>
    <s v="Italy"/>
    <x v="25"/>
    <n v="5"/>
    <x v="4"/>
    <s v="Zhang Youxia"/>
    <m/>
    <s v="CMC/EDD Director; CMC Member"/>
    <n v="8"/>
    <s v="Abroad"/>
    <s v="Secretary General of Defense and National Armaments Director"/>
    <m/>
    <m/>
    <m/>
    <m/>
    <m/>
    <m/>
    <m/>
    <m/>
  </r>
  <r>
    <s v="Senior Level Visit"/>
    <s v="Southeast Asia"/>
    <s v="Asia"/>
    <s v="Comprehensive Strategic Cooperative Partnership [全面战略合作伙伴关系]"/>
    <s v="None"/>
    <s v="INDOPACOM"/>
    <s v="Laos"/>
    <x v="25"/>
    <n v="5"/>
    <x v="4"/>
    <s v="Chang Wanquan"/>
    <m/>
    <s v="Defense Minister; CMC Member"/>
    <n v="8"/>
    <s v="Abroad"/>
    <s v="Defense Minister"/>
    <m/>
    <m/>
    <m/>
    <m/>
    <m/>
    <m/>
    <m/>
    <m/>
  </r>
  <r>
    <s v="Senior Level Visit"/>
    <s v="Southeast Asia"/>
    <s v="Asia"/>
    <s v="Comprehensive Strategic Partnership [全面战略伙伴关系]"/>
    <s v="None"/>
    <s v="INDOPACOM"/>
    <s v="Malaysia"/>
    <x v="25"/>
    <n v="5"/>
    <x v="3"/>
    <s v="Xu Qiliang"/>
    <m/>
    <s v="CMC Vice Chairman"/>
    <n v="10"/>
    <s v="Hosted"/>
    <s v="Navy Chief"/>
    <m/>
    <m/>
    <m/>
    <m/>
    <m/>
    <m/>
    <m/>
    <m/>
  </r>
  <r>
    <s v="Senior Level Visit"/>
    <s v="South Asia"/>
    <s v="Asia"/>
    <s v="All-Weather Strategic Cooperative Partnership [全天候战略合作伙伴关系]"/>
    <s v="Major Non-NATO Ally"/>
    <s v="CENTCOM"/>
    <s v="Pakistan"/>
    <x v="25"/>
    <n v="5"/>
    <x v="3"/>
    <s v="Fan Changlong"/>
    <m/>
    <s v="CMC Vice Chairman"/>
    <n v="10"/>
    <s v="Hosted"/>
    <s v="Chief of Army Staff"/>
    <m/>
    <m/>
    <m/>
    <m/>
    <m/>
    <m/>
    <m/>
    <m/>
  </r>
  <r>
    <s v="Senior Level Visit"/>
    <s v="Russia"/>
    <s v="Europe and Central Asia"/>
    <s v="Comprehensive Collaborative Strategic Partnership [全面战略协作伙伴关系]"/>
    <s v="None"/>
    <s v="EUCOM"/>
    <s v="Russia"/>
    <x v="25"/>
    <n v="5"/>
    <x v="4"/>
    <s v="Sun Jianguo"/>
    <m/>
    <s v="CMC/JSD DCJS"/>
    <n v="6"/>
    <s v="Abroad"/>
    <s v="DCOGS"/>
    <m/>
    <m/>
    <m/>
    <m/>
    <m/>
    <m/>
    <m/>
    <m/>
  </r>
  <r>
    <s v="Military Exercise"/>
    <s v="Russia"/>
    <s v="Europe and Central Asia"/>
    <s v="Comprehensive Collaborative Strategic Partnership [全面战略协作伙伴关系]"/>
    <s v="None"/>
    <s v="EUCOM"/>
    <s v="Russia"/>
    <x v="25"/>
    <n v="5"/>
    <x v="5"/>
    <m/>
    <m/>
    <m/>
    <m/>
    <m/>
    <m/>
    <s v="Anti-terrorism"/>
    <s v="Cooperation 2016"/>
    <s v="PAP"/>
    <s v="&quot;fighting, tactical shooting, helicopter fast-roping, fast evacuation, building climbing and units tactical comprehensive exercises and other subjects&quot;; Falcon Commando Unit, Snow Leopard Commando Unit"/>
    <m/>
    <m/>
    <m/>
    <m/>
  </r>
  <r>
    <s v="Military Exercise"/>
    <s v="Russia"/>
    <s v="Europe and Central Asia"/>
    <s v="Comprehensive Collaborative Strategic Partnership [全面战略协作伙伴关系]"/>
    <s v="None"/>
    <s v="EUCOM"/>
    <s v="Russia"/>
    <x v="25"/>
    <n v="5"/>
    <x v="5"/>
    <m/>
    <m/>
    <m/>
    <m/>
    <m/>
    <m/>
    <s v="Strategic CPX"/>
    <s v="Aerospace Security 2016"/>
    <s v="Air Force"/>
    <s v="Computer-enabled missile defense exercise (TTX)"/>
    <m/>
    <m/>
    <m/>
    <m/>
  </r>
  <r>
    <s v="Senior Level Visit"/>
    <s v="Africa"/>
    <s v="West Asia and Africa"/>
    <s v="Comprehensive Strategic Partnership [全面战略伙伴关系]"/>
    <s v="None"/>
    <s v="AFRICOM"/>
    <s v="South Africa"/>
    <x v="25"/>
    <n v="5"/>
    <x v="4"/>
    <s v="Wu Shengli"/>
    <m/>
    <s v="PLAN Commander; CMC Member"/>
    <n v="8"/>
    <s v="Abroad"/>
    <m/>
    <m/>
    <m/>
    <m/>
    <m/>
    <m/>
    <m/>
    <m/>
    <m/>
  </r>
  <r>
    <s v="Military Exercise"/>
    <s v="Africa"/>
    <s v="West Asia and Africa"/>
    <s v="Comprehensive Strategic Partnership [全面战略伙伴关系]"/>
    <s v="None"/>
    <s v="AFRICOM"/>
    <s v="South Africa"/>
    <x v="25"/>
    <n v="5"/>
    <x v="5"/>
    <m/>
    <m/>
    <m/>
    <m/>
    <m/>
    <m/>
    <s v="MOOTW"/>
    <s v="None"/>
    <s v="Navy"/>
    <s v="unspecified communications and maneuvers drills with South African Navy; ETF-22"/>
    <m/>
    <m/>
    <m/>
    <m/>
  </r>
  <r>
    <s v="Naval Port Call"/>
    <s v="Africa"/>
    <s v="West Asia and Africa"/>
    <s v="Comprehensive Strategic Partnership [全面战略伙伴关系]"/>
    <s v="None"/>
    <s v="AFRICOM"/>
    <s v="South Africa"/>
    <x v="25"/>
    <n v="5"/>
    <x v="10"/>
    <m/>
    <m/>
    <m/>
    <m/>
    <m/>
    <m/>
    <m/>
    <m/>
    <m/>
    <m/>
    <s v="ETF"/>
    <s v="ETF-22"/>
    <s v="North Sea Fleet"/>
    <s v="DDG113 Qingdao, FFG576 Daqing, AOR889 Tai Hu "/>
  </r>
  <r>
    <s v="Senior Level Visit"/>
    <s v="Central Asia"/>
    <s v="Europe and Central Asia"/>
    <s v="Strategic Partnership [战略伙伴关系]"/>
    <s v="None"/>
    <s v="CENTCOM"/>
    <s v="Tajikistan"/>
    <x v="25"/>
    <n v="5"/>
    <x v="4"/>
    <s v="Xu Fenlin"/>
    <m/>
    <s v="CMC/JSD DCJS"/>
    <n v="6"/>
    <s v="Abroad"/>
    <s v="Defense Minister"/>
    <m/>
    <m/>
    <m/>
    <m/>
    <m/>
    <m/>
    <m/>
    <m/>
  </r>
  <r>
    <s v="Senior Level Visit"/>
    <s v="Southeast Asia"/>
    <s v="Asia"/>
    <s v="Comprehensive Strategic Cooperative Partnership [全面战略合作伙伴关系]"/>
    <s v="Bilateral Defense Treaty"/>
    <s v="INDOPACOM"/>
    <s v="Thailand"/>
    <x v="25"/>
    <n v="5"/>
    <x v="4"/>
    <s v="Chang Wanquan"/>
    <m/>
    <s v="Defense Minister; CMC Member"/>
    <n v="8"/>
    <s v="Abroad"/>
    <s v="Defense Minister"/>
    <m/>
    <m/>
    <m/>
    <m/>
    <m/>
    <m/>
    <m/>
    <m/>
  </r>
  <r>
    <s v="Senior Level Visit"/>
    <s v="North America"/>
    <s v="America and Oceania"/>
    <s v="No Specific Relationship"/>
    <s v="N/A"/>
    <s v="NORTHCOM"/>
    <s v="United States"/>
    <x v="25"/>
    <n v="5"/>
    <x v="4"/>
    <s v="Ma Yiming"/>
    <m/>
    <s v="CMC/JSD Assistant Commander"/>
    <n v="5"/>
    <s v="Abroad"/>
    <s v="ASD Christine Wormuth"/>
    <m/>
    <m/>
    <m/>
    <m/>
    <m/>
    <m/>
    <m/>
    <m/>
  </r>
  <r>
    <s v="Senior Level Visit"/>
    <s v="Oceania"/>
    <s v="America and Oceania"/>
    <s v="Comprehensive Strategic Partnership [全面战略伙伴关系]"/>
    <s v="ANZUS Treaty"/>
    <s v="INDOPACOM"/>
    <s v="Australia"/>
    <x v="25"/>
    <n v="6"/>
    <x v="7"/>
    <s v="Sun Jianguo"/>
    <m/>
    <s v="CMC/JSD DCJS"/>
    <n v="6"/>
    <s v="Abroad"/>
    <s v="Chief ADF"/>
    <m/>
    <m/>
    <m/>
    <m/>
    <m/>
    <m/>
    <m/>
    <m/>
  </r>
  <r>
    <s v="Senior Level Visit"/>
    <s v="South America"/>
    <s v="America and Oceania"/>
    <s v="No Specific Relationship"/>
    <s v="None"/>
    <s v="SOUTHCOM"/>
    <s v="Cuba"/>
    <x v="25"/>
    <n v="6"/>
    <x v="3"/>
    <s v="Fan Changlong"/>
    <m/>
    <s v="CMC Vice Chairman"/>
    <n v="10"/>
    <s v="Hosted"/>
    <s v="Deputy Defense Minister"/>
    <m/>
    <m/>
    <m/>
    <m/>
    <m/>
    <m/>
    <m/>
    <m/>
  </r>
  <r>
    <s v="Naval Port Call"/>
    <s v="Europe"/>
    <s v="Europe and Central Asia"/>
    <s v="Comprehensive Strategic Partnership [全面战略伙伴关系]"/>
    <s v="NATO"/>
    <s v="EUCOM"/>
    <s v="Germany"/>
    <x v="25"/>
    <n v="6"/>
    <x v="0"/>
    <m/>
    <m/>
    <m/>
    <m/>
    <m/>
    <m/>
    <m/>
    <m/>
    <m/>
    <m/>
    <s v="ETF"/>
    <s v="ETF-23"/>
    <s v="East Sea Fleet"/>
    <s v="FFG531 Xiangtan, FFG529 Zhoushan, AOR890 Chao Hu"/>
  </r>
  <r>
    <s v="Senior Level Visit"/>
    <s v="Southeast Asia"/>
    <s v="Asia"/>
    <s v="No Specific Relationship"/>
    <s v="None"/>
    <s v="INDOPACOM"/>
    <s v="IISS"/>
    <x v="25"/>
    <n v="6"/>
    <x v="1"/>
    <s v="Sun Jianguo"/>
    <m/>
    <s v="CMC/JSD DCJS"/>
    <n v="6"/>
    <s v="Abroad"/>
    <s v="Defense Minister; 15th Shangri-la"/>
    <m/>
    <m/>
    <m/>
    <m/>
    <m/>
    <m/>
    <m/>
    <m/>
  </r>
  <r>
    <s v="Senior Level Visit"/>
    <s v="Northeast Asia"/>
    <s v="Asia"/>
    <s v="Mutually Beneficial Strategic Relationship [战略互惠关系]"/>
    <s v="Bilateral Defense Treaty"/>
    <s v="INDOPACOM"/>
    <s v="Japan"/>
    <x v="25"/>
    <n v="6"/>
    <x v="3"/>
    <s v="Chang Wanquan"/>
    <m/>
    <s v="Defense Minister; CMC Member"/>
    <n v="8"/>
    <s v="Hosted"/>
    <s v="Former Chief of Staff Army"/>
    <m/>
    <m/>
    <m/>
    <m/>
    <m/>
    <m/>
    <m/>
    <m/>
  </r>
  <r>
    <s v="Senior Level Visit"/>
    <s v="Central Asia"/>
    <s v="Europe and Central Asia"/>
    <s v="Comprehensive Strategic Partnership [全面战略伙伴关系]"/>
    <s v="None"/>
    <s v="CENTCOM"/>
    <s v="Kazakhstan"/>
    <x v="25"/>
    <n v="6"/>
    <x v="4"/>
    <s v="Chang Wanquan"/>
    <m/>
    <s v="Defense Minister; CMC Member"/>
    <n v="8"/>
    <s v="Abroad"/>
    <s v="Defense Minister"/>
    <m/>
    <m/>
    <m/>
    <m/>
    <m/>
    <m/>
    <m/>
    <m/>
  </r>
  <r>
    <s v="Senior Level Visit"/>
    <s v="Central Asia"/>
    <s v="Europe and Central Asia"/>
    <s v="Strategic Partnership [战略伙伴关系]"/>
    <s v="None"/>
    <s v="CENTCOM"/>
    <s v="Kyrgyzstan"/>
    <x v="25"/>
    <n v="6"/>
    <x v="7"/>
    <s v="Chang Wanquan"/>
    <m/>
    <s v="Defense Minister; CMC Member"/>
    <n v="8"/>
    <s v="Abroad"/>
    <s v="Defense Minister"/>
    <m/>
    <m/>
    <m/>
    <m/>
    <m/>
    <m/>
    <m/>
    <m/>
  </r>
  <r>
    <s v="Senior Level Visit"/>
    <s v="Southeast Asia"/>
    <s v="Asia"/>
    <s v="Comprehensive Strategic Cooperative Partnership [全面战略合作伙伴关系]"/>
    <s v="None"/>
    <s v="INDOPACOM"/>
    <s v="Laos"/>
    <x v="25"/>
    <n v="6"/>
    <x v="7"/>
    <s v="Sun Jianguo"/>
    <m/>
    <s v="CMC/JSD DCJS"/>
    <n v="6"/>
    <s v="Abroad"/>
    <s v="Deputy Defense Minister"/>
    <m/>
    <m/>
    <m/>
    <m/>
    <m/>
    <m/>
    <m/>
    <m/>
  </r>
  <r>
    <s v="Senior Level Visit"/>
    <s v="Europe"/>
    <s v="Europe and Central Asia"/>
    <s v="No Specific Relationship"/>
    <s v="NATO"/>
    <s v="EUCOM"/>
    <s v="NATO"/>
    <x v="25"/>
    <n v="6"/>
    <x v="7"/>
    <s v="Sun Jianguo"/>
    <m/>
    <s v="CMC/JSD DCJS"/>
    <n v="6"/>
    <s v="Abroad"/>
    <s v="Chairman NATO Military Committee"/>
    <m/>
    <m/>
    <m/>
    <m/>
    <m/>
    <m/>
    <m/>
    <m/>
  </r>
  <r>
    <s v="Senior Level Visit"/>
    <s v="South Asia"/>
    <s v="Asia"/>
    <s v="All-Round Strategic Partnership [全方位战略伙伴关系]"/>
    <s v="None"/>
    <s v="INDOPACOM"/>
    <s v="Nepal"/>
    <x v="25"/>
    <n v="6"/>
    <x v="7"/>
    <s v="Sun Jianguo"/>
    <m/>
    <s v="CMC/JSD DCJS"/>
    <n v="6"/>
    <s v="Abroad"/>
    <s v="Chief of Army Staff"/>
    <m/>
    <m/>
    <m/>
    <m/>
    <m/>
    <m/>
    <m/>
    <m/>
  </r>
  <r>
    <s v="Senior Level Visit"/>
    <s v="Oceania"/>
    <s v="America and Oceania"/>
    <s v="Comprehensive Strategic Partnership [全面战略伙伴关系]"/>
    <s v="ANZUS Treaty"/>
    <s v="INDOPACOM"/>
    <s v="New Zealand"/>
    <x v="25"/>
    <n v="6"/>
    <x v="7"/>
    <s v="Sun Jianguo"/>
    <m/>
    <s v="CMC/JSD DCJS"/>
    <n v="6"/>
    <s v="Hosted"/>
    <s v="National Defense Secretary"/>
    <m/>
    <m/>
    <m/>
    <m/>
    <m/>
    <m/>
    <m/>
    <m/>
  </r>
  <r>
    <s v="Senior Level Visit"/>
    <s v="Russia"/>
    <s v="Europe and Central Asia"/>
    <s v="Comprehensive Collaborative Strategic Partnership [全面战略协作伙伴关系]"/>
    <s v="None"/>
    <s v="EUCOM"/>
    <s v="Russia"/>
    <x v="25"/>
    <n v="6"/>
    <x v="7"/>
    <s v="Chang Wanquan"/>
    <m/>
    <s v="Defense Minister; CMC Member"/>
    <n v="8"/>
    <s v="Abroad"/>
    <s v="Defense Minister"/>
    <m/>
    <m/>
    <m/>
    <m/>
    <m/>
    <m/>
    <m/>
    <m/>
  </r>
  <r>
    <s v="Senior Level Visit"/>
    <s v="Central Asia"/>
    <s v="Europe and Central Asia"/>
    <s v="Member"/>
    <s v="None"/>
    <s v="CENTCOM"/>
    <s v="SCO"/>
    <x v="25"/>
    <n v="6"/>
    <x v="1"/>
    <s v="Chang Wanquan"/>
    <m/>
    <s v="Defense Minister; CMC Member"/>
    <n v="8"/>
    <s v="Abroad"/>
    <s v="13th official meeting of the SCO Ministers' of Defense in Astana; Other countries: Kazakhstan, Kyrgyztan, Russia, Tajikistan, Uzbekistan"/>
    <m/>
    <m/>
    <m/>
    <m/>
    <m/>
    <m/>
    <m/>
    <m/>
  </r>
  <r>
    <s v="Senior Level Visit"/>
    <s v="Europe"/>
    <s v="Europe and Central Asia"/>
    <s v="Comprehensive Strategic Partnership [全面战略伙伴关系]"/>
    <s v="None"/>
    <s v="EUCOM"/>
    <s v="Serbia"/>
    <x v="25"/>
    <n v="6"/>
    <x v="3"/>
    <s v="Fan Changlong"/>
    <m/>
    <s v="CMC Vice Chairman"/>
    <n v="10"/>
    <s v="Hosted"/>
    <s v="Chief Armed Forces"/>
    <m/>
    <m/>
    <m/>
    <m/>
    <m/>
    <m/>
    <m/>
    <m/>
  </r>
  <r>
    <s v="Senior Level Visit"/>
    <s v="Southeast Asia"/>
    <s v="Asia"/>
    <s v="All-Round Cooperative Partnership [全方合作伙伴关系]"/>
    <s v="None"/>
    <s v="INDOPACOM"/>
    <s v="Singapore"/>
    <x v="25"/>
    <n v="6"/>
    <x v="4"/>
    <s v="Sun Jianguo"/>
    <m/>
    <s v="CMC/JSD DCJS"/>
    <n v="6"/>
    <s v="Abroad"/>
    <s v="Defense Minister"/>
    <m/>
    <m/>
    <m/>
    <m/>
    <m/>
    <m/>
    <m/>
    <m/>
  </r>
  <r>
    <s v="Naval Port Call"/>
    <s v="Northeast Asia"/>
    <s v="Asia"/>
    <s v="Strategic Cooperative Partnership [战略合作伙伴关系]"/>
    <s v="Bilateral Defense Treaty"/>
    <s v="INDOPACOM"/>
    <s v="South Korea"/>
    <x v="25"/>
    <n v="6"/>
    <x v="0"/>
    <m/>
    <m/>
    <m/>
    <m/>
    <m/>
    <m/>
    <m/>
    <m/>
    <m/>
    <m/>
    <s v="ETF"/>
    <s v="ETF-22"/>
    <s v="North Sea Fleet"/>
    <s v="DDG113 Qingdao, FFG576 Daqing, AOR889 Tai Hu "/>
  </r>
  <r>
    <s v="Military Exercise"/>
    <s v="Southeast Asia"/>
    <s v="Asia"/>
    <s v="Comprehensive Strategic Cooperative Partnership [全面战略合作伙伴关系]"/>
    <s v="Bilateral Defense Treaty"/>
    <s v="INDOPACOM"/>
    <s v="Thailand"/>
    <x v="25"/>
    <n v="6"/>
    <x v="5"/>
    <m/>
    <m/>
    <m/>
    <m/>
    <m/>
    <m/>
    <s v="Combat Support"/>
    <s v="Blue Strike 2016"/>
    <s v="Navy"/>
    <s v="Marines"/>
    <m/>
    <m/>
    <m/>
    <m/>
  </r>
  <r>
    <s v="Senior Level Visit"/>
    <s v="Europe"/>
    <s v="Europe and Central Asia"/>
    <s v="Comprehensive Strategic Partnership [全面战略伙伴关系]"/>
    <s v="NATO"/>
    <s v="EUCOM"/>
    <s v="United Kingdom"/>
    <x v="25"/>
    <n v="6"/>
    <x v="7"/>
    <s v="Sun Jianguo"/>
    <m/>
    <s v="CMC/JSD DCJS"/>
    <n v="6"/>
    <s v="Abroad"/>
    <s v="COGS"/>
    <m/>
    <m/>
    <m/>
    <m/>
    <m/>
    <m/>
    <m/>
    <m/>
  </r>
  <r>
    <s v="Senior Level Visit"/>
    <s v="N/A"/>
    <s v="N/A"/>
    <s v="Member"/>
    <s v="N/A"/>
    <s v="N/A"/>
    <s v="United Nations"/>
    <x v="25"/>
    <n v="6"/>
    <x v="3"/>
    <s v="Yi Xiaoguang"/>
    <m/>
    <s v="CMC/JSD DCJS"/>
    <n v="6"/>
    <s v="Hosted"/>
    <s v="Deputy General Secretary"/>
    <m/>
    <m/>
    <m/>
    <m/>
    <m/>
    <m/>
    <m/>
    <m/>
  </r>
  <r>
    <s v="Senior Level Visit"/>
    <s v="Central Asia"/>
    <s v="Europe and Central Asia"/>
    <s v="Comprehensive Strategic Partnership [全面战略伙伴关系]"/>
    <s v="None"/>
    <s v="CENTCOM"/>
    <s v="Uzbekistan"/>
    <x v="25"/>
    <n v="6"/>
    <x v="7"/>
    <s v="Chang Wanquan"/>
    <m/>
    <s v="Defense Minister; CMC Member"/>
    <n v="8"/>
    <s v="Abroad"/>
    <s v="Army Chief"/>
    <m/>
    <m/>
    <m/>
    <m/>
    <m/>
    <m/>
    <m/>
    <m/>
  </r>
  <r>
    <s v="Senior Level Visit"/>
    <s v="Southeast Asia"/>
    <s v="Asia"/>
    <s v="Comprehensive Strategic Cooperative Partnership [全面战略合作伙伴关系]"/>
    <s v="None"/>
    <s v="INDOPACOM"/>
    <s v="Cambodia"/>
    <x v="25"/>
    <n v="7"/>
    <x v="3"/>
    <s v="Sun Jianguo"/>
    <m/>
    <s v="CMC/JSD DCJS"/>
    <n v="6"/>
    <s v="Hosted"/>
    <s v="Director General MoD Policy and Foreign Affairs"/>
    <m/>
    <m/>
    <m/>
    <m/>
    <m/>
    <m/>
    <m/>
    <m/>
  </r>
  <r>
    <s v="Senior Level Visit"/>
    <s v="South America"/>
    <s v="America and Oceania"/>
    <s v="Comprehensive Cooperative Partnership [全面合作伙伴关系]"/>
    <s v="None"/>
    <s v="SOUTHCOM"/>
    <s v="CELAC"/>
    <x v="25"/>
    <n v="7"/>
    <x v="2"/>
    <s v="Chang Wanquan"/>
    <m/>
    <s v="Defense Minister; CMC Member"/>
    <n v="8"/>
    <s v="Hosted"/>
    <s v="Third China-Latin America Defense Forum"/>
    <m/>
    <m/>
    <m/>
    <m/>
    <m/>
    <m/>
    <m/>
    <m/>
  </r>
  <r>
    <s v="Senior Level Visit"/>
    <s v="Europe"/>
    <s v="Europe and Central Asia"/>
    <s v="Comprehensive Cooperative Partnership [全面合作伙伴关系]"/>
    <s v="None"/>
    <s v="EUCOM"/>
    <s v="European Union"/>
    <x v="25"/>
    <n v="7"/>
    <x v="3"/>
    <s v="Chang Wanquan"/>
    <m/>
    <s v="Defense Minister; CMC Member"/>
    <n v="8"/>
    <s v="Hosted"/>
    <s v="High Representative for Foreign Affairs and Security Policy"/>
    <m/>
    <m/>
    <m/>
    <m/>
    <m/>
    <m/>
    <m/>
    <m/>
  </r>
  <r>
    <s v="Senior Level Visit"/>
    <s v="Oceania"/>
    <s v="America and Oceania"/>
    <s v="Comprehensive Strategic Partnership [全面战略伙伴关系]"/>
    <s v="ANZUS Treaty"/>
    <s v="INDOPACOM"/>
    <s v="New Zealand"/>
    <x v="25"/>
    <n v="7"/>
    <x v="3"/>
    <s v="Zhao Keshi"/>
    <m/>
    <s v="CMC/LSD Director; CMC Member"/>
    <n v="8"/>
    <s v="Hosted"/>
    <s v="Logistics Commander"/>
    <m/>
    <m/>
    <m/>
    <m/>
    <m/>
    <m/>
    <m/>
    <m/>
  </r>
  <r>
    <s v="Senior Level Visit"/>
    <s v="Europe"/>
    <s v="Europe and Central Asia"/>
    <s v="No Specific Relationship"/>
    <s v="None"/>
    <s v="EUCOM"/>
    <s v="Sweden"/>
    <x v="25"/>
    <n v="7"/>
    <x v="3"/>
    <s v="Sun Jianguo"/>
    <m/>
    <s v="CMC/JSD DCJS"/>
    <n v="6"/>
    <s v="Hosted"/>
    <s v="Chief of Staff"/>
    <m/>
    <m/>
    <m/>
    <m/>
    <m/>
    <m/>
    <m/>
    <m/>
  </r>
  <r>
    <s v="Senior Level Visit"/>
    <s v="Southeast Asia"/>
    <s v="Asia"/>
    <s v="Comprehensive Strategic Cooperative Partnership [全面战略合作伙伴关系]"/>
    <s v="Bilateral Defense Treaty"/>
    <s v="INDOPACOM"/>
    <s v="Thailand"/>
    <x v="25"/>
    <n v="7"/>
    <x v="3"/>
    <s v="Fang Fenghui"/>
    <m/>
    <s v="CMC/JSD Commander; CMC Member"/>
    <n v="8"/>
    <s v="Hosted"/>
    <s v="Chief of Joint Staff"/>
    <m/>
    <m/>
    <m/>
    <m/>
    <m/>
    <m/>
    <m/>
    <m/>
  </r>
  <r>
    <s v="Senior Level Visit"/>
    <s v="North America"/>
    <s v="America and Oceania"/>
    <s v="No Specific Relationship"/>
    <s v="N/A"/>
    <s v="NORTHCOM"/>
    <s v="United States"/>
    <x v="25"/>
    <n v="7"/>
    <x v="3"/>
    <s v="Wu Shengli"/>
    <m/>
    <s v="PLAN Commander; CMC Member"/>
    <n v="8"/>
    <s v="Hosted"/>
    <s v="CNO Richardson"/>
    <m/>
    <m/>
    <m/>
    <m/>
    <m/>
    <m/>
    <m/>
    <m/>
  </r>
  <r>
    <s v="Senior Level Visit"/>
    <s v="South Asia"/>
    <s v="Europe and Central Asia"/>
    <s v="Strategic Partnership [战略伙伴关系]"/>
    <s v="Major Non-NATO Ally"/>
    <s v="CENTCOM"/>
    <s v="Afghanistan"/>
    <x v="25"/>
    <n v="8"/>
    <x v="3"/>
    <s v="Chang Wanquan"/>
    <m/>
    <s v="Defense Minister; CMC Member"/>
    <n v="8"/>
    <s v="Hosted"/>
    <s v="COGS Army"/>
    <m/>
    <m/>
    <m/>
    <m/>
    <m/>
    <m/>
    <m/>
    <m/>
  </r>
  <r>
    <s v="Military Exercise"/>
    <s v="Oceania"/>
    <s v="America and Oceania"/>
    <s v="Comprehensive Strategic Partnership [全面战略伙伴关系]"/>
    <s v="ANZUS Treaty"/>
    <s v="INDOPACOM"/>
    <s v="Australia"/>
    <x v="25"/>
    <n v="8"/>
    <x v="6"/>
    <m/>
    <m/>
    <m/>
    <m/>
    <m/>
    <m/>
    <s v="MOOTW"/>
    <s v="Kowari 2016"/>
    <s v="Army"/>
    <s v="Army field survival training"/>
    <m/>
    <m/>
    <m/>
    <m/>
  </r>
  <r>
    <s v="Military Exercise"/>
    <s v="South America"/>
    <s v="America and Oceania"/>
    <s v="Comprehensive Strategic Partnership [全面战略伙伴关系]"/>
    <s v="None"/>
    <s v="SOUTHCOM"/>
    <s v="Brazil"/>
    <x v="25"/>
    <n v="8"/>
    <x v="6"/>
    <m/>
    <m/>
    <m/>
    <m/>
    <m/>
    <m/>
    <s v="Competition"/>
    <s v="Jungle Patrol Competition"/>
    <s v="Army"/>
    <s v="PLAA team from &quot;14th Combined Corps&quot;. Other countries: Colombia, France, Germany "/>
    <m/>
    <m/>
    <m/>
    <m/>
  </r>
  <r>
    <s v="Senior Level Visit"/>
    <s v="Europe"/>
    <s v="Europe and Central Asia"/>
    <s v="Comprehensive Strategic Partnership [全面战略伙伴关系]"/>
    <s v="NATO"/>
    <s v="EUCOM"/>
    <s v="Germany"/>
    <x v="25"/>
    <n v="8"/>
    <x v="3"/>
    <s v="Wu Shengli"/>
    <m/>
    <s v="PLAN Commander; CMC Member"/>
    <n v="8"/>
    <s v="Hosted"/>
    <s v="Navy Inspector General"/>
    <m/>
    <m/>
    <m/>
    <m/>
    <m/>
    <m/>
    <m/>
    <m/>
  </r>
  <r>
    <s v="Senior Level Visit"/>
    <s v="Northeast Asia"/>
    <s v="Asia"/>
    <s v="Comprehensive Strategic Partnership [全面战略伙伴关系]"/>
    <s v="None"/>
    <s v="INDOPACOM"/>
    <s v="Mongolia"/>
    <x v="25"/>
    <n v="8"/>
    <x v="4"/>
    <s v="Sun Jianguo"/>
    <m/>
    <s v="CMC/JSD DCJS"/>
    <n v="6"/>
    <s v="Abroad"/>
    <s v="COGS"/>
    <m/>
    <m/>
    <m/>
    <m/>
    <m/>
    <m/>
    <m/>
    <m/>
  </r>
  <r>
    <s v="Senior Level Visit"/>
    <s v="South Asia"/>
    <s v="Asia"/>
    <s v="All-Weather Strategic Cooperative Partnership [全天候战略合作伙伴关系]"/>
    <s v="Major Non-NATO Ally"/>
    <s v="CENTCOM"/>
    <s v="Pakistan"/>
    <x v="25"/>
    <n v="8"/>
    <x v="3"/>
    <s v="Zhao Keshi"/>
    <m/>
    <s v="CMC/LSD Director; CMC Member"/>
    <n v="8"/>
    <s v="Hosted"/>
    <s v="Army Logistics Chief"/>
    <m/>
    <m/>
    <m/>
    <m/>
    <m/>
    <m/>
    <m/>
    <m/>
  </r>
  <r>
    <s v="Military Exercise"/>
    <s v="Russia"/>
    <s v="Europe and Central Asia"/>
    <s v="Comprehensive Collaborative Strategic Partnership [全面战略协作伙伴关系]"/>
    <s v="None"/>
    <s v="EUCOM"/>
    <s v="Russia"/>
    <x v="25"/>
    <n v="8"/>
    <x v="6"/>
    <m/>
    <m/>
    <m/>
    <m/>
    <m/>
    <m/>
    <s v="Competition"/>
    <s v="International Army Games 2016"/>
    <s v="Army"/>
    <s v="Competition. Other countries: refer to source for a complete list of countries "/>
    <m/>
    <m/>
    <m/>
    <m/>
  </r>
  <r>
    <s v="Senior Level Visit"/>
    <s v="Middle East"/>
    <s v="West Asia and Africa"/>
    <s v="Comprehensive Strategic Partnership [全面战略伙伴关系]"/>
    <s v="None"/>
    <s v="CENTCOM"/>
    <s v="Saudi Arabia"/>
    <x v="25"/>
    <n v="8"/>
    <x v="3"/>
    <s v="Chang Wanquan"/>
    <m/>
    <s v="Defense Minister; CMC Member"/>
    <n v="8"/>
    <s v="Hosted"/>
    <s v="2nd Prime Minister; Defense Minister"/>
    <m/>
    <m/>
    <m/>
    <m/>
    <m/>
    <m/>
    <m/>
    <m/>
  </r>
  <r>
    <s v="Senior Level Visit"/>
    <s v="Central Asia"/>
    <s v="Europe and Central Asia"/>
    <s v="Strategic Partnership [战略伙伴关系]"/>
    <s v="None"/>
    <s v="CENTCOM"/>
    <s v="Tajikistan"/>
    <x v="25"/>
    <n v="8"/>
    <x v="3"/>
    <s v="Fang Fenghui"/>
    <m/>
    <s v="CMC/JSD Commander; CMC Member"/>
    <n v="8"/>
    <s v="Hosted"/>
    <s v="Deputy Defense Minister"/>
    <m/>
    <m/>
    <m/>
    <m/>
    <m/>
    <m/>
    <m/>
    <m/>
  </r>
  <r>
    <s v="Senior Level Visit"/>
    <s v="North America"/>
    <s v="America and Oceania"/>
    <s v="No Specific Relationship"/>
    <s v="N/A"/>
    <s v="NORTHCOM"/>
    <s v="United States"/>
    <x v="25"/>
    <n v="8"/>
    <x v="3"/>
    <s v="Li Zuocheng"/>
    <m/>
    <s v="PLAA Commander"/>
    <n v="6"/>
    <s v="Hosted"/>
    <s v="Army Chief of Staff Milley"/>
    <m/>
    <m/>
    <m/>
    <m/>
    <m/>
    <m/>
    <m/>
    <m/>
  </r>
  <r>
    <s v="Military Exercise"/>
    <s v="North America"/>
    <s v="America and Oceania"/>
    <s v="No Specific Relationship"/>
    <s v="N/A"/>
    <s v="NORTHCOM"/>
    <s v="United States"/>
    <x v="25"/>
    <n v="8"/>
    <x v="6"/>
    <m/>
    <m/>
    <m/>
    <m/>
    <m/>
    <m/>
    <s v="Combat"/>
    <s v="RIMPAC 2016"/>
    <s v="Navy"/>
    <s v="Maritime docking; Combined Task Force 175; PLAN flotilla is FFG572 Hengshui (ESF), DDG153 Xi'an (ESF), AOR966 Gaoyou Hu, AS867 Changdao (NSF), 866 Peace Ark. Other countries: refer to source for a complete list of countries "/>
    <m/>
    <m/>
    <m/>
    <m/>
  </r>
  <r>
    <s v="Senior Level Visit"/>
    <s v="Southeast Asia"/>
    <s v="Asia"/>
    <s v="Comprehensive Strategic Cooperative Partnership [全面战略合作伙伴关系]"/>
    <s v="None"/>
    <s v="INDOPACOM"/>
    <s v="Vietnam"/>
    <x v="25"/>
    <n v="8"/>
    <x v="3"/>
    <s v="Fan Changlong"/>
    <m/>
    <s v="CMC Vice Chairman"/>
    <n v="10"/>
    <s v="Hosted"/>
    <s v="Defense Minister"/>
    <m/>
    <m/>
    <m/>
    <m/>
    <m/>
    <m/>
    <m/>
    <m/>
  </r>
  <r>
    <s v="Military Exercise"/>
    <s v="Southeast Asia"/>
    <s v="Asia"/>
    <s v="Strategic Partnership [战略伙伴关系] for Peace and Prosperity"/>
    <s v="None"/>
    <s v="INDOPACOM"/>
    <s v="ASEAN"/>
    <x v="25"/>
    <n v="9"/>
    <x v="6"/>
    <m/>
    <m/>
    <m/>
    <m/>
    <m/>
    <m/>
    <s v="MOOTW"/>
    <s v="AMHex 2016"/>
    <s v="Joint"/>
    <s v="HADR, rescue operations. Other countries: Refer to source of a complete list of countries; hosted by Thailand"/>
    <m/>
    <m/>
    <m/>
    <m/>
  </r>
  <r>
    <s v="Military Exercise"/>
    <s v="Oceania"/>
    <s v="America and Oceania"/>
    <s v="Comprehensive Strategic Partnership [全面战略伙伴关系]"/>
    <s v="ANZUS Treaty"/>
    <s v="INDOPACOM"/>
    <s v="Australia"/>
    <x v="25"/>
    <n v="9"/>
    <x v="5"/>
    <m/>
    <m/>
    <m/>
    <m/>
    <m/>
    <m/>
    <s v="MOOTW"/>
    <s v="Pandaroo-2016"/>
    <s v="Army"/>
    <s v="Canoeing and abseiling"/>
    <m/>
    <m/>
    <m/>
    <m/>
  </r>
  <r>
    <s v="Senior Level Visit"/>
    <s v="South Asia"/>
    <s v="Asia"/>
    <s v="Comprehensive Cooperative Partnership [全面合作伙伴关系]"/>
    <s v="None"/>
    <s v="INDOPACOM"/>
    <s v="Bangladesh"/>
    <x v="25"/>
    <n v="9"/>
    <x v="3"/>
    <s v="Ma Xiaotian"/>
    <m/>
    <s v="PLAAF Commander; CMC Member"/>
    <n v="8"/>
    <s v="Hosted"/>
    <s v="Air Force Chief of Staff"/>
    <m/>
    <m/>
    <m/>
    <m/>
    <m/>
    <m/>
    <m/>
    <m/>
  </r>
  <r>
    <s v="Senior Level Visit"/>
    <s v="South America"/>
    <s v="America and Oceania"/>
    <s v="Comprehensive Strategic Cooperative Partnership [全面战略合作伙伴关系]"/>
    <s v="None"/>
    <s v="SOUTHCOM"/>
    <s v="Chile"/>
    <x v="25"/>
    <n v="9"/>
    <x v="3"/>
    <s v="Wu Shengli"/>
    <m/>
    <s v="PLAN Commander; CMC Member"/>
    <n v="8"/>
    <s v="Hosted"/>
    <s v="Navy Commander"/>
    <m/>
    <m/>
    <m/>
    <m/>
    <m/>
    <m/>
    <m/>
    <m/>
  </r>
  <r>
    <s v="Senior Level Visit"/>
    <s v="Europe"/>
    <s v="Europe and Central Asia"/>
    <s v="No Specific Relationship"/>
    <s v="None"/>
    <s v="EUCOM"/>
    <s v="Finland"/>
    <x v="25"/>
    <n v="9"/>
    <x v="3"/>
    <s v="Chang Wanquan"/>
    <m/>
    <s v="Defense Minister; CMC Member"/>
    <n v="8"/>
    <s v="Hosted"/>
    <s v="Defense Minister"/>
    <m/>
    <m/>
    <m/>
    <m/>
    <m/>
    <m/>
    <m/>
    <m/>
  </r>
  <r>
    <s v="Naval Port Call"/>
    <s v="Middle East"/>
    <s v="West Asia and Africa"/>
    <s v="No Specific Relationship"/>
    <s v="None"/>
    <s v="CENTCOM"/>
    <s v="Oman"/>
    <x v="25"/>
    <n v="9"/>
    <x v="9"/>
    <m/>
    <m/>
    <m/>
    <m/>
    <m/>
    <m/>
    <m/>
    <m/>
    <m/>
    <m/>
    <s v="ETF"/>
    <s v="ETF-24"/>
    <s v="North Sea Fleet"/>
    <s v="DDG112 Harbin, FFG579 Handan, AOR960 Dongping Hu"/>
  </r>
  <r>
    <s v="Senior Level Visit"/>
    <s v="Southeast Asia"/>
    <s v="Asia"/>
    <s v="Strategic Cooperative Partnership [战略合作伙伴关系]"/>
    <s v="Bilateral Defense Treaty"/>
    <s v="INDOPACOM"/>
    <s v="Philippines"/>
    <x v="25"/>
    <n v="9"/>
    <x v="4"/>
    <s v="Sun Jianguo"/>
    <m/>
    <s v="CMC/JSD DCJS"/>
    <n v="6"/>
    <s v="Abroad"/>
    <m/>
    <m/>
    <m/>
    <m/>
    <m/>
    <m/>
    <m/>
    <m/>
    <m/>
  </r>
  <r>
    <s v="Military Exercise"/>
    <s v="Russia"/>
    <s v="Europe and Central Asia"/>
    <s v="Comprehensive Collaborative Strategic Partnership [全面战略协作伙伴关系]"/>
    <s v="None"/>
    <s v="EUCOM"/>
    <s v="Russia"/>
    <x v="25"/>
    <n v="9"/>
    <x v="5"/>
    <m/>
    <m/>
    <m/>
    <m/>
    <m/>
    <m/>
    <s v="Combat"/>
    <s v="Joint Sea 2016"/>
    <s v="Navy"/>
    <s v="Amphibious operations, island seizure; occurred in South China Sea. September 12-19"/>
    <m/>
    <m/>
    <m/>
    <m/>
  </r>
  <r>
    <s v="Senior Level Visit"/>
    <s v="Russia"/>
    <s v="Europe and Central Asia"/>
    <s v="Comprehensive Collaborative Strategic Partnership [全面战略协作伙伴关系]"/>
    <s v="None"/>
    <s v="EUCOM"/>
    <s v="Russia"/>
    <x v="25"/>
    <n v="9"/>
    <x v="7"/>
    <s v="Xu Fenlin"/>
    <m/>
    <s v="CMC/JSD DCJS"/>
    <n v="6"/>
    <s v="Abroad"/>
    <s v="DCOGS"/>
    <m/>
    <m/>
    <m/>
    <m/>
    <m/>
    <m/>
    <m/>
    <m/>
  </r>
  <r>
    <s v="Senior Level Visit"/>
    <s v="Central Asia"/>
    <s v="Europe and Central Asia"/>
    <s v="Member"/>
    <s v="None"/>
    <s v="CENTCOM"/>
    <s v="SCO"/>
    <x v="25"/>
    <n v="9"/>
    <x v="1"/>
    <s v="Xu Fenlin"/>
    <m/>
    <s v="CMC/JSD DCJS"/>
    <n v="6"/>
    <s v="Abroad"/>
    <s v="Fourth meeting of SCO military chiefs of staff in Kyrgyzstan"/>
    <m/>
    <m/>
    <m/>
    <m/>
    <m/>
    <m/>
    <m/>
    <m/>
  </r>
  <r>
    <s v="Military Exercise"/>
    <s v="Central Asia"/>
    <s v="Europe and Central Asia"/>
    <s v="Member"/>
    <s v="None"/>
    <s v="CENTCOM"/>
    <s v="SCO"/>
    <x v="25"/>
    <n v="9"/>
    <x v="6"/>
    <m/>
    <m/>
    <m/>
    <m/>
    <m/>
    <m/>
    <s v="Combat"/>
    <s v="Peace Mission 2016"/>
    <s v="Joint"/>
    <s v="Held at the Edelweiss range located in Kyrgyzstan’s Issyk-Kul region.  September 15-21"/>
    <m/>
    <m/>
    <m/>
    <m/>
  </r>
  <r>
    <s v="Senior Level Visit"/>
    <s v="Central Asia"/>
    <s v="Europe and Central Asia"/>
    <s v="Strategic Partnership [战略伙伴关系]"/>
    <s v="None"/>
    <s v="CENTCOM"/>
    <s v="Tajikistan"/>
    <x v="25"/>
    <n v="9"/>
    <x v="7"/>
    <s v="Xu Fenlin"/>
    <m/>
    <s v="CMC/JSD DCJS"/>
    <n v="6"/>
    <s v="Abroad"/>
    <s v="COGS"/>
    <m/>
    <m/>
    <m/>
    <m/>
    <m/>
    <m/>
    <m/>
    <m/>
  </r>
  <r>
    <s v="Senior Level Visit"/>
    <s v="Europe"/>
    <s v="Europe and Central Asia"/>
    <s v="Comprehensive Strategic Partnership [全面战略伙伴关系]"/>
    <s v="NATO"/>
    <s v="EUCOM"/>
    <s v="United Kingdom"/>
    <x v="25"/>
    <n v="9"/>
    <x v="4"/>
    <s v="Chang Wanquan"/>
    <m/>
    <s v="Defense Minister; CMC Member"/>
    <n v="8"/>
    <s v="Abroad"/>
    <s v="Secretary of State for Defense"/>
    <m/>
    <m/>
    <m/>
    <m/>
    <m/>
    <m/>
    <m/>
    <m/>
  </r>
  <r>
    <s v="Senior Level Visit"/>
    <s v="North America"/>
    <s v="America and Oceania"/>
    <s v="No Specific Relationship"/>
    <s v="N/A"/>
    <s v="NORTHCOM"/>
    <s v="United States"/>
    <x v="25"/>
    <n v="9"/>
    <x v="4"/>
    <s v="Sun Jianguo"/>
    <m/>
    <s v="CMC/JSD DCJS"/>
    <n v="6"/>
    <s v="Abroad"/>
    <s v="PACOM Commander Harris"/>
    <m/>
    <m/>
    <m/>
    <m/>
    <m/>
    <m/>
    <m/>
    <m/>
  </r>
  <r>
    <s v="Senior Level Visit"/>
    <s v="Southeast Asia"/>
    <s v="Asia"/>
    <s v="Comprehensive Strategic Cooperative Partnership [全面战略合作伙伴关系]"/>
    <s v="None"/>
    <s v="INDOPACOM"/>
    <s v="Vietnam"/>
    <x v="25"/>
    <n v="9"/>
    <x v="3"/>
    <s v="Qi Jianguo"/>
    <m/>
    <s v="CMC/JSD DCJS"/>
    <n v="6"/>
    <s v="Hosted"/>
    <s v="Deputy Defense Minister"/>
    <m/>
    <m/>
    <m/>
    <m/>
    <m/>
    <m/>
    <m/>
    <m/>
  </r>
  <r>
    <s v="Senior Level Visit"/>
    <s v="South Asia"/>
    <s v="Europe and Central Asia"/>
    <s v="Strategic Partnership [战略伙伴关系]"/>
    <s v="Major Non-NATO Ally"/>
    <s v="CENTCOM"/>
    <s v="Afghanistan"/>
    <x v="25"/>
    <n v="10"/>
    <x v="3"/>
    <s v="Sun Jianguo"/>
    <m/>
    <s v="CMC/JSD DCJS"/>
    <n v="6"/>
    <s v="Hosted"/>
    <s v="Deputy Defense Minister"/>
    <m/>
    <m/>
    <m/>
    <m/>
    <m/>
    <m/>
    <m/>
    <m/>
  </r>
  <r>
    <s v="Senior Level Visit"/>
    <s v="Europe"/>
    <s v="Europe and Central Asia"/>
    <s v="Comprehensive Strategic Partnership [全面战略伙伴关系]"/>
    <s v="None"/>
    <s v="EUCOM"/>
    <s v="Belarus"/>
    <x v="25"/>
    <n v="10"/>
    <x v="3"/>
    <s v="Fang Fenghui"/>
    <m/>
    <s v="CMC/JSD Commander; CMC Member"/>
    <n v="8"/>
    <s v="Hosted"/>
    <s v="Deputy Defense Minister and COGS"/>
    <m/>
    <m/>
    <m/>
    <m/>
    <m/>
    <m/>
    <m/>
    <m/>
  </r>
  <r>
    <s v="Senior Level Visit"/>
    <s v="Southeast Asia"/>
    <s v="Asia"/>
    <s v="No Specific Relationship"/>
    <s v="None"/>
    <s v="INDOPACOM"/>
    <s v="Brunei"/>
    <x v="25"/>
    <n v="10"/>
    <x v="3"/>
    <s v="Xu Qiliang"/>
    <m/>
    <s v="CMC Vice Chairman"/>
    <n v="10"/>
    <s v="Hosted"/>
    <s v="Deputy Defense Minister"/>
    <m/>
    <m/>
    <m/>
    <m/>
    <m/>
    <m/>
    <m/>
    <m/>
  </r>
  <r>
    <s v="Senior Level Visit"/>
    <s v="Southeast Asia"/>
    <s v="Asia"/>
    <s v="Comprehensive Strategic Cooperative Partnership [全面战略合作伙伴关系]"/>
    <s v="None"/>
    <s v="INDOPACOM"/>
    <s v="Cambodia"/>
    <x v="25"/>
    <n v="10"/>
    <x v="3"/>
    <s v="Fan Changlong"/>
    <m/>
    <s v="CMC Vice Chairman"/>
    <n v="10"/>
    <s v="Hosted"/>
    <s v="Defense Minister"/>
    <m/>
    <m/>
    <m/>
    <m/>
    <m/>
    <m/>
    <m/>
    <m/>
  </r>
  <r>
    <s v="Naval Port Call"/>
    <s v="Southeast Asia"/>
    <s v="Asia"/>
    <s v="Comprehensive Strategic Cooperative Partnership [全面战略合作伙伴关系]"/>
    <s v="None"/>
    <s v="INDOPACOM"/>
    <s v="Cambodia"/>
    <x v="25"/>
    <n v="10"/>
    <x v="0"/>
    <m/>
    <m/>
    <m/>
    <m/>
    <m/>
    <m/>
    <m/>
    <m/>
    <m/>
    <m/>
    <s v="ETF"/>
    <s v="ETF-23"/>
    <s v="East Sea Fleet"/>
    <s v="FFG531 Xiangtan, FFG529 Zhoushan, AOR890 Chao Hu"/>
  </r>
  <r>
    <s v="Senior Level Visit"/>
    <s v="Europe"/>
    <s v="Europe and Central Asia"/>
    <s v="Strategic Partnership [战略伙伴关系]"/>
    <s v="NATO"/>
    <s v="EUCOM"/>
    <s v="Czech Republic"/>
    <x v="25"/>
    <n v="10"/>
    <x v="3"/>
    <s v="Sun Jianguo"/>
    <m/>
    <s v="CMC/JSD DCJS"/>
    <n v="6"/>
    <s v="Hosted"/>
    <s v="DCOGS"/>
    <m/>
    <m/>
    <m/>
    <m/>
    <m/>
    <m/>
    <m/>
    <m/>
  </r>
  <r>
    <s v="Senior Level Visit"/>
    <s v="Middle East"/>
    <s v="West Asia and Africa"/>
    <s v="Comprehensive Strategic Partnership [全面战略伙伴关系]"/>
    <s v="Major Non-NATO Ally"/>
    <s v="CENTCOM"/>
    <s v="Egypt"/>
    <x v="25"/>
    <n v="10"/>
    <x v="3"/>
    <s v="Sun Jianguo"/>
    <m/>
    <s v="CMC/JSD DCJS"/>
    <n v="6"/>
    <s v="Hosted"/>
    <s v="Deputy Defense Minister"/>
    <m/>
    <m/>
    <m/>
    <m/>
    <m/>
    <m/>
    <m/>
    <m/>
  </r>
  <r>
    <s v="Military Exercise"/>
    <s v="Europe"/>
    <s v="Europe and Central Asia"/>
    <s v="Comprehensive Strategic Partnership [全面战略伙伴关系]"/>
    <s v="NATO"/>
    <s v="EUCOM"/>
    <s v="Germany"/>
    <x v="25"/>
    <n v="10"/>
    <x v="5"/>
    <m/>
    <m/>
    <m/>
    <m/>
    <m/>
    <m/>
    <s v="MOOTW"/>
    <s v="Combined Aid 2016"/>
    <s v="Army"/>
    <s v="HADR"/>
    <m/>
    <m/>
    <m/>
    <m/>
  </r>
  <r>
    <s v="Military Exercise"/>
    <s v="South Asia"/>
    <s v="Asia"/>
    <s v="Strategic Partnership for Peace and Prosperity [战略伙伴关系]"/>
    <s v="None"/>
    <s v="INDOPACOM"/>
    <s v="India"/>
    <x v="25"/>
    <n v="10"/>
    <x v="5"/>
    <m/>
    <m/>
    <m/>
    <m/>
    <m/>
    <m/>
    <s v="MOOTW"/>
    <s v="None"/>
    <s v="Army"/>
    <s v="HADR"/>
    <m/>
    <m/>
    <m/>
    <m/>
  </r>
  <r>
    <s v="Naval Port Call"/>
    <s v="Southeast Asia"/>
    <s v="Asia"/>
    <s v="Comprehensive Strategic Partnership [全面战略伙伴关系]"/>
    <s v="None"/>
    <s v="INDOPACOM"/>
    <s v="Indonesia"/>
    <x v="25"/>
    <n v="10"/>
    <x v="0"/>
    <m/>
    <m/>
    <m/>
    <m/>
    <m/>
    <m/>
    <m/>
    <m/>
    <m/>
    <m/>
    <s v="NETF"/>
    <s v="2016-10 Zhenghe "/>
    <s v="North Sea Fleet"/>
    <m/>
  </r>
  <r>
    <s v="Senior Level Visit"/>
    <s v="Middle East"/>
    <s v="West Asia and Africa"/>
    <s v="Comprehensive Strategic Partnership [全面战略伙伴关系]"/>
    <s v="None"/>
    <s v="CENTCOM"/>
    <s v="Iran"/>
    <x v="25"/>
    <n v="10"/>
    <x v="3"/>
    <s v="Sun Jianguo"/>
    <m/>
    <s v="CMC/JSD DCJS"/>
    <n v="6"/>
    <s v="Hosted"/>
    <s v="Director Foreign Affairs, General Staff Office Iran Armed Forces"/>
    <m/>
    <m/>
    <m/>
    <m/>
    <m/>
    <m/>
    <m/>
    <m/>
  </r>
  <r>
    <s v="Senior Level Visit"/>
    <s v="Southeast Asia"/>
    <s v="Asia"/>
    <s v="Comprehensive Strategic Partnership [全面战略伙伴关系]"/>
    <s v="None"/>
    <s v="INDOPACOM"/>
    <s v="Malaysia"/>
    <x v="25"/>
    <n v="10"/>
    <x v="3"/>
    <s v="Fang Fenghui"/>
    <m/>
    <s v="CMC/JSD Commander; CMC Member"/>
    <n v="8"/>
    <s v="Hosted"/>
    <s v="Chief of Defense Forces"/>
    <m/>
    <m/>
    <m/>
    <m/>
    <m/>
    <m/>
    <m/>
    <m/>
  </r>
  <r>
    <s v="Naval Port Call"/>
    <s v="Southeast Asia"/>
    <s v="Asia"/>
    <s v="Comprehensive Strategic Partnership [全面战略伙伴关系]"/>
    <s v="None"/>
    <s v="INDOPACOM"/>
    <s v="Malaysia"/>
    <x v="25"/>
    <n v="10"/>
    <x v="0"/>
    <m/>
    <m/>
    <m/>
    <m/>
    <m/>
    <m/>
    <m/>
    <m/>
    <m/>
    <m/>
    <s v="ETF"/>
    <s v="ETF-23"/>
    <s v="East Sea Fleet"/>
    <s v="FFG531 Xiangtan, FFG529 Zhoushan, AOR890 Chao Hu"/>
  </r>
  <r>
    <s v="Senior Level Visit"/>
    <s v="North America"/>
    <s v="America and Oceania"/>
    <s v="Comprehensive Strategic Partnership [全面战略伙伴关系]"/>
    <s v="None"/>
    <s v="NORTHCOM"/>
    <s v="Mexico"/>
    <x v="25"/>
    <n v="10"/>
    <x v="3"/>
    <s v="Fan Changlong"/>
    <m/>
    <s v="CMC Vice Chairman"/>
    <n v="10"/>
    <s v="Hosted"/>
    <s v="Navy Minister"/>
    <m/>
    <m/>
    <m/>
    <m/>
    <m/>
    <m/>
    <m/>
    <m/>
  </r>
  <r>
    <s v="Senior Level Visit"/>
    <s v="Northeast Asia"/>
    <s v="Asia"/>
    <s v="Comprehensive Strategic Partnership [全面战略伙伴关系]"/>
    <s v="None"/>
    <s v="INDOPACOM"/>
    <s v="Mongolia"/>
    <x v="25"/>
    <n v="10"/>
    <x v="3"/>
    <s v="Xu Qiliang"/>
    <m/>
    <s v="CMC Vice Chairman"/>
    <n v="10"/>
    <s v="Hosted"/>
    <s v="COGS"/>
    <m/>
    <m/>
    <m/>
    <m/>
    <m/>
    <m/>
    <m/>
    <m/>
  </r>
  <r>
    <s v="Senior Level Visit"/>
    <s v="Northeast Asia"/>
    <s v="Asia"/>
    <s v="N/A"/>
    <s v="None"/>
    <s v="INDOPACOM"/>
    <s v="N/A"/>
    <x v="25"/>
    <n v="10"/>
    <x v="2"/>
    <s v="Chang Wanquan"/>
    <m/>
    <s v="Defense Minister; CMC Member"/>
    <n v="8"/>
    <s v="Hosted"/>
    <s v="Xiangshan Forum 2016; Defense Minister"/>
    <m/>
    <m/>
    <m/>
    <m/>
    <m/>
    <m/>
    <m/>
    <m/>
  </r>
  <r>
    <s v="Senior Level Visit"/>
    <s v="Oceania"/>
    <s v="America and Oceania"/>
    <s v="Comprehensive Strategic Partnership [全面战略伙伴关系]"/>
    <s v="ANZUS Treaty"/>
    <s v="INDOPACOM"/>
    <s v="New Zealand"/>
    <x v="25"/>
    <n v="10"/>
    <x v="3"/>
    <s v="Sun Jianguo"/>
    <m/>
    <s v="CMC/JSD DCJS"/>
    <n v="6"/>
    <s v="Hosted"/>
    <s v="Defense Minister"/>
    <m/>
    <m/>
    <m/>
    <m/>
    <m/>
    <m/>
    <m/>
    <m/>
  </r>
  <r>
    <s v="Senior Level Visit"/>
    <s v="South Asia"/>
    <s v="Asia"/>
    <s v="All-Weather Strategic Cooperative Partnership [全天候战略合作伙伴关系]"/>
    <s v="Major Non-NATO Ally"/>
    <s v="CENTCOM"/>
    <s v="Pakistan"/>
    <x v="25"/>
    <n v="10"/>
    <x v="3"/>
    <s v="Fang Fenghui"/>
    <m/>
    <s v="CMC/JSD Commander; CMC Member"/>
    <n v="8"/>
    <s v="Hosted"/>
    <s v="Army Chief of Staff"/>
    <m/>
    <m/>
    <m/>
    <m/>
    <m/>
    <m/>
    <m/>
    <m/>
  </r>
  <r>
    <s v="Military Exercise"/>
    <s v="South Asia"/>
    <s v="Asia"/>
    <s v="All-Weather Strategic Cooperative Partnership [全天候战略合作伙伴关系]"/>
    <s v="Major Non-NATO Ally"/>
    <s v="CENTCOM"/>
    <s v="Pakistan"/>
    <x v="25"/>
    <n v="10"/>
    <x v="6"/>
    <m/>
    <m/>
    <m/>
    <m/>
    <m/>
    <m/>
    <s v="Competition"/>
    <s v="International Physical Agility and Combat Efficiency System (PACES)"/>
    <s v="Army"/>
    <s v="PLAA team from 14th GA. Other countries: Nepal, Saudi Arabia "/>
    <m/>
    <m/>
    <m/>
    <m/>
  </r>
  <r>
    <s v="Military Exercise"/>
    <s v="South Asia"/>
    <s v="Asia"/>
    <s v="All-Weather Strategic Cooperative Partnership [全天候战略合作伙伴关系]"/>
    <s v="Major Non-NATO Ally"/>
    <s v="CENTCOM"/>
    <s v="Pakistan"/>
    <x v="25"/>
    <n v="10"/>
    <x v="5"/>
    <m/>
    <m/>
    <m/>
    <m/>
    <m/>
    <m/>
    <s v="Anti-terrorism"/>
    <s v="Friendship 2016"/>
    <s v="Army"/>
    <s v="21st GA SOF brigade and SSG commandos; CQB, recon, maneuver and penetration, search and capture, ambush/anti-ambush"/>
    <m/>
    <m/>
    <m/>
    <m/>
  </r>
  <r>
    <s v="Senior Level Visit"/>
    <s v="Southeast Asia"/>
    <s v="America and Oceania"/>
    <s v="Strategic Partnership [战略伙伴关系]"/>
    <s v="None"/>
    <s v="INDOPACOM"/>
    <s v="Papua New Guinea"/>
    <x v="25"/>
    <n v="10"/>
    <x v="3"/>
    <s v="Fang Fenghui"/>
    <m/>
    <s v="CMC/JSD Commander; CMC Member"/>
    <n v="8"/>
    <s v="Hosted"/>
    <s v="Commander Armed Forces"/>
    <m/>
    <m/>
    <m/>
    <m/>
    <m/>
    <m/>
    <m/>
    <m/>
  </r>
  <r>
    <s v="Senior Level Visit"/>
    <s v="Southeast Asia"/>
    <s v="Asia"/>
    <s v="Strategic Cooperative Partnership [战略合作伙伴关系]"/>
    <s v="Bilateral Defense Treaty"/>
    <s v="INDOPACOM"/>
    <s v="Philippines"/>
    <x v="25"/>
    <n v="10"/>
    <x v="3"/>
    <s v="Chang Wanquan"/>
    <m/>
    <s v="Defense Minister; CMC Member"/>
    <n v="8"/>
    <s v="Hosted"/>
    <s v="Defense Minister"/>
    <m/>
    <m/>
    <m/>
    <m/>
    <m/>
    <m/>
    <m/>
    <m/>
  </r>
  <r>
    <s v="Military Exercise"/>
    <s v="Middle East"/>
    <s v="West Asia and Africa"/>
    <s v="Comprehensive Strategic Partnership [全面战略伙伴关系]"/>
    <s v="None"/>
    <s v="CENTCOM"/>
    <s v="Saudi Arabia"/>
    <x v="25"/>
    <n v="10"/>
    <x v="5"/>
    <m/>
    <m/>
    <m/>
    <m/>
    <m/>
    <m/>
    <s v="Anti-terrorism"/>
    <s v="None"/>
    <s v="Army"/>
    <s v="anti-terrorism drills"/>
    <m/>
    <m/>
    <m/>
    <m/>
  </r>
  <r>
    <s v="Senior Level Visit"/>
    <s v="Southeast Asia"/>
    <s v="Asia"/>
    <s v="All-Round Cooperative Partnership [全方合作伙伴关系]"/>
    <s v="None"/>
    <s v="INDOPACOM"/>
    <s v="Singapore"/>
    <x v="25"/>
    <n v="10"/>
    <x v="3"/>
    <s v="Sun Jianguo"/>
    <m/>
    <s v="CMC/JSD DCJS"/>
    <n v="6"/>
    <s v="Hosted"/>
    <s v="Senior Minister of State for MoD"/>
    <m/>
    <m/>
    <m/>
    <m/>
    <m/>
    <m/>
    <m/>
    <m/>
  </r>
  <r>
    <s v="Military Exercise"/>
    <s v="Central Asia"/>
    <s v="Europe and Central Asia"/>
    <s v="Strategic Partnership [战略伙伴关系]"/>
    <s v="None"/>
    <s v="CENTCOM"/>
    <s v="Tajikistan"/>
    <x v="25"/>
    <n v="10"/>
    <x v="5"/>
    <m/>
    <m/>
    <m/>
    <m/>
    <m/>
    <m/>
    <s v="Anti-terrorism"/>
    <s v="Cooperation-2016 Joint Anti-Terrorism Exercise "/>
    <s v="Army"/>
    <s v="anti-terrorism drills"/>
    <m/>
    <m/>
    <m/>
    <m/>
  </r>
  <r>
    <s v="Senior Level Visit"/>
    <s v="North America"/>
    <s v="America and Oceania"/>
    <s v="No Specific Relationship"/>
    <s v="N/A"/>
    <s v="NORTHCOM"/>
    <s v="United States"/>
    <x v="25"/>
    <n v="10"/>
    <x v="7"/>
    <s v="Sun Jianguo"/>
    <m/>
    <s v="CMC/JSD DCJS"/>
    <n v="6"/>
    <s v="Hosted"/>
    <s v="NDU President MajGen Padilla"/>
    <m/>
    <m/>
    <m/>
    <m/>
    <m/>
    <m/>
    <m/>
    <m/>
  </r>
  <r>
    <s v="Naval Port Call"/>
    <s v="Southeast Asia"/>
    <s v="Asia"/>
    <s v="Comprehensive Strategic Cooperative Partnership [全面战略合作伙伴关系]"/>
    <s v="None"/>
    <s v="INDOPACOM"/>
    <s v="Vietnam"/>
    <x v="25"/>
    <n v="10"/>
    <x v="0"/>
    <m/>
    <m/>
    <m/>
    <m/>
    <m/>
    <m/>
    <m/>
    <m/>
    <m/>
    <m/>
    <s v="ETF"/>
    <s v="ETF-23"/>
    <s v="East Sea Fleet"/>
    <s v="FFG531 Xiangtan, FFG529 Zhoushan, AOR890 Chao Hu"/>
  </r>
  <r>
    <s v="Military Exercise"/>
    <s v="Southeast Asia"/>
    <s v="Asia"/>
    <s v="Strategic Partnership [战略伙伴关系] for Peace and Prosperity"/>
    <s v="None"/>
    <s v="INDOPACOM"/>
    <s v="ASEAN"/>
    <x v="25"/>
    <n v="11"/>
    <x v="6"/>
    <m/>
    <m/>
    <m/>
    <m/>
    <m/>
    <m/>
    <s v="Combat Support"/>
    <s v="ADMM-Plus Maritime Security Exercise 2016"/>
    <s v="Navy"/>
    <s v="likely formation maneuvers, SAR, other combat support. Other countries: Indonesia, New Zealand ;boarding operations, manoeuvring serials and maritime security patrols"/>
    <m/>
    <m/>
    <m/>
    <m/>
  </r>
  <r>
    <s v="Naval Port Call"/>
    <s v="Oceania"/>
    <s v="America and Oceania"/>
    <s v="Comprehensive Strategic Partnership [全面战略伙伴关系]"/>
    <s v="ANZUS Treaty"/>
    <s v="INDOPACOM"/>
    <s v="Australia"/>
    <x v="25"/>
    <n v="11"/>
    <x v="0"/>
    <m/>
    <m/>
    <m/>
    <m/>
    <m/>
    <m/>
    <m/>
    <m/>
    <m/>
    <m/>
    <s v="NETF"/>
    <s v="2016-11 Zhenghe "/>
    <s v="North Sea Fleet"/>
    <m/>
  </r>
  <r>
    <s v="Senior Level Visit"/>
    <s v="South Asia"/>
    <s v="Asia"/>
    <s v="Comprehensive Cooperative Partnership [全面合作伙伴关系]"/>
    <s v="None"/>
    <s v="INDOPACOM"/>
    <s v="Bangladesh"/>
    <x v="25"/>
    <n v="11"/>
    <x v="3"/>
    <s v="Xu Qiliang"/>
    <m/>
    <s v="CMC Vice Chairman"/>
    <n v="10"/>
    <s v="Hosted"/>
    <s v="Chief of Navy Staff"/>
    <m/>
    <m/>
    <m/>
    <m/>
    <m/>
    <m/>
    <m/>
    <m/>
  </r>
  <r>
    <s v="Senior Level Visit"/>
    <s v="South America"/>
    <s v="America and Oceania"/>
    <s v="Comprehensive Strategic Partnership [全面战略伙伴关系]"/>
    <s v="None"/>
    <s v="SOUTHCOM"/>
    <s v="Brazil"/>
    <x v="25"/>
    <n v="11"/>
    <x v="3"/>
    <s v="Sun Jianguo"/>
    <m/>
    <s v="CMC/JSD DCJS"/>
    <n v="6"/>
    <s v="Hosted"/>
    <s v="Secretary of Strategy and International Affairs MoD"/>
    <m/>
    <m/>
    <m/>
    <m/>
    <m/>
    <m/>
    <m/>
    <m/>
  </r>
  <r>
    <s v="Senior Level Visit"/>
    <s v="Middle East"/>
    <s v="West Asia and Africa"/>
    <s v="No Specific Relationship"/>
    <s v="None"/>
    <s v="CENTCOM"/>
    <s v="Djibouti"/>
    <x v="25"/>
    <n v="11"/>
    <x v="4"/>
    <s v="Fan Changlong"/>
    <m/>
    <s v="CMC Vice Chairman"/>
    <n v="10"/>
    <s v="Abroad"/>
    <m/>
    <m/>
    <m/>
    <m/>
    <m/>
    <m/>
    <m/>
    <m/>
    <m/>
  </r>
  <r>
    <s v="Senior Level Visit"/>
    <s v="Africa"/>
    <s v="West Asia and Africa"/>
    <s v="Comprehensive Cooperative Partnership [全面合作伙伴关系]"/>
    <s v="None"/>
    <s v="AFRICOM"/>
    <s v="Ethiopia"/>
    <x v="25"/>
    <n v="11"/>
    <x v="4"/>
    <s v="Fan Changlong"/>
    <m/>
    <s v="CMC Vice Chairman"/>
    <n v="10"/>
    <s v="Abroad"/>
    <s v="Defense Minister"/>
    <m/>
    <m/>
    <m/>
    <m/>
    <m/>
    <m/>
    <m/>
    <m/>
  </r>
  <r>
    <s v="Senior Level Visit"/>
    <s v="South Asia"/>
    <s v="Asia"/>
    <s v="Strategic Partnership for Peace and Prosperity [战略伙伴关系]"/>
    <s v="None"/>
    <s v="INDOPACOM"/>
    <s v="India"/>
    <x v="25"/>
    <n v="11"/>
    <x v="3"/>
    <s v="Xu Qiliang"/>
    <m/>
    <s v="CMC Vice Chairman"/>
    <n v="10"/>
    <s v="Hosted"/>
    <s v="Chief of Army Staff"/>
    <m/>
    <m/>
    <m/>
    <m/>
    <m/>
    <m/>
    <m/>
    <m/>
  </r>
  <r>
    <s v="Military Exercise"/>
    <s v="South Asia"/>
    <s v="Asia"/>
    <s v="Strategic Partnership for Peace and Prosperity [战略伙伴关系]"/>
    <s v="None"/>
    <s v="INDOPACOM"/>
    <s v="India"/>
    <x v="25"/>
    <n v="11"/>
    <x v="5"/>
    <m/>
    <m/>
    <m/>
    <m/>
    <m/>
    <m/>
    <s v="Anti-terrorism"/>
    <s v="Hand-in-Hand 2016"/>
    <s v="Army"/>
    <s v="anti-terrorism drills"/>
    <m/>
    <m/>
    <m/>
    <m/>
  </r>
  <r>
    <s v="Senior Level Visit"/>
    <s v="Middle East"/>
    <s v="West Asia and Africa"/>
    <s v="Comprehensive Strategic Partnership [全面战略伙伴关系]"/>
    <s v="None"/>
    <s v="CENTCOM"/>
    <s v="Iran"/>
    <x v="25"/>
    <n v="11"/>
    <x v="4"/>
    <s v="Chang Wanquan"/>
    <m/>
    <s v="Defense Minister; CMC Member"/>
    <n v="8"/>
    <s v="Abroad"/>
    <s v="Defense Minister"/>
    <m/>
    <m/>
    <m/>
    <m/>
    <m/>
    <m/>
    <m/>
    <m/>
  </r>
  <r>
    <s v="Senior Level Visit"/>
    <s v="Europe"/>
    <s v="Europe and Central Asia"/>
    <s v="Comprehensive Strategic Partnership [全面战略伙伴关系]"/>
    <s v="NATO"/>
    <s v="EUCOM"/>
    <s v="Italy"/>
    <x v="25"/>
    <n v="11"/>
    <x v="3"/>
    <s v="Li Zuocheng"/>
    <m/>
    <s v="PLAA Commander"/>
    <n v="6"/>
    <s v="Hosted"/>
    <s v="Army Chief of Staff"/>
    <m/>
    <m/>
    <m/>
    <m/>
    <m/>
    <m/>
    <m/>
    <m/>
  </r>
  <r>
    <s v="Senior Level Visit"/>
    <s v="Middle East"/>
    <s v="West Asia and Africa"/>
    <s v="No Specific Relationship"/>
    <s v="None"/>
    <s v="CENTCOM"/>
    <s v="Lebanon"/>
    <x v="25"/>
    <n v="11"/>
    <x v="4"/>
    <s v="Fan Changlong"/>
    <m/>
    <s v="CMC Vice Chairman"/>
    <n v="10"/>
    <s v="Abroad"/>
    <s v="Army Chief"/>
    <m/>
    <m/>
    <m/>
    <m/>
    <m/>
    <m/>
    <m/>
    <m/>
  </r>
  <r>
    <s v="Senior Level Visit"/>
    <s v="Southeast Asia"/>
    <s v="Asia"/>
    <s v="Comprehensive Strategic Partnership [全面战略伙伴关系]"/>
    <s v="None"/>
    <s v="INDOPACOM"/>
    <s v="Malaysia"/>
    <x v="25"/>
    <n v="11"/>
    <x v="3"/>
    <s v="Chang Wanquan"/>
    <m/>
    <s v="Defense Minister; CMC Member"/>
    <n v="8"/>
    <s v="Hosted"/>
    <s v="Defense Minister"/>
    <m/>
    <m/>
    <m/>
    <m/>
    <m/>
    <m/>
    <m/>
    <m/>
  </r>
  <r>
    <s v="Military Exercise"/>
    <s v="Southeast Asia"/>
    <s v="Asia"/>
    <s v="Comprehensive Strategic Partnership [全面战略伙伴关系]"/>
    <s v="None"/>
    <s v="INDOPACOM"/>
    <s v="Malaysia"/>
    <x v="25"/>
    <n v="11"/>
    <x v="5"/>
    <m/>
    <m/>
    <m/>
    <m/>
    <m/>
    <m/>
    <s v="MOOTW"/>
    <s v="Peace and Friendship 2016"/>
    <s v="Army"/>
    <m/>
    <m/>
    <m/>
    <m/>
    <m/>
  </r>
  <r>
    <s v="Senior Level Visit"/>
    <s v="Southeast Asia"/>
    <s v="Asia"/>
    <s v="Comprehensive Strategic Cooperative Partnership [全面战略合作伙伴关系]"/>
    <s v="None"/>
    <s v="INDOPACOM"/>
    <s v="Myanmar"/>
    <x v="25"/>
    <n v="11"/>
    <x v="3"/>
    <s v="Xu Qiliang"/>
    <m/>
    <s v="CMC Vice Chairman"/>
    <n v="10"/>
    <s v="Hosted"/>
    <s v="CinC Armed Forces"/>
    <m/>
    <m/>
    <m/>
    <m/>
    <m/>
    <m/>
    <m/>
    <m/>
  </r>
  <r>
    <s v="Senior Level Visit"/>
    <s v="Oceania"/>
    <s v="America and Oceania"/>
    <s v="Comprehensive Strategic Partnership [全面战略伙伴关系]"/>
    <s v="ANZUS Treaty"/>
    <s v="INDOPACOM"/>
    <s v="New Zealand"/>
    <x v="25"/>
    <n v="11"/>
    <x v="3"/>
    <s v="Ma Xiaotian"/>
    <m/>
    <s v="PLAAF Commander; CMC Member"/>
    <n v="8"/>
    <s v="Hosted"/>
    <s v="Air Force Commander"/>
    <m/>
    <m/>
    <m/>
    <m/>
    <m/>
    <m/>
    <m/>
    <m/>
  </r>
  <r>
    <s v="Naval Port Call"/>
    <s v="Oceania"/>
    <s v="America and Oceania"/>
    <s v="Comprehensive Strategic Partnership [全面战略伙伴关系]"/>
    <s v="ANZUS Treaty"/>
    <s v="INDOPACOM"/>
    <s v="New Zealand"/>
    <x v="25"/>
    <n v="11"/>
    <x v="0"/>
    <m/>
    <m/>
    <m/>
    <m/>
    <m/>
    <m/>
    <m/>
    <m/>
    <m/>
    <m/>
    <s v="NETF"/>
    <s v="2016-11 DDG546 Yancheng"/>
    <s v="North Sea Fleet"/>
    <s v="unknown if other PLAN ships present"/>
  </r>
  <r>
    <s v="Senior Level Visit"/>
    <s v="South Asia"/>
    <s v="Asia"/>
    <s v="All-Weather Strategic Cooperative Partnership [全天候战略合作伙伴关系]"/>
    <s v="Major Non-NATO Ally"/>
    <s v="CENTCOM"/>
    <s v="Pakistan"/>
    <x v="25"/>
    <n v="11"/>
    <x v="3"/>
    <s v="Chang Wanquan"/>
    <m/>
    <s v="Defense Minister; CMC Member"/>
    <n v="8"/>
    <s v="Hosted"/>
    <s v="Chief of Air Staff"/>
    <m/>
    <m/>
    <m/>
    <m/>
    <m/>
    <m/>
    <m/>
    <m/>
  </r>
  <r>
    <s v="Naval Port Call"/>
    <s v="South Asia"/>
    <s v="Asia"/>
    <s v="All-Weather Strategic Cooperative Partnership [全天候战略合作伙伴关系]"/>
    <s v="Major Non-NATO Ally"/>
    <s v="CENTCOM"/>
    <s v="Pakistan"/>
    <x v="25"/>
    <n v="11"/>
    <x v="10"/>
    <m/>
    <m/>
    <m/>
    <m/>
    <m/>
    <m/>
    <m/>
    <m/>
    <m/>
    <m/>
    <s v="ETF"/>
    <s v="ETF-24"/>
    <s v="North Sea Fleet"/>
    <s v="DDG112 Harbin, FFG579 Handan, AOR960 Dongping Hu"/>
  </r>
  <r>
    <s v="Military Exercise"/>
    <s v="South Asia"/>
    <s v="Asia"/>
    <s v="All-Weather Strategic Cooperative Partnership [全天候战略合作伙伴关系]"/>
    <s v="Major Non-NATO Ally"/>
    <s v="CENTCOM"/>
    <s v="Pakistan"/>
    <x v="25"/>
    <n v="11"/>
    <x v="5"/>
    <m/>
    <m/>
    <m/>
    <m/>
    <m/>
    <m/>
    <s v="Anti-piracy"/>
    <s v="None"/>
    <s v="Navy"/>
    <s v="ETF-24; Marines; anti-piracy drills, special operations"/>
    <m/>
    <m/>
    <m/>
    <m/>
  </r>
  <r>
    <s v="Senior Level Visit"/>
    <s v="Middle East"/>
    <s v="West Asia and Africa"/>
    <s v="Strategic Partnership [战略伙伴关系]"/>
    <s v="None"/>
    <s v="CENTCOM"/>
    <s v="Qatar"/>
    <x v="25"/>
    <n v="11"/>
    <x v="3"/>
    <s v="Chang Wanquan"/>
    <m/>
    <s v="Defense Minister; CMC Member"/>
    <n v="8"/>
    <s v="Hosted"/>
    <s v="Defense Minister"/>
    <m/>
    <m/>
    <m/>
    <m/>
    <m/>
    <m/>
    <m/>
    <m/>
  </r>
  <r>
    <s v="Senior Level Visit"/>
    <s v="Russia"/>
    <s v="Europe and Central Asia"/>
    <s v="Comprehensive Collaborative Strategic Partnership [全面战略协作伙伴关系]"/>
    <s v="None"/>
    <s v="EUCOM"/>
    <s v="Russia"/>
    <x v="25"/>
    <n v="11"/>
    <x v="3"/>
    <s v="Xu Qiliang"/>
    <m/>
    <s v="CMC Vice Chairman"/>
    <n v="10"/>
    <s v="Hosted"/>
    <s v="Defense Minister"/>
    <m/>
    <m/>
    <m/>
    <m/>
    <m/>
    <m/>
    <m/>
    <m/>
  </r>
  <r>
    <s v="Military Exercise"/>
    <s v="Central Asia"/>
    <s v="Europe and Central Asia"/>
    <s v="Member"/>
    <s v="None"/>
    <s v="CENTCOM"/>
    <s v="SCO"/>
    <x v="25"/>
    <n v="11"/>
    <x v="6"/>
    <m/>
    <m/>
    <m/>
    <m/>
    <m/>
    <m/>
    <s v="Combat"/>
    <s v="None"/>
    <s v="Army"/>
    <s v="mountain infantry troops; actual combat abilities but few details;SCO; Counries: Kazakhstan, Kyrgyzstan, Tajikistan, Uzbekistan, Russia"/>
    <m/>
    <m/>
    <m/>
    <m/>
  </r>
  <r>
    <s v="Senior Level Visit"/>
    <s v="Africa"/>
    <s v="West Asia and Africa"/>
    <s v="No Specific Relationship"/>
    <s v="None"/>
    <s v="AFRICOM"/>
    <s v="Seychelles"/>
    <x v="25"/>
    <n v="11"/>
    <x v="3"/>
    <s v="Wang Guanzhong"/>
    <m/>
    <s v="CMC/JSD DCJS"/>
    <n v="6"/>
    <s v="Hosted"/>
    <s v="President"/>
    <m/>
    <m/>
    <m/>
    <m/>
    <m/>
    <m/>
    <m/>
    <m/>
  </r>
  <r>
    <s v="Senior Level Visit"/>
    <s v="Africa"/>
    <s v="West Asia and Africa"/>
    <s v="Comprehensive Cooperative Partnership [全面合作伙伴关系]"/>
    <s v="None"/>
    <s v="AFRICOM"/>
    <s v="Tanzania"/>
    <x v="25"/>
    <n v="11"/>
    <x v="4"/>
    <s v="Fan Changlong"/>
    <m/>
    <s v="CMC Vice Chairman"/>
    <n v="10"/>
    <s v="Abroad"/>
    <s v="Defense Minister"/>
    <m/>
    <m/>
    <m/>
    <m/>
    <m/>
    <m/>
    <m/>
    <m/>
  </r>
  <r>
    <s v="Senior Level Visit"/>
    <s v="North America"/>
    <s v="America and Oceania"/>
    <s v="No Specific Relationship"/>
    <s v="N/A"/>
    <s v="NORTHCOM"/>
    <s v="United States"/>
    <x v="25"/>
    <n v="11"/>
    <x v="4"/>
    <s v="Zhao Zongqi"/>
    <m/>
    <s v="Western TC Commander"/>
    <n v="6"/>
    <s v="Abroad"/>
    <s v="PACOM Commander Harris"/>
    <m/>
    <m/>
    <m/>
    <m/>
    <m/>
    <m/>
    <m/>
    <s v="2017 CH Mil Power Report "/>
  </r>
  <r>
    <s v="Military Exercise"/>
    <s v="North America"/>
    <s v="America and Oceania"/>
    <s v="No Specific Relationship"/>
    <s v="N/A"/>
    <s v="NORTHCOM"/>
    <s v="United States"/>
    <x v="25"/>
    <n v="11"/>
    <x v="5"/>
    <m/>
    <m/>
    <m/>
    <m/>
    <m/>
    <m/>
    <s v="MOOTW"/>
    <s v="12th Disaster Management Exchange TTX"/>
    <s v="Army"/>
    <s v="Kunming; HADR academic discussion; TTX; and field exchange"/>
    <m/>
    <m/>
    <m/>
    <m/>
  </r>
  <r>
    <s v="Senior Level Visit"/>
    <s v="Southeast Asia"/>
    <s v="Asia"/>
    <s v="Comprehensive Strategic Cooperative Partnership [全面战略合作伙伴关系]"/>
    <s v="None"/>
    <s v="INDOPACOM"/>
    <s v="Vietnam"/>
    <x v="25"/>
    <n v="11"/>
    <x v="3"/>
    <s v="Chang Wanquan"/>
    <m/>
    <s v="Defense Minister; CMC Member"/>
    <n v="8"/>
    <s v="Hosted"/>
    <s v="Deputy Defense Minister"/>
    <m/>
    <m/>
    <m/>
    <m/>
    <m/>
    <m/>
    <m/>
    <m/>
  </r>
  <r>
    <s v="Senior Level Visit"/>
    <s v="Middle East"/>
    <s v="West Asia and Africa"/>
    <s v="No Specific Relationship"/>
    <s v="None"/>
    <s v="CENTCOM"/>
    <s v="Djibouti"/>
    <x v="25"/>
    <n v="12"/>
    <x v="3"/>
    <s v="Fan Changlong"/>
    <m/>
    <s v="CMC Vice Chairman"/>
    <n v="10"/>
    <s v="Hosted"/>
    <s v="COGS"/>
    <m/>
    <m/>
    <m/>
    <m/>
    <m/>
    <m/>
    <m/>
    <m/>
  </r>
  <r>
    <s v="Naval Port Call"/>
    <s v="Oceania"/>
    <s v="America and Oceania"/>
    <s v="Strategic Partnership [战略伙伴关系]"/>
    <s v="None"/>
    <s v="INDOPACOM"/>
    <s v="Fiji"/>
    <x v="25"/>
    <n v="12"/>
    <x v="0"/>
    <m/>
    <m/>
    <m/>
    <m/>
    <m/>
    <m/>
    <m/>
    <m/>
    <m/>
    <m/>
    <s v="NETF"/>
    <s v="2016-12 Zhenghe "/>
    <s v="North Sea Fleet"/>
    <m/>
  </r>
  <r>
    <s v="Naval Port Call"/>
    <s v="Oceania"/>
    <s v="America and Oceania"/>
    <s v="Comprehensive Strategic Partnership [全面战略伙伴关系]"/>
    <s v="ANZUS Treaty"/>
    <s v="INDOPACOM"/>
    <s v="New Zealand"/>
    <x v="25"/>
    <n v="12"/>
    <x v="0"/>
    <m/>
    <m/>
    <m/>
    <m/>
    <m/>
    <m/>
    <m/>
    <m/>
    <m/>
    <m/>
    <s v="NETF"/>
    <s v="2016-12 Zhenghe "/>
    <s v="North Sea Fleet"/>
    <m/>
  </r>
  <r>
    <s v="Senior Level Visit"/>
    <s v="South Asia"/>
    <s v="Asia"/>
    <s v="All-Weather Strategic Cooperative Partnership [全天候战略合作伙伴关系]"/>
    <s v="Major Non-NATO Ally"/>
    <s v="CENTCOM"/>
    <s v="Pakistan"/>
    <x v="25"/>
    <n v="12"/>
    <x v="4"/>
    <s v="Zhao Zongqi"/>
    <m/>
    <s v="Western TC Commander"/>
    <n v="6"/>
    <s v="Abroad"/>
    <s v="Army Chief of Staff"/>
    <m/>
    <m/>
    <m/>
    <m/>
    <m/>
    <m/>
    <m/>
    <m/>
  </r>
  <r>
    <s v="Naval Port Call"/>
    <s v="North America"/>
    <s v="America and Oceania"/>
    <s v="No Specific Relationship"/>
    <s v="N/A"/>
    <s v="NORTHCOM"/>
    <s v="United States"/>
    <x v="25"/>
    <n v="12"/>
    <x v="0"/>
    <m/>
    <m/>
    <m/>
    <m/>
    <m/>
    <m/>
    <s v=" "/>
    <s v=" "/>
    <s v=" "/>
    <s v=" "/>
    <s v="NETF"/>
    <s v="2016-12"/>
    <s v="North Sea Fleet"/>
    <s v="Yancheng FFG, Daqing, FFG, Tai Hu oiler visited San Diego"/>
  </r>
  <r>
    <s v="Naval Port Call"/>
    <s v="Middle East"/>
    <s v="West Asia and Africa"/>
    <s v="Strategic Partnership [战略伙伴关系]"/>
    <s v="None"/>
    <s v="CENTCOM"/>
    <s v="Qatar"/>
    <x v="26"/>
    <n v="1"/>
    <x v="0"/>
    <m/>
    <m/>
    <m/>
    <m/>
    <m/>
    <m/>
    <m/>
    <m/>
    <m/>
    <m/>
    <s v="ETF"/>
    <s v="ETF-24"/>
    <s v="North Sea Fleet"/>
    <s v="DDG112 Harbin, FFG579 Handan"/>
  </r>
  <r>
    <s v="Military Exercise"/>
    <s v="Middle East"/>
    <s v="West Asia and Africa"/>
    <s v="Strategic Partnership [战略伙伴关系]"/>
    <s v="None"/>
    <s v="CENTCOM"/>
    <s v="United Arab Emirates"/>
    <x v="26"/>
    <n v="1"/>
    <x v="5"/>
    <m/>
    <m/>
    <m/>
    <m/>
    <m/>
    <m/>
    <s v="MOOTW"/>
    <s v="Unnamed "/>
    <s v="Navy"/>
    <s v="Maritime "/>
    <m/>
    <m/>
    <m/>
    <m/>
  </r>
  <r>
    <s v="Senior Level Visit"/>
    <s v="Southeast Asia"/>
    <s v="Asia"/>
    <s v="Comprehensive Strategic Cooperative Partnership [全面战略合作伙伴关系]"/>
    <s v="None"/>
    <s v="INDOPACOM"/>
    <s v="Vietnam"/>
    <x v="26"/>
    <n v="1"/>
    <x v="3"/>
    <s v="Fan Changlong"/>
    <m/>
    <s v="CMC Vice Chairman"/>
    <n v="10"/>
    <s v="Hosted"/>
    <s v="Defense Minister"/>
    <m/>
    <m/>
    <m/>
    <m/>
    <m/>
    <m/>
    <m/>
    <m/>
  </r>
  <r>
    <s v="Senior Level Visit"/>
    <s v="Africa"/>
    <s v="West Asia and Africa"/>
    <s v="Comprehensive Cooperative Partnership [全面合作伙伴关系]"/>
    <s v="None"/>
    <s v="AFRICOM"/>
    <s v="Ethiopia"/>
    <x v="26"/>
    <n v="2"/>
    <x v="3"/>
    <s v="Chang Wanquan"/>
    <m/>
    <s v="Defense Minister; CMC Member"/>
    <n v="8"/>
    <s v="Hosted"/>
    <s v="Defense Minister"/>
    <m/>
    <m/>
    <m/>
    <m/>
    <m/>
    <m/>
    <m/>
    <m/>
  </r>
  <r>
    <s v="Senior Level Visit"/>
    <s v="Middle East"/>
    <s v="West Asia and Africa"/>
    <s v="All-Round Partnership for Innovation [创新全面伙伴关系]"/>
    <s v="Major Non-NATO Ally"/>
    <s v="CENTCOM"/>
    <s v="Israel"/>
    <x v="26"/>
    <n v="2"/>
    <x v="3"/>
    <s v="Zhao Keshi"/>
    <m/>
    <s v="CMC/LSD Director; CMC Member"/>
    <n v="8"/>
    <s v="Hosted"/>
    <s v="Major General"/>
    <m/>
    <m/>
    <m/>
    <m/>
    <m/>
    <m/>
    <m/>
    <m/>
  </r>
  <r>
    <s v="Military Exercise"/>
    <s v="Middle East"/>
    <s v="West Asia and Africa"/>
    <s v="No Specific Relationship"/>
    <s v="Major Non-NATO Ally"/>
    <s v="CENTCOM"/>
    <s v="Kuwait"/>
    <x v="26"/>
    <n v="2"/>
    <x v="5"/>
    <m/>
    <m/>
    <m/>
    <m/>
    <m/>
    <m/>
    <s v="MOOTW"/>
    <s v="Unnamed"/>
    <s v="Navy"/>
    <s v="Maritime"/>
    <m/>
    <m/>
    <m/>
    <m/>
  </r>
  <r>
    <s v="Naval Port Call"/>
    <s v="Middle East"/>
    <s v="West Asia and Africa"/>
    <s v="No Specific Relationship"/>
    <s v="Major Non-NATO Ally"/>
    <s v="CENTCOM"/>
    <s v="Kuwait"/>
    <x v="26"/>
    <n v="2"/>
    <x v="0"/>
    <m/>
    <m/>
    <s v=" "/>
    <m/>
    <m/>
    <m/>
    <m/>
    <m/>
    <m/>
    <m/>
    <s v="ETF"/>
    <s v="ETF-24"/>
    <s v="North Sea Fleet"/>
    <s v="DDG112 Harbin, FFG579 Handan"/>
  </r>
  <r>
    <s v="Senior Level Visit"/>
    <s v="South Asia"/>
    <s v="Asia"/>
    <s v="All-Round Strategic Partnership [全方位战略伙伴关系]"/>
    <s v="None"/>
    <s v="INDOPACOM"/>
    <s v="Nepal"/>
    <x v="26"/>
    <n v="2"/>
    <x v="4"/>
    <s v="Zhao Jinsong"/>
    <m/>
    <s v="Western TC Deputy Commander"/>
    <n v="8"/>
    <s v="Abroad"/>
    <s v="Chief of the Army Staff"/>
    <m/>
    <m/>
    <m/>
    <m/>
    <m/>
    <m/>
    <m/>
    <m/>
  </r>
  <r>
    <s v="Military Exercise"/>
    <s v="South Asia"/>
    <s v="Asia"/>
    <s v="All-Weather Strategic Cooperative Partnership [全天候战略合作伙伴关系]"/>
    <s v="Major Non-NATO Ally"/>
    <s v="CENTCOM"/>
    <s v="Pakistan"/>
    <x v="26"/>
    <n v="2"/>
    <x v="6"/>
    <m/>
    <m/>
    <m/>
    <m/>
    <m/>
    <m/>
    <s v="MOOTW"/>
    <s v="Aman-17"/>
    <s v="Navy"/>
    <s v="Maritime "/>
    <m/>
    <m/>
    <m/>
    <m/>
  </r>
  <r>
    <s v="Military Exercise"/>
    <s v="Southeast Asia"/>
    <s v="Asia"/>
    <s v="Comprehensive Strategic Cooperative Partnership [全面战略合作伙伴关系]"/>
    <s v="Bilateral Defense Treaty"/>
    <s v="INDOPACOM"/>
    <s v="Thailand"/>
    <x v="26"/>
    <n v="2"/>
    <x v="6"/>
    <m/>
    <m/>
    <m/>
    <m/>
    <m/>
    <m/>
    <s v="MOOTW"/>
    <s v="Cobra Gold 2017"/>
    <s v="Army"/>
    <s v="Humanitarian assistance and disaster relief"/>
    <m/>
    <m/>
    <m/>
    <m/>
  </r>
  <r>
    <s v="Naval Port Call"/>
    <s v="Middle East"/>
    <s v="West Asia and Africa"/>
    <s v="Strategic Partnership [战略伙伴关系]"/>
    <s v="None"/>
    <s v="CENTCOM"/>
    <s v="United Arab Emirates"/>
    <x v="26"/>
    <n v="2"/>
    <x v="0"/>
    <m/>
    <m/>
    <m/>
    <m/>
    <m/>
    <m/>
    <m/>
    <m/>
    <m/>
    <m/>
    <s v="ETF"/>
    <s v="ETF-24"/>
    <s v="North Sea Fleet"/>
    <s v="DDG112 Harbin, FFG579 Handan"/>
  </r>
  <r>
    <s v="Senior Level Visit"/>
    <s v="South America"/>
    <s v="America and Oceania"/>
    <s v="No Specific Relationship"/>
    <s v="None"/>
    <s v="SOUTHCOM"/>
    <s v="Cuba"/>
    <x v="26"/>
    <n v="3"/>
    <x v="3"/>
    <s v="Chang Wanquan"/>
    <m/>
    <s v="Defense Minister; CMC Member"/>
    <n v="8"/>
    <s v="Hosted"/>
    <s v="Defense Minister "/>
    <m/>
    <m/>
    <m/>
    <m/>
    <m/>
    <m/>
    <m/>
    <m/>
  </r>
  <r>
    <s v="Senior Level Visit"/>
    <s v="Central Asia"/>
    <s v="Europe and Central Asia"/>
    <s v="Strategic Partnership [战略伙伴关系]"/>
    <s v="None"/>
    <s v="CENTCOM"/>
    <s v="Kyrgyzstan"/>
    <x v="26"/>
    <n v="3"/>
    <x v="3"/>
    <s v="Chang Wanquan"/>
    <m/>
    <s v="Defense Minister; CMC Member"/>
    <n v="8"/>
    <s v="Hosted"/>
    <s v="Chief of Staff"/>
    <m/>
    <m/>
    <m/>
    <m/>
    <m/>
    <m/>
    <m/>
    <m/>
  </r>
  <r>
    <s v="Senior Level Visit"/>
    <s v="Southeast Asia"/>
    <s v="Asia"/>
    <s v="Comprehensive Strategic Partnership [全面战略伙伴关系]"/>
    <s v="None"/>
    <s v="INDOPACOM"/>
    <s v="Malaysia"/>
    <x v="26"/>
    <n v="3"/>
    <x v="4"/>
    <s v="Xu Qiliang"/>
    <m/>
    <s v="CMC Vice Chairman"/>
    <n v="10"/>
    <s v="Abroad"/>
    <s v="Defense Minister"/>
    <m/>
    <m/>
    <m/>
    <m/>
    <m/>
    <m/>
    <m/>
    <m/>
  </r>
  <r>
    <s v="Senior Level Visit"/>
    <s v="South Asia"/>
    <s v="Asia"/>
    <s v="All-Round Strategic Partnership [全方位战略伙伴关系]"/>
    <s v="None"/>
    <s v="INDOPACOM"/>
    <s v="Nepal"/>
    <x v="26"/>
    <n v="3"/>
    <x v="4"/>
    <s v="Chang Wanquan"/>
    <m/>
    <s v="Defense Minister; CMC Member"/>
    <n v="8"/>
    <s v="Hosted"/>
    <s v="President "/>
    <m/>
    <m/>
    <m/>
    <m/>
    <m/>
    <m/>
    <m/>
    <m/>
  </r>
  <r>
    <s v="Senior Level Visit"/>
    <s v="South Asia"/>
    <s v="Asia"/>
    <s v="All-Weather Strategic Cooperative Partnership [全天候战略合作伙伴关系]"/>
    <s v="Major Non-NATO Ally"/>
    <s v="CENTCOM"/>
    <s v="Pakistan"/>
    <x v="26"/>
    <n v="3"/>
    <x v="3"/>
    <s v="Fan Changlong"/>
    <m/>
    <s v="CMC Vice Chairman"/>
    <n v="10"/>
    <s v="Hosted"/>
    <s v="Chief General"/>
    <m/>
    <m/>
    <m/>
    <m/>
    <m/>
    <m/>
    <m/>
    <m/>
  </r>
  <r>
    <s v="Senior Level Visit"/>
    <s v="Middle East"/>
    <s v="West Asia and Africa"/>
    <s v="Comprehensive Strategic Partnership [全面战略伙伴关系]"/>
    <s v="None"/>
    <s v="CENTCOM"/>
    <s v="Saudi Arabia"/>
    <x v="26"/>
    <n v="3"/>
    <x v="4"/>
    <s v="Xu Qiliang"/>
    <m/>
    <s v="CMC Vice Chairman"/>
    <n v="10"/>
    <s v="Abroad"/>
    <s v="Defense Minister"/>
    <m/>
    <m/>
    <m/>
    <m/>
    <m/>
    <m/>
    <m/>
    <m/>
  </r>
  <r>
    <s v="Military Exercise"/>
    <s v="Europe"/>
    <s v="Europe and Central Asia"/>
    <s v="Comprehensive Strategic Partnership [全面战略伙伴关系]"/>
    <s v="NATO"/>
    <s v="EUCOM"/>
    <s v="United Kingdom"/>
    <x v="26"/>
    <n v="3"/>
    <x v="5"/>
    <m/>
    <m/>
    <m/>
    <m/>
    <m/>
    <m/>
    <s v="MOOTW"/>
    <s v="Joint Evacuation 2017"/>
    <s v="Navy"/>
    <m/>
    <m/>
    <m/>
    <m/>
    <m/>
  </r>
  <r>
    <s v="Senior Level Visit"/>
    <s v="Europe"/>
    <s v="Europe and Central Asia"/>
    <s v="Friendly Cooperative Partnership [友好合作伙伴关系]"/>
    <s v="None"/>
    <s v="EUCOM"/>
    <s v="Armenia"/>
    <x v="26"/>
    <n v="4"/>
    <x v="4"/>
    <s v="Guan Youfei"/>
    <m/>
    <s v="CMC/OIMC Director"/>
    <n v="5"/>
    <s v="Abroad"/>
    <s v="Defense Minister "/>
    <m/>
    <m/>
    <m/>
    <m/>
    <m/>
    <m/>
    <m/>
    <m/>
  </r>
  <r>
    <s v="Senior Level Visit"/>
    <s v="Oceania"/>
    <s v="America and Oceania"/>
    <s v="Comprehensive Strategic Partnership [全面战略伙伴关系]"/>
    <s v="ANZUS Treaty"/>
    <s v="INDOPACOM"/>
    <s v="Australia"/>
    <x v="26"/>
    <n v="4"/>
    <x v="3"/>
    <s v="Li Zuocheng"/>
    <m/>
    <s v="PLAA Commander"/>
    <n v="6"/>
    <s v="Hosted"/>
    <s v="Army Lieutenant General "/>
    <m/>
    <m/>
    <m/>
    <m/>
    <m/>
    <m/>
    <m/>
    <m/>
  </r>
  <r>
    <s v="Military Exercise"/>
    <s v="Oceania"/>
    <s v="America and Oceania"/>
    <s v="Comprehensive Strategic Partnership [全面战略伙伴关系]"/>
    <s v="ANZUS Treaty"/>
    <s v="INDOPACOM"/>
    <s v="Australia"/>
    <x v="26"/>
    <n v="4"/>
    <x v="5"/>
    <m/>
    <m/>
    <m/>
    <m/>
    <m/>
    <m/>
    <s v="MOOTW"/>
    <s v="Unnamed"/>
    <s v="Navy"/>
    <s v="Maritime "/>
    <m/>
    <m/>
    <m/>
    <m/>
  </r>
  <r>
    <s v="Senior Level Visit"/>
    <s v="Europe"/>
    <s v="Europe and Central Asia"/>
    <s v="Comprehensive Strategic Partnership [全面战略伙伴关系]"/>
    <s v="None"/>
    <s v="EUCOM"/>
    <s v="Belarus"/>
    <x v="26"/>
    <n v="4"/>
    <x v="3"/>
    <s v="Chang Wanquan"/>
    <m/>
    <s v="Defense Minister; CMC Member"/>
    <n v="8"/>
    <s v="Hosted"/>
    <s v="Chairman of State Border Committee "/>
    <m/>
    <m/>
    <m/>
    <m/>
    <m/>
    <m/>
    <m/>
    <m/>
  </r>
  <r>
    <s v="Senior Level Visit"/>
    <s v="Europe"/>
    <s v="Europe and Central Asia"/>
    <s v="Comprehensive Strategic Partnership [全面战略伙伴关系]"/>
    <s v="NATO"/>
    <s v="EUCOM"/>
    <s v="France"/>
    <x v="26"/>
    <n v="4"/>
    <x v="3"/>
    <s v="Chang Wanquan"/>
    <m/>
    <s v="Defense Minister; CMC Member"/>
    <n v="8"/>
    <s v="Hosted"/>
    <s v="Vice Admiral "/>
    <m/>
    <m/>
    <m/>
    <m/>
    <m/>
    <m/>
    <m/>
    <m/>
  </r>
  <r>
    <s v="Senior Level Visit"/>
    <s v="Africa"/>
    <s v="West Asia and Africa"/>
    <s v="Comprehensive Cooperative Partnership [全面合作伙伴关系]"/>
    <s v="None"/>
    <s v="AFRICOM"/>
    <s v="Kenya"/>
    <x v="26"/>
    <n v="4"/>
    <x v="3"/>
    <s v="Xu Qiliang"/>
    <m/>
    <s v="CMC Vice Chairman"/>
    <n v="10"/>
    <s v="Hosted"/>
    <s v="Secretary for Defense"/>
    <m/>
    <m/>
    <m/>
    <m/>
    <m/>
    <m/>
    <m/>
    <m/>
  </r>
  <r>
    <s v="Senior Level Visit"/>
    <s v="Southeast Asia"/>
    <s v="Asia"/>
    <s v="Comprehensive Strategic Partnership [全面战略伙伴关系]"/>
    <s v="None"/>
    <s v="INDOPACOM"/>
    <s v="Malaysia"/>
    <x v="26"/>
    <n v="4"/>
    <x v="3"/>
    <s v="Xu Qiliang"/>
    <m/>
    <s v="CMC Vice Chairman"/>
    <n v="10"/>
    <s v="Hosted"/>
    <s v="Defense Minister"/>
    <m/>
    <m/>
    <m/>
    <m/>
    <m/>
    <m/>
    <m/>
    <m/>
  </r>
  <r>
    <s v="Military Exercise"/>
    <s v="South Asia"/>
    <s v="Asia"/>
    <s v="All-Round Strategic Partnership [全方位战略伙伴关系]"/>
    <s v="None"/>
    <s v="INDOPACOM"/>
    <s v="Nepal"/>
    <x v="26"/>
    <n v="4"/>
    <x v="5"/>
    <m/>
    <m/>
    <m/>
    <m/>
    <m/>
    <m/>
    <s v="Anti-terrorism"/>
    <s v="Sagarmatha Friendship 2017"/>
    <s v="Army"/>
    <s v="Competition "/>
    <m/>
    <m/>
    <m/>
    <m/>
  </r>
  <r>
    <s v="Military Exercise"/>
    <s v="South Asia"/>
    <s v="Asia"/>
    <s v="All-Weather Strategic Cooperative Partnership [全天候战略合作伙伴关系]"/>
    <s v="Major Non-NATO Ally"/>
    <s v="CENTCOM"/>
    <s v="Pakistan"/>
    <x v="26"/>
    <n v="4"/>
    <x v="5"/>
    <m/>
    <m/>
    <m/>
    <m/>
    <m/>
    <m/>
    <s v="Anti-terrorism"/>
    <s v="Pakistan Army Team  Spirit"/>
    <s v="Army"/>
    <s v="Competition "/>
    <m/>
    <m/>
    <m/>
    <m/>
  </r>
  <r>
    <s v="Military Exercise"/>
    <s v="Southeast Asia"/>
    <s v="Asia"/>
    <s v="All-Round Cooperative Partnership [全方合作伙伴关系]"/>
    <s v="None"/>
    <s v="INDOPACOM"/>
    <s v="Singapore"/>
    <x v="26"/>
    <n v="4"/>
    <x v="5"/>
    <m/>
    <m/>
    <m/>
    <m/>
    <m/>
    <m/>
    <s v="MOOTW"/>
    <s v="Unnamed"/>
    <s v="Navy"/>
    <s v="Maritime "/>
    <m/>
    <m/>
    <m/>
    <m/>
  </r>
  <r>
    <s v="Senior Level Visit"/>
    <s v="Europe"/>
    <s v="Europe and Central Asia"/>
    <s v="Strategic Partnership [战略伙伴关系]"/>
    <s v="None"/>
    <s v="EUCOM"/>
    <s v="Switzerland"/>
    <x v="26"/>
    <n v="4"/>
    <x v="3"/>
    <s v="Fan Changlong"/>
    <m/>
    <s v="CMC Vice Chairman"/>
    <n v="10"/>
    <s v="Hosted"/>
    <s v="Head of Department of Defense "/>
    <m/>
    <m/>
    <m/>
    <m/>
    <m/>
    <m/>
    <m/>
    <m/>
  </r>
  <r>
    <s v="Senior Level Visit"/>
    <s v="Africa"/>
    <s v="West Asia and Africa"/>
    <s v="Comprehensive Cooperative Partnership [全面合作伙伴关系]"/>
    <s v="None"/>
    <s v="AFRICOM"/>
    <s v="Tanzania"/>
    <x v="26"/>
    <n v="4"/>
    <x v="3"/>
    <s v="Ma Xiaotian"/>
    <m/>
    <s v="PLAAF Commander; CMC Member"/>
    <n v="8"/>
    <s v="Hosted"/>
    <s v="Commander of Air Force "/>
    <m/>
    <m/>
    <m/>
    <m/>
    <m/>
    <m/>
    <m/>
    <m/>
  </r>
  <r>
    <s v="Senior Level Visit"/>
    <s v="Africa"/>
    <s v="West Asia and Africa"/>
    <s v="Strategic Partnership [战略伙伴关系]"/>
    <s v="None"/>
    <s v="AFRICOM"/>
    <s v="Angola"/>
    <x v="26"/>
    <n v="5"/>
    <x v="3"/>
    <s v="Zhang Yang"/>
    <m/>
    <s v="GPD Director; CMC Member"/>
    <n v="8"/>
    <s v="Hosted"/>
    <s v="Deputy Chief of General Staff"/>
    <m/>
    <m/>
    <m/>
    <m/>
    <m/>
    <m/>
    <m/>
    <m/>
  </r>
  <r>
    <s v="Naval Port Call"/>
    <s v="South Asia"/>
    <s v="Asia"/>
    <s v="Strategic Cooperative Partnership [战略合作伙伴关系]"/>
    <s v="None"/>
    <s v="INDOPACOM"/>
    <s v="Bangladesh"/>
    <x v="26"/>
    <n v="5"/>
    <x v="0"/>
    <m/>
    <m/>
    <m/>
    <m/>
    <m/>
    <m/>
    <m/>
    <m/>
    <m/>
    <m/>
    <s v="NETF"/>
    <s v="2017-05 DDG150 Changchun"/>
    <s v="East Sea Fleet"/>
    <s v="DDG150 Changchun, FFG532 Jingzhou"/>
  </r>
  <r>
    <s v="Military Exercise"/>
    <s v="South Asia"/>
    <s v="Asia"/>
    <s v="Strategic Cooperative Partnership [战略合作伙伴关系]"/>
    <s v="None"/>
    <s v="INDOPACOM"/>
    <s v="Bangladesh"/>
    <x v="26"/>
    <n v="5"/>
    <x v="5"/>
    <m/>
    <m/>
    <m/>
    <m/>
    <m/>
    <m/>
    <s v="MOOTW"/>
    <s v="Unnamed "/>
    <s v="Navy"/>
    <s v="Maritime "/>
    <m/>
    <m/>
    <m/>
    <m/>
  </r>
  <r>
    <s v="Senior Level Visit"/>
    <s v="Europe"/>
    <s v="Europe and Central Asia"/>
    <s v="Comprehensive Strategic Partnership [全面战略伙伴关系]"/>
    <s v="None"/>
    <s v="EUCOM"/>
    <s v="Belarus"/>
    <x v="26"/>
    <n v="5"/>
    <x v="3"/>
    <s v="Zhang Youxia"/>
    <m/>
    <s v="CMC/EDD Director; CMC Member"/>
    <n v="8"/>
    <s v="Abroad"/>
    <s v="Defense Minister"/>
    <m/>
    <m/>
    <m/>
    <m/>
    <m/>
    <m/>
    <m/>
    <m/>
  </r>
  <r>
    <s v="Senior Level Visit"/>
    <s v="Europe"/>
    <s v="Europe and Central Asia"/>
    <s v="No Specific Relationship"/>
    <s v="None"/>
    <s v="EUCOM"/>
    <s v="Bosnia-Herzegovina"/>
    <x v="26"/>
    <n v="5"/>
    <x v="3"/>
    <s v="Chang Wanquan"/>
    <m/>
    <s v="Defense Minister; CMC Member"/>
    <n v="8"/>
    <s v="Hosted"/>
    <s v="Defense Minister"/>
    <m/>
    <m/>
    <m/>
    <m/>
    <m/>
    <m/>
    <m/>
    <m/>
  </r>
  <r>
    <s v="Military Exercise"/>
    <s v="Europe"/>
    <s v="Europe and Central Asia"/>
    <s v="Comprehensive Strategic Partnership [全面战略伙伴关系]"/>
    <s v="NATO"/>
    <s v="EUCOM"/>
    <s v="France"/>
    <x v="26"/>
    <n v="5"/>
    <x v="5"/>
    <m/>
    <m/>
    <m/>
    <m/>
    <m/>
    <m/>
    <s v="MOOTW"/>
    <s v="Unnamed"/>
    <s v="Navy"/>
    <s v="VBSS "/>
    <m/>
    <m/>
    <m/>
    <m/>
  </r>
  <r>
    <s v="Senior Level Visit"/>
    <s v="Europe"/>
    <s v="Europe and Central Asia"/>
    <s v="Comprehensive Strategic Partnership [全面战略伙伴关系]"/>
    <s v="NATO"/>
    <s v="EUCOM"/>
    <s v="Hungary"/>
    <x v="26"/>
    <n v="5"/>
    <x v="4"/>
    <s v="Zhang Youxia"/>
    <m/>
    <s v="CMC/EDD Director; CMC Member"/>
    <n v="8"/>
    <s v="Abroad"/>
    <s v="Defense Minister"/>
    <m/>
    <m/>
    <m/>
    <m/>
    <m/>
    <m/>
    <m/>
    <m/>
  </r>
  <r>
    <s v="Naval Port Call"/>
    <s v="Africa"/>
    <s v="West Asia and Africa"/>
    <s v="Comprehensive Partnership [全面伙伴关系]"/>
    <s v="None"/>
    <s v="AFRICOM"/>
    <s v="Madagascar"/>
    <x v="26"/>
    <n v="5"/>
    <x v="0"/>
    <m/>
    <m/>
    <m/>
    <m/>
    <m/>
    <m/>
    <m/>
    <m/>
    <m/>
    <m/>
    <s v="ETF"/>
    <s v="ETF-25"/>
    <s v="South Sea Fleet"/>
    <s v="FFG568 Hengyang, FFG569 Yulin, AOR 963 Honghu "/>
  </r>
  <r>
    <s v="Naval Port Call"/>
    <s v="Southeast Asia"/>
    <s v="Asia"/>
    <s v="Comprehensive Strategic Partnership [全面战略伙伴关系]"/>
    <s v="None"/>
    <s v="INDOPACOM"/>
    <s v="Malaysia"/>
    <x v="26"/>
    <n v="5"/>
    <x v="0"/>
    <m/>
    <m/>
    <m/>
    <m/>
    <m/>
    <m/>
    <m/>
    <m/>
    <m/>
    <m/>
    <s v="NETF"/>
    <s v="2017-05 DDG150 Changchun"/>
    <s v="East Sea Fleet"/>
    <s v="DDG150 Changchun, FFG532 Jingzhou"/>
  </r>
  <r>
    <s v="Military Exercise"/>
    <s v="Southeast Asia"/>
    <s v="Asia"/>
    <s v="Comprehensive Strategic Cooperative Partnership [全面战略合作伙伴关系]"/>
    <s v="None"/>
    <s v="INDOPACOM"/>
    <s v="Myanmar"/>
    <x v="26"/>
    <n v="5"/>
    <x v="5"/>
    <m/>
    <m/>
    <m/>
    <m/>
    <m/>
    <m/>
    <s v="MOOTW"/>
    <s v="Unnamed"/>
    <s v="Navy"/>
    <s v="Maritime"/>
    <m/>
    <m/>
    <m/>
    <m/>
  </r>
  <r>
    <s v="Military Exercise"/>
    <s v="Southeast Asia"/>
    <s v="Asia"/>
    <s v="Comprehensive Strategic Cooperative Partnership [全面战略合作伙伴关系]"/>
    <s v="None"/>
    <s v="INDOPACOM"/>
    <s v="Myanmar"/>
    <x v="26"/>
    <n v="5"/>
    <x v="5"/>
    <m/>
    <m/>
    <m/>
    <m/>
    <m/>
    <m/>
    <s v="MOOTW"/>
    <s v="Unnamed "/>
    <s v="Navy"/>
    <s v="Maritime "/>
    <m/>
    <m/>
    <m/>
    <m/>
  </r>
  <r>
    <s v="Naval Port Call"/>
    <s v="Southeast Asia"/>
    <s v="Asia"/>
    <s v="Comprehensive Strategic Cooperative Partnership [全面战略合作伙伴关系]"/>
    <s v="None"/>
    <s v="INDOPACOM"/>
    <s v="Myanmar"/>
    <x v="26"/>
    <n v="5"/>
    <x v="0"/>
    <m/>
    <m/>
    <m/>
    <m/>
    <m/>
    <m/>
    <m/>
    <m/>
    <m/>
    <m/>
    <s v="NETF"/>
    <s v="2017-05 DDG150 Changchun"/>
    <s v="East Sea Fleet"/>
    <s v="DDG150 Changchun, FFG532 Jingzhou"/>
  </r>
  <r>
    <s v="Senior Level Visit"/>
    <s v="South Asia"/>
    <s v="Asia"/>
    <s v="All-Weather Strategic Cooperative Partnership [全天候战略合作伙伴关系]"/>
    <s v="Major Non-NATO Ally"/>
    <s v="CENTCOM"/>
    <s v="Pakistan"/>
    <x v="26"/>
    <n v="5"/>
    <x v="3"/>
    <s v="Shen Jinlong"/>
    <m/>
    <s v="PLAN Commander "/>
    <n v="6"/>
    <s v="Hosted"/>
    <s v="Chief of the Naval Staff"/>
    <m/>
    <m/>
    <m/>
    <m/>
    <m/>
    <m/>
    <m/>
    <m/>
  </r>
  <r>
    <s v="Naval Port Call"/>
    <s v="Southeast Asia"/>
    <s v="Asia"/>
    <s v="Strategic Cooperative Partnership [战略合作伙伴关系]"/>
    <s v="Bilateral Defense Treaty"/>
    <s v="INDOPACOM"/>
    <s v="Philippines"/>
    <x v="26"/>
    <n v="5"/>
    <x v="0"/>
    <m/>
    <m/>
    <m/>
    <m/>
    <m/>
    <m/>
    <m/>
    <m/>
    <m/>
    <m/>
    <s v="NETF"/>
    <s v="2017-05 DDG150 Changchun"/>
    <s v="East Sea Fleet"/>
    <s v="DDG150 Changchun, FFG532 Jingzhou"/>
  </r>
  <r>
    <s v="Senior Level Visit"/>
    <s v="Southeast Asia"/>
    <s v="Asia"/>
    <s v="Comprehensive Strategic Cooperative Partnership [全面战略合作伙伴关系]"/>
    <s v="Bilateral Defense Treaty"/>
    <s v="INDOPACOM"/>
    <s v="Thailand"/>
    <x v="26"/>
    <n v="5"/>
    <x v="3"/>
    <s v="Fang Fenghui"/>
    <m/>
    <s v="CMC/JSD Commander; CMC Member"/>
    <n v="8"/>
    <s v="Hosted"/>
    <s v="Prime Minister "/>
    <m/>
    <m/>
    <m/>
    <m/>
    <m/>
    <m/>
    <m/>
    <m/>
  </r>
  <r>
    <s v="Senior Level Visit"/>
    <s v="Europe"/>
    <s v="Europe and Central Asia"/>
    <s v="Strategic Cooperative Partnership [战略合作伙伴关系]"/>
    <s v="NATO"/>
    <s v="EUCOM"/>
    <s v="Turkey"/>
    <x v="26"/>
    <n v="5"/>
    <x v="3"/>
    <s v="Fang Fenghui"/>
    <m/>
    <s v="CMC/JSD Commander; CMC Member"/>
    <n v="8"/>
    <s v="Hosted"/>
    <s v="Chief of General Staff"/>
    <m/>
    <m/>
    <m/>
    <m/>
    <m/>
    <m/>
    <m/>
    <m/>
  </r>
  <r>
    <s v="Senior Level Visit"/>
    <s v="Middle East"/>
    <s v="West Asia and Africa"/>
    <s v="Strategic Partnership [战略伙伴关系]"/>
    <s v="None"/>
    <s v="CENTCOM"/>
    <s v="United Arab Emirates"/>
    <x v="26"/>
    <n v="5"/>
    <x v="3"/>
    <s v="Fan Changlong"/>
    <m/>
    <s v="CMC Vice Chairman"/>
    <n v="10"/>
    <s v="Hosted"/>
    <s v="Visiting Minister of State"/>
    <m/>
    <m/>
    <m/>
    <m/>
    <m/>
    <m/>
    <m/>
    <m/>
  </r>
  <r>
    <s v="Senior Level Visit"/>
    <s v="Southeast Asia"/>
    <s v="Asia"/>
    <s v="Comprehensive Strategic Cooperative Partnership [全面战略合作伙伴关系]"/>
    <s v="None"/>
    <s v="INDOPACOM"/>
    <s v="Vietnam"/>
    <x v="26"/>
    <n v="5"/>
    <x v="3"/>
    <s v="Fan Changlong"/>
    <m/>
    <s v="CMC Vice Chairman"/>
    <n v="10"/>
    <s v="Hosted"/>
    <s v="Defense Minister "/>
    <m/>
    <m/>
    <m/>
    <m/>
    <m/>
    <m/>
    <m/>
    <m/>
  </r>
  <r>
    <s v="Naval Port Call"/>
    <s v="Southeast Asia"/>
    <s v="Asia"/>
    <s v="Comprehensive Strategic Cooperative Partnership [全面战略合作伙伴关系]"/>
    <s v="None"/>
    <s v="INDOPACOM"/>
    <s v="Vietnam"/>
    <x v="26"/>
    <n v="5"/>
    <x v="0"/>
    <m/>
    <m/>
    <m/>
    <m/>
    <m/>
    <m/>
    <m/>
    <m/>
    <m/>
    <m/>
    <s v="NETF"/>
    <s v="2017-05 DDG150 Changchun"/>
    <s v="East Sea Fleet"/>
    <s v="DDG150 Changchun, FFG532 Jingzhou"/>
  </r>
  <r>
    <s v="Military Exercise"/>
    <s v="Northeast Asia"/>
    <s v="N/A"/>
    <s v="Member"/>
    <s v="None"/>
    <s v="INDOPACOM"/>
    <s v="WPNS"/>
    <x v="26"/>
    <n v="5"/>
    <x v="6"/>
    <m/>
    <m/>
    <m/>
    <m/>
    <m/>
    <m/>
    <s v="MOOTW"/>
    <s v="WPNS 2017"/>
    <s v="Navy"/>
    <s v="Second Multilateral held off of Guam; Countries: Australia, Canada, Chile, Indonesia, Japan, Republic of Korea, Singapore, United Kingdom, and the United States."/>
    <m/>
    <m/>
    <m/>
    <m/>
  </r>
  <r>
    <s v="Naval Port Call"/>
    <s v="Oceania"/>
    <s v="America and Oceania"/>
    <s v="Comprehensive Strategic Partnership [全面战略伙伴关系]"/>
    <s v="ANZUS Treaty"/>
    <s v="INDOPACOM"/>
    <s v="Australia"/>
    <x v="26"/>
    <n v="6"/>
    <x v="0"/>
    <m/>
    <m/>
    <m/>
    <m/>
    <m/>
    <m/>
    <m/>
    <m/>
    <m/>
    <m/>
    <s v="ETF"/>
    <s v="ETF-25 "/>
    <s v="South Sea Fleet"/>
    <s v="FFG568 Hengyang, FFG569 Yulin, AOR 963 Honghu  "/>
  </r>
  <r>
    <s v="Military Exercise"/>
    <s v="North America"/>
    <s v="America and Oceania"/>
    <s v="Strategic Partnership [战略伙伴关系]"/>
    <s v="NATO"/>
    <s v="NORTHCOM"/>
    <s v="Canada"/>
    <x v="26"/>
    <n v="6"/>
    <x v="5"/>
    <m/>
    <m/>
    <m/>
    <m/>
    <m/>
    <m/>
    <s v="MOOTW"/>
    <s v="Unnamed"/>
    <s v="Navy"/>
    <s v="Maritime "/>
    <m/>
    <m/>
    <m/>
    <m/>
  </r>
  <r>
    <s v="Naval Port Call"/>
    <s v="Middle East"/>
    <s v="West Asia and Africa"/>
    <s v="Strategic Partnership [战略伙伴关系]"/>
    <s v="None"/>
    <s v="CENTCOM"/>
    <s v="Djibouti"/>
    <x v="26"/>
    <n v="6"/>
    <x v="0"/>
    <m/>
    <m/>
    <m/>
    <m/>
    <m/>
    <m/>
    <m/>
    <m/>
    <m/>
    <m/>
    <s v="NETF"/>
    <s v="2017-05 DDG150 Changchun"/>
    <s v="East Sea Fleet"/>
    <s v="DDG150 Changchun, FFG532 Jingzhou"/>
  </r>
  <r>
    <s v="Senior Level Visit"/>
    <s v="Europe"/>
    <s v="Europe and Central Asia"/>
    <s v="New Type of Cooperative Partnership [新型合作伙伴关系]"/>
    <s v="None"/>
    <s v="EUCOM"/>
    <s v="Finland"/>
    <x v="26"/>
    <n v="6"/>
    <x v="4"/>
    <s v="Fan Changlong"/>
    <m/>
    <s v="CMC Vice Chairman"/>
    <n v="10"/>
    <s v="Abroad"/>
    <s v="Defense Minister"/>
    <m/>
    <m/>
    <m/>
    <m/>
    <m/>
    <m/>
    <m/>
    <m/>
  </r>
  <r>
    <s v="Senior Level Visit"/>
    <s v="Southeast Asia"/>
    <s v="Asia"/>
    <s v="No Specific Relationship"/>
    <s v="None"/>
    <s v="INDOPACOM"/>
    <s v="IISS"/>
    <x v="26"/>
    <n v="6"/>
    <x v="1"/>
    <s v="He Lei "/>
    <m/>
    <s v="AMS Vice President"/>
    <n v="6"/>
    <s v="Abroad"/>
    <s v="16th Shangri-La"/>
    <m/>
    <m/>
    <m/>
    <m/>
    <m/>
    <m/>
    <m/>
    <m/>
  </r>
  <r>
    <s v="Naval Port Call"/>
    <s v="Middle East"/>
    <s v="West Asia and Africa"/>
    <s v="Comprehensive Strategic Partnership [全面战略伙伴关系]"/>
    <s v="None"/>
    <s v="CENTCOM"/>
    <s v="Iran"/>
    <x v="26"/>
    <n v="6"/>
    <x v="0"/>
    <m/>
    <m/>
    <m/>
    <m/>
    <m/>
    <m/>
    <m/>
    <m/>
    <m/>
    <m/>
    <s v="NETF"/>
    <s v="2017-05 DDG150 Changchun"/>
    <s v="East Sea Fleet"/>
    <s v="DDG150 Changchun, FFG532 Jingzhou"/>
  </r>
  <r>
    <s v="Military Exercise"/>
    <s v="Middle East"/>
    <s v="West Asia and Africa"/>
    <s v="Comprehensive Strategic Partnership [全面战略伙伴关系]"/>
    <s v="None"/>
    <s v="CENTCOM"/>
    <s v="Iran"/>
    <x v="26"/>
    <n v="6"/>
    <x v="5"/>
    <m/>
    <m/>
    <m/>
    <m/>
    <m/>
    <m/>
    <s v="MOOTW"/>
    <s v="Unnamed"/>
    <s v="Navy"/>
    <s v="Maritime "/>
    <m/>
    <m/>
    <m/>
    <m/>
  </r>
  <r>
    <s v="Senior Level Visit"/>
    <s v="Central Asia"/>
    <s v="Europe and Central Asia"/>
    <s v="Strategic Partnership [战略伙伴关系]"/>
    <s v="None"/>
    <s v="CENTCOM"/>
    <s v="Kyrgyzstan"/>
    <x v="26"/>
    <n v="6"/>
    <x v="3"/>
    <s v="Chang Wanquan"/>
    <m/>
    <s v="Defense Minister; CMC Member"/>
    <n v="8"/>
    <s v="Hosted"/>
    <s v="Deputy Chief of General Staff"/>
    <m/>
    <m/>
    <m/>
    <m/>
    <m/>
    <m/>
    <m/>
    <m/>
  </r>
  <r>
    <s v="Senior Level Visit"/>
    <s v="Oceania"/>
    <s v="America and Oceania"/>
    <s v="Comprehensive Strategic Partnership [全面战略伙伴关系]"/>
    <s v="ANZUS Treaty"/>
    <s v="INDOPACOM"/>
    <s v="New Zealand"/>
    <x v="26"/>
    <n v="6"/>
    <x v="3"/>
    <s v="Shen Jinlong"/>
    <m/>
    <s v="PLAN Commander "/>
    <n v="6"/>
    <s v="Hosted"/>
    <s v="Chief of the Navy "/>
    <m/>
    <m/>
    <m/>
    <m/>
    <m/>
    <m/>
    <m/>
    <m/>
  </r>
  <r>
    <s v="Military Exercise"/>
    <s v="Oceania"/>
    <s v="America and Oceania"/>
    <s v="Comprehensive Strategic Partnership [全面战略伙伴关系]"/>
    <s v="ANZUS Treaty"/>
    <s v="INDOPACOM"/>
    <s v="New Zealand"/>
    <x v="26"/>
    <n v="6"/>
    <x v="5"/>
    <m/>
    <m/>
    <m/>
    <m/>
    <m/>
    <m/>
    <s v="MOOTW"/>
    <s v="Unnamed"/>
    <s v="Navy"/>
    <s v="Maritime "/>
    <m/>
    <m/>
    <m/>
    <m/>
  </r>
  <r>
    <s v="Naval Port Call"/>
    <s v="Oceania"/>
    <s v="America and Oceania"/>
    <s v="Comprehensive Strategic Partnership [全面战略伙伴关系]"/>
    <s v="ANZUS Treaty"/>
    <s v="INDOPACOM"/>
    <s v="New Zealand"/>
    <x v="26"/>
    <n v="6"/>
    <x v="0"/>
    <m/>
    <m/>
    <m/>
    <m/>
    <m/>
    <m/>
    <m/>
    <m/>
    <m/>
    <m/>
    <s v="ETF"/>
    <s v="ETF-25"/>
    <s v="South Sea Fleet"/>
    <s v="FFG568 Hengyang, FFG569 Yulin, AOR 963 Honghu  "/>
  </r>
  <r>
    <s v="Military Exercise"/>
    <s v="Middle East"/>
    <s v="West Asia and Africa"/>
    <s v="No Specific Relationship"/>
    <s v="None"/>
    <s v="CENTCOM"/>
    <s v="Oman"/>
    <x v="26"/>
    <n v="6"/>
    <x v="5"/>
    <m/>
    <m/>
    <m/>
    <m/>
    <m/>
    <m/>
    <s v="MOOTW"/>
    <s v="Unnamed"/>
    <s v="Navy"/>
    <s v="Maritime "/>
    <m/>
    <m/>
    <m/>
    <m/>
  </r>
  <r>
    <s v="Naval Port Call"/>
    <s v="Middle East"/>
    <s v="West Asia and Africa"/>
    <s v="No Specific Relationship"/>
    <s v="None"/>
    <s v="CENTCOM"/>
    <s v="Oman"/>
    <x v="26"/>
    <n v="6"/>
    <x v="0"/>
    <m/>
    <m/>
    <m/>
    <m/>
    <m/>
    <m/>
    <m/>
    <m/>
    <m/>
    <m/>
    <s v="NETF"/>
    <s v="2017-05 DDG150 Changchun"/>
    <s v="East Sea Fleet"/>
    <s v="DDG150 Changchun, FFG532 Jingzhou"/>
  </r>
  <r>
    <s v="Senior Level Visit"/>
    <s v="South Asia"/>
    <s v="Asia"/>
    <s v="All-Weather Strategic Cooperative Partnership [全天候战略合作伙伴关系]"/>
    <s v="Major Non-NATO Ally"/>
    <s v="CENTCOM"/>
    <s v="Pakistan"/>
    <x v="26"/>
    <n v="6"/>
    <x v="3"/>
    <s v="Xu Qiliang"/>
    <m/>
    <s v="CMC Vice Chairman"/>
    <n v="10"/>
    <s v="Hosted"/>
    <s v="Chairman of Joint Chiefs of Staff Committee"/>
    <m/>
    <m/>
    <m/>
    <m/>
    <m/>
    <m/>
    <m/>
    <m/>
  </r>
  <r>
    <s v="Military Exercise"/>
    <s v="South Asia"/>
    <s v="Asia"/>
    <s v="All-Weather Strategic Cooperative Partnership [全天候战略合作伙伴关系]"/>
    <s v="Major Non-NATO Ally"/>
    <s v="CENTCOM"/>
    <s v="Pakistan"/>
    <x v="26"/>
    <n v="6"/>
    <x v="5"/>
    <m/>
    <m/>
    <m/>
    <m/>
    <m/>
    <m/>
    <s v="MOOTW"/>
    <s v="Unnamed "/>
    <s v="Navy"/>
    <s v="Maritime"/>
    <m/>
    <m/>
    <m/>
    <m/>
  </r>
  <r>
    <s v="Naval Port Call"/>
    <s v="South Asia"/>
    <s v="Asia"/>
    <s v="All-Weather Strategic Cooperative Partnership [全天候战略合作伙伴关系]"/>
    <s v="Major Non-NATO Ally"/>
    <s v="CENTCOM"/>
    <s v="Pakistan"/>
    <x v="26"/>
    <n v="6"/>
    <x v="10"/>
    <m/>
    <m/>
    <m/>
    <m/>
    <m/>
    <m/>
    <m/>
    <m/>
    <m/>
    <m/>
    <s v="NETF"/>
    <s v="2017-05 DDG150 Changchun"/>
    <s v="East Sea Fleet"/>
    <s v="DDG150 Changchun, FFG532 Jingzhou"/>
  </r>
  <r>
    <s v="Senior Level Visit"/>
    <s v="Southeast Asia"/>
    <s v="Asia"/>
    <s v="Strategic Cooperative Partnership [战略合作伙伴关系]"/>
    <s v="Bilateral Defense Treaty"/>
    <s v="INDOPACOM"/>
    <s v="Philippines"/>
    <x v="26"/>
    <n v="6"/>
    <x v="3"/>
    <s v="Chang Wanquan"/>
    <m/>
    <s v="Defense Minister; CMC Member"/>
    <n v="8"/>
    <s v="Hosted"/>
    <s v="Secretary of Foreign Affairs "/>
    <m/>
    <m/>
    <m/>
    <m/>
    <m/>
    <m/>
    <m/>
    <m/>
  </r>
  <r>
    <s v="Senior Level Visit"/>
    <s v="Russia"/>
    <s v="Europe and Central Asia"/>
    <s v="Comprehensive Collaborative Strategic Partnership [全面战略协作伙伴关系]"/>
    <s v="None"/>
    <s v="EUCOM"/>
    <s v="Russia"/>
    <x v="26"/>
    <n v="6"/>
    <x v="4"/>
    <s v="He Lei "/>
    <m/>
    <s v="AMS Vice President"/>
    <n v="6"/>
    <s v="Abroad"/>
    <s v="Deputy Minister"/>
    <m/>
    <m/>
    <m/>
    <m/>
    <m/>
    <m/>
    <m/>
    <m/>
  </r>
  <r>
    <s v="Senior Level Visit"/>
    <s v="Central Asia"/>
    <s v="Europe and Central Asia"/>
    <s v="Member"/>
    <s v="None"/>
    <s v="CENTCOM"/>
    <s v="SCO"/>
    <x v="26"/>
    <n v="6"/>
    <x v="1"/>
    <s v="Chang Wanquan"/>
    <m/>
    <s v="Defense Minister; CMC Member"/>
    <n v="8"/>
    <s v="Abroad"/>
    <s v="14th official meeting of the SCO Ministers' of Defense in Kyrgyzstan; Other countries: Kazakhstan, Kyrgyztan, Russia, Tajikistan, Uzbekistan"/>
    <m/>
    <m/>
    <m/>
    <m/>
    <m/>
    <m/>
    <m/>
    <m/>
  </r>
  <r>
    <s v="Senior Level Visit"/>
    <s v="Europe"/>
    <s v="Europe and Central Asia"/>
    <s v="Comprehensive Strategic Partnership [全面战略伙伴关系]"/>
    <s v="NATO"/>
    <s v="EUCOM"/>
    <s v="Spain"/>
    <x v="26"/>
    <n v="6"/>
    <x v="4"/>
    <s v="Fan Changlong"/>
    <m/>
    <s v="CMC Vice Chairman"/>
    <n v="10"/>
    <s v="Abroad"/>
    <s v="Defense Minister"/>
    <m/>
    <m/>
    <m/>
    <m/>
    <m/>
    <m/>
    <m/>
    <m/>
  </r>
  <r>
    <s v="Military Exercise"/>
    <s v="South Asia"/>
    <s v="Asia"/>
    <s v="Strategic Cooperative Partnership [战略合作伙伴关系]"/>
    <s v="None"/>
    <s v="INDOPACOM"/>
    <s v="Sri Lanka"/>
    <x v="26"/>
    <n v="6"/>
    <x v="5"/>
    <m/>
    <m/>
    <m/>
    <m/>
    <m/>
    <m/>
    <s v="MOOTW"/>
    <s v="Unnamed"/>
    <s v="Navy"/>
    <s v="Maritime "/>
    <m/>
    <m/>
    <m/>
    <m/>
  </r>
  <r>
    <s v="Naval Port Call"/>
    <s v="South Asia"/>
    <s v="Asia"/>
    <s v="Strategic Cooperative Partnership [战略合作伙伴关系]"/>
    <s v="None"/>
    <s v="INDOPACOM"/>
    <s v="Sri Lanka"/>
    <x v="26"/>
    <n v="6"/>
    <x v="10"/>
    <m/>
    <m/>
    <m/>
    <m/>
    <m/>
    <m/>
    <m/>
    <m/>
    <m/>
    <m/>
    <s v="NETF"/>
    <s v="2017-05 DDG150 Changchun"/>
    <s v="East Sea Fleet"/>
    <s v="DDG150 Changchun, FFG532 Jingzhou"/>
  </r>
  <r>
    <s v="Senior Level Visit"/>
    <s v="Europe"/>
    <s v="Europe and Central Asia"/>
    <s v="Comprehensive Strategic Partnership [全面战略伙伴关系]"/>
    <s v="NATO"/>
    <s v="EUCOM"/>
    <s v="United Kingdom"/>
    <x v="26"/>
    <n v="6"/>
    <x v="3"/>
    <s v="Zhao Keshi"/>
    <m/>
    <s v="CMC/LSD Director; CMC Member"/>
    <n v="8"/>
    <s v="Hosted"/>
    <s v="Major General"/>
    <m/>
    <m/>
    <m/>
    <m/>
    <m/>
    <m/>
    <m/>
    <m/>
  </r>
  <r>
    <s v="Senior Level Visit"/>
    <s v="North America"/>
    <s v="America and Oceania"/>
    <s v="No Specific Relationship"/>
    <s v="N/A"/>
    <s v="NORTHCOM"/>
    <s v="United States"/>
    <x v="26"/>
    <n v="6"/>
    <x v="4"/>
    <s v="Fang Fenghui"/>
    <m/>
    <s v="CMC/JSD Commander; CMC Member"/>
    <n v="8"/>
    <s v="Abroad"/>
    <s v="Secretary of State"/>
    <m/>
    <m/>
    <m/>
    <m/>
    <m/>
    <m/>
    <m/>
    <m/>
  </r>
  <r>
    <s v="Military Exercise"/>
    <s v="North America"/>
    <s v="America and Oceania"/>
    <s v="No Specific Relationship"/>
    <s v="N/A"/>
    <s v="NORTHCOM"/>
    <s v="United States"/>
    <x v="26"/>
    <n v="6"/>
    <x v="5"/>
    <m/>
    <m/>
    <m/>
    <m/>
    <m/>
    <m/>
    <s v="MOOTW"/>
    <s v="Unnamed"/>
    <s v="Navy"/>
    <s v="Maritime "/>
    <m/>
    <m/>
    <m/>
    <m/>
  </r>
  <r>
    <s v="Naval Port Call"/>
    <s v="Oceania"/>
    <s v="America and Oceania"/>
    <s v="Strategic Partnership [战略伙伴关系]"/>
    <s v="None"/>
    <s v="INDOPACOM"/>
    <s v="Vanuatu"/>
    <x v="26"/>
    <n v="6"/>
    <x v="0"/>
    <m/>
    <m/>
    <m/>
    <m/>
    <m/>
    <m/>
    <m/>
    <m/>
    <m/>
    <m/>
    <s v="ETF"/>
    <s v="ETF-25 "/>
    <s v="South Sea Fleet"/>
    <s v="FFG568 Hengyang, FFG569 Yulin, AOR 963 Honghu  "/>
  </r>
  <r>
    <s v="Senior Level Visit"/>
    <s v="Southeast Asia"/>
    <s v="Asia"/>
    <s v="Comprehensive Strategic Cooperative Partnership [全面战略合作伙伴关系]"/>
    <s v="None"/>
    <s v="INDOPACOM"/>
    <s v="Vietnam"/>
    <x v="26"/>
    <n v="6"/>
    <x v="4"/>
    <s v="Fan Changlong"/>
    <m/>
    <s v="CMC Vice Chairman"/>
    <n v="10"/>
    <s v="Abroad"/>
    <s v="President"/>
    <m/>
    <m/>
    <m/>
    <m/>
    <m/>
    <m/>
    <m/>
    <m/>
  </r>
  <r>
    <s v="Senior Level Visit"/>
    <s v="Africa"/>
    <s v="West Asia and Africa"/>
    <s v="Strategic Partnership [战略伙伴关系]"/>
    <s v="None"/>
    <s v="AFRICOM"/>
    <s v="Angola"/>
    <x v="26"/>
    <n v="7"/>
    <x v="4"/>
    <s v="Chang Wanquan"/>
    <m/>
    <s v="Defense Minister; CMC Member"/>
    <n v="8"/>
    <s v="Abroad"/>
    <s v="Vice President"/>
    <m/>
    <m/>
    <m/>
    <m/>
    <m/>
    <m/>
    <m/>
    <m/>
  </r>
  <r>
    <s v="Military Exercise"/>
    <s v="Europe"/>
    <s v="Europe and Central Asia"/>
    <s v="Comprehensive Strategic Partnership [全面战略伙伴关系]"/>
    <s v="None"/>
    <s v="EUCOM"/>
    <s v="Belarus"/>
    <x v="26"/>
    <n v="7"/>
    <x v="5"/>
    <m/>
    <m/>
    <m/>
    <m/>
    <m/>
    <m/>
    <s v="Anti-terrorism"/>
    <s v="United-Shield 2017"/>
    <s v="PAP"/>
    <s v="Anti-terrorism drills"/>
    <m/>
    <m/>
    <m/>
    <m/>
  </r>
  <r>
    <s v="Senior Level Visit"/>
    <s v="South America"/>
    <s v="America and Oceania"/>
    <s v="Comprehensive Strategic Cooperative Partnership [全面战略合作伙伴关系]"/>
    <s v="None"/>
    <s v="SOUTHCOM"/>
    <s v="Chile"/>
    <x v="26"/>
    <n v="7"/>
    <x v="3"/>
    <s v="Li Zuocheng"/>
    <m/>
    <s v="PLAA Commander"/>
    <n v="6"/>
    <s v="Hosted"/>
    <s v="Commander in Chief "/>
    <m/>
    <m/>
    <m/>
    <m/>
    <m/>
    <m/>
    <m/>
    <m/>
  </r>
  <r>
    <s v="Military Exercise"/>
    <s v="Middle East"/>
    <s v="West Asia and Africa"/>
    <s v="Strategic Partnership [战略伙伴关系]"/>
    <s v="None"/>
    <s v="CENTCOM"/>
    <s v="Djibouti"/>
    <x v="26"/>
    <n v="7"/>
    <x v="5"/>
    <m/>
    <m/>
    <m/>
    <m/>
    <m/>
    <m/>
    <s v="MOOTW"/>
    <s v="Unnamed"/>
    <s v="Navy"/>
    <s v="Maritime "/>
    <m/>
    <m/>
    <m/>
    <m/>
  </r>
  <r>
    <s v="Naval Port Call"/>
    <s v="Europe"/>
    <s v="Europe and Central Asia"/>
    <s v="Comprehensive Strategic Partnership [全面战略伙伴关系]"/>
    <s v="NATO"/>
    <s v="EUCOM"/>
    <s v="Greece"/>
    <x v="26"/>
    <n v="7"/>
    <x v="0"/>
    <m/>
    <m/>
    <m/>
    <m/>
    <m/>
    <m/>
    <m/>
    <m/>
    <m/>
    <m/>
    <s v="NETF"/>
    <s v="2017-05 DDG150 Changchun"/>
    <s v="East Sea Fleet"/>
    <s v="DDG150 Changchun, FFG532 Jingzhou"/>
  </r>
  <r>
    <s v="Military Exercise"/>
    <s v="Europe"/>
    <s v="Europe and Central Asia"/>
    <s v="Comprehensive Strategic Partnership [全面战略伙伴关系]"/>
    <s v="NATO"/>
    <s v="EUCOM"/>
    <s v="Greece"/>
    <x v="26"/>
    <n v="7"/>
    <x v="5"/>
    <m/>
    <m/>
    <m/>
    <m/>
    <m/>
    <m/>
    <s v="MOOTW"/>
    <s v="Unnamed"/>
    <s v="Navy"/>
    <s v="Maritime "/>
    <m/>
    <m/>
    <m/>
    <m/>
  </r>
  <r>
    <s v="Senior Level Visit"/>
    <s v="Africa"/>
    <s v="West Asia and Africa"/>
    <s v="Comprehensive Strategic Cooperative Partnership [全面战略合作伙伴关系]"/>
    <s v="None"/>
    <s v="AFRICOM"/>
    <s v="Guinea"/>
    <x v="26"/>
    <n v="7"/>
    <x v="3"/>
    <s v="Xu Qiliang"/>
    <m/>
    <s v="CMC Vice Chairman"/>
    <n v="10"/>
    <s v="Hosted"/>
    <s v="Vice President"/>
    <m/>
    <m/>
    <m/>
    <m/>
    <m/>
    <m/>
    <m/>
    <m/>
  </r>
  <r>
    <s v="Senior Level Visit"/>
    <s v="Europe"/>
    <s v="Europe and Central Asia"/>
    <s v="Comprehensive Strategic Partnership [全面战略伙伴关系]"/>
    <s v="NATO"/>
    <s v="EUCOM"/>
    <s v="Italy"/>
    <x v="26"/>
    <n v="7"/>
    <x v="3"/>
    <s v="Xu Qiliang"/>
    <m/>
    <s v="CMC Vice Chairman"/>
    <n v="10"/>
    <s v="Hosted"/>
    <s v="Secretary General of Defense "/>
    <m/>
    <m/>
    <m/>
    <m/>
    <m/>
    <m/>
    <m/>
    <m/>
  </r>
  <r>
    <s v="Naval Port Call"/>
    <s v="Europe"/>
    <s v="Europe and Central Asia"/>
    <s v="Comprehensive Strategic Partnership [全面战略伙伴关系]"/>
    <s v="NATO"/>
    <s v="EUCOM"/>
    <s v="Italy"/>
    <x v="26"/>
    <n v="7"/>
    <x v="0"/>
    <m/>
    <m/>
    <m/>
    <m/>
    <m/>
    <m/>
    <m/>
    <m/>
    <m/>
    <m/>
    <s v="NETF"/>
    <s v="2017-05 DDG150 Changchun"/>
    <s v="East Sea Fleet "/>
    <s v="DDG150 Changchun, FFG532 Jingzhou"/>
  </r>
  <r>
    <s v="Military Exercise"/>
    <s v="Europe"/>
    <s v="Europe and Central Asia"/>
    <s v="Comprehensive Strategic Partnership [全面战略伙伴关系]"/>
    <s v="NATO"/>
    <s v="EUCOM"/>
    <s v="Italy"/>
    <x v="26"/>
    <n v="7"/>
    <x v="5"/>
    <m/>
    <m/>
    <m/>
    <m/>
    <m/>
    <m/>
    <s v="MOOTW"/>
    <s v="Unnamed"/>
    <s v="Navy"/>
    <s v="Maritime "/>
    <m/>
    <m/>
    <m/>
    <m/>
  </r>
  <r>
    <s v="Senior Level Visit"/>
    <s v="Africa"/>
    <s v="West Asia and Africa"/>
    <s v="Comprehensive Cooperative Partnership [全面合作伙伴关系]"/>
    <s v="None"/>
    <s v="AFRICOM"/>
    <s v="Kenya"/>
    <x v="26"/>
    <n v="7"/>
    <x v="4"/>
    <s v="Chang Wanquan"/>
    <m/>
    <s v="Defense Minister; CMC Member"/>
    <n v="8"/>
    <s v="Hosted"/>
    <s v="President "/>
    <m/>
    <m/>
    <m/>
    <m/>
    <m/>
    <m/>
    <m/>
    <m/>
  </r>
  <r>
    <s v="Senior Level Visit"/>
    <s v="Africa"/>
    <s v="West Asia and Africa"/>
    <s v="Comprehensive Strategic Cooperative Partnership [全面战略合作伙伴关系]"/>
    <s v="None"/>
    <s v="AFRICOM"/>
    <s v="Mozambique"/>
    <x v="26"/>
    <n v="7"/>
    <x v="4"/>
    <s v="Chang Wanquan"/>
    <m/>
    <s v="Defense Minister; CMC Member"/>
    <n v="8"/>
    <s v="Abroad"/>
    <s v="President"/>
    <m/>
    <m/>
    <m/>
    <m/>
    <m/>
    <m/>
    <m/>
    <m/>
  </r>
  <r>
    <s v="Military Exercise"/>
    <s v="Russia"/>
    <s v="Europe and Central Asia"/>
    <s v="Comprehensive Collaborative Strategic Partnership [全面战略协作伙伴关系]"/>
    <s v="None"/>
    <s v="EUCOM"/>
    <s v="Russia"/>
    <x v="26"/>
    <n v="7"/>
    <x v="6"/>
    <m/>
    <m/>
    <m/>
    <m/>
    <m/>
    <m/>
    <s v="Competition"/>
    <s v="International Army Games"/>
    <s v="Army"/>
    <s v="Fighting capabilities. Other countries: Belarus, Azerbaijan, Kazakhstan, Armenia, Iran, Zimbabwe, Pakistan, Venezuela, Sudan, Uzbekistan, Egypt, Vietnam, Syria"/>
    <m/>
    <m/>
    <m/>
    <m/>
  </r>
  <r>
    <s v="Military Exercise"/>
    <s v="Russia"/>
    <s v="Europe and Central Asia"/>
    <s v="Comprehensive Collaborative Strategic Partnership [全面战略协作伙伴关系]"/>
    <s v="None"/>
    <s v="EUCOM"/>
    <s v="Russia"/>
    <x v="26"/>
    <n v="7"/>
    <x v="5"/>
    <m/>
    <m/>
    <m/>
    <m/>
    <m/>
    <m/>
    <s v="Combat"/>
    <s v="Joint Sea 2017 (I)"/>
    <s v="Navy"/>
    <s v=" Location: Baltic Sea.  July 21-28"/>
    <m/>
    <m/>
    <m/>
    <m/>
  </r>
  <r>
    <s v="Naval Port Call"/>
    <s v="Europe"/>
    <s v="Europe and Central Asia"/>
    <s v="Strategic Cooperative Partnership [战略合作伙伴关系]"/>
    <s v="NATO"/>
    <s v="EUCOM"/>
    <s v="Turkey"/>
    <x v="26"/>
    <n v="7"/>
    <x v="0"/>
    <m/>
    <m/>
    <m/>
    <m/>
    <m/>
    <m/>
    <m/>
    <m/>
    <m/>
    <m/>
    <s v="NETF"/>
    <s v="2017-05 DDG150 Changchun"/>
    <s v="East Sea Fleet"/>
    <s v="DDG150 Changchun, FFG532 Jingzhou"/>
  </r>
  <r>
    <s v="Senior Level Visit"/>
    <s v="Europe"/>
    <s v="Europe and Central Asia"/>
    <s v="Comprehensive Strategic Partnership [全面战略伙伴关系]"/>
    <s v="NATO"/>
    <s v="EUCOM"/>
    <s v="United Kingdom"/>
    <x v="26"/>
    <n v="7"/>
    <x v="3"/>
    <s v="Chang Wanquan"/>
    <m/>
    <s v="Defense Minister; CMC Member"/>
    <n v="8"/>
    <s v="Hosted"/>
    <s v="National Security Advisor "/>
    <m/>
    <m/>
    <m/>
    <m/>
    <m/>
    <m/>
    <m/>
    <m/>
  </r>
  <r>
    <s v="Senior Level Visit"/>
    <s v="South Asia"/>
    <s v="Europe and Central Asia"/>
    <s v="Strategic Partnership [战略伙伴关系]"/>
    <s v="Major Non-NATO Ally"/>
    <s v="CENTCOM"/>
    <s v="Afghanistan"/>
    <x v="26"/>
    <n v="8"/>
    <x v="4"/>
    <s v="Li Zuocheng"/>
    <m/>
    <s v="PLAA Commander"/>
    <n v="6"/>
    <s v="Abroad"/>
    <s v="Chief of General Staff"/>
    <m/>
    <m/>
    <m/>
    <m/>
    <m/>
    <m/>
    <m/>
    <m/>
  </r>
  <r>
    <s v="Military Exercise"/>
    <s v="Oceania"/>
    <s v="America and Oceania"/>
    <s v="Comprehensive Strategic Partnership [全面战略伙伴关系]"/>
    <s v="ANZUS Treaty"/>
    <s v="INDOPACOM"/>
    <s v="Australia"/>
    <x v="26"/>
    <n v="8"/>
    <x v="6"/>
    <m/>
    <m/>
    <m/>
    <m/>
    <m/>
    <m/>
    <s v="MOOTW"/>
    <s v="Kowari 2017"/>
    <s v="Army"/>
    <s v="Survival Exercise"/>
    <m/>
    <m/>
    <m/>
    <m/>
  </r>
  <r>
    <s v="Senior Level Visit"/>
    <s v="Oceania"/>
    <s v="America and Oceania"/>
    <s v="Comprehensive Strategic Partnership [全面战略伙伴关系]"/>
    <s v="ANZUS Treaty"/>
    <s v="INDOPACOM"/>
    <s v="Australia"/>
    <x v="26"/>
    <n v="8"/>
    <x v="4"/>
    <s v="Shao Yuanming"/>
    <m/>
    <s v="CMC/JSD DCJS"/>
    <n v="5"/>
    <s v="Abroad"/>
    <s v="Vice Chief of Defence Force"/>
    <m/>
    <m/>
    <m/>
    <m/>
    <m/>
    <m/>
    <m/>
    <m/>
  </r>
  <r>
    <s v="Senior Level Visit"/>
    <s v="Southeast Asia"/>
    <s v="Asia"/>
    <s v="Comprehensive Strategic Cooperative Partnership [全面战略合作伙伴关系]"/>
    <s v="None"/>
    <s v="INDOPACOM"/>
    <s v="Cambodia"/>
    <x v="26"/>
    <n v="8"/>
    <x v="3"/>
    <s v="Xu Qiliang"/>
    <m/>
    <s v="CMC Vice Chairman"/>
    <n v="10"/>
    <s v="Hosted"/>
    <s v="Commander of Air Force"/>
    <m/>
    <m/>
    <m/>
    <m/>
    <m/>
    <m/>
    <m/>
    <m/>
  </r>
  <r>
    <s v="Naval Port Call"/>
    <s v="Middle East"/>
    <s v="West Asia and Africa"/>
    <s v="Strategic Partnership [战略伙伴关系]"/>
    <s v="None"/>
    <s v="CENTCOM"/>
    <s v="Djibouti"/>
    <x v="26"/>
    <n v="8"/>
    <x v="0"/>
    <m/>
    <m/>
    <m/>
    <m/>
    <m/>
    <m/>
    <m/>
    <m/>
    <m/>
    <m/>
    <s v="NETF"/>
    <s v="2017-08 Peace Ark"/>
    <s v="East Sea Fleet"/>
    <m/>
  </r>
  <r>
    <s v="Senior Level Visit"/>
    <s v="Africa"/>
    <s v="West Asia and Africa"/>
    <s v="Comprehensive Cooperative Partnership [全面合作伙伴关系]"/>
    <s v="None"/>
    <s v="AFRICOM"/>
    <s v="Ethiopia"/>
    <x v="26"/>
    <n v="8"/>
    <x v="3"/>
    <s v="Fan Changlong"/>
    <m/>
    <s v="CMC Vice Chairman"/>
    <n v="10"/>
    <s v="Hosted"/>
    <s v="Chief of Staff of National Defense Forces"/>
    <m/>
    <m/>
    <m/>
    <m/>
    <m/>
    <m/>
    <m/>
    <m/>
  </r>
  <r>
    <s v="Naval Port Call"/>
    <s v="Europe"/>
    <s v="Europe and Central Asia"/>
    <s v="New Type of Cooperative Partnership [新型合作伙伴关系]"/>
    <s v="None"/>
    <s v="EUCOM"/>
    <s v="Finland"/>
    <x v="26"/>
    <n v="8"/>
    <x v="0"/>
    <m/>
    <m/>
    <m/>
    <m/>
    <m/>
    <m/>
    <m/>
    <m/>
    <m/>
    <m/>
    <s v="NETF"/>
    <s v="2017-08 DDG174 Hefei"/>
    <s v="South Sea Fleet"/>
    <s v="DDGHefei, FFG571 Yuncheng"/>
  </r>
  <r>
    <s v="Naval Port Call"/>
    <s v="Southeast Asia"/>
    <s v="Asia"/>
    <s v="Comprehensive Strategic Cooperative Partnership [全面战略合作伙伴关系]"/>
    <s v="None"/>
    <s v="INDOPACOM"/>
    <s v="Laos"/>
    <x v="26"/>
    <n v="8"/>
    <x v="0"/>
    <m/>
    <m/>
    <m/>
    <m/>
    <m/>
    <m/>
    <m/>
    <m/>
    <m/>
    <m/>
    <s v="NETF"/>
    <s v="2017-08 Peace Ark"/>
    <s v="East Sea Fleet"/>
    <m/>
  </r>
  <r>
    <s v="Naval Port Call"/>
    <s v="Europe"/>
    <s v="Europe and Central Asia"/>
    <s v="Friendly Cooperative Partnership [友好合作伙伴关系]"/>
    <s v="NATO"/>
    <s v="EUCOM"/>
    <s v="Latvia"/>
    <x v="26"/>
    <n v="8"/>
    <x v="0"/>
    <m/>
    <m/>
    <m/>
    <m/>
    <m/>
    <m/>
    <m/>
    <m/>
    <m/>
    <m/>
    <s v="NETF"/>
    <s v="2017-08 DDG174 Hefei"/>
    <s v="South Sea Fleet"/>
    <s v="DDGHefei, FFG571 Yuncheng, AOR Luomahu"/>
  </r>
  <r>
    <s v="Naval Port Call"/>
    <s v="South Asia"/>
    <s v="West Asia and Africa"/>
    <s v="Comprehensive Friendly Cooperative Partnership [全面友好合作伙伴关系]"/>
    <s v="None"/>
    <s v="INDOPACOM"/>
    <s v="Maldives"/>
    <x v="26"/>
    <n v="8"/>
    <x v="0"/>
    <m/>
    <m/>
    <m/>
    <m/>
    <m/>
    <m/>
    <m/>
    <m/>
    <m/>
    <m/>
    <s v="NETF"/>
    <s v="2017-08 DDG150 Changchun"/>
    <s v="East Sea Fleet"/>
    <s v="DDG150 Changchun, FFG532 Jingzhou, AOR890 Chaohu"/>
  </r>
  <r>
    <s v="Military Exercise"/>
    <s v="South Asia"/>
    <s v="West Asia and Africa"/>
    <s v="Comprehensive Friendly Cooperative Partnership [全面友好合作伙伴关系]"/>
    <s v="None"/>
    <s v="INDOPACOM"/>
    <s v="Maldives"/>
    <x v="26"/>
    <n v="8"/>
    <x v="5"/>
    <m/>
    <m/>
    <m/>
    <m/>
    <m/>
    <m/>
    <s v="MOOTW"/>
    <s v="Unnamed"/>
    <s v="Navy"/>
    <s v="Unknown "/>
    <m/>
    <m/>
    <m/>
    <m/>
  </r>
  <r>
    <s v="Military Exercise"/>
    <s v="Northeast Asia"/>
    <s v="Asia"/>
    <s v="Comprehensive Strategic Partnership [全面战略伙伴关系]"/>
    <s v="None"/>
    <s v="INDOPACOM"/>
    <s v="Mongolia"/>
    <x v="26"/>
    <n v="8"/>
    <x v="6"/>
    <m/>
    <m/>
    <m/>
    <m/>
    <m/>
    <m/>
    <s v="MOOTW"/>
    <s v="Khaan Quest 2017"/>
    <s v="Army"/>
    <s v="Peacekeeping "/>
    <m/>
    <m/>
    <m/>
    <m/>
  </r>
  <r>
    <s v="Senior Level Visit"/>
    <s v="Oceania"/>
    <s v="America and Oceania"/>
    <s v="Comprehensive Strategic Partnership [全面战略伙伴关系]"/>
    <s v="ANZUS Treaty"/>
    <s v="INDOPACOM"/>
    <s v="New Zealand"/>
    <x v="26"/>
    <n v="8"/>
    <x v="3"/>
    <s v="Shao Yuanming"/>
    <m/>
    <s v="CMC/JSD DCJS"/>
    <n v="5"/>
    <s v="Hosted"/>
    <s v="Deputy Chief of Defense Force "/>
    <m/>
    <m/>
    <m/>
    <m/>
    <m/>
    <m/>
    <m/>
    <m/>
  </r>
  <r>
    <s v="Senior Level Visit"/>
    <s v="South Asia"/>
    <s v="Asia"/>
    <s v="All-Weather Strategic Cooperative Partnership [全天候战略合作伙伴关系]"/>
    <s v="Major Non-NATO Ally"/>
    <s v="CENTCOM"/>
    <s v="Pakistan"/>
    <x v="26"/>
    <n v="8"/>
    <x v="4"/>
    <s v="Li Zuocheng"/>
    <m/>
    <s v="PLAA Commander"/>
    <n v="6"/>
    <s v="Abroad"/>
    <s v="Chief of Army Staff "/>
    <m/>
    <m/>
    <m/>
    <m/>
    <m/>
    <m/>
    <m/>
    <m/>
  </r>
  <r>
    <s v="Naval Port Call"/>
    <s v="Middle East"/>
    <s v="West Asia and Africa"/>
    <s v="Comprehensive Strategic Partnership [全面战略伙伴关系]"/>
    <s v="None"/>
    <s v="CENTCOM"/>
    <s v="Saudi Arabia"/>
    <x v="26"/>
    <n v="8"/>
    <x v="0"/>
    <m/>
    <m/>
    <m/>
    <m/>
    <m/>
    <m/>
    <m/>
    <m/>
    <m/>
    <m/>
    <s v="NETF"/>
    <s v="2017-05 DDG150 Changchun"/>
    <s v="East Sea Fleet"/>
    <s v="DDG150 Changchun, FFG532 Jingzhou"/>
  </r>
  <r>
    <s v="Naval Port Call"/>
    <s v="South Asia"/>
    <s v="Asia"/>
    <s v="Strategic Cooperative Partnership [战略合作伙伴关系]"/>
    <s v="None"/>
    <s v="INDOPACOM"/>
    <s v="Sri Lanka"/>
    <x v="26"/>
    <n v="8"/>
    <x v="0"/>
    <m/>
    <m/>
    <m/>
    <m/>
    <m/>
    <m/>
    <m/>
    <m/>
    <m/>
    <m/>
    <s v="NETF"/>
    <s v="2017-08 Peace Ark"/>
    <s v="East Sea Fleet"/>
    <m/>
  </r>
  <r>
    <s v="Military Exercise"/>
    <s v="South Asia"/>
    <s v="Asia"/>
    <s v="Strategic Cooperative Partnership [战略合作伙伴关系]"/>
    <s v="None"/>
    <s v="INDOPACOM"/>
    <s v="Sri Lanka"/>
    <x v="26"/>
    <n v="8"/>
    <x v="5"/>
    <m/>
    <m/>
    <m/>
    <m/>
    <m/>
    <m/>
    <s v="MOOTW"/>
    <s v="Harmonious Mission-2017"/>
    <s v="Army"/>
    <s v="Rescue drill"/>
    <m/>
    <m/>
    <m/>
    <m/>
  </r>
  <r>
    <s v="Senior Level Visit"/>
    <s v="Central Asia"/>
    <s v="Europe and Central Asia"/>
    <s v="Comprehensive Strategic Partnership [全面战略伙伴关系]"/>
    <s v="None"/>
    <s v="CENTCOM"/>
    <s v="Tajikistan"/>
    <x v="26"/>
    <n v="8"/>
    <x v="4"/>
    <s v="Li Zuocheng"/>
    <m/>
    <s v="PLAA Commander"/>
    <n v="6"/>
    <s v="Abroad"/>
    <s v="President "/>
    <m/>
    <m/>
    <m/>
    <m/>
    <m/>
    <m/>
    <m/>
    <m/>
  </r>
  <r>
    <s v="Naval Port Call"/>
    <s v="Africa"/>
    <s v="West Asia and Africa"/>
    <s v="Comprehensive Cooperative Partnership [全面合作伙伴关系]"/>
    <s v="None"/>
    <s v="AFRICOM"/>
    <s v="Tanzania"/>
    <x v="26"/>
    <n v="8"/>
    <x v="0"/>
    <m/>
    <m/>
    <m/>
    <m/>
    <m/>
    <m/>
    <m/>
    <m/>
    <m/>
    <m/>
    <s v="NETF"/>
    <s v="2017-08 DDG150 Changchun"/>
    <s v="East Sea Fleet"/>
    <s v="DDG150 Changchun, FFG532 Jingzhou, AOR890 Chaohu"/>
  </r>
  <r>
    <s v="Military Exercise"/>
    <s v="Africa"/>
    <s v="West Asia and Africa"/>
    <s v="Comprehensive Cooperative Partnership [全面合作伙伴关系]"/>
    <s v="None"/>
    <s v="AFRICOM"/>
    <s v="Tanzania"/>
    <x v="26"/>
    <n v="8"/>
    <x v="5"/>
    <m/>
    <m/>
    <m/>
    <m/>
    <m/>
    <m/>
    <s v="MOOTW"/>
    <s v="Unnamed"/>
    <s v="Navy"/>
    <s v="Maritime"/>
    <m/>
    <m/>
    <m/>
    <m/>
  </r>
  <r>
    <s v="Senior Level Visit"/>
    <s v="Southeast Asia"/>
    <s v="Asia"/>
    <s v="Comprehensive Strategic Cooperative Partnership [全面战略合作伙伴关系]"/>
    <s v="Bilateral Defense Treaty"/>
    <s v="INDOPACOM"/>
    <s v="Thailand"/>
    <x v="26"/>
    <n v="8"/>
    <x v="3"/>
    <s v="Chang Wanquan"/>
    <m/>
    <s v="Defense Minister; CMC Member"/>
    <n v="8"/>
    <s v="Hosted"/>
    <s v="Chief of Defense Forces"/>
    <m/>
    <m/>
    <m/>
    <m/>
    <m/>
    <m/>
    <m/>
    <m/>
  </r>
  <r>
    <s v="Military Exercise"/>
    <s v="Southeast Asia"/>
    <s v="Asia"/>
    <s v="Comprehensive Strategic Cooperative Partnership [全面战略合作伙伴关系]"/>
    <s v="Bilateral Defense Treaty"/>
    <s v="INDOPACOM"/>
    <s v="Thailand"/>
    <x v="26"/>
    <n v="8"/>
    <x v="5"/>
    <m/>
    <m/>
    <m/>
    <m/>
    <m/>
    <m/>
    <s v="Combat"/>
    <s v="Falcon Strike 2017"/>
    <s v="Air Force"/>
    <s v="Joint training exercise "/>
    <m/>
    <m/>
    <m/>
    <m/>
  </r>
  <r>
    <s v="Senior Level Visit"/>
    <s v="North America"/>
    <s v="America and Oceania"/>
    <s v="No Specific Relationship"/>
    <s v="N/A"/>
    <s v="NORTHCOM"/>
    <s v="United States"/>
    <x v="26"/>
    <n v="8"/>
    <x v="3"/>
    <s v="Fang Fenghui"/>
    <m/>
    <s v="CMC/JSD Commander; CMC Member"/>
    <n v="8"/>
    <s v="Hosted"/>
    <s v="Marine Crops General "/>
    <m/>
    <m/>
    <m/>
    <m/>
    <m/>
    <m/>
    <m/>
    <m/>
  </r>
  <r>
    <s v="Senior Level Visit"/>
    <s v="Europe"/>
    <s v="Europe and Central Asia"/>
    <s v="Friendly Cooperative Partnership [友好合作伙伴关系]"/>
    <s v="None"/>
    <s v="EUCOM"/>
    <s v="Armenia"/>
    <x v="26"/>
    <n v="9"/>
    <x v="3"/>
    <s v="Xu Qiliang"/>
    <m/>
    <s v="CMC Vice Chairman"/>
    <n v="10"/>
    <s v="Hosted"/>
    <s v="Defense Minister"/>
    <m/>
    <m/>
    <m/>
    <m/>
    <m/>
    <m/>
    <m/>
    <m/>
  </r>
  <r>
    <s v="Military Exercise"/>
    <s v="Oceania"/>
    <s v="America and Oceania"/>
    <s v="Comprehensive Strategic Partnership [全面战略伙伴关系]"/>
    <s v="ANZUS Treaty"/>
    <s v="INDOPACOM"/>
    <s v="Australia"/>
    <x v="26"/>
    <n v="9"/>
    <x v="5"/>
    <m/>
    <m/>
    <m/>
    <m/>
    <m/>
    <m/>
    <s v="MOOTW"/>
    <s v="Panda-Kangaroo 2017"/>
    <s v="Army"/>
    <s v="Joint training "/>
    <m/>
    <m/>
    <m/>
    <m/>
  </r>
  <r>
    <s v="Senior Level Visit"/>
    <s v="Europe"/>
    <s v="Europe and Central Asia"/>
    <s v="No Specific Relationship"/>
    <s v="NATO"/>
    <s v="EUCOM"/>
    <s v="Austria"/>
    <x v="26"/>
    <n v="9"/>
    <x v="3"/>
    <s v="Chang Wanquan"/>
    <m/>
    <s v="Defense Minister; CMC Member"/>
    <n v="8"/>
    <s v="Hosted"/>
    <s v="Chief of Defense Forces"/>
    <m/>
    <m/>
    <m/>
    <m/>
    <m/>
    <m/>
    <m/>
    <m/>
  </r>
  <r>
    <s v="Naval Port Call"/>
    <s v="Europe"/>
    <s v="Europe and Central Asia"/>
    <s v="All-Round Strategic Partnership [全方位战略伙伴关系]"/>
    <s v="NATO"/>
    <s v="EUCOM"/>
    <s v="Belgium"/>
    <x v="26"/>
    <n v="9"/>
    <x v="0"/>
    <m/>
    <m/>
    <m/>
    <m/>
    <m/>
    <m/>
    <m/>
    <m/>
    <m/>
    <m/>
    <s v="ETF"/>
    <s v="ETF-26"/>
    <s v="East Sea Fleet"/>
    <s v="FFG577 Huanggang, FFG578 Yangzhou, AOR966 Gaoyouhu"/>
  </r>
  <r>
    <s v="Naval Port Call"/>
    <s v="Southeast Asia"/>
    <s v="Asia"/>
    <s v="No Specific Relationship"/>
    <s v="None"/>
    <s v="INDOPACOM"/>
    <s v="Brunei"/>
    <x v="26"/>
    <n v="9"/>
    <x v="10"/>
    <m/>
    <m/>
    <m/>
    <m/>
    <m/>
    <m/>
    <m/>
    <m/>
    <m/>
    <m/>
    <s v="NETF"/>
    <s v="2017-09 DDG150 Changchun"/>
    <s v="East Sea Fleet"/>
    <s v="DDG150 Changchun, FFG532 Jingzhou, AOR890 Chaohu"/>
  </r>
  <r>
    <s v="Senior Level Visit"/>
    <s v="Southeast Asia"/>
    <s v="Asia"/>
    <s v="Comprehensive Strategic Cooperative Partnership [全面战略合作伙伴关系]"/>
    <s v="None"/>
    <s v="INDOPACOM"/>
    <s v="Cambodia"/>
    <x v="26"/>
    <n v="9"/>
    <x v="3"/>
    <s v="Shen Jinlong"/>
    <m/>
    <s v="PLAN Commander "/>
    <n v="6"/>
    <s v="Hosted"/>
    <s v="Navy Commander"/>
    <m/>
    <m/>
    <m/>
    <m/>
    <m/>
    <m/>
    <m/>
    <m/>
  </r>
  <r>
    <s v="Naval Port Call"/>
    <s v="Europe"/>
    <s v="Europe and Central Asia"/>
    <s v="Comprehensive Strategic Partnership [全面战略伙伴关系]"/>
    <s v="NATO"/>
    <s v="EUCOM"/>
    <s v="Denmark"/>
    <x v="26"/>
    <n v="9"/>
    <x v="0"/>
    <m/>
    <m/>
    <m/>
    <m/>
    <m/>
    <m/>
    <m/>
    <m/>
    <m/>
    <m/>
    <s v="ETF"/>
    <s v="ETF-26"/>
    <s v="East Sea Fleet"/>
    <s v="FFG577 Huanggang, FFG578 Yangzhou"/>
  </r>
  <r>
    <s v="Military Exercise"/>
    <s v="Europe"/>
    <s v="Europe and Central Asia"/>
    <s v="Comprehensive Strategic Partnership [全面战略伙伴关系]"/>
    <s v="NATO"/>
    <s v="EUCOM"/>
    <s v="Denmark"/>
    <x v="26"/>
    <n v="9"/>
    <x v="5"/>
    <m/>
    <m/>
    <m/>
    <m/>
    <m/>
    <m/>
    <s v="MOOTW"/>
    <s v="Unnamed"/>
    <s v="Navy"/>
    <s v="Maritime"/>
    <m/>
    <m/>
    <m/>
    <m/>
  </r>
  <r>
    <s v="Senior Level Visit"/>
    <s v="South America"/>
    <s v="America and Oceania"/>
    <s v="Comprehensive Strategic Partnership [全面战略伙伴关系]"/>
    <s v="None"/>
    <s v="SOUTHCOM"/>
    <s v="Ecuador"/>
    <x v="26"/>
    <n v="9"/>
    <x v="4"/>
    <s v="Ma Yiming"/>
    <m/>
    <s v="CMC/JSD DCJS"/>
    <n v="5"/>
    <s v="Abroad"/>
    <s v="Minister of National Defense "/>
    <m/>
    <m/>
    <m/>
    <m/>
    <m/>
    <m/>
    <m/>
    <m/>
  </r>
  <r>
    <s v="Senior Level Visit"/>
    <s v="Europe"/>
    <s v="Europe and Central Asia"/>
    <s v="Comprehensive Strategic Partnership [全面战略伙伴关系]"/>
    <s v="NATO"/>
    <s v="EUCOM"/>
    <s v="Germany"/>
    <x v="26"/>
    <n v="9"/>
    <x v="3"/>
    <s v="Shao Yuanming"/>
    <m/>
    <s v="CMC/JSD DCJS"/>
    <n v="5"/>
    <s v="Hosted"/>
    <s v="Former General Inspector of Defense Force "/>
    <m/>
    <m/>
    <m/>
    <m/>
    <m/>
    <m/>
    <m/>
    <m/>
  </r>
  <r>
    <s v="Senior Level Visit"/>
    <s v="Southeast Asia"/>
    <s v="Asia"/>
    <s v="Comprehensive Strategic Partnership [全面战略伙伴关系]"/>
    <s v="None"/>
    <s v="INDOPACOM"/>
    <s v="Indonesia"/>
    <x v="26"/>
    <n v="9"/>
    <x v="3"/>
    <s v="Shen Jinlong"/>
    <m/>
    <s v="PLAN Commander "/>
    <n v="6"/>
    <s v="Hosted"/>
    <s v="Chief of Staff"/>
    <m/>
    <m/>
    <m/>
    <m/>
    <m/>
    <m/>
    <m/>
    <m/>
  </r>
  <r>
    <s v="Naval Port Call"/>
    <s v="Southeast Asia"/>
    <s v="Asia"/>
    <s v="Comprehensive Strategic Partnership [全面战略伙伴关系]"/>
    <s v="None"/>
    <s v="INDOPACOM"/>
    <s v="Indonesia"/>
    <x v="26"/>
    <n v="9"/>
    <x v="0"/>
    <m/>
    <m/>
    <m/>
    <m/>
    <m/>
    <m/>
    <m/>
    <m/>
    <m/>
    <m/>
    <s v="NETF"/>
    <s v="2017-09 DDG150 Changchun"/>
    <s v="East Sea Fleet"/>
    <s v="DDG150 Changchun, FFG532 Jingzhou, AOR890 Chaohu"/>
  </r>
  <r>
    <s v="Military Exercise"/>
    <s v="South Asia"/>
    <s v="Asia"/>
    <s v="All-Weather Strategic Cooperative Partnership [全天候战略合作伙伴关系]"/>
    <s v="Major Non-NATO Ally"/>
    <s v="CENTCOM"/>
    <s v="Pakistan"/>
    <x v="26"/>
    <n v="9"/>
    <x v="5"/>
    <m/>
    <m/>
    <m/>
    <m/>
    <m/>
    <m/>
    <s v="Combat"/>
    <s v="Shaheen-VI"/>
    <s v="Air Force"/>
    <s v="Joint air training "/>
    <m/>
    <m/>
    <m/>
    <m/>
  </r>
  <r>
    <s v="Military Exercise"/>
    <s v="Russia"/>
    <s v="Europe and Central Asia"/>
    <s v="Comprehensive Collaborative Strategic Partnership [全面战略协作伙伴关系]"/>
    <s v="None"/>
    <s v="EUCOM"/>
    <s v="Russia"/>
    <x v="26"/>
    <n v="9"/>
    <x v="5"/>
    <m/>
    <m/>
    <m/>
    <m/>
    <m/>
    <m/>
    <s v="Combat"/>
    <s v="Joint Sea 2017 (II)"/>
    <s v="Navy"/>
    <s v="Maritime in Sea of Japan and Sea of Okhotsk.  &quot;This exercise is the first to organize a joint submarine rescue drill and a joint anti-submarine exercise with multiple arms, aircraft, and ships.&quot;  "/>
    <m/>
    <m/>
    <m/>
    <m/>
  </r>
  <r>
    <s v="Naval Port Call"/>
    <s v="Africa"/>
    <s v="West Asia and Africa"/>
    <s v="Comprehensive Strategic Cooperative Partnership [全面战略合作伙伴关系]"/>
    <s v="None"/>
    <s v="AFRICOM"/>
    <s v="Sierra Leone"/>
    <x v="26"/>
    <n v="9"/>
    <x v="0"/>
    <m/>
    <m/>
    <m/>
    <m/>
    <m/>
    <m/>
    <m/>
    <m/>
    <m/>
    <m/>
    <s v="NETF"/>
    <s v="2017-09 Peace Ark"/>
    <s v="East Sea Fleet"/>
    <m/>
  </r>
  <r>
    <s v="Senior Level Visit"/>
    <s v="Southeast Asia"/>
    <s v="Asia"/>
    <s v="All-Round Cooperative Partnership [全方合作伙伴关系]"/>
    <s v="None"/>
    <s v="INDOPACOM"/>
    <s v="Singapore"/>
    <x v="26"/>
    <n v="9"/>
    <x v="3"/>
    <s v="Chang Wanquan"/>
    <m/>
    <s v="Defense Minister; CMC Member"/>
    <n v="8"/>
    <s v="Hosted"/>
    <s v="Defense Minister"/>
    <m/>
    <m/>
    <m/>
    <m/>
    <m/>
    <m/>
    <m/>
    <m/>
  </r>
  <r>
    <s v="Naval Port Call"/>
    <s v="Europe"/>
    <s v="Europe and Central Asia"/>
    <s v="Comprehensive Strategic Partnership [全面战略伙伴关系]"/>
    <s v="NATO"/>
    <s v="EUCOM"/>
    <s v="Spain"/>
    <x v="26"/>
    <n v="9"/>
    <x v="0"/>
    <m/>
    <m/>
    <m/>
    <m/>
    <m/>
    <m/>
    <m/>
    <m/>
    <m/>
    <m/>
    <s v="NETF"/>
    <s v="2017-09 Peace Ark"/>
    <s v="East Sea Fleet"/>
    <m/>
  </r>
  <r>
    <s v="Military Exercise"/>
    <s v="South Asia"/>
    <s v="Asia"/>
    <s v="Strategic Cooperative Partnership [战略合作伙伴关系]"/>
    <s v="None"/>
    <s v="INDOPACOM"/>
    <s v="Sri Lanka"/>
    <x v="26"/>
    <n v="9"/>
    <x v="6"/>
    <m/>
    <m/>
    <m/>
    <m/>
    <m/>
    <m/>
    <s v="Combat"/>
    <s v="Cormorant Strike VIII - 2017"/>
    <s v="Navy"/>
    <s v="Special Operations"/>
    <m/>
    <m/>
    <m/>
    <m/>
  </r>
  <r>
    <s v="Senior Level Visit"/>
    <s v="North America"/>
    <s v="America and Oceania"/>
    <s v="No Specific Relationship"/>
    <s v="N/A"/>
    <s v="NORTHCOM"/>
    <s v="United States"/>
    <x v="26"/>
    <n v="9"/>
    <x v="3"/>
    <s v="Shao Yuanming"/>
    <m/>
    <s v="CMC/JSD DCJS"/>
    <n v="5"/>
    <s v="Hosted"/>
    <s v="US Congress "/>
    <m/>
    <m/>
    <m/>
    <m/>
    <m/>
    <m/>
    <m/>
    <m/>
  </r>
  <r>
    <s v="Senior Level Visit"/>
    <s v="Southeast Asia"/>
    <s v="Asia"/>
    <s v="Comprehensive Strategic Cooperative Partnership [全面战略合作伙伴关系]"/>
    <s v="None"/>
    <s v="INDOPACOM"/>
    <s v="Vietnam"/>
    <x v="26"/>
    <n v="9"/>
    <x v="3"/>
    <s v="Fan Changlong"/>
    <m/>
    <s v="CMC Vice Chairman"/>
    <n v="10"/>
    <s v="Hosted"/>
    <s v="Defense Minister"/>
    <m/>
    <m/>
    <m/>
    <m/>
    <m/>
    <m/>
    <m/>
    <m/>
  </r>
  <r>
    <s v="Military Exercise"/>
    <s v="Southeast Asia"/>
    <s v="Asia"/>
    <s v="Comprehensive Strategic Cooperative Partnership [全面战略合作伙伴关系]"/>
    <s v="None"/>
    <s v="INDOPACOM"/>
    <s v="Vietnam"/>
    <x v="26"/>
    <n v="9"/>
    <x v="5"/>
    <m/>
    <m/>
    <m/>
    <m/>
    <m/>
    <m/>
    <s v="Anti-terrorism"/>
    <s v="Unnamed"/>
    <s v="Army"/>
    <s v="Anti-terrorism drills "/>
    <m/>
    <m/>
    <m/>
    <m/>
  </r>
  <r>
    <s v="Naval Port Call"/>
    <s v="Africa"/>
    <s v="West Asia and Africa"/>
    <s v="Strategic Partnership [战略伙伴关系]"/>
    <s v="None"/>
    <s v="AFRICOM"/>
    <s v="Angola"/>
    <x v="26"/>
    <n v="10"/>
    <x v="0"/>
    <m/>
    <m/>
    <m/>
    <m/>
    <m/>
    <m/>
    <m/>
    <m/>
    <m/>
    <m/>
    <s v="NETF"/>
    <s v="2017-10 Peace Ark"/>
    <s v="East Sea Fleet"/>
    <m/>
  </r>
  <r>
    <s v="Senior Level Visit"/>
    <s v="Southeast Asia"/>
    <s v="Asia"/>
    <s v="Strategic Partnership [战略伙伴关系] for Peace and Prosperity"/>
    <s v="None"/>
    <s v="INDOPACOM"/>
    <s v="ASEAN"/>
    <x v="26"/>
    <n v="10"/>
    <x v="1"/>
    <s v="Chang Wanquan"/>
    <m/>
    <s v="Defense Minister; CMC Member"/>
    <n v="8"/>
    <s v="Abroad"/>
    <s v="Seventh China-ASEAN Defense Ministers' Informal Meeting in Laos"/>
    <m/>
    <m/>
    <m/>
    <m/>
    <m/>
    <m/>
    <m/>
    <m/>
  </r>
  <r>
    <s v="Senior Level Visit"/>
    <s v="Southeast Asia"/>
    <s v="Asia"/>
    <s v="Strategic Partnership [战略伙伴关系] for Peace and Prosperity"/>
    <s v="None"/>
    <s v="INDOPACOM"/>
    <s v="ASEAN"/>
    <x v="26"/>
    <n v="10"/>
    <x v="1"/>
    <s v="Chang Wanquan"/>
    <m/>
    <s v="Defense Minister; CMC Member"/>
    <n v="8"/>
    <s v="Abroad"/>
    <s v="4th ADMM+ Philippines"/>
    <m/>
    <m/>
    <m/>
    <m/>
    <m/>
    <m/>
    <m/>
    <m/>
  </r>
  <r>
    <s v="Senior Level Visit"/>
    <s v="Europe"/>
    <s v="Europe and Central Asia"/>
    <s v="Comprehensive Strategic Partnership [全面战略伙伴关系]"/>
    <s v="None"/>
    <s v="EUCOM"/>
    <s v="Belarus"/>
    <x v="26"/>
    <n v="10"/>
    <x v="3"/>
    <s v="Chang Wanquan"/>
    <m/>
    <s v="Defense Minister; CMC Member"/>
    <n v="8"/>
    <s v="Hosted"/>
    <s v="Defense Minister"/>
    <m/>
    <m/>
    <m/>
    <m/>
    <m/>
    <m/>
    <m/>
    <m/>
  </r>
  <r>
    <s v="Military Exercise"/>
    <s v="Southeast Asia"/>
    <s v="Asia"/>
    <s v="Comprehensive Strategic Cooperative Partnership [全面战略合作伙伴关系]"/>
    <s v="None"/>
    <s v="INDOPACOM"/>
    <s v="Cambodia"/>
    <x v="26"/>
    <n v="10"/>
    <x v="5"/>
    <m/>
    <m/>
    <m/>
    <m/>
    <m/>
    <m/>
    <s v="MOOTW"/>
    <s v="Unnamed"/>
    <s v="Navy"/>
    <s v="Maritime"/>
    <m/>
    <m/>
    <m/>
    <m/>
  </r>
  <r>
    <s v="Naval Port Call"/>
    <s v="Southeast Asia"/>
    <s v="Asia"/>
    <s v="Comprehensive Strategic Cooperative Partnership [全面战略合作伙伴关系]"/>
    <s v="None"/>
    <s v="INDOPACOM"/>
    <s v="Cambodia"/>
    <x v="26"/>
    <n v="10"/>
    <x v="0"/>
    <m/>
    <m/>
    <m/>
    <m/>
    <m/>
    <m/>
    <m/>
    <m/>
    <m/>
    <m/>
    <s v="NETF"/>
    <s v="2017-10 DDG150 Changchun"/>
    <s v="East Sea Fleet"/>
    <s v="DDG150 Changchun, FFG532 Jingzhou, AOR890 Chaohu"/>
  </r>
  <r>
    <s v="Naval Port Call"/>
    <s v="Africa"/>
    <s v="West Asia and Africa"/>
    <s v="Comprehensive Strategic Partnership [全面战略伙伴关系]"/>
    <s v="None"/>
    <s v="AFRICOM"/>
    <s v="Congo"/>
    <x v="26"/>
    <n v="10"/>
    <x v="0"/>
    <m/>
    <m/>
    <m/>
    <m/>
    <m/>
    <m/>
    <m/>
    <m/>
    <m/>
    <m/>
    <s v="NETF"/>
    <s v="2017-10 Peace Ark"/>
    <s v="East Sea Fleet"/>
    <m/>
  </r>
  <r>
    <s v="Naval Port Call"/>
    <s v="Europe"/>
    <s v="Europe and Central Asia"/>
    <s v="Comprehensive Strategic Partnership [全面战略伙伴关系]"/>
    <s v="NATO"/>
    <s v="EUCOM"/>
    <s v="France"/>
    <x v="26"/>
    <n v="10"/>
    <x v="0"/>
    <m/>
    <m/>
    <m/>
    <m/>
    <m/>
    <m/>
    <m/>
    <m/>
    <m/>
    <m/>
    <s v="ETF"/>
    <s v="ETF-26"/>
    <s v="East Sea Fleet"/>
    <s v="FFG577 Huanggang, FFG578 Yangzhou"/>
  </r>
  <r>
    <s v="Military Exercise"/>
    <s v="Europe"/>
    <s v="Europe and Central Asia"/>
    <s v="Comprehensive Strategic Partnership [全面战略伙伴关系]"/>
    <s v="NATO"/>
    <s v="EUCOM"/>
    <s v="France"/>
    <x v="26"/>
    <n v="10"/>
    <x v="5"/>
    <m/>
    <m/>
    <m/>
    <m/>
    <m/>
    <m/>
    <s v="MOOTW"/>
    <s v="Unnamed"/>
    <s v="Navy"/>
    <s v="Maritime"/>
    <m/>
    <m/>
    <m/>
    <m/>
  </r>
  <r>
    <s v="Naval Port Call"/>
    <s v="Africa"/>
    <s v="West Asia and Africa"/>
    <s v="Comprehensive Cooperative Partnership [全面合作伙伴关系]"/>
    <s v="None"/>
    <s v="AFRICOM"/>
    <s v="Gabon"/>
    <x v="26"/>
    <n v="10"/>
    <x v="0"/>
    <m/>
    <m/>
    <m/>
    <m/>
    <m/>
    <m/>
    <m/>
    <m/>
    <m/>
    <m/>
    <s v="NETF"/>
    <s v="2017-10 Peace Ark"/>
    <s v="East Sea Fleet"/>
    <m/>
  </r>
  <r>
    <s v="Naval Port Call"/>
    <s v="Europe"/>
    <s v="Europe and Central Asia"/>
    <s v="Comprehensive Strategic Partnership [全面战略伙伴关系]"/>
    <s v="NATO"/>
    <s v="EUCOM"/>
    <s v="Italy"/>
    <x v="26"/>
    <n v="10"/>
    <x v="0"/>
    <m/>
    <m/>
    <m/>
    <m/>
    <m/>
    <m/>
    <m/>
    <m/>
    <m/>
    <m/>
    <s v="NETF"/>
    <s v="2017-10 TS83 Qi Jiguang"/>
    <s v="East Sea Fleet"/>
    <s v="TS83 QiJiguang"/>
  </r>
  <r>
    <s v="Senior Level Visit"/>
    <s v="Southeast Asia"/>
    <s v="Asia"/>
    <s v="Comprehensive Strategic Cooperative Partnership [全面战略合作伙伴关系]"/>
    <s v="None"/>
    <s v="INDOPACOM"/>
    <s v="Laos"/>
    <x v="26"/>
    <n v="10"/>
    <x v="4"/>
    <s v="Chang Wanquan"/>
    <m/>
    <s v="Defense Minister; CMC Member"/>
    <n v="8"/>
    <s v="Abroad"/>
    <s v="Defense Minister"/>
    <m/>
    <m/>
    <m/>
    <m/>
    <m/>
    <m/>
    <m/>
    <m/>
  </r>
  <r>
    <s v="Senior Level Visit"/>
    <s v="Southeast Asia"/>
    <s v="Asia"/>
    <s v="Comprehensive Strategic Partnership [全面战略伙伴关系]"/>
    <s v="None"/>
    <s v="INDOPACOM"/>
    <s v="Malaysia"/>
    <x v="26"/>
    <n v="10"/>
    <x v="7"/>
    <s v="Chang Wanquan"/>
    <m/>
    <s v="Defense Minister; CMC Member"/>
    <n v="8"/>
    <s v="Abroad"/>
    <s v="Defense Minister"/>
    <m/>
    <m/>
    <m/>
    <m/>
    <m/>
    <m/>
    <m/>
    <m/>
  </r>
  <r>
    <s v="Senior Level Visit"/>
    <s v="Southeast Asia"/>
    <s v="Asia"/>
    <s v="Strategic Cooperative Partnership [战略合作伙伴关系]"/>
    <s v="Bilateral Defense Treaty"/>
    <s v="INDOPACOM"/>
    <s v="Philippines"/>
    <x v="26"/>
    <n v="10"/>
    <x v="4"/>
    <s v="Chang Wanquan"/>
    <m/>
    <s v="Defense Minister; CMC Member"/>
    <n v="8"/>
    <s v="Abroad"/>
    <s v="President"/>
    <m/>
    <m/>
    <m/>
    <m/>
    <m/>
    <m/>
    <m/>
    <m/>
  </r>
  <r>
    <s v="Naval Port Call"/>
    <s v="Europe"/>
    <s v="Europe and Central Asia"/>
    <s v="Comprehensive Strategic Partnership [全面战略伙伴关系]"/>
    <s v="NATO"/>
    <s v="EUCOM"/>
    <s v="Portugal"/>
    <x v="26"/>
    <n v="10"/>
    <x v="0"/>
    <m/>
    <m/>
    <m/>
    <m/>
    <m/>
    <m/>
    <m/>
    <m/>
    <m/>
    <m/>
    <s v="NETF"/>
    <s v="2017-10 TS83 Qi Jiguang"/>
    <s v="East Sea Fleet"/>
    <s v="TS83 QiJiguang"/>
  </r>
  <r>
    <s v="Senior Level Visit"/>
    <s v="Russia"/>
    <s v="Europe and Central Asia"/>
    <s v="Comprehensive Collaborative Strategic Partnership [全面战略协作伙伴关系]"/>
    <s v="None"/>
    <s v="EUCOM"/>
    <s v="Russia"/>
    <x v="26"/>
    <n v="10"/>
    <x v="7"/>
    <s v="Chang Wanquan"/>
    <m/>
    <s v="Defense Minister; CMC Member"/>
    <n v="8"/>
    <s v="Abroad"/>
    <s v="Defense Minister"/>
    <m/>
    <m/>
    <m/>
    <m/>
    <m/>
    <m/>
    <m/>
    <m/>
  </r>
  <r>
    <s v="Senior Level Visit"/>
    <s v="Southeast Asia"/>
    <s v="Asia"/>
    <s v="All-Round Cooperative Partnership [全方合作伙伴关系]"/>
    <s v="None"/>
    <s v="INDOPACOM"/>
    <s v="Singapore"/>
    <x v="26"/>
    <n v="10"/>
    <x v="7"/>
    <s v="Chang Wanquan"/>
    <m/>
    <s v="Defense Minister; CMC Member"/>
    <n v="8"/>
    <s v="Abroad"/>
    <s v="Defense Minister"/>
    <m/>
    <m/>
    <m/>
    <m/>
    <m/>
    <m/>
    <m/>
    <m/>
  </r>
  <r>
    <s v="Senior Level Visit"/>
    <s v="Northeast Asia"/>
    <s v="Asia"/>
    <s v="Strategic Cooperative Partnership [战略合作伙伴关系]"/>
    <s v="Bilateral Defense Treaty"/>
    <s v="INDOPACOM"/>
    <s v="South Korea"/>
    <x v="26"/>
    <n v="10"/>
    <x v="7"/>
    <s v="Chang Wanquan"/>
    <m/>
    <s v="Defense Minister; CMC Member"/>
    <n v="8"/>
    <s v="Abroad"/>
    <s v="Defense Minister"/>
    <m/>
    <m/>
    <m/>
    <m/>
    <m/>
    <m/>
    <m/>
    <m/>
  </r>
  <r>
    <s v="Military Exercise"/>
    <s v="Southeast Asia"/>
    <s v="Asia"/>
    <s v="Comprehensive Strategic Cooperative Partnership [全面战略合作伙伴关系]"/>
    <s v="Bilateral Defense Treaty"/>
    <s v="INDOPACOM"/>
    <s v="Thailand"/>
    <x v="26"/>
    <n v="10"/>
    <x v="5"/>
    <m/>
    <m/>
    <m/>
    <m/>
    <m/>
    <m/>
    <s v="MOOTW"/>
    <s v="Unnamed"/>
    <s v="Navy"/>
    <s v="Maritime"/>
    <m/>
    <m/>
    <m/>
    <m/>
  </r>
  <r>
    <s v="Naval Port Call"/>
    <s v="Southeast Asia"/>
    <s v="Asia"/>
    <s v="Comprehensive Strategic Cooperative Partnership [全面战略合作伙伴关系]"/>
    <s v="Bilateral Defense Treaty"/>
    <s v="INDOPACOM"/>
    <s v="Thailand"/>
    <x v="26"/>
    <n v="10"/>
    <x v="0"/>
    <m/>
    <m/>
    <m/>
    <m/>
    <m/>
    <m/>
    <m/>
    <m/>
    <m/>
    <m/>
    <s v="NETF"/>
    <s v="2017-10 DDG150 Changchun"/>
    <s v="East Sea Fleet"/>
    <s v="DDG150 Changchun, FFG532 Jingzhou, AOR890 Chaohu"/>
  </r>
  <r>
    <s v="Naval Port Call"/>
    <s v="Europe"/>
    <s v="Europe and Central Asia"/>
    <s v="Comprehensive Strategic Partnership [全面战略伙伴关系]"/>
    <s v="NATO"/>
    <s v="EUCOM"/>
    <s v="United Kingdom"/>
    <x v="26"/>
    <n v="10"/>
    <x v="0"/>
    <m/>
    <m/>
    <m/>
    <m/>
    <m/>
    <m/>
    <m/>
    <m/>
    <m/>
    <m/>
    <s v="ETF"/>
    <s v="ETF-26"/>
    <s v="East Sea Fleet"/>
    <s v="FFG577 Huanggang, FFG578 Yangzhou"/>
  </r>
  <r>
    <s v="Naval Port Call"/>
    <s v="South Asia"/>
    <s v="Asia"/>
    <s v="Strategic Cooperative Partnership [战略合作伙伴关系]"/>
    <s v="None"/>
    <s v="INDOPACOM"/>
    <s v="Bangladesh"/>
    <x v="26"/>
    <n v="11"/>
    <x v="0"/>
    <m/>
    <m/>
    <m/>
    <m/>
    <m/>
    <m/>
    <m/>
    <m/>
    <m/>
    <m/>
    <s v="NETF"/>
    <s v="2017-11 FFG571 Yuncheng"/>
    <s v="East Sea Fleet"/>
    <s v="FFG571 Yuncheng"/>
  </r>
  <r>
    <s v="Senior Level Visit"/>
    <s v="Europe"/>
    <s v="Europe and Central Asia"/>
    <s v="Comprehensive Friendly Cooperative Partnership [全面友好合作伙伴关系]"/>
    <s v="NATO"/>
    <s v="EUCOM"/>
    <s v="Bulgaria"/>
    <x v="26"/>
    <n v="11"/>
    <x v="3"/>
    <s v="Ding Laihang "/>
    <m/>
    <s v="PLAAF Commander "/>
    <n v="6"/>
    <s v="Hosted"/>
    <s v="Commander of Air Force"/>
    <m/>
    <m/>
    <m/>
    <m/>
    <m/>
    <m/>
    <m/>
    <m/>
  </r>
  <r>
    <s v="Senior Level Visit"/>
    <s v="Africa"/>
    <s v="West Asia and Africa"/>
    <s v="No Specific Relationship"/>
    <s v="None"/>
    <s v="AFRICOM"/>
    <s v="Cape Verde"/>
    <x v="26"/>
    <n v="11"/>
    <x v="3"/>
    <s v="Chang Wanquan"/>
    <m/>
    <s v="Defense Minister; CMC Member"/>
    <n v="8"/>
    <s v="Hosted"/>
    <s v="Minister for Foreign Affairs "/>
    <m/>
    <m/>
    <m/>
    <m/>
    <m/>
    <m/>
    <m/>
    <m/>
  </r>
  <r>
    <s v="Military Exercise"/>
    <s v="South Asia"/>
    <s v="Asia"/>
    <s v="No Specific Relationship"/>
    <s v="None"/>
    <s v="INDOPACOM"/>
    <s v="IONS"/>
    <x v="26"/>
    <n v="11"/>
    <x v="6"/>
    <m/>
    <m/>
    <m/>
    <m/>
    <m/>
    <m/>
    <s v="MOOTW"/>
    <s v="International Maritime Search and Rescue Exercise"/>
    <s v="Navy"/>
    <s v="Search and rescue; held in Bangladesh"/>
    <m/>
    <m/>
    <m/>
    <m/>
  </r>
  <r>
    <s v="Naval Port Call"/>
    <s v="Africa"/>
    <s v="West Asia and Africa"/>
    <s v="Comprehensive Strategic Cooperative Partnership [全面战略合作伙伴关系]"/>
    <s v="None"/>
    <s v="AFRICOM"/>
    <s v="Mozambique"/>
    <x v="26"/>
    <n v="11"/>
    <x v="0"/>
    <m/>
    <m/>
    <m/>
    <m/>
    <m/>
    <m/>
    <m/>
    <m/>
    <m/>
    <m/>
    <s v="NETF"/>
    <s v="2017-11 Peace Ark"/>
    <s v="East Sea Fleet"/>
    <m/>
  </r>
  <r>
    <s v="Senior Level Visit"/>
    <s v="Southeast Asia"/>
    <s v="Asia"/>
    <s v="Comprehensive Strategic Cooperative Partnership [全面战略合作伙伴关系]"/>
    <s v="None"/>
    <s v="INDOPACOM"/>
    <s v="Myanmar"/>
    <x v="26"/>
    <n v="11"/>
    <x v="3"/>
    <s v="Xu Qiliang"/>
    <m/>
    <s v="CMC Vice Chairman"/>
    <n v="10"/>
    <s v="Hosted"/>
    <s v="Visiting Commander in Chief"/>
    <m/>
    <m/>
    <m/>
    <m/>
    <m/>
    <m/>
    <m/>
    <m/>
  </r>
  <r>
    <s v="Senior Level Visit"/>
    <s v="Oceania"/>
    <s v="America and Oceania"/>
    <s v="Comprehensive Strategic Partnership [全面战略伙伴关系]"/>
    <s v="ANZUS Treaty"/>
    <s v="INDOPACOM"/>
    <s v="New Zealand"/>
    <x v="26"/>
    <n v="11"/>
    <x v="3"/>
    <s v="Song Puxuan"/>
    <m/>
    <s v="CMC/LSD Director"/>
    <n v="8"/>
    <s v="Hosted"/>
    <s v="Commander of the Logistics Command "/>
    <m/>
    <m/>
    <m/>
    <m/>
    <m/>
    <m/>
    <m/>
    <m/>
  </r>
  <r>
    <s v="Senior Level Visit"/>
    <s v="South Asia"/>
    <s v="Asia"/>
    <s v="All-Weather Strategic Cooperative Partnership [全天候战略合作伙伴关系]"/>
    <s v="Major Non-NATO Ally"/>
    <s v="CENTCOM"/>
    <s v="Pakistan"/>
    <x v="26"/>
    <n v="11"/>
    <x v="3"/>
    <s v="Li Zuocheng"/>
    <m/>
    <s v="PLAA Commander"/>
    <n v="6"/>
    <s v="Hosted"/>
    <s v="Chief of General Staff"/>
    <m/>
    <m/>
    <m/>
    <m/>
    <m/>
    <m/>
    <m/>
    <m/>
  </r>
  <r>
    <s v="Military Exercise"/>
    <s v="South Asia"/>
    <s v="Asia"/>
    <s v="All-Weather Strategic Cooperative Partnership [全天候战略合作伙伴关系]"/>
    <s v="Major Non-NATO Ally"/>
    <s v="CENTCOM"/>
    <s v="Pakistan"/>
    <x v="26"/>
    <n v="11"/>
    <x v="5"/>
    <m/>
    <m/>
    <m/>
    <m/>
    <m/>
    <m/>
    <s v="MOOTW"/>
    <s v="Unnamed"/>
    <s v="Navy"/>
    <s v="Maritime"/>
    <m/>
    <m/>
    <m/>
    <m/>
  </r>
  <r>
    <s v="Naval Port Call"/>
    <s v="South Asia"/>
    <s v="Asia"/>
    <s v="Strategic Cooperative Partnership [战略合作伙伴关系]"/>
    <s v="None"/>
    <s v="INDOPACOM"/>
    <s v="Sri Lanka"/>
    <x v="26"/>
    <n v="11"/>
    <x v="0"/>
    <m/>
    <m/>
    <m/>
    <m/>
    <m/>
    <m/>
    <m/>
    <m/>
    <m/>
    <m/>
    <s v="NETF"/>
    <s v="2017-11 TS83 Qi Jiguang"/>
    <s v="East Sea Fleet"/>
    <s v="TS83 QiJiguang"/>
  </r>
  <r>
    <s v="Naval Port Call"/>
    <s v="Africa"/>
    <s v="West Asia and Africa"/>
    <s v="Comprehensive Cooperative Partnership [全面合作伙伴关系]"/>
    <s v="None"/>
    <s v="AFRICOM"/>
    <s v="Tanzania"/>
    <x v="26"/>
    <n v="11"/>
    <x v="0"/>
    <m/>
    <m/>
    <m/>
    <m/>
    <m/>
    <m/>
    <m/>
    <m/>
    <m/>
    <m/>
    <s v="NETF"/>
    <s v="2017-11 Peace Ark"/>
    <s v="East Sea Fleet"/>
    <m/>
  </r>
  <r>
    <s v="Naval Port Call"/>
    <s v="Southeast Asia"/>
    <s v="Asia"/>
    <s v="Comprehensive Strategic Cooperative Partnership [全面战略合作伙伴关系]"/>
    <s v="Bilateral Defense Treaty"/>
    <s v="INDOPACOM"/>
    <s v="Thailand"/>
    <x v="26"/>
    <n v="11"/>
    <x v="0"/>
    <m/>
    <m/>
    <m/>
    <m/>
    <m/>
    <m/>
    <m/>
    <m/>
    <m/>
    <m/>
    <s v="NETF"/>
    <s v="2017-11 TS83 Qi Jiguang"/>
    <s v="East Sea Fleet"/>
    <s v="TS83 QiJiguang"/>
  </r>
  <r>
    <s v="Naval Port Call"/>
    <s v="Southeast Asia"/>
    <s v="Asia"/>
    <s v="Comprehensive Strategic Cooperative Partnership [全面战略合作伙伴关系]"/>
    <s v="Bilateral Defense Treaty"/>
    <s v="INDOPACOM"/>
    <s v="Thailand"/>
    <x v="26"/>
    <n v="11"/>
    <x v="0"/>
    <m/>
    <m/>
    <m/>
    <m/>
    <m/>
    <m/>
    <m/>
    <m/>
    <m/>
    <m/>
    <s v="NETF"/>
    <s v="2017-11 DDG150 Changchun"/>
    <s v="East Sea Fleet"/>
    <s v="DDG150 Changchun"/>
  </r>
  <r>
    <s v="Military Exercise"/>
    <s v="North America"/>
    <s v="America and Oceania"/>
    <s v="No Specific Relationship"/>
    <s v="N/A"/>
    <s v="NORTHCOM"/>
    <s v="United States"/>
    <x v="26"/>
    <n v="11"/>
    <x v="5"/>
    <m/>
    <m/>
    <m/>
    <m/>
    <m/>
    <m/>
    <s v="MOOTW"/>
    <s v="13th China-US Disaster Management TTX"/>
    <s v="Army"/>
    <s v="Oregon; HADR academic discussion; TTX; and field exchange"/>
    <m/>
    <m/>
    <m/>
    <m/>
  </r>
  <r>
    <s v="Senior Level Visit"/>
    <s v="North America"/>
    <s v="America and Oceania"/>
    <s v="No Specific Relationship"/>
    <s v="N/A"/>
    <s v="NORTHCOM"/>
    <s v="United States"/>
    <x v="26"/>
    <n v="11"/>
    <x v="4"/>
    <s v="Shao Yuanming"/>
    <m/>
    <s v="CMC/JSD DCJS"/>
    <n v="5"/>
    <s v="Abroad"/>
    <s v="Director for Strategic Plans and Policy of the Joint Chiefs of Staff"/>
    <m/>
    <m/>
    <m/>
    <m/>
    <m/>
    <m/>
    <m/>
    <m/>
  </r>
  <r>
    <s v="Senior Level Visit"/>
    <s v="Africa"/>
    <s v="West Asia and Africa"/>
    <s v="No Specific Relationship"/>
    <s v="None"/>
    <s v="AFRICOM"/>
    <s v="Zambia"/>
    <x v="26"/>
    <n v="11"/>
    <x v="3"/>
    <s v="Ding Laihang "/>
    <m/>
    <s v="PLAAF Commander "/>
    <n v="6"/>
    <s v="Hosted"/>
    <s v="Commander of Air Force"/>
    <m/>
    <m/>
    <m/>
    <m/>
    <m/>
    <m/>
    <m/>
    <m/>
  </r>
  <r>
    <s v="Senior Level Visit"/>
    <s v="Africa"/>
    <s v="West Asia and Africa"/>
    <s v="No Specific Relationship"/>
    <s v="None"/>
    <s v="AFRICOM"/>
    <s v="Zimbabwe"/>
    <x v="26"/>
    <n v="11"/>
    <x v="3"/>
    <s v="Chang Wanquan"/>
    <m/>
    <s v="Defense Minister; CMC Member"/>
    <n v="8"/>
    <s v="Hosted"/>
    <s v="Commander of Defense Forces"/>
    <m/>
    <m/>
    <m/>
    <m/>
    <m/>
    <m/>
    <m/>
    <m/>
  </r>
  <r>
    <s v="Senior Level Visit"/>
    <s v="South Asia"/>
    <s v="Europe and Central Asia"/>
    <s v="Strategic Partnership [战略伙伴关系]"/>
    <s v="Major Non-NATO Ally"/>
    <s v="CENTCOM"/>
    <s v="Afghanistan"/>
    <x v="26"/>
    <n v="12"/>
    <x v="3"/>
    <s v="Chang Wanquan"/>
    <m/>
    <s v="Defense Minister; CMC Member"/>
    <n v="8"/>
    <s v="Hosted"/>
    <s v="Defense Minister"/>
    <m/>
    <m/>
    <m/>
    <m/>
    <m/>
    <m/>
    <m/>
    <m/>
  </r>
  <r>
    <s v="Military Exercise"/>
    <s v="Oceania"/>
    <s v="America and Oceania"/>
    <s v="Comprehensive Strategic Partnership [全面战略伙伴关系]"/>
    <s v="ANZUS Treaty"/>
    <s v="INDOPACOM"/>
    <s v="Australia"/>
    <x v="26"/>
    <n v="12"/>
    <x v="6"/>
    <m/>
    <m/>
    <m/>
    <m/>
    <m/>
    <m/>
    <s v="MOOTW"/>
    <s v="Cooperation Spirit 2017"/>
    <s v="Navy"/>
    <s v="Humanitarian aid "/>
    <m/>
    <m/>
    <m/>
    <m/>
  </r>
  <r>
    <s v="Senior Level Visit"/>
    <s v="Southeast Asia"/>
    <s v="Asia"/>
    <s v="Comprehensive Strategic Cooperative Partnership [全面战略合作伙伴关系]"/>
    <s v="None"/>
    <s v="INDOPACOM"/>
    <s v="Cambodia"/>
    <x v="26"/>
    <n v="12"/>
    <x v="3"/>
    <s v="Ma Yiming"/>
    <m/>
    <s v="CMC/JSD DCJS"/>
    <n v="5"/>
    <s v="Hosted"/>
    <s v="Deputy Commander in Chief"/>
    <m/>
    <m/>
    <m/>
    <m/>
    <m/>
    <m/>
    <m/>
    <m/>
  </r>
  <r>
    <s v="Naval Port Call"/>
    <s v="Southeast Asia"/>
    <s v="Asia"/>
    <s v="Comprehensive Cooperative Partnership [全面合作伙伴关系]"/>
    <s v="None"/>
    <s v="INDOPACOM"/>
    <s v="East Timor"/>
    <x v="26"/>
    <n v="12"/>
    <x v="0"/>
    <m/>
    <m/>
    <m/>
    <m/>
    <m/>
    <m/>
    <m/>
    <m/>
    <m/>
    <m/>
    <s v="NETF"/>
    <s v="2017-12 Peace Ark"/>
    <s v="East Sea Fleet "/>
    <m/>
  </r>
  <r>
    <s v="Military Exercise"/>
    <s v="Southeast Asia"/>
    <s v="Asia"/>
    <s v="Comprehensive Cooperative Partnership [全面合作伙伴关系]"/>
    <s v="None"/>
    <s v="INDOPACOM"/>
    <s v="East Timor"/>
    <x v="26"/>
    <n v="12"/>
    <x v="5"/>
    <m/>
    <m/>
    <m/>
    <m/>
    <m/>
    <m/>
    <s v="MOOTW"/>
    <s v="Unnamed"/>
    <s v="Navy"/>
    <s v="Humanitarian assistance and disaster relief"/>
    <m/>
    <m/>
    <m/>
    <m/>
  </r>
  <r>
    <s v="Senior Level Visit"/>
    <s v="Africa"/>
    <s v="West Asia and Africa"/>
    <s v="Comprehensive Cooperative Partnership [全面合作伙伴关系]"/>
    <s v="None"/>
    <s v="AFRICOM"/>
    <s v="Gabon"/>
    <x v="26"/>
    <n v="12"/>
    <x v="3"/>
    <s v="Chang Wanquan"/>
    <m/>
    <s v="Defense Minister; CMC Member"/>
    <n v="8"/>
    <s v="Hosted"/>
    <s v="Defense Minister"/>
    <m/>
    <m/>
    <m/>
    <m/>
    <m/>
    <m/>
    <m/>
    <m/>
  </r>
  <r>
    <s v="Senior Level Visit"/>
    <s v="Middle East"/>
    <s v="West Asia and Africa"/>
    <s v="Comprehensive Strategic Partnership [全面战略伙伴关系]"/>
    <s v="None"/>
    <s v="CENTCOM"/>
    <s v="Iran"/>
    <x v="26"/>
    <n v="12"/>
    <x v="3"/>
    <s v="Chang Wanquan"/>
    <m/>
    <s v="Defense Minister; CMC Member"/>
    <n v="8"/>
    <s v="Hosted"/>
    <s v="Defense Minister"/>
    <m/>
    <m/>
    <m/>
    <m/>
    <m/>
    <m/>
    <m/>
    <m/>
  </r>
  <r>
    <s v="Senior Level Visit"/>
    <s v="Africa"/>
    <s v="West Asia and Africa"/>
    <s v="Comprehensive Strategic Cooperative Partnership [全面战略合作伙伴关系]"/>
    <s v="None"/>
    <s v="AFRICOM"/>
    <s v="Mozambique"/>
    <x v="26"/>
    <n v="12"/>
    <x v="3"/>
    <s v="Li Zuocheng"/>
    <m/>
    <s v="CMC/JSD CJS"/>
    <n v="8"/>
    <s v="Hosted"/>
    <s v="Chief of General Staff"/>
    <m/>
    <m/>
    <m/>
    <m/>
    <m/>
    <m/>
    <m/>
    <m/>
  </r>
  <r>
    <s v="Military Exercise"/>
    <s v="South Asia"/>
    <s v="Asia"/>
    <s v="All-Weather Strategic Cooperative Partnership [全天候战略合作伙伴关系]"/>
    <s v="Major Non-NATO Ally"/>
    <s v="CENTCOM"/>
    <s v="Pakistan"/>
    <x v="26"/>
    <n v="12"/>
    <x v="5"/>
    <m/>
    <m/>
    <m/>
    <m/>
    <m/>
    <m/>
    <s v="Anti-piracy"/>
    <s v="Friend-2017"/>
    <s v="Navy"/>
    <s v="Anti-piracy"/>
    <m/>
    <m/>
    <m/>
    <m/>
  </r>
  <r>
    <s v="Senior Level Visit"/>
    <s v="Russia"/>
    <s v="Europe and Central Asia"/>
    <s v="Comprehensive Collaborative Strategic Partnership [全面战略协作伙伴关系]"/>
    <s v="None"/>
    <s v="EUCOM"/>
    <s v="Russia"/>
    <x v="26"/>
    <n v="12"/>
    <x v="4"/>
    <s v="Zhang Youxia"/>
    <m/>
    <s v="CMC Vice Chairman"/>
    <n v="10"/>
    <s v="Abroad"/>
    <s v="Defense Minister"/>
    <m/>
    <m/>
    <m/>
    <m/>
    <m/>
    <m/>
    <m/>
    <m/>
  </r>
  <r>
    <s v="Military Exercise"/>
    <s v="Russia"/>
    <s v="Europe and Central Asia"/>
    <s v="Comprehensive Collaborative Strategic Partnership [全面战略协作伙伴关系]"/>
    <s v="None"/>
    <s v="EUCOM"/>
    <s v="Russia"/>
    <x v="26"/>
    <n v="12"/>
    <x v="5"/>
    <m/>
    <m/>
    <m/>
    <m/>
    <m/>
    <m/>
    <s v="Anti-terrorism"/>
    <s v="Cooperation 2017"/>
    <s v="PAP"/>
    <s v="Held in Yinchuan; &quot;training of assault into buildings, searching and combating in blocks and anti-hijacking of bus&quot;"/>
    <m/>
    <m/>
    <m/>
    <m/>
  </r>
  <r>
    <s v="Military Exercise"/>
    <s v="Russia"/>
    <s v="Europe and Central Asia"/>
    <s v="Comprehensive Collaborative Strategic Partnership [全面战略协作伙伴关系]"/>
    <s v="None"/>
    <s v="EUCOM"/>
    <s v="Russia"/>
    <x v="26"/>
    <n v="12"/>
    <x v="5"/>
    <m/>
    <m/>
    <m/>
    <m/>
    <m/>
    <m/>
    <s v="Strategic CPX"/>
    <s v="Aerospace Security 2017"/>
    <s v="Air Force"/>
    <s v="Computer-enabled missile defense exercise (TTX).  Held at  Air Defense and Anti-Missile Defense Research Institute of the Air Force Academy of the Chinese People's Liberation Army in Beijing."/>
    <m/>
    <m/>
    <m/>
    <m/>
  </r>
  <r>
    <s v="Senior Level Visit"/>
    <s v="Southeast Asia"/>
    <s v="Asia"/>
    <s v="All-Round Cooperative Partnership [全方合作伙伴关系]"/>
    <s v="None"/>
    <s v="INDOPACOM"/>
    <s v="Singapore"/>
    <x v="26"/>
    <n v="12"/>
    <x v="4"/>
    <s v="Jiang Guoping"/>
    <m/>
    <s v="CMC/JSD Assistant Commander"/>
    <n v="5"/>
    <s v="Abroad"/>
    <s v="Defense Minister"/>
    <m/>
    <m/>
    <m/>
    <m/>
    <m/>
    <m/>
    <m/>
    <m/>
  </r>
  <r>
    <s v="Senior Level Visit"/>
    <s v="Central Asia"/>
    <s v="Europe and Central Asia"/>
    <s v="Comprehensive Strategic Partnership [全面战略伙伴关系]"/>
    <s v="None"/>
    <s v="CENTCOM"/>
    <s v="Uzbekistan"/>
    <x v="26"/>
    <n v="12"/>
    <x v="4"/>
    <s v="Chang Wanquan"/>
    <m/>
    <s v="Defense Minister; CMC Member"/>
    <n v="8"/>
    <s v="Abroad"/>
    <s v="Major General"/>
    <m/>
    <m/>
    <m/>
    <m/>
    <m/>
    <m/>
    <m/>
    <m/>
  </r>
  <r>
    <s v="Naval Port Call"/>
    <s v="Africa"/>
    <s v="West Asia and Africa"/>
    <s v="Comprehensive Strategic Partnership [全面战略伙伴关系]"/>
    <s v="None"/>
    <s v="AFRICOM"/>
    <s v="Algeria"/>
    <x v="27"/>
    <n v="1"/>
    <x v="0"/>
    <m/>
    <m/>
    <m/>
    <m/>
    <m/>
    <m/>
    <m/>
    <m/>
    <m/>
    <m/>
    <s v="ETF"/>
    <s v="ETF-27"/>
    <s v="South Sea Fleet"/>
    <s v="DDG171 Haikou, FFG575 Yueyang"/>
  </r>
  <r>
    <s v="Naval Port Call"/>
    <s v="Africa"/>
    <s v="West Asia and Africa"/>
    <s v="Strategic Partnership [战略伙伴关系]"/>
    <s v="Major Non-NATO Ally"/>
    <s v="AFRICOM"/>
    <s v="Morocco"/>
    <x v="27"/>
    <n v="1"/>
    <x v="0"/>
    <m/>
    <m/>
    <m/>
    <m/>
    <m/>
    <m/>
    <m/>
    <m/>
    <m/>
    <m/>
    <s v="ETF"/>
    <s v="ETF-27"/>
    <s v="South Sea Fleet"/>
    <s v="DDG171 Haikou, FFG575 Yueyang"/>
  </r>
  <r>
    <s v="Senior Level Visit"/>
    <s v="Southeast Asia"/>
    <s v="Asia"/>
    <s v="Comprehensive Strategic Cooperative Partnership [全面战略合作伙伴关系]"/>
    <s v="None"/>
    <s v="INDOPACOM"/>
    <s v="Myanmar"/>
    <x v="27"/>
    <n v="1"/>
    <x v="3"/>
    <s v="Chang Wanquan"/>
    <m/>
    <s v="Defense Minister; CMC Member"/>
    <n v="8"/>
    <s v="Hosted"/>
    <s v="Navy Commander"/>
    <m/>
    <m/>
    <m/>
    <m/>
    <m/>
    <m/>
    <m/>
    <m/>
  </r>
  <r>
    <s v="Senior Level Visit"/>
    <s v="Southeast Asia"/>
    <s v="Asia"/>
    <s v="Comprehensive Strategic Cooperative Partnership [全面战略合作伙伴关系]"/>
    <s v="None"/>
    <s v="INDOPACOM"/>
    <s v="Myanmar"/>
    <x v="27"/>
    <n v="1"/>
    <x v="4"/>
    <s v="Shao Yuanming"/>
    <m/>
    <s v="CMC/JSD DCJS"/>
    <n v="5"/>
    <s v="Hosted"/>
    <s v="Minister of International Cooperation "/>
    <m/>
    <m/>
    <m/>
    <m/>
    <m/>
    <m/>
    <m/>
    <m/>
  </r>
  <r>
    <s v="Naval Port Call"/>
    <s v="Africa"/>
    <s v="West Asia and Africa"/>
    <s v="No Specific Relationship"/>
    <s v="Major Non-NATO Ally"/>
    <s v="AFRICOM"/>
    <s v="Tunisia"/>
    <x v="27"/>
    <n v="1"/>
    <x v="0"/>
    <m/>
    <m/>
    <m/>
    <m/>
    <m/>
    <m/>
    <m/>
    <m/>
    <m/>
    <m/>
    <s v="ETF"/>
    <s v="ETF-27"/>
    <s v="South Sea Fleet"/>
    <s v="DDG171 Haikou, FFG575 Yueyang"/>
  </r>
  <r>
    <s v="Senior Level Visit"/>
    <s v="Southeast Asia"/>
    <s v="Asia"/>
    <s v="Strategic Partnership [战略伙伴关系] for Peace and Prosperity"/>
    <s v="None"/>
    <s v="INDOPACOM"/>
    <s v="ASEAN"/>
    <x v="27"/>
    <n v="2"/>
    <x v="1"/>
    <s v="Chang Wanquan"/>
    <m/>
    <s v="Defense Minister; CMC Member"/>
    <n v="8"/>
    <s v="Abroad"/>
    <s v="Eighth China-ASEAN Defense Ministers' Informal Meeting in Singapore"/>
    <m/>
    <m/>
    <m/>
    <m/>
    <m/>
    <m/>
    <m/>
    <m/>
  </r>
  <r>
    <s v="Senior Level Visit"/>
    <s v="Africa"/>
    <s v="West Asia and Africa"/>
    <s v="Comprehensive Cooperative Partnership [全面合作伙伴关系]"/>
    <s v="None"/>
    <s v="AFRICOM"/>
    <s v="Equatorial Guinea"/>
    <x v="27"/>
    <n v="2"/>
    <x v="4"/>
    <s v="Chang Wanquan"/>
    <m/>
    <s v="Defense Minister; CMC Member"/>
    <n v="8"/>
    <s v="Abroad"/>
    <s v="Defense Minister"/>
    <m/>
    <m/>
    <m/>
    <m/>
    <m/>
    <m/>
    <m/>
    <m/>
  </r>
  <r>
    <s v="Senior Level Visit"/>
    <s v="Africa"/>
    <s v="West Asia and Africa"/>
    <s v="Comprehensive Cooperative Partnership [全面合作伙伴关系]"/>
    <s v="None"/>
    <s v="AFRICOM"/>
    <s v="Gabon"/>
    <x v="27"/>
    <n v="2"/>
    <x v="4"/>
    <s v="Chang Wanquan"/>
    <m/>
    <s v="Defense Minister; CMC Member"/>
    <n v="8"/>
    <s v="Abroad"/>
    <s v="Defense Minister"/>
    <m/>
    <m/>
    <m/>
    <m/>
    <m/>
    <m/>
    <m/>
    <m/>
  </r>
  <r>
    <s v="Senior Level Visit"/>
    <s v="Southeast Asia"/>
    <s v="Asia"/>
    <s v="All-Round Cooperative Partnership [全方合作伙伴关系]"/>
    <s v="None"/>
    <s v="INDOPACOM"/>
    <s v="Singapore"/>
    <x v="27"/>
    <n v="2"/>
    <x v="4"/>
    <s v="Chang Wanquan"/>
    <m/>
    <s v="Defense Minister; CMC Member"/>
    <n v="8"/>
    <s v="Abroad"/>
    <s v="Defense Minister"/>
    <m/>
    <m/>
    <m/>
    <m/>
    <m/>
    <m/>
    <m/>
    <m/>
  </r>
  <r>
    <s v="Naval Port Call"/>
    <s v="Africa"/>
    <s v="West Asia and Africa"/>
    <s v="Comprehensive Strategic Partnership [全面战略伙伴关系]"/>
    <s v="None"/>
    <s v="AFRICOM"/>
    <s v="South Africa"/>
    <x v="27"/>
    <n v="2"/>
    <x v="9"/>
    <m/>
    <m/>
    <m/>
    <m/>
    <m/>
    <m/>
    <m/>
    <m/>
    <m/>
    <m/>
    <s v="ETF"/>
    <s v="ETF-27"/>
    <s v="South Sea Fleet"/>
    <s v="DDG171 Haikou, FFG575 Yueyang"/>
  </r>
  <r>
    <s v="Military Exercise"/>
    <s v="Southeast Asia"/>
    <s v="Asia"/>
    <s v="Comprehensive Strategic Cooperative Partnership [全面战略合作伙伴关系]"/>
    <s v="Bilateral Defense Treaty"/>
    <s v="INDOPACOM"/>
    <s v="Thailand"/>
    <x v="27"/>
    <n v="2"/>
    <x v="6"/>
    <m/>
    <m/>
    <m/>
    <m/>
    <m/>
    <m/>
    <s v="MOOTW"/>
    <s v="Cobra Gold 2018"/>
    <s v="Army"/>
    <s v="Humanitarian assistance and disaster relief. Other countries: United States, Japan, Malaysia, Singapore."/>
    <m/>
    <m/>
    <m/>
    <m/>
  </r>
  <r>
    <s v="Military Exercise"/>
    <s v="Southeast Asia"/>
    <s v="Asia"/>
    <s v="Comprehensive Strategic Cooperative Partnership [全面战略合作伙伴关系]"/>
    <s v="None"/>
    <s v="INDOPACOM"/>
    <s v="Cambodia"/>
    <x v="27"/>
    <n v="3"/>
    <x v="5"/>
    <m/>
    <m/>
    <m/>
    <m/>
    <m/>
    <m/>
    <s v="Anti-terrorism"/>
    <s v="Golden Dragon 2018"/>
    <s v="Army"/>
    <s v="Anti-terrorism drills"/>
    <m/>
    <m/>
    <m/>
    <m/>
  </r>
  <r>
    <s v="Military Exercise"/>
    <s v="Europe"/>
    <s v="Europe and Central Asia"/>
    <s v="Comprehensive Strategic Partnership [全面战略伙伴关系]"/>
    <s v="NATO"/>
    <s v="EUCOM"/>
    <s v="France"/>
    <x v="27"/>
    <n v="3"/>
    <x v="5"/>
    <m/>
    <m/>
    <m/>
    <m/>
    <m/>
    <m/>
    <s v="MOOTW"/>
    <s v="Unknown"/>
    <s v="Navy"/>
    <s v="search and rescue and communications drills with Qinzhou [钦州舰] and the French Navy’s frigate Vendémiaire; 1st foreign exercise by PLA HK Garrison"/>
    <m/>
    <m/>
    <m/>
    <m/>
  </r>
  <r>
    <s v="Senior Level Visit"/>
    <s v="Southeast Asia"/>
    <s v="Asia"/>
    <s v="Comprehensive Strategic Cooperative Partnership [全面战略合作伙伴关系]"/>
    <s v="Bilateral Defense Treaty"/>
    <s v="INDOPACOM"/>
    <s v="Thailand"/>
    <x v="27"/>
    <n v="3"/>
    <x v="3"/>
    <s v="Wei Fenghe"/>
    <m/>
    <s v="Defense Minister; CMC Member"/>
    <n v="8"/>
    <s v="Hosted"/>
    <s v="Defense Minister"/>
    <m/>
    <m/>
    <m/>
    <m/>
    <m/>
    <m/>
    <m/>
    <m/>
  </r>
  <r>
    <s v="Senior Level Visit"/>
    <s v="Europe"/>
    <s v="Europe and Central Asia"/>
    <s v="Friendly Cooperative Partnership [友好合作伙伴关系]"/>
    <s v="None"/>
    <s v="EUCOM"/>
    <s v="Azerbaijan"/>
    <x v="27"/>
    <n v="4"/>
    <x v="3"/>
    <s v="Xu Qiliang"/>
    <m/>
    <s v="CMC Vice Chairman"/>
    <n v="10"/>
    <s v="Hosted"/>
    <s v="Defense Minister"/>
    <m/>
    <m/>
    <m/>
    <m/>
    <m/>
    <m/>
    <m/>
    <m/>
  </r>
  <r>
    <s v="Senior Level Visit"/>
    <s v="Europe"/>
    <s v="Europe and Central Asia"/>
    <s v="Comprehensive Strategic Partnership [全面战略伙伴关系]"/>
    <s v="None"/>
    <s v="EUCOM"/>
    <s v="Belarus"/>
    <x v="27"/>
    <n v="4"/>
    <x v="4"/>
    <s v="Wei Fenghe"/>
    <m/>
    <s v="Defense Minister; CMC Member"/>
    <n v="8"/>
    <s v="Abroad"/>
    <s v="Defense Minister"/>
    <m/>
    <m/>
    <m/>
    <m/>
    <m/>
    <m/>
    <m/>
    <m/>
  </r>
  <r>
    <s v="Senior Level Visit"/>
    <s v="Europe"/>
    <s v="Europe and Central Asia"/>
    <s v="Comprehensive Strategic Partnership [全面战略伙伴关系]"/>
    <s v="None"/>
    <s v="EUCOM"/>
    <s v="Belarus"/>
    <x v="27"/>
    <n v="4"/>
    <x v="3"/>
    <s v="Zhang Youxia"/>
    <m/>
    <s v="CMC Vice Chairman"/>
    <n v="10"/>
    <s v="Hosted"/>
    <s v="Defense Minister"/>
    <m/>
    <m/>
    <m/>
    <m/>
    <m/>
    <m/>
    <m/>
    <m/>
  </r>
  <r>
    <s v="Senior Level Visit"/>
    <s v="Southeast Asia"/>
    <s v="Asia"/>
    <s v="Comprehensive Strategic Cooperative Partnership [全面战略合作伙伴关系]"/>
    <s v="None"/>
    <s v="INDOPACOM"/>
    <s v="Cambodia"/>
    <x v="27"/>
    <n v="4"/>
    <x v="3"/>
    <s v="Wei Fenghe"/>
    <m/>
    <s v="Defense Minister; CMC Member"/>
    <n v="8"/>
    <s v="Hosted"/>
    <s v="Deputy Commander in Chief"/>
    <m/>
    <m/>
    <m/>
    <m/>
    <m/>
    <m/>
    <m/>
    <m/>
  </r>
  <r>
    <s v="Senior Level Visit"/>
    <s v="South Asia"/>
    <s v="Asia"/>
    <s v="Strategic Partnership for Peace and Prosperity [战略伙伴关系]"/>
    <s v="None"/>
    <s v="INDOPACOM"/>
    <s v="India"/>
    <x v="27"/>
    <n v="4"/>
    <x v="7"/>
    <s v="Wei Fenghe"/>
    <m/>
    <s v="Defense Minister; CMC Member"/>
    <n v="8"/>
    <s v="Hosted"/>
    <s v="Defense Minister; BL at SCO"/>
    <m/>
    <m/>
    <m/>
    <m/>
    <m/>
    <m/>
    <m/>
    <m/>
  </r>
  <r>
    <s v="Senior Level Visit"/>
    <s v="Central Asia"/>
    <s v="Europe and Central Asia"/>
    <s v="Comprehensive Strategic Partnership [全面战略伙伴关系]"/>
    <s v="None"/>
    <s v="CENTCOM"/>
    <s v="Kazakhstan"/>
    <x v="27"/>
    <n v="4"/>
    <x v="7"/>
    <s v="Wei Fenghe"/>
    <m/>
    <s v="Defense Minister; CMC Member"/>
    <n v="8"/>
    <s v="Hosted"/>
    <s v="Defense Minister; BL at SCO"/>
    <m/>
    <m/>
    <m/>
    <m/>
    <m/>
    <m/>
    <m/>
    <m/>
  </r>
  <r>
    <s v="Senior Level Visit"/>
    <s v="Central Asia"/>
    <s v="Europe and Central Asia"/>
    <s v="Comprehensive Strategic Partnership [全面战略伙伴关系]"/>
    <s v="None"/>
    <s v="CENTCOM"/>
    <s v="Kyrgyzstan"/>
    <x v="27"/>
    <n v="4"/>
    <x v="7"/>
    <s v="Wei Fenghe"/>
    <m/>
    <s v="Defense Minister; CMC Member"/>
    <n v="8"/>
    <s v="Hosted"/>
    <s v="Defense Minister; BL at SCO"/>
    <m/>
    <m/>
    <m/>
    <m/>
    <m/>
    <m/>
    <m/>
    <m/>
  </r>
  <r>
    <s v="Senior Level Visit"/>
    <s v="Southeast Asia"/>
    <s v="Asia"/>
    <s v="Comprehensive Strategic Cooperative Partnership [全面战略合作伙伴关系]"/>
    <s v="None"/>
    <s v="INDOPACOM"/>
    <s v="Laos"/>
    <x v="27"/>
    <n v="4"/>
    <x v="3"/>
    <s v="Zhang Youxia"/>
    <m/>
    <s v="CMC Vice Chairman"/>
    <n v="10"/>
    <s v="Hosted"/>
    <s v="Defense Minister"/>
    <m/>
    <m/>
    <m/>
    <m/>
    <m/>
    <m/>
    <m/>
    <m/>
  </r>
  <r>
    <s v="Senior Level Visit"/>
    <s v="South Asia"/>
    <s v="Asia"/>
    <s v="All-Weather Strategic Cooperative Partnership [全天候战略合作伙伴关系]"/>
    <s v="Major Non-NATO Ally"/>
    <s v="CENTCOM"/>
    <s v="Pakistan"/>
    <x v="27"/>
    <n v="4"/>
    <x v="7"/>
    <s v="Wei Fenghe"/>
    <m/>
    <s v="Defense Minister; CMC Member"/>
    <n v="8"/>
    <s v="Hosted"/>
    <s v="Defense Minister; BL at SCO "/>
    <m/>
    <m/>
    <m/>
    <m/>
    <m/>
    <m/>
    <m/>
    <m/>
  </r>
  <r>
    <s v="Senior Level Visit"/>
    <s v="South Asia"/>
    <s v="Asia"/>
    <s v="All-Weather Strategic Cooperative Partnership [全天候战略合作伙伴关系]"/>
    <s v="Major Non-NATO Ally"/>
    <s v="CENTCOM"/>
    <s v="Pakistan"/>
    <x v="27"/>
    <n v="4"/>
    <x v="3"/>
    <s v="Wei Fenghe"/>
    <m/>
    <s v="Defense Minister; CMC Member"/>
    <n v="8"/>
    <s v="Hosted"/>
    <s v="Navy Chief of Staff"/>
    <m/>
    <m/>
    <m/>
    <m/>
    <m/>
    <m/>
    <m/>
    <m/>
  </r>
  <r>
    <s v="Senior Level Visit"/>
    <s v="Russia"/>
    <s v="Europe and Central Asia"/>
    <s v="Comprehensive Collaborative Strategic Partnership [全面战略协作伙伴关系]"/>
    <s v="None"/>
    <s v="EUCOM"/>
    <s v="Russia"/>
    <x v="27"/>
    <n v="4"/>
    <x v="4"/>
    <s v="Wei Fenghe"/>
    <m/>
    <s v="Defense Minister; CMC Member"/>
    <n v="8"/>
    <s v="Abroad"/>
    <s v="Defense Minister"/>
    <m/>
    <m/>
    <m/>
    <m/>
    <m/>
    <m/>
    <m/>
    <m/>
  </r>
  <r>
    <s v="Senior Level Visit"/>
    <s v="Russia"/>
    <s v="Europe and Central Asia"/>
    <s v="Comprehensive Collaborative Strategic Partnership [全面战略协作伙伴关系]"/>
    <s v="None"/>
    <s v="EUCOM"/>
    <s v="Russia"/>
    <x v="27"/>
    <n v="4"/>
    <x v="3"/>
    <s v="Xu Qiliang"/>
    <m/>
    <s v="CMC Vice Chairman"/>
    <n v="10"/>
    <s v="Hosted"/>
    <s v="Defense Minister"/>
    <m/>
    <m/>
    <m/>
    <m/>
    <m/>
    <m/>
    <m/>
    <m/>
  </r>
  <r>
    <s v="Senior Level Visit"/>
    <s v="Central Asia"/>
    <s v="Europe and Central Asia"/>
    <s v="Member"/>
    <s v="None"/>
    <s v="CENTCOM"/>
    <s v="SCO"/>
    <x v="27"/>
    <n v="4"/>
    <x v="2"/>
    <s v="Wei Fenghe"/>
    <m/>
    <s v="Defense Minister; CMC Member"/>
    <n v="8"/>
    <s v="Hosted"/>
    <s v="15th official meeting of the SCO Defense Ministers"/>
    <m/>
    <m/>
    <m/>
    <m/>
    <m/>
    <m/>
    <m/>
    <m/>
  </r>
  <r>
    <s v="Senior Level Visit"/>
    <s v="Central Asia"/>
    <s v="Europe and Central Asia"/>
    <s v="Comprehensive Strategic Partnership [全面战略伙伴关系]"/>
    <s v="None"/>
    <s v="CENTCOM"/>
    <s v="Tajikistan"/>
    <x v="27"/>
    <n v="4"/>
    <x v="7"/>
    <s v="Wei Fenghe"/>
    <m/>
    <s v="Defense Minister; CMC Member"/>
    <n v="8"/>
    <s v="Hosted"/>
    <s v="Defense Minister; BL at SCO"/>
    <m/>
    <m/>
    <m/>
    <m/>
    <m/>
    <m/>
    <m/>
    <m/>
  </r>
  <r>
    <s v="Senior Level Visit"/>
    <s v="Central Asia"/>
    <s v="Europe and Central Asia"/>
    <s v="Comprehensive Strategic Partnership [全面战略伙伴关系]"/>
    <s v="None"/>
    <s v="CENTCOM"/>
    <s v="Uzbekistan"/>
    <x v="27"/>
    <n v="4"/>
    <x v="3"/>
    <s v="Zhang Youxia"/>
    <m/>
    <s v="CMC Vice Chairman"/>
    <n v="10"/>
    <s v="Hosted"/>
    <s v="Defense Minister"/>
    <m/>
    <m/>
    <m/>
    <m/>
    <m/>
    <m/>
    <m/>
    <m/>
  </r>
  <r>
    <s v="Senior Level Visit"/>
    <s v="Europe"/>
    <s v="Europe and Central Asia"/>
    <s v="Friendly Strategic Partnership [战略伙伴关系]"/>
    <s v="NATO"/>
    <s v="EUCOM"/>
    <s v="Austria"/>
    <x v="27"/>
    <n v="5"/>
    <x v="3"/>
    <s v="Wei Fenghe"/>
    <m/>
    <s v="Defense Minister; CMC Member"/>
    <n v="8"/>
    <s v="Hosted"/>
    <s v="Chief of Defense Forces"/>
    <m/>
    <m/>
    <m/>
    <m/>
    <m/>
    <m/>
    <m/>
    <m/>
  </r>
  <r>
    <s v="Naval Port Call"/>
    <s v="Middle East"/>
    <s v="West Asia and Africa"/>
    <s v="Strategic Partnership [战略伙伴关系]"/>
    <s v="None"/>
    <s v="CENTCOM"/>
    <s v="Djibouti"/>
    <x v="27"/>
    <n v="5"/>
    <x v="9"/>
    <m/>
    <m/>
    <m/>
    <m/>
    <m/>
    <m/>
    <m/>
    <m/>
    <m/>
    <m/>
    <s v="ETF"/>
    <s v="ETF-29"/>
    <s v="East Sea Fleet"/>
    <s v="FFG530 Xuzhou"/>
  </r>
  <r>
    <s v="Naval Port Call"/>
    <s v="Europe"/>
    <s v="Europe and Central Asia"/>
    <s v="Comprehensive Strategic Partnership [全面战略伙伴关系]"/>
    <s v="NATO"/>
    <s v="EUCOM"/>
    <s v="Greece"/>
    <x v="27"/>
    <n v="5"/>
    <x v="0"/>
    <m/>
    <m/>
    <m/>
    <m/>
    <m/>
    <m/>
    <m/>
    <m/>
    <m/>
    <m/>
    <s v="ETF"/>
    <s v="ETF-28"/>
    <s v="North Sea Fleet"/>
    <s v="FFG546 Yancheng"/>
  </r>
  <r>
    <s v="Military Exercise"/>
    <s v="Southeast Asia"/>
    <s v="Asia"/>
    <s v="Comprehensive Strategic Partnership [全面战略伙伴关系]"/>
    <s v="None"/>
    <s v="INDOPACOM"/>
    <s v="Indonesia"/>
    <x v="27"/>
    <n v="5"/>
    <x v="6"/>
    <m/>
    <m/>
    <m/>
    <m/>
    <m/>
    <m/>
    <s v="MOOTW"/>
    <s v="Komodo 2018"/>
    <s v="Navy"/>
    <s v="Maritime. Other countries: United States, France, United Kingdom"/>
    <m/>
    <m/>
    <m/>
    <m/>
  </r>
  <r>
    <s v="Military Exercise"/>
    <s v="Middle East"/>
    <s v="West Asia and Africa"/>
    <s v="Strategic Partnership [战略伙伴关系]"/>
    <s v="Major Non-NATO Ally"/>
    <s v="CENTCOM"/>
    <s v="Jordan"/>
    <x v="27"/>
    <n v="5"/>
    <x v="6"/>
    <m/>
    <m/>
    <m/>
    <m/>
    <m/>
    <m/>
    <s v="Competition"/>
    <s v="10th Annual Warrior Competition"/>
    <s v="PAP"/>
    <s v="2 PAP Special Operations units; one was &quot;Snow Leopards&quot;. Other countries: United States, Saudi Arabia, Lebanon, Kuwait, Qatar"/>
    <m/>
    <m/>
    <m/>
    <m/>
  </r>
  <r>
    <s v="Senior Level Visit"/>
    <s v="Northeast Asia"/>
    <s v="Asia"/>
    <s v="Comprehensive Strategic Partnership [全面战略伙伴关系]"/>
    <s v="None"/>
    <s v="INDOPACOM"/>
    <s v="Mongolia"/>
    <x v="27"/>
    <n v="5"/>
    <x v="3"/>
    <s v="Xu Qiliang"/>
    <m/>
    <s v="CMC Vice Chairman"/>
    <n v="10"/>
    <s v="Hosted"/>
    <s v="Defense Minister"/>
    <m/>
    <m/>
    <m/>
    <m/>
    <m/>
    <m/>
    <m/>
    <m/>
  </r>
  <r>
    <s v="Military Exercise"/>
    <s v="Africa"/>
    <s v="West Asia and Africa"/>
    <s v="Strategic Partnership [战略伙伴关系]"/>
    <s v="None"/>
    <s v="AFRICOM"/>
    <s v="Nigeria"/>
    <x v="27"/>
    <n v="5"/>
    <x v="6"/>
    <m/>
    <m/>
    <m/>
    <m/>
    <m/>
    <m/>
    <s v="Anti-piracy"/>
    <s v="Eku Kugbe; 2nd Nigeria international maritime conference and regional naval exercise"/>
    <s v="Navy"/>
    <s v="Ships will carry out drills of ship formation movement, naval gun firing, and maritime warning and patrol; one ship each from Cameroon, Ghana, Togo, France, Portugal and China"/>
    <m/>
    <s v="ETF-28"/>
    <s v="North Sea Fleet"/>
    <s v="FFG546Yancheng"/>
  </r>
  <r>
    <s v="Senior Level Visit"/>
    <s v="South Asia"/>
    <s v="Asia"/>
    <s v="All-Weather Strategic Cooperative Partnership [全天候战略合作伙伴关系]"/>
    <s v="Major Non-NATO Ally"/>
    <s v="CENTCOM"/>
    <s v="Pakistan"/>
    <x v="27"/>
    <n v="5"/>
    <x v="4"/>
    <s v="Zhang Youxia"/>
    <m/>
    <s v="CMC Vice Chairman"/>
    <n v="10"/>
    <s v="Abroad"/>
    <s v="Prime Minister"/>
    <m/>
    <m/>
    <m/>
    <m/>
    <m/>
    <m/>
    <m/>
    <m/>
  </r>
  <r>
    <s v="Senior Level Visit"/>
    <s v="Russia"/>
    <s v="Europe and Central Asia"/>
    <s v="Comprehensive Collaborative Strategic Partnership [全面战略协作伙伴关系]"/>
    <s v="None"/>
    <s v="EUCOM"/>
    <s v="Russia"/>
    <x v="27"/>
    <n v="5"/>
    <x v="3"/>
    <s v="Shao Yuanming"/>
    <m/>
    <s v="CMC/JSD DCJS"/>
    <n v="5"/>
    <s v="Hosted"/>
    <s v="Chief of General Staff Main Operational Directorate (J-5 equivalent)"/>
    <m/>
    <m/>
    <m/>
    <m/>
    <m/>
    <m/>
    <m/>
    <m/>
  </r>
  <r>
    <s v="Naval Port Call"/>
    <s v="Europe"/>
    <s v="Europe and Central Asia"/>
    <s v="Comprehensive Strategic Partnership [全面战略伙伴关系]"/>
    <s v="NATO"/>
    <s v="EUCOM"/>
    <s v="Spain"/>
    <x v="27"/>
    <n v="5"/>
    <x v="9"/>
    <m/>
    <m/>
    <m/>
    <m/>
    <m/>
    <m/>
    <m/>
    <m/>
    <m/>
    <m/>
    <s v="ETF"/>
    <s v="ETF-28"/>
    <s v="North Sea Fleet"/>
    <s v="FFG546 Yancheng"/>
  </r>
  <r>
    <s v="Senior Level Visit"/>
    <s v="Africa"/>
    <s v="West Asia and Africa"/>
    <s v="Comprehensive Cooperative Partnership [全面合作伙伴关系]"/>
    <s v="None"/>
    <s v="AFRICOM"/>
    <s v="Tanzania"/>
    <x v="27"/>
    <n v="5"/>
    <x v="3"/>
    <s v="Wei Fenghe"/>
    <m/>
    <s v="Defense Minister; CMC Member"/>
    <n v="8"/>
    <s v="Hosted"/>
    <s v="Chief of Defense Forces"/>
    <m/>
    <m/>
    <m/>
    <m/>
    <m/>
    <m/>
    <m/>
    <m/>
  </r>
  <r>
    <s v="Senior Level Visit"/>
    <s v="Africa"/>
    <s v="West Asia and Africa"/>
    <s v="Comprehensive Strategic Cooperative Partnership [全面战略合作伙伴关系]"/>
    <s v="None"/>
    <s v="AFRICOM"/>
    <s v="African Union"/>
    <x v="27"/>
    <n v="6"/>
    <x v="2"/>
    <s v="Hu Changming"/>
    <m/>
    <s v="CMC/OIMC Director"/>
    <n v="6"/>
    <s v="Hosted"/>
    <s v="First China-Africa Defense and Security Forum"/>
    <m/>
    <m/>
    <m/>
    <m/>
    <m/>
    <m/>
    <m/>
    <m/>
  </r>
  <r>
    <s v="Senior Level Visit"/>
    <s v="Southeast Asia"/>
    <s v="Asia"/>
    <s v="Comprehensive Strategic Cooperative Partnership [全面战略合作伙伴关系]"/>
    <s v="None"/>
    <s v="INDOPACOM"/>
    <s v="Cambodia"/>
    <x v="27"/>
    <n v="6"/>
    <x v="4"/>
    <s v="Wei Fenghe"/>
    <m/>
    <s v="Defense Minister; CMC Member"/>
    <n v="8"/>
    <s v="Abroad"/>
    <s v="Prime Minister; Defense Minister"/>
    <m/>
    <m/>
    <m/>
    <m/>
    <m/>
    <m/>
    <m/>
    <m/>
  </r>
  <r>
    <s v="Naval Port Call"/>
    <s v="Africa"/>
    <s v="West Asia and Africa"/>
    <s v="Friendly Cooperative Relationship [友好合作关系]"/>
    <s v="None"/>
    <s v="AFRICOM"/>
    <s v="Cameroon"/>
    <x v="27"/>
    <n v="6"/>
    <x v="0"/>
    <m/>
    <m/>
    <m/>
    <m/>
    <m/>
    <m/>
    <m/>
    <m/>
    <m/>
    <m/>
    <s v="ETF"/>
    <s v="ETF-28"/>
    <s v="North Sea Fleet"/>
    <m/>
  </r>
  <r>
    <s v="Military Exercise"/>
    <s v="Africa"/>
    <s v="West Asia and Africa"/>
    <s v="Friendly Cooperative Relationship [友好合作关系]"/>
    <s v="None"/>
    <s v="AFRICOM"/>
    <s v="Cameroon"/>
    <x v="27"/>
    <n v="6"/>
    <x v="5"/>
    <m/>
    <m/>
    <m/>
    <m/>
    <m/>
    <m/>
    <s v="MOOTW"/>
    <s v="28th Chinese naval escort taskforce's African tour"/>
    <s v="Navy"/>
    <m/>
    <m/>
    <m/>
    <m/>
    <m/>
  </r>
  <r>
    <s v="Naval Port Call"/>
    <s v="Africa"/>
    <s v="West Asia and Africa"/>
    <s v="Comprehensive Cooperative Partnership [全面合作伙伴关系]"/>
    <s v="None"/>
    <s v="AFRICOM"/>
    <s v="Gabon"/>
    <x v="27"/>
    <n v="6"/>
    <x v="0"/>
    <m/>
    <m/>
    <m/>
    <m/>
    <m/>
    <m/>
    <m/>
    <m/>
    <m/>
    <m/>
    <s v="ETF"/>
    <s v="ETF-28"/>
    <s v="North Sea Fleet"/>
    <s v="ETF28-Yancheng GMF; Weifeng GMF; Taihu supply ship; Gabon President and MINDEF visited ships "/>
  </r>
  <r>
    <s v="Military Exercise"/>
    <s v="Africa"/>
    <s v="West Asia and Africa"/>
    <s v="Comprehensive Cooperative Partnership [全面合作伙伴关系]"/>
    <s v="None"/>
    <s v="AFRICOM"/>
    <s v="Gabon"/>
    <x v="27"/>
    <n v="6"/>
    <x v="5"/>
    <m/>
    <m/>
    <m/>
    <m/>
    <m/>
    <m/>
    <s v="MOOTW"/>
    <s v="28th Chinese naval escort taskforce's African tour"/>
    <s v="Navy"/>
    <m/>
    <m/>
    <m/>
    <m/>
    <m/>
  </r>
  <r>
    <s v="Naval Port Call"/>
    <s v="Europe"/>
    <s v="Europe and Central Asia"/>
    <s v="Comprehensive Strategic Partnership [全面战略伙伴关系]"/>
    <s v="NATO"/>
    <s v="EUCOM"/>
    <s v="Germany"/>
    <x v="27"/>
    <n v="6"/>
    <x v="0"/>
    <m/>
    <m/>
    <m/>
    <m/>
    <m/>
    <m/>
    <m/>
    <m/>
    <m/>
    <m/>
    <s v="ETF"/>
    <s v="ETF-29"/>
    <s v="East Sea Fleet"/>
    <s v="FFG515 Binzhou"/>
  </r>
  <r>
    <s v="Naval Port Call"/>
    <s v="Africa"/>
    <s v="West Asia and Africa"/>
    <s v="No Specific Relationship"/>
    <s v="None"/>
    <s v="AFRICOM"/>
    <s v="Ghana"/>
    <x v="27"/>
    <n v="6"/>
    <x v="0"/>
    <m/>
    <m/>
    <m/>
    <m/>
    <m/>
    <m/>
    <m/>
    <m/>
    <m/>
    <m/>
    <s v="ETF"/>
    <s v="ETF-28"/>
    <s v="North Sea Fleet"/>
    <s v="ETF28-Yancheng GMF; Weifeng GMF; Taihu supply ship"/>
  </r>
  <r>
    <s v="Military Exercise"/>
    <s v="Africa"/>
    <s v="West Asia and Africa"/>
    <s v="No Specific Relationship"/>
    <s v="None"/>
    <s v="AFRICOM"/>
    <s v="Ghana"/>
    <x v="27"/>
    <n v="6"/>
    <x v="5"/>
    <m/>
    <m/>
    <m/>
    <m/>
    <m/>
    <m/>
    <s v="MOOTW"/>
    <s v="28th Chinese naval escort taskforce's African tour"/>
    <s v="Navy"/>
    <s v="Joint military exercise"/>
    <m/>
    <m/>
    <m/>
    <m/>
  </r>
  <r>
    <s v="Senior Level Visit"/>
    <s v="Southeast Asia"/>
    <s v="Asia"/>
    <s v="No Specific Relationship"/>
    <s v="None"/>
    <s v="INDOPACOM"/>
    <s v="IISS"/>
    <x v="27"/>
    <n v="6"/>
    <x v="1"/>
    <s v="He Lei "/>
    <m/>
    <s v="AMS Deputy Commandant "/>
    <n v="6"/>
    <s v="Abroad"/>
    <s v="17th Shangri-La"/>
    <m/>
    <m/>
    <m/>
    <m/>
    <m/>
    <m/>
    <m/>
    <m/>
  </r>
  <r>
    <s v="Military Exercise"/>
    <s v="Northeast Asia"/>
    <s v="Asia"/>
    <s v="Comprehensive Strategic Partnership [全面战略伙伴关系]"/>
    <s v="None"/>
    <s v="INDOPACOM"/>
    <s v="Mongolia"/>
    <x v="27"/>
    <n v="6"/>
    <x v="6"/>
    <m/>
    <m/>
    <m/>
    <m/>
    <m/>
    <m/>
    <s v="MOOTW"/>
    <s v="Khaan Quest 2018"/>
    <s v="Army"/>
    <s v="Peacekeeping. Other countries: United States, Indonesia, Malaysia. "/>
    <m/>
    <m/>
    <m/>
    <m/>
  </r>
  <r>
    <s v="Senior Level Visit"/>
    <s v="Southeast Asia"/>
    <s v="Asia"/>
    <s v="Comprehensive Strategic Cooperative Partnership [全面战略合作伙伴关系]"/>
    <s v="None"/>
    <s v="INDOPACOM"/>
    <s v="Myanmar"/>
    <x v="27"/>
    <n v="6"/>
    <x v="4"/>
    <s v="Wei Fenghe"/>
    <m/>
    <s v="Defense Minister; CMC Member"/>
    <n v="8"/>
    <s v="Abroad"/>
    <s v="Commander-in-Chief of Myanmar’s Defence Services; State Counselor Aung San Suu Kyi"/>
    <m/>
    <m/>
    <m/>
    <m/>
    <m/>
    <m/>
    <m/>
    <m/>
  </r>
  <r>
    <s v="Military Exercise"/>
    <s v="Oceania"/>
    <s v="America and Oceania"/>
    <s v="Comprehensive Strategic Partnership [全面战略伙伴关系]"/>
    <s v="ANZUS Treaty"/>
    <s v="INDOPACOM"/>
    <s v="New Zealand"/>
    <x v="27"/>
    <n v="6"/>
    <x v="5"/>
    <m/>
    <m/>
    <m/>
    <m/>
    <m/>
    <m/>
    <s v="MOOTW"/>
    <s v="Skytrain"/>
    <s v="Air Force"/>
    <s v="Humanitarian assistance and disaster relief; the first joint exercise ever conducted between the two countries’ air forces; PLAAF Il-76"/>
    <m/>
    <m/>
    <m/>
    <m/>
  </r>
  <r>
    <s v="Naval Port Call"/>
    <s v="Middle East"/>
    <s v="West Asia and Africa"/>
    <s v="Strategic Partnership [战略伙伴关系]"/>
    <s v="None"/>
    <s v="CENTCOM"/>
    <s v="Oman"/>
    <x v="27"/>
    <n v="6"/>
    <x v="9"/>
    <m/>
    <m/>
    <m/>
    <m/>
    <m/>
    <m/>
    <m/>
    <m/>
    <m/>
    <m/>
    <s v="ETF"/>
    <s v="ETF-29"/>
    <s v="East Sea Fleet"/>
    <s v="FFG530 Xuzhou"/>
  </r>
  <r>
    <s v="Senior Level Visit"/>
    <s v="South Asia"/>
    <s v="Asia"/>
    <s v="All-Weather Strategic Cooperative Partnership [全天候战略合作伙伴关系]"/>
    <s v="Major Non-NATO Ally"/>
    <s v="CENTCOM"/>
    <s v="Pakistan"/>
    <x v="27"/>
    <n v="6"/>
    <x v="4"/>
    <s v="Liu Xiaowu"/>
    <m/>
    <s v="Western TC Deputy Commander"/>
    <n v="6"/>
    <s v="Abroad"/>
    <s v="Military Commanders"/>
    <m/>
    <m/>
    <m/>
    <m/>
    <m/>
    <m/>
    <m/>
    <m/>
  </r>
  <r>
    <s v="Naval Port Call"/>
    <s v="Europe"/>
    <s v="Europe and Central Asia"/>
    <s v="Comprehensive Strategic Partnership [全面战略伙伴关系]"/>
    <s v="NATO"/>
    <s v="EUCOM"/>
    <s v="Poland"/>
    <x v="27"/>
    <n v="6"/>
    <x v="0"/>
    <m/>
    <m/>
    <m/>
    <m/>
    <m/>
    <m/>
    <m/>
    <m/>
    <m/>
    <m/>
    <s v="ETF"/>
    <s v="ETF-29"/>
    <s v="East Sea Fleet"/>
    <s v="FFG515 Binzhou"/>
  </r>
  <r>
    <s v="Senior Level Visit"/>
    <s v="Southeast Asia"/>
    <s v="Asia"/>
    <s v="All-Round Cooperative Partnership [全方合作伙伴关系]"/>
    <s v="None"/>
    <s v="INDOPACOM"/>
    <s v="Singapore"/>
    <x v="27"/>
    <n v="6"/>
    <x v="4"/>
    <s v="He Lei"/>
    <m/>
    <s v="AMS Deputy Commandant "/>
    <n v="6"/>
    <s v="Abroad"/>
    <s v="Defense Minister"/>
    <m/>
    <m/>
    <m/>
    <m/>
    <m/>
    <m/>
    <m/>
    <m/>
  </r>
  <r>
    <s v="Naval Port Call"/>
    <s v="Africa"/>
    <s v="West Asia and Africa"/>
    <s v="Comprehensive Strategic Partnership [全面战略伙伴关系]"/>
    <s v="None"/>
    <s v="AFRICOM"/>
    <s v="South Africa"/>
    <x v="27"/>
    <n v="6"/>
    <x v="0"/>
    <m/>
    <m/>
    <m/>
    <m/>
    <m/>
    <m/>
    <m/>
    <m/>
    <m/>
    <m/>
    <s v="ETF"/>
    <s v="ETF-28"/>
    <s v="North Sea Fleet"/>
    <s v="FFG546 Yancheng"/>
  </r>
  <r>
    <s v="Military Exercise"/>
    <s v="Africa"/>
    <s v="West Asia and Africa"/>
    <s v="Comprehensive Strategic Partnership [全面战略伙伴关系]"/>
    <s v="None"/>
    <s v="AFRICOM"/>
    <s v="South Africa"/>
    <x v="27"/>
    <n v="6"/>
    <x v="5"/>
    <m/>
    <m/>
    <m/>
    <m/>
    <m/>
    <m/>
    <s v="MOOTW"/>
    <s v="28th Chinese naval escort taskforce's African tour"/>
    <s v="Navy"/>
    <m/>
    <m/>
    <m/>
    <m/>
    <m/>
  </r>
  <r>
    <s v="Senior Level Visit"/>
    <s v="Southeast Asia"/>
    <s v="Asia"/>
    <s v="Comprehensive Strategic Cooperative Partnership [全面战略合作伙伴关系]"/>
    <s v="Bilateral Defense Treaty"/>
    <s v="INDOPACOM"/>
    <s v="Thailand"/>
    <x v="27"/>
    <n v="6"/>
    <x v="3"/>
    <s v="Han Weiguo"/>
    <m/>
    <s v="PLAA Commander"/>
    <n v="6"/>
    <s v="Hosted"/>
    <s v="Army Chief"/>
    <m/>
    <m/>
    <m/>
    <m/>
    <m/>
    <m/>
    <m/>
    <m/>
  </r>
  <r>
    <s v="Senior Level Visit"/>
    <s v="North America"/>
    <s v="America and Oceania"/>
    <s v="No Specific Relationship"/>
    <s v="N/A"/>
    <s v="NORTHCOM"/>
    <s v="United States"/>
    <x v="27"/>
    <n v="6"/>
    <x v="3"/>
    <s v="Xu Qiliang"/>
    <m/>
    <s v="CMC Vice Chairman"/>
    <n v="10"/>
    <s v="Hosted"/>
    <s v="Secretary of Defense"/>
    <m/>
    <m/>
    <m/>
    <m/>
    <m/>
    <m/>
    <m/>
    <m/>
  </r>
  <r>
    <s v="Naval Port Call"/>
    <s v="Europe"/>
    <s v="Europe and Central Asia"/>
    <s v="Comprehensive Strategic Partnership [全面战略伙伴关系]"/>
    <s v="NATO"/>
    <s v="EUCOM"/>
    <s v="France"/>
    <x v="27"/>
    <n v="7"/>
    <x v="9"/>
    <m/>
    <m/>
    <m/>
    <m/>
    <m/>
    <m/>
    <m/>
    <m/>
    <m/>
    <m/>
    <s v="ETF"/>
    <s v="ETF-29"/>
    <s v="East Sea Fleet"/>
    <s v="FFG515 Binzhou"/>
  </r>
  <r>
    <s v="Military Exercise"/>
    <s v="Europe"/>
    <s v="Europe and Central Asia"/>
    <s v="Comprehensive Strategic Partnership [全面战略伙伴关系]"/>
    <s v="NATO"/>
    <s v="EUCOM"/>
    <s v="Germany"/>
    <x v="27"/>
    <n v="7"/>
    <x v="5"/>
    <m/>
    <m/>
    <m/>
    <m/>
    <m/>
    <m/>
    <s v="MOOTW"/>
    <s v="Combined Aid 2019"/>
    <s v="Army"/>
    <s v="paramedical forces in complete units and field equipment have been deployed in Europe"/>
    <m/>
    <m/>
    <m/>
    <m/>
  </r>
  <r>
    <s v="Senior Level Visit"/>
    <s v="South Asia"/>
    <s v="Asia"/>
    <s v="Strategic Partnership for Peace and Prosperity [战略伙伴关系]"/>
    <s v="None"/>
    <s v="INDOPACOM"/>
    <s v="India"/>
    <x v="27"/>
    <n v="7"/>
    <x v="4"/>
    <s v="Liu Xiaowu"/>
    <m/>
    <s v="Western TC Deputy Commander"/>
    <n v="6"/>
    <s v="Abroad"/>
    <s v="Army Vice Chief"/>
    <m/>
    <m/>
    <m/>
    <m/>
    <m/>
    <m/>
    <m/>
    <m/>
  </r>
  <r>
    <s v="Naval Port Call"/>
    <s v="Southeast Asia"/>
    <s v="Asia"/>
    <s v="Comprehensive Strategic Partnership [全面战略伙伴关系]"/>
    <s v="None"/>
    <s v="INDOPACOM"/>
    <s v="Indonesia"/>
    <x v="27"/>
    <n v="7"/>
    <x v="9"/>
    <m/>
    <m/>
    <m/>
    <m/>
    <m/>
    <m/>
    <m/>
    <m/>
    <m/>
    <m/>
    <s v="ETF"/>
    <s v="ETF-28"/>
    <s v="North Sea Fleet"/>
    <s v="FFG546 Yancheng"/>
  </r>
  <r>
    <s v="Naval Port Call"/>
    <s v="Europe"/>
    <s v="Europe and Central Asia"/>
    <s v="Comprehensive Strategic Partnership [全面战略伙伴关系]"/>
    <s v="NATO"/>
    <s v="EUCOM"/>
    <s v="Italy"/>
    <x v="27"/>
    <n v="7"/>
    <x v="9"/>
    <m/>
    <m/>
    <m/>
    <m/>
    <m/>
    <m/>
    <m/>
    <m/>
    <m/>
    <m/>
    <s v="ETF"/>
    <s v="ETF-29"/>
    <s v="East Sea Fleet"/>
    <s v="FFG515 Binzhou"/>
  </r>
  <r>
    <s v="Military Exercise"/>
    <s v="Southeast Asia"/>
    <s v="Asia"/>
    <s v="Comprehensive Strategic Cooperative Partnership [全面战略合作伙伴关系]"/>
    <s v="None"/>
    <s v="INDOPACOM"/>
    <s v="Laos"/>
    <x v="27"/>
    <n v="7"/>
    <x v="5"/>
    <m/>
    <m/>
    <m/>
    <m/>
    <m/>
    <m/>
    <s v="MOOTW"/>
    <s v="Peace Train 2018"/>
    <s v="Joint"/>
    <s v="Humanitarian assistance and disaster relief"/>
    <m/>
    <m/>
    <m/>
    <m/>
  </r>
  <r>
    <s v="Senior Level Visit"/>
    <s v="South Asia"/>
    <s v="Asia"/>
    <s v="All-Round Strategic Partnership [全方位战略伙伴关系]"/>
    <s v="None"/>
    <s v="INDOPACOM"/>
    <s v="Nepal"/>
    <x v="27"/>
    <n v="7"/>
    <x v="3"/>
    <s v="Wei Fenghe"/>
    <m/>
    <s v="Defense Minister; CMC Member"/>
    <n v="8"/>
    <s v="Hosted"/>
    <s v="Chief of Army Staff"/>
    <m/>
    <m/>
    <m/>
    <m/>
    <m/>
    <m/>
    <m/>
    <m/>
  </r>
  <r>
    <s v="Senior Level Visit"/>
    <s v="South Asia"/>
    <s v="Asia"/>
    <s v="All-Weather Strategic Cooperative Partnership [全天候战略合作伙伴关系]"/>
    <s v="Major Non-NATO Ally"/>
    <s v="CENTCOM"/>
    <s v="Pakistan"/>
    <x v="27"/>
    <n v="7"/>
    <x v="4"/>
    <s v="Liu Xiaowu"/>
    <m/>
    <s v="Western TC Deputy Commander"/>
    <n v="6"/>
    <s v="Abroad"/>
    <s v="Commanders"/>
    <m/>
    <m/>
    <m/>
    <m/>
    <m/>
    <m/>
    <m/>
    <m/>
  </r>
  <r>
    <s v="Senior Level Visit"/>
    <s v="South Asia"/>
    <s v="Asia"/>
    <s v="All-Weather Strategic Cooperative Partnership [全天候战略合作伙伴关系]"/>
    <s v="Major Non-NATO Ally"/>
    <s v="CENTCOM"/>
    <s v="Pakistan"/>
    <x v="27"/>
    <n v="7"/>
    <x v="3"/>
    <s v="Zhang Youxia"/>
    <m/>
    <s v="CMc Vice Chairman"/>
    <n v="10"/>
    <s v="Hosted"/>
    <s v="Chief of Air Staff"/>
    <m/>
    <m/>
    <m/>
    <m/>
    <m/>
    <m/>
    <m/>
    <m/>
  </r>
  <r>
    <s v="Naval Port Call"/>
    <s v="Southeast Asia"/>
    <s v="America and Oceania"/>
    <s v="Comprehensive Strategic Partnership [全面战略伙伴关系]"/>
    <s v="None"/>
    <s v="INDOPACOM"/>
    <s v="Papua New Guinea"/>
    <x v="27"/>
    <n v="7"/>
    <x v="0"/>
    <m/>
    <m/>
    <m/>
    <m/>
    <m/>
    <m/>
    <m/>
    <m/>
    <m/>
    <m/>
    <s v="NETF"/>
    <s v="2018-7 Peace Ark"/>
    <s v="East Sea Fleet"/>
    <s v="Prime Minister visited the ship"/>
  </r>
  <r>
    <s v="Military Exercise"/>
    <s v="Southeast Asia"/>
    <s v="America and Oceania"/>
    <s v="Comprehensive Strategic Partnership [全面战略伙伴关系]"/>
    <s v="None"/>
    <s v="INDOPACOM"/>
    <s v="Papua New Guinea"/>
    <x v="27"/>
    <n v="7"/>
    <x v="5"/>
    <m/>
    <m/>
    <m/>
    <m/>
    <m/>
    <m/>
    <s v="MOOTW"/>
    <s v="Unnamed"/>
    <s v="Navy"/>
    <s v="Joint medical aid exercise"/>
    <m/>
    <s v="2018-7 Peace Ark"/>
    <s v="East Sea Fleet"/>
    <m/>
  </r>
  <r>
    <s v="Senior Level Visit"/>
    <s v="Russia"/>
    <s v="Europe and Central Asia"/>
    <s v="Comprehensive Collaborative Strategic Partnership [全面战略协作伙伴关系]"/>
    <s v="None"/>
    <s v="EUCOM"/>
    <s v="Russia"/>
    <x v="27"/>
    <n v="7"/>
    <x v="4"/>
    <s v="Shen Jinlong"/>
    <m/>
    <s v="PLAN Commander "/>
    <n v="6"/>
    <s v="Abroad"/>
    <s v="Commander of Northern Fleet"/>
    <m/>
    <m/>
    <m/>
    <m/>
    <m/>
    <m/>
    <m/>
    <m/>
  </r>
  <r>
    <s v="Senior Level Visit"/>
    <s v="Russia"/>
    <s v="Europe and Central Asia"/>
    <s v="Comprehensive Collaborative Strategic Partnership [全面战略协作伙伴关系]"/>
    <s v="None"/>
    <s v="EUCOM"/>
    <s v="Russia"/>
    <x v="27"/>
    <n v="7"/>
    <x v="3"/>
    <s v="Wei Fenghe"/>
    <m/>
    <s v="Defense Minister; CMC Member"/>
    <n v="8"/>
    <s v="Hosted"/>
    <s v="Commander in Chief of Ground Forces"/>
    <m/>
    <m/>
    <m/>
    <m/>
    <m/>
    <m/>
    <m/>
    <m/>
  </r>
  <r>
    <s v="Military Exercise"/>
    <s v="Russia"/>
    <s v="Europe and Central Asia"/>
    <s v="Comprehensive Collaborative Strategic Partnership [全面战略协作伙伴关系]"/>
    <s v="None"/>
    <s v="EUCOM"/>
    <s v="Russia"/>
    <x v="27"/>
    <n v="7"/>
    <x v="6"/>
    <m/>
    <m/>
    <m/>
    <m/>
    <m/>
    <m/>
    <s v="Competition"/>
    <s v="International Army Games"/>
    <s v="Army"/>
    <s v="Fighting capabilities. Other countries: Belarus, Azerbaijan, Kazakhstan, Armenia, Iran, Zimbabwe, Pakistan, Venezuela, Sudan, Uzbekistan, Egypt, Vietnam, Syria"/>
    <m/>
    <m/>
    <m/>
    <m/>
  </r>
  <r>
    <s v="Senior Level Visit"/>
    <s v="Europe"/>
    <s v="Europe and Central Asia"/>
    <s v="Comprehensive Strategic Partnership [全面战略伙伴关系]"/>
    <s v="None"/>
    <s v="EUCOM"/>
    <s v="Serbia"/>
    <x v="27"/>
    <n v="7"/>
    <x v="3"/>
    <s v="Zhang Youxia"/>
    <m/>
    <s v="CMC Vice Chairman"/>
    <n v="10"/>
    <s v="Hosted"/>
    <s v="Defense Minister"/>
    <m/>
    <m/>
    <m/>
    <m/>
    <m/>
    <m/>
    <m/>
    <m/>
  </r>
  <r>
    <s v="Naval Port Call"/>
    <s v="Africa"/>
    <s v="West Asia and Africa"/>
    <s v="Comprehensive Strategic Partnership [全面战略伙伴关系]"/>
    <s v="None"/>
    <s v="AFRICOM"/>
    <s v="South Africa"/>
    <x v="27"/>
    <n v="7"/>
    <x v="0"/>
    <m/>
    <m/>
    <m/>
    <m/>
    <m/>
    <m/>
    <m/>
    <m/>
    <m/>
    <m/>
    <s v="NETF"/>
    <s v="2018-7 Qian Weichang"/>
    <s v=" "/>
    <s v="HSS876 Qian Weichang"/>
  </r>
  <r>
    <s v="Senior Level Visit"/>
    <s v="Europe"/>
    <s v="Europe and Central Asia"/>
    <s v="Strategic Partnership [战略伙伴关系]"/>
    <s v="None"/>
    <s v="EUCOM"/>
    <s v="Switzerland"/>
    <x v="27"/>
    <n v="7"/>
    <x v="3"/>
    <s v="Wei Fenghe"/>
    <m/>
    <s v="Defense Minister; CMC Member"/>
    <n v="8"/>
    <s v="Hosted"/>
    <s v="Chief of the Armed Forces"/>
    <m/>
    <m/>
    <m/>
    <m/>
    <m/>
    <m/>
    <m/>
    <m/>
  </r>
  <r>
    <s v="Naval Port Call"/>
    <s v="Oceania"/>
    <s v="America and Oceania"/>
    <s v="Comprehensive Strategic Partnership [全面战略伙伴关系]"/>
    <s v="None"/>
    <s v="INDOPACOM"/>
    <s v="Vanuatu"/>
    <x v="27"/>
    <n v="7"/>
    <x v="0"/>
    <m/>
    <m/>
    <m/>
    <m/>
    <m/>
    <m/>
    <m/>
    <m/>
    <m/>
    <m/>
    <s v="NETF"/>
    <s v="2018-7 Peace Ark"/>
    <s v="East Sea Fleet"/>
    <m/>
  </r>
  <r>
    <s v="Senior Level Visit"/>
    <s v="Southeast Asia"/>
    <s v="Asia"/>
    <s v="Comprehensive Strategic Cooperative Partnership [全面战略合作伙伴关系]"/>
    <s v="None"/>
    <s v="INDOPACOM"/>
    <s v="Vietnam"/>
    <x v="27"/>
    <n v="7"/>
    <x v="3"/>
    <s v="Zhang Youxia"/>
    <m/>
    <s v="CMC Vice Chairman"/>
    <n v="10"/>
    <s v="Hosted"/>
    <s v="Vietnam CMC Standing Committee Member/Chief of the General Political Department of the Vietnamese People’s Army "/>
    <m/>
    <m/>
    <m/>
    <m/>
    <m/>
    <m/>
    <m/>
    <m/>
  </r>
  <r>
    <s v="Naval Port Call"/>
    <s v="Oceania"/>
    <s v="America and Oceania"/>
    <s v="Comprehensive Strategic Partnership [全面战略伙伴关系]"/>
    <s v="ANZUS Treaty"/>
    <s v="INDOPACOM"/>
    <s v="Australia"/>
    <x v="27"/>
    <n v="8"/>
    <x v="10"/>
    <m/>
    <m/>
    <m/>
    <m/>
    <m/>
    <m/>
    <m/>
    <m/>
    <m/>
    <m/>
    <s v="ETF"/>
    <s v="ETF-29"/>
    <s v="North Sea Fleet"/>
    <s v="FFG570 Huangshan"/>
  </r>
  <r>
    <s v="Senior Level Visit"/>
    <s v="Europe"/>
    <s v="Europe and Central Asia"/>
    <s v="Comprehensive Strategic Partnership [全面战略伙伴关系]"/>
    <s v="None"/>
    <s v="EUCOM"/>
    <s v="Belarus"/>
    <x v="27"/>
    <n v="8"/>
    <x v="4"/>
    <s v="Li Zuocheng"/>
    <m/>
    <s v="PLAA Commander"/>
    <n v="6"/>
    <s v="Abroad"/>
    <s v="Chief of Defense Forces"/>
    <m/>
    <m/>
    <m/>
    <m/>
    <m/>
    <m/>
    <m/>
    <m/>
  </r>
  <r>
    <s v="Military Exercise"/>
    <s v="Europe"/>
    <s v="Europe and Central Asia"/>
    <s v="Comprehensive Strategic Partnership [全面战略伙伴关系]"/>
    <s v="None"/>
    <s v="EUCOM"/>
    <s v="Belarus"/>
    <x v="27"/>
    <n v="8"/>
    <x v="5"/>
    <m/>
    <m/>
    <m/>
    <m/>
    <m/>
    <m/>
    <s v="Anti-terrorism"/>
    <s v="Eagle Assault 2018/Hunting Falcon 2018"/>
    <s v="Army"/>
    <s v="Joint training in anti-terrorism"/>
    <m/>
    <m/>
    <m/>
    <m/>
  </r>
  <r>
    <s v="Naval Port Call"/>
    <s v="Middle East"/>
    <s v="West Asia and Africa"/>
    <s v="Strategic Partnership [战略伙伴关系]"/>
    <s v="None"/>
    <s v="CENTCOM"/>
    <s v="Djibouti"/>
    <x v="27"/>
    <n v="8"/>
    <x v="0"/>
    <m/>
    <m/>
    <m/>
    <m/>
    <m/>
    <m/>
    <m/>
    <m/>
    <m/>
    <m/>
    <s v="NETF"/>
    <s v="2018-8 Peace Ark"/>
    <s v="East Sea Fleet"/>
    <m/>
  </r>
  <r>
    <s v="Naval Port Call"/>
    <s v="Oceania"/>
    <s v="America and Oceania"/>
    <s v="Comprehensive Strategic Partnership [全面战略伙伴关系]"/>
    <s v="None"/>
    <s v="INDOPACOM"/>
    <s v="Fiji"/>
    <x v="27"/>
    <n v="8"/>
    <x v="0"/>
    <m/>
    <m/>
    <m/>
    <m/>
    <m/>
    <m/>
    <m/>
    <m/>
    <m/>
    <m/>
    <s v="NETF"/>
    <s v="2018-7 Peace Ark"/>
    <s v="East Sea Fleet"/>
    <m/>
  </r>
  <r>
    <s v="Senior Level Visit"/>
    <s v="South Asia"/>
    <s v="Asia"/>
    <s v="Strategic Partnership for Peace and Prosperity [战略伙伴关系]"/>
    <s v="None"/>
    <s v="INDOPACOM"/>
    <s v="India"/>
    <x v="27"/>
    <n v="8"/>
    <x v="4"/>
    <s v="Wei Fenghe"/>
    <m/>
    <s v="Defense Minister; CMC Member"/>
    <n v="8"/>
    <s v="Abroad"/>
    <s v="Prime Minister"/>
    <m/>
    <m/>
    <m/>
    <m/>
    <m/>
    <m/>
    <m/>
    <m/>
  </r>
  <r>
    <s v="Senior Level Visit"/>
    <s v="Russia"/>
    <s v="Europe and Central Asia"/>
    <s v="Comprehensive Collaborative Strategic Partnership [全面战略协作伙伴关系]"/>
    <s v="None"/>
    <s v="EUCOM"/>
    <s v="Russia"/>
    <x v="27"/>
    <n v="8"/>
    <x v="4"/>
    <s v="Li Zuocheng"/>
    <m/>
    <s v="PLAA Commander"/>
    <n v="6"/>
    <s v="Abroad"/>
    <s v="Chief of Defense Forces"/>
    <m/>
    <m/>
    <m/>
    <m/>
    <m/>
    <m/>
    <m/>
    <m/>
  </r>
  <r>
    <s v="Senior Level Visit"/>
    <s v="Central Asia"/>
    <s v="Europe and Central Asia"/>
    <s v="Member"/>
    <s v="None"/>
    <s v="CENTCOM"/>
    <s v="SCO"/>
    <x v="27"/>
    <n v="8"/>
    <x v="1"/>
    <s v="Li Zuocheng"/>
    <m/>
    <s v="PLAA Commander"/>
    <n v="6"/>
    <s v="Abroad"/>
    <s v="Fifth meeting of SCO military chiefs of staff in Moscow"/>
    <m/>
    <m/>
    <m/>
    <m/>
    <m/>
    <m/>
    <m/>
    <m/>
  </r>
  <r>
    <s v="Military Exercise"/>
    <s v="Central Asia"/>
    <s v="Europe and Central Asia"/>
    <s v="Member"/>
    <s v="None"/>
    <s v="CENTCOM"/>
    <s v="SCO"/>
    <x v="27"/>
    <n v="8"/>
    <x v="6"/>
    <m/>
    <m/>
    <m/>
    <m/>
    <m/>
    <m/>
    <s v="Combat"/>
    <s v="Peace Mission 2018"/>
    <s v="Joint"/>
    <s v="Other countries: Russia, Kazakhstan, Tajikistan, India, Pakistan. August 24-29, 2018"/>
    <m/>
    <m/>
    <m/>
    <m/>
  </r>
  <r>
    <s v="Senior Level Visit"/>
    <s v="Africa"/>
    <s v="West Asia and Africa"/>
    <s v="Comprehensive Strategic Partnership [全面战略伙伴关系]"/>
    <s v="None"/>
    <s v="AFRICOM"/>
    <s v="South Africa"/>
    <x v="27"/>
    <n v="8"/>
    <x v="3"/>
    <s v="Li Zuocheng"/>
    <m/>
    <s v="PLAA Commander"/>
    <n v="6"/>
    <s v="Hosted"/>
    <s v="Chief of Defense Forces"/>
    <m/>
    <m/>
    <m/>
    <m/>
    <m/>
    <m/>
    <m/>
    <m/>
  </r>
  <r>
    <s v="Naval Port Call"/>
    <s v="South Asia"/>
    <s v="Asia"/>
    <s v="Strategic Cooperative Partnership [战略合作伙伴关系]"/>
    <s v="None"/>
    <s v="INDOPACOM"/>
    <s v="Sri Lanka"/>
    <x v="27"/>
    <n v="8"/>
    <x v="0"/>
    <m/>
    <m/>
    <m/>
    <m/>
    <m/>
    <m/>
    <m/>
    <m/>
    <m/>
    <m/>
    <s v="NETF"/>
    <s v="2018-8 Qian Weichang"/>
    <s v=" "/>
    <s v="HSS876 Qian Weichang"/>
  </r>
  <r>
    <s v="Military Exercise"/>
    <s v="Central Asia"/>
    <s v="Europe and Central Asia"/>
    <s v="Comprehensive Strategic Partnership [全面战略伙伴关系]"/>
    <s v="None"/>
    <s v="CENTCOM"/>
    <s v="Tajikistan"/>
    <x v="27"/>
    <n v="8"/>
    <x v="5"/>
    <m/>
    <m/>
    <m/>
    <m/>
    <m/>
    <m/>
    <s v="Anti-terrorism"/>
    <s v="Unknown"/>
    <s v="Army"/>
    <m/>
    <m/>
    <m/>
    <m/>
    <m/>
  </r>
  <r>
    <s v="Naval Port Call"/>
    <s v="Oceania"/>
    <s v="America and Oceania"/>
    <s v="Strategic Partnership [战略伙伴关系]"/>
    <s v="None"/>
    <s v="INDOPACOM"/>
    <s v="Tonga"/>
    <x v="27"/>
    <n v="8"/>
    <x v="0"/>
    <m/>
    <m/>
    <m/>
    <m/>
    <m/>
    <m/>
    <m/>
    <m/>
    <m/>
    <m/>
    <s v="NETF"/>
    <s v="2018-8 Peace Ark"/>
    <s v="East Sea Fleet"/>
    <m/>
  </r>
  <r>
    <s v="Military Exercise"/>
    <s v="Southeast Asia"/>
    <s v="Asia"/>
    <s v="Comprehensive Strategic Cooperative Partnership [全面战略合作伙伴关系]"/>
    <s v="None"/>
    <s v="INDOPACOM"/>
    <s v="Vietnam"/>
    <x v="27"/>
    <n v="8"/>
    <x v="5"/>
    <m/>
    <m/>
    <m/>
    <m/>
    <m/>
    <m/>
    <s v="MOOTW"/>
    <s v="Unnamed"/>
    <s v="Army"/>
    <s v="Joint free medical examination"/>
    <m/>
    <m/>
    <m/>
    <m/>
  </r>
  <r>
    <s v="Military Exercise"/>
    <s v="Oceania"/>
    <s v="America and Oceania"/>
    <s v="Comprehensive Strategic Partnership [全面战略伙伴关系]"/>
    <s v="ANZUS Treaty"/>
    <s v="INDOPACOM"/>
    <s v="Australia"/>
    <x v="27"/>
    <n v="9"/>
    <x v="6"/>
    <m/>
    <m/>
    <m/>
    <m/>
    <m/>
    <m/>
    <s v="Combat"/>
    <s v="Kakadu 2018"/>
    <s v="Navy"/>
    <s v="Maritime exercises,both combat and support. Sent frigate Huangshan. 27 countries total: India, Japan, BG, Brunei, CB, CA, Chile, Cook Islands, East Timor, Fiji, FR, IN, ID, MY, NZ, PL, PNG, PH, SG, KS, CE, TH, Tonga, UAE, VM"/>
    <m/>
    <m/>
    <m/>
    <m/>
  </r>
  <r>
    <s v="Military Exercise"/>
    <s v="Oceania"/>
    <s v="America and Oceania"/>
    <s v="Comprehensive Strategic Partnership [全面战略伙伴关系]"/>
    <s v="ANZUS Treaty"/>
    <s v="INDOPACOM"/>
    <s v="Australia"/>
    <x v="27"/>
    <n v="9"/>
    <x v="5"/>
    <m/>
    <m/>
    <m/>
    <m/>
    <m/>
    <m/>
    <s v="MOOTW"/>
    <s v="Pandaroo 2018"/>
    <s v="Army"/>
    <s v="Joint training exercise - &quot;adventure training&quot; like seakayaking and rapelling"/>
    <m/>
    <m/>
    <m/>
    <m/>
  </r>
  <r>
    <s v="Military Exercise"/>
    <s v="Oceania"/>
    <s v="America and Oceania"/>
    <s v="Comprehensive Strategic Partnership [全面战略伙伴关系]"/>
    <s v="ANZUS Treaty"/>
    <s v="INDOPACOM"/>
    <s v="Australia"/>
    <x v="27"/>
    <n v="9"/>
    <x v="6"/>
    <m/>
    <m/>
    <m/>
    <m/>
    <m/>
    <m/>
    <s v="MOOTW"/>
    <s v="Kowari 2018"/>
    <s v="Army"/>
    <s v="Survival Training Exercise. Other countries: United States."/>
    <m/>
    <m/>
    <m/>
    <m/>
  </r>
  <r>
    <s v="Naval Port Call"/>
    <s v="Middle East"/>
    <s v="West Asia and Africa"/>
    <s v="Strategic Partnership [战略伙伴关系]"/>
    <s v="None"/>
    <s v="CENTCOM"/>
    <s v="Djibouti"/>
    <x v="27"/>
    <n v="9"/>
    <x v="9"/>
    <m/>
    <m/>
    <m/>
    <m/>
    <m/>
    <m/>
    <m/>
    <m/>
    <m/>
    <m/>
    <s v="ETF"/>
    <s v="ETF-30"/>
    <s v="North Sea Fleet"/>
    <s v="FFG539 Wuhu"/>
  </r>
  <r>
    <s v="Senior Level Visit"/>
    <s v="Middle East"/>
    <s v="West Asia and Africa"/>
    <s v="Comprehensive Strategic Partnership [全面战略伙伴关系]"/>
    <s v="None"/>
    <s v="CENTCOM"/>
    <s v="Iran"/>
    <x v="27"/>
    <n v="9"/>
    <x v="3"/>
    <s v="Zhang Youxia"/>
    <m/>
    <s v="CMC Vice Chairman"/>
    <n v="10"/>
    <s v="Hosted"/>
    <s v="Defense Minister"/>
    <m/>
    <m/>
    <m/>
    <m/>
    <m/>
    <m/>
    <m/>
    <m/>
  </r>
  <r>
    <s v="Senior Level Visit"/>
    <s v="Central Asia"/>
    <s v="Europe and Central Asia"/>
    <s v="Comprehensive Strategic Partnership [全面战略伙伴关系]"/>
    <s v="None"/>
    <s v="CENTCOM"/>
    <s v="Kazakhstan"/>
    <x v="27"/>
    <n v="9"/>
    <x v="4"/>
    <s v="Xu Qiliang"/>
    <m/>
    <s v="CMC Vice Chairman"/>
    <n v="10"/>
    <s v="Abroad"/>
    <s v="Defense Minister"/>
    <m/>
    <m/>
    <m/>
    <m/>
    <m/>
    <m/>
    <m/>
    <m/>
  </r>
  <r>
    <s v="Senior Level Visit"/>
    <s v="Central Asia"/>
    <s v="Europe and Central Asia"/>
    <s v="Comprehensive Strategic Partnership [全面战略伙伴关系]"/>
    <s v="None"/>
    <s v="CENTCOM"/>
    <s v="Kyrgyzstan"/>
    <x v="27"/>
    <n v="9"/>
    <x v="4"/>
    <s v="Xu Qiliang"/>
    <m/>
    <s v="CMC Vice Chairman"/>
    <n v="10"/>
    <s v="Abroad"/>
    <s v="Defense Minister"/>
    <m/>
    <m/>
    <m/>
    <m/>
    <m/>
    <m/>
    <m/>
    <m/>
  </r>
  <r>
    <s v="Military Exercise"/>
    <s v="South Asia"/>
    <s v="Asia"/>
    <s v="All-Round Strategic Partnership [全方位战略伙伴关系]"/>
    <s v="None"/>
    <s v="INDOPACOM"/>
    <s v="Nepal"/>
    <x v="27"/>
    <n v="9"/>
    <x v="5"/>
    <m/>
    <m/>
    <m/>
    <m/>
    <m/>
    <m/>
    <s v="Anti-terrorism"/>
    <s v="Mt. Everest Friendship 2018"/>
    <s v="Army"/>
    <s v="Joint training exercise; removing explosives and shooting"/>
    <m/>
    <m/>
    <m/>
    <m/>
  </r>
  <r>
    <s v="Military Exercise"/>
    <s v="Africa"/>
    <s v="West Asia and Africa"/>
    <s v="Strategic Partnership [战略伙伴关系]"/>
    <s v="None"/>
    <s v="AFRICOM"/>
    <s v="Nigeria"/>
    <x v="27"/>
    <n v="9"/>
    <x v="5"/>
    <m/>
    <m/>
    <m/>
    <m/>
    <m/>
    <m/>
    <s v="Anti-terrorism"/>
    <s v="Unnamed"/>
    <s v="PAP"/>
    <s v="Held in Mali, response to recent security situation. Simulated attack on a UN camp. Chinese 6th peacekeeping engineers detachment participated with Nigeria's peacekeeping infantry battalion."/>
    <m/>
    <m/>
    <m/>
    <m/>
  </r>
  <r>
    <s v="Senior Level Visit"/>
    <s v="South Asia"/>
    <s v="Asia"/>
    <s v="All-Weather Strategic Cooperative Partnership [全天候战略合作伙伴关系]"/>
    <s v="Major Non-NATO Ally"/>
    <s v="CENTCOM"/>
    <s v="Pakistan"/>
    <x v="27"/>
    <n v="9"/>
    <x v="3"/>
    <s v="Zhang Youxia"/>
    <m/>
    <s v="CMC Vice Chairman"/>
    <n v="10"/>
    <s v="Hosted"/>
    <s v="Chief of Army Staff"/>
    <m/>
    <m/>
    <m/>
    <m/>
    <m/>
    <m/>
    <m/>
    <m/>
  </r>
  <r>
    <s v="Senior Level Visit"/>
    <s v="Russia"/>
    <s v="Europe and Central Asia"/>
    <s v="Comprehensive Collaborative Strategic Partnership [全面战略协作伙伴关系]"/>
    <s v="None"/>
    <s v="EUCOM"/>
    <s v="Russia"/>
    <x v="27"/>
    <n v="9"/>
    <x v="4"/>
    <s v="Wei Fenghe"/>
    <m/>
    <s v="Defense Minister; CMC Member"/>
    <n v="8"/>
    <s v="Abroad"/>
    <s v="President"/>
    <m/>
    <m/>
    <m/>
    <m/>
    <m/>
    <m/>
    <m/>
    <m/>
  </r>
  <r>
    <s v="Military Exercise"/>
    <s v="Russia"/>
    <s v="Europe and Central Asia"/>
    <s v="Comprehensive Collaborative Strategic Partnership [全面战略协作伙伴关系]"/>
    <s v="None"/>
    <s v="EUCOM"/>
    <s v="Russia"/>
    <x v="27"/>
    <n v="9"/>
    <x v="6"/>
    <m/>
    <m/>
    <m/>
    <m/>
    <m/>
    <m/>
    <s v="Combat"/>
    <s v="Vostok 2018"/>
    <s v="Joint"/>
    <s v="Mobile defense, firepower striking, and counter-offensive; Mongolia also participated"/>
    <m/>
    <m/>
    <m/>
    <m/>
  </r>
  <r>
    <s v="Senior Level Visit"/>
    <s v="Southeast Asia"/>
    <s v="Asia"/>
    <s v="All-Round Cooperative Partnership [全方合作伙伴关系]"/>
    <s v="None"/>
    <s v="INDOPACOM"/>
    <s v="Singapore"/>
    <x v="27"/>
    <n v="9"/>
    <x v="3"/>
    <s v="Wei Fenghe"/>
    <m/>
    <s v="Defense Minister; CMC Member"/>
    <n v="8"/>
    <s v="Hosted"/>
    <s v="Chief of Defense Forces"/>
    <m/>
    <m/>
    <m/>
    <m/>
    <m/>
    <m/>
    <m/>
    <m/>
  </r>
  <r>
    <s v="Military Exercise"/>
    <s v="South Asia"/>
    <s v="Asia"/>
    <s v="Strategic Cooperative Partnership [战略合作伙伴关系]"/>
    <s v="None"/>
    <s v="INDOPACOM"/>
    <s v="Sri Lanka"/>
    <x v="27"/>
    <n v="9"/>
    <x v="6"/>
    <m/>
    <m/>
    <m/>
    <m/>
    <m/>
    <m/>
    <s v="Combat"/>
    <s v="Cormorant Strike IX 2018"/>
    <s v="Army"/>
    <s v="Special operations"/>
    <m/>
    <m/>
    <m/>
    <m/>
  </r>
  <r>
    <s v="Senior Level Visit"/>
    <s v="Central Asia"/>
    <s v="Europe and Central Asia"/>
    <s v="Comprehensive Strategic Partnership [全面战略伙伴关系]"/>
    <s v="None"/>
    <s v="CENTCOM"/>
    <s v="Tajikistan"/>
    <x v="27"/>
    <n v="9"/>
    <x v="4"/>
    <s v="Xu Qiliang"/>
    <m/>
    <s v="CMC Vice Chairman"/>
    <n v="10"/>
    <s v="Abroad"/>
    <s v="President"/>
    <m/>
    <m/>
    <m/>
    <m/>
    <m/>
    <m/>
    <m/>
    <m/>
  </r>
  <r>
    <s v="Military Exercise"/>
    <s v="Southeast Asia"/>
    <s v="Asia"/>
    <s v="Comprehensive Strategic Cooperative Partnership [全面战略合作伙伴关系]"/>
    <s v="Bilateral Defense Treaty"/>
    <s v="INDOPACOM"/>
    <s v="Thailand"/>
    <x v="27"/>
    <n v="9"/>
    <x v="5"/>
    <m/>
    <m/>
    <m/>
    <m/>
    <m/>
    <m/>
    <s v="Combat"/>
    <s v="Falcon Strike 2018"/>
    <s v="Air Force"/>
    <s v="Combat tactics and methods"/>
    <m/>
    <m/>
    <m/>
    <m/>
  </r>
  <r>
    <s v="Senior Level Visit"/>
    <s v="North America"/>
    <s v="America and Oceania"/>
    <s v="No Specific Relationship"/>
    <s v="N/A"/>
    <s v="NORTHCOM"/>
    <s v="United States"/>
    <x v="27"/>
    <n v="9"/>
    <x v="3"/>
    <s v="Song Puxuan"/>
    <m/>
    <s v="CMC/LSD Director"/>
    <n v="6"/>
    <s v="Hosted"/>
    <s v="Dir of LSD"/>
    <m/>
    <m/>
    <m/>
    <m/>
    <m/>
    <m/>
    <m/>
    <m/>
  </r>
  <r>
    <s v="Naval Port Call"/>
    <s v="South America"/>
    <s v="America and Oceania"/>
    <s v="Comprehensive Strategic Partnership [全面战略伙伴关系]"/>
    <s v="None"/>
    <s v="SOUTHCOM"/>
    <s v="Venezuela"/>
    <x v="27"/>
    <n v="9"/>
    <x v="0"/>
    <m/>
    <m/>
    <m/>
    <m/>
    <m/>
    <m/>
    <m/>
    <m/>
    <m/>
    <m/>
    <s v="NETF"/>
    <s v="2018-9 Peace Ark"/>
    <s v="East Sea Fleet"/>
    <m/>
  </r>
  <r>
    <s v="Naval Port Call"/>
    <s v="South America"/>
    <s v="America and Oceania"/>
    <s v="Friendly Cooperative Partnership [友好合作伙伴关系]"/>
    <s v="None"/>
    <s v="SOUTHCOM"/>
    <s v="Antigua and Barbuda"/>
    <x v="27"/>
    <n v="10"/>
    <x v="0"/>
    <m/>
    <m/>
    <m/>
    <m/>
    <m/>
    <m/>
    <m/>
    <m/>
    <m/>
    <m/>
    <s v="NETF"/>
    <s v="2018-10 Peace Ark"/>
    <s v="East Sea Fleet"/>
    <m/>
  </r>
  <r>
    <s v="Senior Level Visit"/>
    <s v="Southeast Asia"/>
    <s v="Asia"/>
    <s v="Strategic Partnership [战略伙伴关系] for Peace and Prosperity"/>
    <s v="None"/>
    <s v="INDOPACOM"/>
    <s v="ASEAN"/>
    <x v="27"/>
    <n v="10"/>
    <x v="1"/>
    <s v="Wei Fenghe"/>
    <m/>
    <s v="Defense Minister; CMC Member"/>
    <n v="8"/>
    <s v="Abroad"/>
    <s v="5th ADMM+ Defense Minister"/>
    <m/>
    <m/>
    <m/>
    <m/>
    <m/>
    <m/>
    <m/>
    <m/>
  </r>
  <r>
    <s v="Military Exercise"/>
    <s v="Southeast Asia"/>
    <s v="Asia"/>
    <s v="Strategic Partnership [战略伙伴关系] for Peace and Prosperity"/>
    <s v="None"/>
    <s v="INDOPACOM"/>
    <s v="ASEAN"/>
    <x v="27"/>
    <n v="10"/>
    <x v="6"/>
    <m/>
    <m/>
    <m/>
    <m/>
    <m/>
    <m/>
    <s v="MOOTW"/>
    <s v="ASEAN-China Maritime Exercise"/>
    <s v="Navy"/>
    <s v="Exchange activities; SG=lead planner for ASEAN; Other countries: Singapore, Vietnam, Thailand, Brunei, Philippines (first PLA exercise with Philippines)"/>
    <m/>
    <m/>
    <m/>
    <m/>
  </r>
  <r>
    <s v="Senior Level Visit"/>
    <s v="Oceania"/>
    <s v="America and Oceania"/>
    <s v="Comprehensive Strategic Partnership [全面战略伙伴关系]"/>
    <s v="ANZUS Treaty"/>
    <s v="INDOPACOM"/>
    <s v="Australia"/>
    <x v="27"/>
    <n v="10"/>
    <x v="7"/>
    <s v="Wei Fenghe"/>
    <m/>
    <s v="Defense Minister; CMC Member"/>
    <n v="8"/>
    <s v="Abroad"/>
    <s v="BL with Defense Minister at ADMM+"/>
    <m/>
    <m/>
    <m/>
    <m/>
    <m/>
    <m/>
    <m/>
    <m/>
  </r>
  <r>
    <s v="Senior Level Visit"/>
    <s v="Oceania"/>
    <s v="America and Oceania"/>
    <s v="Comprehensive Strategic Partnership [全面战略伙伴关系]"/>
    <s v="ANZUS Treaty"/>
    <s v="INDOPACOM"/>
    <s v="Australia"/>
    <x v="27"/>
    <n v="10"/>
    <x v="3"/>
    <s v="Xu Qiliang"/>
    <m/>
    <s v="CMC Vice Chairman"/>
    <n v="10"/>
    <s v="Hosted"/>
    <s v="Defense Minister"/>
    <m/>
    <m/>
    <m/>
    <m/>
    <m/>
    <m/>
    <m/>
    <m/>
  </r>
  <r>
    <s v="Senior Level Visit"/>
    <s v="Oceania"/>
    <s v="America and Oceania"/>
    <s v="Comprehensive Strategic Partnership [全面战略伙伴关系]"/>
    <s v="ANZUS Treaty"/>
    <s v="INDOPACOM"/>
    <s v="Australia"/>
    <x v="27"/>
    <n v="10"/>
    <x v="3"/>
    <s v="Xu Qiliang"/>
    <m/>
    <s v="CMC Vice Chairman"/>
    <n v="10"/>
    <s v="Hosted"/>
    <s v="Defense Minister and CHOD for 21st Strategic Consultation"/>
    <m/>
    <m/>
    <m/>
    <m/>
    <m/>
    <m/>
    <m/>
    <m/>
  </r>
  <r>
    <s v="Senior Level Visit"/>
    <s v="South America"/>
    <s v="America and Oceania"/>
    <s v="Strategic Partnership [战略伙伴关系]"/>
    <s v="None"/>
    <s v="SOUTHCOM"/>
    <s v="Bolivia"/>
    <x v="27"/>
    <n v="10"/>
    <x v="7"/>
    <s v="Wei Fenghe"/>
    <m/>
    <s v="Defense Minister; CMC Member"/>
    <n v="8"/>
    <s v="Abroad"/>
    <s v="Defense Minister; BL at 4th China-Latin America Defense Forum"/>
    <m/>
    <m/>
    <m/>
    <m/>
    <m/>
    <m/>
    <m/>
    <m/>
  </r>
  <r>
    <s v="Senior Level Visit"/>
    <s v="Southeast Asia"/>
    <s v="Asia"/>
    <s v="Comprehensive Strategic Cooperative Partnership [全面战略合作伙伴关系]"/>
    <s v="None"/>
    <s v="INDOPACOM"/>
    <s v="Cambodia"/>
    <x v="27"/>
    <n v="10"/>
    <x v="7"/>
    <s v="Xu Qiliang"/>
    <m/>
    <s v="CMC Vice Chairman"/>
    <n v="10"/>
    <s v="Hosted"/>
    <s v="Defense Minister; BL at Xiangshan"/>
    <m/>
    <m/>
    <m/>
    <m/>
    <m/>
    <m/>
    <m/>
    <m/>
  </r>
  <r>
    <s v="Senior Level Visit"/>
    <s v="South America"/>
    <s v="America and Oceania"/>
    <s v="Comprehensive Cooperative Partnership [全面合作伙伴关系]"/>
    <s v="None"/>
    <s v="SOUTHCOM"/>
    <s v="CELAC"/>
    <x v="27"/>
    <n v="10"/>
    <x v="2"/>
    <s v="Wei Fenghe"/>
    <m/>
    <s v="Defense Minister; CMC Member"/>
    <n v="8"/>
    <s v="Hosted"/>
    <s v="Fourth China-Latin America High-level Defense Forum"/>
    <m/>
    <m/>
    <m/>
    <m/>
    <m/>
    <m/>
    <m/>
    <m/>
  </r>
  <r>
    <s v="Senior Level Visit"/>
    <s v="South America"/>
    <s v="America and Oceania"/>
    <s v="Strategic Partnership [战略伙伴关系]"/>
    <s v="None"/>
    <s v="SOUTHCOM"/>
    <s v="Costa Rica"/>
    <x v="27"/>
    <n v="10"/>
    <x v="7"/>
    <s v="Wei Fenghe"/>
    <m/>
    <s v="Defense Minister; CMC Member"/>
    <n v="8"/>
    <s v="Abroad"/>
    <s v="Public Security Minister; BL at 4th China-Latin America Defense Forum"/>
    <m/>
    <m/>
    <m/>
    <m/>
    <m/>
    <m/>
    <m/>
    <m/>
  </r>
  <r>
    <s v="Naval Port Call"/>
    <s v="South America"/>
    <s v="America and Oceania"/>
    <s v="No Specific Relationship"/>
    <s v="None"/>
    <s v="SOUTHCOM"/>
    <s v="Dominica"/>
    <x v="27"/>
    <n v="10"/>
    <x v="0"/>
    <m/>
    <m/>
    <m/>
    <m/>
    <m/>
    <m/>
    <m/>
    <m/>
    <m/>
    <m/>
    <s v="NETF"/>
    <s v="2018-10 Peace Ark"/>
    <s v="East Sea Fleet"/>
    <m/>
  </r>
  <r>
    <s v="Senior Level Visit"/>
    <s v="South America"/>
    <s v="America and Oceania"/>
    <s v="Comprehensive Strategic Partnership [全面战略伙伴关系]"/>
    <s v="None"/>
    <s v="SOUTHCOM"/>
    <s v="Ecuador"/>
    <x v="27"/>
    <n v="10"/>
    <x v="7"/>
    <s v="Wei Fenghe"/>
    <m/>
    <s v="Defense Minister; CMC Member"/>
    <n v="8"/>
    <s v="Hosted"/>
    <s v="BL with Defense Minister at Xiangshan Forum"/>
    <m/>
    <m/>
    <m/>
    <m/>
    <m/>
    <m/>
    <m/>
    <m/>
  </r>
  <r>
    <s v="Senior Level Visit"/>
    <s v="Africa"/>
    <s v="West Asia and Africa"/>
    <s v="Comprehensive Cooperative Partnership [全面合作伙伴关系]"/>
    <s v="None"/>
    <s v="AFRICOM"/>
    <s v="Equatorial Guinea"/>
    <x v="27"/>
    <n v="10"/>
    <x v="7"/>
    <s v="Wei Fenghe"/>
    <m/>
    <s v="Defense Minister; CMC Member"/>
    <n v="8"/>
    <s v="Hosted"/>
    <s v="BL with Defense Minister at Xiangshan Forum"/>
    <m/>
    <m/>
    <m/>
    <m/>
    <m/>
    <m/>
    <m/>
    <m/>
  </r>
  <r>
    <s v="Military Exercise"/>
    <s v="Europe"/>
    <s v="Europe and Central Asia"/>
    <s v="Comprehensive Cooperative Partnership [全面合作伙伴关系]"/>
    <s v="None"/>
    <s v="EUCOM"/>
    <s v="European Union"/>
    <x v="27"/>
    <n v="10"/>
    <x v="6"/>
    <m/>
    <m/>
    <m/>
    <m/>
    <m/>
    <m/>
    <s v="MOOTW"/>
    <s v="Cooperation EU Joint Medical Exercise"/>
    <s v="Navy"/>
    <s v="Led by Italy; Joint medical rescue with European Union Naval Force Combined Task Force (EU NAVFOR CTF) and PLA Djibouti Support Base; joint air-sea medical rescue in the West Gulf of Aden"/>
    <m/>
    <m/>
    <m/>
    <m/>
  </r>
  <r>
    <s v="Senior Level Visit"/>
    <s v="Oceania"/>
    <s v="America and Oceania"/>
    <s v="Comprehensive Strategic Partnership [全面战略伙伴关系]"/>
    <s v="None"/>
    <s v="INDOPACOM"/>
    <s v="Fiji"/>
    <x v="27"/>
    <n v="10"/>
    <x v="7"/>
    <s v="Wei Fenghe"/>
    <m/>
    <s v="Defense Minister; CMC Member"/>
    <n v="8"/>
    <s v="Hosted"/>
    <s v="BL with Defense Minister at Xiangshan Forum"/>
    <m/>
    <m/>
    <m/>
    <m/>
    <m/>
    <m/>
    <m/>
    <m/>
  </r>
  <r>
    <s v="Senior Level Visit"/>
    <s v="Europe"/>
    <s v="Europe and Central Asia"/>
    <s v="Comprehensive Strategic Partnership [全面战略伙伴关系]"/>
    <s v="NATO"/>
    <s v="EUCOM"/>
    <s v="Germany"/>
    <x v="27"/>
    <n v="10"/>
    <x v="3"/>
    <s v="Xu Qiliang"/>
    <m/>
    <s v="CMC Vice Chairman"/>
    <n v="10"/>
    <s v="Hosted"/>
    <s v="Defense Minister"/>
    <m/>
    <m/>
    <m/>
    <m/>
    <m/>
    <m/>
    <m/>
    <m/>
  </r>
  <r>
    <s v="Naval Port Call"/>
    <s v="South America"/>
    <s v="America and Oceania"/>
    <s v="No Specific Relationship"/>
    <s v="None"/>
    <s v="SOUTHCOM"/>
    <s v="Grenada"/>
    <x v="27"/>
    <n v="10"/>
    <x v="0"/>
    <m/>
    <m/>
    <m/>
    <m/>
    <m/>
    <m/>
    <m/>
    <m/>
    <m/>
    <m/>
    <s v="NETF"/>
    <s v="2018-10 Peace Ark"/>
    <s v="East Sea Fleet"/>
    <m/>
  </r>
  <r>
    <s v="Senior Level Visit"/>
    <s v="Northeast Asia"/>
    <s v="Asia"/>
    <s v="Mutually Beneficial Strategic Relationship [战略互惠关系]"/>
    <s v="Bilateral Defense Treaty"/>
    <s v="INDOPACOM"/>
    <s v="Japan"/>
    <x v="27"/>
    <n v="10"/>
    <x v="7"/>
    <s v="Wei Fenghe"/>
    <m/>
    <s v="Defense Minister; CMC Member"/>
    <n v="8"/>
    <s v="Abroad"/>
    <s v="BL with Defense Minister at ADMM+"/>
    <m/>
    <m/>
    <m/>
    <m/>
    <m/>
    <m/>
    <m/>
    <m/>
  </r>
  <r>
    <s v="Senior Level Visit"/>
    <s v="Southeast Asia"/>
    <s v="Asia"/>
    <s v="Comprehensive Strategic Cooperative Partnership [全面战略合作伙伴关系]"/>
    <s v="None"/>
    <s v="INDOPACOM"/>
    <s v="Laos"/>
    <x v="27"/>
    <n v="10"/>
    <x v="7"/>
    <s v="Wei Fenghe"/>
    <m/>
    <s v="Defense Minister; CMC Member"/>
    <n v="8"/>
    <s v="Abroad"/>
    <s v="BL with Defense Minister at ADMM+"/>
    <m/>
    <m/>
    <m/>
    <m/>
    <m/>
    <m/>
    <m/>
    <m/>
  </r>
  <r>
    <s v="Military Exercise"/>
    <s v="Southeast Asia"/>
    <s v="Asia"/>
    <s v="Comprehensive Strategic Partnership [全面战略伙伴关系]"/>
    <s v="None"/>
    <s v="INDOPACOM"/>
    <s v="Malaysia"/>
    <x v="27"/>
    <n v="10"/>
    <x v="6"/>
    <m/>
    <m/>
    <m/>
    <m/>
    <m/>
    <m/>
    <s v="Combat"/>
    <s v="Peace and Friendship 2018"/>
    <s v="Joint"/>
    <s v="Joint training on security threats; staff HQ exercise and combat training; survival training. Other countries: Thailand "/>
    <m/>
    <m/>
    <m/>
    <m/>
  </r>
  <r>
    <s v="Senior Level Visit"/>
    <s v="Southeast Asia"/>
    <s v="Asia"/>
    <s v="Comprehensive Strategic Partnership [全面战略伙伴关系]"/>
    <s v="None"/>
    <s v="INDOPACOM"/>
    <s v="Malaysia"/>
    <x v="27"/>
    <n v="10"/>
    <x v="7"/>
    <s v="Xu Qiliang"/>
    <m/>
    <s v="CMC Vice Chairman"/>
    <n v="10"/>
    <s v="Hosted"/>
    <s v="Defense Minister; BL at Xiangshan"/>
    <m/>
    <m/>
    <m/>
    <m/>
    <m/>
    <m/>
    <m/>
    <m/>
  </r>
  <r>
    <s v="Senior Level Visit"/>
    <s v="Africa"/>
    <s v="West Asia and Africa"/>
    <s v="Comprehensive Strategic Cooperative Partnership [全面战略合作伙伴关系]"/>
    <s v="None"/>
    <s v="AFRICOM"/>
    <s v="Mozambique"/>
    <x v="27"/>
    <n v="10"/>
    <x v="7"/>
    <s v="Wei Fenghe"/>
    <m/>
    <s v="Defense Minister; CMC Member"/>
    <n v="8"/>
    <s v="Hosted"/>
    <s v="BL with Defense Minister at Xiangshan Forum"/>
    <m/>
    <m/>
    <m/>
    <m/>
    <m/>
    <m/>
    <m/>
    <m/>
  </r>
  <r>
    <s v="Senior Level Visit"/>
    <s v="Southeast Asia"/>
    <s v="Asia"/>
    <s v="Comprehensive Strategic Cooperative Partnership [全面战略合作伙伴关系]"/>
    <s v="None"/>
    <s v="INDOPACOM"/>
    <s v="Myanmar"/>
    <x v="27"/>
    <n v="10"/>
    <x v="7"/>
    <s v="Wei Fenghe"/>
    <m/>
    <s v="Defense Minister; CMC Member"/>
    <n v="8"/>
    <s v="Hosted"/>
    <s v="BL with Defense Minister at Xiangshan Forum"/>
    <m/>
    <m/>
    <m/>
    <m/>
    <m/>
    <m/>
    <m/>
    <m/>
  </r>
  <r>
    <s v="Military Exercise"/>
    <s v="Northeast Asia"/>
    <s v="Asia"/>
    <s v="N/A"/>
    <s v="None"/>
    <s v="INDOPACOM"/>
    <s v="N/A"/>
    <x v="27"/>
    <n v="10"/>
    <x v="6"/>
    <m/>
    <m/>
    <m/>
    <m/>
    <m/>
    <m/>
    <s v="Anti-terrorism"/>
    <s v="Sharp Blade 2018"/>
    <s v="PAP"/>
    <s v="Anti-terrorism. Other countries: Hungary, Israel, Pakistan, CAR; Hosted by PAP, but PLAN, PLAA, and PLAAF sent teams. "/>
    <m/>
    <m/>
    <m/>
    <m/>
  </r>
  <r>
    <s v="Senior Level Visit"/>
    <s v="Northeast Asia"/>
    <s v="Asia"/>
    <s v="N/A"/>
    <s v="None"/>
    <s v="INDOPACOM"/>
    <s v="N/A"/>
    <x v="27"/>
    <n v="10"/>
    <x v="2"/>
    <s v="Wei Fenghe"/>
    <m/>
    <s v="Defense Minister; CMC Member"/>
    <n v="8"/>
    <s v="Hosted"/>
    <s v="Xiangshan Forum 2018; Defense Minister"/>
    <m/>
    <m/>
    <m/>
    <m/>
    <m/>
    <m/>
    <m/>
    <m/>
  </r>
  <r>
    <s v="Senior Level Visit"/>
    <s v="Europe"/>
    <s v="Europe and Central Asia"/>
    <s v="Comprehensive Strategic Partnership [全面战略伙伴关系]"/>
    <s v="NATO"/>
    <s v="EUCOM"/>
    <s v="NATO"/>
    <x v="27"/>
    <n v="10"/>
    <x v="7"/>
    <s v="Yang Xuejun"/>
    <m/>
    <s v="President Academy of Military Sciences"/>
    <n v="6"/>
    <s v="Hosted"/>
    <s v="NATO Deputy Secretary General"/>
    <m/>
    <m/>
    <m/>
    <m/>
    <m/>
    <m/>
    <m/>
    <m/>
  </r>
  <r>
    <s v="Senior Level Visit"/>
    <s v="South Asia"/>
    <s v="Asia"/>
    <s v="All-Round Strategic Partnership [全方位战略伙伴关系]"/>
    <s v="None"/>
    <s v="INDOPACOM"/>
    <s v="Nepal"/>
    <x v="27"/>
    <n v="10"/>
    <x v="7"/>
    <s v="Xu Qiliang"/>
    <m/>
    <s v="CMC Vice Chairman"/>
    <n v="10"/>
    <s v="Hosted"/>
    <s v="Deputy Defense Minister; BL at Xiangshan"/>
    <m/>
    <m/>
    <m/>
    <m/>
    <m/>
    <m/>
    <m/>
    <m/>
  </r>
  <r>
    <s v="Senior Level Visit"/>
    <s v="Oceania"/>
    <s v="America and Oceania"/>
    <s v="Comprehensive Strategic Partnership [全面战略伙伴关系]"/>
    <s v="ANZUS Treaty"/>
    <s v="INDOPACOM"/>
    <s v="New Zealand"/>
    <x v="27"/>
    <n v="10"/>
    <x v="7"/>
    <s v="Wei Fenghe"/>
    <m/>
    <s v="Defense Minister; CMC Member"/>
    <n v="8"/>
    <s v="Abroad"/>
    <s v="BL with Defense Minister at ADMM+"/>
    <m/>
    <m/>
    <m/>
    <m/>
    <m/>
    <m/>
    <m/>
    <m/>
  </r>
  <r>
    <s v="Senior Level Visit"/>
    <s v="Africa"/>
    <s v="West Asia and Africa"/>
    <s v="Strategic Partnership [战略伙伴关系]"/>
    <s v="None"/>
    <s v="AFRICOM"/>
    <s v="Nigeria"/>
    <x v="27"/>
    <n v="10"/>
    <x v="7"/>
    <s v="Wei Fenghe"/>
    <m/>
    <s v="Defense Minister; CMC Member"/>
    <n v="8"/>
    <s v="Hosted"/>
    <s v="BL with Nigerian Defense Minister at Xiangshan Forum"/>
    <m/>
    <m/>
    <m/>
    <m/>
    <m/>
    <m/>
    <m/>
    <m/>
  </r>
  <r>
    <s v="Senior Level Visit"/>
    <s v="Northeast Asia"/>
    <s v="Asia"/>
    <s v="Bilateral Defense Treaty"/>
    <s v="None"/>
    <s v="INDOPACOM"/>
    <s v="North Korea"/>
    <x v="27"/>
    <n v="10"/>
    <x v="7"/>
    <s v="Wei Fenghe"/>
    <m/>
    <s v="Defense Minister; CMC Member"/>
    <n v="8"/>
    <s v="Hosted"/>
    <s v="BL with Vice Defense Minister Kim Hyong Ryong at Xiangshan Forum"/>
    <m/>
    <m/>
    <m/>
    <m/>
    <m/>
    <m/>
    <m/>
    <m/>
  </r>
  <r>
    <s v="Military Exercise"/>
    <s v="South Asia"/>
    <s v="Asia"/>
    <s v="All-Weather Strategic Cooperative Partnership [全天候战略合作伙伴关系]"/>
    <s v="Major Non-NATO Ally"/>
    <s v="CENTCOM"/>
    <s v="Pakistan"/>
    <x v="27"/>
    <n v="10"/>
    <x v="6"/>
    <m/>
    <m/>
    <m/>
    <m/>
    <m/>
    <m/>
    <s v="Competition"/>
    <s v="2nd International PACES Competition"/>
    <s v="Army"/>
    <s v="Comprehensive Combat Skills. Other countries: South Africa, Maldives, Kuwait"/>
    <m/>
    <m/>
    <m/>
    <m/>
  </r>
  <r>
    <s v="Senior Level Visit"/>
    <s v="Russia"/>
    <s v="Europe and Central Asia"/>
    <s v="Comprehensive Collaborative Strategic Partnership [全面战略协作伙伴关系]"/>
    <s v="None"/>
    <s v="EUCOM"/>
    <s v="Russia"/>
    <x v="27"/>
    <n v="10"/>
    <x v="3"/>
    <s v="Zhang Youxia"/>
    <m/>
    <s v="CMC Vice Chairman"/>
    <n v="10"/>
    <s v="Hosted"/>
    <s v="Defense Minister"/>
    <m/>
    <m/>
    <m/>
    <m/>
    <m/>
    <m/>
    <m/>
    <m/>
  </r>
  <r>
    <s v="Senior Level Visit"/>
    <s v="Europe"/>
    <s v="Europe and Central Asia"/>
    <s v="Comprehensive Strategic Partnership [全面战略伙伴关系]"/>
    <s v="None"/>
    <s v="EUCOM"/>
    <s v="Serbia"/>
    <x v="27"/>
    <n v="10"/>
    <x v="7"/>
    <s v="Wei Fenghe"/>
    <m/>
    <s v="Defense Minister; CMC Member"/>
    <n v="8"/>
    <s v="Hosted"/>
    <s v="BL with Defense Minister at Xiangshan Forum"/>
    <m/>
    <m/>
    <m/>
    <m/>
    <m/>
    <m/>
    <m/>
    <m/>
  </r>
  <r>
    <s v="Senior Level Visit"/>
    <s v="Southeast Asia"/>
    <s v="Asia"/>
    <s v="All-Round Cooperative Partnership [全方合作伙伴关系]"/>
    <s v="None"/>
    <s v="INDOPACOM"/>
    <s v="Singapore"/>
    <x v="27"/>
    <n v="10"/>
    <x v="7"/>
    <s v="Wei Fenghe"/>
    <m/>
    <s v="Defense Minister; CMC Member"/>
    <n v="8"/>
    <s v="Hosted"/>
    <s v="Chief of Navy; Wei also met with ASEAN cty reps participating in the China-ASEAN Navy exercise"/>
    <m/>
    <m/>
    <m/>
    <m/>
    <m/>
    <m/>
    <m/>
    <m/>
  </r>
  <r>
    <s v="Senior Level Visit"/>
    <s v="Southeast Asia"/>
    <s v="Asia"/>
    <s v="All-Round Cooperative Partnership [全方合作伙伴关系]"/>
    <s v="None"/>
    <s v="INDOPACOM"/>
    <s v="Singapore"/>
    <x v="27"/>
    <n v="10"/>
    <x v="7"/>
    <s v="Wei Fenghe"/>
    <m/>
    <s v="Defense Minister; CMC Member"/>
    <n v="8"/>
    <s v="Abroad"/>
    <s v="SG Defense Minister at ADMM+"/>
    <m/>
    <m/>
    <m/>
    <m/>
    <m/>
    <m/>
    <m/>
    <m/>
  </r>
  <r>
    <s v="Senior Level Visit"/>
    <s v="Southeast Asia"/>
    <s v="Asia"/>
    <s v="All-Round Cooperative Partnership [全方合作伙伴关系]"/>
    <s v="None"/>
    <s v="INDOPACOM"/>
    <s v="Singapore"/>
    <x v="27"/>
    <n v="10"/>
    <x v="7"/>
    <s v="Xu Qiliang"/>
    <m/>
    <s v="CMC Vice Chairman"/>
    <n v="10"/>
    <s v="Hosted"/>
    <s v="Defense Minister; BL at Xiangshan"/>
    <m/>
    <m/>
    <m/>
    <m/>
    <m/>
    <m/>
    <m/>
    <m/>
  </r>
  <r>
    <s v="Senior Level Visit"/>
    <s v="Northeast Asia"/>
    <s v="Asia"/>
    <s v="Strategic Cooperative Partnership [战略合作伙伴关系]"/>
    <s v="Bilateral Defense Treaty"/>
    <s v="INDOPACOM"/>
    <s v="South Korea"/>
    <x v="27"/>
    <n v="10"/>
    <x v="7"/>
    <s v="Wei Fenghe"/>
    <m/>
    <s v="Defense Minister; CMC Member"/>
    <n v="8"/>
    <s v="Abroad"/>
    <s v="BL with Defense Minister at ADMM+"/>
    <m/>
    <m/>
    <m/>
    <m/>
    <m/>
    <m/>
    <m/>
    <m/>
  </r>
  <r>
    <s v="Senior Level Visit"/>
    <s v="Southeast Asia"/>
    <s v="Asia"/>
    <s v="Comprehensive Strategic Cooperative Partnership [全面战略合作伙伴关系]"/>
    <s v="Bilateral Defense Treaty"/>
    <s v="INDOPACOM"/>
    <s v="Thailand"/>
    <x v="27"/>
    <n v="10"/>
    <x v="7"/>
    <s v="Wei Fenghe"/>
    <m/>
    <s v="Defense Minister; CMC Member"/>
    <n v="8"/>
    <s v="Abroad"/>
    <s v="BL with Defense Minister at ADMM+"/>
    <m/>
    <m/>
    <m/>
    <m/>
    <m/>
    <m/>
    <m/>
    <m/>
  </r>
  <r>
    <s v="Senior Level Visit"/>
    <s v="Oceania"/>
    <s v="America and Oceania"/>
    <s v="Comprehensive Strategic Partnership [全面战略伙伴关系]"/>
    <s v="None"/>
    <s v="INDOPACOM"/>
    <s v="Tonga"/>
    <x v="27"/>
    <n v="10"/>
    <x v="7"/>
    <s v="Wei Fenghe"/>
    <m/>
    <s v="Defense Minister; CMC Member"/>
    <n v="8"/>
    <s v="Hosted"/>
    <s v="BL with Chief of Defense Staff at Xiangshan Forum"/>
    <m/>
    <m/>
    <m/>
    <m/>
    <m/>
    <m/>
    <m/>
    <m/>
  </r>
  <r>
    <s v="Senior Level Visit"/>
    <s v="North America"/>
    <s v="America and Oceania"/>
    <s v="No Specific Relationship"/>
    <s v="N/A"/>
    <s v="NORTHCOM"/>
    <s v="United States"/>
    <x v="27"/>
    <n v="10"/>
    <x v="7"/>
    <s v="Wei Fenghe"/>
    <m/>
    <s v="Defense Minister; CMC Member"/>
    <n v="8"/>
    <s v="Abroad"/>
    <s v="BL with SECDEF Mattis at ADMM+"/>
    <m/>
    <m/>
    <m/>
    <m/>
    <m/>
    <m/>
    <m/>
    <m/>
  </r>
  <r>
    <s v="Senior Level Visit"/>
    <s v="Oceania"/>
    <s v="America and Oceania"/>
    <s v="No Specific Relationship"/>
    <s v="None"/>
    <s v="INDOPACOM"/>
    <s v="Vanuatu"/>
    <x v="27"/>
    <n v="10"/>
    <x v="7"/>
    <s v="Wei Fenghe"/>
    <m/>
    <s v="Defense Minister; CMC Member"/>
    <n v="8"/>
    <s v="Hosted"/>
    <s v="BL with Minister of Internal Affairs at Xiangshan Forum"/>
    <m/>
    <m/>
    <m/>
    <m/>
    <m/>
    <m/>
    <m/>
    <m/>
  </r>
  <r>
    <s v="Senior Level Visit"/>
    <s v="South America"/>
    <s v="America and Oceania"/>
    <s v="Comprehensive Strategic Partnership [全面战略伙伴关系]"/>
    <s v="None"/>
    <s v="SOUTHCOM"/>
    <s v="Venezuela"/>
    <x v="27"/>
    <n v="10"/>
    <x v="7"/>
    <s v="Wei Fenghe"/>
    <m/>
    <s v="Defense Minister; CMC Member"/>
    <n v="8"/>
    <s v="Hosted"/>
    <s v="BL with Defense Minister at Xiangshan Forum"/>
    <m/>
    <m/>
    <m/>
    <m/>
    <m/>
    <m/>
    <m/>
    <m/>
  </r>
  <r>
    <s v="Senior Level Visit"/>
    <s v="Southeast Asia"/>
    <s v="Asia"/>
    <s v="Comprehensive Strategic Cooperative Partnership [全面战略合作伙伴关系]"/>
    <s v="None"/>
    <s v="INDOPACOM"/>
    <s v="Vietnam"/>
    <x v="27"/>
    <n v="10"/>
    <x v="7"/>
    <s v="Xu Qiliang"/>
    <m/>
    <s v="CMC Vice Chairman"/>
    <n v="10"/>
    <s v="Hosted"/>
    <s v="Defense Minister; BL at Xiangshan"/>
    <m/>
    <m/>
    <m/>
    <m/>
    <m/>
    <m/>
    <m/>
    <m/>
  </r>
  <r>
    <s v="Senior Level Visit"/>
    <s v="South America"/>
    <s v="America and Oceania"/>
    <s v="No Specific Relationship"/>
    <s v="None"/>
    <s v="SOUTHCOM"/>
    <s v="Cuba"/>
    <x v="27"/>
    <n v="11"/>
    <x v="3"/>
    <s v="Xu Qiliang"/>
    <m/>
    <s v="CMC Vice Chairman"/>
    <n v="10"/>
    <s v="Hosted"/>
    <s v="Defense Minister"/>
    <m/>
    <m/>
    <m/>
    <m/>
    <m/>
    <m/>
    <m/>
    <m/>
  </r>
  <r>
    <s v="Naval Port Call"/>
    <s v="South America"/>
    <s v="America and Oceania"/>
    <s v="No Specific Relationship"/>
    <s v="None"/>
    <s v="SOUTHCOM"/>
    <s v="Dominican Republic"/>
    <x v="27"/>
    <n v="11"/>
    <x v="0"/>
    <m/>
    <m/>
    <m/>
    <m/>
    <m/>
    <m/>
    <m/>
    <m/>
    <m/>
    <m/>
    <s v="NETF"/>
    <s v="2018-11 Peace Ark"/>
    <s v="East Sea Fleet"/>
    <m/>
  </r>
  <r>
    <s v="Naval Port Call"/>
    <s v="South America"/>
    <s v="America and Oceania"/>
    <s v="Comprehensive Strategic Partnership [全面战略伙伴关系]"/>
    <s v="None"/>
    <s v="SOUTHCOM"/>
    <s v="Ecuador"/>
    <x v="27"/>
    <n v="11"/>
    <x v="0"/>
    <m/>
    <m/>
    <m/>
    <m/>
    <m/>
    <m/>
    <m/>
    <m/>
    <m/>
    <m/>
    <s v="NETF"/>
    <s v="2018-11 Peace Ark"/>
    <s v="East Sea Fleet"/>
    <m/>
  </r>
  <r>
    <s v="Senior Level Visit"/>
    <s v="Middle East"/>
    <s v="West Asia and Africa"/>
    <s v="Comprehensive Strategic Partnership [全面战略伙伴关系]"/>
    <s v="Major Non-NATO Ally"/>
    <s v="CENTCOM"/>
    <s v="Egypt"/>
    <x v="27"/>
    <n v="11"/>
    <x v="3"/>
    <s v="Wei Fenghe"/>
    <m/>
    <s v="Defense Minister; CMC Member"/>
    <n v="8"/>
    <s v="Hosted"/>
    <s v="BL with Egyptian Chief of Staff"/>
    <m/>
    <m/>
    <m/>
    <m/>
    <m/>
    <m/>
    <m/>
    <m/>
  </r>
  <r>
    <s v="Senior Level Visit"/>
    <s v="South Asia"/>
    <s v="Asia"/>
    <s v="Strategic Partnership for Peace and Prosperity [战略伙伴关系]"/>
    <s v="None"/>
    <s v="INDOPACOM"/>
    <s v="India"/>
    <x v="27"/>
    <n v="11"/>
    <x v="3"/>
    <s v="Wei Fenghe"/>
    <m/>
    <s v="Defense Minister; CMC Member"/>
    <n v="8"/>
    <s v="Hosted"/>
    <s v="BL with Indian Defense Minister"/>
    <m/>
    <m/>
    <m/>
    <m/>
    <m/>
    <m/>
    <m/>
    <m/>
  </r>
  <r>
    <s v="Senior Level Visit"/>
    <s v="Northeast Asia"/>
    <s v="Asia"/>
    <s v="Comprehensive Strategic Partnership [全面战略伙伴关系]"/>
    <s v="None"/>
    <s v="INDOPACOM"/>
    <s v="Mongolia"/>
    <x v="27"/>
    <n v="11"/>
    <x v="3"/>
    <s v="Wei Fenghe"/>
    <m/>
    <s v="Defense Minister; CMC Member"/>
    <n v="8"/>
    <s v="Hosted"/>
    <s v="BL with Mongolian Defense Minister"/>
    <m/>
    <m/>
    <m/>
    <m/>
    <m/>
    <m/>
    <m/>
    <m/>
  </r>
  <r>
    <s v="Senior Level Visit"/>
    <s v="Southeast Asia"/>
    <s v="Asia"/>
    <s v="Comprehensive Strategic Cooperative Partnership [全面战略合作伙伴关系]"/>
    <s v="None"/>
    <s v="INDOPACOM"/>
    <s v="Myanmar"/>
    <x v="27"/>
    <n v="11"/>
    <x v="3"/>
    <s v="Wei Fenghe"/>
    <m/>
    <s v="Defense Minister; CMC Member"/>
    <n v="8"/>
    <s v="Hosted"/>
    <s v="Deputy Commander in Chief of Tatmadaw"/>
    <m/>
    <m/>
    <m/>
    <m/>
    <m/>
    <m/>
    <m/>
    <m/>
  </r>
  <r>
    <s v="Senior Level Visit"/>
    <s v="Southeast Asia"/>
    <s v="Asia"/>
    <s v="Comprehensive Strategic Cooperative Partnership [全面战略合作伙伴关系]"/>
    <s v="Bilateral Defense Treaty"/>
    <s v="INDOPACOM"/>
    <s v="Thailand"/>
    <x v="27"/>
    <n v="11"/>
    <x v="3"/>
    <s v="Wei Fenghe"/>
    <m/>
    <s v="Defense Minister; CMC Member"/>
    <n v="8"/>
    <s v="Hosted"/>
    <s v="Commander of Navy"/>
    <m/>
    <m/>
    <m/>
    <m/>
    <m/>
    <m/>
    <m/>
    <m/>
  </r>
  <r>
    <s v="Senior Level Visit"/>
    <s v="N/A"/>
    <s v="N/A"/>
    <s v="Member"/>
    <s v="None"/>
    <s v="N/A"/>
    <s v="United Nations"/>
    <x v="27"/>
    <n v="11"/>
    <x v="2"/>
    <s v="Wei Fenghe"/>
    <m/>
    <s v="Defense Minister; CMC Member"/>
    <n v="8"/>
    <s v="Hosted"/>
    <s v="ML with Permanent Representatives to the UN of France, Ethiopia, and delegation of permanent security council members' representatives"/>
    <m/>
    <m/>
    <m/>
    <m/>
    <m/>
    <m/>
    <m/>
    <m/>
  </r>
  <r>
    <s v="Senior Level Visit"/>
    <s v="North America"/>
    <s v="America and Oceania"/>
    <s v="No Specific Relationship"/>
    <s v="N/A"/>
    <s v="NORTHCOM"/>
    <s v="United States"/>
    <x v="27"/>
    <n v="11"/>
    <x v="4"/>
    <s v="Wei Fenghe"/>
    <m/>
    <s v="Defense Minister; CMC Member"/>
    <n v="8"/>
    <s v="Abroad"/>
    <s v="Secretary of Defense"/>
    <m/>
    <m/>
    <m/>
    <m/>
    <m/>
    <m/>
    <m/>
    <m/>
  </r>
  <r>
    <s v="Senior Level Visit"/>
    <s v="North America"/>
    <s v="America and Oceania"/>
    <s v="No Specific Relationship"/>
    <s v="N/A"/>
    <s v="NORTHCOM"/>
    <s v="United States"/>
    <x v="27"/>
    <n v="11"/>
    <x v="3"/>
    <s v="Xu Qiliang"/>
    <m/>
    <s v="CMC Vice Chairman"/>
    <n v="10"/>
    <s v="Hosted"/>
    <s v="Former Secretary of State Kissinger"/>
    <m/>
    <m/>
    <m/>
    <m/>
    <m/>
    <m/>
    <m/>
    <m/>
  </r>
  <r>
    <s v="Military Exercise"/>
    <s v="North America"/>
    <s v="America and Oceania"/>
    <s v="No Specific Relationship"/>
    <s v="N/A"/>
    <s v="NORTHCOM"/>
    <s v="United States"/>
    <x v="27"/>
    <n v="11"/>
    <x v="5"/>
    <m/>
    <m/>
    <m/>
    <m/>
    <m/>
    <m/>
    <s v="MOOTW"/>
    <s v="14th China-US Disaster Management TTX"/>
    <s v="Army"/>
    <s v="Nanjing; HADR academic discussion; TTX; and field exchange"/>
    <m/>
    <m/>
    <m/>
    <m/>
  </r>
  <r>
    <s v="Senior Level Visit"/>
    <s v="Southeast Asia"/>
    <s v="Asia"/>
    <s v="Comprehensive Strategic Cooperative Partnership [全面战略合作伙伴关系]"/>
    <s v="None"/>
    <s v="INDOPACOM"/>
    <s v="Vietnam"/>
    <x v="27"/>
    <n v="11"/>
    <x v="4"/>
    <s v="Wei Fenghe"/>
    <m/>
    <s v="Defense Minister; CMC Member"/>
    <n v="8"/>
    <s v="Abroad"/>
    <s v="Defense Minister"/>
    <m/>
    <m/>
    <m/>
    <m/>
    <m/>
    <m/>
    <m/>
    <m/>
  </r>
  <r>
    <s v="Military Exercise"/>
    <s v="South Asia"/>
    <s v="Asia"/>
    <s v="Strategic Cooperative Partnership [战略合作伙伴关系]"/>
    <s v="None"/>
    <s v="INDOPACOM"/>
    <s v="Bangladesh"/>
    <x v="27"/>
    <n v="12"/>
    <x v="5"/>
    <m/>
    <m/>
    <m/>
    <m/>
    <m/>
    <m/>
    <s v="Anti-terrorism"/>
    <s v="Unnamed"/>
    <s v="Army"/>
    <s v="Emergency response, support operations"/>
    <m/>
    <m/>
    <m/>
    <m/>
  </r>
  <r>
    <s v="Naval Port Call"/>
    <s v="South America"/>
    <s v="America and Oceania"/>
    <s v="Comprehensive Strategic Cooperative Partnership [全面战略合作伙伴关系]"/>
    <s v="None"/>
    <s v="SOUTHCOM"/>
    <s v="Chile"/>
    <x v="27"/>
    <n v="12"/>
    <x v="0"/>
    <m/>
    <m/>
    <m/>
    <m/>
    <m/>
    <m/>
    <m/>
    <m/>
    <m/>
    <m/>
    <s v="NETF"/>
    <s v="2018-12 Peace Ark"/>
    <s v="East Sea Fleet"/>
    <m/>
  </r>
  <r>
    <s v="Military Exercise"/>
    <s v="South America"/>
    <s v="America and Oceania"/>
    <s v="Comprehensive Strategic Cooperative Partnership [全面战略合作伙伴关系]"/>
    <s v="None"/>
    <s v="SOUTHCOM"/>
    <s v="Chile"/>
    <x v="27"/>
    <n v="12"/>
    <x v="6"/>
    <m/>
    <m/>
    <m/>
    <m/>
    <m/>
    <m/>
    <s v="MOOTW"/>
    <s v="Unnamed"/>
    <s v="Navy"/>
    <s v="international fleet review and maritime exercises; other countries: US, UK"/>
    <m/>
    <s v="2018-12 Peace Ark"/>
    <s v="East Sea Fleet"/>
    <m/>
  </r>
  <r>
    <s v="Military Exercise"/>
    <s v="South Asia"/>
    <s v="Asia"/>
    <s v="Strategic Partnership for Peace and Prosperity [战略伙伴关系]"/>
    <s v="None"/>
    <s v="INDOPACOM"/>
    <s v="India"/>
    <x v="27"/>
    <n v="12"/>
    <x v="5"/>
    <m/>
    <m/>
    <m/>
    <m/>
    <m/>
    <m/>
    <s v="Anti-terrorism"/>
    <s v="Hand-in-Hand 2018"/>
    <s v="Army"/>
    <s v="adaptive training, basic training, combat-realistic shooting, and comprehensive drills"/>
    <m/>
    <m/>
    <m/>
    <m/>
  </r>
  <r>
    <s v="Senior Level Visit"/>
    <s v="Southeast Asia"/>
    <s v="Asia"/>
    <s v="Comprehensive Strategic Cooperative Partnership [全面战略合作伙伴关系]"/>
    <s v="None"/>
    <s v="INDOPACOM"/>
    <s v="Myanmar"/>
    <x v="27"/>
    <n v="12"/>
    <x v="3"/>
    <s v="Shao Yuanming; Kong Xuanyou"/>
    <m/>
    <s v="CMC/JSD DCJS"/>
    <n v="5"/>
    <s v="Hosted"/>
    <s v="Minister of the Ministry of International Cooperation; Chief of SpecOps"/>
    <m/>
    <m/>
    <m/>
    <m/>
    <m/>
    <m/>
    <m/>
    <m/>
  </r>
  <r>
    <s v="Military Exercise"/>
    <s v="South Asia"/>
    <s v="Asia"/>
    <s v="All-Weather Strategic Cooperative Partnership [全天候战略合作伙伴关系]"/>
    <s v="Major Non-NATO Ally"/>
    <s v="CENTCOM"/>
    <s v="Pakistan"/>
    <x v="27"/>
    <n v="12"/>
    <x v="5"/>
    <m/>
    <m/>
    <m/>
    <m/>
    <m/>
    <m/>
    <s v="Combat"/>
    <s v="Shaheen-VII "/>
    <s v="Air Force"/>
    <s v="Joint exercise"/>
    <m/>
    <m/>
    <m/>
    <m/>
  </r>
  <r>
    <s v="Senior Level Visit"/>
    <s v="Europe"/>
    <s v="Europe and Central Asia"/>
    <s v="Comprehensive Collaborative Strategic Partnership [全面战略协作伙伴关系]"/>
    <s v="None"/>
    <s v="EUCOM"/>
    <s v="Russia"/>
    <x v="27"/>
    <n v="12"/>
    <x v="3"/>
    <s v="Wei Fenghe"/>
    <m/>
    <s v="Defense Minister; CMC Member"/>
    <n v="8"/>
    <s v="Hosted"/>
    <s v="Deputy Defense Minister Andrey Kartapolov"/>
    <m/>
    <m/>
    <m/>
    <m/>
    <m/>
    <m/>
    <m/>
    <m/>
  </r>
  <r>
    <s v="Military Exercise"/>
    <s v="Europe"/>
    <s v="Europe and Central Asia"/>
    <s v="Comprehensive Strategic Partnership [全面战略伙伴关系]"/>
    <s v="NATO"/>
    <s v="EUCOM"/>
    <s v="Spain"/>
    <x v="27"/>
    <n v="12"/>
    <x v="5"/>
    <m/>
    <m/>
    <m/>
    <m/>
    <m/>
    <m/>
    <s v="MOOTW"/>
    <s v="military Medical Drill in Djibouti"/>
    <s v="Navy"/>
    <s v="PLA base Djibouti with Spanish navy amphibious ship"/>
    <m/>
    <m/>
    <m/>
    <m/>
  </r>
  <r>
    <s v="Senior Level Visit"/>
    <s v="Oceania"/>
    <s v="America and Oceania"/>
    <s v="Comprehensive Strategic Partnership [全面战略伙伴关系]"/>
    <s v="ANZUS Treaty"/>
    <s v="INDOPACOM"/>
    <s v="Australia"/>
    <x v="28"/>
    <n v="1"/>
    <x v="3"/>
    <s v="Xu Qiliang"/>
    <m/>
    <s v="CMC Vice Chairman"/>
    <n v="10"/>
    <s v="Hosted"/>
    <s v="Defense Minister"/>
    <m/>
    <m/>
    <m/>
    <m/>
    <m/>
    <m/>
    <m/>
    <m/>
  </r>
  <r>
    <s v="Naval Port Call"/>
    <s v="Southeast Asia"/>
    <s v="Asia"/>
    <s v="Comprehensive Strategic Cooperative Partnership [全面战略合作伙伴关系]"/>
    <s v="None"/>
    <s v="INDOPACOM"/>
    <s v="Cambodia"/>
    <x v="28"/>
    <n v="1"/>
    <x v="0"/>
    <m/>
    <m/>
    <m/>
    <m/>
    <m/>
    <m/>
    <m/>
    <m/>
    <m/>
    <m/>
    <s v="ETF"/>
    <s v="ETF-30"/>
    <s v="North Sea Fleet"/>
    <s v="FFG539 Wuhu; FFG579 Handan; AOR960 Dongping Hu"/>
  </r>
  <r>
    <s v="Senior Level Visit"/>
    <s v="Southeast Asia"/>
    <s v="Asia"/>
    <s v="Comprehensive Strategic Cooperative Partnership [全面战略合作伙伴关系]"/>
    <s v="None"/>
    <s v="INDOPACOM"/>
    <s v="Laos"/>
    <x v="28"/>
    <n v="1"/>
    <x v="4"/>
    <s v="Miao Hua"/>
    <m/>
    <s v="CMC/PWD Director; CMC Member"/>
    <n v="8"/>
    <s v="Abroad"/>
    <s v="Laotian President "/>
    <m/>
    <m/>
    <m/>
    <m/>
    <m/>
    <m/>
    <m/>
    <m/>
  </r>
  <r>
    <s v="Military Exercise"/>
    <s v="South Asia"/>
    <s v="Asia"/>
    <s v="All-Weather Strategic Cooperative Partnership [全天候战略合作伙伴关系]"/>
    <s v="Major Non-NATO Ally"/>
    <s v="CENTCOM"/>
    <s v="Pakistan"/>
    <x v="28"/>
    <n v="1"/>
    <x v="6"/>
    <m/>
    <m/>
    <m/>
    <m/>
    <m/>
    <m/>
    <s v="Anti-terrorism"/>
    <s v="Warrior VI"/>
    <s v="Army"/>
    <s v="multi-dimensional search and reconnaissance, three-dimensional maneuvers and deployment, comprehensive fire assaults, searching and clearing buildings, coordinated air-ground attacks, joint defense and control"/>
    <m/>
    <m/>
    <m/>
    <m/>
  </r>
  <r>
    <s v="Senior Level Visit"/>
    <s v="Southeast Asia"/>
    <s v="Asia"/>
    <s v="Comprehensive Strategic Partnership [全面战略伙伴关系]"/>
    <s v="Bilateral Defense Treaty"/>
    <s v="INDOPACOM"/>
    <s v="Philippines"/>
    <x v="28"/>
    <n v="1"/>
    <x v="3"/>
    <s v="Wei Fenghe"/>
    <m/>
    <s v="Defense Minister; CMC Member"/>
    <n v="8"/>
    <s v="Hosted"/>
    <s v="Philippine Defense Undersecretary "/>
    <m/>
    <m/>
    <m/>
    <m/>
    <m/>
    <m/>
    <m/>
    <m/>
  </r>
  <r>
    <s v="Naval Port Call"/>
    <s v="Southeast Asia"/>
    <s v="Asia"/>
    <s v="Comprehensive Strategic Partnership [全面战略伙伴关系]"/>
    <s v="Bilateral Defense Treaty"/>
    <s v="INDOPACOM"/>
    <s v="Philippines"/>
    <x v="28"/>
    <n v="1"/>
    <x v="0"/>
    <m/>
    <m/>
    <m/>
    <m/>
    <m/>
    <m/>
    <m/>
    <m/>
    <m/>
    <m/>
    <s v="ETF"/>
    <s v="ETF-30"/>
    <s v="North Sea Fleet"/>
    <s v="FFG539 Wuhu; FFG579 Handan; AOR960 Dongping Hu"/>
  </r>
  <r>
    <s v="Senior Level Visit"/>
    <s v="Southeast Asia"/>
    <s v="Asia"/>
    <s v="All-Round Cooperative Partnership [全方合作伙伴关系]"/>
    <s v="None"/>
    <s v="INDOPACOM"/>
    <s v="Singapore"/>
    <x v="28"/>
    <n v="1"/>
    <x v="3"/>
    <s v="Wei Fenghe"/>
    <m/>
    <s v="Defense Minister; CMC Member"/>
    <n v="8"/>
    <s v="Hosted"/>
    <s v="Permanent Secretary Ministry of Defence"/>
    <m/>
    <m/>
    <m/>
    <m/>
    <m/>
    <m/>
    <m/>
    <m/>
  </r>
  <r>
    <s v="Senior Level Visit"/>
    <s v="Southeast Asia"/>
    <s v="Asia"/>
    <s v="Comprehensive Strategic Cooperative Partnership [全面战略合作伙伴关系]"/>
    <s v="Bilateral Defense Treaty"/>
    <s v="INDOPACOM"/>
    <s v="Thailand"/>
    <x v="28"/>
    <n v="1"/>
    <x v="3"/>
    <s v="Wei Fenghe"/>
    <m/>
    <s v="Defense Minister; CMC Member"/>
    <n v="8"/>
    <s v="Hosted"/>
    <s v="Royal Thai Army Commander"/>
    <m/>
    <m/>
    <m/>
    <m/>
    <m/>
    <m/>
    <m/>
    <m/>
  </r>
  <r>
    <s v="Military Exercise"/>
    <s v="Southeast Asia"/>
    <s v="Asia"/>
    <s v="Comprehensive Strategic Cooperative Partnership [全面战略合作伙伴关系]"/>
    <s v="Bilateral Defense Treaty"/>
    <s v="INDOPACOM"/>
    <s v="Thailand"/>
    <x v="28"/>
    <n v="1"/>
    <x v="5"/>
    <m/>
    <m/>
    <m/>
    <m/>
    <m/>
    <m/>
    <s v="Anti-terrorism"/>
    <s v="Joint Assault 2019 "/>
    <s v="Army"/>
    <m/>
    <m/>
    <m/>
    <m/>
    <m/>
  </r>
  <r>
    <s v="Senior Level Visit"/>
    <s v="North America"/>
    <s v="America and Oceania"/>
    <s v="No Specific Relationship"/>
    <s v="N/A"/>
    <s v="NORTHCOM"/>
    <s v="United States"/>
    <x v="28"/>
    <n v="1"/>
    <x v="3"/>
    <s v="Li Zuocheng"/>
    <m/>
    <s v="CMC/JSD Commander; CMC Member"/>
    <n v="8"/>
    <s v="Hosted"/>
    <s v="US Chief of Naval Operations Admiral"/>
    <m/>
    <m/>
    <m/>
    <m/>
    <m/>
    <m/>
    <m/>
    <m/>
  </r>
  <r>
    <s v="Senior Level Visit"/>
    <s v="Southeast Asia"/>
    <s v="Asia"/>
    <s v="Comprehensive Strategic Cooperative Partnership [全面战略合作伙伴关系]"/>
    <s v="None"/>
    <s v="INDOPACOM"/>
    <s v="Cambodia"/>
    <x v="28"/>
    <n v="2"/>
    <x v="3"/>
    <s v="Xu Qiliang"/>
    <m/>
    <s v="CMC Vice Chairman"/>
    <n v="10"/>
    <s v="Hosted"/>
    <s v="Deputy Commander in Chief, Royal Cambodian Army"/>
    <m/>
    <m/>
    <m/>
    <m/>
    <m/>
    <m/>
    <m/>
    <m/>
  </r>
  <r>
    <s v="Senior Level Visit"/>
    <s v="Central Asia"/>
    <s v="Europe and Central Asia"/>
    <s v="Comprehensive Strategic Partnership [全面战略伙伴关系]"/>
    <s v="None"/>
    <s v="CENTCOM"/>
    <s v="Kyrgyzstan"/>
    <x v="28"/>
    <n v="2"/>
    <x v="3"/>
    <s v="Wei Fenghe"/>
    <m/>
    <s v="Defense Minister; CMC Member"/>
    <n v="8"/>
    <s v="Hosted"/>
    <s v="Chief of the General Staff "/>
    <m/>
    <m/>
    <m/>
    <m/>
    <m/>
    <m/>
    <m/>
    <m/>
  </r>
  <r>
    <s v="Military Exercise"/>
    <s v="South Asia"/>
    <s v="Asia"/>
    <s v="All-Weather Strategic Cooperative Partnership [全天候战略合作伙伴关系]"/>
    <s v="Major Non-NATO Ally"/>
    <s v="CENTCOM"/>
    <s v="Pakistan"/>
    <x v="28"/>
    <n v="2"/>
    <x v="6"/>
    <m/>
    <m/>
    <m/>
    <m/>
    <m/>
    <m/>
    <s v="Anti-terrorism"/>
    <s v="Aman 2019"/>
    <s v="Navy"/>
    <s v="Two phases: harbor (conference) and sea (anti-terrorism, replenishment-at-sea, counterterrorism, anti-piracy, combined anti-submarine exercises, live-fire exercises, flight formations, ship formation maneuvers, communications, and visit, board, search, and seizure ), recorded as anti-terrorism for ease"/>
    <m/>
    <m/>
    <m/>
    <m/>
  </r>
  <r>
    <s v="Military Exercise"/>
    <s v="Southeast Asia"/>
    <s v="Asia"/>
    <s v="Comprehensive Strategic Cooperative Partnership [全面战略合作伙伴关系]"/>
    <s v="Bilateral Defense Treaty"/>
    <s v="INDOPACOM"/>
    <s v="Thailand"/>
    <x v="28"/>
    <n v="2"/>
    <x v="6"/>
    <m/>
    <m/>
    <m/>
    <m/>
    <m/>
    <m/>
    <s v="MOOTW"/>
    <s v="Cobra Gold 2019"/>
    <s v="Army"/>
    <s v="The role of the Chinese troops is limited to humanitarian relief drills, including providing engineering support and medical aid."/>
    <m/>
    <m/>
    <m/>
    <m/>
  </r>
  <r>
    <s v="Naval Port Call"/>
    <s v="Middle East"/>
    <s v="West Asia and Africa"/>
    <s v="Comprehensive Strategic Partnership [全面战略伙伴关系]"/>
    <s v="None"/>
    <s v="CENTCOM"/>
    <s v="United Arab Emirates"/>
    <x v="28"/>
    <n v="2"/>
    <x v="0"/>
    <m/>
    <m/>
    <m/>
    <m/>
    <m/>
    <m/>
    <m/>
    <m/>
    <m/>
    <m/>
    <s v="ETF"/>
    <s v="ETF-31"/>
    <s v="South Sea Fleet"/>
    <s v="LPD998 Kunlun Shan; Participating in IDEX 2019"/>
  </r>
  <r>
    <s v="Senior Level Visit"/>
    <s v="Southeast Asia"/>
    <s v="Asia"/>
    <s v="Comprehensive Strategic Cooperative Partnership [全面战略合作伙伴关系]"/>
    <s v="None"/>
    <s v="INDOPACOM"/>
    <s v="Vietnam"/>
    <x v="28"/>
    <n v="2"/>
    <x v="3"/>
    <s v="Wei Fenghe"/>
    <m/>
    <s v="Defense Minister; CMC Member"/>
    <n v="8"/>
    <s v="Hosted"/>
    <s v="Deputy Defense Minister "/>
    <m/>
    <m/>
    <m/>
    <m/>
    <m/>
    <m/>
    <m/>
    <m/>
  </r>
  <r>
    <s v="Military Exercise"/>
    <s v="Southeast Asia"/>
    <s v="Asia"/>
    <s v="Comprehensive Strategic Cooperative Partnership [全面战略合作伙伴关系]"/>
    <s v="None"/>
    <s v="INDOPACOM"/>
    <s v="Cambodia"/>
    <x v="28"/>
    <n v="3"/>
    <x v="5"/>
    <m/>
    <m/>
    <m/>
    <m/>
    <m/>
    <m/>
    <s v="Anti-terrorism"/>
    <s v="Golden Dragon 2019 "/>
    <s v="Army"/>
    <m/>
    <m/>
    <m/>
    <m/>
    <m/>
  </r>
  <r>
    <s v="Senior Level Visit"/>
    <s v="Middle East"/>
    <s v="West Asia and Africa"/>
    <s v="Comprehensive Strategic Partnership [全面战略伙伴关系]"/>
    <s v="Major Non-NATO Ally"/>
    <s v="AFRICOM"/>
    <s v="Egypt"/>
    <x v="28"/>
    <n v="3"/>
    <x v="4"/>
    <s v="Wei Fenghe"/>
    <m/>
    <s v="Defense Minister; CMC Member"/>
    <n v="8"/>
    <s v="Abroad"/>
    <s v="Egyptian President"/>
    <m/>
    <m/>
    <m/>
    <m/>
    <m/>
    <m/>
    <m/>
    <m/>
  </r>
  <r>
    <s v="Military Exercise"/>
    <s v="Southeast Asia"/>
    <s v="Asia"/>
    <s v="Comprehensive Strategic Partnership [全面战略伙伴关系]"/>
    <s v="None"/>
    <s v="INDOPACOM"/>
    <s v="Malaysia"/>
    <x v="28"/>
    <n v="3"/>
    <x v="6"/>
    <m/>
    <m/>
    <m/>
    <m/>
    <m/>
    <m/>
    <s v="MOOTW"/>
    <s v="Langkawi International Maritime and Aerospace Exhibition (LIMA) "/>
    <s v="Navy"/>
    <s v="FFG575Yueyang participating in maritime displays, warship inspections, and maritime exercises; Other countries included: Australia, US, India"/>
    <m/>
    <m/>
    <m/>
    <m/>
  </r>
  <r>
    <s v="Senior Level Visit"/>
    <s v="Middle East"/>
    <s v="West Asia and Africa"/>
    <s v="Comprehensive Strategic Partnership [全面战略伙伴关系]"/>
    <s v="None"/>
    <s v="CENTCOM"/>
    <s v="Saudi Arabia"/>
    <x v="28"/>
    <n v="3"/>
    <x v="4"/>
    <s v="Wei Fenghe"/>
    <m/>
    <s v="Defense Minister; CMC Member"/>
    <n v="8"/>
    <s v="Abroad"/>
    <s v="Saudi King Salman, Crown Prince"/>
    <m/>
    <m/>
    <m/>
    <m/>
    <m/>
    <m/>
    <m/>
    <m/>
  </r>
  <r>
    <s v="Senior Level Visit"/>
    <s v="Northeast Asia"/>
    <s v="Asia"/>
    <s v="Strategic Cooperative Partnership [战略合作伙伴关系]"/>
    <s v="Bilateral Defense Treaty"/>
    <s v="INDOPACOM"/>
    <s v="South Korea"/>
    <x v="28"/>
    <n v="3"/>
    <x v="3"/>
    <s v="Xu Qiliang"/>
    <m/>
    <s v="CMC Vice Chairman"/>
    <n v="10"/>
    <s v="Hosted"/>
    <s v="Army Chief of Staff General "/>
    <m/>
    <m/>
    <m/>
    <m/>
    <m/>
    <m/>
    <m/>
    <m/>
  </r>
  <r>
    <s v="Senior Level Visit"/>
    <s v="Middle East"/>
    <s v="West Asia and Africa"/>
    <s v="Comprehensive Strategic Partnership [全面战略伙伴关系]"/>
    <s v="None"/>
    <s v="CENTCOM"/>
    <s v="United Arab Emirates"/>
    <x v="28"/>
    <n v="3"/>
    <x v="4"/>
    <s v="Wei Fenghe"/>
    <m/>
    <s v="Defense Minister; CMC Member"/>
    <n v="8"/>
    <s v="Abroad"/>
    <s v="Crown Prince, Commander of the Armed Forces"/>
    <m/>
    <m/>
    <m/>
    <m/>
    <m/>
    <m/>
    <m/>
    <m/>
  </r>
  <r>
    <s v="Military Exercise"/>
    <s v="Southeast Asia"/>
    <s v="Asia"/>
    <s v="Strategic Partnership [战略伙伴关系] for Peace and Prosperity"/>
    <s v="None"/>
    <s v="INDOPACOM"/>
    <s v="ASEAN"/>
    <x v="28"/>
    <n v="4"/>
    <x v="6"/>
    <m/>
    <m/>
    <m/>
    <m/>
    <m/>
    <m/>
    <s v="MOOTW"/>
    <s v="ASEAN - China Naval Exercise"/>
    <s v="Navy"/>
    <s v="Subjects: formation departures, formation communications, formation maneuvers, joint search and rescue, formation separations, vessel inspections, and medical treatments; Other countries: Philippines, Singapore, Vietnam, Indonesia, Laos"/>
    <m/>
    <m/>
    <m/>
    <m/>
  </r>
  <r>
    <s v="Senior Level Visit"/>
    <s v="South America"/>
    <s v="America and Oceania"/>
    <s v="No Specific Relationship"/>
    <s v="None"/>
    <s v="SOUTHCOM"/>
    <s v="Dominican Republic"/>
    <x v="28"/>
    <n v="4"/>
    <x v="4"/>
    <s v="Huang Xueping"/>
    <m/>
    <s v="CMC/OMIC Deputy Director"/>
    <n v="5"/>
    <s v="Abroad"/>
    <s v="Defense Minister"/>
    <m/>
    <m/>
    <m/>
    <m/>
    <m/>
    <m/>
    <m/>
    <m/>
  </r>
  <r>
    <s v="Senior Level Visit"/>
    <s v="South Asia"/>
    <s v="Asia"/>
    <s v="Strategic Partnership for Peace and Prosperity [战略伙伴关系]"/>
    <s v="None"/>
    <s v="INDOPACOM"/>
    <s v="India"/>
    <x v="28"/>
    <n v="4"/>
    <x v="7"/>
    <s v="Wei Fenghe"/>
    <m/>
    <s v="Defense Minister; CMC Member"/>
    <n v="8"/>
    <s v="Abroad"/>
    <s v="Defense Minister "/>
    <m/>
    <m/>
    <m/>
    <m/>
    <m/>
    <m/>
    <m/>
    <m/>
  </r>
  <r>
    <s v="Senior Level Visit"/>
    <s v="Middle East"/>
    <s v="West Asia and Africa"/>
    <s v="Comprehensive Strategic Partnership [全面战略伙伴关系]"/>
    <s v="None"/>
    <s v="CENTCOM"/>
    <s v="Iran"/>
    <x v="28"/>
    <n v="4"/>
    <x v="4"/>
    <s v="Wei Fenghe"/>
    <m/>
    <s v="Defense Minister; CMC Member"/>
    <n v="8"/>
    <s v="Abroad"/>
    <s v="Defense Minister"/>
    <m/>
    <m/>
    <m/>
    <m/>
    <m/>
    <m/>
    <m/>
    <m/>
  </r>
  <r>
    <s v="Senior Level Visit"/>
    <s v="Central Asia"/>
    <s v="Europe and Central Asia"/>
    <s v="Comprehensive Strategic Partnership [全面战略伙伴关系]"/>
    <s v="None"/>
    <s v="CENTCOM"/>
    <s v="Kazakhstan"/>
    <x v="28"/>
    <n v="4"/>
    <x v="7"/>
    <s v="Wei Fenghe"/>
    <m/>
    <s v="Defense Minister; CMC Member"/>
    <n v="8"/>
    <s v="Abroad"/>
    <s v="Defense Minsiter"/>
    <m/>
    <m/>
    <m/>
    <m/>
    <m/>
    <m/>
    <m/>
    <m/>
  </r>
  <r>
    <s v="Senior Level Visit"/>
    <s v="Central Asia"/>
    <s v="Europe and Central Asia"/>
    <s v="Comprehensive Strategic Partnership [全面战略伙伴关系]"/>
    <s v="None"/>
    <s v="CENTCOM"/>
    <s v="Kyrgyzstan"/>
    <x v="28"/>
    <n v="4"/>
    <x v="4"/>
    <s v="Wei Fenghe"/>
    <m/>
    <s v="Defense Minister; CMC Member"/>
    <n v="8"/>
    <s v="Abroad"/>
    <s v="President"/>
    <m/>
    <m/>
    <m/>
    <m/>
    <m/>
    <m/>
    <m/>
    <m/>
  </r>
  <r>
    <s v="Senior Level Visit"/>
    <s v="Northeast Asia"/>
    <s v="Asia"/>
    <s v="Comprehensive Strategic Partnership [全面战略伙伴关系]"/>
    <s v="None"/>
    <s v="INDOPACOM"/>
    <s v="Mongolia"/>
    <x v="28"/>
    <n v="4"/>
    <x v="4"/>
    <s v="Liu Xiaowu"/>
    <m/>
    <s v="Western TC Deputy Commander"/>
    <n v="6"/>
    <s v="Hosted"/>
    <s v="General staff of armed forces"/>
    <m/>
    <m/>
    <m/>
    <m/>
    <m/>
    <m/>
    <m/>
    <m/>
  </r>
  <r>
    <s v="Senior Level Visit"/>
    <s v="Southeast Asia"/>
    <s v="Asia"/>
    <s v="Comprehensive Strategic Cooperative Partnership [全面战略合作伙伴关系]"/>
    <s v="None"/>
    <s v="INDOPACOM"/>
    <s v="Myanmar"/>
    <x v="28"/>
    <n v="4"/>
    <x v="3"/>
    <s v="Xu Qiliang"/>
    <m/>
    <s v="CMC Vice Chairman"/>
    <n v="10"/>
    <s v="Hosted"/>
    <s v="Commander in Chief of Tatmadaw"/>
    <m/>
    <m/>
    <m/>
    <m/>
    <m/>
    <m/>
    <m/>
    <m/>
  </r>
  <r>
    <s v="Military Exercise"/>
    <s v="Northeast Asia"/>
    <s v="Asia"/>
    <s v="N/A"/>
    <s v="None"/>
    <s v="INDOPACOM"/>
    <s v="N/A"/>
    <x v="28"/>
    <n v="4"/>
    <x v="6"/>
    <m/>
    <m/>
    <m/>
    <m/>
    <m/>
    <m/>
    <s v="MOOTW"/>
    <s v="70th Anniversary of PLA Navy Fleet Review "/>
    <s v="Navy"/>
    <s v="Naval Parade including Russia, Thailand, Vietnam,  India, Japan, the Philippines, Bangladesh, Brunei, Australia, Malaysia, and Myanmar "/>
    <m/>
    <m/>
    <m/>
    <m/>
  </r>
  <r>
    <s v="Senior Level Visit"/>
    <s v="South Asia"/>
    <s v="Asia"/>
    <s v="All-Weather Strategic Cooperative Partnership [全天候战略合作伙伴关系]"/>
    <s v="Major Non-NATO Ally"/>
    <s v="CENTCOM"/>
    <s v="Pakistan"/>
    <x v="28"/>
    <n v="4"/>
    <x v="7"/>
    <s v="Wei Fenghe"/>
    <m/>
    <s v="Defense Minister; CMC Member"/>
    <n v="8"/>
    <s v="Abroad"/>
    <s v="Defense Secretary"/>
    <m/>
    <m/>
    <m/>
    <m/>
    <m/>
    <m/>
    <m/>
    <m/>
  </r>
  <r>
    <s v="Senior Level Visit"/>
    <s v="South Asia"/>
    <s v="Asia"/>
    <s v="All-Weather Strategic Cooperative Partnership [全天候战略合作伙伴关系]"/>
    <s v="Major Non-NATO Ally"/>
    <s v="CENTCOM"/>
    <s v="Pakistan"/>
    <x v="28"/>
    <n v="4"/>
    <x v="3"/>
    <s v="Wei Fenghe"/>
    <m/>
    <s v="Defense Minister; CMC Member"/>
    <n v="8"/>
    <s v="Hosted"/>
    <s v="Chief of the Naval Staff "/>
    <m/>
    <m/>
    <m/>
    <m/>
    <m/>
    <m/>
    <m/>
    <m/>
  </r>
  <r>
    <s v="Military Exercise"/>
    <s v="Russia"/>
    <s v="Europe and Central Asia"/>
    <s v="Comprehensive Strategic Partnership of Coordination in the New Era [新时代中俄全面战略协作伙伴关系]"/>
    <s v="None"/>
    <s v="EUCOM"/>
    <s v="Russia"/>
    <x v="28"/>
    <n v="4"/>
    <x v="5"/>
    <m/>
    <m/>
    <m/>
    <m/>
    <m/>
    <m/>
    <s v="Combat"/>
    <s v="Joint Sea 2019 "/>
    <s v="Navy"/>
    <s v="Joint air defense, joint anti-submarine operations, joint submarine rescue, and joint search and rescue in Yellow Sea off Qiangdao.  April 29-May 4."/>
    <m/>
    <m/>
    <m/>
    <m/>
  </r>
  <r>
    <s v="Senior Level Visit"/>
    <s v="Russia"/>
    <s v="Europe and Central Asia"/>
    <s v="Comprehensive Strategic Partnership of Coordination in the New Era [新时代中俄全面战略协作伙伴关系]"/>
    <s v="None"/>
    <s v="EUCOM"/>
    <s v="Russia"/>
    <x v="28"/>
    <n v="4"/>
    <x v="7"/>
    <s v="Wei Fenghe"/>
    <m/>
    <s v="Defense Minister; CMC Member"/>
    <n v="8"/>
    <s v="Abroad"/>
    <s v="Russian Defense Minister"/>
    <m/>
    <m/>
    <m/>
    <m/>
    <m/>
    <m/>
    <m/>
    <m/>
  </r>
  <r>
    <s v="Senior Level Visit"/>
    <s v="Central Asia"/>
    <s v="Europe and Central Asia"/>
    <s v="Member"/>
    <s v="None"/>
    <s v="CENTCOM"/>
    <s v="SCO"/>
    <x v="28"/>
    <n v="4"/>
    <x v="1"/>
    <s v="Wei Fenghe"/>
    <m/>
    <s v="Defense Minister; CMC Member"/>
    <n v="8"/>
    <s v="Abroad"/>
    <s v="16th official meeting of the SCO Ministers' of Defense in Kyrgyzstan; Other countries: Kazakhstan, Kyrgyztan, Russia, Tajikistan, Uzbekistan"/>
    <m/>
    <m/>
    <m/>
    <m/>
    <m/>
    <m/>
    <m/>
    <m/>
  </r>
  <r>
    <s v="Senior Level Visit"/>
    <s v="Europe"/>
    <s v="Europe and Central Asia"/>
    <s v="Comprehensive Strategic Partnership [全面战略伙伴关系]"/>
    <s v="None"/>
    <s v="EUCOM"/>
    <s v="Serbia"/>
    <x v="28"/>
    <n v="4"/>
    <x v="4"/>
    <s v="Wei Fenghe"/>
    <m/>
    <s v="Defense Minister; CMC Member"/>
    <n v="8"/>
    <s v="Abroad"/>
    <s v="Defense Minister"/>
    <m/>
    <m/>
    <m/>
    <m/>
    <m/>
    <m/>
    <m/>
    <m/>
  </r>
  <r>
    <s v="Naval Port Call"/>
    <s v="Africa"/>
    <s v="West Asia and Africa"/>
    <s v="No Specific Relationship"/>
    <s v="None"/>
    <s v="AFRICOM"/>
    <s v="Somalia"/>
    <x v="28"/>
    <n v="4"/>
    <x v="0"/>
    <m/>
    <m/>
    <m/>
    <m/>
    <m/>
    <m/>
    <m/>
    <m/>
    <m/>
    <m/>
    <s v="ETF"/>
    <s v="ETF-32"/>
    <m/>
    <m/>
  </r>
  <r>
    <s v="Senior Level Visit"/>
    <s v="Central Asia"/>
    <s v="Europe and Central Asia"/>
    <s v="Comprehensive Strategic Partnership [全面战略伙伴关系]"/>
    <s v="None"/>
    <s v="CENTCOM"/>
    <s v="Uzbekistan"/>
    <x v="28"/>
    <n v="4"/>
    <x v="7"/>
    <s v="Wei Fenghe"/>
    <m/>
    <s v="Defense Minister; CMC Member"/>
    <n v="8"/>
    <s v="Abroad"/>
    <s v="Prime Minister"/>
    <m/>
    <m/>
    <m/>
    <m/>
    <m/>
    <m/>
    <m/>
    <m/>
  </r>
  <r>
    <s v="Military Exercise"/>
    <s v="Southeast Asia"/>
    <s v="Asia"/>
    <s v="Strategic Partnership [战略伙伴关系] for Peace and Prosperity"/>
    <s v="None"/>
    <s v="INDOPACOM"/>
    <s v="ASEAN"/>
    <x v="28"/>
    <n v="5"/>
    <x v="6"/>
    <m/>
    <m/>
    <m/>
    <m/>
    <m/>
    <m/>
    <s v="MOOTW"/>
    <s v="ASEAN ADMM Plus Live Fire Exercise"/>
    <s v="Navy"/>
    <s v="Co-sponsored by Singapore and South Korea "/>
    <m/>
    <m/>
    <m/>
    <m/>
  </r>
  <r>
    <s v="Senior Level Visit"/>
    <s v="Southeast Asia"/>
    <s v="Asia"/>
    <s v="Comprehensive Strategic Cooperative Partnership [全面战略合作伙伴关系]"/>
    <s v="None"/>
    <s v="INDOPACOM"/>
    <s v="Cambodia"/>
    <x v="28"/>
    <n v="5"/>
    <x v="3"/>
    <s v="Wei Fenghe"/>
    <m/>
    <s v="Defense Minister; CMC Member"/>
    <n v="8"/>
    <s v="Hosted"/>
    <s v="Deputy Commander in Chief of RCAF"/>
    <m/>
    <m/>
    <m/>
    <m/>
    <m/>
    <m/>
    <m/>
    <m/>
  </r>
  <r>
    <s v="Senior Level Visit"/>
    <s v="South America"/>
    <s v="America and Oceania"/>
    <s v="No Specific Relationship"/>
    <s v="None"/>
    <s v="SOUTHCOM"/>
    <s v="Cuba"/>
    <x v="28"/>
    <n v="5"/>
    <x v="4"/>
    <s v="Miao Hua"/>
    <m/>
    <s v="CMC/PWD Director; CMC Member"/>
    <n v="8"/>
    <s v="Abroad"/>
    <s v="First Secretary "/>
    <m/>
    <m/>
    <m/>
    <m/>
    <m/>
    <m/>
    <m/>
    <m/>
  </r>
  <r>
    <s v="Senior Level Visit"/>
    <s v="Southeast Asia"/>
    <s v="Asia"/>
    <s v="No Specific Relationship"/>
    <s v="None"/>
    <s v="INDOPACOM"/>
    <s v="IISS"/>
    <x v="28"/>
    <n v="5"/>
    <x v="1"/>
    <s v="Wei Fenghe"/>
    <m/>
    <s v="Defense Minister; CMC Member"/>
    <n v="8"/>
    <s v="Abroad"/>
    <s v="18th Shangri-La"/>
    <m/>
    <m/>
    <m/>
    <m/>
    <m/>
    <m/>
    <m/>
    <m/>
  </r>
  <r>
    <s v="Senior Level Visit"/>
    <s v="Southeast Asia"/>
    <s v="Asia"/>
    <s v="All-Round Cooperative Partnership [全方合作伙伴关系]"/>
    <s v="None"/>
    <s v="INDOPACOM"/>
    <s v="Singapore"/>
    <x v="28"/>
    <n v="5"/>
    <x v="4"/>
    <s v="Wei Fenghe"/>
    <m/>
    <s v="Defense Minister; CMC Member"/>
    <n v="8"/>
    <s v="Abroad"/>
    <s v="Defense Minister"/>
    <m/>
    <m/>
    <m/>
    <m/>
    <m/>
    <m/>
    <m/>
    <m/>
  </r>
  <r>
    <s v="Military Exercise"/>
    <s v="Southeast Asia"/>
    <s v="Asia"/>
    <s v="Comprehensive Strategic Cooperative Partnership [全面战略合作伙伴关系]"/>
    <s v="Bilateral Defense Treaty"/>
    <s v="INDOPACOM"/>
    <s v="Thailand"/>
    <x v="28"/>
    <n v="5"/>
    <x v="5"/>
    <m/>
    <m/>
    <m/>
    <m/>
    <m/>
    <m/>
    <s v="MOOTW"/>
    <s v="Blue Commando 2019"/>
    <s v="Navy"/>
    <s v="shooting, grappling, helicopter rappelling, combat tactics, communications, replenishment-at-sea, joint rescue, live-fire shooting, and amphibious activities"/>
    <m/>
    <m/>
    <m/>
    <m/>
  </r>
  <r>
    <s v="Senior Level Visit"/>
    <s v="North America"/>
    <s v="America and Oceania"/>
    <s v="No Specific Relationship"/>
    <s v="N/A"/>
    <s v="NORTHCOM"/>
    <s v="United States"/>
    <x v="28"/>
    <n v="5"/>
    <x v="7"/>
    <s v="Wei Fenghe"/>
    <m/>
    <s v="Defense Minister; CMC Member"/>
    <n v="8"/>
    <s v="Abroad"/>
    <s v="Secretary of Defense; BL at Shangri-La "/>
    <m/>
    <m/>
    <m/>
    <m/>
    <m/>
    <m/>
    <m/>
    <m/>
  </r>
  <r>
    <s v="Military Exercise"/>
    <s v="Central Asia"/>
    <s v="Europe and Central Asia"/>
    <s v="Comprehensive Strategic Partnership [全面战略伙伴关系]"/>
    <s v="None"/>
    <s v="CENTCOM"/>
    <s v="Uzbekistan"/>
    <x v="28"/>
    <n v="5"/>
    <x v="5"/>
    <m/>
    <m/>
    <m/>
    <m/>
    <m/>
    <m/>
    <s v="Anti-terrorism"/>
    <s v="Cooperation 2019"/>
    <s v="PAP"/>
    <s v="Snow leopard combat unit"/>
    <m/>
    <m/>
    <m/>
    <m/>
  </r>
  <r>
    <s v="Senior Level Visit"/>
    <s v="Southeast Asia"/>
    <s v="Asia"/>
    <s v="Comprehensive Strategic Cooperative Partnership [全面战略合作伙伴关系]"/>
    <s v="None"/>
    <s v="INDOPACOM"/>
    <s v="Vietnam"/>
    <x v="28"/>
    <n v="5"/>
    <x v="4"/>
    <s v="Wei Fenghe"/>
    <m/>
    <s v="Defense Minister; CMC Member"/>
    <n v="8"/>
    <s v="Abroad"/>
    <s v="National Assembly Chairwoman &amp; defense minister"/>
    <m/>
    <m/>
    <m/>
    <m/>
    <m/>
    <m/>
    <m/>
    <m/>
  </r>
  <r>
    <s v="Senior Level Visit"/>
    <s v="Africa"/>
    <s v="West Asia and Africa"/>
    <s v="Comprehensive Strategic Cooperative Partnership [全面战略合作伙伴关系]"/>
    <s v="None"/>
    <s v="AFRICOM"/>
    <s v="Zimbabwe"/>
    <x v="28"/>
    <n v="5"/>
    <x v="3"/>
    <s v="Wei Fenghe"/>
    <m/>
    <s v="Defense Minister; CMC Member"/>
    <n v="8"/>
    <s v="Hosted"/>
    <s v="Defense Minister"/>
    <m/>
    <m/>
    <m/>
    <m/>
    <m/>
    <m/>
    <m/>
    <m/>
  </r>
  <r>
    <s v="Senior Level Visit"/>
    <s v="Africa"/>
    <s v="West Asia and Africa"/>
    <s v="Strategic Partnership [战略伙伴关系]"/>
    <s v="None"/>
    <s v="AFRICOM"/>
    <s v="Angola"/>
    <x v="28"/>
    <n v="6"/>
    <x v="4"/>
    <s v="Xu Qiliang"/>
    <m/>
    <s v="CMC Vice Chairman "/>
    <n v="10"/>
    <s v="Abroad"/>
    <s v="Defense Minister"/>
    <m/>
    <m/>
    <m/>
    <m/>
    <m/>
    <m/>
    <m/>
    <m/>
  </r>
  <r>
    <s v="Naval Port Call"/>
    <s v="Oceania"/>
    <s v="America and Oceania"/>
    <s v="Comprehensive Strategic Partnership [全面战略伙伴关系]"/>
    <s v="ANZUS Treaty"/>
    <s v="INDOPACOM"/>
    <s v="Australia"/>
    <x v="28"/>
    <n v="6"/>
    <x v="0"/>
    <m/>
    <m/>
    <m/>
    <m/>
    <m/>
    <m/>
    <m/>
    <m/>
    <m/>
    <m/>
    <s v="ETF"/>
    <s v="ETF-31"/>
    <s v="South Sea Fleet"/>
    <s v="LPD998 Kunlun Shan; FFG536 Xuchang; AOR964 Luoma Hu"/>
  </r>
  <r>
    <s v="Military Exercise"/>
    <s v="Southeast Asia"/>
    <s v="Asia"/>
    <s v="Comprehensive Strategic Cooperative Partnership [全面战略合作伙伴关系]"/>
    <s v="None"/>
    <s v="INDOPACOM"/>
    <s v="Laos"/>
    <x v="28"/>
    <n v="6"/>
    <x v="5"/>
    <m/>
    <m/>
    <m/>
    <m/>
    <m/>
    <m/>
    <s v="Anti-terrorism"/>
    <s v="Second China-Laos National Defense Friendship Activities Along the Border"/>
    <s v="Army"/>
    <s v="drill is part of the China-Laos border defense friendly exchange activities"/>
    <m/>
    <m/>
    <m/>
    <m/>
  </r>
  <r>
    <s v="Military Exercise"/>
    <s v="Northeast Asia"/>
    <s v="Asia"/>
    <s v="Comprehensive Strategic Partnership [全面战略伙伴关系]"/>
    <s v="None"/>
    <s v="INDOPACOM"/>
    <s v="Mongolia"/>
    <x v="28"/>
    <n v="6"/>
    <x v="6"/>
    <m/>
    <m/>
    <m/>
    <m/>
    <m/>
    <m/>
    <s v="MOOTW"/>
    <s v="Khaan Quest 2019"/>
    <s v="Army"/>
    <s v="Multilateral peacekeeping exercise; Cosponsored by US; 38 countries participated"/>
    <m/>
    <m/>
    <m/>
    <m/>
  </r>
  <r>
    <s v="Senior Level Visit"/>
    <s v="Africa"/>
    <s v="West Asia and Africa"/>
    <s v="Comprehensive Strategic Cooperative Partnership [全面战略合作伙伴关系]"/>
    <s v="None"/>
    <s v="AFRICOM"/>
    <s v="Mozambique"/>
    <x v="28"/>
    <n v="6"/>
    <x v="4"/>
    <s v="Xu Qiliang"/>
    <m/>
    <s v="CMC Vice Chairman "/>
    <n v="10"/>
    <s v="Abroad"/>
    <s v="President"/>
    <m/>
    <m/>
    <m/>
    <m/>
    <m/>
    <m/>
    <m/>
    <m/>
  </r>
  <r>
    <s v="Senior Level Visit"/>
    <s v="South Asia"/>
    <s v="Asia"/>
    <s v="Development-oriented Strategic Cooperative Partnership [面向发展与繁荣的世代友好的战略合作伙伴关系]."/>
    <s v="None"/>
    <s v="INDOPACOM"/>
    <s v="Nepal"/>
    <x v="28"/>
    <n v="6"/>
    <x v="3"/>
    <s v="Wei Fenghe"/>
    <m/>
    <s v="Defense Minister; CMC Member"/>
    <n v="8"/>
    <s v="Hosted"/>
    <s v="Nepalese Chief of Army Staff General"/>
    <m/>
    <m/>
    <m/>
    <s v="Also met JSD commander Li during week long visit"/>
    <m/>
    <m/>
    <m/>
    <m/>
  </r>
  <r>
    <s v="Senior Level Visit"/>
    <s v="South Asia"/>
    <s v="Asia"/>
    <s v="All-Weather Strategic Cooperative Partnership [全天候战略合作伙伴关系]"/>
    <s v="Major Non-NATO Ally"/>
    <s v="CENTCOM"/>
    <s v="Pakistan"/>
    <x v="28"/>
    <n v="6"/>
    <x v="3"/>
    <s v="Wei Fenghe"/>
    <m/>
    <s v="Defense Minister; CMC Member"/>
    <n v="8"/>
    <s v="Hosted"/>
    <s v="Ambassador to China"/>
    <m/>
    <m/>
    <m/>
    <m/>
    <m/>
    <m/>
    <m/>
    <m/>
  </r>
  <r>
    <s v="Senior Level Visit"/>
    <s v="South Asia"/>
    <s v="Asia"/>
    <s v="All-Weather Strategic Cooperative Partnership [全天候战略合作伙伴关系]"/>
    <s v="Major Non-NATO Ally"/>
    <s v="CENTCOM"/>
    <s v="Pakistan"/>
    <x v="28"/>
    <n v="6"/>
    <x v="4"/>
    <s v="Han Weiguo"/>
    <m/>
    <s v="PLAA Commander"/>
    <n v="6"/>
    <s v="Abroad"/>
    <s v="Chief of Army Staff "/>
    <m/>
    <m/>
    <m/>
    <m/>
    <m/>
    <m/>
    <m/>
    <m/>
  </r>
  <r>
    <s v="Senior Level Visit"/>
    <s v="Southeast Asia"/>
    <s v="Asia"/>
    <s v="All-Round Cooperative Partnership [全方合作伙伴关系]"/>
    <s v="None"/>
    <s v="INDOPACOM"/>
    <s v="Singapore"/>
    <x v="28"/>
    <n v="6"/>
    <x v="7"/>
    <s v="Wei Fenghe"/>
    <m/>
    <s v="Defense Minister; CMC Member"/>
    <n v="8"/>
    <s v="Abroad"/>
    <s v="Defense Minister; BL at Shangri-La"/>
    <m/>
    <m/>
    <m/>
    <m/>
    <m/>
    <m/>
    <m/>
    <m/>
  </r>
  <r>
    <s v="Senior Level Visit"/>
    <s v="Europe"/>
    <s v="Europe and Central Asia"/>
    <s v="Strategic Cooperative Partnership [战略合作伙伴关系]"/>
    <s v="NATO"/>
    <s v="EUCOM"/>
    <s v="Turkey"/>
    <x v="28"/>
    <n v="6"/>
    <x v="3"/>
    <s v="Wei Fenghe"/>
    <m/>
    <s v="Defense Minister; CMC Member"/>
    <n v="8"/>
    <s v="Hosted"/>
    <s v="Turkish Air Forces Commander"/>
    <m/>
    <m/>
    <m/>
    <m/>
    <m/>
    <m/>
    <m/>
    <m/>
  </r>
  <r>
    <s v="Senior Level Visit"/>
    <s v="Africa"/>
    <s v="West Asia and Africa"/>
    <s v="Friendly Cooperative Relationship [友好合作关系]"/>
    <s v="None"/>
    <s v="AFRICOM"/>
    <s v="Benin"/>
    <x v="28"/>
    <n v="7"/>
    <x v="3"/>
    <s v="Wei Fenghe"/>
    <m/>
    <s v="Defense Minister; CMC Member"/>
    <n v="8"/>
    <s v="Hosted"/>
    <s v="Defense Minister"/>
    <m/>
    <m/>
    <m/>
    <m/>
    <m/>
    <m/>
    <m/>
    <m/>
  </r>
  <r>
    <s v="Naval Port Call"/>
    <s v="Europe"/>
    <s v="Europe and Central Asia"/>
    <s v="Comprehensive Strategic Partnership [全面战略伙伴关系]"/>
    <s v="NATO"/>
    <s v="EUCOM"/>
    <s v="France"/>
    <x v="28"/>
    <n v="7"/>
    <x v="0"/>
    <m/>
    <m/>
    <m/>
    <m/>
    <m/>
    <m/>
    <m/>
    <m/>
    <m/>
    <m/>
    <s v="ETF"/>
    <s v="ETF-32"/>
    <s v="East Sea Fleet"/>
    <s v="DDG153 Xi'an FFG599 Anyang AOR966 Gaoyuhu"/>
  </r>
  <r>
    <s v="Military Exercise"/>
    <s v="Europe"/>
    <s v="Europe and Central Asia"/>
    <s v="Comprehensive Strategic Partnership [全面战略伙伴关系]"/>
    <s v="NATO"/>
    <s v="EUCOM"/>
    <s v="Germany"/>
    <x v="28"/>
    <n v="7"/>
    <x v="5"/>
    <m/>
    <m/>
    <m/>
    <m/>
    <m/>
    <m/>
    <s v="MOOTW"/>
    <s v="Combined Aid 2019"/>
    <s v="Army"/>
    <m/>
    <m/>
    <m/>
    <m/>
    <m/>
  </r>
  <r>
    <s v="Senior Level Visit"/>
    <s v="Africa"/>
    <s v="West Asia and Africa"/>
    <s v="No Specific Relationship"/>
    <s v="None"/>
    <s v="AFRICOM"/>
    <s v="Ghana"/>
    <x v="28"/>
    <n v="7"/>
    <x v="3"/>
    <s v="Wei Fenghe"/>
    <m/>
    <s v="Defense Minister; CMC Member"/>
    <n v="8"/>
    <s v="Hosted"/>
    <s v="Defense Minister"/>
    <m/>
    <m/>
    <m/>
    <m/>
    <m/>
    <m/>
    <m/>
    <m/>
  </r>
  <r>
    <s v="Senior Level Visit"/>
    <s v="South America"/>
    <s v="America and Oceania"/>
    <s v="No Specific Relationship"/>
    <s v="None"/>
    <s v="SOUTHCOM"/>
    <s v="Guyana"/>
    <x v="28"/>
    <n v="7"/>
    <x v="3"/>
    <s v="Wei Fenghe"/>
    <m/>
    <s v="Defense Minister; CMC Member"/>
    <n v="8"/>
    <s v="Hosted"/>
    <s v="Chief of Staff of the Guyana Defense Force Brigadier Patrick West"/>
    <m/>
    <m/>
    <m/>
    <s v="Guyana represented nations at the Fourth Forum for Senior Defense Officials from Caribbean and South Pacific Countries"/>
    <m/>
    <m/>
    <m/>
    <m/>
  </r>
  <r>
    <s v="Senior Level Visit"/>
    <s v="Oceania"/>
    <s v="America and Oceania"/>
    <s v="Comprehensive Strategic Partnership [全面战略伙伴关系]"/>
    <s v="ANZUS Treaty"/>
    <s v="INDOPACOM"/>
    <s v="New Zealand"/>
    <x v="28"/>
    <n v="7"/>
    <x v="3"/>
    <s v="Xu Qiliang"/>
    <m/>
    <s v=" CMC Vice Chairman "/>
    <n v="10"/>
    <s v="Hosted"/>
    <s v="Defense Minister"/>
    <m/>
    <m/>
    <m/>
    <s v="Met with CMC chair Xu; and Counterpart Wei Fenghe"/>
    <m/>
    <m/>
    <m/>
    <m/>
  </r>
  <r>
    <s v="Senior Level Visit"/>
    <s v="South Asia"/>
    <s v="Asia"/>
    <s v="All-Weather Strategic Cooperative Partnership [全天候战略合作伙伴关系]"/>
    <s v="Major Non-NATO Ally"/>
    <s v="CENTCOM"/>
    <s v="Pakistan"/>
    <x v="28"/>
    <n v="7"/>
    <x v="3"/>
    <s v="Zhang Youxia"/>
    <m/>
    <s v="CMC Vice Chairman"/>
    <n v="10"/>
    <s v="Hosted"/>
    <s v="Chairman of the Joint Chiefs"/>
    <m/>
    <m/>
    <m/>
    <m/>
    <m/>
    <m/>
    <m/>
    <m/>
  </r>
  <r>
    <s v="Naval Port Call"/>
    <s v="Russia"/>
    <s v="Europe and Central Asia"/>
    <s v="Comprehensive Strategic Partnership of Coordination in the New Era [新时代中俄全面战略协作伙伴关系]"/>
    <s v="None"/>
    <s v="EUCOM"/>
    <s v="Russia"/>
    <x v="28"/>
    <n v="7"/>
    <x v="8"/>
    <m/>
    <m/>
    <m/>
    <m/>
    <m/>
    <m/>
    <m/>
    <m/>
    <m/>
    <m/>
    <s v="ETF"/>
    <s v="ETF-32"/>
    <s v="East Sea Fleet"/>
    <s v="DDG153 Xi'an FFG599 Anyang AOR966 Gaoyuhu"/>
  </r>
  <r>
    <s v="Military Exercise"/>
    <s v="Russia"/>
    <s v="Europe and Central Asia"/>
    <s v="Comprehensive Strategic Partnership of Coordination in the New Era [新时代中俄全面战略协作伙伴关系]"/>
    <s v="None"/>
    <s v="EUCOM"/>
    <s v="Russia"/>
    <x v="28"/>
    <n v="7"/>
    <x v="5"/>
    <m/>
    <m/>
    <m/>
    <m/>
    <m/>
    <m/>
    <s v="Patrol"/>
    <s v="Joint Aerial Strategic Patrol 2019"/>
    <s v="Air Force"/>
    <s v="First-ever China-Russia joint strategic air patrol"/>
    <m/>
    <m/>
    <m/>
    <m/>
  </r>
  <r>
    <s v="Naval Port Call"/>
    <s v="Middle East"/>
    <s v="West Asia and Africa"/>
    <s v="Comprehensive Strategic Partnership [全面战略伙伴关系]"/>
    <s v="Major Non-NATO Ally"/>
    <s v="CENTCOM"/>
    <s v="Egypt"/>
    <x v="28"/>
    <n v="8"/>
    <x v="9"/>
    <m/>
    <m/>
    <m/>
    <m/>
    <m/>
    <m/>
    <m/>
    <m/>
    <m/>
    <m/>
    <s v="ETF"/>
    <s v="ETF-32"/>
    <s v="East Sea Fleet"/>
    <s v="DDG153 Xi'an FFG599 Anyang AOR966 Gaoyuhu"/>
  </r>
  <r>
    <s v="Military Exercise"/>
    <s v="Middle East"/>
    <s v="West Asia and Africa"/>
    <s v="Comprehensive Strategic Partnership [全面战略伙伴关系]"/>
    <s v="Major Non-NATO Ally"/>
    <s v="CENTCOM"/>
    <s v="Egypt"/>
    <x v="28"/>
    <n v="8"/>
    <x v="5"/>
    <m/>
    <m/>
    <m/>
    <m/>
    <m/>
    <m/>
    <s v="Anti-terrorism"/>
    <s v="Unnamed"/>
    <s v="Navy"/>
    <m/>
    <m/>
    <s v="ETF-32"/>
    <m/>
    <s v="DDG153 Xi'an"/>
  </r>
  <r>
    <s v="Military Exercise"/>
    <s v="Central Asia"/>
    <s v="Europe and Central Asia"/>
    <s v="Comprehensive Strategic Partnership [全面战略伙伴关系]"/>
    <s v="None"/>
    <s v="CENTCOM"/>
    <s v="Kyrgyzstan"/>
    <x v="28"/>
    <n v="8"/>
    <x v="5"/>
    <m/>
    <m/>
    <m/>
    <m/>
    <m/>
    <m/>
    <s v="Anti-terrorism"/>
    <s v="Cooperation 2019"/>
    <s v="PAP"/>
    <s v="joint command, basic technical training, cooperative tactical training, and integrated countermeasure training; PAP's &quot;Mountain Eagle&quot; commando unit"/>
    <m/>
    <m/>
    <m/>
    <m/>
  </r>
  <r>
    <s v="Military Exercise"/>
    <s v="Southeast Asia"/>
    <s v="Asia"/>
    <s v="Comprehensive Strategic Cooperative Partnership [全面战略合作伙伴关系]"/>
    <s v="None"/>
    <s v="INDOPACOM"/>
    <s v="Laos"/>
    <x v="28"/>
    <n v="8"/>
    <x v="5"/>
    <m/>
    <m/>
    <m/>
    <m/>
    <m/>
    <m/>
    <s v="MOOTW"/>
    <s v="Peace Train 2019"/>
    <s v="Army"/>
    <m/>
    <m/>
    <m/>
    <m/>
    <m/>
  </r>
  <r>
    <s v="Military Exercise"/>
    <s v="South Asia"/>
    <s v="Asia"/>
    <s v="Development-oriented Strategic Cooperative Partnership [面向发展与繁荣的世代友好的战略合作伙伴关系]."/>
    <s v="None"/>
    <s v="INDOPACOM"/>
    <s v="Nepal"/>
    <x v="28"/>
    <n v="8"/>
    <x v="5"/>
    <m/>
    <m/>
    <m/>
    <m/>
    <m/>
    <m/>
    <s v="Anti-terrorism"/>
    <s v="Mt. Everest Friendship 2019"/>
    <s v="Army"/>
    <s v="included hostage rescue, fast-roping, and sniper rifle training"/>
    <m/>
    <m/>
    <m/>
    <m/>
  </r>
  <r>
    <s v="Senior Level Visit"/>
    <s v="Northeast Asia"/>
    <s v="Asia"/>
    <s v="Bilateral Defense Treaty"/>
    <s v="None"/>
    <s v="INDOPACOM"/>
    <s v="North Korea"/>
    <x v="28"/>
    <n v="8"/>
    <x v="3"/>
    <s v="Zhang Youxia"/>
    <m/>
    <s v="CMC Vice Chairman"/>
    <n v="10"/>
    <s v="Hosted"/>
    <s v="Director of the General Political Bureau of the Korean People’s Army"/>
    <m/>
    <m/>
    <m/>
    <m/>
    <m/>
    <m/>
    <m/>
    <m/>
  </r>
  <r>
    <s v="Senior Level Visit"/>
    <s v="South Asia"/>
    <s v="Asia"/>
    <s v="All-Weather Strategic Cooperative Partnership [全天候战略合作伙伴关系]"/>
    <s v="Major Non-NATO Ally"/>
    <s v="CENTCOM"/>
    <s v="Pakistan"/>
    <x v="28"/>
    <n v="8"/>
    <x v="4"/>
    <s v="Xu Qiliang"/>
    <m/>
    <s v="CMC Vice Chairman "/>
    <n v="10"/>
    <s v="Abroad"/>
    <s v="Prime Minister "/>
    <m/>
    <m/>
    <m/>
    <m/>
    <m/>
    <m/>
    <m/>
    <m/>
  </r>
  <r>
    <s v="Naval Port Call"/>
    <s v="Europe"/>
    <s v="Europe and Central Asia"/>
    <s v="Comprehensive Strategic Partnership [全面战略伙伴关系]"/>
    <s v="NATO"/>
    <s v="EUCOM"/>
    <s v="Portugal"/>
    <x v="28"/>
    <n v="8"/>
    <x v="9"/>
    <m/>
    <m/>
    <m/>
    <m/>
    <m/>
    <m/>
    <m/>
    <m/>
    <m/>
    <m/>
    <s v="ETF"/>
    <s v="ETF-32"/>
    <s v="East Sea Fleet"/>
    <s v="DDG153 Xi'an FFG599 Anyang AOR966 Gaoyuhu"/>
  </r>
  <r>
    <s v="Military Exercise"/>
    <s v="Russia"/>
    <s v="Europe and Central Asia"/>
    <s v="Comprehensive Strategic Partnership of Coordination in the New Era [新时代中俄全面战略协作伙伴关系]"/>
    <s v="None"/>
    <s v="EUCOM"/>
    <s v="Russia"/>
    <x v="28"/>
    <n v="8"/>
    <x v="6"/>
    <m/>
    <m/>
    <m/>
    <m/>
    <m/>
    <m/>
    <s v="Competition"/>
    <s v="International Army Games 2019"/>
    <s v="Army"/>
    <s v="Hosted in China; Other countries:Armenia, Iran, Kazakhstan, Uzbekistan, Belarus, Egypt, Pakistan, and Venezuela; &quot;Clear Sky&quot; and &quot;Gunsmith Master&quot;"/>
    <m/>
    <m/>
    <m/>
    <m/>
  </r>
  <r>
    <s v="Military Exercise"/>
    <s v="Southeast Asia"/>
    <s v="Asia"/>
    <s v="All-Round Cooperative Partnership [全方合作伙伴关系]"/>
    <s v="None"/>
    <s v="INDOPACOM"/>
    <s v="Singapore"/>
    <x v="28"/>
    <n v="8"/>
    <x v="5"/>
    <m/>
    <m/>
    <m/>
    <m/>
    <m/>
    <m/>
    <s v="Anti-terrorism"/>
    <s v="Cooperation 2019 Joint Army Training"/>
    <s v="Army"/>
    <s v="urban counterterrorist operations, conducted in two phases, namely mixed group subject training and comprehensive troop drill"/>
    <m/>
    <m/>
    <m/>
    <m/>
  </r>
  <r>
    <s v="Military Exercise"/>
    <s v="Central Asia"/>
    <s v="Europe and Central Asia"/>
    <s v="Comprehensive Strategic Partnership [全面战略伙伴关系]"/>
    <s v="None"/>
    <s v="CENTCOM"/>
    <s v="Tajikistan"/>
    <x v="28"/>
    <n v="8"/>
    <x v="5"/>
    <m/>
    <m/>
    <m/>
    <m/>
    <m/>
    <m/>
    <s v="Anti-terrorism"/>
    <s v="Cooperation 2019"/>
    <s v="Joint"/>
    <s v="Gorno-Badakhshan Autonomous Region; originally planned for July 2019; changed to August 2019"/>
    <m/>
    <m/>
    <m/>
    <m/>
  </r>
  <r>
    <s v="Military Exercise"/>
    <s v="Southeast Asia"/>
    <s v="Asia"/>
    <s v="Comprehensive Strategic Cooperative Partnership [全面战略合作伙伴关系]"/>
    <s v="Bilateral Defense Treaty"/>
    <s v="INDOPACOM"/>
    <s v="Thailand"/>
    <x v="28"/>
    <n v="8"/>
    <x v="5"/>
    <m/>
    <m/>
    <m/>
    <m/>
    <m/>
    <m/>
    <s v="Combat"/>
    <s v="Falcon Strike 2019"/>
    <s v="Air Force"/>
    <s v="For the 2019 training, the PLAAF sent J-10C, J-10S, and KJ-500 Airborne Early Warning aircraft – this signifies that the 2019 iteration is a higher-level air exercise"/>
    <m/>
    <m/>
    <m/>
    <m/>
  </r>
  <r>
    <s v="Senior Level Visit"/>
    <s v="South America"/>
    <s v="America and Oceania"/>
    <s v="Comprehensive Strategic Partnership [全面战略伙伴关系]"/>
    <s v="Major Non-NATO Ally"/>
    <s v="SOUTHCOM"/>
    <s v="Argentina"/>
    <x v="28"/>
    <n v="9"/>
    <x v="4"/>
    <s v="Wei Fenghe"/>
    <m/>
    <s v="Defense Minister; CMC Member"/>
    <n v="8"/>
    <s v="Abroad"/>
    <s v="President and Defense Minister"/>
    <m/>
    <m/>
    <m/>
    <m/>
    <m/>
    <m/>
    <m/>
    <m/>
  </r>
  <r>
    <s v="Military Exercise"/>
    <s v="Oceania"/>
    <s v="America and Oceania"/>
    <s v="Comprehensive Strategic Partnership [全面战略伙伴关系]"/>
    <s v="ANZUS Treaty"/>
    <s v="INDOPACOM"/>
    <s v="Australia"/>
    <x v="28"/>
    <n v="9"/>
    <x v="6"/>
    <m/>
    <m/>
    <m/>
    <m/>
    <m/>
    <m/>
    <s v="MOOTW"/>
    <s v="Kowari 2019"/>
    <s v="Air Force"/>
    <s v="Other Countries: USA"/>
    <m/>
    <m/>
    <m/>
    <m/>
  </r>
  <r>
    <s v="Military Exercise"/>
    <s v="Oceania"/>
    <s v="America and Oceania"/>
    <s v="Comprehensive Strategic Partnership [全面战略伙伴关系]"/>
    <s v="ANZUS Treaty"/>
    <s v="INDOPACOM"/>
    <s v="Australia"/>
    <x v="28"/>
    <n v="9"/>
    <x v="5"/>
    <m/>
    <m/>
    <m/>
    <m/>
    <m/>
    <m/>
    <s v="MOOTW"/>
    <s v="Pandaroo 2019"/>
    <s v="Army"/>
    <s v="Survival training in jungle environments"/>
    <m/>
    <m/>
    <m/>
    <m/>
  </r>
  <r>
    <s v="Senior Level Visit"/>
    <s v="South Asia"/>
    <s v="Asia"/>
    <s v="Strategic Cooperative Partnership [战略合作伙伴关系]"/>
    <s v="None"/>
    <s v="INDOPACOM"/>
    <s v="Bangladesh"/>
    <x v="28"/>
    <n v="9"/>
    <x v="3"/>
    <s v="Wei Fenghe"/>
    <m/>
    <s v="Defense Minister; CMC Member"/>
    <n v="8"/>
    <s v="Hosted"/>
    <s v="Air Chief Marshal "/>
    <m/>
    <m/>
    <m/>
    <m/>
    <m/>
    <m/>
    <m/>
    <m/>
  </r>
  <r>
    <s v="Senior Level Visit"/>
    <s v="South America"/>
    <s v="America and Oceania"/>
    <s v="Comprehensive Strategic Partnership [全面战略伙伴关系]"/>
    <s v="None"/>
    <s v="SOUTHCOM"/>
    <s v="Brazil"/>
    <x v="28"/>
    <n v="9"/>
    <x v="4"/>
    <s v="Wei Fenghe"/>
    <m/>
    <s v="Defense Minister; CMC Member"/>
    <n v="8"/>
    <s v="Abroad"/>
    <s v="President, Defense Minister"/>
    <m/>
    <m/>
    <m/>
    <m/>
    <m/>
    <m/>
    <m/>
    <m/>
  </r>
  <r>
    <s v="Naval Port Call"/>
    <s v="Southeast Asia"/>
    <s v="Asia"/>
    <s v="Strategic Cooperative Partnership [战略合作伙伴关系]"/>
    <s v="None"/>
    <s v="INDOPACOM"/>
    <s v="Brunei"/>
    <x v="28"/>
    <n v="9"/>
    <x v="0"/>
    <m/>
    <m/>
    <m/>
    <m/>
    <m/>
    <m/>
    <m/>
    <m/>
    <m/>
    <m/>
    <s v="NETF"/>
    <s v="Training Ship Qi Jiguang"/>
    <s v="South Sea Fleet"/>
    <s v="Qi Jiguang training ship"/>
  </r>
  <r>
    <s v="Senior Level Visit"/>
    <s v="Southeast Asia"/>
    <s v="Asia"/>
    <s v="Comprehensive Strategic Cooperative Partnership [全面战略合作伙伴关系]"/>
    <s v="None"/>
    <s v="INDOPACOM"/>
    <s v="Cambodia"/>
    <x v="28"/>
    <n v="9"/>
    <x v="3"/>
    <s v="Wei Fenghe"/>
    <m/>
    <s v="Defense Minister; CMC Member"/>
    <n v="8"/>
    <s v="Hosted"/>
    <s v="General"/>
    <m/>
    <m/>
    <m/>
    <m/>
    <m/>
    <m/>
    <m/>
    <m/>
  </r>
  <r>
    <s v="Senior Level Visit"/>
    <s v="North America"/>
    <s v="America and Oceania"/>
    <s v="No Specific Relationship"/>
    <s v="None"/>
    <s v="SOUTHCOM"/>
    <s v="Cuba"/>
    <x v="28"/>
    <n v="9"/>
    <x v="3"/>
    <s v="Xu Qiliang"/>
    <m/>
    <s v=" CMC Vice Chairman "/>
    <n v="10"/>
    <s v="Hosted"/>
    <s v="Sen. Lt. General"/>
    <m/>
    <m/>
    <m/>
    <m/>
    <m/>
    <m/>
    <m/>
    <m/>
  </r>
  <r>
    <s v="Senior Level Visit"/>
    <s v="Middle East"/>
    <s v="West Asia and Africa"/>
    <s v="Comprehensive Strategic Partnership [全面战略伙伴关系]"/>
    <s v="None"/>
    <s v="CENTCOM"/>
    <s v="Iran"/>
    <x v="28"/>
    <n v="9"/>
    <x v="3"/>
    <s v="Xu Qiliang"/>
    <m/>
    <s v=" CMC Vice Chairman "/>
    <n v="10"/>
    <s v="Hosted"/>
    <s v="Chief of Staff, Iranian Armed Forces "/>
    <m/>
    <m/>
    <m/>
    <m/>
    <m/>
    <m/>
    <m/>
    <m/>
  </r>
  <r>
    <s v="Naval Port Call"/>
    <s v="Southeast Asia"/>
    <s v="Asia"/>
    <s v="Comprehensive Strategic Partnership [全面战略伙伴关系]"/>
    <s v="None"/>
    <s v="INDOPACOM"/>
    <s v="Malaysia"/>
    <x v="28"/>
    <n v="9"/>
    <x v="0"/>
    <m/>
    <m/>
    <m/>
    <m/>
    <m/>
    <m/>
    <m/>
    <m/>
    <m/>
    <m/>
    <s v="ETF"/>
    <s v="ETF-32"/>
    <s v="East Sea Fleet"/>
    <s v="DDG153 Xi'an FFG599 Anyang AOR966 Gaoyuhu"/>
  </r>
  <r>
    <s v="Naval Port Call"/>
    <s v="Africa"/>
    <s v="West Asia and Africa"/>
    <s v="Comprehensive Strategic Cooperative Partnership [全面战略合作伙伴关系]"/>
    <s v="None"/>
    <s v="AFRICOM"/>
    <s v="Mozambique"/>
    <x v="28"/>
    <n v="9"/>
    <x v="0"/>
    <m/>
    <m/>
    <m/>
    <m/>
    <m/>
    <m/>
    <m/>
    <m/>
    <m/>
    <m/>
    <s v="ETF"/>
    <s v="ETF-32"/>
    <s v="East Sea Fleet"/>
    <s v="DDG153 Xi'an FFG599 Anyang AOR966 Gaoyuhu"/>
  </r>
  <r>
    <s v="Senior Level Visit"/>
    <s v="Northeast Asia"/>
    <s v="Asia"/>
    <s v="Bilateral Defense Treaty"/>
    <s v="None"/>
    <s v="INDOPACOM"/>
    <s v="North Korea"/>
    <x v="28"/>
    <n v="9"/>
    <x v="3"/>
    <s v="Wei Fenghe"/>
    <m/>
    <s v="Defense Minister; CMC Member"/>
    <n v="8"/>
    <s v="Hosted"/>
    <s v="General"/>
    <m/>
    <m/>
    <m/>
    <m/>
    <m/>
    <m/>
    <m/>
    <m/>
  </r>
  <r>
    <s v="Military Exercise"/>
    <s v="South Asia"/>
    <s v="Asia"/>
    <s v="All-Weather Strategic Cooperative Partnership [全天候战略合作伙伴关系]"/>
    <s v="Major Non-NATO Ally"/>
    <s v="CENTCOM"/>
    <s v="Pakistan"/>
    <x v="28"/>
    <n v="9"/>
    <x v="5"/>
    <m/>
    <m/>
    <m/>
    <m/>
    <m/>
    <m/>
    <s v="Combat"/>
    <s v="Shaheen VIII"/>
    <s v="Air Force"/>
    <s v=" operational command, system control, air superiority, suppression of ground targets, air attack, and joint air defense"/>
    <m/>
    <m/>
    <m/>
    <m/>
  </r>
  <r>
    <s v="Military Exercise"/>
    <s v="Russia"/>
    <s v="Europe and Central Asia"/>
    <s v="Comprehensive Strategic Partnership of Coordination in the New Era [新时代中俄全面战略协作伙伴关系]"/>
    <s v="None"/>
    <s v="EUCOM"/>
    <s v="Russia"/>
    <x v="28"/>
    <n v="9"/>
    <x v="6"/>
    <m/>
    <m/>
    <m/>
    <m/>
    <m/>
    <m/>
    <s v="Combat"/>
    <s v="Tsentr-2019 (Center-2019)"/>
    <s v="Army"/>
    <s v="ML exercise against insurgency supported by major power; Other countries:India, Kazakhstan, Kyrgyzstan, Tajikistan, Pakistan, and Uzbekistan "/>
    <m/>
    <m/>
    <m/>
    <m/>
  </r>
  <r>
    <s v="Senior Level Visit"/>
    <s v="Russia"/>
    <s v="Europe and Central Asia"/>
    <s v="Comprehensive Strategic Partnership of Coordination in the New Era [新时代中俄全面战略协作伙伴关系]"/>
    <s v="None"/>
    <s v="EUCOM"/>
    <s v="Russia"/>
    <x v="28"/>
    <n v="9"/>
    <x v="4"/>
    <s v="Wei Fenghe"/>
    <m/>
    <s v="Defense Minister; CMC Member"/>
    <n v="8"/>
    <s v="Abroad"/>
    <s v="President"/>
    <m/>
    <m/>
    <m/>
    <s v="Met with Putin on the sidelines of the Tsenter exercise"/>
    <m/>
    <m/>
    <m/>
    <m/>
  </r>
  <r>
    <s v="Senior Level Visit"/>
    <s v="Russia"/>
    <s v="Europe and Central Asia"/>
    <s v="Comprehensive Strategic Partnership of Coordination in the New Era [新时代中俄全面战略协作伙伴关系]"/>
    <s v="None"/>
    <s v="EUCOM"/>
    <s v="Russia"/>
    <x v="28"/>
    <n v="9"/>
    <x v="4"/>
    <s v="Zhang Youxia"/>
    <m/>
    <s v="CMC Vice Chairman"/>
    <n v="10"/>
    <s v="Abroad"/>
    <s v="Russian Defense Minister General of the Army "/>
    <m/>
    <m/>
    <m/>
    <m/>
    <m/>
    <m/>
    <m/>
    <m/>
  </r>
  <r>
    <s v="Senior Level Visit"/>
    <s v="Europe"/>
    <s v="Europe and Central Asia"/>
    <s v="Comprehensive Strategic Partnership [全面战略伙伴关系]"/>
    <s v="None"/>
    <s v="EUCOM"/>
    <s v="Serbia"/>
    <x v="28"/>
    <n v="9"/>
    <x v="4"/>
    <s v="Zhang Youxia"/>
    <m/>
    <s v="CMC Vice Chairman"/>
    <n v="10"/>
    <s v="Abroad"/>
    <s v="President, Defense Minister"/>
    <m/>
    <m/>
    <m/>
    <m/>
    <m/>
    <m/>
    <m/>
    <m/>
  </r>
  <r>
    <s v="Military Exercise"/>
    <s v="Southeast Asia"/>
    <s v="Asia"/>
    <s v="Comprehensive Strategic Cooperative Partnership [全面战略合作伙伴关系]"/>
    <s v="Bilateral Defense Treaty"/>
    <s v="INDOPACOM"/>
    <s v="Thailand"/>
    <x v="28"/>
    <n v="9"/>
    <x v="6"/>
    <m/>
    <m/>
    <m/>
    <m/>
    <m/>
    <m/>
    <s v="MOOTW"/>
    <s v="Unnamed"/>
    <s v="Army"/>
    <s v="Tabletop exercise hosted by Thailand under the ADMM-Plus Experts’ Working Group on Counterterrorism; 18 participating countries"/>
    <m/>
    <m/>
    <m/>
    <m/>
  </r>
  <r>
    <s v="Naval Port Call"/>
    <s v="Southeast Asia"/>
    <s v="Asia"/>
    <s v="Comprehensive Cooperative Partnership [全面合作伙伴关系]"/>
    <s v="None"/>
    <s v="INDOPACOM"/>
    <s v="Timor-Leste"/>
    <x v="28"/>
    <n v="9"/>
    <x v="0"/>
    <m/>
    <m/>
    <m/>
    <m/>
    <m/>
    <m/>
    <m/>
    <m/>
    <m/>
    <m/>
    <s v="NETF"/>
    <s v="Training Ship Qi Jiguang"/>
    <s v="South Sea Fleet"/>
    <s v="Qi Jiguang training ship"/>
  </r>
  <r>
    <s v="Senior Level Visit"/>
    <s v="South America"/>
    <s v="America and Oceania"/>
    <s v="Strategic Partnership [战略伙伴关系]"/>
    <s v="None"/>
    <s v="SOUTHCOM"/>
    <s v="Uruguay"/>
    <x v="28"/>
    <n v="9"/>
    <x v="4"/>
    <s v="Wei Fenghe"/>
    <m/>
    <s v="Defense Minister; CMC Member"/>
    <n v="8"/>
    <s v="Abroad"/>
    <s v="Uruguayan Defense Minister Jose Bayardi"/>
    <m/>
    <m/>
    <m/>
    <m/>
    <m/>
    <m/>
    <m/>
    <m/>
  </r>
  <r>
    <s v="Senior Level Visit"/>
    <s v="Africa"/>
    <s v="West Asia and Africa"/>
    <s v="Strategic Partnership [战略伙伴关系]"/>
    <s v="None"/>
    <s v="AFRICOM"/>
    <s v="Angola"/>
    <x v="28"/>
    <n v="10"/>
    <x v="7"/>
    <s v="Wei Fenghe"/>
    <m/>
    <s v="Defense Minister; CMC Member"/>
    <n v="8"/>
    <s v="Hosted"/>
    <s v="Defense Minister; BL at Xiangshan"/>
    <m/>
    <m/>
    <m/>
    <m/>
    <m/>
    <m/>
    <m/>
    <m/>
  </r>
  <r>
    <s v="Senior Level Visit"/>
    <s v="Europe"/>
    <s v="Europe and Central Asia"/>
    <s v="Friendly Cooperative Partnership [友好合作伙伴关系]"/>
    <s v="None"/>
    <s v="EUCOM"/>
    <s v="Armenia"/>
    <x v="28"/>
    <n v="10"/>
    <x v="7"/>
    <s v="Wei Fenghe"/>
    <m/>
    <s v="Defense Minister; CMC Member"/>
    <n v="8"/>
    <s v="Hosted"/>
    <s v="Defense Minister; BL at Xiangshan"/>
    <m/>
    <m/>
    <m/>
    <m/>
    <m/>
    <m/>
    <m/>
    <m/>
  </r>
  <r>
    <s v="Senior Level Visit"/>
    <s v="Europe"/>
    <s v="Europe and Central Asia"/>
    <s v="Friendly Cooperative Partnership [友好合作伙伴关系]"/>
    <s v="None"/>
    <s v="EUCOM"/>
    <s v="Azerbaijan"/>
    <x v="28"/>
    <n v="10"/>
    <x v="7"/>
    <s v="Wei Fenghe"/>
    <m/>
    <s v="Defense Minister; CMC Member"/>
    <n v="8"/>
    <s v="Hosted"/>
    <s v="Defense Minister; BL at Xiangshan"/>
    <m/>
    <m/>
    <m/>
    <m/>
    <m/>
    <m/>
    <m/>
    <m/>
  </r>
  <r>
    <s v="Senior Level Visit"/>
    <s v="Europe"/>
    <s v="Europe and Central Asia"/>
    <s v="Comprehensive Strategic Partnership [全面战略伙伴关系]"/>
    <s v="None"/>
    <s v="EUCOM"/>
    <s v="Belarus"/>
    <x v="28"/>
    <n v="10"/>
    <x v="7"/>
    <s v="Wei Fenghe"/>
    <m/>
    <s v="Defense Minister; CMC Member"/>
    <n v="8"/>
    <s v="Hosted"/>
    <s v="Defense Minister; BL at Xiangshan"/>
    <m/>
    <m/>
    <m/>
    <m/>
    <m/>
    <m/>
    <m/>
    <m/>
  </r>
  <r>
    <s v="Senior Level Visit"/>
    <s v="Southeast Asia"/>
    <s v="Asia"/>
    <s v="Strategic Cooperative Partnership [战略合作伙伴关系]"/>
    <s v="None"/>
    <s v="INDOPACOM"/>
    <s v="Brunei"/>
    <x v="28"/>
    <n v="10"/>
    <x v="3"/>
    <s v="Wei Fenghe"/>
    <m/>
    <s v="Defense Minister; CMC Member"/>
    <n v="8"/>
    <s v="Hosted"/>
    <s v="Second Minister of Defense"/>
    <m/>
    <m/>
    <m/>
    <m/>
    <m/>
    <m/>
    <m/>
    <m/>
  </r>
  <r>
    <s v="Naval Port Call"/>
    <s v="Southeast Asia"/>
    <s v="Asia"/>
    <s v="Strategic Cooperative Partnership [战略合作伙伴关系]"/>
    <s v="None"/>
    <s v="INDOPACOM"/>
    <s v="Brunei"/>
    <x v="28"/>
    <n v="10"/>
    <x v="0"/>
    <m/>
    <m/>
    <m/>
    <m/>
    <m/>
    <m/>
    <m/>
    <m/>
    <m/>
    <m/>
    <s v="NETF"/>
    <s v="Training Ship Qi Jiguang"/>
    <s v="South Sea Fleet"/>
    <s v="Qi Jiguang training ship"/>
  </r>
  <r>
    <s v="Senior Level Visit"/>
    <s v="Southeast Asia"/>
    <s v="Asia"/>
    <s v="Comprehensive Strategic Cooperative Partnership [全面战略合作伙伴关系]"/>
    <s v="None"/>
    <s v="INDOPACOM"/>
    <s v="Cambodia"/>
    <x v="28"/>
    <n v="10"/>
    <x v="3"/>
    <s v="Wei Fenghe"/>
    <m/>
    <s v="Defense Minister; CMC Member"/>
    <n v="8"/>
    <s v="Hosted"/>
    <s v="Defense Minister"/>
    <m/>
    <m/>
    <m/>
    <m/>
    <m/>
    <m/>
    <m/>
    <m/>
  </r>
  <r>
    <s v="Naval Port Call"/>
    <s v="Middle East"/>
    <s v="West Asia and Africa"/>
    <s v="Strategic Partnership [战略伙伴关系]"/>
    <s v="None"/>
    <s v="CENTCOM"/>
    <s v="Djibouti"/>
    <x v="28"/>
    <n v="10"/>
    <x v="9"/>
    <m/>
    <m/>
    <m/>
    <m/>
    <m/>
    <m/>
    <m/>
    <m/>
    <m/>
    <m/>
    <s v="ETF"/>
    <s v="ETF-33"/>
    <s v="North Sea Fleet"/>
    <s v="AOR968 Hoh Xil Hu"/>
  </r>
  <r>
    <s v="Naval Port Call"/>
    <s v="Southeast Asia"/>
    <s v="Asia"/>
    <s v="Comprehensive Cooperative Partnership [全面合作伙伴关系]"/>
    <s v="None"/>
    <s v="INDOPACOM"/>
    <s v="East Timor"/>
    <x v="28"/>
    <n v="10"/>
    <x v="0"/>
    <m/>
    <m/>
    <m/>
    <m/>
    <m/>
    <m/>
    <m/>
    <m/>
    <m/>
    <m/>
    <s v="NETF"/>
    <s v="Training Ship Qi Jiguang"/>
    <s v="South Sea Fleet"/>
    <s v="Qi Jiguang training ship"/>
  </r>
  <r>
    <s v="Senior Level Visit"/>
    <s v="Middle East"/>
    <s v="West Asia and Africa"/>
    <s v="Comprehensive Strategic Partnership [全面战略伙伴关系]"/>
    <s v="Major Non-NATO Ally"/>
    <s v="CENTCOM"/>
    <s v="Egypt"/>
    <x v="28"/>
    <n v="10"/>
    <x v="7"/>
    <s v="Wei Fenghe"/>
    <m/>
    <s v="Defense Minister; CMC Member"/>
    <n v="8"/>
    <s v="Hosted"/>
    <s v="Defense Minister; BL at Xiangshan"/>
    <m/>
    <m/>
    <m/>
    <m/>
    <m/>
    <m/>
    <m/>
    <m/>
  </r>
  <r>
    <s v="Senior Level Visit"/>
    <s v="Africa"/>
    <s v="West Asia and Africa"/>
    <s v="Comprehensive Strategic Cooperative Partnership [全面战略合作伙伴关系]"/>
    <s v="None"/>
    <s v="AFRICOM"/>
    <s v="Guinea"/>
    <x v="28"/>
    <n v="10"/>
    <x v="7"/>
    <s v="Wei Fenghe"/>
    <m/>
    <s v="Defense Minister; CMC Member"/>
    <n v="8"/>
    <s v="Hosted"/>
    <s v="Defense Minister; BL at Xiangshan"/>
    <m/>
    <m/>
    <m/>
    <m/>
    <m/>
    <m/>
    <m/>
    <m/>
  </r>
  <r>
    <s v="Senior Level Visit"/>
    <s v="Central Asia"/>
    <s v="Europe and Central Asia"/>
    <s v="Comprehensive Strategic Partnership [全面战略伙伴关系]"/>
    <s v="None"/>
    <s v="CENTCOM"/>
    <s v="Kazakhstan"/>
    <x v="28"/>
    <n v="10"/>
    <x v="7"/>
    <s v="Wei Fenghe"/>
    <m/>
    <s v="Defense Minister; CMC Member"/>
    <n v="8"/>
    <s v="Hosted"/>
    <s v="Defense Minister; BL at Xiangshan"/>
    <m/>
    <m/>
    <m/>
    <m/>
    <m/>
    <m/>
    <m/>
    <m/>
  </r>
  <r>
    <s v="Military Exercise"/>
    <s v="Central Asia"/>
    <s v="Europe and Central Asia"/>
    <s v="Comprehensive Strategic Partnership [全面战略伙伴关系]"/>
    <s v="None"/>
    <s v="CENTCOM"/>
    <s v="Kazakhstan"/>
    <x v="28"/>
    <n v="10"/>
    <x v="5"/>
    <m/>
    <m/>
    <m/>
    <m/>
    <m/>
    <m/>
    <s v="Anti-terrorism"/>
    <s v="Fox Hunting-2019"/>
    <s v="Army"/>
    <s v="76th group army in Ust-Kamenogorsk"/>
    <m/>
    <m/>
    <m/>
    <m/>
  </r>
  <r>
    <s v="Senior Level Visit"/>
    <s v="Central Asia"/>
    <s v="Europe and Central Asia"/>
    <s v="Comprehensive Strategic Partnership [全面战略伙伴关系]"/>
    <s v="None"/>
    <s v="CENTCOM"/>
    <s v="Kyrgyzstan"/>
    <x v="28"/>
    <n v="10"/>
    <x v="7"/>
    <s v="Wei Fenghe"/>
    <m/>
    <s v="Defense Minister; CMC Member"/>
    <n v="8"/>
    <s v="Hosted"/>
    <s v="Chief of Staff of Armed Forces; BL at Xiangshan"/>
    <m/>
    <m/>
    <m/>
    <m/>
    <m/>
    <m/>
    <m/>
    <m/>
  </r>
  <r>
    <s v="Senior Level Visit"/>
    <s v="Europe"/>
    <s v="Europe and Central Asia"/>
    <s v="Friendly Cooperative Partnership [友好合作伙伴关系]"/>
    <s v="NATO"/>
    <s v="EUCOM"/>
    <s v="Latvia"/>
    <x v="28"/>
    <n v="10"/>
    <x v="7"/>
    <s v="Wei Fenghe"/>
    <m/>
    <s v="Defense Minister; CMC Member"/>
    <n v="8"/>
    <s v="Hosted"/>
    <s v="Defense Minister; Deputy PM; BL at Xiangshan"/>
    <m/>
    <m/>
    <m/>
    <m/>
    <m/>
    <m/>
    <m/>
    <m/>
  </r>
  <r>
    <s v="Senior Level Visit"/>
    <s v="Northeast Asia"/>
    <s v="Asia"/>
    <s v="Comprehensive Strategic Partnership [全面战略伙伴关系]"/>
    <s v="None"/>
    <s v="INDOPACOM"/>
    <s v="Mongolia"/>
    <x v="28"/>
    <n v="10"/>
    <x v="3"/>
    <s v="Wei Fenghe"/>
    <m/>
    <s v="Defense Minister; CMC Member"/>
    <n v="8"/>
    <s v="Hosted"/>
    <s v="Minister of Defense"/>
    <m/>
    <m/>
    <m/>
    <m/>
    <m/>
    <m/>
    <m/>
    <m/>
  </r>
  <r>
    <s v="Senior Level Visit"/>
    <s v="Northeast Asia"/>
    <s v="Asia"/>
    <s v="N/A"/>
    <s v="None"/>
    <s v="INDOPACOM"/>
    <s v="N/A"/>
    <x v="28"/>
    <n v="10"/>
    <x v="2"/>
    <s v="Wei Fenghe"/>
    <m/>
    <s v="Defense Minister; CMC Member"/>
    <n v="8"/>
    <s v="Hosted"/>
    <s v="Xiangshan Forum 2019; Defense Minister"/>
    <m/>
    <m/>
    <m/>
    <m/>
    <m/>
    <m/>
    <m/>
    <m/>
  </r>
  <r>
    <s v="Naval Port Call"/>
    <s v="Oceania"/>
    <s v="America and Oceania"/>
    <s v="Comprehensive Strategic Partnership [全面战略伙伴关系]"/>
    <s v="ANZUS Treaty"/>
    <s v="INDOPACOM"/>
    <s v="New Zealand"/>
    <x v="28"/>
    <n v="10"/>
    <x v="0"/>
    <m/>
    <m/>
    <m/>
    <m/>
    <m/>
    <m/>
    <m/>
    <m/>
    <m/>
    <m/>
    <s v="NETF"/>
    <s v="Training Ship Qi Jiguang"/>
    <s v="South Sea Fleet"/>
    <s v="Qi Jiguang training ship"/>
  </r>
  <r>
    <s v="Senior Level Visit"/>
    <s v="Northeast Asia"/>
    <s v="Asia"/>
    <s v="Bilateral Defense Treaty"/>
    <s v="None"/>
    <s v="INDOPACOM"/>
    <s v="North Korea"/>
    <x v="28"/>
    <n v="10"/>
    <x v="4"/>
    <s v="Miao Hua"/>
    <m/>
    <s v="CMC/PWD Director; CMC Member"/>
    <n v="8"/>
    <s v="Abroad"/>
    <s v="Director of the General Political Bureau "/>
    <m/>
    <m/>
    <m/>
    <m/>
    <m/>
    <m/>
    <m/>
    <m/>
  </r>
  <r>
    <s v="Senior Level Visit"/>
    <s v="Northeast Asia"/>
    <s v="Asia"/>
    <s v="Bilateral Defense Treaty"/>
    <s v="None"/>
    <s v="INDOPACOM"/>
    <s v="North Korea"/>
    <x v="28"/>
    <n v="10"/>
    <x v="3"/>
    <s v="Wei Fenghe"/>
    <m/>
    <s v="Defense Minister; CMC Member"/>
    <n v="8"/>
    <s v="Hosted"/>
    <s v="Defense Minister"/>
    <m/>
    <m/>
    <m/>
    <m/>
    <m/>
    <m/>
    <m/>
    <m/>
  </r>
  <r>
    <s v="Senior Level Visit"/>
    <s v="South Asia"/>
    <s v="Asia"/>
    <s v="All-Weather Strategic Cooperative Partnership [全天候战略合作伙伴关系]"/>
    <s v="Major Non-NATO Ally"/>
    <s v="CENTCOM"/>
    <s v="Pakistan"/>
    <x v="28"/>
    <n v="10"/>
    <x v="3"/>
    <s v="Xu Qiliang"/>
    <m/>
    <s v="CMC Vice Chairman"/>
    <n v="10"/>
    <s v="Hosted"/>
    <s v="Chief of Army Staff"/>
    <m/>
    <m/>
    <m/>
    <m/>
    <m/>
    <m/>
    <m/>
    <m/>
  </r>
  <r>
    <s v="Senior Level Visit"/>
    <s v="Southeast Asia"/>
    <s v="America and Oceania"/>
    <s v="Comprehensive Strategic Partnership [全面战略伙伴关系]"/>
    <s v="None"/>
    <s v="INDOPACOM"/>
    <s v="Papua New Guinea"/>
    <x v="28"/>
    <n v="10"/>
    <x v="7"/>
    <s v="Wei Fenghe"/>
    <m/>
    <s v="Defense Minister; CMC Member"/>
    <n v="8"/>
    <s v="Hosted"/>
    <s v="Defense Minister; BL at Xiangshan"/>
    <m/>
    <m/>
    <m/>
    <m/>
    <m/>
    <m/>
    <m/>
    <m/>
  </r>
  <r>
    <s v="Naval Port Call"/>
    <s v="Southeast Asia"/>
    <s v="America and Oceania"/>
    <s v="Comprehensive Strategic Partnership [全面战略伙伴关系]"/>
    <s v="None"/>
    <s v="INDOPACOM"/>
    <s v="Papua New Guinea"/>
    <x v="28"/>
    <n v="10"/>
    <x v="0"/>
    <m/>
    <m/>
    <m/>
    <m/>
    <m/>
    <m/>
    <m/>
    <m/>
    <m/>
    <m/>
    <s v="NETF"/>
    <s v="Training Ship Qi Jiguang"/>
    <s v="South Sea Fleet"/>
    <s v="Qi Jiguang training ship"/>
  </r>
  <r>
    <s v="Senior Level Visit"/>
    <s v="Russia"/>
    <s v="Europe and Central Asia"/>
    <s v="Comprehensive Strategic Partnership of Coordination in the New Era [新时代中俄全面战略协作伙伴关系]"/>
    <s v="None"/>
    <s v="EUCOM"/>
    <s v="Russia"/>
    <x v="28"/>
    <n v="10"/>
    <x v="7"/>
    <s v="Zhang Youxia"/>
    <m/>
    <s v="CMC Vice Chairman"/>
    <n v="10"/>
    <s v="Hosted"/>
    <s v="Defense Minister; BL at Xiangshan"/>
    <m/>
    <m/>
    <m/>
    <m/>
    <m/>
    <m/>
    <m/>
    <m/>
  </r>
  <r>
    <s v="Military Exercise"/>
    <s v="Russia"/>
    <s v="Europe and Central Asia"/>
    <s v="Comprehensive Strategic Partnership of Coordination in the New Era [新时代中俄全面战略协作伙伴关系]"/>
    <s v="None"/>
    <s v="EUCOM"/>
    <s v="Russia"/>
    <x v="28"/>
    <n v="10"/>
    <x v="5"/>
    <m/>
    <m/>
    <m/>
    <m/>
    <m/>
    <m/>
    <s v="Anti-terrorism"/>
    <s v="Cooperation 2019"/>
    <s v="PAP"/>
    <s v="Falcon Commando Unit"/>
    <m/>
    <m/>
    <m/>
    <m/>
  </r>
  <r>
    <s v="Senior Level Visit"/>
    <s v="Africa"/>
    <s v="West Asia and Africa"/>
    <s v="No Specific Relationship"/>
    <s v="None"/>
    <s v="AFRICOM"/>
    <s v="Rwanda"/>
    <x v="28"/>
    <n v="10"/>
    <x v="7"/>
    <s v="Wei Fenghe"/>
    <m/>
    <s v="Defense Minister; CMC Member"/>
    <n v="8"/>
    <s v="Hosted"/>
    <s v="Defense Minister; BL at Xiangshan"/>
    <m/>
    <m/>
    <m/>
    <m/>
    <m/>
    <m/>
    <m/>
    <m/>
  </r>
  <r>
    <s v="Naval Port Call"/>
    <s v="Middle East"/>
    <s v="West Asia and Africa"/>
    <s v="Comprehensive Strategic Partnership [全面战略伙伴关系]"/>
    <s v="None"/>
    <s v="CENTCOM"/>
    <s v="Saudi Arabia"/>
    <x v="28"/>
    <n v="10"/>
    <x v="9"/>
    <m/>
    <m/>
    <m/>
    <m/>
    <m/>
    <m/>
    <m/>
    <m/>
    <m/>
    <m/>
    <s v="ETF"/>
    <s v="ETF-33"/>
    <s v="North Sea Fleet"/>
    <s v="DDG117 Xining FFG550 Weifang AOR968 Kekexili"/>
  </r>
  <r>
    <s v="Senior Level Visit"/>
    <s v="Europe"/>
    <s v="Europe and Central Asia"/>
    <s v="Comprehensive Strategic Partnership [全面战略伙伴关系]"/>
    <s v="None"/>
    <s v="EUCOM"/>
    <s v="Serbia"/>
    <x v="28"/>
    <n v="10"/>
    <x v="7"/>
    <s v="Zhang Youxia"/>
    <m/>
    <s v="CMC Vice Chairman"/>
    <n v="10"/>
    <s v="Hosted"/>
    <s v="Defense Minister; BL at Xiangshan"/>
    <m/>
    <m/>
    <m/>
    <m/>
    <m/>
    <m/>
    <m/>
    <m/>
  </r>
  <r>
    <s v="Senior Level Visit"/>
    <s v="Southeast Asia"/>
    <s v="Asia"/>
    <s v="All-Round Cooperative Partnership [全方合作伙伴关系]"/>
    <s v="None"/>
    <s v="INDOPACOM"/>
    <s v="Singapore"/>
    <x v="28"/>
    <n v="10"/>
    <x v="3"/>
    <s v="Wei Fenghe"/>
    <m/>
    <s v="Defense Minister; CMC Member"/>
    <n v="8"/>
    <s v="Hosted"/>
    <s v="Defense Minister"/>
    <m/>
    <m/>
    <m/>
    <m/>
    <m/>
    <m/>
    <m/>
    <m/>
  </r>
  <r>
    <s v="Senior Level Visit"/>
    <s v="Southeast Asia"/>
    <s v="Asia"/>
    <s v="All-Round Cooperative Partnership [全方合作伙伴关系]"/>
    <s v="None"/>
    <s v="INDOPACOM"/>
    <s v="Singapore"/>
    <x v="28"/>
    <n v="10"/>
    <x v="7"/>
    <s v="Xu Qiliang"/>
    <m/>
    <s v=" CMC Vice Chairman "/>
    <n v="10"/>
    <s v="Hosted"/>
    <s v="Defense Minister Dr. Ng Eng Hen; BL at Xiangshan"/>
    <m/>
    <m/>
    <m/>
    <m/>
    <m/>
    <m/>
    <m/>
    <m/>
  </r>
  <r>
    <s v="Senior Level Visit"/>
    <s v="Northeast Asia"/>
    <s v="Asia"/>
    <s v="Strategic Cooperative Partnership [战略合作伙伴关系]"/>
    <s v="Bilateral Defense Treaty"/>
    <s v="INDOPACOM"/>
    <s v="South Korea"/>
    <x v="28"/>
    <n v="10"/>
    <x v="3"/>
    <s v="Wei Fenghe"/>
    <m/>
    <s v="Defense Minister; CMC Member"/>
    <n v="8"/>
    <s v="Hosted"/>
    <s v="Defense Minister"/>
    <m/>
    <m/>
    <m/>
    <s v="5th Strategic Defense Dialogue held between China and South Korea "/>
    <m/>
    <m/>
    <m/>
    <m/>
  </r>
  <r>
    <s v="Senior Level Visit"/>
    <s v="South America"/>
    <s v="America and Oceania"/>
    <s v="Strategic Cooperative Partnership [战略合作伙伴关系]"/>
    <s v="None"/>
    <s v="SOUTHCOM"/>
    <s v="Suriname"/>
    <x v="28"/>
    <n v="10"/>
    <x v="7"/>
    <s v="Wei Fenghe"/>
    <m/>
    <s v="Defense Minister; CMC Member"/>
    <n v="8"/>
    <s v="Hosted"/>
    <s v="Defense Minister; BL at Xiangshan"/>
    <m/>
    <m/>
    <m/>
    <m/>
    <m/>
    <m/>
    <m/>
    <m/>
  </r>
  <r>
    <s v="Senior Level Visit"/>
    <s v="Middle East"/>
    <s v="West Asia and Africa"/>
    <s v="Comprehensive Strategic Partnership [全面战略伙伴关系]"/>
    <s v="None"/>
    <s v="CENTCOM"/>
    <s v="United Arab Emirates"/>
    <x v="28"/>
    <n v="10"/>
    <x v="3"/>
    <s v="Wei Fenghe"/>
    <m/>
    <s v="Defense Minister; CMC Member"/>
    <n v="8"/>
    <s v="Hosted"/>
    <s v="Minister of State for Defence Affairs"/>
    <m/>
    <m/>
    <m/>
    <m/>
    <m/>
    <m/>
    <m/>
    <m/>
  </r>
  <r>
    <s v="Senior Level Visit"/>
    <s v="Oceania"/>
    <s v="America and Oceania"/>
    <s v="No Specific Relationship"/>
    <s v="None"/>
    <s v="INDOPACOM"/>
    <s v="Vanuatu"/>
    <x v="28"/>
    <n v="10"/>
    <x v="7"/>
    <s v="Wei Fenghe"/>
    <m/>
    <s v="Defense Minister; CMC Member"/>
    <n v="8"/>
    <s v="Hosted"/>
    <s v="International Affairs Minister; BL at Xiangshan"/>
    <m/>
    <m/>
    <m/>
    <m/>
    <m/>
    <m/>
    <m/>
    <m/>
  </r>
  <r>
    <s v="Senior Level Visit"/>
    <s v="Southeast Asia"/>
    <s v="Asia"/>
    <s v="Comprehensive Strategic Cooperative Partnership [全面战略合作伙伴关系]"/>
    <s v="None"/>
    <s v="INDOPACOM"/>
    <s v="Vietnam"/>
    <x v="28"/>
    <n v="10"/>
    <x v="7"/>
    <s v="Xu Qiliang"/>
    <m/>
    <s v=" CMC Vice Chairman "/>
    <n v="10"/>
    <s v="Hosted"/>
    <s v="Defense Minister; BL at Xiangshan"/>
    <m/>
    <m/>
    <m/>
    <m/>
    <m/>
    <m/>
    <m/>
    <m/>
  </r>
  <r>
    <s v="Senior Level Visit"/>
    <s v="Southeast Asia"/>
    <s v="Asia"/>
    <s v="Strategic Partnership [战略伙伴关系] for Peace and Prosperity"/>
    <s v="None"/>
    <s v="INDOPACOM"/>
    <s v="ASEAN"/>
    <x v="28"/>
    <n v="11"/>
    <x v="1"/>
    <s v="Wei Fenghe"/>
    <m/>
    <s v="Defense Minister; CMC Member"/>
    <n v="8"/>
    <s v="Abroad"/>
    <s v="6th ADMM+;Defense Secretary"/>
    <m/>
    <m/>
    <m/>
    <m/>
    <m/>
    <m/>
    <m/>
    <m/>
  </r>
  <r>
    <s v="Senior Level Visit"/>
    <s v="Southeast Asia"/>
    <s v="Asia"/>
    <s v="Strategic Partnership [战略伙伴关系] for Peace and Prosperity"/>
    <s v="None"/>
    <s v="INDOPACOM"/>
    <s v="ASEAN"/>
    <x v="28"/>
    <n v="11"/>
    <x v="1"/>
    <s v="Wei Fenghe"/>
    <m/>
    <s v="Defense Minister; CMC Member"/>
    <n v="8"/>
    <s v="Abroad"/>
    <s v="Ninth China-ASEAN Defense Ministers' Informal Meeting in Bangkok"/>
    <m/>
    <m/>
    <m/>
    <m/>
    <m/>
    <m/>
    <m/>
    <m/>
  </r>
  <r>
    <s v="Military Exercise"/>
    <s v="Southeast Asia"/>
    <s v="Asia"/>
    <s v="Strategic Partnership [战略伙伴关系] for Peace and Prosperity"/>
    <s v="None"/>
    <s v="INDOPACOM"/>
    <s v="ASEAN"/>
    <x v="28"/>
    <n v="11"/>
    <x v="6"/>
    <m/>
    <m/>
    <m/>
    <m/>
    <m/>
    <m/>
    <s v="Anti-terrorism"/>
    <s v="ADMM Plus Joint Counter-terrorism drill"/>
    <s v="Army"/>
    <s v="Southern Theater Command; Other countries: 10 ASEAN countries + China, US, Russia, India"/>
    <m/>
    <m/>
    <m/>
    <m/>
  </r>
  <r>
    <s v="Senior Level Visit"/>
    <s v="Oceania"/>
    <s v="America and Oceania"/>
    <s v="Comprehensive Strategic Partnership [全面战略伙伴关系]"/>
    <s v="ANZUS Treaty"/>
    <s v="INDOPACOM"/>
    <s v="Australia"/>
    <x v="28"/>
    <n v="11"/>
    <x v="7"/>
    <s v="Wei Fenghe"/>
    <m/>
    <s v="Defense Minister; CMC Member"/>
    <n v="8"/>
    <s v="Abroad"/>
    <s v="Defense Secretary; BL at ADMM+"/>
    <m/>
    <m/>
    <m/>
    <m/>
    <m/>
    <m/>
    <m/>
    <m/>
  </r>
  <r>
    <s v="Senior Level Visit"/>
    <s v="Oceania"/>
    <s v="America and Oceania"/>
    <s v="Comprehensive Strategic Partnership [全面战略伙伴关系]"/>
    <s v="ANZUS Treaty"/>
    <s v="INDOPACOM"/>
    <s v="Australia"/>
    <x v="28"/>
    <n v="11"/>
    <x v="4"/>
    <s v="Li Zuocheng"/>
    <m/>
    <s v="CMC/JSD Commander; CMC Member"/>
    <n v="8"/>
    <s v="Abroad"/>
    <s v="Defense Secretary"/>
    <m/>
    <m/>
    <m/>
    <s v="22nd defense strategic dialogue "/>
    <m/>
    <m/>
    <m/>
    <m/>
  </r>
  <r>
    <s v="Senior Level Visit"/>
    <s v="South Asia"/>
    <s v="Asia"/>
    <s v="Strategic Cooperative Partnership [战略合作伙伴关系]"/>
    <s v="None"/>
    <s v="INDOPACOM"/>
    <s v="Bangladesh"/>
    <x v="28"/>
    <n v="11"/>
    <x v="3"/>
    <s v="Wei Fenghe"/>
    <m/>
    <s v="Defense Minister; CMC Member"/>
    <n v="8"/>
    <s v="Hosted"/>
    <s v="Chief of Bangladesh Army Staff"/>
    <m/>
    <m/>
    <m/>
    <m/>
    <m/>
    <m/>
    <m/>
    <m/>
  </r>
  <r>
    <s v="Senior Level Visit"/>
    <s v="Oceania"/>
    <s v="America and Oceania"/>
    <s v="Comprehensive Strategic Partnership [全面战略伙伴关系]"/>
    <s v="None"/>
    <s v="INDOPACOM"/>
    <s v="Fiji"/>
    <x v="28"/>
    <n v="11"/>
    <x v="4"/>
    <s v="Li Zuocheng"/>
    <m/>
    <s v="CMC/JSD Commander; CMC Member"/>
    <n v="8"/>
    <s v="Hosted"/>
    <s v="Prime Minister"/>
    <m/>
    <m/>
    <m/>
    <m/>
    <m/>
    <m/>
    <m/>
    <m/>
  </r>
  <r>
    <s v="Naval Port Call"/>
    <s v="Oceania"/>
    <s v="America and Oceania"/>
    <s v="Comprehensive Strategic Partnership [全面战略伙伴关系]"/>
    <s v="None"/>
    <s v="INDOPACOM"/>
    <s v="Fiji"/>
    <x v="28"/>
    <n v="11"/>
    <x v="0"/>
    <m/>
    <m/>
    <m/>
    <m/>
    <m/>
    <m/>
    <m/>
    <m/>
    <m/>
    <m/>
    <s v="NETF"/>
    <s v="Training Ship Qi Jiguang"/>
    <s v="South Sea Fleet"/>
    <s v="Qi Jiguang training ship"/>
  </r>
  <r>
    <s v="Senior Level Visit"/>
    <s v="Europe"/>
    <s v="Europe and Central Asia"/>
    <s v="Comprehensive Strategic Partnership [全面战略伙伴关系]"/>
    <s v="NATO"/>
    <s v="EUCOM"/>
    <s v="Hungary"/>
    <x v="28"/>
    <n v="11"/>
    <x v="3"/>
    <s v="Wei Fenghe"/>
    <m/>
    <s v="Defense Minister; CMC Member"/>
    <n v="8"/>
    <s v="Hosted"/>
    <s v="Defense Minister"/>
    <m/>
    <m/>
    <m/>
    <m/>
    <m/>
    <m/>
    <m/>
    <m/>
  </r>
  <r>
    <s v="Senior Level Visit"/>
    <s v="Southeast Asia"/>
    <s v="Asia"/>
    <s v="Comprehensive Strategic Partnership [全面战略伙伴关系]"/>
    <s v="None"/>
    <s v="INDOPACOM"/>
    <s v="Indonesia"/>
    <x v="28"/>
    <n v="11"/>
    <x v="7"/>
    <s v="Wei Fenghe"/>
    <m/>
    <s v="Defense Minister; CMC Member"/>
    <n v="8"/>
    <s v="Abroad"/>
    <s v="Defense Chief; BL at ADMM+"/>
    <m/>
    <m/>
    <m/>
    <m/>
    <m/>
    <m/>
    <m/>
    <m/>
  </r>
  <r>
    <s v="Senior Level Visit"/>
    <s v="Southeast Asia"/>
    <s v="Asia"/>
    <s v="Comprehensive Strategic Cooperative Partnership [全面战略合作伙伴关系]"/>
    <s v="None"/>
    <s v="INDOPACOM"/>
    <s v="Laos"/>
    <x v="28"/>
    <n v="11"/>
    <x v="4"/>
    <s v="Wei Fenghe"/>
    <m/>
    <s v="Defense Minister; CMC Member"/>
    <n v="8"/>
    <s v="Hosted"/>
    <s v="President"/>
    <m/>
    <m/>
    <m/>
    <m/>
    <m/>
    <m/>
    <m/>
    <m/>
  </r>
  <r>
    <s v="Senior Level Visit"/>
    <s v="Southeast Asia"/>
    <s v="Asia"/>
    <s v="Comprehensive Strategic Partnership [全面战略伙伴关系]"/>
    <s v="None"/>
    <s v="INDOPACOM"/>
    <s v="Malaysia"/>
    <x v="28"/>
    <n v="11"/>
    <x v="7"/>
    <s v="Wei Fenghe"/>
    <m/>
    <s v="Defense Minister; CMC Member"/>
    <n v="8"/>
    <s v="Abroad"/>
    <s v="Defense Chief; BL at ADMM+ "/>
    <m/>
    <m/>
    <m/>
    <m/>
    <m/>
    <m/>
    <m/>
    <m/>
  </r>
  <r>
    <s v="Senior Level Visit"/>
    <s v="Oceania"/>
    <s v="America and Oceania"/>
    <s v="Comprehensive Strategic Partnership [全面战略伙伴关系]"/>
    <s v="ANZUS Treaty"/>
    <s v="INDOPACOM"/>
    <s v="New Zealand"/>
    <x v="28"/>
    <n v="11"/>
    <x v="7"/>
    <s v="Wei Fenghe"/>
    <m/>
    <s v="Defense Minister; CMC Member"/>
    <n v="8"/>
    <s v="Abroad"/>
    <s v="Defense Minister; BL at ADMM+"/>
    <m/>
    <m/>
    <m/>
    <m/>
    <m/>
    <m/>
    <m/>
    <m/>
  </r>
  <r>
    <s v="Senior Level Visit"/>
    <s v="Oceania"/>
    <s v="America and Oceania"/>
    <s v="Comprehensive Strategic Partnership [全面战略伙伴关系]"/>
    <s v="ANZUS Treaty"/>
    <s v="INDOPACOM"/>
    <s v="New Zealand"/>
    <x v="28"/>
    <n v="11"/>
    <x v="4"/>
    <s v="Li Zuocheng"/>
    <m/>
    <s v="CMC/JSD Commander; CMC Member"/>
    <n v="8"/>
    <s v="Abroad"/>
    <s v="Chief of NZ Defense Force"/>
    <m/>
    <m/>
    <m/>
    <s v="10th strategic dialogue "/>
    <m/>
    <m/>
    <m/>
    <m/>
  </r>
  <r>
    <s v="Senior Level Visit"/>
    <s v="Russia"/>
    <s v="Europe and Central Asia"/>
    <s v="Comprehensive Strategic Partnership of Coordination in the New Era [新时代中俄全面战略协作伙伴关系]"/>
    <s v="None"/>
    <s v="EUCOM"/>
    <s v="Russia"/>
    <x v="28"/>
    <n v="11"/>
    <x v="3"/>
    <s v="Wei Fenghe"/>
    <m/>
    <s v="Defense Minister; CMC Member"/>
    <n v="8"/>
    <s v="Hosted"/>
    <s v="Deputy Director Federal Security Service "/>
    <m/>
    <m/>
    <m/>
    <m/>
    <m/>
    <m/>
    <m/>
    <m/>
  </r>
  <r>
    <s v="Military Exercise"/>
    <s v="Middle East"/>
    <s v="West Asia and Africa"/>
    <s v="Comprehensive Strategic Partnership [全面战略伙伴关系]"/>
    <s v="None"/>
    <s v="CENTCOM"/>
    <s v="Saudi Arabia"/>
    <x v="28"/>
    <n v="11"/>
    <x v="5"/>
    <m/>
    <m/>
    <m/>
    <m/>
    <m/>
    <m/>
    <s v="MOOTW"/>
    <s v="Blue Sword 2019"/>
    <s v="Navy"/>
    <m/>
    <m/>
    <m/>
    <m/>
    <m/>
  </r>
  <r>
    <s v="Military Exercise"/>
    <s v="Africa"/>
    <s v="West Asia and Africa"/>
    <s v="Comprehensive Strategic Partnership [全面战略伙伴关系]"/>
    <s v="None"/>
    <s v="AFRICOM"/>
    <s v="South Africa"/>
    <x v="28"/>
    <n v="11"/>
    <x v="6"/>
    <m/>
    <m/>
    <m/>
    <m/>
    <m/>
    <m/>
    <s v="Combat"/>
    <s v="Mosi "/>
    <s v="Navy"/>
    <s v="first Russia-China-South Africa TL exercise; guided-missile frigate Weifang;  surface gunnery exercise, helicopter cross-deck landings "/>
    <m/>
    <m/>
    <m/>
    <m/>
  </r>
  <r>
    <s v="Senior Level Visit"/>
    <s v="Northeast Asia"/>
    <s v="Asia"/>
    <s v="Strategic Cooperative Partnership [战略合作伙伴关系]"/>
    <s v="Bilateral Defense Treaty"/>
    <s v="INDOPACOM"/>
    <s v="South Korea"/>
    <x v="28"/>
    <n v="11"/>
    <x v="7"/>
    <s v="Wei Fenghe"/>
    <m/>
    <s v="Defense Minister; CMC Member"/>
    <n v="8"/>
    <s v="Abroad"/>
    <s v="Defense Minister; BL at ADMM+"/>
    <m/>
    <m/>
    <m/>
    <m/>
    <m/>
    <m/>
    <m/>
    <m/>
  </r>
  <r>
    <s v="Senior Level Visit"/>
    <s v="Southeast Asia"/>
    <s v="Asia"/>
    <s v="Comprehensive Strategic Cooperative Partnership [全面战略合作伙伴关系]"/>
    <s v="Bilateral Defense Treaty"/>
    <s v="INDOPACOM"/>
    <s v="Thailand"/>
    <x v="28"/>
    <n v="11"/>
    <x v="4"/>
    <s v="Wei Fenghe"/>
    <m/>
    <s v="Defense Minister; CMC Member"/>
    <n v="8"/>
    <s v="Abroad"/>
    <s v="Prime Minister; BL at ADMM+"/>
    <m/>
    <m/>
    <m/>
    <m/>
    <m/>
    <m/>
    <m/>
    <m/>
  </r>
  <r>
    <s v="Senior Level Visit"/>
    <s v="North America"/>
    <s v="America and Oceania"/>
    <s v="No Specific Relationship"/>
    <s v="N/A"/>
    <s v="NORTHCOM"/>
    <s v="United States"/>
    <x v="28"/>
    <n v="11"/>
    <x v="7"/>
    <s v="Wei Fenghe"/>
    <m/>
    <s v="Defense Minister; CMC Member"/>
    <n v="8"/>
    <s v="Abroad"/>
    <s v="Secretary of Defense; BL at ADMM+"/>
    <m/>
    <m/>
    <m/>
    <m/>
    <m/>
    <m/>
    <m/>
    <m/>
  </r>
  <r>
    <s v="Military Exercise"/>
    <s v="North America"/>
    <s v="America and Oceania"/>
    <s v="No Specific Relationship"/>
    <s v="N/A"/>
    <s v="NORTHCOM"/>
    <s v="United States"/>
    <x v="28"/>
    <n v="11"/>
    <x v="5"/>
    <m/>
    <m/>
    <m/>
    <m/>
    <m/>
    <m/>
    <s v="MOOTW"/>
    <s v="15th China-US Disaster Management Exchange"/>
    <s v="Army"/>
    <s v="Hawaii; HADR academic discussion, TTX, and field exchange"/>
    <m/>
    <m/>
    <m/>
    <m/>
  </r>
  <r>
    <s v="Military Exercise"/>
    <s v="Middle East"/>
    <s v="West Asia and Africa"/>
    <s v="Strategic Partnership [战略伙伴关系]"/>
    <s v="None"/>
    <s v="CENTCOM"/>
    <s v="Djibouti"/>
    <x v="28"/>
    <n v="12"/>
    <x v="5"/>
    <m/>
    <m/>
    <m/>
    <m/>
    <m/>
    <m/>
    <s v="MOOTW"/>
    <s v="Bright Eyes Operation"/>
    <s v="Army"/>
    <s v="Medical Service Operation"/>
    <m/>
    <m/>
    <m/>
    <m/>
  </r>
  <r>
    <s v="Military Exercise"/>
    <s v="South Asia"/>
    <s v="Asia"/>
    <s v="Strategic Partnership for Peace and Prosperity [战略伙伴关系]"/>
    <s v="None"/>
    <s v="INDOPACOM"/>
    <s v="India"/>
    <x v="28"/>
    <n v="12"/>
    <x v="5"/>
    <m/>
    <m/>
    <m/>
    <m/>
    <m/>
    <m/>
    <s v="Anti-terrorism"/>
    <s v="Hand-in-Hand Exercise "/>
    <s v="Army"/>
    <s v="joint counterterrorism drills, semi-urban environment, "/>
    <m/>
    <m/>
    <m/>
    <m/>
  </r>
  <r>
    <s v="Senior Level Visit"/>
    <s v="Southeast Asia"/>
    <s v="Asia"/>
    <s v="Comprehensive Strategic Partnership [全面战略伙伴关系]"/>
    <s v="None"/>
    <s v="INDOPACOM"/>
    <s v="Indonesia"/>
    <x v="28"/>
    <n v="12"/>
    <x v="3"/>
    <s v="Xu Qiliang"/>
    <m/>
    <s v="CMC Vice Chairman"/>
    <n v="10"/>
    <s v="Hosted"/>
    <s v="Indonesian Minister of Defense Prabowo Subianto"/>
    <m/>
    <m/>
    <m/>
    <m/>
    <m/>
    <m/>
    <m/>
    <m/>
  </r>
  <r>
    <s v="Military Exercise"/>
    <s v="Middle East"/>
    <s v="West Asia and Africa"/>
    <s v="Comprehensive Strategic Partnership [全面战略伙伴关系]"/>
    <s v="None"/>
    <s v="CENTCOM"/>
    <s v="Iran"/>
    <x v="28"/>
    <n v="12"/>
    <x v="6"/>
    <m/>
    <m/>
    <m/>
    <m/>
    <m/>
    <m/>
    <s v="Anti-piracy"/>
    <s v="Marine Security Belt"/>
    <s v="Navy"/>
    <s v="Xining, guided missile destroyer "/>
    <m/>
    <m/>
    <m/>
    <m/>
  </r>
  <r>
    <s v="Military Exercise"/>
    <s v="Russia"/>
    <s v="Europe and Central Asia"/>
    <s v="Comprehensive Strategic Partnership of Coordination in the New Era [新时代中俄全面战略协作伙伴关系]"/>
    <s v="None"/>
    <s v="EUCOM"/>
    <s v="Iran"/>
    <x v="28"/>
    <n v="12"/>
    <x v="6"/>
    <m/>
    <m/>
    <m/>
    <m/>
    <m/>
    <m/>
    <s v="Combat"/>
    <s v="Operation Marine Security Belt"/>
    <s v="Navy"/>
    <s v="Gulf of Oman security, anti-piracy, anti-terrorism, combat, tactical drills. 4 days. Other country: Iran"/>
    <m/>
    <m/>
    <m/>
    <m/>
  </r>
  <r>
    <s v="Senior Level Visit"/>
    <s v="Northeast Asia"/>
    <s v="Asia"/>
    <s v="Mutually Beneficial Strategic Relationship [战略互惠关系]"/>
    <s v="Bilateral Defense Treaty"/>
    <s v="INDOPACOM"/>
    <s v="Japan"/>
    <x v="28"/>
    <n v="12"/>
    <x v="3"/>
    <s v="Xu Qiliang"/>
    <m/>
    <s v="CMC Vice Chairman"/>
    <n v="10"/>
    <s v="Hosted"/>
    <s v="Japanese Defense Minister Taro Kono"/>
    <m/>
    <m/>
    <m/>
    <m/>
    <m/>
    <m/>
    <m/>
    <m/>
  </r>
  <r>
    <s v="Naval Port Call"/>
    <s v="Africa"/>
    <s v="West Asia and Africa"/>
    <s v="Comprehensive Cooperative Partnership [全面合作伙伴关系]"/>
    <s v="None"/>
    <s v="AFRICOM"/>
    <s v="Kenya"/>
    <x v="28"/>
    <n v="12"/>
    <x v="9"/>
    <m/>
    <m/>
    <m/>
    <m/>
    <m/>
    <m/>
    <m/>
    <m/>
    <m/>
    <m/>
    <s v="ETF"/>
    <s v="ETF-33"/>
    <s v="North Sea Fleet"/>
    <s v="DDG117 Xining FFG550 Weifang AOR968 Kekexili"/>
  </r>
  <r>
    <s v="Military Exercise"/>
    <s v="South Asia"/>
    <s v="Asia"/>
    <s v="All-Weather Strategic Cooperative Partnership [全天候战略合作伙伴关系]"/>
    <s v="Major Non-NATO Ally"/>
    <s v="CENTCOM"/>
    <s v="Pakistan"/>
    <x v="28"/>
    <n v="12"/>
    <x v="5"/>
    <m/>
    <m/>
    <m/>
    <m/>
    <m/>
    <m/>
    <s v="Combat"/>
    <s v="Sharp Sword-2019"/>
    <s v="Army"/>
    <s v="Joint training with Pakistani Air Defense troops. Comprehensive, consecutive drills were conduncted in the last pase of the training. "/>
    <m/>
    <m/>
    <m/>
    <m/>
  </r>
  <r>
    <s v="Senior Level Visit"/>
    <s v="South Asia"/>
    <s v="Asia"/>
    <s v="All-Weather Strategic Cooperative Partnership [全天候战略合作伙伴关系]"/>
    <s v="Major Non-NATO Ally"/>
    <s v="CENTCOM"/>
    <s v="Pakistan"/>
    <x v="28"/>
    <n v="12"/>
    <x v="3"/>
    <s v="Wei Fenghe"/>
    <m/>
    <s v="Defense Minister; CMC Member"/>
    <n v="8"/>
    <s v="Hosted"/>
    <s v="Air Chief Marshal Mujahid Anwar Khan, Chief of the Air Staff of Pakistan Air Force"/>
    <m/>
    <m/>
    <m/>
    <m/>
    <m/>
    <m/>
    <m/>
    <m/>
  </r>
  <r>
    <s v="Military Exercise"/>
    <s v="South Asia"/>
    <s v="Asia"/>
    <s v="All-Weather Strategic Cooperative Partnership [全天候战略合作伙伴关系]"/>
    <s v="Major Non-NATO Ally"/>
    <s v="CENTCOM"/>
    <s v="Pakistan"/>
    <x v="28"/>
    <n v="12"/>
    <x v="5"/>
    <m/>
    <m/>
    <m/>
    <m/>
    <m/>
    <m/>
    <s v="Anti-terrorism"/>
    <s v="Warrior-VII"/>
    <s v="Army"/>
    <s v="Monthlong, counter-terrorism and target defense"/>
    <m/>
    <m/>
    <m/>
    <m/>
  </r>
  <r>
    <s v="Naval Port Call"/>
    <s v="Africa"/>
    <s v="West Asia and Africa"/>
    <s v="Comprehensive Strategic Partnership [全面战略伙伴关系]"/>
    <s v="None"/>
    <s v="AFRICOM"/>
    <s v="South Africa"/>
    <x v="28"/>
    <n v="12"/>
    <x v="0"/>
    <m/>
    <m/>
    <m/>
    <m/>
    <m/>
    <m/>
    <m/>
    <m/>
    <m/>
    <m/>
    <s v="ETF"/>
    <s v="ETF-33"/>
    <s v="North Sea Fleet"/>
    <s v="DDG117 Xining FFG550 Weifang AOR968 Kekexili"/>
  </r>
  <r>
    <s v="Military Exercise"/>
    <s v="Africa"/>
    <s v="West Asia and Africa"/>
    <s v="Comprehensive Cooperative Partnership [全面合作伙伴关系]"/>
    <s v="None"/>
    <s v="AFRICOM"/>
    <s v="Tanzania"/>
    <x v="28"/>
    <n v="12"/>
    <x v="5"/>
    <m/>
    <m/>
    <m/>
    <m/>
    <m/>
    <m/>
    <s v="Combat"/>
    <s v="Sincere Partners"/>
    <s v="Army"/>
    <s v="the exchange of combat experience and skills, joint actual-troop drill and command post exercise; elements of 73 GA"/>
    <m/>
    <m/>
    <m/>
    <m/>
  </r>
  <r>
    <s v="Senior Level Visit"/>
    <s v="North America"/>
    <s v="America and Oceania"/>
    <s v="No Specific Relationship"/>
    <s v="N/A"/>
    <s v="NORTHCOM"/>
    <s v="United States"/>
    <x v="28"/>
    <n v="12"/>
    <x v="3"/>
    <s v="Xu Qiliang"/>
    <m/>
    <s v="CMC Vice Chairman"/>
    <n v="10"/>
    <s v="Hosted"/>
    <s v="Former Secretary of State Kissinger"/>
    <m/>
    <m/>
    <m/>
    <m/>
    <m/>
    <m/>
    <m/>
    <m/>
  </r>
  <r>
    <s v="Senior Level Visit"/>
    <s v="South Asia"/>
    <s v="Asia"/>
    <s v="Strategic Partnership for Peace and Prosperity [战略伙伴关系]"/>
    <s v="None"/>
    <s v="INDOPACOM"/>
    <s v="India"/>
    <x v="29"/>
    <n v="1"/>
    <x v="3"/>
    <s v="Han Weiguo"/>
    <m/>
    <s v="PLAA Commander"/>
    <n v="6"/>
    <s v="Hosted"/>
    <s v="India Northern Army Commander "/>
    <m/>
    <m/>
    <m/>
    <m/>
    <m/>
    <m/>
    <m/>
    <m/>
  </r>
  <r>
    <s v="Military Exercise"/>
    <s v="South Asia"/>
    <s v="Asia"/>
    <s v="All-Weather Strategic Cooperative Partnership [全天候战略合作伙伴关系]"/>
    <s v="Major Non-NATO Ally"/>
    <s v="CENTCOM"/>
    <s v="Pakistan"/>
    <x v="29"/>
    <n v="1"/>
    <x v="5"/>
    <m/>
    <m/>
    <m/>
    <m/>
    <m/>
    <m/>
    <s v="Combat"/>
    <s v="Sea Guardians Naval Exercise"/>
    <s v="Navy"/>
    <s v="Northern Arabian Sea exercise that ended in Karachi. Largest joint exercise with Pakistan to date. Says counterterror but lots of maritime ops, to include anti-sub, anti-aircraft, and anti-missile; PLAN participants from ETF-34 did this exercise en route to Gulf of Aden"/>
    <m/>
    <m/>
    <m/>
    <m/>
  </r>
  <r>
    <s v="Military Exercise"/>
    <s v="Southeast Asia"/>
    <s v="Asia"/>
    <s v="Comprehensive Strategic Partnership [全面战略伙伴关系]"/>
    <s v="Bilateral Defense Treaty"/>
    <s v="INDOPACOM"/>
    <s v="Philippines"/>
    <x v="29"/>
    <n v="1"/>
    <x v="5"/>
    <m/>
    <m/>
    <m/>
    <m/>
    <m/>
    <m/>
    <s v="MOOTW"/>
    <m/>
    <s v="Coast Guard "/>
    <s v="Coast Guard SAREX; combating fire at sea; improving interoperability"/>
    <m/>
    <m/>
    <m/>
    <s v="Series of friendship activities for China-Philippine Joint Coast Guard Committee on Maritime Cooperation Third Session "/>
  </r>
  <r>
    <s v="Naval Port Call"/>
    <s v="Middle East"/>
    <s v="West Asia and Africa"/>
    <s v="Comprehensive Strategic Partnership [全面战略伙伴关系]"/>
    <s v="None"/>
    <s v="CENTCOM"/>
    <s v="United Arab Emirates"/>
    <x v="29"/>
    <n v="1"/>
    <x v="0"/>
    <m/>
    <m/>
    <m/>
    <m/>
    <m/>
    <m/>
    <m/>
    <m/>
    <m/>
    <m/>
    <s v="ETF"/>
    <s v="ETF-33"/>
    <s v="North Sea Fleet"/>
    <s v="DDG117 Xining FFG550 Weifang AOR968 Kekexili"/>
  </r>
  <r>
    <s v="Naval Port Call"/>
    <s v="South Asia"/>
    <s v="Asia "/>
    <s v="Strategic Cooperative Partnership [战略合作伙伴关系]"/>
    <s v="None"/>
    <s v="INDOPACOM"/>
    <s v="Bangladesh"/>
    <x v="29"/>
    <n v="2"/>
    <x v="0"/>
    <m/>
    <m/>
    <m/>
    <m/>
    <m/>
    <m/>
    <m/>
    <m/>
    <m/>
    <m/>
    <s v="ETF"/>
    <s v="ETF-33"/>
    <s v="North Sea Fleet"/>
    <s v="DDG117 Xining FFG550 Weifang AOR968 Kekexili"/>
  </r>
  <r>
    <s v="Military Exercise"/>
    <s v="South Asia"/>
    <s v="Asia"/>
    <s v="Comprehensive Strategic Cooperative Partnership [全面战略合作伙伴关系]"/>
    <s v="Bilateral Defense Treaty"/>
    <s v="INDOPACOM"/>
    <s v="Thailand"/>
    <x v="29"/>
    <n v="2"/>
    <x v="6"/>
    <m/>
    <m/>
    <m/>
    <m/>
    <m/>
    <m/>
    <s v="MOOTW"/>
    <s v="Cobra Gold 2020"/>
    <s v="Army"/>
    <s v="25 personnel from PLAA 75h GA trained in Engineering &amp; construction, support and demolition tasks, and maritime rescue"/>
    <m/>
    <m/>
    <m/>
    <m/>
  </r>
  <r>
    <s v="Military Exercise"/>
    <s v="Southeast Asia"/>
    <s v="Asia"/>
    <s v="Comprehensive Strategic Cooperative Partnership [全面战略合作伙伴关系]"/>
    <s v="None"/>
    <s v="INDOPACOM"/>
    <s v="Cambodia"/>
    <x v="29"/>
    <n v="3"/>
    <x v="5"/>
    <m/>
    <m/>
    <m/>
    <m/>
    <m/>
    <m/>
    <s v="Anti-terrorism"/>
    <s v="Golden Dragon 2020"/>
    <s v="Army"/>
    <s v="*1st joint exercise post COVID-19 outbreak…265 member Chinese contingent participated in mixed training and couter-terror, reconnaissance, and firepower attack"/>
    <m/>
    <m/>
    <m/>
    <m/>
  </r>
  <r>
    <s v="Senior Level Visit"/>
    <s v="Southeast Asia"/>
    <s v="Asia"/>
    <s v="All-Round Cooperative Partnership [全方合作伙伴关系]"/>
    <s v="None"/>
    <s v="INDOPACOM"/>
    <s v="Singapore"/>
    <x v="29"/>
    <n v="3"/>
    <x v="15"/>
    <s v="Wei Fenghe"/>
    <m/>
    <s v="Defense Minister; CMC Member"/>
    <n v="8"/>
    <s v="Virtual"/>
    <s v="Dr. Ng Eng"/>
    <m/>
    <m/>
    <m/>
    <m/>
    <m/>
    <m/>
    <m/>
    <m/>
  </r>
  <r>
    <s v="Naval Port Call"/>
    <s v="Southeast Asia"/>
    <s v="Asia "/>
    <s v="Comprehensive Strategic Cooperative Partnership [全面战略合作伙伴关系]"/>
    <s v="Bilateral Defense Treaty"/>
    <s v="INDOPACOM"/>
    <s v="Thailand"/>
    <x v="29"/>
    <n v="3"/>
    <x v="0"/>
    <m/>
    <m/>
    <m/>
    <m/>
    <m/>
    <m/>
    <m/>
    <m/>
    <m/>
    <m/>
    <s v="ETF"/>
    <s v="ETF-33"/>
    <s v="North Sea Fleet"/>
    <s v="DDG117 Xining FFG550 Weifang AOR968 Kekexili"/>
  </r>
  <r>
    <s v="Senior Level Visit"/>
    <s v="North America"/>
    <s v="America and Oceania"/>
    <s v="No Specific Relationship"/>
    <s v="N/A"/>
    <s v="NORTHCOM"/>
    <s v="United States"/>
    <x v="29"/>
    <n v="3"/>
    <x v="15"/>
    <s v="Wei Fenghe"/>
    <m/>
    <s v="Defense Minister; CMC Member"/>
    <n v="8"/>
    <s v="Virtual"/>
    <s v="Secretary of Defense Esper"/>
    <m/>
    <m/>
    <m/>
    <m/>
    <m/>
    <m/>
    <m/>
    <m/>
  </r>
  <r>
    <s v="Senior Level Visit"/>
    <s v="Southeast Asia"/>
    <s v="Asia "/>
    <s v="Comprehensive Strategic Cooperative Partnership [全面战略合作伙伴关系]"/>
    <s v="None"/>
    <s v="INDOPACOM"/>
    <s v="Laos"/>
    <x v="29"/>
    <n v="4"/>
    <x v="15"/>
    <s v="Wei Fenghe"/>
    <m/>
    <s v="Defense Minister; CMC Member"/>
    <n v="8"/>
    <s v="Virtual"/>
    <s v="Minister of Defense "/>
    <m/>
    <m/>
    <m/>
    <m/>
    <m/>
    <m/>
    <m/>
    <m/>
  </r>
  <r>
    <s v="Senior Level Visit"/>
    <s v="Southeast Asia"/>
    <s v="Asia "/>
    <s v="Comprehensive Strategic Cooperative Partnership [全面战略合作伙伴关系]"/>
    <s v="None"/>
    <s v="INDOPACOM"/>
    <s v="Myanmar"/>
    <x v="29"/>
    <n v="4"/>
    <x v="15"/>
    <s v="Wei Fenghe"/>
    <m/>
    <s v="Defense Minister; CMC Member"/>
    <n v="8"/>
    <s v="Virtual"/>
    <s v="Minister of Defense"/>
    <m/>
    <m/>
    <m/>
    <m/>
    <m/>
    <m/>
    <m/>
    <m/>
  </r>
  <r>
    <s v="Senior Level Visit"/>
    <s v="North America"/>
    <s v="America and Oceania"/>
    <s v="No Specific Relationship"/>
    <s v="N/A"/>
    <s v="NORTHCOM"/>
    <s v="United States"/>
    <x v="29"/>
    <n v="4"/>
    <x v="15"/>
    <s v="Li Zuocheng"/>
    <m/>
    <s v="CMC/JSD Commander; CMC Member"/>
    <n v="8"/>
    <s v="Virtual"/>
    <s v="CJCS Milley"/>
    <m/>
    <m/>
    <m/>
    <s v=" "/>
    <m/>
    <s v=" "/>
    <s v=" "/>
    <m/>
  </r>
  <r>
    <s v="Senior Level Visit"/>
    <s v="Southeast Asia"/>
    <s v="Asia "/>
    <s v="Comprehensive Strategic Cooperative Partnership [全面战略合作伙伴关系]"/>
    <s v="None"/>
    <s v="INDOPACOM"/>
    <s v="Vietnam"/>
    <x v="29"/>
    <n v="4"/>
    <x v="15"/>
    <s v="Wei Fenghe"/>
    <m/>
    <s v="Defense Minister; CMC Member"/>
    <n v="8"/>
    <s v="Virtual"/>
    <s v="Minister of Defence "/>
    <m/>
    <m/>
    <m/>
    <m/>
    <m/>
    <m/>
    <m/>
    <m/>
  </r>
  <r>
    <s v="Senior Level Visit"/>
    <s v="Europe"/>
    <s v="Europe and Central Asia"/>
    <s v="Comprehensive Strategic Partnership [全面战略伙伴关系]"/>
    <s v="None"/>
    <s v="EUCOM"/>
    <s v="Belarus"/>
    <x v="29"/>
    <n v="5"/>
    <x v="15"/>
    <s v="Wei Fenghe"/>
    <m/>
    <s v="Defense Minister; CMC Member"/>
    <n v="8"/>
    <s v="Virtual"/>
    <s v="Defense Minister"/>
    <m/>
    <m/>
    <m/>
    <m/>
    <m/>
    <m/>
    <m/>
    <m/>
  </r>
  <r>
    <s v="Senior Level Visit"/>
    <s v="Southeast Asia"/>
    <s v="Asia "/>
    <s v="Comprehensive Strategic Cooperative Partnership [全面战略合作伙伴关系]"/>
    <s v="None"/>
    <s v="INDOPACOM"/>
    <s v="Cambodia"/>
    <x v="29"/>
    <n v="5"/>
    <x v="15"/>
    <s v="Wei Fenghe"/>
    <m/>
    <s v="Defense Minister; CMC Member"/>
    <n v="8"/>
    <s v="Virtual"/>
    <s v="Deputy Prime Minister/Defense Minister"/>
    <m/>
    <m/>
    <m/>
    <m/>
    <m/>
    <m/>
    <m/>
    <m/>
  </r>
  <r>
    <s v="Senior Level Visit"/>
    <s v="Southeast Asia"/>
    <s v="Asia "/>
    <s v="Comprehensive Strategic Partnership [全面战略伙伴关系]"/>
    <s v="None"/>
    <s v="INDOPACOM"/>
    <s v="Indonesia"/>
    <x v="29"/>
    <n v="5"/>
    <x v="15"/>
    <s v="Wei Fenghe"/>
    <m/>
    <s v="Defense Minister; CMC Member"/>
    <n v="8"/>
    <s v="Virtual"/>
    <s v="Defense Minister"/>
    <m/>
    <m/>
    <m/>
    <m/>
    <m/>
    <m/>
    <m/>
    <m/>
  </r>
  <r>
    <s v="Senior Level Visit"/>
    <s v="Southeast Asia"/>
    <s v="Asia "/>
    <s v="Comprehensive Strategic Partnership [全面战略伙伴关系]"/>
    <s v="None"/>
    <s v="INDOPACOM"/>
    <s v="Malaysia"/>
    <x v="29"/>
    <n v="5"/>
    <x v="15"/>
    <s v="Wei Fenghe"/>
    <m/>
    <s v="Defense Minister; CMC Member"/>
    <n v="8"/>
    <s v="Virtual"/>
    <s v="Defense Minister"/>
    <m/>
    <m/>
    <m/>
    <m/>
    <m/>
    <m/>
    <m/>
    <m/>
  </r>
  <r>
    <s v="Senior Level Visit"/>
    <s v="Southeast Asia"/>
    <s v="Asia "/>
    <s v="Comprehensive Strategic Partnership [全面战略伙伴关系]"/>
    <s v="Bilateral Defense Treaty"/>
    <s v="INDOPACOM"/>
    <s v="Philippines"/>
    <x v="29"/>
    <n v="5"/>
    <x v="15"/>
    <s v="Wei Fenghe"/>
    <m/>
    <s v="Defense Minister; CMC Member"/>
    <n v="8"/>
    <s v="Virtual"/>
    <s v="Defense Secretary"/>
    <m/>
    <m/>
    <m/>
    <m/>
    <m/>
    <m/>
    <m/>
    <m/>
  </r>
  <r>
    <s v="Senior Level Visit"/>
    <s v="Russia"/>
    <s v="Europe and Central Asia"/>
    <s v="Comprehensive Strategic Partnership of Coordination in the New Era [新时代中俄全面战略协作伙伴关系]"/>
    <s v="None"/>
    <s v="EUCOM"/>
    <s v="Russia"/>
    <x v="29"/>
    <n v="5"/>
    <x v="15"/>
    <s v="Wei Fenghe"/>
    <m/>
    <s v="Defense Minister; CMC Member"/>
    <n v="8"/>
    <s v="Virtual"/>
    <s v="Defense Minister"/>
    <m/>
    <m/>
    <m/>
    <m/>
    <m/>
    <m/>
    <m/>
    <m/>
  </r>
  <r>
    <s v="Senior Level Visit"/>
    <s v="Northeast Asia"/>
    <s v="Asia "/>
    <s v="Strategic Cooperative Partnership [战略合作伙伴关系]"/>
    <s v="Bilateral Defense Treaty"/>
    <s v="INDOPACOM"/>
    <s v="South Korea"/>
    <x v="29"/>
    <n v="5"/>
    <x v="15"/>
    <s v="Wei Fenghe"/>
    <m/>
    <s v="Defense Minister; CMC Member"/>
    <n v="8"/>
    <s v="Virtual"/>
    <s v="Defense Minister"/>
    <m/>
    <m/>
    <m/>
    <m/>
    <m/>
    <m/>
    <m/>
    <m/>
  </r>
  <r>
    <s v="Military Exercise"/>
    <s v="Russia"/>
    <s v="Europe and Central Asia"/>
    <s v="Comprehensive Strategic Partnership of Coordination in the New Era [新时代中俄全面战略协作伙伴关系]"/>
    <s v="None"/>
    <s v="EUCOM"/>
    <s v="Russia"/>
    <x v="29"/>
    <n v="8"/>
    <x v="6"/>
    <m/>
    <m/>
    <s v="Defense Minister"/>
    <m/>
    <m/>
    <m/>
    <s v="Competition"/>
    <s v="International Army Games 2020"/>
    <s v="Army"/>
    <s v="23 August to 5 September PLAA and PLAAF compete in the Russian-hosted International Army Games"/>
    <m/>
    <m/>
    <m/>
    <m/>
  </r>
  <r>
    <s v="Senior Level Visit"/>
    <s v="North America"/>
    <s v="America and Oceania"/>
    <s v="No Specific Relationship"/>
    <s v="N/A"/>
    <s v="NORTHCOM"/>
    <s v="United States"/>
    <x v="29"/>
    <n v="8"/>
    <x v="15"/>
    <s v="Wei Fenghe"/>
    <m/>
    <s v="Defense Minister; CMC Member"/>
    <n v="8"/>
    <s v="Virtual"/>
    <s v="Secretary of Defense Esper"/>
    <m/>
    <m/>
    <m/>
    <m/>
    <m/>
    <m/>
    <m/>
    <m/>
  </r>
  <r>
    <s v="Senior Level Visit"/>
    <s v="Southeast Asia"/>
    <s v="Asia"/>
    <s v="Comprehensive Strategic Cooperative Partnership [全面战略合作伙伴关系]"/>
    <s v="None"/>
    <s v="INDOPACOM"/>
    <s v="Vietnam"/>
    <x v="29"/>
    <n v="8"/>
    <x v="3"/>
    <s v="Wei Fenghe"/>
    <m/>
    <s v="Defense Minister; CMC Member"/>
    <n v="8"/>
    <s v="Hosted"/>
    <s v="Vietnam Ambassador"/>
    <m/>
    <m/>
    <m/>
    <m/>
    <m/>
    <m/>
    <m/>
    <m/>
  </r>
  <r>
    <s v="Senior Level Visit"/>
    <s v="Southeast Asia"/>
    <s v="Asia"/>
    <s v="Strategic Cooperative Partnership [战略合作伙伴关系]"/>
    <s v="None"/>
    <s v="INDOPACOM"/>
    <s v="Brunei"/>
    <x v="29"/>
    <n v="9"/>
    <x v="4"/>
    <s v="Wei Fenghe"/>
    <m/>
    <s v="Defense Minister; CMC Member"/>
    <n v="8"/>
    <s v="Abroad"/>
    <s v="Second Minister of Defense "/>
    <m/>
    <m/>
    <m/>
    <m/>
    <m/>
    <m/>
    <m/>
    <m/>
  </r>
  <r>
    <s v="Senior Level Visit"/>
    <s v="South Asia"/>
    <s v="Asia"/>
    <s v="Strategic Partnership for Peace and Prosperity [战略伙伴关系]"/>
    <s v="None"/>
    <s v="INDOPACOM"/>
    <s v="India"/>
    <x v="29"/>
    <n v="9"/>
    <x v="7"/>
    <s v="Wei Fenghe"/>
    <m/>
    <s v="Defense Minister; CMC Member"/>
    <n v="8"/>
    <s v="Abroad"/>
    <s v="Minister of Defence"/>
    <m/>
    <m/>
    <m/>
    <m/>
    <m/>
    <m/>
    <m/>
    <m/>
  </r>
  <r>
    <s v="Senior Level Visit"/>
    <s v="Southeast Asia"/>
    <s v="Asia"/>
    <s v="Comprehensive Strategic Partnership [全面战略伙伴关系]"/>
    <s v="None"/>
    <s v="INDOPACOM"/>
    <s v="Indonesia"/>
    <x v="29"/>
    <n v="9"/>
    <x v="4"/>
    <s v="Wei Fenghe"/>
    <m/>
    <s v="Defense Minister; CMC Member"/>
    <n v="8"/>
    <s v="Abroad"/>
    <s v="Minister of Defense"/>
    <m/>
    <m/>
    <m/>
    <m/>
    <m/>
    <m/>
    <m/>
    <m/>
  </r>
  <r>
    <s v="Senior Level Visit"/>
    <s v="Southeast Asia"/>
    <s v="Asia"/>
    <s v="Comprehensive Strategic Partnership [全面战略伙伴关系]"/>
    <s v="None"/>
    <s v="INDOPACOM"/>
    <s v="Malaysia"/>
    <x v="29"/>
    <n v="9"/>
    <x v="4"/>
    <s v="Wei Fenghe"/>
    <m/>
    <s v="Defense Minister; CMC Member"/>
    <n v="8"/>
    <s v="Abroad"/>
    <s v="Minister of Defense"/>
    <m/>
    <m/>
    <m/>
    <m/>
    <m/>
    <m/>
    <m/>
    <m/>
  </r>
  <r>
    <s v="Senior Level Visit"/>
    <s v="South Asia"/>
    <s v="Asia"/>
    <s v="All-Weather Strategic Cooperative Partnership [全天候战略合作伙伴关系]"/>
    <s v="Major Non-NATO Ally"/>
    <s v="CENTCOM"/>
    <s v="Pakistan"/>
    <x v="29"/>
    <n v="9"/>
    <x v="7"/>
    <s v="Wei Fenghe"/>
    <m/>
    <s v="Defense Minister; CMC Member"/>
    <n v="8"/>
    <s v="Abroad"/>
    <s v="Chairman Joint Chiefs of Staff Committee"/>
    <m/>
    <m/>
    <m/>
    <m/>
    <m/>
    <m/>
    <m/>
    <m/>
  </r>
  <r>
    <s v="Senior Level Visit"/>
    <s v="Southeast Asia"/>
    <s v="Asia"/>
    <s v="Comprehensive Strategic Partnership [全面战略伙伴关系]"/>
    <s v="Bilateral Defense Treaty"/>
    <s v="INDOPACOM"/>
    <s v="Philippines"/>
    <x v="29"/>
    <n v="9"/>
    <x v="4"/>
    <s v="Wei Fenghe"/>
    <m/>
    <s v="Defense Minister; CMC Member"/>
    <n v="8"/>
    <s v="Abroad"/>
    <s v="Secretary of National Defense"/>
    <m/>
    <m/>
    <m/>
    <m/>
    <m/>
    <m/>
    <m/>
    <m/>
  </r>
  <r>
    <s v="Military Exercise"/>
    <s v="Russia"/>
    <s v="Europe and Central Asia"/>
    <s v="Comprehensive Strategic Partnership of Coordination in the New Era [新时代中俄全面战略协作伙伴关系]"/>
    <s v="None"/>
    <s v="EUCOM"/>
    <s v="Russia"/>
    <x v="29"/>
    <n v="9"/>
    <x v="6"/>
    <m/>
    <m/>
    <s v="Defense Minister"/>
    <m/>
    <m/>
    <m/>
    <s v="Combat"/>
    <s v="Kavkaz-2020"/>
    <s v="Army"/>
    <s v="WTC in mobile defense and attack drills, joint firepower strikes, sieges, battlefield stability control, and others. Participants: Russia, Armenia, Belarus, Iran, Burma (Myanmar), Pakistan, and others. Also included the first PLAFF Y-20 transport to unknown airport. First multi plane, transnational airlift mission for Y-20."/>
    <m/>
    <m/>
    <m/>
    <m/>
  </r>
  <r>
    <s v="Senior Level Visit"/>
    <s v="Russia"/>
    <s v="Europe and Central Asia"/>
    <s v="Comprehensive Strategic Partnership of Coordination in the New Era [新时代中俄全面战略协作伙伴关系]"/>
    <s v="None"/>
    <s v="EUCOM"/>
    <s v="Russia"/>
    <x v="29"/>
    <n v="9"/>
    <x v="4"/>
    <s v="Wei Fenghe"/>
    <m/>
    <s v="Defense Minister; CMC Member"/>
    <n v="8"/>
    <s v="Abroad"/>
    <s v="Minister of Defense"/>
    <m/>
    <m/>
    <m/>
    <m/>
    <m/>
    <m/>
    <m/>
    <m/>
  </r>
  <r>
    <s v="Senior Level Visit"/>
    <s v="Central Asia"/>
    <s v="Europe and Central Asia"/>
    <s v="Member"/>
    <s v="None"/>
    <s v="CENTCOM"/>
    <s v="SCO"/>
    <x v="29"/>
    <n v="9"/>
    <x v="1"/>
    <s v="Wei Fenghe"/>
    <m/>
    <s v="Defense Minister; CMC Member"/>
    <n v="8"/>
    <s v="Abroad"/>
    <s v="17th meeting of the SCO Ministers of Defense"/>
    <m/>
    <m/>
    <m/>
    <m/>
    <m/>
    <m/>
    <m/>
    <m/>
  </r>
  <r>
    <s v="Senior Level Visit"/>
    <s v="Southeast Asia"/>
    <s v="Asia"/>
    <s v="Comprehensive Strategic Cooperative Partnership [全面战略合作伙伴关系]"/>
    <s v="Bilateral Defense Treaty"/>
    <s v="INDOPACOM"/>
    <s v="Thailand"/>
    <x v="29"/>
    <n v="9"/>
    <x v="15"/>
    <s v="Miao Hua"/>
    <m/>
    <s v="CMC/PWD Director; CMC Member"/>
    <n v="8"/>
    <s v="Virtual"/>
    <s v="Chief of the Joint Staffs of the Royal Thai Armed Forces"/>
    <m/>
    <m/>
    <m/>
    <m/>
    <m/>
    <m/>
    <m/>
    <m/>
  </r>
  <r>
    <s v="Senior Level Visit"/>
    <s v="Northeast Asia"/>
    <s v="Asia"/>
    <s v="Strategic Cooperative Partnership [战略合作伙伴关系]"/>
    <s v="Bilateral Defense Treaty"/>
    <s v="INDOPACOM"/>
    <s v="South Korea"/>
    <x v="29"/>
    <n v="10"/>
    <x v="15"/>
    <s v="Wei Fenghe"/>
    <m/>
    <s v="Defense Minister; CMC Member"/>
    <n v="8"/>
    <s v="Virtual"/>
    <s v="Minister for National Defense "/>
    <m/>
    <m/>
    <m/>
    <m/>
    <m/>
    <m/>
    <m/>
    <m/>
  </r>
  <r>
    <s v="Senior Level Visit"/>
    <s v="North America"/>
    <s v="America and Oceania"/>
    <s v="No Specific Relationship"/>
    <s v="N/A"/>
    <s v="NORTHCOM"/>
    <s v="United States"/>
    <x v="29"/>
    <n v="10"/>
    <x v="15"/>
    <s v="Li Zuocheng"/>
    <m/>
    <s v="CMC/JSD Commander; CMC Member"/>
    <n v="8"/>
    <s v="Virtual"/>
    <s v="CJCS Milley"/>
    <m/>
    <m/>
    <m/>
    <m/>
    <m/>
    <m/>
    <m/>
    <m/>
  </r>
  <r>
    <s v="Senior Level Visit"/>
    <s v="South Asia"/>
    <s v="Asia"/>
    <s v="Development-oriented Strategic Cooperative Partnership [面向发展与繁荣的世代友好的战略合作伙伴关系]."/>
    <s v="None"/>
    <s v="INDOPACOM"/>
    <s v="Nepal"/>
    <x v="29"/>
    <n v="11"/>
    <x v="4"/>
    <s v="Wei Fenghe"/>
    <m/>
    <s v="Defense Minister; CMC Member"/>
    <n v="8"/>
    <s v="Abroad"/>
    <s v="President, PM, and DEFMIN"/>
    <m/>
    <m/>
    <m/>
    <m/>
    <m/>
    <m/>
    <m/>
    <m/>
  </r>
  <r>
    <s v="Military Exercise"/>
    <s v="North America"/>
    <s v="America and Oceania"/>
    <s v="No Specific Relationship"/>
    <s v="N/A"/>
    <s v="NORTHCOM"/>
    <s v="United States"/>
    <x v="29"/>
    <n v="11"/>
    <x v="5"/>
    <m/>
    <m/>
    <s v="Defense Minister"/>
    <m/>
    <m/>
    <m/>
    <s v="MOOTW"/>
    <s v="16th China-US Disaster Management Exchange"/>
    <s v="Army"/>
    <s v="Virtual due to COVID; HADR academic discussion"/>
    <m/>
    <m/>
    <m/>
    <m/>
  </r>
  <r>
    <s v="Senior Level Visit"/>
    <s v="Southeast Asia"/>
    <s v="Asia"/>
    <s v="Strategic Partnership [战略伙伴关系] for Peace and Prosperity"/>
    <s v="None"/>
    <s v="INDOPACOM"/>
    <s v="ASEAN"/>
    <x v="29"/>
    <n v="12"/>
    <x v="16"/>
    <s v="Wei Fenghe"/>
    <m/>
    <s v="Defense Minister; CMC Member"/>
    <n v="8"/>
    <s v="Virtual"/>
    <s v="ADMM+"/>
    <m/>
    <m/>
    <m/>
    <m/>
    <m/>
    <m/>
    <m/>
    <m/>
  </r>
  <r>
    <s v="Senior Level Visit"/>
    <s v="Northeast Asia"/>
    <s v="Asia "/>
    <s v="Mutually Beneficial Strategic Relationship [战略互惠关系]"/>
    <s v="Bilateral Defense Treaty"/>
    <s v="INDOPACOM"/>
    <s v="Japan"/>
    <x v="29"/>
    <n v="12"/>
    <x v="15"/>
    <s v="Wei Fenghe"/>
    <m/>
    <s v="Defense Minister; CMC Member"/>
    <n v="8"/>
    <s v="Virtual"/>
    <s v="Minister of Defense Nobuo Kishi"/>
    <m/>
    <m/>
    <m/>
    <m/>
    <m/>
    <m/>
    <m/>
    <m/>
  </r>
  <r>
    <s v="Senior Level Visit"/>
    <s v="Northeast Asia"/>
    <s v="Asia"/>
    <s v="N/A"/>
    <s v="None"/>
    <s v="INDOPACOM"/>
    <s v="N/A"/>
    <x v="29"/>
    <n v="12"/>
    <x v="16"/>
    <s v="Yang Xuejun"/>
    <m/>
    <s v="President, AMS"/>
    <n v="5"/>
    <s v="Virtual"/>
    <s v="President, AMS"/>
    <m/>
    <m/>
    <m/>
    <m/>
    <m/>
    <m/>
    <m/>
    <m/>
  </r>
  <r>
    <s v="Senior Level Visit"/>
    <s v="South Asia"/>
    <s v="Asia"/>
    <s v="All-Weather Strategic Cooperative Partnership [全天候战略合作伙伴关系]"/>
    <s v="Major Non-NATO Ally"/>
    <s v="CENTCOM"/>
    <s v="Pakistan"/>
    <x v="29"/>
    <n v="12"/>
    <x v="7"/>
    <s v="Wei Fenghe"/>
    <m/>
    <s v="Defense Minister"/>
    <m/>
    <s v="Abroad"/>
    <s v="Pakistan COAS Bajwa, CJCS Raza, PM, President"/>
    <m/>
    <m/>
    <m/>
    <m/>
    <m/>
    <m/>
    <m/>
    <m/>
  </r>
  <r>
    <s v="Military Exercise"/>
    <s v="South Asia"/>
    <s v="Asia"/>
    <s v="All-Weather Strategic Cooperative Partnership [全天候战略合作伙伴关系]"/>
    <s v="Major Non-NATO Ally"/>
    <s v="CENTCOM"/>
    <s v="Pakistan"/>
    <x v="29"/>
    <n v="12"/>
    <x v="5"/>
    <m/>
    <m/>
    <m/>
    <m/>
    <m/>
    <m/>
    <s v="Combat"/>
    <s v="Shaheen IX (Eagle)"/>
    <s v="Air Force"/>
    <s v="Monthlong, improving actual combat training"/>
    <m/>
    <m/>
    <m/>
    <m/>
  </r>
  <r>
    <s v="Military Exercise"/>
    <s v="Russia"/>
    <s v="Europe and Central Asia"/>
    <s v="Comprehensive Strategic Partnership of Coordination in the New Era [新时代中俄全面战略协作伙伴关系]"/>
    <s v="None"/>
    <s v="EUCOM"/>
    <s v="Russia"/>
    <x v="29"/>
    <n v="12"/>
    <x v="5"/>
    <m/>
    <m/>
    <m/>
    <m/>
    <m/>
    <m/>
    <s v="Patrol"/>
    <s v="Joint Aerial Strategic Patrol 2020"/>
    <s v="Air Force"/>
    <s v="&quot;Joint strategic air patrol&quot;--four H-6K aircraft to form a joint formation with two Russian Tu-95MC aircraft over the Sea of Japan and the East China Sea. "/>
    <m/>
    <m/>
    <m/>
    <m/>
  </r>
  <r>
    <s v="Senior Level Visit"/>
    <s v="North America"/>
    <s v="America and Oceania"/>
    <s v="No Specific Relationship"/>
    <s v="N/A"/>
    <s v="NORTHCOM"/>
    <s v="United States"/>
    <x v="30"/>
    <n v="1"/>
    <x v="15"/>
    <s v="LI Zuocheng"/>
    <m/>
    <s v="CMC/JSD Commander; CMC Member"/>
    <n v="8"/>
    <s v="Virtual"/>
    <s v="CJCS Milley"/>
    <m/>
    <m/>
    <m/>
    <m/>
    <m/>
    <m/>
    <m/>
    <m/>
  </r>
  <r>
    <s v="Military Exercise"/>
    <s v="South Asia"/>
    <s v="Asia"/>
    <s v="All-Weather Strategic Cooperative Partnership [全天候战略合作伙伴关系]"/>
    <s v="Major Non-NATO Ally"/>
    <s v="CENTCOM"/>
    <s v="Pakistan"/>
    <x v="30"/>
    <n v="2"/>
    <x v="6"/>
    <m/>
    <m/>
    <m/>
    <m/>
    <m/>
    <m/>
    <s v="Anti-piracy"/>
    <s v="AMAN-21"/>
    <s v="Navy"/>
    <s v="counter-piracy, counter-terror, naval gunnery drills, search and rescue ops; 45 countries participated; ; ETF 36 (as PLAN 119 Biandui)"/>
    <m/>
    <m/>
    <m/>
    <m/>
  </r>
  <r>
    <s v="Military Exercise"/>
    <s v="Southeast Asia"/>
    <s v="Asia"/>
    <s v="All-Round Cooperative Partnership [全方合作伙伴关系]"/>
    <s v="None"/>
    <s v="INDOPACOM"/>
    <s v="Singapore"/>
    <x v="30"/>
    <n v="2"/>
    <x v="5"/>
    <m/>
    <m/>
    <m/>
    <m/>
    <m/>
    <m/>
    <s v="MOOTW"/>
    <m/>
    <s v="Navy"/>
    <s v="passage exercise, search and rescue, communications; ETF 36"/>
    <m/>
    <m/>
    <m/>
    <m/>
  </r>
  <r>
    <s v="Senior Level Visit"/>
    <s v="Europe"/>
    <s v="Europe and Central Asia"/>
    <s v="Comprehensive Strategic Partnership [全面战略伙伴关系]"/>
    <s v="NATO"/>
    <s v="EUCOM"/>
    <s v="Greece"/>
    <x v="30"/>
    <n v="3"/>
    <x v="4"/>
    <s v="Wei Fenghe"/>
    <m/>
    <s v="Defense Minister; CMC Member"/>
    <n v="8"/>
    <s v="Abroad"/>
    <s v="President of Greece &amp; MINDEF"/>
    <m/>
    <m/>
    <m/>
    <m/>
    <m/>
    <m/>
    <m/>
    <m/>
  </r>
  <r>
    <s v="Senior Level Visit"/>
    <s v="Europe"/>
    <s v="Europe and Central Asia"/>
    <s v="Comprehensive Strategic Partnership [全面战略伙伴关系]"/>
    <s v="NATO"/>
    <s v="EUCOM"/>
    <s v="Hungary"/>
    <x v="30"/>
    <n v="3"/>
    <x v="4"/>
    <s v="Wei Fenghe"/>
    <m/>
    <s v="Defense Minister; CMC Member"/>
    <n v="8"/>
    <s v="Abroad"/>
    <s v="President of Hungary &amp; MINDEF"/>
    <m/>
    <m/>
    <m/>
    <m/>
    <m/>
    <m/>
    <m/>
    <m/>
  </r>
  <r>
    <s v="Senior Level Visit"/>
    <s v="Europe"/>
    <s v="Europe and Central Asia"/>
    <s v="No Specific Relationship"/>
    <s v="None"/>
    <s v="EUCOM"/>
    <s v="Macedonia"/>
    <x v="30"/>
    <n v="3"/>
    <x v="4"/>
    <s v="Wei Fenghe"/>
    <m/>
    <s v="Defense Minister; CMC Member"/>
    <n v="8"/>
    <s v="Abroad"/>
    <s v="President of North Macedonia &amp; MINDEF"/>
    <m/>
    <m/>
    <m/>
    <m/>
    <m/>
    <m/>
    <m/>
    <m/>
  </r>
  <r>
    <s v="Senior Level Visit"/>
    <s v="Northeast Asia"/>
    <s v="Asia"/>
    <s v="Comprehensive Strategic Partnership [全面战略伙伴关系]"/>
    <s v="None"/>
    <s v="INDOPACOM"/>
    <s v="Mongolia"/>
    <x v="30"/>
    <n v="3"/>
    <x v="15"/>
    <s v="Wei Fenghe"/>
    <m/>
    <s v="Defense Minister; CMC Member"/>
    <n v="8"/>
    <s v="Virtual"/>
    <s v="Minister of Defense "/>
    <m/>
    <m/>
    <m/>
    <m/>
    <m/>
    <m/>
    <m/>
    <m/>
  </r>
  <r>
    <s v="Senior Level Visit"/>
    <s v="Europe"/>
    <s v="Europe and Central Asia"/>
    <s v="Comprehensive Strategic Partnership [全面战略伙伴关系]"/>
    <s v="None"/>
    <s v="EUCOM"/>
    <s v="Serbia"/>
    <x v="30"/>
    <n v="3"/>
    <x v="4"/>
    <s v="Wei Fenghe"/>
    <m/>
    <s v="Defense Minister; CMC Member"/>
    <n v="8"/>
    <s v="Abroad"/>
    <s v="President of the Republic of Serbia &amp; MINDEF"/>
    <m/>
    <m/>
    <m/>
    <m/>
    <m/>
    <m/>
    <m/>
    <m/>
  </r>
  <r>
    <s v="Senior Level Visit"/>
    <s v="South Asia"/>
    <s v="Asia"/>
    <s v="Strategic Cooperative Partnership [战略合作伙伴关系]"/>
    <s v="None"/>
    <s v="INDOPACOM"/>
    <s v="Bangladesh"/>
    <x v="30"/>
    <n v="4"/>
    <x v="4"/>
    <s v="Wei Fenghe"/>
    <m/>
    <s v="Defense Minister; CMC Member"/>
    <n v="8"/>
    <s v="Abroad"/>
    <s v="Bangladesh President Abdul Hamid &amp; DEFMIN"/>
    <m/>
    <m/>
    <m/>
    <m/>
    <m/>
    <m/>
    <m/>
    <m/>
  </r>
  <r>
    <s v="Senior Level Visit"/>
    <s v="South Asia"/>
    <s v="Asia"/>
    <s v="Strategic Cooperative Partnership [战略合作伙伴关系]"/>
    <s v="None"/>
    <s v="INDOPACOM"/>
    <s v="Sri Lanka"/>
    <x v="30"/>
    <n v="4"/>
    <x v="4"/>
    <s v="Wei Fenghe"/>
    <m/>
    <s v="Defense Minister; CMC Member"/>
    <n v="8"/>
    <s v="Abroad"/>
    <s v="Minister of Defense Gotabaya Rajapaksa"/>
    <m/>
    <m/>
    <m/>
    <m/>
    <m/>
    <m/>
    <m/>
    <m/>
  </r>
  <r>
    <s v="Senior Level Visit"/>
    <s v="Southeast Asia"/>
    <s v="Asia"/>
    <s v="Comprehensive Strategic Cooperative Partnership [全面战略合作伙伴关系]"/>
    <s v="None"/>
    <s v="INDOPACOM"/>
    <s v="Vietnam"/>
    <x v="30"/>
    <n v="4"/>
    <x v="4"/>
    <s v="Wei Fenghe"/>
    <m/>
    <s v="Defense Minister; CMC Member"/>
    <n v="8"/>
    <s v="Abroad"/>
    <s v="General Secretary Phu Troung, Vietnam President Nguyen Xuan Phuc &amp; DEFMIN"/>
    <m/>
    <m/>
    <m/>
    <m/>
    <m/>
    <m/>
    <m/>
    <m/>
  </r>
  <r>
    <s v="Military Exercise"/>
    <s v="Southeast Asia"/>
    <s v="Asia"/>
    <s v="Comprehensive Strategic Partnership [全面战略伙伴关系]"/>
    <s v="None"/>
    <s v="INDOPACOM"/>
    <s v="Indonesia"/>
    <x v="30"/>
    <n v="5"/>
    <x v="5"/>
    <m/>
    <m/>
    <m/>
    <m/>
    <m/>
    <m/>
    <s v="MOOTW"/>
    <m/>
    <s v="Navy"/>
    <s v="comm drills, search and rescue, formation maneuvers"/>
    <m/>
    <m/>
    <m/>
    <m/>
  </r>
  <r>
    <s v="Senior Level Visit"/>
    <s v="Southeast Asia"/>
    <s v="Asia"/>
    <s v="Strategic Partnership [战略伙伴关系] for Peace and Prosperity"/>
    <s v="None"/>
    <s v="INDOPACOM"/>
    <s v="ASEAN"/>
    <x v="30"/>
    <n v="6"/>
    <x v="16"/>
    <s v="Wei Fenghe"/>
    <m/>
    <s v="Defense Minister; CMC Member"/>
    <n v="8"/>
    <s v="Virtual"/>
    <s v="Brunei Second MINDEF co-chaired with Wei"/>
    <m/>
    <m/>
    <m/>
    <m/>
    <m/>
    <m/>
    <m/>
    <m/>
  </r>
  <r>
    <s v="Senior Level Visit"/>
    <s v="Southeast Asia"/>
    <s v="Asia"/>
    <s v="Strategic Partnership [战略伙伴关系] for Peace and Prosperity"/>
    <s v="None"/>
    <s v="INDOPACOM"/>
    <s v="ASEAN"/>
    <x v="30"/>
    <n v="6"/>
    <x v="16"/>
    <s v="Wei Fenghe"/>
    <m/>
    <s v="Defense Minister; CMC Member"/>
    <n v="8"/>
    <s v="Virtual"/>
    <s v="Brunei chaired"/>
    <m/>
    <m/>
    <m/>
    <m/>
    <m/>
    <m/>
    <m/>
    <m/>
  </r>
  <r>
    <s v="Senior Level Visit"/>
    <s v="Russia"/>
    <s v="Europe and Central Asia"/>
    <s v="Comprehensive Strategic Partnership of Coordination in the New Era [新时代中俄全面战略协作伙伴关系]"/>
    <s v="None"/>
    <s v="EUCOM"/>
    <s v="Russia"/>
    <x v="30"/>
    <n v="6"/>
    <x v="16"/>
    <s v="Wei Fenghe"/>
    <m/>
    <s v="Defense Minister; CMC Member"/>
    <n v="8"/>
    <s v="Virtual"/>
    <s v="Russian Defense Minister"/>
    <m/>
    <m/>
    <m/>
    <m/>
    <m/>
    <m/>
    <m/>
    <m/>
  </r>
  <r>
    <s v="Senior Level Visit"/>
    <s v="Southeast Asia"/>
    <s v="Asia"/>
    <s v="All-Round Cooperative Partnership [全方合作伙伴关系]"/>
    <s v="None"/>
    <s v="INDOPACOM"/>
    <s v="Singapore"/>
    <x v="30"/>
    <n v="6"/>
    <x v="15"/>
    <s v="Wei Fenghe"/>
    <m/>
    <s v="Defense Minister; CMC Member"/>
    <n v="8"/>
    <s v="Virtual"/>
    <s v="Ng Eng Hen, Sinagpore Defence Minister"/>
    <m/>
    <m/>
    <m/>
    <m/>
    <m/>
    <m/>
    <m/>
    <m/>
  </r>
  <r>
    <s v="Senior Level Visit"/>
    <s v="Europe"/>
    <s v="Europe and Central Asia"/>
    <s v="Comprehensive Strategic Partnership [全面战略伙伴关系]"/>
    <s v="NATO"/>
    <s v="EUCOM"/>
    <s v="Germany"/>
    <x v="30"/>
    <n v="7"/>
    <x v="15"/>
    <s v="Wei Fenghe"/>
    <m/>
    <s v="Defense Minister; CMC Member"/>
    <n v="8"/>
    <s v="Virtual"/>
    <s v="Defense Minister "/>
    <m/>
    <m/>
    <m/>
    <m/>
    <m/>
    <m/>
    <m/>
    <m/>
  </r>
  <r>
    <s v="Senior Level Visit"/>
    <s v="Northeast Asia"/>
    <s v="Asia"/>
    <s v="Comprehensive Strategic Partnership [全面战略伙伴关系]"/>
    <s v="None"/>
    <s v="INDOPACOM"/>
    <s v="Mongolia"/>
    <x v="30"/>
    <n v="7"/>
    <x v="4"/>
    <s v="Wei Fenghe"/>
    <m/>
    <s v="Defense Minister; CMC Member"/>
    <n v="8"/>
    <s v="Abroad"/>
    <s v="Minister of Defense"/>
    <m/>
    <m/>
    <m/>
    <m/>
    <m/>
    <m/>
    <m/>
    <m/>
  </r>
  <r>
    <s v="Senior Level Visit"/>
    <s v="South Asia"/>
    <s v="Asia"/>
    <s v="All-Weather Strategic Cooperative Partnership [全天候战略合作伙伴关系]"/>
    <s v="Major Non-NATO Ally"/>
    <s v="CENTCOM"/>
    <s v="Pakistan"/>
    <x v="30"/>
    <n v="7"/>
    <x v="7"/>
    <s v="Wei Fenghe"/>
    <m/>
    <s v="Defense Minister; CMC Member"/>
    <n v="8"/>
    <s v="Abroad"/>
    <s v="Pakistan’s Defence Minister Pervez Khattak"/>
    <m/>
    <m/>
    <m/>
    <m/>
    <m/>
    <m/>
    <m/>
    <m/>
  </r>
  <r>
    <s v="Military Exercise"/>
    <s v="Europe"/>
    <s v="Europe and Central Asia"/>
    <s v="Comprehensive Strategic Partnership of Coordination in the New Era [新时代中俄全面战略协作伙伴关系]"/>
    <s v="None"/>
    <s v="EUCOM"/>
    <s v="Russia"/>
    <x v="30"/>
    <n v="7"/>
    <x v="6"/>
    <m/>
    <m/>
    <m/>
    <m/>
    <m/>
    <m/>
    <s v="Competition"/>
    <s v="International Army Games 2021"/>
    <s v="Army"/>
    <s v="army games with Russia, Belarus, Egypt, Iran, Venezuela, Vietnam "/>
    <m/>
    <m/>
    <m/>
    <m/>
  </r>
  <r>
    <s v="Senior Level Visit"/>
    <s v="Russia"/>
    <s v="Europe and Central Asia"/>
    <s v="Comprehensive Strategic Partnership of Coordination in the New Era [新时代中俄全面战略协作伙伴关系]"/>
    <s v="None"/>
    <s v="EUCOM"/>
    <s v="Russia"/>
    <x v="30"/>
    <n v="7"/>
    <x v="7"/>
    <s v="Wei Fenghe"/>
    <m/>
    <s v="Defense Minister; CMC Member"/>
    <n v="8"/>
    <s v="Abroad"/>
    <s v="Russian Defense Minister"/>
    <m/>
    <m/>
    <m/>
    <m/>
    <m/>
    <m/>
    <m/>
    <m/>
  </r>
  <r>
    <s v="Senior Level Visit"/>
    <s v="Central Asia"/>
    <s v="Europe and Central Asia"/>
    <s v="Member"/>
    <s v="None"/>
    <s v="CENTCOM"/>
    <s v="SCO"/>
    <x v="30"/>
    <n v="7"/>
    <x v="1"/>
    <s v="Wei Fenghe"/>
    <m/>
    <s v="Defense Minister; CMC Member"/>
    <n v="8"/>
    <s v="Abroad"/>
    <s v="18th meeting of the SCO Ministers of Defense"/>
    <m/>
    <m/>
    <m/>
    <m/>
    <m/>
    <m/>
    <m/>
    <m/>
  </r>
  <r>
    <s v="Senior Level Visit"/>
    <s v="Central Asia"/>
    <s v="Europe and Central Asia"/>
    <s v="Comprehensive Strategic Partnership [全面战略伙伴关系]"/>
    <s v="None"/>
    <s v="CENTCOM"/>
    <s v="Tajikistan"/>
    <x v="30"/>
    <n v="7"/>
    <x v="4"/>
    <s v="Wei Fenghe"/>
    <m/>
    <s v="Defense Minister; CMC Member"/>
    <n v="8"/>
    <s v="Abroad"/>
    <s v="President &amp; Defense Minister"/>
    <m/>
    <m/>
    <m/>
    <m/>
    <m/>
    <m/>
    <m/>
    <m/>
  </r>
  <r>
    <s v="Military Exercise"/>
    <s v="Southeast Asia"/>
    <s v="Asia"/>
    <s v="Comprehensive Strategic Cooperative Partnership [全面战略合作伙伴关系]"/>
    <s v="Bilateral Defense Treaty"/>
    <s v="INDOPACOM"/>
    <s v="Thailand"/>
    <x v="30"/>
    <n v="7"/>
    <x v="6"/>
    <m/>
    <m/>
    <m/>
    <m/>
    <m/>
    <m/>
    <s v="MOOTW"/>
    <s v="Cobra Gold 2021"/>
    <s v="Army"/>
    <s v="Disaster relief"/>
    <m/>
    <m/>
    <m/>
    <m/>
  </r>
  <r>
    <s v="Military Exercise"/>
    <s v="Russia"/>
    <s v="Europe and Central Asia"/>
    <s v="Comprehensive Strategic Partnership of Coordination in the New Era [新时代中俄全面战略协作伙伴关系]"/>
    <s v="None"/>
    <s v="EUCOM"/>
    <s v="Russia"/>
    <x v="30"/>
    <n v="8"/>
    <x v="5"/>
    <m/>
    <m/>
    <m/>
    <m/>
    <m/>
    <m/>
    <s v="Combat"/>
    <s v="Zapad/Interaction "/>
    <s v="Army"/>
    <s v="&quot;The Chinese Ministry of National Defense issued an article on Wednesday describing the exercise as the first time China invited foreign troops to participate in the PLA's strategic battle training operations on a large scale, the first time foreign troops shared a command and control messaging system with the PLA, and the first time foreign troops used the PLA's main combat equipment” "/>
    <m/>
    <m/>
    <m/>
    <m/>
  </r>
  <r>
    <s v="Senior Level Visit"/>
    <s v="Southeast Asia"/>
    <s v="Asia"/>
    <s v="Comprehensive Strategic Partnership [全面战略伙伴关系]"/>
    <s v="None"/>
    <s v="INDOPACOM"/>
    <s v="Malaysia"/>
    <x v="30"/>
    <n v="9"/>
    <x v="15"/>
    <s v="Wei Fenghe"/>
    <m/>
    <s v="Defense Minister; CMC Member"/>
    <n v="8"/>
    <s v="Virtual"/>
    <s v="Defense Minister"/>
    <m/>
    <m/>
    <m/>
    <m/>
    <m/>
    <m/>
    <m/>
    <m/>
  </r>
  <r>
    <s v="Senior Level Visit"/>
    <s v="Northeast Asia"/>
    <s v="Asia"/>
    <s v="N/A"/>
    <s v="None"/>
    <s v="INDOPACOM"/>
    <s v="N/A"/>
    <x v="30"/>
    <n v="9"/>
    <x v="16"/>
    <s v="Ding Laihang"/>
    <m/>
    <s v="PLAAF Commander"/>
    <m/>
    <s v="Virtual"/>
    <s v="Other Air Force Commanders, including Pakistani ACM Zaheer Ahmad Babar "/>
    <m/>
    <s v="PLAAF International Military Flight Training Conference"/>
    <m/>
    <m/>
    <m/>
    <m/>
    <m/>
    <m/>
  </r>
  <r>
    <s v="Senior Level Visit"/>
    <s v="South Asia"/>
    <s v="Asia"/>
    <s v="All-Weather Strategic Cooperative Partnership [全天候战略合作伙伴关系]"/>
    <s v="Major Non-NATO Ally"/>
    <s v="CENTCOM"/>
    <s v="Pakistan"/>
    <x v="30"/>
    <n v="9"/>
    <x v="7"/>
    <s v="Li Zuocheng"/>
    <m/>
    <s v="CMC/JSD Commander; CMC Member"/>
    <n v="8"/>
    <s v="Abroad"/>
    <s v="TL meeting with Chairman Joint Chiefs of Staff Committee, General Nadeem Raza and Russian COGS General Valery Gerasimov"/>
    <m/>
    <m/>
    <m/>
    <m/>
    <m/>
    <m/>
    <m/>
    <m/>
  </r>
  <r>
    <s v="Military Exercise"/>
    <s v="South Asia"/>
    <s v="Asia"/>
    <s v="All-Weather Strategic Cooperative Partnership [全天候战略合作伙伴关系]"/>
    <s v="Major Non-NATO Ally"/>
    <s v="CENTCOM"/>
    <s v="Pakistan"/>
    <x v="30"/>
    <n v="9"/>
    <x v="5"/>
    <m/>
    <m/>
    <m/>
    <m/>
    <m/>
    <m/>
    <s v="Anti-terrorism"/>
    <s v="JATE/Pabbi"/>
    <s v="Army"/>
    <s v="Phase 1 of exercise Pabbi was an SCO Virtual Exercise; Phase 2 was an FTX between Chinese and Pakistani Army Special Forces in Rabbi Pakistan. Not clear if the Chinese forces were PLAA or PAP"/>
    <m/>
    <m/>
    <m/>
    <m/>
  </r>
  <r>
    <s v="Military Exercise"/>
    <s v="South Asia"/>
    <s v="Asia"/>
    <s v="All-Weather Strategic Cooperative Partnership [全天候战略合作伙伴关系]"/>
    <s v="Major Non-NATO Ally"/>
    <s v="CENTCOM"/>
    <s v="Pakistan"/>
    <x v="30"/>
    <n v="9"/>
    <x v="6"/>
    <m/>
    <m/>
    <m/>
    <m/>
    <m/>
    <m/>
    <s v="MOOTW"/>
    <s v="Shared-Destiny 2021"/>
    <s v="Army"/>
    <s v="PKO activities with Pakistan, Mongolia, and Thailand"/>
    <m/>
    <m/>
    <m/>
    <m/>
  </r>
  <r>
    <s v="Senior Level Visit"/>
    <s v="Russia"/>
    <s v="Europe and Central Asia"/>
    <s v="Comprehensive Strategic Partnership of Coordination in the New Era [新时代中俄全面战略协作伙伴关系]"/>
    <s v="None"/>
    <s v="EUCOM"/>
    <s v="Russia"/>
    <x v="30"/>
    <n v="9"/>
    <x v="7"/>
    <s v="Li Zuocheng"/>
    <m/>
    <s v="CMC/JSD Commander; CMC Member"/>
    <n v="8"/>
    <s v="Abroad"/>
    <s v="TL meeting with Chairman Joint Chiefs of Staff Committee, General Nadeem Raza and Russian COGS General Valery Gerasimov"/>
    <m/>
    <m/>
    <m/>
    <m/>
    <m/>
    <m/>
    <m/>
    <m/>
  </r>
  <r>
    <s v="Military Exercise"/>
    <s v="Russia"/>
    <s v="Europe and Central Asia"/>
    <s v="Member"/>
    <s v="None"/>
    <s v="CENTCOM"/>
    <s v="SCO"/>
    <x v="30"/>
    <n v="9"/>
    <x v="6"/>
    <m/>
    <m/>
    <m/>
    <m/>
    <m/>
    <m/>
    <s v="Combat"/>
    <s v="Peace Mission 2021"/>
    <s v="Army"/>
    <s v="Held in Orenburg, Russia.  Focus on surveillance, forward defense, ground assault, division, and  encirclement. "/>
    <m/>
    <m/>
    <m/>
    <m/>
  </r>
  <r>
    <s v="Senior Level Visit"/>
    <s v="Russia"/>
    <s v="Europe and Central Asia"/>
    <s v="Member"/>
    <s v="None"/>
    <s v="CENTCOM"/>
    <s v="SCO"/>
    <x v="30"/>
    <n v="9"/>
    <x v="1"/>
    <s v="Li Zuocheng"/>
    <m/>
    <s v="CMC/JSD Commander; CMC Member"/>
    <n v="8"/>
    <s v="Hosted"/>
    <s v="Sixth meeting of the SCO military chiefs of staff in Russia"/>
    <m/>
    <m/>
    <m/>
    <m/>
    <m/>
    <m/>
    <m/>
    <m/>
  </r>
  <r>
    <s v="Military Exercise"/>
    <s v="Southeast Asia"/>
    <s v="Asia"/>
    <s v="All-Round Cooperative Partnership [全方合作伙伴关系]"/>
    <s v="None"/>
    <s v="INDOPACOM"/>
    <s v="Singapore"/>
    <x v="30"/>
    <n v="9"/>
    <x v="5"/>
    <m/>
    <m/>
    <m/>
    <m/>
    <m/>
    <m/>
    <s v="MOOTW"/>
    <m/>
    <s v="Navy"/>
    <s v="pass-exercise; CUES; navigation training, helicopter landing, replenishment-at-sea training"/>
    <m/>
    <m/>
    <m/>
    <m/>
  </r>
  <r>
    <s v="Senior Level Visit"/>
    <s v="Southeast Asia"/>
    <s v="Asia"/>
    <s v="All-Round Cooperative Partnership [全方合作伙伴关系]"/>
    <s v="None"/>
    <s v="INDOPACOM"/>
    <s v="Singapore"/>
    <x v="30"/>
    <n v="9"/>
    <x v="15"/>
    <s v="Shao Yuanming"/>
    <m/>
    <s v="CMC/JSD DCJS"/>
    <n v="5"/>
    <s v="Virtual"/>
    <s v="Permanent Secretary of Defence"/>
    <m/>
    <m/>
    <m/>
    <m/>
    <m/>
    <m/>
    <m/>
    <m/>
  </r>
  <r>
    <s v="Senior Level Visit"/>
    <s v="Europe"/>
    <s v="Europe and Central Asia"/>
    <s v="Comprehensive Strategic Partnership [全面战略伙伴关系]"/>
    <s v="NATO"/>
    <s v="EUCOM"/>
    <s v="United Kingdom"/>
    <x v="30"/>
    <n v="9"/>
    <x v="15"/>
    <s v="Li Zuocheng"/>
    <m/>
    <s v="CMC/JSD Commander; CMC Member"/>
    <n v="8"/>
    <s v="Virtual"/>
    <s v="Chief of the Defence Staff"/>
    <m/>
    <m/>
    <m/>
    <m/>
    <m/>
    <m/>
    <m/>
    <m/>
  </r>
  <r>
    <s v="Senior Level Visit"/>
    <s v="South America"/>
    <s v="America and Oceania"/>
    <s v="Comprehensive Strategic Partnership [全面战略伙伴关系]"/>
    <s v="Major Non-NATO Ally"/>
    <s v="SOUTHCOM"/>
    <s v="Argentina"/>
    <x v="30"/>
    <n v="10"/>
    <x v="15"/>
    <s v="Wei Fenghe"/>
    <m/>
    <s v="Defense Minister; CMC Member"/>
    <n v="8"/>
    <s v="Virtual"/>
    <s v="Minister of Defense"/>
    <m/>
    <m/>
    <m/>
    <m/>
    <m/>
    <m/>
    <m/>
    <m/>
  </r>
  <r>
    <s v="Senior Level Visit"/>
    <s v="Northeast Asia"/>
    <s v="Asia"/>
    <s v="N/A"/>
    <s v="None"/>
    <s v="INDOPACOM"/>
    <s v="N/A"/>
    <x v="30"/>
    <n v="10"/>
    <x v="16"/>
    <s v="Yang Xuejun"/>
    <m/>
    <s v="President, AMS"/>
    <n v="5"/>
    <s v="Virtual"/>
    <m/>
    <m/>
    <m/>
    <m/>
    <m/>
    <m/>
    <m/>
    <m/>
    <m/>
  </r>
  <r>
    <s v="Military Exercise"/>
    <s v="Russia"/>
    <s v="Europe and Central Asia"/>
    <s v="Comprehensive Strategic Partnership of Coordination in the New Era [新时代中俄全面战略协作伙伴关系]"/>
    <s v="None"/>
    <s v="EUCOM"/>
    <s v="Russia"/>
    <x v="30"/>
    <n v="10"/>
    <x v="5"/>
    <m/>
    <m/>
    <m/>
    <m/>
    <m/>
    <m/>
    <s v="Combat"/>
    <s v="Joint Sea 2021"/>
    <s v="Navy"/>
    <s v="Comms drills, mine destruction, maritime gunnery, joint-maneuvering; &quot;joint rocket and artillery firing at air targets, artillery firing at sea targets, joint anti-submarine operations with the practical use of weapons, joint blockade and joint rescue….These multidimensional training courses cover the core elements in modern naval combat.”"/>
    <m/>
    <m/>
    <m/>
    <m/>
  </r>
  <r>
    <s v="Military Exercise"/>
    <s v="Russia"/>
    <s v="Europe and Central Asia"/>
    <s v="Comprehensive Strategic Partnership of Coordination in the New Era [新时代中俄全面战略协作伙伴关系]"/>
    <s v="None"/>
    <s v="EUCOM"/>
    <s v="Russia"/>
    <x v="30"/>
    <n v="10"/>
    <x v="5"/>
    <m/>
    <m/>
    <m/>
    <m/>
    <m/>
    <m/>
    <s v="Patrol"/>
    <s v="Joint Maritime Cruise"/>
    <s v="Navy"/>
    <s v="Use of weapons, joint sailing and maneuvering"/>
    <m/>
    <m/>
    <m/>
    <m/>
  </r>
  <r>
    <s v="Senior Level Visit"/>
    <s v="Southeast Asia"/>
    <s v="Asia"/>
    <s v="Comprehensive Strategic Partnership [全面战略伙伴关系]"/>
    <s v="None"/>
    <s v="INDOPACOM"/>
    <s v="Indonesia"/>
    <x v="30"/>
    <n v="11"/>
    <x v="15"/>
    <s v="Wei Fenghe"/>
    <m/>
    <s v="Defense Minister; CMC Member"/>
    <n v="8"/>
    <s v="Virtual"/>
    <s v="Indonesian Minister of Defense Prabowo Subianto"/>
    <m/>
    <m/>
    <m/>
    <m/>
    <m/>
    <m/>
    <m/>
    <m/>
  </r>
  <r>
    <s v="Senior Level Visit"/>
    <s v="South Asia"/>
    <s v="Asia"/>
    <s v="All-Weather Strategic Cooperative Partnership [全天候战略合作伙伴关系]"/>
    <s v="Major Non-NATO Ally"/>
    <s v="CENTCOM"/>
    <s v="Pakistan"/>
    <x v="30"/>
    <n v="11"/>
    <x v="15"/>
    <m/>
    <m/>
    <s v="China Coast Guard"/>
    <n v="6"/>
    <s v="Virtual"/>
    <m/>
    <m/>
    <m/>
    <s v="Coast Guard"/>
    <m/>
    <m/>
    <m/>
    <m/>
    <m/>
  </r>
  <r>
    <s v="Senior Level Visit"/>
    <s v="Russia"/>
    <s v="Europe and Central Asia"/>
    <s v="Comprehensive Strategic Partnership of Coordination in the New Era [新时代中俄全面战略协作伙伴关系]"/>
    <s v="None"/>
    <s v="EUCOM"/>
    <s v="Russia"/>
    <x v="30"/>
    <n v="11"/>
    <x v="15"/>
    <s v="Wei Fenghe"/>
    <m/>
    <s v="Defense Minister; CMC Member"/>
    <n v="8"/>
    <s v="Virtual"/>
    <s v="Russian Defense Minister"/>
    <m/>
    <m/>
    <m/>
    <m/>
    <m/>
    <m/>
    <m/>
    <m/>
  </r>
  <r>
    <s v="Military Exercise"/>
    <s v="Russia"/>
    <s v="Europe and Central Asia"/>
    <s v="Comprehensive Strategic Partnership of Coordination in the New Era [新时代中俄全面战略协作伙伴关系]"/>
    <s v="None"/>
    <s v="EUCOM"/>
    <s v="Russia"/>
    <x v="30"/>
    <n v="11"/>
    <x v="5"/>
    <m/>
    <m/>
    <m/>
    <m/>
    <m/>
    <m/>
    <s v="Patrol"/>
    <s v="Joint Aerial Strategic Patrol 2021"/>
    <s v="Air Force"/>
    <s v="&quot;joint strategic air patrol&quot;--two H-6K aircraft to form a joint formation with two Russian Tu-95MC aircraft over the Sea of Japan and the East China Sea. "/>
    <m/>
    <m/>
    <m/>
    <m/>
  </r>
  <r>
    <s v="Senior Level Visit"/>
    <s v="Southeast Asia"/>
    <s v="Asia"/>
    <s v="Comprehensive Strategic Cooperative Partnership [全面战略合作伙伴关系]"/>
    <s v="None"/>
    <s v="INDOPACOM"/>
    <s v="Vietnam"/>
    <x v="30"/>
    <n v="11"/>
    <x v="15"/>
    <s v="Wang Zhongcai"/>
    <m/>
    <s v="CDR China Coast Guard"/>
    <n v="6"/>
    <s v="Virtual"/>
    <s v="CDR Vietnam Coast Guard"/>
    <m/>
    <m/>
    <m/>
    <m/>
    <m/>
    <m/>
    <m/>
    <m/>
  </r>
  <r>
    <s v="Senior Level Visit"/>
    <s v="Northeast Asia"/>
    <s v="Asia"/>
    <s v="Mutually Beneficial Strategic Relationship [战略互惠关系]"/>
    <s v="Bilateral Defense Treaty "/>
    <s v="INDOPACOM"/>
    <s v="Japan"/>
    <x v="30"/>
    <n v="12"/>
    <x v="15"/>
    <s v="Wei Fenghe"/>
    <m/>
    <s v="Defense Minister; CMC Member"/>
    <n v="8"/>
    <s v="Virtual"/>
    <s v="Japanese Defense Minister Nobuo Kishi"/>
    <m/>
    <m/>
    <m/>
    <m/>
    <m/>
    <m/>
    <m/>
    <m/>
  </r>
  <r>
    <s v="Military Exercise"/>
    <s v="Southeast Asia"/>
    <s v="Asia"/>
    <s v="Comprehensive Strategic Cooperative Partnership [全面战略合作伙伴关系]"/>
    <s v="None"/>
    <s v="INDOPACOM"/>
    <s v="Vietnam"/>
    <x v="30"/>
    <n v="12"/>
    <x v="5"/>
    <m/>
    <m/>
    <m/>
    <m/>
    <m/>
    <m/>
    <s v="MOOTW"/>
    <s v="Peace Rescue-2021"/>
    <s v="Army"/>
    <s v="rescue, wounded treatment, joint military health service command, medical and pandemic training "/>
    <m/>
    <m/>
    <m/>
    <m/>
  </r>
  <r>
    <s v="Senior Level Visit"/>
    <s v="Europe"/>
    <s v="Europe and Central Asia"/>
    <s v="Comprehensive Strategic Partnership [全面战略伙伴关系]"/>
    <s v="NATO"/>
    <s v="EUCOM"/>
    <s v="France"/>
    <x v="31"/>
    <n v="1"/>
    <x v="15"/>
    <s v="Shao Yuanming"/>
    <m/>
    <s v="CMC/JSD DCJS"/>
    <n v="5"/>
    <s v="Virtual"/>
    <s v="MOD Deputy Director General for International Relations and Strategy"/>
    <m/>
    <m/>
    <m/>
    <m/>
    <m/>
    <m/>
    <m/>
    <m/>
  </r>
  <r>
    <s v="Military Exercise"/>
    <s v="Middle East"/>
    <s v="West Asia and Africa"/>
    <s v="Comprehensive Strategic Partnership [全面战略伙伴关系]"/>
    <s v="None"/>
    <s v="CENTCOM"/>
    <s v="Iran"/>
    <x v="31"/>
    <n v="1"/>
    <x v="6"/>
    <m/>
    <m/>
    <m/>
    <m/>
    <m/>
    <m/>
    <s v="Anti-piracy"/>
    <s v="Marine Security Belt 2022"/>
    <s v="Navy"/>
    <s v="Urumqi guided-missile destroyer , supply ship Taihu, ship-borne helicopters, and 40 members of the Marine Corps; engaging targets, formation manevuers, light signal communications, nighttime navigation; 10 Iran ships; 3 Russian ships"/>
    <m/>
    <m/>
    <m/>
    <m/>
  </r>
  <r>
    <s v="Senior Level Visit"/>
    <s v="Oceania"/>
    <s v="America and Oceania"/>
    <s v="Comprehensive Strategic Partnership [全面战略伙伴关系]"/>
    <s v="ANZUS Treaty"/>
    <s v="INDOPACOM"/>
    <s v="New Zealand"/>
    <x v="31"/>
    <n v="1"/>
    <x v="15"/>
    <s v="Li Zuocheng"/>
    <m/>
    <s v="CMC/JSD Commander; CMC Member"/>
    <n v="8"/>
    <s v="Virtual"/>
    <s v="Chief of NZ Defense Force"/>
    <m/>
    <m/>
    <m/>
    <s v=" "/>
    <m/>
    <m/>
    <m/>
    <m/>
  </r>
  <r>
    <s v="Senior Level Visit"/>
    <s v="Middle East"/>
    <s v="West Asia and Africa"/>
    <s v="Comprehensive Strategic Partnership [全面战略伙伴关系]"/>
    <s v="None"/>
    <s v="CENTCOM"/>
    <s v="Saudi Arabia"/>
    <x v="31"/>
    <n v="1"/>
    <x v="15"/>
    <s v="Wei Fenghe"/>
    <m/>
    <s v="Defense Minister; CMC Member"/>
    <n v="8"/>
    <s v="Virtual"/>
    <s v="Prince Khalid bin Salman Al Saud, Saudi Arabia's Deputy Defense Minister"/>
    <m/>
    <m/>
    <m/>
    <m/>
    <m/>
    <m/>
    <m/>
    <m/>
  </r>
  <r>
    <s v="Senior Level Visit"/>
    <s v="Europe"/>
    <s v="Europe and Central Asia"/>
    <s v="Comprehensive Strategic Partnership [全面战略伙伴关系]"/>
    <s v="NATO"/>
    <s v="EUCOM"/>
    <s v="United Kingdom"/>
    <x v="31"/>
    <n v="1"/>
    <x v="15"/>
    <s v="Shao Yuanming"/>
    <m/>
    <s v="CMC/JSD DCJS"/>
    <n v="5"/>
    <s v="Virtual"/>
    <s v="UK MOD director general of security policy "/>
    <m/>
    <m/>
    <m/>
    <m/>
    <m/>
    <m/>
    <m/>
    <m/>
  </r>
  <r>
    <s v="Senior Level Visit"/>
    <s v="Southeast Asia"/>
    <s v="Asia "/>
    <s v="Comprehensive Strategic Cooperative Partnership [全面战略合作伙伴关系]"/>
    <s v="None"/>
    <s v="INDOPACOM"/>
    <s v="Cambodia"/>
    <x v="31"/>
    <n v="3"/>
    <x v="15"/>
    <s v="Liu Zhenli"/>
    <m/>
    <s v="PLAA Commander"/>
    <n v="8"/>
    <s v="Virtual"/>
    <s v="Lieutenant General Hun Manet, Deputy Commander-in-Chief, Royal Cambodian Armed Forces (RCAF) and Commander, Royal Cambodian Army"/>
    <m/>
    <m/>
    <m/>
    <m/>
    <m/>
    <m/>
    <m/>
    <m/>
  </r>
  <r>
    <s v="Senior Level Visit"/>
    <s v="Africa"/>
    <s v="West Asia and Africa"/>
    <s v="Comprehensive Strategic Partnership [全面战略伙伴关系]"/>
    <s v="None"/>
    <s v="AFRICOM"/>
    <s v="South Africa"/>
    <x v="31"/>
    <n v="3"/>
    <x v="15"/>
    <s v="Wei Fenghe"/>
    <m/>
    <s v="Defense Minister; CMC Member"/>
    <n v="8"/>
    <s v="Virtual"/>
    <s v="Thandi Modise, South Africa’s Minister of Defence and Military Veterans"/>
    <m/>
    <m/>
    <m/>
    <m/>
    <m/>
    <m/>
    <m/>
    <m/>
  </r>
  <r>
    <s v="Senior Level Visit"/>
    <s v="Southeast Asia"/>
    <s v="Asia"/>
    <s v="Comprehensive Strategic Cooperative Partnership [全面战略合作伙伴关系]"/>
    <s v="Bilateral Defense Treaty"/>
    <s v="INDOPACOM"/>
    <s v="Thailand"/>
    <x v="31"/>
    <n v="3"/>
    <x v="15"/>
    <s v="Dong Jun"/>
    <m/>
    <s v="PLAN Commander"/>
    <n v="8"/>
    <s v="Virtual"/>
    <s v="Admiral Somprasong Nilsamai, Commander-in-Chief, Royal Thai Navy, had a virtual meeting"/>
    <m/>
    <m/>
    <m/>
    <m/>
    <m/>
    <m/>
    <m/>
    <m/>
  </r>
  <r>
    <s v="Senior Level Visit"/>
    <s v="Central Asia"/>
    <s v="Europe and Central Asia"/>
    <s v="Strategic Partnership [战略伙伴关系]"/>
    <s v="None"/>
    <s v="CENTCOM"/>
    <s v="Turkmenistan"/>
    <x v="31"/>
    <n v="3"/>
    <x v="15"/>
    <s v="Wei Fenghe"/>
    <m/>
    <s v="Defense Minister; CMC Member"/>
    <n v="8"/>
    <s v="Virtual"/>
    <s v="Lieutenant General Begench Gundogdyev, Turkmenistan’s Minister of Defense"/>
    <m/>
    <m/>
    <m/>
    <m/>
    <m/>
    <m/>
    <m/>
    <m/>
  </r>
  <r>
    <s v="Senior Level Visit"/>
    <s v="Middle East"/>
    <s v="West Asia and Africa"/>
    <s v="Comprehensive Strategic Partnership [全面战略伙伴关系]"/>
    <s v="None"/>
    <s v="CENTCOM"/>
    <s v="Iran"/>
    <x v="31"/>
    <n v="4"/>
    <x v="4"/>
    <s v="Wei Fenghe"/>
    <m/>
    <s v="Defense Minister; CMC Member"/>
    <n v="8"/>
    <s v="Abroad"/>
    <s v="President, Ayatollah Dr. Seyyed Ebrahim Raisi and Major General Mohammad Hossein Bagheri, Chief of the General Staff "/>
    <m/>
    <m/>
    <m/>
    <m/>
    <m/>
    <m/>
    <m/>
    <m/>
  </r>
  <r>
    <s v="Senior Level Visit"/>
    <s v="Central Asia"/>
    <s v="Europe and Central Asia"/>
    <s v="Comprehensive Strategic Partnership [全面战略伙伴关系]"/>
    <s v="None"/>
    <s v="CENTCOM"/>
    <s v="Kazakhstan"/>
    <x v="31"/>
    <n v="4"/>
    <x v="4"/>
    <s v="Wei Fenghe"/>
    <m/>
    <s v="Defense Minister; CMC Member"/>
    <n v="8"/>
    <s v="Abroad"/>
    <s v="President Kassym-Jomart Tokayev and Defense Minister Lieutenant General Ruslan Jaqsylyqov"/>
    <m/>
    <m/>
    <m/>
    <m/>
    <m/>
    <m/>
    <m/>
    <m/>
  </r>
  <r>
    <s v="Senior Level Visit"/>
    <s v="Africa"/>
    <s v="West Asia and Africa"/>
    <s v="Comprehensive Strategic Cooperative Partnership [全面战略合作伙伴关系]"/>
    <s v="None"/>
    <s v="AFRICOM"/>
    <s v="Mozambique"/>
    <x v="31"/>
    <n v="4"/>
    <x v="15"/>
    <s v="Wei Fenghe"/>
    <m/>
    <s v="Defense Minister; CMC Member"/>
    <n v="8"/>
    <s v="Virtual"/>
    <s v="Major General Cristóvão Artur Chume, Mozambique’s Minister of National Defence"/>
    <m/>
    <m/>
    <m/>
    <m/>
    <m/>
    <m/>
    <m/>
    <m/>
  </r>
  <r>
    <s v="Senior Level Visit"/>
    <s v="Middle East"/>
    <s v="West Asia and Africa"/>
    <s v="Strategic Partnership [战略伙伴关系]"/>
    <s v="None"/>
    <s v="CENTCOM"/>
    <s v="Oman"/>
    <x v="31"/>
    <n v="4"/>
    <x v="4"/>
    <s v="Wei Fenghe"/>
    <m/>
    <s v="Defense Minister; CMC Member"/>
    <n v="8"/>
    <s v="Abroad"/>
    <s v="Deputy Prime Minister for Defense Affairs Sayyid Shihab bin Tarik Al Said"/>
    <m/>
    <m/>
    <m/>
    <m/>
    <m/>
    <s v=" "/>
    <s v=" "/>
    <s v=" "/>
  </r>
  <r>
    <s v="Senior Level Visit"/>
    <s v="Central Asia"/>
    <s v="Europe and Central Asia"/>
    <s v="Strategic Partnership [战略伙伴关系]"/>
    <s v="None"/>
    <s v="CENTCOM"/>
    <s v="Turkmenistan"/>
    <x v="31"/>
    <n v="4"/>
    <x v="4"/>
    <s v="Wei Fenghe"/>
    <m/>
    <s v="Defense Minister; CMC Member"/>
    <n v="8"/>
    <s v="Abroad"/>
    <s v="Turkmen President Serdar Berdimuhamedov and Lieutenant General Begench Gundogdyev, Turkmenistan’s Minister of Defense"/>
    <m/>
    <m/>
    <m/>
    <m/>
    <m/>
    <m/>
    <m/>
    <m/>
  </r>
  <r>
    <s v="Senior Level Visit"/>
    <s v="North America"/>
    <s v="America and Oceania"/>
    <s v="No Specific Relationship"/>
    <s v="N/A"/>
    <s v="NORTHCOM"/>
    <s v="United States"/>
    <x v="31"/>
    <n v="4"/>
    <x v="15"/>
    <s v="Wei Fenghe"/>
    <m/>
    <s v="Defense Minister; CMC Member"/>
    <n v="8"/>
    <s v="Virtual"/>
    <s v="Secretary of Defense Austin"/>
    <m/>
    <m/>
    <m/>
    <m/>
    <m/>
    <m/>
    <m/>
    <m/>
  </r>
  <r>
    <s v="Senior Level Visit"/>
    <s v="Southeast Asia"/>
    <s v="Asia "/>
    <s v="Comprehensive Strategic Cooperative Partnership [全面战略合作伙伴关系]"/>
    <s v="None"/>
    <s v="INDOPACOM"/>
    <s v="Vietnam"/>
    <x v="31"/>
    <n v="4"/>
    <x v="4"/>
    <s v="Wei Fenghe"/>
    <m/>
    <s v="Defense Minister; CMC Member"/>
    <n v="8"/>
    <s v="Abroad"/>
    <s v="Minister of Defence General Phan Van Giang"/>
    <m/>
    <m/>
    <m/>
    <m/>
    <m/>
    <m/>
    <m/>
    <m/>
  </r>
  <r>
    <s v="Senior Level Visit"/>
    <s v="Africa"/>
    <s v="West Asia and Africa"/>
    <s v="Comprehensive Strategic Cooperative Partnership [全面战略合作伙伴关系]"/>
    <s v="None"/>
    <s v="AFRICOM"/>
    <s v="African Union"/>
    <x v="31"/>
    <n v="5"/>
    <x v="16"/>
    <s v="Dong Jun"/>
    <m/>
    <s v="PLAN Commander"/>
    <n v="8"/>
    <s v="Virtual"/>
    <s v="&quot;GoG Maritime Security from the Perspective of a Maritime Community with a Shared Future&quot; attended (virtually) by unspecified leaders from the navies and coast guards of Gulf of Guinea countries "/>
    <m/>
    <m/>
    <m/>
    <m/>
    <m/>
    <m/>
    <m/>
    <m/>
  </r>
  <r>
    <s v="Military Exercise"/>
    <s v="Russia"/>
    <s v="Europe and Central Asia"/>
    <s v="Comprehensive Strategic Partnership of Coordination in the New Era [新时代中俄全面战略协作伙伴关系]"/>
    <s v="None"/>
    <s v="EUCOM"/>
    <s v="Russia"/>
    <x v="31"/>
    <n v="5"/>
    <x v="5"/>
    <m/>
    <m/>
    <m/>
    <m/>
    <m/>
    <m/>
    <s v="Patrol"/>
    <s v="Joint Aerial Strategic Patrol 2022 (I)"/>
    <s v="Air Force"/>
    <s v="fourth &quot;joint strategic air patrol&quot; over the Sea of Japan, the East China Sea, and the Western Pacific Ocean. 4 Chinese H-6K and PLAAF fighters escort;  2 Russian Tu-95 bombers; 1 IL-20 recon plane, and  Su-30SM aircraft providing escort"/>
    <m/>
    <m/>
    <m/>
    <m/>
  </r>
  <r>
    <s v="Senior Level Visit"/>
    <s v="Africa"/>
    <s v="West Asia and Africa"/>
    <s v="Comprehensive Cooperative Partnership [全面合作伙伴关系]"/>
    <s v="None"/>
    <s v="AFRICOM"/>
    <s v="Tanzania"/>
    <x v="31"/>
    <n v="5"/>
    <x v="15"/>
    <s v="Wei Fenghe"/>
    <m/>
    <s v="Defense Minister; CMC Member"/>
    <n v="8"/>
    <s v="Virtual"/>
    <s v="Minister of Defense  Dr. Stergomena Lawrence Tax"/>
    <m/>
    <m/>
    <m/>
    <m/>
    <m/>
    <m/>
    <m/>
    <m/>
  </r>
  <r>
    <s v="Senior Level Visit"/>
    <s v="Southeast Asia"/>
    <s v="Asia"/>
    <s v="Comprehensive Strategic Partnership [全面战略伙伴关系]"/>
    <s v="None"/>
    <s v="INDOPACOM"/>
    <s v="ASEAN"/>
    <x v="31"/>
    <n v="6"/>
    <x v="16"/>
    <s v="Wei Fenghe"/>
    <m/>
    <s v="Defense Minister; CMC Member"/>
    <n v="8"/>
    <s v="Virtual"/>
    <s v="Thirteenth China-ASEAN Defense Ministers' Informal Meeting (virtual); Cambodian Deputy Prime Minister and Defense Minister General Tea Banh"/>
    <m/>
    <m/>
    <m/>
    <m/>
    <m/>
    <m/>
    <m/>
    <m/>
  </r>
  <r>
    <s v="Senior Level Visit"/>
    <s v="Southeast Asia"/>
    <s v="Asia"/>
    <s v="No Specific Relationship"/>
    <s v="None"/>
    <s v="INDOPACOM"/>
    <s v="IISS"/>
    <x v="31"/>
    <n v="6"/>
    <x v="1"/>
    <s v="Wei Fenghe"/>
    <m/>
    <s v="Defense Minister; CMC Member"/>
    <n v="8"/>
    <s v="Abroad"/>
    <s v="19th Shangri-La"/>
    <m/>
    <m/>
    <m/>
    <m/>
    <m/>
    <m/>
    <m/>
    <m/>
  </r>
  <r>
    <s v="Senior Level Visit"/>
    <s v="South Asia"/>
    <s v="Asia"/>
    <s v="All-Weather Strategic Cooperative Partnership [全天候战略合作伙伴关系]"/>
    <s v="Major Non-NATO Ally"/>
    <s v="CENTCOM"/>
    <s v="Pakistan"/>
    <x v="31"/>
    <n v="6"/>
    <x v="3"/>
    <s v="Zhang Youxia "/>
    <m/>
    <s v="CMC Vice Chairman"/>
    <n v="10"/>
    <s v="Hosted"/>
    <s v="Chief of Army Staff General Qamar Javed Bajwa  in Qingdao"/>
    <m/>
    <m/>
    <m/>
    <m/>
    <m/>
    <m/>
    <m/>
    <m/>
  </r>
  <r>
    <s v="Senior Level Visit"/>
    <s v="Southeast Asia"/>
    <s v="Asia"/>
    <s v="All-Round Cooperative Partnership [全方合作伙伴关系]"/>
    <s v="None"/>
    <s v="INDOPACOM"/>
    <s v="Singapore"/>
    <x v="31"/>
    <n v="6"/>
    <x v="4"/>
    <s v="Wei Fenghe"/>
    <m/>
    <s v="Defense Minister; CMC Member"/>
    <n v="8"/>
    <s v="Abroad"/>
    <s v="Prime Minister Lee Hsien Loong and Defense Minister Ng Eng Hen"/>
    <m/>
    <m/>
    <m/>
    <m/>
    <m/>
    <m/>
    <m/>
    <m/>
  </r>
  <r>
    <s v="Senior Level Visit"/>
    <s v="Northeast Asia"/>
    <s v="Asia"/>
    <s v="Strategic Cooperative Partnership [战略合作伙伴关系]"/>
    <s v="Bilateral Defense Treaty"/>
    <s v="INDOPACOM"/>
    <s v="South Korea"/>
    <x v="31"/>
    <n v="6"/>
    <x v="7"/>
    <s v="Wei Fenghe"/>
    <m/>
    <s v="Defense Minister; CMC Member"/>
    <n v="8"/>
    <s v="Abroad"/>
    <s v="Defense Minister Lee Jong-sup; BL at Shangri-La"/>
    <m/>
    <m/>
    <m/>
    <m/>
    <m/>
    <m/>
    <m/>
    <m/>
  </r>
  <r>
    <s v="Senior Level Visit"/>
    <s v="North America"/>
    <s v="America and Oceania"/>
    <s v="No Specific Relationship"/>
    <s v="N/A"/>
    <s v="NORTHCOM"/>
    <s v="United States"/>
    <x v="31"/>
    <n v="6"/>
    <x v="7"/>
    <s v="Wei Fenghe"/>
    <m/>
    <s v="Defense Minister; CMC Member"/>
    <n v="8"/>
    <s v="Abroad"/>
    <s v="Secretary of Defense; BL at Shangri-La "/>
    <m/>
    <m/>
    <m/>
    <m/>
    <m/>
    <m/>
    <m/>
    <m/>
  </r>
  <r>
    <s v="Senior Level Visit"/>
    <s v="Africa"/>
    <s v="West Asia and Africa"/>
    <s v="Comprehensive Strategic Cooperative Partnership [全面战略合作伙伴关系]"/>
    <s v="None"/>
    <s v="AFRICOM"/>
    <s v="African Union"/>
    <x v="31"/>
    <n v="7"/>
    <x v="16"/>
    <s v="Wei Fenghe"/>
    <m/>
    <s v="Defense Minister; CMC Member"/>
    <n v="8"/>
    <s v="Virtual"/>
    <s v="Second China-Africa Defense and Security Forum (virtual)"/>
    <m/>
    <m/>
    <m/>
    <s v="second China-Africa Defense and Security Forum; More than 50 ministerial-level leaders and senior-level representatives from the African Union and African countries "/>
    <m/>
    <m/>
    <m/>
    <m/>
  </r>
  <r>
    <s v="Military Exercise"/>
    <s v="Southeast Asia"/>
    <s v="Asia"/>
    <s v="Comprehensive Strategic Cooperative Partnership [全面战略合作伙伴关系]"/>
    <s v="None"/>
    <s v="INDOPACOM"/>
    <s v="Laos"/>
    <x v="31"/>
    <n v="7"/>
    <x v="5"/>
    <m/>
    <m/>
    <m/>
    <m/>
    <m/>
    <m/>
    <s v="MOOTW"/>
    <s v="Peace Train 2022"/>
    <s v="Army"/>
    <m/>
    <m/>
    <m/>
    <m/>
    <m/>
  </r>
  <r>
    <s v="Military Exercise"/>
    <s v="South Asia"/>
    <s v="Asia"/>
    <s v="All-Weather Strategic Cooperative Partnership [全天候战略合作伙伴关系]"/>
    <s v="Major Non-NATO Ally"/>
    <s v="CENTCOM"/>
    <s v="Pakistan"/>
    <x v="31"/>
    <n v="7"/>
    <x v="5"/>
    <m/>
    <m/>
    <m/>
    <m/>
    <m/>
    <m/>
    <s v="Combat"/>
    <s v="Sea Guardians Naval Exercise"/>
    <s v="Navy"/>
    <s v="Exercise off Shanghai. Maritime exercise phase include attacking at maritime targets, tactical maneuver, anti-submarine operation, replenishment at sea, reinforcing damaged ships, anti-aircraft and anti-missile operations, etc. guided-missile frigates Xiangtan and Shuozhou , supply ship Qiandaohu, and one submarine, one early warning aircraft, two fighter jets and one helicopter. Pakistan Navy sent the Frigate Taimur "/>
    <m/>
    <m/>
    <m/>
    <m/>
  </r>
  <r>
    <s v="Senior Level Visit"/>
    <s v="North America"/>
    <s v="America and Oceania"/>
    <s v="No Specific Relationship"/>
    <s v="N/A"/>
    <s v="NORTHCOM"/>
    <s v="United States"/>
    <x v="31"/>
    <n v="7"/>
    <x v="15"/>
    <s v="Li Zuocheng"/>
    <m/>
    <s v="CMC/JSD Commander; CMC Member"/>
    <n v="8"/>
    <s v="Virtual"/>
    <s v="CJCS Milley"/>
    <m/>
    <m/>
    <m/>
    <s v=" "/>
    <m/>
    <s v=" "/>
    <s v=" "/>
    <m/>
  </r>
  <r>
    <s v="Senior Level Visit"/>
    <s v="Southeast Asia"/>
    <s v="Asia"/>
    <s v="Comprehensive Strategic Cooperative Partnership [全面战略合作伙伴关系]"/>
    <s v="None"/>
    <s v="INDOPACOM"/>
    <s v="Cambodia"/>
    <x v="31"/>
    <n v="8"/>
    <x v="3"/>
    <s v="Xu Qiliang"/>
    <m/>
    <s v="CMC Vice Chairman"/>
    <n v="10"/>
    <s v="Hosted"/>
    <s v="Deputy PM and MINDEF General Tea Banh "/>
    <m/>
    <m/>
    <m/>
    <m/>
    <m/>
    <m/>
    <m/>
    <m/>
  </r>
  <r>
    <s v="Military Exercise"/>
    <s v="Europe"/>
    <s v="Europe and Central Asia"/>
    <s v="Comprehensive Strategic Partnership of Coordination in the New Era [新时代中俄全面战略协作伙伴关系]"/>
    <s v="None"/>
    <s v="EUCOM"/>
    <s v="Russia"/>
    <x v="31"/>
    <n v="8"/>
    <x v="6"/>
    <m/>
    <m/>
    <m/>
    <m/>
    <m/>
    <m/>
    <s v="Competition"/>
    <s v="International Army Games 2022"/>
    <s v="Army"/>
    <s v="co-hosted by 12 countries including China, Russia and Iran, attracting more than 270 military teams from 37 countries"/>
    <m/>
    <m/>
    <m/>
    <m/>
  </r>
  <r>
    <s v="Senior Level Visit"/>
    <s v="Russia"/>
    <s v="Europe and Central Asia"/>
    <s v="Comprehensive Strategic Partnership of Coordination in the New Era [新时代中俄全面战略协作伙伴关系]"/>
    <s v="None"/>
    <s v="EUCOM"/>
    <s v="Russia"/>
    <x v="31"/>
    <n v="8"/>
    <x v="16"/>
    <s v="Wei Fenghe"/>
    <m/>
    <s v="Defense Minister; CMC Member"/>
    <n v="8"/>
    <s v="Virtual"/>
    <s v="Russian MINDEF at Moscow Conference on International Security"/>
    <m/>
    <m/>
    <m/>
    <m/>
    <m/>
    <m/>
    <m/>
    <m/>
  </r>
  <r>
    <s v="Senior Level Visit"/>
    <s v="Central Asia"/>
    <s v="Europe and Central Asia"/>
    <s v="Member"/>
    <s v="None"/>
    <s v="CENTCOM"/>
    <s v="SCO"/>
    <x v="31"/>
    <n v="8"/>
    <x v="16"/>
    <s v="Wei Fenghe"/>
    <m/>
    <s v="Defense Minister; CMC Member"/>
    <n v="8"/>
    <s v="Virtual"/>
    <s v="19th meeting of the SCO Ministers of Defense in Uzbekistan; PRC MINDEF attended virtually"/>
    <m/>
    <m/>
    <m/>
    <m/>
    <m/>
    <m/>
    <m/>
    <m/>
  </r>
  <r>
    <s v="Senior Level Visit"/>
    <s v="Southeast Asia"/>
    <s v="Asia"/>
    <s v="Comprehensive Strategic Cooperative Partnership [全面战略合作伙伴关系]"/>
    <s v="Bilateral Defense Treaty"/>
    <s v="INDOPACOM"/>
    <s v="Thailand"/>
    <x v="31"/>
    <n v="8"/>
    <x v="15"/>
    <s v="Chang Dingqiu"/>
    <m/>
    <s v="PLAAF Commander"/>
    <n v="8"/>
    <s v="Virtual"/>
    <s v="Royal Thai Air Force Commander Air Chief Marshal Napadej Dhupatemiya"/>
    <m/>
    <m/>
    <m/>
    <m/>
    <m/>
    <m/>
    <m/>
    <m/>
  </r>
  <r>
    <s v="Military Exercise"/>
    <s v="Southeast Asia"/>
    <s v="Asia"/>
    <s v="Comprehensive Strategic Cooperative Partnership [全面战略合作伙伴关系]"/>
    <s v="Bilateral Defense Treaty"/>
    <s v="INDOPACOM"/>
    <s v="Thailand"/>
    <x v="31"/>
    <n v="8"/>
    <x v="5"/>
    <m/>
    <m/>
    <m/>
    <m/>
    <m/>
    <m/>
    <s v="Combat"/>
    <s v="Falcon Strike 2022"/>
    <s v="Air Force"/>
    <s v="At Udorn AFB Thailand, PLAAF sent fighter jets, fighter-bombers and airborne early warning (AEW) aircraft, and the Royal Thai Air Force will send its fighter jets and AEW aircraft"/>
    <m/>
    <m/>
    <m/>
    <m/>
  </r>
  <r>
    <s v="Senior Level Visit"/>
    <s v="South Asia"/>
    <s v="Asia"/>
    <s v="All-Weather Strategic Cooperative Partnership [全天候战略合作伙伴关系]"/>
    <s v="Major Non-NATO Ally"/>
    <s v="CENTCOM"/>
    <s v="Pakistan"/>
    <x v="31"/>
    <n v="9"/>
    <x v="3"/>
    <s v="Wei Fenghe"/>
    <m/>
    <s v="Defense Minister; CMC Member"/>
    <n v="8"/>
    <s v="Hosted"/>
    <s v="Chief of Army Staff General Qamar Javed Bajwa  in Xi'an"/>
    <m/>
    <m/>
    <m/>
    <m/>
    <m/>
    <m/>
    <m/>
    <m/>
  </r>
  <r>
    <s v="Military Exercise"/>
    <s v="Russia"/>
    <s v="Europe and Central Asia"/>
    <s v="Comprehensive Strategic Partnership of Coordination in the New Era [新时代中俄全面战略协作伙伴关系]"/>
    <s v="None"/>
    <s v="EUCOM"/>
    <s v="Russia"/>
    <x v="31"/>
    <n v="9"/>
    <x v="6"/>
    <m/>
    <m/>
    <m/>
    <m/>
    <m/>
    <m/>
    <s v="Combat"/>
    <s v="Vostok 2022"/>
    <s v="Joint"/>
    <s v="Army, navy and air force units from the PLA Northern Theater Command, with more than 2,000 members, as well as more than 300 vehicles and equipment of various types, 21 fixed-wing aircraft and helicopters, and three ships; Also taking part: Azerbaijan, Algeria, Armenia, Belarus, China, India, Kazakhstan, Laos, Mongolia, Nicaragua, Syria and Tajikistan, the Defence Ministry said.  Exercise was smaller than in years past"/>
    <m/>
    <m/>
    <m/>
    <m/>
  </r>
  <r>
    <s v="Military Exercise"/>
    <s v="Russia"/>
    <s v="Europe and Central Asia"/>
    <s v="Comprehensive Strategic Partnership of Coordination in the New Era [新时代中俄全面战略协作伙伴关系]"/>
    <s v="None"/>
    <s v="EUCOM"/>
    <s v="Russia"/>
    <x v="31"/>
    <n v="9"/>
    <x v="5"/>
    <m/>
    <m/>
    <m/>
    <m/>
    <m/>
    <m/>
    <s v="Patrol"/>
    <s v="Joint Maritime Cruise"/>
    <s v="Navy"/>
    <s v="Destroyer Nanchang (PN 101) [南昌舰], Frigate Yancheng (PN 546) [盐城舰], and the Comprehensive Resupply Ship Dongpinghu (PN 902) [东平湖舰]. The Russian Navy sent five ships in total, namely the frigate Marshal Shaposhnikov (PN 543), the replenishment ship Pechenga (PN unknown), the Russian Navy corvettes Sovershennyy (PN 333), Gromkiy (PN 335) and Hero of the Russian Federation Aldar Tsydenzhapov (PN 339) sighted near Alaska by USCG cutter"/>
    <m/>
    <m/>
    <m/>
    <m/>
  </r>
  <r>
    <s v="Senior Level Visit"/>
    <s v="Southeast Asia"/>
    <s v="Asia"/>
    <s v="Comprehensive Strategic Cooperative Partnership [全面战略合作伙伴关系]"/>
    <s v="None"/>
    <s v="INDOPACOM"/>
    <s v="Vietnam"/>
    <x v="31"/>
    <n v="9"/>
    <x v="15"/>
    <s v="Yuan Huazhi"/>
    <m/>
    <s v="PLAN PC"/>
    <n v="6"/>
    <s v="Virtual"/>
    <s v="Vietnamese Navy Political Commissar Nguyen Van Bong "/>
    <m/>
    <m/>
    <m/>
    <m/>
    <m/>
    <m/>
    <m/>
    <m/>
  </r>
  <r>
    <s v="Senior Level Visit"/>
    <s v="Northeast Asia"/>
    <s v="Asia"/>
    <s v="N/A"/>
    <s v="None"/>
    <s v="INDOPACOM"/>
    <s v="N/A"/>
    <x v="31"/>
    <n v="10"/>
    <x v="2"/>
    <s v="Wang Chunning "/>
    <m/>
    <s v="PAP Commander"/>
    <n v="6"/>
    <s v="Hosted"/>
    <s v="Great Wall 2022 Counterterrorism Forum; 170 representatives from 30 countries, including China, Russia, Pakistan, Brazil, and Italy"/>
    <m/>
    <m/>
    <m/>
    <m/>
    <m/>
    <m/>
    <m/>
    <m/>
  </r>
  <r>
    <s v="Senior Level Visit"/>
    <s v="Northeast Asia"/>
    <s v="Asia"/>
    <s v="N/A"/>
    <s v="None"/>
    <s v="INDOPACOM"/>
    <s v="N/A"/>
    <x v="31"/>
    <n v="10"/>
    <x v="2"/>
    <s v="Jia Zhigang "/>
    <m/>
    <s v="PLAAF Deputy Commander"/>
    <n v="5"/>
    <s v="Hosted"/>
    <s v="International Military Flight Training Conference 2022 and Zhuhai Forum; 28 Chinese and foreign representatives (21 of whom were from foreign countries) spoke on the conference’s main topic of “Talented Personnel, Innovation, Cooperation, and Development” , both in-person and virtually"/>
    <m/>
    <m/>
    <m/>
    <m/>
    <m/>
    <m/>
    <m/>
    <m/>
  </r>
  <r>
    <s v="Senior Level Visit"/>
    <s v="Russia"/>
    <s v="Europe and Central Asia"/>
    <s v="Comprehensive Strategic Partnership of Coordination in the New Era [新时代中俄全面战略协作伙伴关系]"/>
    <s v="None"/>
    <s v="EUCOM"/>
    <s v="Russia"/>
    <x v="31"/>
    <n v="10"/>
    <x v="15"/>
    <s v="Wei Fenghe"/>
    <m/>
    <s v="Defense Minister; CMC Member"/>
    <n v="8"/>
    <s v="Virtual"/>
    <s v="MINDEF Sergey Shoigu"/>
    <m/>
    <m/>
    <m/>
    <m/>
    <m/>
    <m/>
    <m/>
    <m/>
  </r>
  <r>
    <s v="Senior Level Visit"/>
    <s v="Africa"/>
    <s v="West Asia and Africa"/>
    <s v="Comprehensive Strategic Cooperative Partnership [全面战略合作伙伴关系]"/>
    <s v="None"/>
    <s v="AFRICOM"/>
    <s v="Senegal"/>
    <x v="31"/>
    <n v="10"/>
    <x v="1"/>
    <s v="Liu Wenqi"/>
    <m/>
    <s v="Commander, Northern TC Air Force"/>
    <n v="5"/>
    <s v="Abroad"/>
    <s v="Senegal AF Commander; Africa Airforce Forum"/>
    <m/>
    <m/>
    <m/>
    <m/>
    <m/>
    <m/>
    <m/>
    <m/>
  </r>
  <r>
    <s v="Senior Level Visit"/>
    <s v="Southeast Asia"/>
    <s v="Asia"/>
    <s v="Comprehensive Strategic Partnership [全面战略伙伴关系]"/>
    <s v="None"/>
    <s v="INDOPACOM"/>
    <s v="ASEAN"/>
    <x v="31"/>
    <n v="11"/>
    <x v="1"/>
    <s v="Wei Fenghe"/>
    <m/>
    <s v="Defense Minister; CMC Member"/>
    <n v="8"/>
    <s v="Abroad"/>
    <s v="ADMM+"/>
    <m/>
    <m/>
    <m/>
    <m/>
    <m/>
    <m/>
    <m/>
    <m/>
  </r>
  <r>
    <s v="Senior Level Visit"/>
    <s v="Southeast Asia"/>
    <s v="Asia"/>
    <s v="Comprehensive Strategic Cooperative Partnership [全面战略合作伙伴关系]"/>
    <s v="None"/>
    <s v="INDOPACOM"/>
    <s v="Cambodia"/>
    <x v="31"/>
    <n v="11"/>
    <x v="4"/>
    <s v="Wei Fenghe"/>
    <m/>
    <s v="Defense Minister; CMC Member"/>
    <n v="8"/>
    <s v="Abroad"/>
    <s v="PM Hun Sen and Defense Minister General Tea Banh "/>
    <m/>
    <m/>
    <m/>
    <m/>
    <m/>
    <m/>
    <m/>
    <m/>
  </r>
  <r>
    <s v="Naval Port Call"/>
    <s v="Southeast Asia"/>
    <s v="Asia"/>
    <s v="Comprehensive Strategic Partnership [全面战略伙伴关系]"/>
    <s v="None"/>
    <s v="INDOPACOM"/>
    <s v="Indonesia"/>
    <x v="31"/>
    <n v="11"/>
    <x v="12"/>
    <m/>
    <m/>
    <m/>
    <m/>
    <m/>
    <m/>
    <m/>
    <m/>
    <m/>
    <m/>
    <s v="NETF"/>
    <s v="Mission Harmony-2022"/>
    <s v="East Sea Fleet"/>
    <s v="Peace Ark visit to provide medical services"/>
  </r>
  <r>
    <s v="Senior Level Visit"/>
    <s v="Southeast Asia"/>
    <s v="Asia"/>
    <s v="Comprehensive Strategic Partnership [全面战略伙伴关系]"/>
    <s v="None"/>
    <s v="INDOPACOM"/>
    <s v="Indonesia"/>
    <x v="31"/>
    <n v="11"/>
    <x v="3"/>
    <s v="Wei Fenghe"/>
    <m/>
    <s v="Defense Minister; CMC Member"/>
    <n v="8"/>
    <s v="Hosted"/>
    <s v="Defense Minister Prabowo Subianto  in Xi'an"/>
    <m/>
    <m/>
    <m/>
    <m/>
    <m/>
    <m/>
    <m/>
    <m/>
  </r>
  <r>
    <s v="Senior Level Visit"/>
    <s v="Southeast Asia"/>
    <s v="Asia"/>
    <s v="Comprehensive Strategic Cooperative Partnership [全面战略合作伙伴关系]"/>
    <s v="None"/>
    <s v="INDOPACOM"/>
    <s v="Laos"/>
    <x v="31"/>
    <n v="11"/>
    <x v="3"/>
    <s v="Wang Xiubin"/>
    <m/>
    <s v="Southern TC Commander"/>
    <n v="6"/>
    <s v="Hosted"/>
    <s v="Deputy Minister of National Defense and Chief of the General Staff Lieutenant General Khamlieng Outhakaysone,"/>
    <m/>
    <s v=" "/>
    <s v=" "/>
    <m/>
    <m/>
    <m/>
    <m/>
    <m/>
  </r>
  <r>
    <s v="Senior Level Visit"/>
    <s v="Northeast Asia"/>
    <s v="Asia"/>
    <s v="Comprehensive Strategic Partnership [全面战略伙伴关系]"/>
    <s v="None"/>
    <s v="INDOPACOM"/>
    <s v="Mongolia"/>
    <x v="31"/>
    <n v="11"/>
    <x v="15"/>
    <s v="Wei Fenghe"/>
    <m/>
    <s v="Defense Minister; CMC Member"/>
    <n v="8"/>
    <s v="Virtual"/>
    <s v="Minister of Defense Saikhanbayar Gursed "/>
    <m/>
    <m/>
    <m/>
    <m/>
    <m/>
    <m/>
    <m/>
    <m/>
  </r>
  <r>
    <s v="Military Exercise"/>
    <s v="Russia"/>
    <s v="Europe and Central Asia"/>
    <s v="Comprehensive Strategic Partnership of Coordination in the New Era [新时代中俄全面战略协作伙伴关系]"/>
    <s v="None"/>
    <s v="EUCOM"/>
    <s v="Russia"/>
    <x v="31"/>
    <n v="11"/>
    <x v="5"/>
    <m/>
    <m/>
    <m/>
    <m/>
    <m/>
    <m/>
    <s v="Patrol"/>
    <s v="Joint Aerial Strategic Patrol 2022 (II)"/>
    <s v="Air Force"/>
    <s v="&quot;Joint strategic air patrol&quot; over Sea of Japan, the East China Sea and the west Pacific Ocean --PLAAF H-6K strategic bombers, YU-20 tanker aircraft and J-16 fighter jets (which refuel from YU-20); Russian Tu-95MS strategic missile-carrying bomber. Planes land on airfields in each other's territory. First time they conduct two air patrols in one year."/>
    <m/>
    <m/>
    <m/>
    <m/>
  </r>
  <r>
    <s v="Senior Level Visit"/>
    <s v="Southeast Asia"/>
    <s v="Asia"/>
    <s v="All-Round Cooperative Partnership [全方合作伙伴关系]"/>
    <s v="None"/>
    <s v="INDOPACOM"/>
    <s v="Singapore"/>
    <x v="31"/>
    <n v="11"/>
    <x v="3"/>
    <s v="Wei Fenghe"/>
    <m/>
    <s v="Defense Minister; CMC Member"/>
    <n v="8"/>
    <s v="Hosted"/>
    <s v="Defense Minister Ng Eng Hen in Xi'an"/>
    <m/>
    <m/>
    <m/>
    <m/>
    <m/>
    <m/>
    <m/>
    <m/>
  </r>
  <r>
    <s v="Senior Level Visit"/>
    <s v="North America"/>
    <s v="America and Oceania"/>
    <s v="No Specific Relationship"/>
    <s v="N/A"/>
    <s v="NORTHCOM"/>
    <s v="United States"/>
    <x v="31"/>
    <n v="11"/>
    <x v="7"/>
    <s v="Wei Fenghe"/>
    <m/>
    <s v="Defense Minister; CMC Member"/>
    <n v="8"/>
    <s v="Abroad"/>
    <s v="Secretary of Defense; BL at ADMM+"/>
    <m/>
    <m/>
    <m/>
    <m/>
    <m/>
    <m/>
    <m/>
    <m/>
  </r>
  <r>
    <s v="Naval Port Call"/>
    <s v="South Asia"/>
    <s v="Asia "/>
    <s v="Strategic Cooperative Partnership [战略合作伙伴关系]"/>
    <s v="None"/>
    <s v="INDOPACOM"/>
    <s v="Bangladesh"/>
    <x v="31"/>
    <n v="12"/>
    <x v="0"/>
    <m/>
    <m/>
    <m/>
    <m/>
    <m/>
    <m/>
    <m/>
    <m/>
    <m/>
    <m/>
    <s v="NETF"/>
    <s v="Bangladesh International Fleet Review"/>
    <s v="South Sea Fleet"/>
    <s v="Changsha DDG to Bangladesh to Participate in International Fleet Review"/>
  </r>
  <r>
    <s v="Senior Level Visit"/>
    <s v="South America"/>
    <s v="America and Oceania"/>
    <s v="Comprehensive Cooperative Partnership [全面合作伙伴关系]"/>
    <s v="None"/>
    <s v="SOUTHCOM"/>
    <s v="CELAC"/>
    <x v="31"/>
    <n v="12"/>
    <x v="16"/>
    <s v="Wei Fenghe"/>
    <m/>
    <s v="Defense Minister; CMC Member"/>
    <n v="8"/>
    <s v="Virtual"/>
    <s v="Fifth China-Latin American and the Caribbean States Defense Forum "/>
    <m/>
    <m/>
    <m/>
    <m/>
    <m/>
    <m/>
    <m/>
    <m/>
  </r>
  <r>
    <s v="Senior Level Visit"/>
    <s v="Northeast Asia"/>
    <s v="Asia"/>
    <s v="N/A"/>
    <s v="None"/>
    <s v="INDOPACOM"/>
    <s v="N/A"/>
    <x v="31"/>
    <n v="12"/>
    <x v="16"/>
    <s v="Yang Xuejun"/>
    <m/>
    <s v="President, AMS"/>
    <n v="5"/>
    <s v="Virtual"/>
    <s v="Xiangshan Forum (Virtual)"/>
    <m/>
    <m/>
    <m/>
    <m/>
    <m/>
    <m/>
    <m/>
    <m/>
  </r>
  <r>
    <s v="Military Exercise"/>
    <s v="Russia"/>
    <s v="Europe and Central Asia"/>
    <s v="Comprehensive Strategic Partnership of Coordination in the New Era [新时代中俄全面战略协作伙伴关系]"/>
    <s v="None"/>
    <s v="EUCOM"/>
    <s v="Russia"/>
    <x v="31"/>
    <n v="12"/>
    <x v="5"/>
    <m/>
    <m/>
    <m/>
    <m/>
    <m/>
    <m/>
    <s v="Combat"/>
    <s v="Joint Sea 2022"/>
    <s v="Navy"/>
    <s v="In the East China Sea on December 21-27.  Operations on blockade and control, visit, board, search and seizure (VBSS), air defense, rescue, ASW, destroyers Baotou and Jinan, frigates Binzhou and Yancheng, supply ship Gaoyouhu, as well as submarine, fixed-wing early warning aircraft and anti-submarine patrol aircraft"/>
    <m/>
    <m/>
    <m/>
    <m/>
  </r>
  <r>
    <s v="Senior Level Visit"/>
    <s v="Central Asia"/>
    <s v="Europe and Central Asia"/>
    <s v="Member"/>
    <s v="None"/>
    <s v="CENTCOM"/>
    <s v="SCO"/>
    <x v="31"/>
    <n v="12"/>
    <x v="16"/>
    <s v="Wei Fenghe"/>
    <m/>
    <s v="Defense Minister; CMC Member"/>
    <n v="8"/>
    <s v="Virtual"/>
    <s v="Joint SCO-CIS Defense Ministers meeting; PRC MINDEF attended virtually"/>
    <m/>
    <m/>
    <m/>
    <m/>
    <m/>
    <m/>
    <m/>
    <m/>
  </r>
  <r>
    <s v="Senior Level Visit"/>
    <s v="Central Asia"/>
    <s v="Europe and Central Asia"/>
    <s v="Comprehensive Strategic Partnership [全面战略伙伴]"/>
    <s v="None"/>
    <s v="CENTCOM"/>
    <s v="Turkmenistan"/>
    <x v="32"/>
    <n v="1"/>
    <x v="3"/>
    <s v="Wei Fenghe"/>
    <m/>
    <s v="Defense Minister; CMC Member"/>
    <n v="8"/>
    <s v="Hosted"/>
    <s v="Defense Minister Begench Gundogdyev "/>
    <m/>
    <m/>
    <m/>
    <m/>
    <m/>
    <m/>
    <m/>
    <m/>
  </r>
  <r>
    <s v="Senior Level Visit"/>
    <s v="Southeast Asia"/>
    <s v="Asia"/>
    <s v="Comprehensive Strategic Cooperative Partnership [全面战略合作伙伴关系]"/>
    <s v="None"/>
    <s v="INDOPACOM"/>
    <s v="Cambodia"/>
    <x v="32"/>
    <n v="2"/>
    <x v="3"/>
    <s v="Zhang Youxia"/>
    <m/>
    <s v="CMC Vice Chairman"/>
    <n v="10"/>
    <s v="Hosted"/>
    <s v="Deputy Commander-in-Chief, RCAF"/>
    <m/>
    <m/>
    <m/>
    <m/>
    <m/>
    <m/>
    <m/>
    <m/>
  </r>
  <r>
    <s v="Military Exercise"/>
    <s v="South Asia"/>
    <s v="Asia"/>
    <s v="All-Weather Strategic Cooperative Partnership [全天候战略合作伙伴关系]"/>
    <s v="Major Non-NATO Ally"/>
    <s v="CENTCOM"/>
    <s v="Pakistan"/>
    <x v="32"/>
    <n v="2"/>
    <x v="6"/>
    <m/>
    <m/>
    <m/>
    <m/>
    <m/>
    <m/>
    <s v="Anti-piracy"/>
    <s v="AMAN-23"/>
    <s v="Navy"/>
    <s v="Divided into harbor and sea phases, involving warships, aircraft, special operations forces; 50+ observer countries; Nanning guided-missile destroyer"/>
    <m/>
    <m/>
    <m/>
    <m/>
  </r>
  <r>
    <s v="Military Exercise"/>
    <s v="Africa"/>
    <s v="West Asia and Africa"/>
    <s v="Comprehensive Strategic Partnership [全面战略伙伴关系]"/>
    <s v="None"/>
    <s v="AFRICOM"/>
    <s v="South Africa"/>
    <x v="32"/>
    <n v="2"/>
    <x v="6"/>
    <m/>
    <m/>
    <m/>
    <m/>
    <m/>
    <m/>
    <s v="Anti-terrorism"/>
    <s v="Unnamed"/>
    <s v="Navy"/>
    <s v="Second Russia-China-South Africa exercise; 42nd Chinese naval escort; Guided missile destroyer Huainan, frigate Rizhao and comprehensive supply ship Kekexilihu; joint escort, boarding and inspection, and CT ops"/>
    <m/>
    <m/>
    <m/>
    <m/>
  </r>
  <r>
    <s v="Military Exercise"/>
    <s v="Southeast Asia"/>
    <s v="Asia"/>
    <s v="Comprehensive Strategic Partnership [全面战略伙伴]"/>
    <s v="Bilateral Defense Treaty"/>
    <s v="INDOPACOM"/>
    <s v="Thailand"/>
    <x v="32"/>
    <n v="2"/>
    <x v="6"/>
    <m/>
    <m/>
    <m/>
    <m/>
    <s v="Abroad"/>
    <m/>
    <s v="MOOTW"/>
    <s v="Cobra Gold 2023"/>
    <s v="Army"/>
    <s v="Southern Theater Command dispatched for tabletop HADR exercises, high-level forum and live drills  "/>
    <m/>
    <m/>
    <m/>
    <m/>
  </r>
  <r>
    <s v="Military Exercise"/>
    <s v="Southeast Asia"/>
    <s v="Asia"/>
    <s v="Comprehensive Strategic Cooperative Partnership [全面战略合作伙伴关系]"/>
    <s v="None"/>
    <s v="INDOPACOM"/>
    <s v="Cambodia"/>
    <x v="32"/>
    <n v="3"/>
    <x v="5"/>
    <m/>
    <m/>
    <m/>
    <m/>
    <m/>
    <m/>
    <s v="MOOTW"/>
    <s v="Golden Dragon 2023"/>
    <s v="Joint"/>
    <s v="more than 200 troops from Army, Navy, and JLSF of Southern Theater Command"/>
    <m/>
    <m/>
    <m/>
    <m/>
  </r>
  <r>
    <s v="Military Exercise"/>
    <s v="Middle East"/>
    <s v="West Asia and Africa"/>
    <s v="Comprehensive Strategic Partnership [全面战略伙伴关系]"/>
    <s v="None"/>
    <s v="CENTCOM"/>
    <s v="Iran"/>
    <x v="32"/>
    <n v="3"/>
    <x v="6"/>
    <m/>
    <m/>
    <m/>
    <m/>
    <m/>
    <m/>
    <s v="Combat Support"/>
    <s v="Security Belt 2023"/>
    <s v="Navy"/>
    <s v="with Russia in Gulf of Oman; dispatched guided-missile destroyer CNS Nanning to participate in the_x000a_exercise on aerial search, maritime rescue, ship parade, etc."/>
    <m/>
    <m/>
    <m/>
    <m/>
  </r>
  <r>
    <s v="Senior Level Visit"/>
    <s v="South Asia"/>
    <s v="Asia "/>
    <s v="Strategic Cooperative Partnership [战略合作伙伴关系]"/>
    <s v="None"/>
    <s v="INDOPACOM"/>
    <s v="Bangladesh"/>
    <x v="32"/>
    <n v="4"/>
    <x v="3"/>
    <s v="Li Shangfu"/>
    <m/>
    <s v="Defense Minister; CMC Member"/>
    <n v="8"/>
    <s v="Hosted"/>
    <s v="Chief of Naval Staff  "/>
    <m/>
    <m/>
    <m/>
    <m/>
    <m/>
    <m/>
    <m/>
    <m/>
  </r>
  <r>
    <s v="Senior Level Visit"/>
    <s v="Europe"/>
    <s v="Europe and Central Asia"/>
    <s v="Comprehensive Strategic Partnership [全面战略伙伴关系]"/>
    <s v="None"/>
    <s v="EUCOM"/>
    <s v="Belarus"/>
    <x v="32"/>
    <n v="4"/>
    <x v="7"/>
    <s v="Li Shangfu"/>
    <m/>
    <s v="Defense Minister; CMC Member"/>
    <n v="8"/>
    <s v="Abroad"/>
    <s v="Defense Minister; BL at SCO"/>
    <m/>
    <m/>
    <m/>
    <m/>
    <m/>
    <m/>
    <m/>
    <m/>
  </r>
  <r>
    <s v="Senior Level Visit"/>
    <s v="South Asia"/>
    <s v="Asia"/>
    <s v="Strategic Partnership for Peace and Prosperity [战略伙伴关系]"/>
    <s v="None"/>
    <s v="INDOPACOM"/>
    <s v="India"/>
    <x v="32"/>
    <n v="4"/>
    <x v="7"/>
    <s v="Li Shangfu"/>
    <m/>
    <s v="Defense Minister; CMC Member"/>
    <n v="8"/>
    <s v="Abroad"/>
    <s v="Defense Minister, BL at SCO"/>
    <m/>
    <m/>
    <m/>
    <m/>
    <m/>
    <m/>
    <m/>
    <m/>
  </r>
  <r>
    <s v="Senior Level Visit"/>
    <s v="Middle East"/>
    <s v="West Asia and Africa"/>
    <s v="Comprehensive Strategic Partnership [全面战略伙伴关系]"/>
    <s v="None"/>
    <s v="CENTCOM"/>
    <s v="Iran"/>
    <x v="32"/>
    <n v="4"/>
    <x v="7"/>
    <s v="Li Shangfu"/>
    <m/>
    <s v="Defense Minister; CMC Member"/>
    <n v="8"/>
    <s v="Abroad"/>
    <s v="Defense Minister; BL at SCO"/>
    <m/>
    <m/>
    <m/>
    <m/>
    <m/>
    <m/>
    <m/>
    <m/>
  </r>
  <r>
    <s v="Senior Level Visit"/>
    <s v="Central Asia"/>
    <s v="Europe and Central Asia"/>
    <s v="Comprehensive Strategic Partnership [全面战略伙伴关系]"/>
    <s v="None"/>
    <s v="CENTCOM"/>
    <s v="Kazakhstan"/>
    <x v="32"/>
    <n v="4"/>
    <x v="7"/>
    <s v="Li Shangfu"/>
    <m/>
    <s v="Defense Minister; CMC Member"/>
    <n v="8"/>
    <s v="Abroad"/>
    <s v="Defense Minister; BL at SCO"/>
    <m/>
    <m/>
    <m/>
    <m/>
    <m/>
    <m/>
    <m/>
    <m/>
  </r>
  <r>
    <s v="Senior Level Visit"/>
    <s v="Central Asia"/>
    <s v="Europe and Central Asia"/>
    <s v="Comprehensive Strategic Partnership [全面战略伙伴关系]"/>
    <s v="None"/>
    <s v="CENTCOM"/>
    <s v="Kyrgyzstan"/>
    <x v="32"/>
    <n v="4"/>
    <x v="7"/>
    <s v="Li Shangfu"/>
    <m/>
    <s v="Defense Minister; CMC Member"/>
    <n v="8"/>
    <s v="Abroad"/>
    <s v="Defense Minister; BL at SCO"/>
    <m/>
    <m/>
    <m/>
    <m/>
    <m/>
    <m/>
    <m/>
    <m/>
  </r>
  <r>
    <s v="Senior Level Visit"/>
    <s v="South Asia"/>
    <s v="Asia"/>
    <s v="All-Weather Strategic Cooperative Partnership [全天候战略合作伙伴关系]"/>
    <s v="Major Non-NATO Ally"/>
    <s v="CENTCOM"/>
    <s v="Pakistan"/>
    <x v="32"/>
    <n v="4"/>
    <x v="3"/>
    <s v="Zhang Youxia"/>
    <m/>
    <s v="CMC Vice Chairman"/>
    <n v="10"/>
    <s v="Hosted"/>
    <s v="Chief Army Staff General Asim Munir in Beijing"/>
    <m/>
    <m/>
    <m/>
    <m/>
    <m/>
    <m/>
    <m/>
    <m/>
  </r>
  <r>
    <s v="Senior Level Visit"/>
    <s v="Russia"/>
    <s v="Europe and Central Asia"/>
    <s v="Comprehensive Strategic Partnership of Coordination in the New Era [新时代中俄全面战略协作伙伴关系]"/>
    <s v="None"/>
    <s v="EUCOM"/>
    <s v="Russia"/>
    <x v="32"/>
    <n v="4"/>
    <x v="4"/>
    <s v="Li Shangfu"/>
    <m/>
    <s v="Defense Minister; CMC Member"/>
    <n v="8"/>
    <s v="Abroad"/>
    <s v="Russian Defense Minister"/>
    <m/>
    <m/>
    <m/>
    <m/>
    <m/>
    <m/>
    <m/>
    <m/>
  </r>
  <r>
    <s v="Senior Level Visit"/>
    <s v="Russia"/>
    <s v="Europe and Central Asia"/>
    <s v="Comprehensive Strategic Partnership of Coordination in the New Era [新时代中俄全面战略协作伙伴关系]"/>
    <s v="None"/>
    <s v="EUCOM"/>
    <s v="Russia"/>
    <x v="32"/>
    <n v="4"/>
    <x v="7"/>
    <s v="Li Shangfu"/>
    <m/>
    <s v="Defense Minister; CMC Member"/>
    <n v="8"/>
    <s v="Abroad"/>
    <s v="Defense Minister; BL at SCO"/>
    <m/>
    <m/>
    <m/>
    <m/>
    <m/>
    <m/>
    <m/>
    <m/>
  </r>
  <r>
    <s v="Senior Level Visit"/>
    <s v="South Asia"/>
    <s v="Asia"/>
    <s v="Member"/>
    <s v="None"/>
    <s v="INDOPACOM"/>
    <s v="SCO"/>
    <x v="32"/>
    <n v="4"/>
    <x v="1"/>
    <s v="Li Shangfu"/>
    <m/>
    <s v="Defense Minister; CMC Member"/>
    <n v="8"/>
    <s v="Abroad"/>
    <s v="SCO Defense Ministers' meeting in India "/>
    <m/>
    <m/>
    <m/>
    <m/>
    <m/>
    <m/>
    <m/>
    <m/>
  </r>
  <r>
    <s v="Military Exercise"/>
    <s v="Southeast Asia"/>
    <s v="Asia"/>
    <s v="All-round, high-quality, future-oriented Partnernship [全方位高质量的前瞻性伙伴关系]"/>
    <s v="None"/>
    <s v="INDOPACOM"/>
    <s v="Singapore"/>
    <x v="32"/>
    <n v="4"/>
    <x v="5"/>
    <m/>
    <m/>
    <m/>
    <m/>
    <m/>
    <m/>
    <s v="Combat Support"/>
    <s v="China-Singapore Cooperation 2023"/>
    <s v="Navy"/>
    <s v="helicopter cross deck landing, gunnery firing, replenishment-at-sea approaches, search and rescue, simulated minefield transits, ommunication and maneuvring exercises"/>
    <m/>
    <m/>
    <m/>
    <m/>
  </r>
  <r>
    <s v="Senior Level Visit"/>
    <s v="Central Asia"/>
    <s v="Europe and Central Asia"/>
    <s v="Comprehensive Strategic Partnership [全面战略伙伴关系]"/>
    <s v="None"/>
    <s v="CENTCOM"/>
    <s v="Tajikistan"/>
    <x v="32"/>
    <n v="4"/>
    <x v="7"/>
    <s v="Li Shangfu"/>
    <m/>
    <s v="Defense Minister; CMC Member"/>
    <n v="8"/>
    <s v="Abroad"/>
    <s v="Defense Minister; BL at SCO"/>
    <m/>
    <m/>
    <m/>
    <m/>
    <m/>
    <m/>
    <m/>
    <m/>
  </r>
  <r>
    <s v="Senior Level Visit"/>
    <s v="Southeast Asia"/>
    <s v="Asia"/>
    <s v="Comprehensive Strategic Partnership [全面战略伙伴]"/>
    <s v="Bilateral Defense Treaty"/>
    <s v="INDOPACOM"/>
    <s v="Thailand"/>
    <x v="32"/>
    <n v="4"/>
    <x v="3"/>
    <s v="Li Shangfu"/>
    <m/>
    <s v="Defense Minister; CMC Member"/>
    <n v="8"/>
    <s v="Hosted"/>
    <s v="Commander of Navy"/>
    <m/>
    <m/>
    <m/>
    <m/>
    <m/>
    <m/>
    <m/>
    <m/>
  </r>
  <r>
    <s v="Senior Level Visit"/>
    <s v="Central Asia"/>
    <s v="Europe and Central Asia"/>
    <s v="Comprehensive Strategic Partnership [全面战略伙伴关系]"/>
    <s v="None"/>
    <s v="CENTCOM"/>
    <s v="Uzbekistan"/>
    <x v="32"/>
    <n v="4"/>
    <x v="7"/>
    <s v="Li Shangfu"/>
    <m/>
    <s v="Defense Minister; CMC Member"/>
    <n v="8"/>
    <s v="Abroad"/>
    <s v="Defense Minister; BL at SCO"/>
    <m/>
    <m/>
    <m/>
    <m/>
    <m/>
    <m/>
    <m/>
    <m/>
  </r>
  <r>
    <s v="Senior Level Visit"/>
    <s v="Africa"/>
    <s v="West Asia and Africa"/>
    <s v="Comprehensive Collaborative Stategic Partnership [全面战略合作伙伴关系]"/>
    <s v="None"/>
    <s v="AFRICOM"/>
    <s v="DR Congo"/>
    <x v="32"/>
    <n v="5"/>
    <x v="3"/>
    <s v="Li Shangfu"/>
    <m/>
    <s v="Defense Minister; CMC Member"/>
    <n v="8"/>
    <s v="Hosted"/>
    <s v="Defense Minister Jean-Pierre Bemba"/>
    <m/>
    <m/>
    <m/>
    <m/>
    <m/>
    <m/>
    <m/>
    <m/>
  </r>
  <r>
    <s v="Military Exercise"/>
    <s v="Africa"/>
    <s v="West Asia and Africa"/>
    <s v="Comprehensive Cooperative Partnership [全面合作伙伴关系]"/>
    <s v="None"/>
    <s v="AFRICOM"/>
    <s v="Ethiopia"/>
    <x v="32"/>
    <n v="5"/>
    <x v="5"/>
    <m/>
    <m/>
    <m/>
    <m/>
    <m/>
    <m/>
    <s v="MOOTW"/>
    <s v="N/A"/>
    <s v="Army"/>
    <s v="9th military medical expert team sent for medical aid "/>
    <m/>
    <m/>
    <m/>
    <m/>
  </r>
  <r>
    <s v="Senior Level Visit"/>
    <s v="Northeast Asia"/>
    <s v="Asia"/>
    <s v="Mutually Beneficial Strategic Relationship [战略互惠关系]"/>
    <s v="Bilateral Defense Treaty"/>
    <s v="INDOPACOM"/>
    <s v="Japan"/>
    <x v="32"/>
    <n v="5"/>
    <x v="15"/>
    <s v="Li Shangfu"/>
    <m/>
    <s v="Defense Minister; CMC Member"/>
    <n v="8"/>
    <s v="Virtual"/>
    <s v="Defense Minister Yasukazu Hamada"/>
    <m/>
    <m/>
    <m/>
    <m/>
    <m/>
    <m/>
    <m/>
    <m/>
  </r>
  <r>
    <s v="Military Exercise"/>
    <s v="Southeast Asia"/>
    <s v="Asia"/>
    <s v="Comprehensive Strategic Cooperative Partnership [全面战略合作伙伴关系]"/>
    <s v="None"/>
    <s v="INDOPACOM"/>
    <s v="Laos"/>
    <x v="32"/>
    <n v="5"/>
    <x v="5"/>
    <m/>
    <m/>
    <m/>
    <m/>
    <m/>
    <m/>
    <s v="Anti-terrorism"/>
    <s v=" Friendship Shield 2023"/>
    <s v="Army"/>
    <s v="scenario of joint attacks on transnational armed criminal groups based in jungle mountains; includes live arms firing, comprehensive individual training, detachment tactics and combat service support"/>
    <m/>
    <m/>
    <m/>
    <m/>
  </r>
  <r>
    <s v="Senior Level Visit"/>
    <s v="Oceania"/>
    <s v="America and Oceania"/>
    <s v="Comprehensive Strategic Partnership [全面战略伙伴关系]"/>
    <s v="ANZUS Treaty"/>
    <s v="INDOPACOM"/>
    <s v="New Zealand"/>
    <x v="32"/>
    <n v="5"/>
    <x v="3"/>
    <s v="???"/>
    <m/>
    <s v="???"/>
    <n v="5"/>
    <s v="Hosted"/>
    <s v="Vice Chief of Defence Force"/>
    <m/>
    <m/>
    <m/>
    <m/>
    <m/>
    <m/>
    <m/>
    <m/>
  </r>
  <r>
    <s v="Senior Level Visit"/>
    <s v="South Asia"/>
    <s v="Asia"/>
    <s v="All-Weather Strategic Cooperative Partnership [全天候战略合作伙伴关系]"/>
    <s v="Major Non-NATO Ally"/>
    <s v="CENTCOM"/>
    <s v="Pakistan"/>
    <x v="32"/>
    <n v="5"/>
    <x v="3"/>
    <s v="Li Shangfu"/>
    <m/>
    <s v="Defense Minister; CMC Member"/>
    <n v="8"/>
    <s v="Hosted"/>
    <s v="Chief of Naval Staff in Beijing"/>
    <m/>
    <m/>
    <m/>
    <m/>
    <m/>
    <m/>
    <m/>
    <m/>
  </r>
  <r>
    <s v="Naval Port Call"/>
    <s v="Southeast Asia"/>
    <s v="Asia"/>
    <s v="Comprehensive Strategic Cooperative Partnership [全面战略合作伙伴关系]"/>
    <s v="Bilateral Defense Treaty"/>
    <s v="INDOPACOM"/>
    <s v="Thailand"/>
    <x v="32"/>
    <n v="5"/>
    <x v="0"/>
    <m/>
    <m/>
    <m/>
    <m/>
    <m/>
    <m/>
    <m/>
    <m/>
    <m/>
    <m/>
    <s v="NETF"/>
    <s v="Training Ship Qi Jiguang"/>
    <s v="South Sea Fleet"/>
    <s v="Qi Jiguang training ship"/>
  </r>
  <r>
    <s v="Naval Port Call"/>
    <s v="Southeast Asia"/>
    <s v="Asia"/>
    <s v="Comprehensive Strategic Partnership [全面战略伙伴关系]"/>
    <s v="None"/>
    <s v="INDOPACOM"/>
    <s v="Vietnam"/>
    <x v="32"/>
    <n v="5"/>
    <x v="0"/>
    <m/>
    <m/>
    <m/>
    <m/>
    <m/>
    <m/>
    <m/>
    <m/>
    <m/>
    <m/>
    <s v="NETF"/>
    <s v="Training Ship Qi Jiguang"/>
    <s v="South Sea Fleet"/>
    <s v="Qi Jiguang training ship"/>
  </r>
  <r>
    <s v="Senior Level Visit"/>
    <s v="South America"/>
    <s v="America and Oceania"/>
    <s v="Comprehensive Strategic Partnership [全面战略伙伴关系]"/>
    <s v="None"/>
    <s v="SOUTHCOM"/>
    <s v="Brazil"/>
    <x v="32"/>
    <n v="6"/>
    <x v="4"/>
    <s v="Yuan Huazhi"/>
    <m/>
    <s v="PLAN PC"/>
    <n v="8"/>
    <s v="Abroad"/>
    <s v="Navy Commander"/>
    <m/>
    <m/>
    <m/>
    <m/>
    <m/>
    <m/>
    <m/>
    <m/>
  </r>
  <r>
    <s v="Naval Port Call"/>
    <s v="Southeast Asia"/>
    <s v="Asia"/>
    <s v="Strategic Cooperative Partnership [战略合作伙伴关系]"/>
    <s v="None"/>
    <s v="INDOPACOM"/>
    <s v="Brunei"/>
    <x v="32"/>
    <n v="6"/>
    <x v="0"/>
    <m/>
    <m/>
    <m/>
    <m/>
    <m/>
    <m/>
    <m/>
    <m/>
    <m/>
    <m/>
    <s v="NETF"/>
    <s v="Training Ship Qi Jiguang"/>
    <s v="South Sea Fleet"/>
    <s v="Qi Jiguang training ship"/>
  </r>
  <r>
    <s v="Senior Level Visit"/>
    <s v="Southeast Asia"/>
    <s v="Asia"/>
    <s v="No Specific Relationship"/>
    <s v="None"/>
    <s v="INDOPACOM"/>
    <s v="IISS"/>
    <x v="32"/>
    <n v="6"/>
    <x v="1"/>
    <s v="Li Shangfu"/>
    <m/>
    <s v="Defense Minister; CMC Member"/>
    <n v="8"/>
    <s v="Abroad"/>
    <s v="20th Shangri-La"/>
    <m/>
    <m/>
    <m/>
    <m/>
    <m/>
    <m/>
    <m/>
    <m/>
  </r>
  <r>
    <s v="Senior Level Visit"/>
    <s v="Southeast Asia"/>
    <s v="Asia"/>
    <s v="Comprehensive Strategic Partnership [全面战略伙伴关系]"/>
    <s v="None"/>
    <s v="INDOPACOM"/>
    <s v="Indonesia"/>
    <x v="32"/>
    <n v="6"/>
    <x v="7"/>
    <s v="Li Shangfu"/>
    <m/>
    <s v="Defense Minister; CMC Member"/>
    <n v="8"/>
    <s v="Abroad"/>
    <s v="Defense Minister Subianto; BL at Shangri-La"/>
    <m/>
    <m/>
    <m/>
    <m/>
    <m/>
    <m/>
    <m/>
    <m/>
  </r>
  <r>
    <s v="Military Exercise"/>
    <s v="Southeast Asia"/>
    <s v="Asia"/>
    <s v="Comprehensive Strategic Partnership [全面战略伙伴关系]"/>
    <s v="None"/>
    <s v="INDOPACOM"/>
    <s v="Indonesia"/>
    <x v="32"/>
    <n v="6"/>
    <x v="6"/>
    <m/>
    <m/>
    <m/>
    <m/>
    <m/>
    <m/>
    <s v="MOOTW"/>
    <s v="Komodo 2023"/>
    <s v="Navy"/>
    <s v="Maritime. Southern TCN’s destroyer Zhanjiang and frigate Xuchang (Hull 536); more than 40 ships from Indonesia, the US, Russia, Singapore, Pakistan, and other countries; exercise included a fleet review, onshore activities (city parade, maritime exhibition, civil medical_x000a_service, civil engineering program, culinary demonstrations, fun diving and sports exchanges, and_x000a_lectures), and joint maritime drills (search and rescue, maritime interception, damage control, and_x000a_aerial photography), etc"/>
    <m/>
    <m/>
    <m/>
    <m/>
  </r>
  <r>
    <s v="Naval Port Call"/>
    <s v="Africa"/>
    <s v="West Asia and Africa"/>
    <s v="No Specific Relationship"/>
    <s v="None"/>
    <s v="AFRICOM"/>
    <s v="Ivory Coast"/>
    <x v="32"/>
    <n v="6"/>
    <x v="0"/>
    <m/>
    <m/>
    <m/>
    <m/>
    <m/>
    <m/>
    <m/>
    <m/>
    <m/>
    <m/>
    <s v="ETF"/>
    <s v="ETF-43"/>
    <s v="South Sea Fleet"/>
    <s v="DDG162 Nanning, FFG574 Sanya, AOR887 Weishanhu "/>
  </r>
  <r>
    <s v="Naval Port Call"/>
    <s v="Africa"/>
    <s v="West Asia and Africa"/>
    <s v="No Specific Relationship"/>
    <s v="None"/>
    <s v="AFRICOM"/>
    <s v="Ivory Coast"/>
    <x v="32"/>
    <n v="6"/>
    <x v="0"/>
    <m/>
    <m/>
    <m/>
    <m/>
    <m/>
    <m/>
    <m/>
    <m/>
    <m/>
    <m/>
    <s v="ETF"/>
    <s v="ETF-43 "/>
    <m/>
    <s v="DDG162 Nanning, FFG574 Sanya, AOR887 Weishanhu "/>
  </r>
  <r>
    <s v="Senior Level Visit"/>
    <s v="Northeast Asia"/>
    <s v="Asia"/>
    <s v="Mutually Beneficial Strategic Relationship [战略互惠关系]"/>
    <s v="Bilateral Defense Treaty"/>
    <s v="INDOPACOM"/>
    <s v="Japan"/>
    <x v="32"/>
    <n v="6"/>
    <x v="7"/>
    <s v="Li Shangfu"/>
    <m/>
    <s v="Defense Minister; CMC Member"/>
    <n v="8"/>
    <s v="Abroad"/>
    <s v="Defense Minister Hamada; BL at Shangri-La"/>
    <m/>
    <m/>
    <m/>
    <m/>
    <m/>
    <m/>
    <m/>
    <m/>
  </r>
  <r>
    <s v="Military Exercise"/>
    <s v="Northeast Asia"/>
    <s v="Asia"/>
    <s v="Comprehensive Strategic Partnership [全面战略伙伴关系]"/>
    <s v="None"/>
    <s v="INDOPACOM"/>
    <s v="Mongolia"/>
    <x v="32"/>
    <n v="6"/>
    <x v="6"/>
    <m/>
    <m/>
    <m/>
    <m/>
    <m/>
    <m/>
    <s v="MOOTW"/>
    <s v="Khaan Quest 2023"/>
    <s v="Army"/>
    <s v="multinational peacekeeping exercise"/>
    <m/>
    <m/>
    <m/>
    <m/>
  </r>
  <r>
    <s v="Senior Level Visit"/>
    <s v="South Asia"/>
    <s v="Asia"/>
    <s v="All-Weather Strategic Cooperative Partnership [全天候战略合作伙伴关系]"/>
    <s v="Major Non-NATO Ally"/>
    <s v="CENTCOM"/>
    <s v="Pakistan"/>
    <x v="32"/>
    <n v="6"/>
    <x v="3"/>
    <s v="Zhang Youxia"/>
    <m/>
    <s v="CMC Vice Chairman"/>
    <n v="10"/>
    <s v="Hosted"/>
    <s v="Chair of JCS Sahir Shamshad Mirza"/>
    <m/>
    <m/>
    <m/>
    <m/>
    <m/>
    <m/>
    <m/>
    <m/>
  </r>
  <r>
    <s v="Naval Port Call"/>
    <s v="Southeast Asia"/>
    <s v="Asia"/>
    <s v="Comprehensive Strategic Partnership [全面战略伙伴关系]"/>
    <s v="Bilateral Defense Treaty"/>
    <s v="INDOPACOM"/>
    <s v="Philippines"/>
    <x v="32"/>
    <n v="6"/>
    <x v="0"/>
    <m/>
    <m/>
    <m/>
    <m/>
    <m/>
    <m/>
    <m/>
    <m/>
    <m/>
    <m/>
    <s v="NETF"/>
    <s v="Training Ship Qi Jiguang"/>
    <s v="South Sea Fleet"/>
    <s v="Qi Jiguang training ship"/>
  </r>
  <r>
    <s v="Military Exercise"/>
    <s v="Russia"/>
    <s v="Europe and Central Asia"/>
    <s v="Comprehensive Strategic Partnership of Coordination in the New Era [新时代中俄全面战略协作伙伴关系]"/>
    <s v="None"/>
    <s v="EUCOM"/>
    <s v="Russia"/>
    <x v="32"/>
    <n v="6"/>
    <x v="5"/>
    <m/>
    <m/>
    <m/>
    <m/>
    <m/>
    <m/>
    <s v="Patrol"/>
    <s v="Joint Aerial Strategic Patrol 2023 "/>
    <s v="Air Force"/>
    <s v="&quot;joint strategic air patrols&quot; over the Sea of Japan and the East China Sea"/>
    <m/>
    <m/>
    <m/>
    <m/>
  </r>
  <r>
    <s v="Senior Level Visit"/>
    <s v="Russia"/>
    <s v="Europe and Central Asia"/>
    <s v="Comprehensive Strategic Partnership of Coordination in the New Era [新时代中俄全面战略协作伙伴关系]"/>
    <s v="None"/>
    <s v="EUCOM"/>
    <s v="Russia"/>
    <x v="32"/>
    <n v="6"/>
    <x v="15"/>
    <s v="Liu Zhenli"/>
    <m/>
    <s v="CMC/JSD Commander; CMC Member"/>
    <n v="8"/>
    <s v="Virtual"/>
    <s v="First Dep. Defense Minister Valery Gerasimov"/>
    <m/>
    <m/>
    <m/>
    <m/>
    <m/>
    <m/>
    <m/>
    <m/>
  </r>
  <r>
    <s v="Senior Level Visit"/>
    <s v="Southeast Asia"/>
    <s v="Asia"/>
    <s v="All-Round Cooperative Partnership [全方合作伙伴关系]"/>
    <s v="None"/>
    <s v="INDOPACOM"/>
    <s v="Singapore"/>
    <x v="32"/>
    <n v="6"/>
    <x v="4"/>
    <s v="Li Shangfu"/>
    <m/>
    <s v="Defense Minister; CMC Member"/>
    <n v="8"/>
    <s v="Abroad"/>
    <s v="Defense Minister Ng Eng Hen"/>
    <m/>
    <m/>
    <m/>
    <m/>
    <m/>
    <m/>
    <m/>
    <m/>
  </r>
  <r>
    <s v="Senior Level Visit"/>
    <s v="Africa"/>
    <s v="West Asia and Africa"/>
    <s v="Comprehensive Strategic Partnership [全面战略伙伴关系]"/>
    <s v="None"/>
    <s v="AFRICOM"/>
    <s v="South Africa"/>
    <x v="32"/>
    <n v="6"/>
    <x v="3"/>
    <s v="Li Shangfu"/>
    <m/>
    <s v="Defense Minister; CMC Member"/>
    <n v="8"/>
    <s v="Hosted"/>
    <s v="Chief of National Defence Force Gen. Rudzani Maphwanya"/>
    <m/>
    <m/>
    <m/>
    <m/>
    <m/>
    <m/>
    <m/>
    <m/>
  </r>
  <r>
    <s v="Senior Level Visit"/>
    <s v="Southeast Asia"/>
    <s v="Asia"/>
    <s v="Comprehensive Strategic Cooperative Partnership [全面战略合作伙伴关系]"/>
    <s v="Bilateral Defense Treaty"/>
    <s v="INDOPACOM"/>
    <s v="Thailand"/>
    <x v="32"/>
    <n v="6"/>
    <x v="3"/>
    <s v="Li Shangfu"/>
    <m/>
    <s v="Defense Minister; CMC Member"/>
    <n v="8"/>
    <s v="Hosted"/>
    <s v="Commander of Royal Thai Army Gen. Narongpan Jitaewtae"/>
    <m/>
    <m/>
    <m/>
    <m/>
    <m/>
    <m/>
    <m/>
    <m/>
  </r>
  <r>
    <s v="Senior Level Visit"/>
    <s v="Europe"/>
    <s v="Europe and Central Asia"/>
    <s v="Strategic Cooperative Partnership [战略合作伙伴关系]"/>
    <s v="None"/>
    <s v="EUCOM"/>
    <s v="Ukraine"/>
    <x v="32"/>
    <n v="6"/>
    <x v="7"/>
    <s v="Li Shangfu"/>
    <m/>
    <s v="Defense Minister; CMC Member"/>
    <n v="8"/>
    <s v="Abroad"/>
    <s v="Defense Minister; BL at Shangri-La"/>
    <m/>
    <m/>
    <m/>
    <m/>
    <m/>
    <m/>
    <m/>
    <m/>
  </r>
  <r>
    <s v="Senior Level Visit"/>
    <s v="Southeast Asia"/>
    <s v="Asia"/>
    <s v="Comprehensive Strategic Partnership [全面战略伙伴关系]"/>
    <s v="None"/>
    <s v="INDOPACOM"/>
    <s v="Vietnam"/>
    <x v="32"/>
    <n v="6"/>
    <x v="3"/>
    <s v="Li Shangfu"/>
    <m/>
    <s v="Defense Minister; CMC Member"/>
    <n v="8"/>
    <s v="Hosted"/>
    <s v="Defense Minister Phan Van Giang"/>
    <m/>
    <m/>
    <m/>
    <m/>
    <m/>
    <m/>
    <m/>
    <m/>
  </r>
  <r>
    <s v="Naval Port Call"/>
    <s v="Africa"/>
    <s v="West Asia and Africa"/>
    <s v="Comprehensive Strategic Partnership [全面战略伙伴关系]"/>
    <s v="None"/>
    <s v="AFRICOM"/>
    <s v="Congo"/>
    <x v="32"/>
    <n v="7"/>
    <x v="0"/>
    <m/>
    <m/>
    <m/>
    <m/>
    <m/>
    <m/>
    <m/>
    <m/>
    <m/>
    <m/>
    <s v="ETF"/>
    <s v="ETF-43"/>
    <s v="South Sea Fleet"/>
    <s v="DDG Nanning, FFG574 Sanya, AOR887 Weishanhu "/>
  </r>
  <r>
    <s v="Naval Port Call"/>
    <s v="Africa"/>
    <s v="West Asia and Africa"/>
    <s v="Comprehensive Stategic Cooperative Partnership [全面战略合作伙伴关系]"/>
    <s v="None"/>
    <s v="AFRICOM"/>
    <s v="Gabon"/>
    <x v="32"/>
    <n v="7"/>
    <x v="0"/>
    <m/>
    <m/>
    <m/>
    <m/>
    <m/>
    <m/>
    <m/>
    <m/>
    <m/>
    <m/>
    <s v="ETF"/>
    <s v="ETF-43"/>
    <s v="South Sea Fleet"/>
    <s v="DDG Nanning, FFG574 Sanya, AOR887 Weishanhu "/>
  </r>
  <r>
    <s v="Naval Port Call"/>
    <s v="Africa"/>
    <s v="West Asia and Africa"/>
    <s v="No Specific Relationship"/>
    <s v="None"/>
    <s v="AFRICOM"/>
    <s v="Ghana"/>
    <x v="32"/>
    <n v="7"/>
    <x v="0"/>
    <m/>
    <m/>
    <m/>
    <m/>
    <m/>
    <m/>
    <m/>
    <m/>
    <m/>
    <m/>
    <s v="ETF"/>
    <s v="ETF-43"/>
    <s v="South Sea Fleet"/>
    <s v="DDG162 Nanning, FFG574 Sanya, AOR887 Weishanhu "/>
  </r>
  <r>
    <s v="Naval Port Call"/>
    <s v="Oceania"/>
    <s v="America and Oceania"/>
    <s v="No Specific Relationship"/>
    <s v="None"/>
    <s v="INDOPACOM"/>
    <s v="Kiribati"/>
    <x v="32"/>
    <n v="7"/>
    <x v="0"/>
    <m/>
    <m/>
    <m/>
    <m/>
    <m/>
    <m/>
    <m/>
    <m/>
    <m/>
    <s v="1st visit"/>
    <s v="NETF"/>
    <s v="2023-7 Peace Ark "/>
    <m/>
    <m/>
  </r>
  <r>
    <s v="Naval Port Call"/>
    <s v="Africa"/>
    <s v="West Asia and Africa"/>
    <s v="Comprehensive Strategic Partnership [全面战略伙伴关系]"/>
    <s v="None"/>
    <s v="AFRICOM"/>
    <s v="Nigeria"/>
    <x v="32"/>
    <n v="7"/>
    <x v="0"/>
    <m/>
    <m/>
    <m/>
    <m/>
    <m/>
    <m/>
    <m/>
    <m/>
    <m/>
    <m/>
    <s v="ETF"/>
    <s v="ETF-43"/>
    <s v="South Sea Fleet"/>
    <s v="DDG162 Nanning, FFG574 Sanya, AOR887 Weishanhu "/>
  </r>
  <r>
    <s v="Senior Level Visit"/>
    <s v="South Asia"/>
    <s v="Asia"/>
    <s v="All-Weather Strategic Cooperative Partnership [全天候战略合作伙伴关系]"/>
    <s v="Major Non-NATO Ally"/>
    <s v="CENTCOM"/>
    <s v="Pakistan"/>
    <x v="32"/>
    <n v="7"/>
    <x v="3"/>
    <s v="Li Shangfu"/>
    <m/>
    <s v="Defense Minister; CMC Member"/>
    <n v="8"/>
    <s v="Hosted"/>
    <s v="Chief of Air Staff Zaheer Ahmed Baber Sidhu"/>
    <m/>
    <m/>
    <m/>
    <m/>
    <m/>
    <m/>
    <m/>
    <m/>
  </r>
  <r>
    <s v="Senior Level Visit"/>
    <s v="Russia"/>
    <s v="Europe and Central Asia"/>
    <s v="Comprehensive Strategic Partnership of Coordination in the New Era [新时代中俄全面战略协作伙伴关系]"/>
    <s v="None"/>
    <s v="EUCOM"/>
    <s v="Russia"/>
    <x v="32"/>
    <n v="7"/>
    <x v="3"/>
    <s v="Li Shangfu"/>
    <m/>
    <s v="Defense Minister; CMC Member"/>
    <n v="8"/>
    <s v="Hosted"/>
    <s v="Commander-in-Chief of Russian Navy Adm. Nikolay Yevmenov"/>
    <m/>
    <m/>
    <m/>
    <m/>
    <m/>
    <m/>
    <m/>
    <m/>
  </r>
  <r>
    <s v="Military Exercise"/>
    <s v="Russia"/>
    <s v="Europe and Central Asia"/>
    <s v="Comprehensive Strategic Partnership of Coordination in the New Era [新时代中俄全面战略协作伙伴关系]"/>
    <s v="None"/>
    <s v="EUCOM"/>
    <s v="Russia"/>
    <x v="32"/>
    <n v="7"/>
    <x v="5"/>
    <m/>
    <m/>
    <m/>
    <m/>
    <m/>
    <m/>
    <s v="Combat"/>
    <s v="Northern/Interaction 2023"/>
    <s v="Joint"/>
    <s v="joint army and navy training with maritime and air escort, deterrence and expelling, anchorage ground defense; guided missile destroyer Qiqihar in Sea of Japan"/>
    <m/>
    <m/>
    <m/>
    <m/>
  </r>
  <r>
    <s v="Naval Port Call"/>
    <s v="Africa"/>
    <s v="West Asia and Africa"/>
    <s v="Comprehensive Strategic Partnership [全面战略伙伴关系]"/>
    <s v="None"/>
    <s v="AFRICOM"/>
    <s v="South Africa"/>
    <x v="32"/>
    <n v="7"/>
    <x v="0"/>
    <m/>
    <m/>
    <m/>
    <m/>
    <m/>
    <m/>
    <m/>
    <m/>
    <m/>
    <m/>
    <s v="ETF"/>
    <s v="ETF-43"/>
    <s v="South Sea Fleet"/>
    <s v="DDG162 Nanning, FFG574 Sanya, AOR887 Weishanhu "/>
  </r>
  <r>
    <s v="Military Exercise"/>
    <s v="Southeast Asia"/>
    <s v="Asia"/>
    <s v="Comprehensive Strategic Cooperative Partnership [全面战略合作伙伴关系]"/>
    <s v="Bilateral Defense Treaty"/>
    <s v="INDOPACOM"/>
    <s v="Thailand"/>
    <x v="32"/>
    <n v="7"/>
    <x v="5"/>
    <m/>
    <m/>
    <m/>
    <m/>
    <m/>
    <m/>
    <s v="Combat"/>
    <s v="Falcon Strike 2023"/>
    <s v="Air Force"/>
    <s v="PLAF fighter jets, bombers, AEW aircraft, surface-to-air missile fire unit; exercises include air support, joint air defense, large-scale deployment"/>
    <m/>
    <m/>
    <m/>
    <m/>
  </r>
  <r>
    <s v="Naval Port Call"/>
    <s v="Oceania"/>
    <s v="America and Oceania"/>
    <s v="Comprehensive Strategic Partnership [全面战略伙伴关系]"/>
    <s v="None"/>
    <s v="INDOPACOM"/>
    <s v="Tonga"/>
    <x v="32"/>
    <n v="7"/>
    <x v="0"/>
    <m/>
    <m/>
    <m/>
    <m/>
    <m/>
    <m/>
    <m/>
    <m/>
    <m/>
    <m/>
    <s v="NETF"/>
    <s v="2023-7 Peace Ark "/>
    <s v="East Sea Fleet"/>
    <s v="also visited Kiribati, Vanuatu, Solomon Islands and Timor Leste"/>
  </r>
  <r>
    <s v="Senior Level Visit"/>
    <s v="Europe"/>
    <s v="Europe and Central Asia"/>
    <s v="Comprehensive Strategic Partnership [全面战略伙伴关系]"/>
    <s v="None"/>
    <s v="EUCOM"/>
    <s v="Belarus"/>
    <x v="32"/>
    <n v="8"/>
    <x v="4"/>
    <s v="Li Shangfu"/>
    <m/>
    <s v="Defense Minister; CMC Member"/>
    <n v="8"/>
    <s v="Abroad"/>
    <s v="President Lukashenko"/>
    <m/>
    <m/>
    <m/>
    <m/>
    <m/>
    <m/>
    <m/>
    <m/>
  </r>
  <r>
    <s v="Senior Level Visit"/>
    <s v="Middle East"/>
    <s v="West Asia and Africa"/>
    <s v="Comprehensive Strategic Partnership [全面战略伙伴关系]"/>
    <s v="None"/>
    <s v="CENTCOM"/>
    <s v="Iran"/>
    <x v="32"/>
    <n v="8"/>
    <x v="7"/>
    <s v="Li Shangfu"/>
    <m/>
    <s v="Defense Minister; CMC Member"/>
    <n v="8"/>
    <s v="Abroad"/>
    <s v="Defense Minister; BL at MCIS"/>
    <m/>
    <m/>
    <m/>
    <m/>
    <m/>
    <m/>
    <m/>
    <m/>
  </r>
  <r>
    <s v="Senior Level Visit"/>
    <s v="Central Asia"/>
    <s v="Europe and Central Asia"/>
    <s v="Comprehensive Strategic Partnership [全面战略伙伴关系]"/>
    <s v="None"/>
    <s v="CENTCOM"/>
    <s v="Kazakhstan"/>
    <x v="32"/>
    <n v="8"/>
    <x v="7"/>
    <s v="Li Shangfu"/>
    <m/>
    <s v="Defense Minister; CMC Member"/>
    <n v="8"/>
    <s v="Abroad"/>
    <s v="Defense Minister; BL at MCIS"/>
    <m/>
    <m/>
    <m/>
    <m/>
    <m/>
    <m/>
    <m/>
    <m/>
  </r>
  <r>
    <s v="Naval Port Call"/>
    <s v="Southeast Asia"/>
    <s v="Asia"/>
    <s v="Comprehensive Strategic Partnership [全面战略伙伴关系]"/>
    <s v="None"/>
    <s v="INDOPACOM"/>
    <s v="Malaysia"/>
    <x v="32"/>
    <n v="8"/>
    <x v="0"/>
    <m/>
    <m/>
    <m/>
    <m/>
    <m/>
    <m/>
    <m/>
    <m/>
    <m/>
    <m/>
    <s v="ETF"/>
    <s v="ETF-43"/>
    <s v="South Sea Fleet"/>
    <s v="DDG162 Nanning, FFG574 Sanya, AOR887 Weishanhu "/>
  </r>
  <r>
    <s v="Military Exercise"/>
    <s v="South Asia"/>
    <s v="Asia"/>
    <s v="All-Weather Strategic Cooperative Partnership [全天候战略合作伙伴关系]"/>
    <s v="Major Non-NATO Ally"/>
    <s v="CENTCOM"/>
    <s v="Pakistan"/>
    <x v="32"/>
    <n v="8"/>
    <x v="5"/>
    <m/>
    <m/>
    <m/>
    <m/>
    <m/>
    <m/>
    <s v="Combat"/>
    <s v="Shaheen (Eagle)-X"/>
    <s v="Air Force"/>
    <s v="realistic force-on-force combat, joint air defense, countermeasures, seizure and control ops"/>
    <m/>
    <m/>
    <m/>
    <m/>
  </r>
  <r>
    <s v="Senior Level Visit"/>
    <s v="Russia"/>
    <s v="Europe and Central Asia"/>
    <s v="Comprehensive Strategic Partnership of Coordination in the New Era [新时代中俄全面战略协作伙伴关系]"/>
    <s v="None"/>
    <s v="EUCOM"/>
    <s v="Russia"/>
    <x v="32"/>
    <n v="8"/>
    <x v="1"/>
    <s v="Li Shangfu"/>
    <m/>
    <s v="Defense Minister; CMC Member"/>
    <n v="8"/>
    <s v="Abroad"/>
    <s v="Defense Minister Sergei Shoigu; BL at Moscow Conference on International Security"/>
    <m/>
    <m/>
    <m/>
    <m/>
    <m/>
    <m/>
    <m/>
    <m/>
  </r>
  <r>
    <s v="Senior Level Visit"/>
    <s v="Middle East"/>
    <s v="West Asia and Africa"/>
    <s v="Comprehensive Strategic Partnership [全面战略伙伴关系]"/>
    <s v="None"/>
    <s v="CENTCOM"/>
    <s v="Saudi Arabia"/>
    <x v="32"/>
    <n v="8"/>
    <x v="7"/>
    <s v="Li Shangfu"/>
    <m/>
    <s v="Defense Minister; CMC Member"/>
    <n v="8"/>
    <s v="Abroad"/>
    <s v="Defense Minister; BL at MCIS"/>
    <m/>
    <m/>
    <m/>
    <m/>
    <m/>
    <m/>
    <m/>
    <m/>
  </r>
  <r>
    <s v="Senior Level Visit"/>
    <s v="Middle East"/>
    <s v="West Asia and Africa"/>
    <s v="Comprehensive Strategic Partnership [全面战略伙伴关系]"/>
    <s v="None"/>
    <s v="CENTCOM"/>
    <s v="United Arab Emirates"/>
    <x v="32"/>
    <n v="8"/>
    <x v="3"/>
    <s v="Li Shangfu"/>
    <m/>
    <s v="Defense Minister; CMC Member"/>
    <n v="8"/>
    <s v="Hosted"/>
    <s v="Air Force Commander Ibrahim Nasser Mohamed Al-Alawi"/>
    <m/>
    <m/>
    <m/>
    <m/>
    <m/>
    <m/>
    <m/>
    <m/>
  </r>
  <r>
    <s v="Senior Level Visit"/>
    <s v="Southeast Asia"/>
    <s v="Asia "/>
    <s v="Comprehensive Strategic Partnership [全面战略伙伴关系]"/>
    <s v="None"/>
    <s v="INDOPACOM"/>
    <s v="Vietnam"/>
    <x v="32"/>
    <n v="8"/>
    <x v="7"/>
    <s v="Li Shangfu"/>
    <m/>
    <s v="Defense Minister; CMC Member"/>
    <n v="8"/>
    <s v="Abroad"/>
    <s v="Defense Minister; BL at MCIS"/>
    <m/>
    <m/>
    <m/>
    <m/>
    <m/>
    <m/>
    <m/>
    <m/>
  </r>
  <r>
    <s v="Military Exercise"/>
    <s v="Southeast Asia"/>
    <s v="Asia"/>
    <s v="Comprehensive Strategic Cooperative Partnership [全面战略合作伙伴关系]"/>
    <s v="None"/>
    <s v="INDOPACOM"/>
    <s v="Cambodia"/>
    <x v="32"/>
    <n v="9"/>
    <x v="6"/>
    <m/>
    <m/>
    <m/>
    <m/>
    <m/>
    <m/>
    <s v="MOOTW"/>
    <s v="Pure Homeland 2023"/>
    <s v="Army"/>
    <s v="75th group army; joint mine-clearing operation"/>
    <m/>
    <m/>
    <m/>
    <m/>
  </r>
  <r>
    <s v="Naval Port Call"/>
    <s v="Southeast Asia"/>
    <s v="Asia"/>
    <s v="Comprehensive Strategic Partnership [全面战略伙伴关系]"/>
    <s v="None"/>
    <s v="INDOPACOM"/>
    <s v="Indonesia"/>
    <x v="32"/>
    <n v="9"/>
    <x v="0"/>
    <m/>
    <m/>
    <m/>
    <m/>
    <m/>
    <m/>
    <m/>
    <m/>
    <m/>
    <m/>
    <s v="NETF"/>
    <s v="Training Ship Qi Jiguang"/>
    <s v="South Sea Fleet"/>
    <s v="Qi Jiguang training ship"/>
  </r>
  <r>
    <s v="Senior Level Visit"/>
    <s v="Central Asia"/>
    <s v="Europe and Central Asia"/>
    <s v="Permanent Comprehensive Strategic Partnership [永久全面战略伙伴]"/>
    <s v="None"/>
    <s v="CENTCOM"/>
    <s v="Kazakhstan"/>
    <x v="32"/>
    <n v="9"/>
    <x v="7"/>
    <s v="Zhang Youxia"/>
    <m/>
    <s v="Vice Chair CMC"/>
    <n v="10"/>
    <s v="Hosted"/>
    <s v="Defense Minister"/>
    <m/>
    <m/>
    <m/>
    <m/>
    <m/>
    <m/>
    <m/>
    <m/>
  </r>
  <r>
    <s v="Military Exercise"/>
    <s v="Southeast Asia"/>
    <s v="Asia"/>
    <s v="All-Round Cooperative Partnership [全方合作伙伴关系]"/>
    <s v="None"/>
    <s v="INDOPACOM"/>
    <s v="Singapore"/>
    <x v="32"/>
    <n v="9"/>
    <x v="5"/>
    <m/>
    <m/>
    <m/>
    <m/>
    <m/>
    <m/>
    <s v="Anti-terrorism"/>
    <s v="Cooperation 2023"/>
    <s v="Army"/>
    <s v="74th group army; sniping tactics, hand-to-hand combat, rappelling and fast-roping, and hostage rescue"/>
    <m/>
    <m/>
    <m/>
    <m/>
  </r>
  <r>
    <s v="Military Exercise"/>
    <s v="Southeast Asia"/>
    <s v="Asia"/>
    <s v="Comprehensive Strategic Cooperative Partnership [全面战略合作伙伴关系]"/>
    <s v="Bilateral Defense Treaty"/>
    <s v="INDOPACOM"/>
    <s v="Thailand"/>
    <x v="32"/>
    <n v="9"/>
    <x v="5"/>
    <m/>
    <m/>
    <m/>
    <m/>
    <m/>
    <m/>
    <s v="Combat"/>
    <s v="Blue Strike 2023"/>
    <s v="Navy"/>
    <s v="Marine corps: urban warfare, light weapons shooting, sniping tactics, armored tactics, chemical defense, battlefield first aid, wilderness survival, HADR; Navy: manueuvering drills, HADR, anti-sub ops; dock landing ship Simingshan, guided-missile frigate Anyang, supply ship Chaohu"/>
    <m/>
    <m/>
    <m/>
    <m/>
  </r>
  <r>
    <s v="Naval Port Call"/>
    <s v="Southeast Asia"/>
    <s v="Asia"/>
    <s v="Comprehensive Strategic Partnership [全面战略伙伴关系]"/>
    <s v="None"/>
    <s v="INDOPACOM"/>
    <s v="Timor-Leste"/>
    <x v="32"/>
    <n v="9"/>
    <x v="0"/>
    <m/>
    <m/>
    <m/>
    <m/>
    <m/>
    <m/>
    <m/>
    <m/>
    <m/>
    <m/>
    <s v="NETF"/>
    <s v="2023-9 Peace Ark "/>
    <m/>
    <m/>
  </r>
  <r>
    <s v="Military Exercise"/>
    <s v="Middle East"/>
    <s v="West Asia and Africa"/>
    <s v="No Specific Relationship"/>
    <s v="None"/>
    <s v="CENTCOM"/>
    <s v="Afghanistan"/>
    <x v="32"/>
    <n v="10"/>
    <x v="5"/>
    <m/>
    <m/>
    <m/>
    <m/>
    <m/>
    <m/>
    <s v="MOOTW"/>
    <s v="N/A"/>
    <s v="Air Force"/>
    <s v="HADR after 6.4-magnitude earthquake; PLAF sent 2 Y-20 transport aircraft"/>
    <m/>
    <m/>
    <m/>
    <m/>
  </r>
  <r>
    <s v="Senior Level Visit"/>
    <s v="Europe"/>
    <s v="Europe and Central Asia"/>
    <s v="Friendly Cooperative Partnership [友好合作伙伴关系]"/>
    <s v="None"/>
    <s v="EUCOM"/>
    <s v="Azerbaijan"/>
    <x v="32"/>
    <n v="10"/>
    <x v="7"/>
    <s v="He Weidong"/>
    <m/>
    <s v="CMC Vice Chairman"/>
    <n v="10"/>
    <s v="Hosted"/>
    <s v="Defense Minister Hasanov; BL at Xiangshan"/>
    <m/>
    <m/>
    <m/>
    <m/>
    <m/>
    <m/>
    <m/>
    <m/>
  </r>
  <r>
    <s v="Senior Level Visit"/>
    <s v="Southeast Asia"/>
    <s v="Asia"/>
    <s v="Comprehensive Strategic Cooperative Partnership [全面战略合作伙伴关系]"/>
    <s v="None"/>
    <s v="INDOPACOM"/>
    <s v="Cambodia"/>
    <x v="32"/>
    <n v="10"/>
    <x v="7"/>
    <s v="He Weidong"/>
    <m/>
    <s v="CMC Vice Chairman"/>
    <n v="10"/>
    <s v="Hosted"/>
    <s v="Defense Minister Tea Seiha; BL at Xiangshan"/>
    <m/>
    <m/>
    <m/>
    <m/>
    <m/>
    <m/>
    <m/>
    <m/>
  </r>
  <r>
    <s v="Naval Port Call"/>
    <s v="Oceania"/>
    <s v="America and Oceania"/>
    <s v="Comprehensive Strategic Partnership [全面战略伙伴关系]"/>
    <s v="None"/>
    <s v="INDOPACOM"/>
    <s v="Fiji"/>
    <x v="32"/>
    <n v="10"/>
    <x v="0"/>
    <m/>
    <m/>
    <m/>
    <m/>
    <m/>
    <m/>
    <m/>
    <m/>
    <m/>
    <m/>
    <s v="NETF"/>
    <s v="Training Ship Qi Jiguang"/>
    <s v="South Sea Fleet"/>
    <s v="Qi Jiguang training ship"/>
  </r>
  <r>
    <s v="Naval Port Call"/>
    <s v="Middle East"/>
    <s v="West Asia and Africa"/>
    <s v="Strategic Partnership [战略伙伴关系]"/>
    <s v="Major Non-NATO Ally"/>
    <s v="CENTCOM"/>
    <s v="Kuwait"/>
    <x v="32"/>
    <n v="10"/>
    <x v="10"/>
    <m/>
    <m/>
    <m/>
    <m/>
    <m/>
    <m/>
    <m/>
    <s v="N/A"/>
    <m/>
    <s v="ships conducted a joint maritime exercise"/>
    <m/>
    <s v="ETF-44"/>
    <s v="East Sea Fleet"/>
    <s v="DDG156 Zibo, FFG532 Jingzhou, AOR886 Qiandaohu"/>
  </r>
  <r>
    <s v="Senior Level Visit"/>
    <s v="Southeast Asia"/>
    <s v="Asia"/>
    <s v="Comprehensive Strategic Cooperative Partnership [全面战略合作伙伴关系]"/>
    <s v="None"/>
    <s v="INDOPACOM"/>
    <s v="Laos"/>
    <x v="32"/>
    <n v="10"/>
    <x v="7"/>
    <s v="Zhang Youxia"/>
    <m/>
    <s v="CMC Vice Chairman"/>
    <n v="10"/>
    <s v="Hosted"/>
    <s v="Defense Minister Chansamone Chanyalath; BL at Xiangshan"/>
    <m/>
    <m/>
    <m/>
    <m/>
    <m/>
    <m/>
    <m/>
    <m/>
  </r>
  <r>
    <s v="Senior Level Visit"/>
    <s v="Southeast Asia"/>
    <s v="Asia"/>
    <s v="Comprehensive Strategic Cooperative Partnership [全面战略合作伙伴关系]"/>
    <s v="None"/>
    <s v="INDOPACOM"/>
    <s v="Laos"/>
    <x v="32"/>
    <n v="10"/>
    <x v="7"/>
    <s v="Zhang Youxia"/>
    <m/>
    <s v="Vice Chair CMC"/>
    <n v="10"/>
    <s v="Hosted"/>
    <s v="Deputy PM and Defense Minister"/>
    <m/>
    <m/>
    <m/>
    <m/>
    <m/>
    <m/>
    <m/>
    <m/>
  </r>
  <r>
    <s v="Senior Level Visit"/>
    <s v="Northeast Asia"/>
    <s v="Asia"/>
    <s v="Comprehensive Strategic Partnership [全面战略伙伴关系]"/>
    <s v="None"/>
    <s v="INDOPACOM"/>
    <s v="Mongolia"/>
    <x v="32"/>
    <n v="10"/>
    <x v="7"/>
    <s v="Zhang Youxia"/>
    <m/>
    <s v="CMC Vice Chairman"/>
    <n v="10"/>
    <s v="Hosted"/>
    <s v="Defense Minister Gursed Saikhanbayar; BL at Xiangshan"/>
    <m/>
    <m/>
    <m/>
    <m/>
    <m/>
    <m/>
    <m/>
    <m/>
  </r>
  <r>
    <s v="Senior Level Visit"/>
    <s v="Northeast Asia"/>
    <s v="Asia"/>
    <s v="Comprehensive Strategic Partnership [全面战略伙伴关系]"/>
    <s v="None"/>
    <s v="INDOPACOM"/>
    <s v="Mongolia"/>
    <x v="32"/>
    <n v="10"/>
    <x v="7"/>
    <s v="Zhang Youxia"/>
    <m/>
    <s v="Vice Chair CMC"/>
    <n v="10"/>
    <s v="Hosted"/>
    <s v="Defense Minister"/>
    <m/>
    <m/>
    <m/>
    <m/>
    <m/>
    <m/>
    <m/>
    <m/>
  </r>
  <r>
    <s v="Senior Level Visit"/>
    <s v="Northeast Asia"/>
    <s v="Asia"/>
    <s v="N/A"/>
    <s v="None"/>
    <s v="INDOPACOM"/>
    <s v="N/A"/>
    <x v="32"/>
    <n v="10"/>
    <x v="2"/>
    <s v="Zhang Youxia"/>
    <m/>
    <s v="CMC Vice Chairman"/>
    <n v="10"/>
    <s v="Hosted"/>
    <s v="10th Xiangshan Forum "/>
    <m/>
    <m/>
    <m/>
    <m/>
    <m/>
    <m/>
    <m/>
    <m/>
  </r>
  <r>
    <s v="Senior Level Visit"/>
    <s v="Africa"/>
    <s v="West Asia and Africa"/>
    <s v="Strategic Partnership [战略伙伴关系]"/>
    <s v="None"/>
    <s v="AFRICOM"/>
    <s v="Nigeria"/>
    <x v="32"/>
    <n v="10"/>
    <x v="7"/>
    <s v="He Weidong"/>
    <m/>
    <s v="CMC Vice Chairman"/>
    <n v="10"/>
    <s v="Hosted"/>
    <s v="Defense Minister Abubakar; BL at Xiangshan"/>
    <m/>
    <m/>
    <m/>
    <m/>
    <m/>
    <m/>
    <m/>
    <m/>
  </r>
  <r>
    <s v="Naval Port Call"/>
    <s v="Middle East"/>
    <s v="West Asia and Africa"/>
    <s v="No Specific Relationship"/>
    <s v="None"/>
    <s v="CENTCOM"/>
    <s v="Oman"/>
    <x v="32"/>
    <n v="10"/>
    <x v="0"/>
    <m/>
    <m/>
    <m/>
    <m/>
    <m/>
    <m/>
    <m/>
    <m/>
    <m/>
    <s v="Also some joint training on formation maneuver, maritime comms; guided-missile destroyer Zibo and guided-missile frigate Jingzhou"/>
    <s v="ETF"/>
    <s v="ETF-44"/>
    <s v="East Sea Fleet"/>
    <s v="DDG156 Zibo, FFG532 Jingzhou, AOR886 Qiandaohu"/>
  </r>
  <r>
    <s v="Senior Level Visit"/>
    <s v="Southeast Asia"/>
    <s v="America and Oceania"/>
    <s v="Comprehensive Strategic Partnership [全面战略伙伴关系]"/>
    <s v="None"/>
    <s v="INDOPACOM"/>
    <s v="Papua New Guinea"/>
    <x v="32"/>
    <n v="10"/>
    <x v="7"/>
    <s v="Zhang Youxia"/>
    <m/>
    <s v="CMC Vice Chairman"/>
    <n v="10"/>
    <s v="Hosted"/>
    <s v="Defense Minister Daki; BL at Xiangshan"/>
    <m/>
    <m/>
    <m/>
    <m/>
    <m/>
    <m/>
    <m/>
    <m/>
  </r>
  <r>
    <s v="Senior Level Visit"/>
    <s v="Southeast Asia"/>
    <s v="America and Oceania"/>
    <s v="Comprehensive Strategic Partnership [全面战略伙伴关系]"/>
    <s v="None"/>
    <s v="INDOPACOM"/>
    <s v="Papua New Guinea"/>
    <x v="32"/>
    <n v="10"/>
    <x v="7"/>
    <s v="Zhang Youxia"/>
    <m/>
    <s v="Vice Chair CMC"/>
    <n v="10"/>
    <s v="Hosted"/>
    <s v="Minister of Defense"/>
    <m/>
    <m/>
    <m/>
    <m/>
    <m/>
    <m/>
    <m/>
    <m/>
  </r>
  <r>
    <s v="Naval Port Call"/>
    <s v="Middle East"/>
    <s v="West Asia and Africa"/>
    <s v="Strategic Partnership [战略伙伴关系]"/>
    <s v="None"/>
    <s v="CENTCOM"/>
    <s v="Qatar"/>
    <x v="32"/>
    <n v="10"/>
    <x v="0"/>
    <m/>
    <m/>
    <m/>
    <m/>
    <m/>
    <m/>
    <m/>
    <m/>
    <m/>
    <m/>
    <s v="ETF"/>
    <s v="ETF-44"/>
    <s v="East Sea Fleet"/>
    <s v="DDG156 Zibo, FFG532 Jingzhou, AOR886 Qiandaohu"/>
  </r>
  <r>
    <s v="Senior Level Visit"/>
    <s v="Russia"/>
    <s v="Europe and Central Asia"/>
    <s v="Comprehensive Strategic Partnership of Coordination in the New Era [新时代中俄全面战略协作伙伴关系]"/>
    <s v="None"/>
    <s v="EUCOM"/>
    <s v="Russia"/>
    <x v="32"/>
    <n v="10"/>
    <x v="7"/>
    <s v="Zhang Youxia"/>
    <m/>
    <s v="CMC Vice Chairman"/>
    <n v="10"/>
    <s v="Hosted"/>
    <s v="Defense Minister Sergei Shoigu; BL at Xiangshan"/>
    <m/>
    <m/>
    <m/>
    <m/>
    <m/>
    <m/>
    <m/>
    <m/>
  </r>
  <r>
    <s v="Military Exercise"/>
    <s v="Middle East"/>
    <s v="West Asia and Africa"/>
    <s v="Comprehensive Strategic Partnership [全面战略伙伴关系]"/>
    <s v="None"/>
    <s v="CENTCOM"/>
    <s v="Saudi Arabia"/>
    <x v="32"/>
    <n v="10"/>
    <x v="5"/>
    <m/>
    <m/>
    <m/>
    <m/>
    <m/>
    <m/>
    <s v="Anti-terrorism"/>
    <s v="Blue Sword 2023"/>
    <s v="Navy"/>
    <s v="as multiple arms shooting, fast roping from helicopter, boat driving, and underwater explosive ordnance search and disposal; the joint rescue of hijacked merchant ships by the special operations troops of the two navies."/>
    <m/>
    <m/>
    <m/>
    <m/>
  </r>
  <r>
    <s v="Senior Level Visit"/>
    <s v="Europe"/>
    <s v="Europe and Central Asia"/>
    <s v="Comprehensive Strategic Partnership [全面战略伙伴关系]"/>
    <s v="None"/>
    <s v="EUCOM"/>
    <s v="Serbia"/>
    <x v="32"/>
    <n v="10"/>
    <x v="3"/>
    <s v="Zhang Youxia"/>
    <m/>
    <s v="CMC Vice Chairman"/>
    <n v="10"/>
    <s v="Hosted"/>
    <s v="Defense Minister Milos Vucevic"/>
    <m/>
    <m/>
    <m/>
    <m/>
    <m/>
    <m/>
    <m/>
    <m/>
  </r>
  <r>
    <s v="Senior Level Visit"/>
    <s v="Southeast Asia"/>
    <s v="Asia"/>
    <s v="All-Round Cooperative Partnership [全方合作伙伴关系]"/>
    <s v="None"/>
    <s v="INDOPACOM"/>
    <s v="Singapore"/>
    <x v="32"/>
    <n v="10"/>
    <x v="7"/>
    <s v="He Weidong"/>
    <m/>
    <s v="CMC Vice Chairman"/>
    <n v="10"/>
    <s v="Hosted"/>
    <s v="Defense Minister Ng Eng Hen; BL at Xiangshan"/>
    <m/>
    <m/>
    <m/>
    <m/>
    <m/>
    <m/>
    <m/>
    <m/>
  </r>
  <r>
    <s v="Senior Level Visit"/>
    <s v="South America"/>
    <s v="America and Oceania"/>
    <s v="Strategic Cooperative Partnership [战略合作伙伴关系]"/>
    <s v="None"/>
    <s v="SOUTHCOM"/>
    <s v="Suriname"/>
    <x v="32"/>
    <n v="10"/>
    <x v="7"/>
    <s v="Zhang Youxia"/>
    <m/>
    <s v="CMC Vice Chairman"/>
    <n v="10"/>
    <s v="Hosted"/>
    <s v="Defense Minister Mathoera; BL at Xiangshan"/>
    <m/>
    <m/>
    <m/>
    <m/>
    <m/>
    <m/>
    <m/>
    <m/>
  </r>
  <r>
    <s v="Senior Level Visit"/>
    <s v="Southeast Asia"/>
    <s v="Asia"/>
    <s v="Comprehensive Strategic Partnership [全面战略伙伴关系]"/>
    <s v="None"/>
    <s v="INDOPACOM"/>
    <s v="Vietnam"/>
    <x v="32"/>
    <n v="10"/>
    <x v="7"/>
    <s v="He Weidong"/>
    <m/>
    <s v="CMC Vice Chairman"/>
    <n v="10"/>
    <s v="Hosted"/>
    <s v="Defense Minister Phan Van Giang; BL at Xiangshan"/>
    <m/>
    <m/>
    <m/>
    <m/>
    <m/>
    <m/>
    <m/>
    <m/>
  </r>
  <r>
    <s v="Senior Level Visit"/>
    <s v="Africa"/>
    <s v="West Asia and Africa"/>
    <s v="Comprehensive Strategic Cooperative Partnership [全面战略合作伙伴关系]"/>
    <s v="None"/>
    <s v="AFRICOM"/>
    <s v="Zimbabwe"/>
    <x v="32"/>
    <n v="10"/>
    <x v="7"/>
    <s v="Zhang Youxia"/>
    <m/>
    <s v="CMC Vice Chairman"/>
    <n v="10"/>
    <s v="Hosted"/>
    <s v="Defense Minister Muchinguri; BL at Xiangshan"/>
    <m/>
    <m/>
    <m/>
    <m/>
    <m/>
    <m/>
    <m/>
    <m/>
  </r>
  <r>
    <s v="Senior Level Visit"/>
    <s v="Africa"/>
    <s v="West Asia and Africa"/>
    <s v="Comprehensive Strategic Cooperative Partnership [全面战略合作伙伴关系]"/>
    <s v="None"/>
    <s v="AFRICOM"/>
    <s v="Zimbabwe"/>
    <x v="32"/>
    <n v="10"/>
    <x v="7"/>
    <s v="Zhang Youxia"/>
    <m/>
    <s v="Vice Chair CMC"/>
    <n v="10"/>
    <s v="Hosted"/>
    <s v="Minister of Defense"/>
    <m/>
    <m/>
    <m/>
    <m/>
    <m/>
    <m/>
    <m/>
    <m/>
  </r>
  <r>
    <s v="Military Exercise"/>
    <s v="Southeast Asia"/>
    <s v="Asia"/>
    <s v="Comprehensive Strategic Partnership [全面战略伙伴关系]"/>
    <s v="None"/>
    <s v="INDOPACOM"/>
    <s v="ASEAN"/>
    <x v="32"/>
    <n v="11"/>
    <x v="6"/>
    <m/>
    <m/>
    <m/>
    <m/>
    <m/>
    <m/>
    <s v="Anti-terrorism"/>
    <s v="Aman Youyi-2023 Peace and Friendship"/>
    <s v="Joint"/>
    <s v="Anti-terrorist efforts, safeguarding maritime security with multi-dimensional live drills; Participants: Cambodia, Laos, Malaysia, Thailand, Vietnam "/>
    <m/>
    <m/>
    <m/>
    <m/>
  </r>
  <r>
    <s v="Senior Level Visit"/>
    <s v="Southeast Asia"/>
    <s v="Asia"/>
    <s v="Comprehensive Strategic Cooperative Partnership [全面战略合作伙伴关系]"/>
    <s v="None"/>
    <s v="INDOPACOM"/>
    <s v="Laos"/>
    <x v="32"/>
    <n v="11"/>
    <x v="4"/>
    <s v="Wang Xiubin"/>
    <m/>
    <s v="Southern TC Commander"/>
    <n v="6"/>
    <s v="Abroad"/>
    <s v="Laos Deputy Defense Minister"/>
    <m/>
    <m/>
    <m/>
    <m/>
    <m/>
    <m/>
    <m/>
    <m/>
  </r>
  <r>
    <s v="Military Exercise"/>
    <s v="Northeast Asia"/>
    <s v="Asia"/>
    <s v="Comprehensive Strategic Partnership [全面战略伙伴关系]"/>
    <s v="None"/>
    <s v="INDOPACOM"/>
    <s v="Mongolia"/>
    <x v="32"/>
    <n v="11"/>
    <x v="5"/>
    <m/>
    <m/>
    <m/>
    <m/>
    <m/>
    <m/>
    <s v="Anti-terrorism"/>
    <s v="Border Defense Cooperation 2023"/>
    <s v="drill in XJ border region; combat cross-border smuggling and terrorist activities "/>
    <m/>
    <m/>
    <m/>
    <m/>
    <m/>
  </r>
  <r>
    <s v="Naval Port Call"/>
    <s v="Southeast Asia"/>
    <s v="Asia "/>
    <s v="Comprehensive Strategic Cooperative Partnership [全面战略合作伙伴关系]"/>
    <s v="None"/>
    <s v="INDOPACOM"/>
    <s v="Myanmar"/>
    <x v="32"/>
    <n v="11"/>
    <x v="0"/>
    <m/>
    <m/>
    <m/>
    <m/>
    <m/>
    <m/>
    <m/>
    <m/>
    <m/>
    <m/>
    <s v="ETF"/>
    <s v="ETF-44"/>
    <s v="East Sea Fleet"/>
    <s v="DDG156 Zibo, FFG532 Jingzhou, AOR886 Qiandaohu"/>
  </r>
  <r>
    <s v="Military Exercise"/>
    <s v="South Asia"/>
    <s v="Asia"/>
    <s v="Development-oriented Strategic Cooperative Partnership [面向发展与繁荣的世代友好的战略合作伙伴关系]."/>
    <s v="None"/>
    <s v="INDOPACOM"/>
    <s v="Nepal"/>
    <x v="32"/>
    <n v="11"/>
    <x v="5"/>
    <m/>
    <m/>
    <m/>
    <m/>
    <m/>
    <m/>
    <s v="MOOTW"/>
    <s v="N/A"/>
    <s v="Air Force"/>
    <s v="HADR after earthquake in western Nepal; Y-20 transport planes"/>
    <m/>
    <m/>
    <m/>
    <m/>
  </r>
  <r>
    <s v="Military Exercise"/>
    <s v="South Asia"/>
    <s v="Asia"/>
    <s v="All-Weather Strategic Cooperative Partnership [全天候战略合作伙伴关系]"/>
    <s v="Major Non-NATO Ally"/>
    <s v="CENTCOM"/>
    <s v="Pakistan"/>
    <x v="32"/>
    <n v="11"/>
    <x v="5"/>
    <m/>
    <m/>
    <m/>
    <m/>
    <m/>
    <m/>
    <s v="MOOTW"/>
    <s v="Sea Guardian 2023"/>
    <s v="Navy"/>
    <s v="helicopter cross-deck handing, search and rescue, anti-submarine ops"/>
    <m/>
    <m/>
    <m/>
    <m/>
  </r>
  <r>
    <s v="Senior Level Visit"/>
    <s v="Middle East"/>
    <s v="West Asia and Africa"/>
    <s v="Strategic Partnership [战略伙伴关系]"/>
    <s v="None"/>
    <s v="CENTCOM"/>
    <s v="Qatar"/>
    <x v="32"/>
    <n v="11"/>
    <x v="4"/>
    <s v="Jing Jianfeng"/>
    <m/>
    <s v="Deputy JSD"/>
    <n v="5"/>
    <s v="Abroad"/>
    <s v="Chief of Defense Staff"/>
    <m/>
    <m/>
    <m/>
    <m/>
    <m/>
    <m/>
    <m/>
    <m/>
  </r>
  <r>
    <s v="Senior Level Visit"/>
    <s v="Russia"/>
    <s v="Europe and Central Asia"/>
    <s v="Comprehensive Strategic Partnership of Coordination in the New Era [新时代中俄全面战略协作伙伴关系]"/>
    <s v="None"/>
    <s v="EUCOM"/>
    <s v="Russia"/>
    <x v="32"/>
    <n v="11"/>
    <x v="4"/>
    <s v="Zhang Youxia"/>
    <m/>
    <s v="CMC Vice Chairman"/>
    <n v="10"/>
    <s v="Abroad"/>
    <s v="President Putin in Moscow"/>
    <m/>
    <m/>
    <m/>
    <m/>
    <m/>
    <m/>
    <m/>
    <m/>
  </r>
  <r>
    <s v="Senior Level Visit"/>
    <s v="Africa"/>
    <s v="West Asia and Africa"/>
    <s v="Strategic Cooperative Partnership [战略合作伙伴关系]"/>
    <s v="None"/>
    <s v="AFRICOM"/>
    <s v="Suriname"/>
    <x v="32"/>
    <n v="11"/>
    <x v="7"/>
    <s v="Zhang Youxia"/>
    <m/>
    <s v="Vice Chair CMC"/>
    <n v="10"/>
    <s v="Hosted"/>
    <s v="Minister of Defense"/>
    <m/>
    <m/>
    <m/>
    <m/>
    <m/>
    <m/>
    <m/>
    <m/>
  </r>
  <r>
    <s v="Naval Port Call"/>
    <s v="Middle East"/>
    <s v="West Asia and Africa"/>
    <s v="Comprehensive Strategic Partnership [全面战略伙伴关系]"/>
    <s v="None"/>
    <s v="CENTCOM"/>
    <s v="United Arab Emirates"/>
    <x v="32"/>
    <n v="11"/>
    <x v="0"/>
    <m/>
    <m/>
    <m/>
    <m/>
    <m/>
    <m/>
    <m/>
    <m/>
    <m/>
    <s v="included a joint maritime exercise w/ search and rescue and formation maneuver"/>
    <s v="ETF"/>
    <s v="ETF-44"/>
    <s v="East Sea Fleet"/>
    <s v="DDG156 Zibo, FFG532 Jingzhou, AOR886 Qiandaohu"/>
  </r>
  <r>
    <s v="Senior Level Visit"/>
    <s v="Southeast Asia"/>
    <s v="Asia"/>
    <s v="Comprehensive Strategic Cooperative Partnership [全面战略合作伙伴关系]"/>
    <s v="None"/>
    <s v="INDOPACOM"/>
    <s v="Cambodia"/>
    <x v="32"/>
    <n v="12"/>
    <x v="4"/>
    <s v="He Weidong"/>
    <m/>
    <s v="CMC Vice Chairman"/>
    <n v="10"/>
    <s v="Abroad"/>
    <s v="Prime Minister"/>
    <m/>
    <m/>
    <m/>
    <m/>
    <m/>
    <m/>
    <m/>
    <m/>
  </r>
  <r>
    <s v="Senior Level Visit"/>
    <s v="Southeast Asia"/>
    <s v="Asia"/>
    <s v="Comprehensive Strategic Cooperative Partnership [全面战略合作伙伴关系]"/>
    <s v="None"/>
    <s v="INDOPACOM"/>
    <s v="Laos"/>
    <x v="32"/>
    <n v="12"/>
    <x v="4"/>
    <s v="He Weidong"/>
    <m/>
    <s v="CMC Vice Chairman"/>
    <n v="10"/>
    <s v="Abroad"/>
    <s v="President"/>
    <m/>
    <m/>
    <m/>
    <m/>
    <m/>
    <m/>
    <m/>
    <m/>
  </r>
  <r>
    <s v="Military Exercise"/>
    <s v="Russia"/>
    <s v="Europe and Central Asia"/>
    <s v="Comprehensive Strategic Partnership of Coordination in the New Era [新时代中俄全面战略协作伙伴关系]"/>
    <s v="None"/>
    <s v="EUCOM"/>
    <s v="Russia"/>
    <x v="32"/>
    <n v="12"/>
    <x v="5"/>
    <m/>
    <m/>
    <m/>
    <m/>
    <m/>
    <m/>
    <s v="Patrol"/>
    <s v="Joint Aerial Strategic Patrol 2023 "/>
    <s v="Air Force"/>
    <s v=" 7th &quot;joint strategic air patrol&quot; and second of 2023 over the Sea of Japan and the East China Sea;"/>
    <m/>
    <m/>
    <m/>
    <m/>
  </r>
  <r>
    <s v="Naval Port Call"/>
    <s v="Southeast Asia"/>
    <s v="Asia"/>
    <s v="All-Round Cooperative Partnership [全方合作伙伴关系]"/>
    <s v="None"/>
    <s v="INDOPACOM"/>
    <s v="Singapore"/>
    <x v="32"/>
    <n v="12"/>
    <x v="0"/>
    <m/>
    <m/>
    <m/>
    <m/>
    <m/>
    <m/>
    <m/>
    <m/>
    <m/>
    <m/>
    <s v="ETF"/>
    <s v="ETF-44"/>
    <s v="East Sea Fleet"/>
    <s v="DDG156 Zibo, FFG532 Jingzhou, AOR886 Qiandaohu"/>
  </r>
  <r>
    <s v="Senior Level Visit"/>
    <s v="North America"/>
    <s v="America and Oceania"/>
    <s v="No Specific Relationship"/>
    <s v="N/A"/>
    <s v="NORTHCOM"/>
    <s v="United States"/>
    <x v="32"/>
    <n v="12"/>
    <x v="15"/>
    <s v="Liu Zhenli"/>
    <m/>
    <s v="CJSD; CMC Member"/>
    <n v="8"/>
    <s v="Virtual"/>
    <s v="CJCS Brown"/>
    <m/>
    <m/>
    <m/>
    <m/>
    <m/>
    <m/>
    <m/>
    <m/>
  </r>
  <r>
    <s v="Senior Level Visit"/>
    <s v="Russia"/>
    <s v="Europe and Central Asia"/>
    <s v="Comprehensive Strategic Partnership of Coordination in the New Era [新时代中俄全面战略协作伙伴关系]"/>
    <s v="None"/>
    <s v="EUCOM"/>
    <s v="Russia"/>
    <x v="33"/>
    <n v="1"/>
    <x v="15"/>
    <s v="Dong Jun"/>
    <m/>
    <s v="Defense Minister; CMC Member"/>
    <n v="8"/>
    <s v="Virtual"/>
    <s v="Defense Minister Sergei Shoigu"/>
    <m/>
    <m/>
    <m/>
    <m/>
    <m/>
    <m/>
    <m/>
    <m/>
  </r>
  <r>
    <s v="Military Exercise"/>
    <s v="Southeast Asia"/>
    <s v="Asia"/>
    <s v="Comprehensive Strategic Cooperative Partnership [全面战略合作伙伴关系]"/>
    <s v="Bilateral Defense Treaty"/>
    <s v="INDOPACOM"/>
    <s v="Thailand"/>
    <x v="33"/>
    <n v="2"/>
    <x v="6"/>
    <m/>
    <m/>
    <m/>
    <m/>
    <m/>
    <m/>
    <s v="MOOTW"/>
    <s v="Cobra Gold 2024"/>
    <s v="Army"/>
    <s v="operational coordination, personnel search and rescue, water rescue, fire rescue, hazardous substances leakage disposal and medical first aid. PLA delegation only involved in the HADR demonstration part of the exercise."/>
    <m/>
    <m/>
    <m/>
    <m/>
  </r>
  <r>
    <s v="Senior Level Visit"/>
    <s v="Southeast Asia"/>
    <s v="Asia"/>
    <s v="Comprehensive Strategic Cooperative Partnership [全面战略合作伙伴关系]"/>
    <s v="None"/>
    <s v="INDOPACOM"/>
    <s v="Cambodia"/>
    <x v="33"/>
    <n v="3"/>
    <x v="4"/>
    <s v="He Weidong"/>
    <m/>
    <s v="Vice Chair CMC"/>
    <n v="10"/>
    <s v="Abroad"/>
    <s v="State Councillor"/>
    <m/>
    <m/>
    <m/>
    <m/>
    <m/>
    <m/>
    <m/>
    <m/>
  </r>
  <r>
    <s v="Senior Level Visit"/>
    <s v="Southeast Asia"/>
    <s v="Asia"/>
    <s v="Comprehensive Strategic Cooperative Partnership [全面战略合作伙伴关系]"/>
    <s v="None"/>
    <s v="INDOPACOM"/>
    <s v="Cambodia"/>
    <x v="33"/>
    <n v="3"/>
    <x v="3"/>
    <s v="Dong Jun"/>
    <m/>
    <s v="Minister of Defense"/>
    <n v="8"/>
    <s v="Hosted"/>
    <s v="Army Commander"/>
    <m/>
    <m/>
    <m/>
    <m/>
    <m/>
    <m/>
    <m/>
    <m/>
  </r>
  <r>
    <s v="Military Exercise"/>
    <s v="Middle East"/>
    <s v="West Asia and Africa"/>
    <s v="Comprehensive Strategic Partnership [全面战略伙伴关系]"/>
    <s v="None"/>
    <s v="CENTCOM"/>
    <s v="Iran"/>
    <x v="33"/>
    <n v="3"/>
    <x v="6"/>
    <m/>
    <m/>
    <m/>
    <m/>
    <m/>
    <m/>
    <s v="Combat Support"/>
    <s v="Security Belt 2024"/>
    <s v="Navy"/>
    <s v="with Russia and Iran in Gulf of Oman; The Chinese participating forces consist of three warships of the People's Liberation Army (PLA) Navy's 45th escort task force that just wrapped up escort missions in the Gulf of Aden, namely the Type 052D guided missile destroyer Urumqi, the Type 054A guided missile frigate Linyi and the Type 903A comprehensive replenishment ship Dongpinghu, the report said, noting that the Iranian side sent over 10 vessels including the frigates Alborz and Jamaran, while the Russian side sent the guided missile cruiser Varyag and the large anti-submarine warfare ship Marshal Shaposhnikov."/>
    <m/>
    <m/>
    <m/>
    <m/>
  </r>
  <r>
    <s v="Senior Level Visit"/>
    <s v="Southeast Asia"/>
    <s v="Asia"/>
    <s v="Comprehensive Collaborative Strategic Partnership [全面战略合作伙伴关系]"/>
    <s v="None"/>
    <s v="INDOPACOM"/>
    <s v="Maldives"/>
    <x v="33"/>
    <n v="3"/>
    <x v="4"/>
    <s v="Zhang Baoqun"/>
    <m/>
    <s v="Deputy Director, OIMC"/>
    <n v="5"/>
    <s v="Abroad"/>
    <s v="Minister of Defense"/>
    <m/>
    <m/>
    <m/>
    <m/>
    <m/>
    <m/>
    <m/>
    <m/>
  </r>
  <r>
    <s v="Naval Port Call"/>
    <s v="Africa"/>
    <s v="West Asia and Africa"/>
    <s v="Comprehensive Strategic Cooperative Partnership [战略合作伙伴关系]"/>
    <s v="None"/>
    <s v="AFRICOM"/>
    <s v="Tanzania"/>
    <x v="33"/>
    <n v="3"/>
    <x v="0"/>
    <m/>
    <m/>
    <m/>
    <m/>
    <m/>
    <m/>
    <m/>
    <m/>
    <m/>
    <m/>
    <s v="ETF"/>
    <s v="ETF-45"/>
    <s v="East Sea Fleet"/>
    <s v="DDG118 Urumqi, FFG547 Linyi, AOR902 Dongpinghu"/>
  </r>
  <r>
    <s v="Senior Level Visit"/>
    <s v="Europe"/>
    <s v="Europe and Central Asia"/>
    <s v="Comprehensive Strategic Partnership [全面战略伙伴关系]"/>
    <s v="None"/>
    <s v="EUCOM"/>
    <s v="Belarus"/>
    <x v="33"/>
    <n v="4"/>
    <x v="7"/>
    <s v="Dong Jun"/>
    <m/>
    <s v="Defense Minister; CMC Member"/>
    <n v="8"/>
    <s v="Abroad"/>
    <s v="Defense Minister; BL at SCO"/>
    <m/>
    <m/>
    <m/>
    <m/>
    <m/>
    <m/>
    <m/>
    <m/>
  </r>
  <r>
    <s v="Senior Level Visit"/>
    <s v="North America"/>
    <s v="America and Oceania"/>
    <s v="No Specific Relationship"/>
    <s v="None"/>
    <s v="SOUTHCOM"/>
    <s v="Cuba"/>
    <x v="33"/>
    <n v="4"/>
    <x v="3"/>
    <s v="He Weidong"/>
    <m/>
    <s v="CMC Vice Chairman"/>
    <n v="10"/>
    <s v="Hosted"/>
    <s v="Chief of Political Directorate of Armed Forces"/>
    <m/>
    <m/>
    <m/>
    <m/>
    <m/>
    <m/>
    <m/>
    <m/>
  </r>
  <r>
    <s v="Senior Level Visit"/>
    <s v="Europe"/>
    <s v="Europe and Central Asia"/>
    <s v="Comprehensive Strategic Partnership [全面战略伙伴关系]"/>
    <s v="NATO"/>
    <s v="EUCOM"/>
    <s v="France"/>
    <x v="33"/>
    <n v="4"/>
    <x v="3"/>
    <s v="Wang Xiubin"/>
    <m/>
    <s v="Southern TC Commander"/>
    <n v="6"/>
    <s v="Hosted"/>
    <s v="Commander of Pacific Ocean and French Polynesian maritime zones"/>
    <m/>
    <m/>
    <m/>
    <m/>
    <m/>
    <m/>
    <m/>
    <m/>
  </r>
  <r>
    <s v="Senior Level Visit"/>
    <s v="Southeast Asia"/>
    <s v="Asia"/>
    <s v="Comprehensive Strategic Partnership [全面战略伙伴关系]"/>
    <s v="None"/>
    <s v="INDOPACOM"/>
    <s v="Indonesia"/>
    <x v="33"/>
    <n v="4"/>
    <x v="3"/>
    <s v="Dong Jun"/>
    <m/>
    <s v="Defense Minister; CMC Member"/>
    <n v="8"/>
    <s v="Hosted"/>
    <s v="President-elect/Defense Minister"/>
    <m/>
    <m/>
    <m/>
    <m/>
    <m/>
    <m/>
    <m/>
    <m/>
  </r>
  <r>
    <s v="Senior Level Visit"/>
    <s v="Middle East"/>
    <s v="West Asia and Africa"/>
    <s v="Comprehensive Strategic Partnership [全面战略伙伴关系]"/>
    <s v="None"/>
    <s v="CENTCOM"/>
    <s v="Iran"/>
    <x v="33"/>
    <n v="4"/>
    <x v="7"/>
    <s v="Dong Jun"/>
    <m/>
    <s v="Defense Minister; CMC Member"/>
    <n v="8"/>
    <s v="Abroad"/>
    <s v="Defense Minister; BL at SCO"/>
    <m/>
    <m/>
    <m/>
    <m/>
    <m/>
    <m/>
    <m/>
    <m/>
  </r>
  <r>
    <s v="Senior Level Visit"/>
    <s v="Central Asia"/>
    <s v="Europe and Central Asia"/>
    <s v="Permanent Comprehensive Strategic Partnership [永久全面战略伙伴]"/>
    <s v="None"/>
    <s v="CENTCOM"/>
    <s v="Kazakhstan"/>
    <x v="33"/>
    <n v="4"/>
    <x v="4"/>
    <s v="Dong Jun"/>
    <m/>
    <s v="Defense Minister; CMC Member"/>
    <n v="8"/>
    <s v="Abroad"/>
    <s v="President Tokayev"/>
    <m/>
    <m/>
    <m/>
    <m/>
    <m/>
    <m/>
    <m/>
    <m/>
  </r>
  <r>
    <s v="Senior Level Visit"/>
    <s v="Central Asia"/>
    <s v="Europe and Central Asia"/>
    <s v="Comprehensive Strategic Partnership [全面战略伙伴关系]"/>
    <s v="None"/>
    <s v="CENTCOM"/>
    <s v="Kyrgyzstan"/>
    <x v="33"/>
    <n v="4"/>
    <x v="7"/>
    <s v="Dong Jun"/>
    <m/>
    <s v="Defense Minister; CMC Member"/>
    <n v="8"/>
    <s v="Abroad"/>
    <s v="Defense Minister; BL at SCO"/>
    <m/>
    <m/>
    <m/>
    <m/>
    <m/>
    <m/>
    <m/>
    <m/>
  </r>
  <r>
    <s v="Naval Port Call"/>
    <s v="Africa"/>
    <s v="West Asia and Africa"/>
    <s v="Comprehensive Partnership [全面伙伴关系]"/>
    <s v="None"/>
    <s v="AFRICOM"/>
    <s v="Madagascar"/>
    <x v="33"/>
    <n v="4"/>
    <x v="0"/>
    <m/>
    <m/>
    <m/>
    <m/>
    <m/>
    <m/>
    <m/>
    <m/>
    <m/>
    <m/>
    <s v="ETF"/>
    <s v="ETF-45"/>
    <s v="East Sea Fleet"/>
    <s v="DDG118 Urumqi, FFG547 Linyi, AOR902 Dongpinghu"/>
  </r>
  <r>
    <s v="Naval Port Call"/>
    <s v="Africa"/>
    <s v="West Asia and Africa"/>
    <s v="Comprehensive Strategic Cooperative Partnership [全面战略合作伙伴关系]"/>
    <s v="None"/>
    <s v="AFRICOM"/>
    <s v="Mozambique"/>
    <x v="33"/>
    <n v="4"/>
    <x v="0"/>
    <m/>
    <m/>
    <m/>
    <m/>
    <m/>
    <m/>
    <m/>
    <m/>
    <m/>
    <m/>
    <s v="ETF"/>
    <s v="ETF-45"/>
    <s v="East Sea Fleet"/>
    <s v="DDG118 Urumqi, FFG547 Linyi, AOR902 Dongpinghu"/>
  </r>
  <r>
    <s v="Senior Level Visit"/>
    <s v="South Asia"/>
    <s v="Asia"/>
    <s v="All-Weather Strategic Cooperative Partnership [全天候战略合作伙伴关系]"/>
    <s v="Major Non-NATO Ally"/>
    <s v="CENTCOM"/>
    <s v="Pakistan"/>
    <x v="33"/>
    <n v="4"/>
    <x v="7"/>
    <s v="Dong Jun"/>
    <m/>
    <s v="Defense Minister; CMC Member"/>
    <n v="8"/>
    <s v="Abroad"/>
    <s v="Defense Minister; BL at SCO"/>
    <m/>
    <m/>
    <m/>
    <m/>
    <m/>
    <m/>
    <m/>
    <m/>
  </r>
  <r>
    <s v="Senior Level Visit"/>
    <s v="Russia"/>
    <s v="Europe and Central Asia"/>
    <s v="Comprehensive Strategic Partnership of Coordination in the New Era [新时代中俄全面战略协作伙伴关系]"/>
    <s v="None"/>
    <s v="EUCOM"/>
    <s v="Russia"/>
    <x v="33"/>
    <n v="4"/>
    <x v="7"/>
    <s v="Dong Jun"/>
    <m/>
    <s v="Defense Minister; CMC Member"/>
    <n v="8"/>
    <s v="Abroad"/>
    <s v="Defense Minister; BL at SCO"/>
    <m/>
    <m/>
    <m/>
    <m/>
    <m/>
    <m/>
    <m/>
    <m/>
  </r>
  <r>
    <s v="Senior Level Visit"/>
    <s v="Central Asia"/>
    <s v="Europe and Central Asia"/>
    <s v="Member"/>
    <s v="None"/>
    <s v="CENTCOM"/>
    <s v="SCO"/>
    <x v="33"/>
    <n v="4"/>
    <x v="1"/>
    <s v="Dong Jun"/>
    <m/>
    <s v="Defense Minister; CMC Member"/>
    <n v="8"/>
    <s v="Abroad"/>
    <s v="SCO Defense Ministers' meeting in Kazakhstan"/>
    <m/>
    <m/>
    <m/>
    <m/>
    <m/>
    <m/>
    <m/>
    <m/>
  </r>
  <r>
    <s v="Naval Port Call"/>
    <s v="Africa"/>
    <s v="West Asia and Africa"/>
    <s v="Strategic Partnership [战略伙伴关系]"/>
    <s v="None"/>
    <s v="AFRICOM"/>
    <s v="Seychelles"/>
    <x v="33"/>
    <n v="4"/>
    <x v="0"/>
    <m/>
    <m/>
    <m/>
    <m/>
    <m/>
    <m/>
    <m/>
    <m/>
    <m/>
    <m/>
    <s v="ETF"/>
    <s v="ETF-45"/>
    <s v="East Sea Fleet"/>
    <s v="DDG118 Urumqi, FFG547 Linyi, AOR902 Dongpinghu"/>
  </r>
  <r>
    <s v="Senior Level Visit"/>
    <s v="Central Asia"/>
    <s v="Europe and Central Asia"/>
    <s v="Comprehensive Strategic Cooperative Partnership [战略合作伙伴关系]"/>
    <s v="None"/>
    <s v="CENTCOM"/>
    <s v="Tajikistan"/>
    <x v="33"/>
    <n v="4"/>
    <x v="7"/>
    <s v="Dong Jun"/>
    <m/>
    <s v="Defense Minister; CMC Member"/>
    <n v="8"/>
    <s v="Abroad"/>
    <s v="Defense Minister; ML at SCO w/ Uzbekistan minister"/>
    <m/>
    <m/>
    <m/>
    <m/>
    <m/>
    <m/>
    <m/>
    <m/>
  </r>
  <r>
    <s v="Senior Level Visit"/>
    <s v="North America"/>
    <s v="America and Oceania"/>
    <s v="No Specific Relationship"/>
    <s v="N/A"/>
    <s v="NORTHCOM"/>
    <s v="United States"/>
    <x v="33"/>
    <n v="4"/>
    <x v="15"/>
    <s v="Dong Jun"/>
    <m/>
    <s v="Defense Minister; CMC Member"/>
    <n v="8"/>
    <s v="Virtual"/>
    <s v="Defense Secretary Austin"/>
    <m/>
    <m/>
    <m/>
    <m/>
    <m/>
    <m/>
    <m/>
    <m/>
  </r>
  <r>
    <s v="Senior Level Visit"/>
    <s v="Central Asia"/>
    <s v="Europe and Central Asia"/>
    <s v="All-Weather Comprehensive Strategic Partnership [全天候全面战略伙伴关系]"/>
    <s v="None"/>
    <s v="CENTCOM"/>
    <s v="Uzbekistan"/>
    <x v="33"/>
    <n v="4"/>
    <x v="7"/>
    <s v="Dong Jun"/>
    <m/>
    <s v="Defense Minister; CMC Member"/>
    <n v="8"/>
    <s v="Abroad"/>
    <s v="Defense Minister; ML at SCO w/ Tajikistan minister"/>
    <m/>
    <m/>
    <m/>
    <m/>
    <m/>
    <m/>
    <m/>
    <m/>
  </r>
  <r>
    <s v="Senior Level Visit"/>
    <s v="Southeast Asia"/>
    <s v="Asia"/>
    <s v="Comprehensive Strategic Partnership [全面战略伙伴关系]"/>
    <s v="None"/>
    <s v="INDOPACOM"/>
    <s v="Vietnam"/>
    <x v="33"/>
    <n v="4"/>
    <x v="3"/>
    <s v="Dong Jun"/>
    <m/>
    <s v="Defense Minister; CMC Member"/>
    <n v="8"/>
    <s v="Hosted"/>
    <s v="Defense Minister Phan Van Giang"/>
    <m/>
    <m/>
    <m/>
    <m/>
    <m/>
    <m/>
    <m/>
    <m/>
  </r>
  <r>
    <s v="Military Exercise"/>
    <s v="South Asia"/>
    <s v="Asia "/>
    <s v="Comprehensive Strategic Cooperative Partnership [战略合作伙伴关系]"/>
    <s v="None"/>
    <s v="INDOPACOM"/>
    <s v="Bangladesh"/>
    <x v="33"/>
    <n v="5"/>
    <x v="5"/>
    <m/>
    <m/>
    <m/>
    <m/>
    <m/>
    <m/>
    <s v="Anti-terrorism"/>
    <s v="Golden Friendship-2024"/>
    <s v="Army"/>
    <s v="CT and UN PKO scenarios "/>
    <m/>
    <m/>
    <m/>
    <m/>
  </r>
  <r>
    <s v="Military Exercise"/>
    <s v="Southeast Asia"/>
    <s v="Asia"/>
    <s v="Comprehensive Strategic Cooperative Partnership [全面战略合作伙伴关系]"/>
    <s v="None"/>
    <s v="INDOPACOM"/>
    <s v="Cambodia"/>
    <x v="33"/>
    <n v="5"/>
    <x v="5"/>
    <m/>
    <m/>
    <m/>
    <m/>
    <m/>
    <m/>
    <s v="Anti-terrorism"/>
    <s v="Golden Dragon 2024"/>
    <s v="Navy"/>
    <s v="Counter-terrorism and humanitarian relief exercises"/>
    <m/>
    <m/>
    <m/>
    <m/>
  </r>
  <r>
    <s v="Naval Port Call"/>
    <s v="Southeast Asia"/>
    <s v="Asia"/>
    <s v="Comprehensive Strategic Cooperative Partnership [全面战略合作伙伴关系]"/>
    <s v="None"/>
    <s v="INDOPACOM"/>
    <s v="Cambodia"/>
    <x v="33"/>
    <n v="5"/>
    <x v="0"/>
    <m/>
    <m/>
    <m/>
    <m/>
    <m/>
    <m/>
    <m/>
    <m/>
    <m/>
    <m/>
    <s v="NETF"/>
    <s v="83 task unit"/>
    <m/>
    <s v="Qi Jiguang training ship, Jinggangshan amphibious dock landing ship"/>
  </r>
  <r>
    <s v="Naval Port Call"/>
    <s v="Southeast Asia"/>
    <s v="Asia"/>
    <s v="Comprehensive Strategic Partnership [全面战略伙伴关系]"/>
    <s v="None"/>
    <s v="INDOPACOM"/>
    <s v="Malaysia"/>
    <x v="33"/>
    <n v="5"/>
    <x v="0"/>
    <m/>
    <m/>
    <m/>
    <m/>
    <m/>
    <m/>
    <m/>
    <m/>
    <m/>
    <m/>
    <s v="ETF"/>
    <s v="ETF-45"/>
    <s v="East Sea Fleet"/>
    <s v="DDG118 Urumqi, FFG547 Linyi, AOR902 Dongpinghu"/>
  </r>
  <r>
    <s v="Military Exercise"/>
    <s v="Northeast Asia"/>
    <s v="Asia"/>
    <s v="Comprehensive Strategic Partnership [全面战略伙伴关系]"/>
    <s v="None"/>
    <s v="INDOPACOM"/>
    <s v="Mongolia"/>
    <x v="33"/>
    <n v="5"/>
    <x v="5"/>
    <m/>
    <m/>
    <m/>
    <m/>
    <m/>
    <m/>
    <s v="Anti-terrorism"/>
    <s v="Steppe Partner-2024"/>
    <s v="Army"/>
    <s v="first joint training between armies; combatting illegal armed groups"/>
    <m/>
    <m/>
    <m/>
    <m/>
  </r>
  <r>
    <s v="Senior Level Visit"/>
    <s v="Middle East"/>
    <s v="West Asia and Africa"/>
    <s v="Strategic Partnership [战略伙伴关系]"/>
    <s v="None"/>
    <s v="CENTCOM"/>
    <s v="Qatar"/>
    <x v="33"/>
    <n v="5"/>
    <x v="3"/>
    <s v="Dong Jun"/>
    <m/>
    <s v="Defense Minister; CMC Member"/>
    <n v="8"/>
    <s v="Hosted"/>
    <s v="Deputy PM and Defense Minister "/>
    <m/>
    <m/>
    <m/>
    <m/>
    <m/>
    <m/>
    <m/>
    <m/>
  </r>
  <r>
    <s v="Senior Level Visit"/>
    <s v="Southeast Asia"/>
    <s v="Asia"/>
    <s v="All-Round Cooperative Partnership [全方合作伙伴关系]"/>
    <s v="None"/>
    <s v="INDOPACOM"/>
    <s v="Singapore"/>
    <x v="33"/>
    <n v="5"/>
    <x v="4"/>
    <s v="Dong Jun"/>
    <m/>
    <s v="Defense Minister; CMC Member"/>
    <n v="8"/>
    <s v="Abroad"/>
    <s v="Prime Minister Lawrence Wong"/>
    <m/>
    <m/>
    <m/>
    <m/>
    <m/>
    <m/>
    <m/>
    <m/>
  </r>
  <r>
    <s v="Naval Port Call"/>
    <s v="Africa"/>
    <s v="West Asia and Africa"/>
    <s v="All-round strategic cooperative partnership in the new era [新时代全方位战略合作伙伴关系]"/>
    <s v="None"/>
    <s v="AFRICOM"/>
    <s v="South Africa"/>
    <x v="33"/>
    <n v="5"/>
    <x v="13"/>
    <m/>
    <m/>
    <m/>
    <m/>
    <m/>
    <m/>
    <m/>
    <m/>
    <m/>
    <m/>
    <s v="ETF"/>
    <s v="ETF-46"/>
    <s v="South Sea Fleet"/>
    <s v="FFG536 Xuchang replenishment of oil, water, and staple and non-staple food, and organized troops to rest"/>
  </r>
  <r>
    <s v="Senior Level Visit"/>
    <s v="Africa"/>
    <s v="West Asia and Africa"/>
    <s v="All-round strategic cooperative partnership in the new era [新时代全方位战略合作伙伴关系]"/>
    <s v="None"/>
    <s v="AFRICOM"/>
    <s v="South Africa"/>
    <x v="33"/>
    <n v="5"/>
    <x v="3"/>
    <s v="Dong Jun"/>
    <m/>
    <s v="Defense Minister; CMC Member"/>
    <n v="8"/>
    <s v="Hosted"/>
    <s v="Navy Commander"/>
    <m/>
    <m/>
    <m/>
    <m/>
    <m/>
    <m/>
    <m/>
    <m/>
  </r>
  <r>
    <s v="Naval Port Call"/>
    <s v="Southeast Asia"/>
    <s v="Asia"/>
    <s v="Comprehensive Strategic Partnership [全面战略伙伴关系]"/>
    <s v="None"/>
    <s v="INDOPACOM"/>
    <s v="Timor-Leste"/>
    <x v="33"/>
    <n v="5"/>
    <x v="0"/>
    <m/>
    <m/>
    <m/>
    <m/>
    <m/>
    <m/>
    <m/>
    <m/>
    <m/>
    <m/>
    <s v="NETF"/>
    <s v="83 task unit"/>
    <m/>
    <s v="Qi Jiguang training ship, Jinggangshan amphibious dock landing ship"/>
  </r>
  <r>
    <s v="Senior Level Visit"/>
    <s v="Europe"/>
    <s v="Europe and Central Asia"/>
    <s v="Comprehensive Strategic Partnership [全面战略伙伴关系]"/>
    <s v="NATO"/>
    <s v="EUCOM"/>
    <s v="United Kingdom"/>
    <x v="33"/>
    <n v="5"/>
    <x v="15"/>
    <s v="Liu Zhenli"/>
    <m/>
    <s v="Chief, Joint Staff Dept (JSD)"/>
    <n v="8"/>
    <s v="Virtual"/>
    <s v="Chief of Defense Staff"/>
    <m/>
    <m/>
    <m/>
    <m/>
    <m/>
    <m/>
    <m/>
    <m/>
  </r>
  <r>
    <s v="Senior Level Visit"/>
    <s v="Oceania"/>
    <s v="America and Oceania"/>
    <s v="Comprehensive Strategic Partnership [全面战略伙伴关系]"/>
    <s v="ANZUS Treaty"/>
    <s v="INDOPACOM"/>
    <s v="Australia"/>
    <x v="33"/>
    <n v="6"/>
    <x v="7"/>
    <s v="Dong Jun"/>
    <m/>
    <s v="Minister of Defense"/>
    <n v="8"/>
    <s v="Abroad"/>
    <s v="Defense Ministers"/>
    <m/>
    <m/>
    <m/>
    <m/>
    <m/>
    <m/>
    <m/>
    <m/>
  </r>
  <r>
    <s v="Senior Level Visit"/>
    <s v="Southeast Asia"/>
    <s v="Asia"/>
    <s v="Comprehensive Strategic Cooperative Partnership [全面战略合作伙伴关系]"/>
    <s v="None"/>
    <s v="INDOPACOM"/>
    <s v="Cambodia"/>
    <x v="33"/>
    <n v="6"/>
    <x v="7"/>
    <s v="Dong Jun"/>
    <m/>
    <s v="Minister of Defense"/>
    <n v="8"/>
    <s v="Abroad"/>
    <s v="Minister of National Defense"/>
    <m/>
    <m/>
    <m/>
    <m/>
    <m/>
    <m/>
    <m/>
    <m/>
  </r>
  <r>
    <s v="Senior Level Visit"/>
    <s v="North America"/>
    <s v="America and Oceania"/>
    <s v="Strategic Partnership [战略伙伴关系]"/>
    <s v="NATO"/>
    <s v="NORTHCOM"/>
    <s v="Canada"/>
    <x v="33"/>
    <n v="6"/>
    <x v="7"/>
    <s v="Dong Jun"/>
    <m/>
    <s v="Minister of Defense"/>
    <n v="8"/>
    <s v="Abroad"/>
    <s v="Defense Minister"/>
    <m/>
    <m/>
    <m/>
    <m/>
    <m/>
    <m/>
    <m/>
    <m/>
  </r>
  <r>
    <s v="Senior Level Visit"/>
    <s v="Europe"/>
    <s v="Europe and Central Asia"/>
    <s v="Comprehensive Cooperative Partnership [全面合作伙伴关系]"/>
    <s v="None"/>
    <s v="EUCOM"/>
    <s v="European Union"/>
    <x v="33"/>
    <n v="6"/>
    <x v="7"/>
    <s v="Dong Jun"/>
    <m/>
    <s v="Minister of Defense"/>
    <n v="8"/>
    <s v="Abroad"/>
    <s v="High Representive of EU for Foreign Affairs and Security Policy"/>
    <m/>
    <m/>
    <m/>
    <m/>
    <m/>
    <m/>
    <m/>
    <m/>
  </r>
  <r>
    <s v="Senior Level Visit"/>
    <s v="Europe"/>
    <s v="Europe and Central Asia"/>
    <s v="Comprehensive Strategic Partnership [全面战略伙伴关系]"/>
    <s v="NATO"/>
    <s v="EUCOM"/>
    <s v="France"/>
    <x v="33"/>
    <n v="6"/>
    <x v="7"/>
    <s v="Dong Jun"/>
    <m/>
    <s v="Minister of Defense"/>
    <n v="8"/>
    <s v="Abroad"/>
    <s v="Vice Chief of the Defence Staff"/>
    <m/>
    <m/>
    <m/>
    <m/>
    <m/>
    <m/>
    <m/>
    <m/>
  </r>
  <r>
    <s v="Senior Level Visit"/>
    <s v="Southeast Asia"/>
    <s v="Asia"/>
    <s v="No Specific Relationship"/>
    <s v="None"/>
    <s v="INDOPACOM"/>
    <s v="IISS"/>
    <x v="33"/>
    <n v="6"/>
    <x v="1"/>
    <s v="Dong Jun"/>
    <m/>
    <s v="Defense Minister; CMC Member"/>
    <n v="8"/>
    <s v="Abroad"/>
    <s v="21st Shangri-La "/>
    <m/>
    <m/>
    <m/>
    <m/>
    <m/>
    <m/>
    <m/>
    <m/>
  </r>
  <r>
    <s v="Senior Level Visit"/>
    <s v="Northeast Asia"/>
    <s v="Asia"/>
    <s v="Mutually Beneficial Strategic Relationship [战略互惠关系]"/>
    <s v="Bilateral Defense Treaty"/>
    <s v="INDOPACOM"/>
    <s v="Japan"/>
    <x v="33"/>
    <n v="6"/>
    <x v="7"/>
    <s v="Dong Jun"/>
    <m/>
    <s v="Minister of Defense"/>
    <n v="8"/>
    <s v="Abroad"/>
    <s v="Minister of Defense"/>
    <m/>
    <m/>
    <m/>
    <m/>
    <m/>
    <m/>
    <m/>
    <m/>
  </r>
  <r>
    <s v="Senior Level Visit"/>
    <s v="Africa"/>
    <s v="West Asia and Africa"/>
    <s v="Comprehensive Strategic Cooperative Partnership [全面战略合作伙伴关系]"/>
    <s v="None"/>
    <s v="AFRICOM"/>
    <s v="Mozambique"/>
    <x v="33"/>
    <n v="6"/>
    <x v="3"/>
    <s v="Dong Jun"/>
    <m/>
    <s v="Minister of Defense"/>
    <n v="8"/>
    <s v="Hosted"/>
    <s v="Minister of Defense"/>
    <m/>
    <m/>
    <m/>
    <m/>
    <m/>
    <m/>
    <m/>
    <m/>
  </r>
  <r>
    <s v="Senior Level Visit"/>
    <s v="Oceania"/>
    <s v="America and Oceania"/>
    <s v="Comprehensive Strategic Partnership [全面战略伙伴关系]"/>
    <s v="ANZUS Treaty"/>
    <s v="INDOPACOM"/>
    <s v="New Zealand"/>
    <x v="33"/>
    <n v="6"/>
    <x v="7"/>
    <s v="Dong Jun"/>
    <m/>
    <s v="Minister of Defense"/>
    <n v="8"/>
    <s v="Abroad"/>
    <s v="Minister of Defence"/>
    <m/>
    <m/>
    <m/>
    <m/>
    <m/>
    <m/>
    <m/>
    <m/>
  </r>
  <r>
    <s v="Military Exercise"/>
    <s v="Africa"/>
    <s v="West Asia and Africa"/>
    <s v="Comprehensive Strategic Partnership [全面战略伙伴关系]"/>
    <s v="None"/>
    <s v="AFRICOM"/>
    <s v="Nigeria"/>
    <x v="33"/>
    <n v="6"/>
    <x v="6"/>
    <m/>
    <m/>
    <m/>
    <m/>
    <m/>
    <m/>
    <s v="Anti-piracy"/>
    <s v="N/A"/>
    <s v="Navy"/>
    <s v="joint exercise drill with Nigeria, Brazil, and Cameroon; frigate Xuchang of ETF-46 particiated in joint search/rescue, comms, formation maneuver, and counterpiracy"/>
    <m/>
    <s v="ETF-46"/>
    <s v="South Sea Fleet"/>
    <s v="DDG163 Jiaozuo, FFG536 Xuchang, AOR906 Honghu"/>
  </r>
  <r>
    <s v="Military Exercise"/>
    <s v="Russia"/>
    <s v="Europe and Central Asia"/>
    <s v="Comprehensive Strategic Partnership of Coordination in the New Era [新时代中俄全面战略协作伙伴关系]"/>
    <s v="None"/>
    <s v="EUCOM"/>
    <s v="Russia"/>
    <x v="33"/>
    <n v="6"/>
    <x v="5"/>
    <m/>
    <m/>
    <m/>
    <m/>
    <m/>
    <m/>
    <s v="Anti-terrorism"/>
    <s v="Border Defense Cooperation-2024"/>
    <s v="Army"/>
    <s v=" The Chinese and Russian sides implemented encirclement and capture operations in their respective areas through aerial reconnaissance, surface interception and ambushes on the shore."/>
    <m/>
    <m/>
    <m/>
    <m/>
  </r>
  <r>
    <s v="Senior Level Visit"/>
    <s v="Middle East"/>
    <s v="West Asia and Africa"/>
    <s v="Comprehensive Strategic Partnership [全面战略伙伴关系]"/>
    <s v="None"/>
    <s v="CENTCOM"/>
    <s v="Saudi Arabia"/>
    <x v="33"/>
    <n v="6"/>
    <x v="3"/>
    <s v="Zhang Youxia"/>
    <m/>
    <s v="CMC Vice Chairman"/>
    <n v="10"/>
    <s v="Hosted"/>
    <s v="Defense Minister; Dong Jun also met with separately"/>
    <m/>
    <m/>
    <m/>
    <m/>
    <m/>
    <m/>
    <m/>
    <m/>
  </r>
  <r>
    <s v="Senior Level Visit"/>
    <s v="Southeast Asia"/>
    <s v="Asia"/>
    <s v="Comprehensive Strategic Partnership [全面战略伙伴]"/>
    <s v="Bilateral Defense Treaty"/>
    <s v="INDOPACOM"/>
    <s v="Thailand"/>
    <x v="33"/>
    <n v="6"/>
    <x v="7"/>
    <s v="Dong Jun"/>
    <m/>
    <s v="Minister of Defense"/>
    <n v="8"/>
    <s v="Abroad"/>
    <s v="Minister of Defence"/>
    <m/>
    <m/>
    <m/>
    <m/>
    <m/>
    <m/>
    <m/>
    <m/>
  </r>
  <r>
    <s v="Senior Level Visit"/>
    <s v="North America"/>
    <s v="America and Oceania"/>
    <s v="No Specific Relationship"/>
    <s v="N/A"/>
    <s v="NORTHCOM"/>
    <s v="United States"/>
    <x v="33"/>
    <n v="6"/>
    <x v="7"/>
    <s v="Dong Jun"/>
    <m/>
    <s v="Defense Minister; CMC Member"/>
    <n v="8"/>
    <s v="Abroad"/>
    <s v="Defense Secretary Austin; BL at Shangri-La"/>
    <m/>
    <m/>
    <m/>
    <m/>
    <m/>
    <m/>
    <m/>
    <m/>
  </r>
  <r>
    <s v="Military Exercise"/>
    <s v="Europe"/>
    <s v="Europe and Central Asia"/>
    <s v="Comprehensive Strategic Partnership [全面战略伙伴关系]"/>
    <s v="None"/>
    <s v="EUCOM"/>
    <s v="Belarus"/>
    <x v="33"/>
    <n v="7"/>
    <x v="5"/>
    <m/>
    <m/>
    <m/>
    <m/>
    <m/>
    <m/>
    <s v="Anti-terrorism"/>
    <s v="Eagle Assault 2024"/>
    <s v="Army"/>
    <s v="hostage rescue and counter-terrorism operation"/>
    <m/>
    <m/>
    <m/>
    <m/>
  </r>
  <r>
    <s v="Senior Level Visit"/>
    <s v="South America"/>
    <s v="America and Oceania"/>
    <s v="Comprehensive Strategic Partnership [全面战略伙伴关系]"/>
    <s v="None"/>
    <s v="SOUTHCOM"/>
    <s v="Brazil"/>
    <x v="33"/>
    <n v="7"/>
    <x v="3"/>
    <s v="Dong Jun"/>
    <m/>
    <s v="Defense Minister; CMC Member"/>
    <n v="8"/>
    <s v="Hosted"/>
    <s v="Army Commander"/>
    <m/>
    <m/>
    <m/>
    <m/>
    <m/>
    <m/>
    <m/>
    <m/>
  </r>
  <r>
    <s v="Military Exercise"/>
    <s v="Africa"/>
    <s v="West Asia and Africa"/>
    <s v="Comprehensive Strategic Partnership [全面战略伙伴关系]"/>
    <s v="None"/>
    <s v="AFRICOM"/>
    <s v="Djibouti"/>
    <x v="33"/>
    <n v="7"/>
    <x v="5"/>
    <m/>
    <m/>
    <m/>
    <m/>
    <m/>
    <m/>
    <s v="Anti-terrorism"/>
    <s v="Cooperation-2024.7.FAD (Forces Armées Djibouti)"/>
    <s v="Army"/>
    <s v="Marines from PLA Djibouti base and Djibouti army formed a joint task force, and the command group is jointly held by the leaders of both sides. &quot;jointly attacking terrorists in desert areas&quot;, focusing on practical exercises such as coordinated reconnaissance, joint firepower strikes, and joint force assaults. three stages: research and training, adaptive training, and live-fire exercises."/>
    <m/>
    <m/>
    <m/>
    <m/>
  </r>
  <r>
    <s v="Military Exercise"/>
    <s v="Southeast Asia"/>
    <s v="Asia"/>
    <s v="Comprehensive Strategic Cooperative Partnership [全面战略合作伙伴关系]"/>
    <s v="None"/>
    <s v="INDOPACOM"/>
    <s v="Laos"/>
    <x v="33"/>
    <n v="7"/>
    <x v="5"/>
    <m/>
    <m/>
    <m/>
    <m/>
    <m/>
    <m/>
    <s v="MOOTW"/>
    <s v=" Friendship Shield 2024"/>
    <s v="Army"/>
    <s v="operation of mine-clearance and explosive ordnance disposal equipment, unarmed combat, and combat wound treatment."/>
    <m/>
    <m/>
    <m/>
    <m/>
  </r>
  <r>
    <s v="Naval Port Call"/>
    <s v="Africa"/>
    <s v="West Asia and Africa"/>
    <s v="Strategic Partnership [战略伙伴关系]"/>
    <s v="Major Non-NATO Ally"/>
    <s v="AFRICOM"/>
    <s v="Morocco"/>
    <x v="33"/>
    <n v="7"/>
    <x v="10"/>
    <m/>
    <m/>
    <m/>
    <m/>
    <m/>
    <m/>
    <m/>
    <m/>
    <m/>
    <m/>
    <s v="ETF"/>
    <s v="ETF-46"/>
    <s v="South Sea Fleet"/>
    <s v="DDG163 Jiaozuo, FFG536 Xuchang, AOR906 Honghu"/>
  </r>
  <r>
    <s v="Naval Port Call"/>
    <s v="Russia"/>
    <s v="Europe and Central Asia"/>
    <s v=" Comprehensive Strategic Partnership of Coordination in the New Era [新时代中俄全面战略协作伙伴关系]"/>
    <s v="None"/>
    <s v="EUCOM"/>
    <s v="Russia"/>
    <x v="33"/>
    <n v="7"/>
    <x v="10"/>
    <m/>
    <m/>
    <m/>
    <m/>
    <m/>
    <m/>
    <s v=" "/>
    <s v=" "/>
    <s v=" "/>
    <s v=" "/>
    <s v="NETF"/>
    <s v="Jiaozuo and Honghu"/>
    <s v="South Sea Fleet"/>
    <s v="Jiaozuo destroyer and Honghu replenishment ship left the Russian port of St. Petersburg"/>
  </r>
  <r>
    <s v="Military Exercise"/>
    <s v="Russia"/>
    <s v="Europe and Central Asia"/>
    <s v=" Comprehensive Strategic Partnership of Coordination in the New Era [新时代中俄全面战略协作伙伴关系]"/>
    <s v="None"/>
    <s v="EUCOM"/>
    <s v="Russia"/>
    <x v="33"/>
    <n v="7"/>
    <x v="5"/>
    <m/>
    <m/>
    <m/>
    <m/>
    <m/>
    <m/>
    <s v="Patrol"/>
    <s v="Joint Strategic Aerial Patrol I"/>
    <s v="Air Force"/>
    <s v="8th joint Strategic air patrol. Two Chinese H-6 and two Russian Tu-95 bombers flew off Alaska; first time Chinese bombers have flown within the Alaskan ADIZ. Escorted partly by a Russian Su-30; U.S. and Candaian fights tracked and intercepted the bombers, which stayed outside sovereign US territory."/>
    <m/>
    <m/>
    <m/>
    <m/>
  </r>
  <r>
    <s v="Military Exercise"/>
    <s v="Russia"/>
    <s v="Europe and Central Asia"/>
    <s v=" Comprehensive Strategic Partnership of Coordination in the New Era [新时代中俄全面战略协作伙伴关系]"/>
    <s v="None"/>
    <s v="EUCOM"/>
    <s v="Russia"/>
    <x v="33"/>
    <n v="7"/>
    <x v="5"/>
    <m/>
    <m/>
    <m/>
    <m/>
    <m/>
    <m/>
    <s v="Patrol"/>
    <s v="Joint Maritime Cruise 2024-I"/>
    <s v="Navy"/>
    <s v="The joint patrol featured the Russian corvette Sovershenny, the PLA Navy's Type 052D destroyer Yinchuan, Type 054A frigate Hengshui and Type 903 replenishment ship Weishanhu"/>
    <m/>
    <m/>
    <m/>
    <m/>
  </r>
  <r>
    <s v="Naval Port Call"/>
    <s v="Russia"/>
    <s v="Europe and Central Asia"/>
    <s v=" Comprehensive Strategic Partnership of Coordination in the New Era [新时代中俄全面战略协作伙伴关系]"/>
    <s v="None"/>
    <s v="EUCOM"/>
    <s v="Russia"/>
    <x v="33"/>
    <n v="7"/>
    <x v="0"/>
    <m/>
    <m/>
    <m/>
    <m/>
    <m/>
    <m/>
    <m/>
    <m/>
    <m/>
    <m/>
    <s v="NETF"/>
    <s v="Longhushang landing ship"/>
    <s v="East Sea Fleet"/>
    <s v="Longhushan (landing ship) and Zheng He (training ship) attend Russian Navy anniversary in Vladisvostok"/>
  </r>
  <r>
    <s v="Military Exercise"/>
    <s v="Russia"/>
    <s v="Europe and Central Asia"/>
    <s v="Comprehensive Strategic Partnership of Coordination in the New Era [新时代中俄全面战略协作伙伴关系]"/>
    <s v="None"/>
    <s v="EUCOM"/>
    <s v="Russia"/>
    <x v="33"/>
    <n v="7"/>
    <x v="5"/>
    <m/>
    <m/>
    <m/>
    <m/>
    <m/>
    <m/>
    <s v="Combat"/>
    <s v="Joint Sea 2024"/>
    <s v="Navy"/>
    <s v="exercise near Zhanjiang City, Guangdong"/>
    <m/>
    <m/>
    <m/>
    <m/>
  </r>
  <r>
    <s v="Naval Port Call"/>
    <s v="Africa"/>
    <s v="West Asia and Africa"/>
    <s v="Strategic Partnership [战略伙伴关系]"/>
    <s v="None"/>
    <s v="AFRICOM"/>
    <s v="Seychelles"/>
    <x v="33"/>
    <n v="7"/>
    <x v="0"/>
    <m/>
    <m/>
    <m/>
    <m/>
    <m/>
    <m/>
    <m/>
    <m/>
    <m/>
    <m/>
    <s v="NETF"/>
    <s v="Harmonious Mission 2024 Peace Ark"/>
    <s v="East Sea Fleet"/>
    <m/>
  </r>
  <r>
    <s v="Naval Port Call"/>
    <s v="Africa"/>
    <s v="West Asia and Africa"/>
    <s v="Comprehensive Strategic Cooperative Partnership [战略合作伙伴关系]"/>
    <s v="None"/>
    <s v="AFRICOM"/>
    <s v="Tanzania"/>
    <x v="33"/>
    <n v="7"/>
    <x v="0"/>
    <m/>
    <m/>
    <m/>
    <m/>
    <m/>
    <m/>
    <m/>
    <m/>
    <m/>
    <m/>
    <s v="NETF"/>
    <s v="Peace Ark - Harmonious Mission 2024"/>
    <s v="East Sea Fleet"/>
    <m/>
  </r>
  <r>
    <s v="Military Exercise"/>
    <s v="Africa"/>
    <s v="West Asia and Africa"/>
    <s v="Comprehensive Strategic Cooperative Partnership [战略合作伙伴关系]"/>
    <s v="None"/>
    <s v="AFRICOM"/>
    <s v="Tanzania"/>
    <x v="33"/>
    <n v="7"/>
    <x v="6"/>
    <m/>
    <m/>
    <m/>
    <m/>
    <m/>
    <m/>
    <s v="Combat"/>
    <s v="Peace Unity 2024"/>
    <s v="Joint"/>
    <s v="a battalion-sized element from PLA Central Theater Command 82nd Group Army including assault, reconnaissance, intelligence, special operations, information support and logistics elements, an information and communications regiment, and a military hospital. Exercise also assigned an exercise director and staff to evaluate the performance of units and commanders. The exercise also involved live-fire, integrated logistics, opposition force elements, and shared command and control. Also displayed were power projection capabilities, like the Y-20 strategic transport aircraft and sealift assets. Note: PLA marines from the Djibouti base were part of the PLA Contingent in these drills and this may be the first time PLA marines based in Djibouti have exercised with foreign militaries. Naval flotilla sent from Southern TC Navy"/>
    <m/>
    <m/>
    <s v="the sealift assets includd: the amphibious dock landing ship Wuzhishan, the amphibious dock landing ship Qilianshan, and the guided-missile destroyer Hefei."/>
    <m/>
  </r>
  <r>
    <s v="Military Exercise"/>
    <s v="Middle East"/>
    <s v="West Asia and Africa"/>
    <s v="Comprehensive Strategic Partnership [全面战略伙伴关系]"/>
    <s v="None"/>
    <s v="CENTCOM"/>
    <s v="United Arab Emirates"/>
    <x v="33"/>
    <n v="7"/>
    <x v="5"/>
    <m/>
    <m/>
    <m/>
    <m/>
    <m/>
    <m/>
    <s v="MOOTW"/>
    <s v="Falcon Shield 2024"/>
    <s v="Air Force"/>
    <s v="second joint training focused on deepening trust/coop, held in XJ"/>
    <m/>
    <m/>
    <m/>
    <m/>
  </r>
  <r>
    <s v="Naval Port Call"/>
    <s v="Africa"/>
    <s v="West Asia and Africa"/>
    <s v="Comprehensive Strategic Partnership [全面战略伙伴关系]"/>
    <s v="Major Non-NATO Ally"/>
    <s v="CENTCOM"/>
    <s v="Egypt"/>
    <x v="33"/>
    <n v="8"/>
    <x v="0"/>
    <m/>
    <m/>
    <m/>
    <m/>
    <m/>
    <m/>
    <m/>
    <m/>
    <m/>
    <m/>
    <s v="ETF"/>
    <s v="ETF-46"/>
    <s v="South Sea Fleet"/>
    <s v="Jiaozuo DG and Honghu supply ships"/>
  </r>
  <r>
    <s v="Naval Port Call"/>
    <s v="Africa"/>
    <s v="West Asia and Africa"/>
    <s v="Comprehensive Strategic Cooperative Partnership [全面战略合作伙伴关系]"/>
    <s v="None"/>
    <s v="AFRICOM"/>
    <s v="Madagascar"/>
    <x v="33"/>
    <n v="8"/>
    <x v="0"/>
    <m/>
    <m/>
    <m/>
    <m/>
    <m/>
    <m/>
    <m/>
    <m/>
    <m/>
    <m/>
    <s v="NETF"/>
    <s v="Peace Ark - Harmonious Mission 2024"/>
    <s v="East Sea Fleet"/>
    <m/>
  </r>
  <r>
    <s v="Naval Port Call"/>
    <s v="Africa"/>
    <s v="West Asia and Africa"/>
    <s v="Comprehensive Strategic Cooperative Partnership [全面战略合作伙伴关系]"/>
    <s v="None"/>
    <s v="AFRICOM"/>
    <s v="Mozambique"/>
    <x v="33"/>
    <n v="8"/>
    <x v="0"/>
    <m/>
    <m/>
    <m/>
    <m/>
    <m/>
    <m/>
    <m/>
    <m/>
    <m/>
    <m/>
    <s v="NETF"/>
    <s v="Peace Ark - Harmonious Mission 2024"/>
    <s v="East Sea Fleet"/>
    <m/>
  </r>
  <r>
    <s v="Military Exercise"/>
    <s v="Africa"/>
    <s v="West Asia and Africa"/>
    <s v="Comprehensive Strategic Cooperative Partnership [全面战略合作伙伴关系]"/>
    <s v="None"/>
    <s v="AFRICOM"/>
    <s v="Mozambique"/>
    <x v="33"/>
    <n v="8"/>
    <x v="5"/>
    <m/>
    <m/>
    <m/>
    <m/>
    <m/>
    <m/>
    <s v="Anti-piracy"/>
    <s v="Peace Unity 2024"/>
    <s v="Navy"/>
    <s v="joint maritime patrols, visit, board, search and seizure (VBSS), maritime rescue, and anti-terrorism and anti-piracy"/>
    <m/>
    <m/>
    <s v="South Sea Fleet"/>
    <m/>
  </r>
  <r>
    <s v="Senior Level Visit"/>
    <s v="Oceania"/>
    <s v="America and Oceania"/>
    <s v="Comprehensive Strategic Partnership [全面战略伙伴关系]"/>
    <s v="ANZUS Treaty"/>
    <s v="INDOPACOM"/>
    <s v="New Zealand"/>
    <x v="33"/>
    <n v="8"/>
    <x v="4"/>
    <s v="???"/>
    <m/>
    <s v="???"/>
    <n v="5"/>
    <s v="Abroad"/>
    <s v="Vice Chief of Defense Force"/>
    <m/>
    <m/>
    <m/>
    <m/>
    <m/>
    <m/>
    <m/>
    <m/>
  </r>
  <r>
    <s v="Naval Port Call"/>
    <s v="Africa"/>
    <s v="West Asia and Africa"/>
    <s v="All-round strategic cooperative partnership in the new era [新时代全方位战略合作伙伴关系]"/>
    <s v="None"/>
    <s v="AFRICOM"/>
    <s v="South Africa"/>
    <x v="33"/>
    <n v="8"/>
    <x v="0"/>
    <m/>
    <m/>
    <m/>
    <m/>
    <m/>
    <m/>
    <m/>
    <m/>
    <m/>
    <m/>
    <s v="NETF"/>
    <s v="Peace Ark - Harmonious Mission 2024"/>
    <s v="East Sea Fleet"/>
    <m/>
  </r>
  <r>
    <s v="Naval Port Call"/>
    <s v="South Asia"/>
    <s v="Asia"/>
    <s v="Strategic Cooperative Partnership [战略合作伙伴关系]"/>
    <s v="None"/>
    <s v="INDOPACOM"/>
    <s v="Sri Lanka"/>
    <x v="33"/>
    <n v="8"/>
    <x v="10"/>
    <m/>
    <m/>
    <m/>
    <m/>
    <m/>
    <m/>
    <m/>
    <m/>
    <m/>
    <m/>
    <s v="NETF"/>
    <s v="He Fei DDG, Wuzhishan LPD, Qilianshan LPD"/>
    <s v="South Sea Fleet"/>
    <s v="He Fei DDG, Wuzhishan LPD, Qilianshan LPD; ships conducted a PASSEX as they departed"/>
  </r>
  <r>
    <s v="Military Exercise"/>
    <s v="Southeast Asia"/>
    <s v="Asia"/>
    <s v="Comprehensive Strategic Partnership [全面战略伙伴]"/>
    <s v="Bilateral Defense Treaty"/>
    <s v="INDOPACOM"/>
    <s v="Thailand"/>
    <x v="33"/>
    <n v="8"/>
    <x v="5"/>
    <m/>
    <m/>
    <m/>
    <m/>
    <m/>
    <m/>
    <s v="Combat"/>
    <s v="Falcon Strike 2024"/>
    <s v="Air Force"/>
    <s v="Exercise focused on early warning detection, dissimilar aircraft combat, close air support, penetration assault, and battlefield medical evacuation"/>
    <m/>
    <m/>
    <m/>
    <m/>
  </r>
  <r>
    <s v="Senior Level Visit"/>
    <s v="North America"/>
    <s v="America and Oceania"/>
    <s v="No Specific Relationship"/>
    <s v="N/A"/>
    <s v="INDOPACOM"/>
    <s v="United States"/>
    <x v="33"/>
    <n v="8"/>
    <x v="3"/>
    <s v="Zhang Youxia"/>
    <m/>
    <s v="Vice Chair CMC"/>
    <n v="10"/>
    <s v="Hosted"/>
    <s v="NSA Sullivan"/>
    <m/>
    <m/>
    <m/>
    <m/>
    <m/>
    <m/>
    <m/>
    <m/>
  </r>
  <r>
    <s v="Senior Level Visit"/>
    <s v="Southeast Asia"/>
    <s v="Asia"/>
    <s v="Comprehensive Strategic Partnership [全面战略伙伴关系]"/>
    <s v="None"/>
    <s v="INDOPACOM"/>
    <s v="Vietnam"/>
    <x v="33"/>
    <n v="8"/>
    <x v="3"/>
    <s v="Dong Jun"/>
    <m/>
    <s v="Minister of Defense"/>
    <n v="8"/>
    <s v="Hosted"/>
    <s v="Minister of Defense"/>
    <m/>
    <m/>
    <m/>
    <m/>
    <m/>
    <m/>
    <m/>
    <m/>
  </r>
  <r>
    <s v="Naval Port Call"/>
    <s v="Africa"/>
    <s v="West Asia and Africa"/>
    <s v="Comprehensive Cooperative Strategic Partnership [全面战略合作伙伴关系]"/>
    <s v="None"/>
    <s v="AFRICOM"/>
    <s v="Angola"/>
    <x v="33"/>
    <n v="9"/>
    <x v="0"/>
    <m/>
    <m/>
    <m/>
    <m/>
    <m/>
    <m/>
    <m/>
    <m/>
    <m/>
    <m/>
    <s v="NETF"/>
    <s v="Peace Ark - Harmonious Mission 2024"/>
    <s v="East Sea Fleet"/>
    <m/>
  </r>
  <r>
    <s v="Senior Level Visit"/>
    <s v="Europe"/>
    <s v="Europe and Central Asia"/>
    <s v="Friendly Cooperative Partnership [友好合作伙伴关系]"/>
    <s v="None"/>
    <s v="EUCOM"/>
    <s v="Armenia"/>
    <x v="33"/>
    <n v="9"/>
    <x v="7"/>
    <s v="Dong Jun"/>
    <m/>
    <s v="Minister of Defense"/>
    <n v="8"/>
    <s v="Hosted"/>
    <s v="Defense Minister"/>
    <m/>
    <m/>
    <m/>
    <m/>
    <m/>
    <m/>
    <m/>
    <m/>
  </r>
  <r>
    <s v="Senior Level Visit"/>
    <s v="Europe"/>
    <s v="Europe and Central Asia"/>
    <s v="All-Weather Strategic Cooperative Partnership [全天候战略合作伙伴关系]"/>
    <s v="None"/>
    <s v="EUCOM"/>
    <s v="Belarus"/>
    <x v="33"/>
    <n v="9"/>
    <x v="7"/>
    <s v="Dong Jun"/>
    <m/>
    <s v="Minister of Defense"/>
    <n v="8"/>
    <s v="Hosted"/>
    <s v="Defense Minister"/>
    <m/>
    <m/>
    <m/>
    <m/>
    <m/>
    <m/>
    <m/>
    <m/>
  </r>
  <r>
    <s v="Military Exercise"/>
    <s v="South America"/>
    <s v="America and Oceania"/>
    <s v="Comprehensive Strategic Partnership [全面战略伙伴关系]"/>
    <s v="Major Non-NATO Ally"/>
    <s v="SOUTHCOM"/>
    <s v="Brazil"/>
    <x v="33"/>
    <n v="9"/>
    <x v="6"/>
    <m/>
    <m/>
    <m/>
    <m/>
    <m/>
    <m/>
    <s v="Combat"/>
    <s v="Exercise Formosa"/>
    <s v="Navy"/>
    <s v="The US-Brasil part of the exercise included coordinated live fire elements; the PRC-Brasil part &quot;will primarily concentrate on joint landing and anti-landing combat drills&quot;. US (63 Marines) and PLA troops (32 Marines) did not interact; PRC sent oberse vrs to the 2023 exercise"/>
    <m/>
    <m/>
    <m/>
    <m/>
  </r>
  <r>
    <s v="Senior Level Visit"/>
    <s v="Southeast Asia"/>
    <s v="Asia"/>
    <s v="Comprehensive Strategic Cooperative Partnership [全面战略合作伙伴关系]"/>
    <s v="None"/>
    <s v="INDOPACOM"/>
    <s v="Cambodia"/>
    <x v="33"/>
    <n v="9"/>
    <x v="7"/>
    <s v="Zhang Youxia"/>
    <m/>
    <s v="Vice Chair CMC"/>
    <n v="10"/>
    <s v="Hosted"/>
    <s v="Deputy PM and Defense Minister"/>
    <m/>
    <m/>
    <m/>
    <m/>
    <m/>
    <m/>
    <m/>
    <m/>
  </r>
  <r>
    <s v="Senior Level Visit"/>
    <s v="Africa"/>
    <s v="West Asia and Africa"/>
    <s v="Comprehensive Strategic Partnership [全面战略伙伴关系]"/>
    <s v="None"/>
    <s v="AFRICOM"/>
    <s v="Cameroon"/>
    <x v="33"/>
    <n v="9"/>
    <x v="7"/>
    <s v="Dong Jun"/>
    <m/>
    <s v="Minister of Defense"/>
    <n v="8"/>
    <s v="Hosted"/>
    <s v="Defense Minister"/>
    <m/>
    <m/>
    <m/>
    <m/>
    <m/>
    <m/>
    <m/>
    <m/>
  </r>
  <r>
    <s v="Senior Level Visit"/>
    <s v="South America"/>
    <s v="America and Oceania"/>
    <s v="Comprehensive Strategic Partnership [全面战略伙伴关系]"/>
    <s v="None"/>
    <s v="SOUTHCOM"/>
    <s v="Chile"/>
    <x v="33"/>
    <n v="9"/>
    <x v="7"/>
    <s v="Dong Jun"/>
    <m/>
    <s v="Minister of Defense"/>
    <n v="8"/>
    <s v="Hosted"/>
    <s v="Defense Minister"/>
    <m/>
    <m/>
    <m/>
    <m/>
    <m/>
    <m/>
    <m/>
    <m/>
  </r>
  <r>
    <s v="Naval Port Call"/>
    <s v="Africa"/>
    <s v="West Asia and Africa"/>
    <s v="Comprehensive Strategic Partnership [全面战略伙伴关系]"/>
    <s v="None"/>
    <s v="AFRICOM"/>
    <s v="Congo"/>
    <x v="33"/>
    <n v="9"/>
    <x v="0"/>
    <m/>
    <m/>
    <m/>
    <m/>
    <m/>
    <m/>
    <m/>
    <m/>
    <m/>
    <m/>
    <s v="NETF"/>
    <s v="Peace Ark - Harmonious Mission 2024"/>
    <s v="East Sea Fleet"/>
    <m/>
  </r>
  <r>
    <s v="Senior Level Visit"/>
    <s v="Oceania"/>
    <s v="America and Oceania"/>
    <s v="Comprehensive Strategic Partnership [全面战略伙伴关系]"/>
    <s v="None"/>
    <s v="INDOPACOM"/>
    <s v="Fiji"/>
    <x v="33"/>
    <n v="9"/>
    <x v="7"/>
    <s v="Dong Jun"/>
    <m/>
    <s v="Minister of Defense"/>
    <n v="8"/>
    <s v="Hosted"/>
    <s v="Minister of Internal Affairs and Immigration"/>
    <m/>
    <m/>
    <m/>
    <m/>
    <m/>
    <m/>
    <m/>
    <m/>
  </r>
  <r>
    <s v="Senior Level Visit"/>
    <s v="Europe"/>
    <s v="Europe and Central Asia"/>
    <s v="Comprehensive Strategic Partnership [全面战略伙伴关系]"/>
    <s v="NATO"/>
    <s v="EUCOM"/>
    <s v="France"/>
    <x v="33"/>
    <n v="9"/>
    <x v="7"/>
    <s v="Wu Yanan"/>
    <m/>
    <s v="Southern Theater Commmander"/>
    <n v="6"/>
    <s v="Abroad"/>
    <s v="US INDOPACOM Commander ADM Samuel Paparo"/>
    <m/>
    <m/>
    <m/>
    <m/>
    <m/>
    <m/>
    <m/>
    <m/>
  </r>
  <r>
    <s v="Naval Port Call"/>
    <s v="Africa"/>
    <s v="West Asia and Africa"/>
    <s v="Comprehensive Stategic Collaborative Partnership [全面战略合作伙伴关系]"/>
    <s v="None"/>
    <s v="AFRICOM"/>
    <s v="Gabon"/>
    <x v="33"/>
    <n v="9"/>
    <x v="10"/>
    <m/>
    <m/>
    <m/>
    <m/>
    <m/>
    <m/>
    <m/>
    <m/>
    <m/>
    <m/>
    <s v="NETF"/>
    <s v="Peace Ark - Harmonious Mission 2024"/>
    <s v="East Sea Fleet"/>
    <m/>
  </r>
  <r>
    <s v="Senior Level Visit"/>
    <s v="Africa"/>
    <s v="West Asia and Africa"/>
    <s v="Comprehensive Stategic Collaborative Partnership [全面战略合作伙伴关系]"/>
    <s v="None"/>
    <s v="AFRICOM"/>
    <s v="Gabon"/>
    <x v="33"/>
    <n v="9"/>
    <x v="7"/>
    <s v="Dong Jun"/>
    <m/>
    <s v="Minister of Defense"/>
    <n v="8"/>
    <s v="Hosted"/>
    <s v="Defense Minister"/>
    <m/>
    <m/>
    <m/>
    <m/>
    <m/>
    <m/>
    <m/>
    <m/>
  </r>
  <r>
    <s v="Naval Port Call"/>
    <s v="Southeast Asia"/>
    <s v="Asia"/>
    <s v="Comprehensive Strategic Partnership [全面战略伙伴关系]"/>
    <s v="None"/>
    <s v="INDOPACOM"/>
    <s v="Indonesia"/>
    <x v="33"/>
    <n v="9"/>
    <x v="0"/>
    <m/>
    <m/>
    <m/>
    <m/>
    <m/>
    <m/>
    <m/>
    <m/>
    <m/>
    <m/>
    <s v="NETF"/>
    <s v="Training Ship Po Lang"/>
    <s v="North Sea Fleet"/>
    <s v="Training Ship Po Lang sailing ship from Dalian Naval Academy"/>
  </r>
  <r>
    <s v="Senior Level Visit"/>
    <s v="Central Asia"/>
    <s v="Europe and Central Asia"/>
    <s v="Permanent Comprehensive Strategic Partnership [永久全面战略伙伴]"/>
    <s v="None"/>
    <s v="CENTCOM"/>
    <s v="Kazakhstan"/>
    <x v="33"/>
    <n v="9"/>
    <x v="7"/>
    <s v="Zhang Youxia"/>
    <m/>
    <s v="Vice Chair CMC"/>
    <n v="10"/>
    <s v="Hosted"/>
    <s v="Defense Minister Zakserykov"/>
    <m/>
    <m/>
    <m/>
    <m/>
    <m/>
    <m/>
    <m/>
    <m/>
  </r>
  <r>
    <s v="Senior Level Visit"/>
    <s v="Central Asia"/>
    <s v="Europe and Central Asia"/>
    <s v="Comprehensive Strategic Partnership for a New Era [新时代全面战略伙伴关系]"/>
    <s v="None"/>
    <s v="CENTCOM"/>
    <s v="Kyrgyzstan"/>
    <x v="33"/>
    <n v="9"/>
    <x v="7"/>
    <s v="Dong Jun"/>
    <m/>
    <s v="Minister of Defense"/>
    <n v="8"/>
    <s v="Hosted"/>
    <s v="Defense Minister"/>
    <m/>
    <m/>
    <m/>
    <m/>
    <m/>
    <m/>
    <m/>
    <m/>
  </r>
  <r>
    <s v="Senior Level Visit"/>
    <s v="Southeast Asia"/>
    <s v="Asia"/>
    <s v="Comprehensive Strategic Cooperative Partnership [全面战略合作伙伴关系]"/>
    <s v="None"/>
    <s v="INDOPACOM"/>
    <s v="Laos"/>
    <x v="33"/>
    <n v="9"/>
    <x v="7"/>
    <s v="Dong Jun"/>
    <m/>
    <s v="Minister of Defense"/>
    <n v="8"/>
    <s v="Hosted"/>
    <s v="Deputy PM and Defense Minister"/>
    <m/>
    <m/>
    <m/>
    <m/>
    <m/>
    <m/>
    <m/>
    <m/>
  </r>
  <r>
    <s v="Senior Level Visit"/>
    <s v="Africa"/>
    <s v="West Asia and Africa"/>
    <s v="Comprehensive Strategic Cooperative Partnership [全面战略合作伙伴关系]"/>
    <s v="None"/>
    <s v="AFRICOM"/>
    <s v="Madagascar"/>
    <x v="33"/>
    <n v="9"/>
    <x v="7"/>
    <s v="Dong Jun"/>
    <m/>
    <s v="Minister of Defense"/>
    <n v="8"/>
    <s v="Hosted"/>
    <s v="Defense Minister"/>
    <m/>
    <m/>
    <m/>
    <m/>
    <m/>
    <m/>
    <m/>
    <m/>
  </r>
  <r>
    <s v="Senior Level Visit"/>
    <s v="Southeast Asia"/>
    <s v="Asia"/>
    <s v="Comprehensive Collaborative Strategic Partnership [全面战略合作伙伴关系]"/>
    <s v="None"/>
    <s v="INDOPACOM"/>
    <s v="Maldives"/>
    <x v="33"/>
    <n v="9"/>
    <x v="7"/>
    <s v="Dong Jun"/>
    <m/>
    <s v="Minister of Defense"/>
    <n v="8"/>
    <s v="Hosted"/>
    <s v="Defense Minister"/>
    <m/>
    <m/>
    <m/>
    <m/>
    <m/>
    <m/>
    <m/>
    <m/>
  </r>
  <r>
    <s v="Senior Level Visit"/>
    <s v="Africa"/>
    <s v="West Asia and Africa"/>
    <s v="Strategic Partnership [战略伙伴关系]"/>
    <s v="None"/>
    <s v="AFRICOM"/>
    <s v="Mauritania"/>
    <x v="33"/>
    <n v="9"/>
    <x v="7"/>
    <s v="Dong Jun"/>
    <m/>
    <s v="Minister of Defense"/>
    <n v="8"/>
    <s v="Hosted"/>
    <s v="Defense Minister"/>
    <m/>
    <m/>
    <m/>
    <m/>
    <m/>
    <m/>
    <m/>
    <m/>
  </r>
  <r>
    <s v="Senior Level Visit"/>
    <s v="Southeast Asia"/>
    <s v="Asia"/>
    <s v="Comprehensive Strategic Cooperative Partnership [全面战略合作伙伴关系]"/>
    <s v="None"/>
    <s v="INDOPACOM"/>
    <s v="Myanmar"/>
    <x v="33"/>
    <n v="9"/>
    <x v="7"/>
    <s v="He Weidong"/>
    <m/>
    <s v="Vice Chair CMC"/>
    <n v="10"/>
    <s v="Hosted"/>
    <s v="Deputy Prime Minister"/>
    <m/>
    <m/>
    <m/>
    <m/>
    <m/>
    <m/>
    <m/>
    <m/>
  </r>
  <r>
    <s v="Senior Level Visit"/>
    <s v="Northeast Asia"/>
    <s v="Asia"/>
    <s v="N/A"/>
    <s v="None"/>
    <s v="INDOPACOM"/>
    <s v="N/A"/>
    <x v="33"/>
    <n v="9"/>
    <x v="2"/>
    <s v="Dong Jun"/>
    <m/>
    <s v="Minister of Defense"/>
    <n v="8"/>
    <s v="Hosted"/>
    <s v="11th Xiangshan Forum "/>
    <m/>
    <m/>
    <m/>
    <m/>
    <m/>
    <m/>
    <m/>
    <m/>
  </r>
  <r>
    <s v="Military Exercise"/>
    <s v="South Asia"/>
    <s v="Asia"/>
    <s v="Development-oriented Strategic Cooperative Partnership [面向发展与繁荣的世代友好的战略合作伙伴关系]."/>
    <s v="None"/>
    <s v="INDOPACOM"/>
    <s v="Nepal"/>
    <x v="33"/>
    <n v="9"/>
    <x v="5"/>
    <m/>
    <m/>
    <m/>
    <m/>
    <m/>
    <m/>
    <s v="Anti-terrorism"/>
    <s v="Sagarmatha Friendship 2024"/>
    <s v="Army"/>
    <s v="Under the theme of &quot;joint counter-terrorism operations in urban blocks,&quot; the joint training will include small arms shooting in special operations, counter-terrorism squad tactics, drone operations, emergency rescue, and comprehensive counter-terrorism exercises."/>
    <m/>
    <m/>
    <m/>
    <m/>
  </r>
  <r>
    <s v="Senior Level Visit"/>
    <s v="South Asia"/>
    <s v="Asia"/>
    <s v="All-Weather Strategic Cooperative Partnership [全天候战略合作伙伴关系]"/>
    <s v="Major Non-NATO Ally"/>
    <s v="CENTCOM"/>
    <s v="Pakistan"/>
    <x v="33"/>
    <n v="9"/>
    <x v="7"/>
    <s v="He Weidong"/>
    <m/>
    <s v="Vice Chair CMC"/>
    <n v="10"/>
    <s v="Hosted"/>
    <s v="Chairman of Joint Chiefs of Staff Cmte."/>
    <m/>
    <m/>
    <m/>
    <m/>
    <m/>
    <m/>
    <m/>
    <m/>
  </r>
  <r>
    <s v="Senior Level Visit"/>
    <s v="Southeast Asia"/>
    <s v="Asia"/>
    <s v="Comprehensive Strategic Partnership [全面战略伙伴关系]"/>
    <s v="Bilateral Defense Treaty"/>
    <s v="INDOPACOM"/>
    <s v="Philippines"/>
    <x v="33"/>
    <n v="9"/>
    <x v="7"/>
    <s v="Wu Yanan"/>
    <m/>
    <s v="Southern Theater Commmander"/>
    <n v="6"/>
    <s v="Abroad"/>
    <s v="US INDOPACOM Commander ADM Samuel Paparo"/>
    <m/>
    <m/>
    <m/>
    <m/>
    <m/>
    <m/>
    <m/>
    <m/>
  </r>
  <r>
    <s v="Senior Level Visit"/>
    <s v="Russia"/>
    <s v="Europe and Central Asia"/>
    <s v=" Comprehensive Strategic Partnership of Coordination in the New Era [新时代中俄全面战略协作伙伴关系]"/>
    <s v="None"/>
    <s v="EUCOM"/>
    <s v="Russia"/>
    <x v="33"/>
    <n v="9"/>
    <x v="7"/>
    <s v="Dong Jun"/>
    <m/>
    <s v="Minister of Defense"/>
    <n v="8"/>
    <s v="Hosted"/>
    <s v="Deputy Defense Minister Fomin"/>
    <m/>
    <m/>
    <m/>
    <m/>
    <m/>
    <m/>
    <m/>
    <m/>
  </r>
  <r>
    <s v="Military Exercise"/>
    <s v="Russia"/>
    <s v="Europe and Central Asia"/>
    <s v=" Comprehensive Strategic Partnership of Coordination in the New Era [新时代中俄全面战略协作伙伴关系]"/>
    <s v="None"/>
    <s v="EUCOM"/>
    <s v="Russia"/>
    <x v="33"/>
    <n v="9"/>
    <x v="5"/>
    <m/>
    <m/>
    <m/>
    <m/>
    <m/>
    <m/>
    <s v="Combat"/>
    <s v="Northern Interaction-2024 "/>
    <s v="Joint"/>
    <s v="Joint maritime defense operations. Improve organizational and commanding capabilities in joint sea and air defense operations. The exercise covered a range of training subjects, including naval and air escort, guard and defense, air and missile defense."/>
    <m/>
    <m/>
    <m/>
    <m/>
  </r>
  <r>
    <s v="Military Exercise"/>
    <s v="Russia"/>
    <s v="Europe and Central Asia"/>
    <s v=" Comprehensive Strategic Partnership of Coordination in the New Era [新时代中俄全面战略协作伙伴关系]"/>
    <s v="None"/>
    <s v="EUCOM"/>
    <s v="Russia"/>
    <x v="33"/>
    <n v="9"/>
    <x v="5"/>
    <m/>
    <m/>
    <m/>
    <m/>
    <m/>
    <m/>
    <s v="Patrol"/>
    <s v="Joint Maritime Cruise 2024-II"/>
    <s v="Navy"/>
    <s v="Russian Navy destroyers RFS Admiral Panteleyev (548) and RFS Admiral Tributs (564) and corvettes RFS MPK-107 (332), RFS MPK-82 (375) and RFS Smerch (423) and PLAN cruiser CNS Wuxi (104), destroyer CNS Xining (117), frigate CNS Linyi (547) and fleet oiler CNS Taihu (889) form joint SAG in Northwestern Pacific Ocean"/>
    <m/>
    <m/>
    <m/>
    <m/>
  </r>
  <r>
    <s v="Senior Level Visit"/>
    <s v="Southeast Asia"/>
    <s v="Asia"/>
    <s v="All-round, high-quality, future-oriented Partnernship [全方位高质量的前瞻性伙伴关系]"/>
    <s v="None"/>
    <s v="INDOPACOM"/>
    <s v="Singapore"/>
    <x v="33"/>
    <n v="9"/>
    <x v="7"/>
    <s v="Zhang Youxia"/>
    <m/>
    <s v="Vice Chair CMC"/>
    <n v="10"/>
    <s v="Hosted"/>
    <s v="Defense Minister"/>
    <m/>
    <m/>
    <m/>
    <m/>
    <m/>
    <m/>
    <m/>
    <m/>
  </r>
  <r>
    <s v="Military Exercise"/>
    <s v="Southeast Asia"/>
    <s v="Asia"/>
    <s v="All-Round Cooperative Partnership [全方合作伙伴关系]"/>
    <s v="None"/>
    <s v="INDOPACOM"/>
    <s v="Singapore"/>
    <x v="33"/>
    <n v="9"/>
    <x v="5"/>
    <m/>
    <m/>
    <m/>
    <m/>
    <m/>
    <m/>
    <s v="Anti-piracy"/>
    <s v="China-Singapore Exercise Cooperation 2024"/>
    <s v="Navy"/>
    <m/>
    <m/>
    <m/>
    <s v="South Sea Fleet"/>
    <m/>
  </r>
  <r>
    <s v="Senior Level Visit"/>
    <s v="Southeast Asia"/>
    <s v="Asia"/>
    <s v="All-round, high-quality, future-oriented Partnernship [全方位高质量的前瞻性伙伴关系]"/>
    <s v="None"/>
    <s v="INDOPACOM"/>
    <s v="Singapore"/>
    <x v="33"/>
    <n v="9"/>
    <x v="7"/>
    <s v="Wu Yanan"/>
    <m/>
    <s v="Southern Theater Commmander"/>
    <n v="6"/>
    <s v="Abroad"/>
    <s v="US INDOPACOM Commander ADM Samuel Paparo"/>
    <m/>
    <m/>
    <m/>
    <m/>
    <m/>
    <m/>
    <m/>
    <m/>
  </r>
  <r>
    <s v="Senior Level Visit"/>
    <s v="Africa"/>
    <s v="West Asia and Africa"/>
    <s v="All-round strategic cooperative partnership in the new era [新时代全方位战略合作伙伴关系]"/>
    <s v="None"/>
    <s v="AFRICOM"/>
    <s v="South Africa"/>
    <x v="33"/>
    <n v="9"/>
    <x v="7"/>
    <s v="He Weidong"/>
    <m/>
    <s v="Vice Chair CMC"/>
    <n v="10"/>
    <s v="Hosted"/>
    <s v="Minister of Defense"/>
    <m/>
    <m/>
    <m/>
    <m/>
    <m/>
    <m/>
    <m/>
    <m/>
  </r>
  <r>
    <s v="Senior Level Visit"/>
    <s v="Central Asia"/>
    <s v="Europe and Central Asia"/>
    <s v="Comprehensive Strategic Cooperative Partnership in the New Era [新时代全面战略合作伙伴关系]"/>
    <s v="None"/>
    <s v="CENTCOM"/>
    <s v="Tajikistan"/>
    <x v="33"/>
    <n v="9"/>
    <x v="7"/>
    <s v="Dong Jun"/>
    <m/>
    <s v="Minister of Defense"/>
    <n v="8"/>
    <s v="Hosted"/>
    <s v="Defense Minister"/>
    <m/>
    <m/>
    <m/>
    <m/>
    <m/>
    <m/>
    <m/>
    <m/>
  </r>
  <r>
    <s v="Senior Level Visit"/>
    <s v="Africa"/>
    <s v="West Asia and Africa"/>
    <s v="Comprehensive Strategic Cooperative Partnership [战略合作伙伴关系]"/>
    <s v="None"/>
    <s v="AFRICOM"/>
    <s v="Tanzania"/>
    <x v="33"/>
    <n v="9"/>
    <x v="7"/>
    <s v="Dong Jun"/>
    <m/>
    <s v="Minister of Defense"/>
    <n v="8"/>
    <s v="Hosted"/>
    <s v="Minsiter of Defense and National Service"/>
    <m/>
    <m/>
    <m/>
    <m/>
    <m/>
    <m/>
    <m/>
    <m/>
  </r>
  <r>
    <s v="Senior Level Visit"/>
    <s v="Southeast Asia"/>
    <s v="Asia"/>
    <s v="Comprehensive Strategic Partnership [全面战略伙伴]"/>
    <s v="Bilateral Defense Treaty"/>
    <s v="INDOPACOM"/>
    <s v="Thailand"/>
    <x v="33"/>
    <n v="9"/>
    <x v="7"/>
    <s v="Wu Yanan"/>
    <m/>
    <s v="Southern Theater Commmander"/>
    <n v="6"/>
    <s v="Abroad"/>
    <s v="US INDOPACOM Commander ADM Samuel Paparo"/>
    <m/>
    <m/>
    <m/>
    <m/>
    <m/>
    <m/>
    <m/>
    <m/>
  </r>
  <r>
    <s v="Senior Level Visit"/>
    <s v="Middle East"/>
    <s v="West Asia and Africa"/>
    <s v="Comprehensive Strategic Partnership [全面战略伙伴关系]"/>
    <s v="None"/>
    <s v="CENTCOM"/>
    <s v="United Arab Emirates"/>
    <x v="33"/>
    <n v="9"/>
    <x v="7"/>
    <s v="Dong Jun"/>
    <m/>
    <s v="Minister of Defense"/>
    <n v="8"/>
    <s v="Hosted"/>
    <s v="Minister for State Defense"/>
    <m/>
    <m/>
    <m/>
    <m/>
    <m/>
    <m/>
    <m/>
    <m/>
  </r>
  <r>
    <s v="Senior Level Visit"/>
    <s v="Europe"/>
    <s v="Europe and Central Asia"/>
    <s v="Comprehensive Strategic Partnership [全面战略伙伴关系]"/>
    <s v="NATO"/>
    <s v="EUCOM"/>
    <s v="United Kingdom"/>
    <x v="33"/>
    <n v="9"/>
    <x v="7"/>
    <s v="Wu Yanan"/>
    <m/>
    <s v="Southern Theater Commmander"/>
    <n v="6"/>
    <s v="Abroad"/>
    <s v="US INDOPACOM Commander ADM Samuel Paparo"/>
    <m/>
    <m/>
    <m/>
    <m/>
    <m/>
    <m/>
    <m/>
    <m/>
  </r>
  <r>
    <s v="Senior Level Visit"/>
    <s v="Europe"/>
    <s v="Europe and Central Asia"/>
    <s v="Comprehensive Strategic Partnership [全面战略伙伴关系]"/>
    <s v="NATO"/>
    <s v="EUCOM"/>
    <s v="United Kingdom"/>
    <x v="33"/>
    <n v="9"/>
    <x v="3"/>
    <s v="???"/>
    <m/>
    <s v="???"/>
    <n v="5"/>
    <m/>
    <m/>
    <m/>
    <m/>
    <m/>
    <m/>
    <m/>
    <m/>
    <m/>
    <m/>
  </r>
  <r>
    <s v="Senior Level Visit"/>
    <s v="North America"/>
    <s v="America and Oceania"/>
    <s v="No Specific Relationship"/>
    <s v="N/A"/>
    <s v="INDOPACOM"/>
    <s v="United States"/>
    <x v="33"/>
    <n v="9"/>
    <x v="1"/>
    <s v="Wu Yanan"/>
    <m/>
    <s v="Southern Theater Commmander"/>
    <n v="6"/>
    <s v="Abroad"/>
    <s v="Theater Commander (US INDOPACOM)"/>
    <m/>
    <m/>
    <m/>
    <m/>
    <m/>
    <m/>
    <m/>
    <m/>
  </r>
  <r>
    <s v="Senior Level Visit"/>
    <s v="North America"/>
    <s v="America and Oceania"/>
    <s v="No Specific Relationship"/>
    <s v="N/A"/>
    <s v="INDOPACOM"/>
    <s v="United States"/>
    <x v="33"/>
    <n v="9"/>
    <x v="7"/>
    <s v="Wu Yanan"/>
    <m/>
    <s v="Southern Theater Commmander"/>
    <n v="6"/>
    <s v="Abroad"/>
    <s v="US INDOPACOM Commander ADM Samuel Paparo"/>
    <m/>
    <m/>
    <m/>
    <m/>
    <m/>
    <m/>
    <m/>
    <m/>
  </r>
  <r>
    <s v="Senior Level Visit"/>
    <s v="North America"/>
    <s v="America and Oceania"/>
    <s v="No Specific Relationship"/>
    <s v="N/A"/>
    <s v="INDOPACOM"/>
    <s v="United States"/>
    <x v="33"/>
    <n v="9"/>
    <x v="15"/>
    <s v="Wu Yanan"/>
    <m/>
    <s v="Southern Theater Commmander"/>
    <n v="6"/>
    <s v="Virtual"/>
    <s v="US INDOPACOM Commander ADM Samuel Paparo"/>
    <m/>
    <m/>
    <m/>
    <m/>
    <m/>
    <m/>
    <m/>
    <m/>
  </r>
  <r>
    <s v="Naval Port Call"/>
    <s v="Southeast Asia"/>
    <s v="Asia"/>
    <s v="Comprehensive Strategic Partnership [全面战略伙伴关系]"/>
    <s v="None"/>
    <s v="INDOPACOM"/>
    <s v="Vietnam"/>
    <x v="33"/>
    <n v="9"/>
    <x v="0"/>
    <m/>
    <m/>
    <m/>
    <m/>
    <m/>
    <m/>
    <m/>
    <m/>
    <m/>
    <m/>
    <s v="NETF"/>
    <s v="Training Ship Po Lang"/>
    <s v="North Sea Fleet"/>
    <s v="Training Ship Po Lang sailing ship from Dalian Naval Academy"/>
  </r>
  <r>
    <s v="Senior Level Visit"/>
    <s v="Southeast Asia"/>
    <s v="Asia"/>
    <s v="Comprehensive Strategic Partnership [全面战略伙伴关系]"/>
    <s v="None"/>
    <s v="INDOPACOM"/>
    <s v="Vietnam"/>
    <x v="33"/>
    <n v="9"/>
    <x v="7"/>
    <s v="Zhang Youxia"/>
    <m/>
    <s v="Vice Chair CMC"/>
    <n v="10"/>
    <s v="Hosted"/>
    <s v="Defense Minister"/>
    <m/>
    <m/>
    <m/>
    <m/>
    <m/>
    <m/>
    <m/>
    <m/>
  </r>
  <r>
    <s v="Naval Port Call"/>
    <s v="South Asia"/>
    <s v="Asia"/>
    <s v="Comprehensive Strategic Cooperative Partnership [战略合作伙伴关系]"/>
    <s v="None"/>
    <s v="INDOPACOM"/>
    <s v="Bangladesh"/>
    <x v="33"/>
    <n v="10"/>
    <x v="0"/>
    <m/>
    <m/>
    <m/>
    <m/>
    <m/>
    <m/>
    <m/>
    <m/>
    <m/>
    <m/>
    <s v="NETF"/>
    <s v="Training ship Qi Jiguang (Hull 83) and amphibious dock landing ship Jinggangshan (Hull 999)"/>
    <s v="South Sea Fleet"/>
    <s v="Naval training ship Qi Jiguang (Hull 83) and amphibious dock landing ship Jinggangshan (Hull 999)"/>
  </r>
  <r>
    <s v="Naval Port Call"/>
    <s v="Africa"/>
    <s v="West Asia and Africa"/>
    <s v="Strategic Partnership [战略伙伴关系]"/>
    <s v="None"/>
    <s v="AFRICOM"/>
    <s v="Benin"/>
    <x v="33"/>
    <n v="10"/>
    <x v="0"/>
    <m/>
    <m/>
    <m/>
    <m/>
    <m/>
    <m/>
    <m/>
    <m/>
    <m/>
    <m/>
    <s v="NETF"/>
    <s v="Peace Ark - Harmonious Mission 2024"/>
    <s v="East Sea Fleet"/>
    <m/>
  </r>
  <r>
    <s v="Naval Port Call"/>
    <s v="Africa"/>
    <s v="West Asia and Africa"/>
    <s v="Comprehensive Strategic Partnership [全面战略伙伴关系]"/>
    <s v="None"/>
    <s v="AFRICOM"/>
    <s v="Cameroon"/>
    <x v="33"/>
    <n v="10"/>
    <x v="0"/>
    <m/>
    <m/>
    <m/>
    <m/>
    <m/>
    <m/>
    <m/>
    <m/>
    <m/>
    <m/>
    <s v="NETF"/>
    <s v="Peace Ark - Harmonious Mission 2024"/>
    <s v="East Sea Fleet"/>
    <m/>
  </r>
  <r>
    <s v="Military Exercise"/>
    <s v="Africa"/>
    <s v="West Asia and Africa"/>
    <s v="Comprehensive Strategic Partnership [全面战略伙伴关系]"/>
    <s v="None"/>
    <s v="AFRICOM"/>
    <s v="Djibouti"/>
    <x v="33"/>
    <n v="10"/>
    <x v="5"/>
    <m/>
    <m/>
    <m/>
    <m/>
    <m/>
    <m/>
    <s v="Anti-terrorism"/>
    <s v="Cooperation-2024.11.FAD (Forces Armées Djibouti)"/>
    <s v="Joint"/>
    <s v="Marines from Djibouti base exercised with Djibouti armed forces on &quot;joint anti-terrorism military operation&quot;, with a land phase and a sea phase. Land training included fire strike, armed escort, counter-piracy and other subjects, involved more than 300 soldiers, five boats, and more than 40 armored vehicles, artilleries, and logistic vehicles from both sides. Sea phase was scenario of &quot;joint escort and anti-piracy&quot;. The two navies carried out seven training subjects, namely dock loading, blockade, armed escort, joint patrol at sea, anti-piracy, visit, board, search and seizure (VBSS) and covert raid. Described as PLAN's first exercise with Djibouti Navy"/>
    <m/>
    <m/>
    <m/>
    <m/>
  </r>
  <r>
    <s v="Naval Port Call"/>
    <s v="Southeast Asia"/>
    <s v="Asia"/>
    <s v="Comprehensive Strategic Partnership [全面战略伙伴关系]"/>
    <s v="None"/>
    <s v="INDOPACOM"/>
    <s v="Malaysia"/>
    <x v="33"/>
    <n v="10"/>
    <x v="0"/>
    <m/>
    <m/>
    <m/>
    <m/>
    <m/>
    <m/>
    <m/>
    <m/>
    <m/>
    <m/>
    <s v="NETF"/>
    <s v="Training Ship Po Lang"/>
    <s v="North Sea Fleet"/>
    <s v="Training Ship Po Lang sailing ship from Dalian Naval Academy"/>
  </r>
  <r>
    <s v="Naval Port Call"/>
    <s v="Africa"/>
    <s v="West Asia and Africa"/>
    <s v="Strategic Partnership [战略伙伴关系]"/>
    <s v="None"/>
    <s v="AFRICOM"/>
    <s v="Mauritania"/>
    <x v="33"/>
    <n v="10"/>
    <x v="0"/>
    <m/>
    <m/>
    <m/>
    <m/>
    <m/>
    <m/>
    <m/>
    <m/>
    <m/>
    <m/>
    <s v="NETF"/>
    <s v="Peace Ark - Harmonious Mission 2024"/>
    <s v="East Sea Fleet"/>
    <m/>
  </r>
  <r>
    <s v="Senior Level Visit"/>
    <s v="Russia"/>
    <s v="Europe and Central Asia"/>
    <s v=" Comprehensive Strategic Partnership of Coordination in the New Era [新时代中俄全面战略协作伙伴关系]"/>
    <s v="None"/>
    <s v="EUCOM"/>
    <s v="Russia"/>
    <x v="33"/>
    <n v="10"/>
    <x v="3"/>
    <s v="Zhang Youxia"/>
    <m/>
    <s v="Vice Chair CMC"/>
    <n v="10"/>
    <s v="Hosted"/>
    <s v="Minister of Defense"/>
    <m/>
    <m/>
    <m/>
    <m/>
    <m/>
    <m/>
    <m/>
    <m/>
  </r>
  <r>
    <s v="Naval Port Call"/>
    <s v="South Asia"/>
    <s v="Asia"/>
    <s v="Strategic Cooperative Partnership [战略合作伙伴关系]"/>
    <s v="None"/>
    <s v="INDOPACOM"/>
    <s v="Sri Lanka"/>
    <x v="33"/>
    <n v="10"/>
    <x v="0"/>
    <m/>
    <m/>
    <m/>
    <m/>
    <m/>
    <m/>
    <m/>
    <m/>
    <m/>
    <m/>
    <s v="NETF"/>
    <s v="Training Ship Po Lang"/>
    <s v="North Sea Fleet"/>
    <s v="Training Ship Po Lang sailing ship from Dalian Naval Academy"/>
  </r>
  <r>
    <s v="Military Exercise"/>
    <s v="Southeast Asia"/>
    <s v="Asia"/>
    <s v="Comprehensive Strategic Partnership [全面战略伙伴]"/>
    <s v="Bilateral Defense Treaty"/>
    <s v="INDOPACOM"/>
    <s v="Thailand"/>
    <x v="33"/>
    <n v="10"/>
    <x v="5"/>
    <m/>
    <m/>
    <m/>
    <m/>
    <m/>
    <m/>
    <s v="Anti-terrorism"/>
    <s v="Commando 2024"/>
    <s v="Army"/>
    <s v="Focusing on joint CT operations, the training included special demolition blasting, helicopter landing, joint search and suppression, and others."/>
    <m/>
    <m/>
    <m/>
    <m/>
  </r>
  <r>
    <s v="Senior Level Visit"/>
    <s v="Southeast Asia"/>
    <s v="Asia"/>
    <s v="Comprehensive Strategic Partnership [全面战略伙伴关系]"/>
    <s v="None"/>
    <s v="INDOPACOM"/>
    <s v="Vietnam"/>
    <x v="33"/>
    <n v="10"/>
    <x v="4"/>
    <s v="Zhang Youxia"/>
    <m/>
    <s v="Vice Chair CMC"/>
    <n v="10"/>
    <s v="Abroad"/>
    <s v="President (and Prime Minister, and Gen Sec of Communist Party of Vietnam)"/>
    <m/>
    <m/>
    <m/>
    <m/>
    <m/>
    <m/>
    <m/>
    <m/>
  </r>
  <r>
    <s v="Naval Port Call"/>
    <s v="Africa"/>
    <s v="West Asia and Africa"/>
    <s v="Comprehensive Strategic Partnership [全面战略伙伴关系]"/>
    <s v="None"/>
    <s v="AFRICOM"/>
    <s v="Algeria"/>
    <x v="33"/>
    <n v="11"/>
    <x v="13"/>
    <m/>
    <m/>
    <m/>
    <m/>
    <m/>
    <m/>
    <m/>
    <m/>
    <m/>
    <m/>
    <s v="NETF"/>
    <s v="Peace Ark - Harmonious Mission 2024"/>
    <s v="East Sea Fleet"/>
    <m/>
  </r>
  <r>
    <s v="Senior Level Visit"/>
    <s v="Southeast Asia"/>
    <s v="Asia"/>
    <s v="Comprehensive Strategic Partnership [全面战略伙伴关系]"/>
    <s v="None"/>
    <s v="INDOPACOM"/>
    <s v="ASEAN"/>
    <x v="33"/>
    <n v="11"/>
    <x v="1"/>
    <s v="Dong Jun"/>
    <m/>
    <s v="Minister of Defense"/>
    <n v="8"/>
    <s v="Abroad"/>
    <s v="Defense Ministers"/>
    <m/>
    <m/>
    <m/>
    <m/>
    <m/>
    <m/>
    <m/>
    <m/>
  </r>
  <r>
    <s v="Senior Level Visit"/>
    <s v="Southeast Asia"/>
    <s v="Asia"/>
    <s v="Comprehensive Strategic Partnership [全面战略伙伴关系]"/>
    <s v="None"/>
    <s v="INDOPACOM"/>
    <s v="ASEAN"/>
    <x v="33"/>
    <n v="11"/>
    <x v="1"/>
    <s v="Dong Jun"/>
    <m/>
    <s v="Minister of Defense"/>
    <n v="8"/>
    <s v="Abroad"/>
    <s v="Defense Ministers"/>
    <m/>
    <m/>
    <m/>
    <m/>
    <m/>
    <m/>
    <m/>
    <m/>
  </r>
  <r>
    <s v="Senior Level Visit"/>
    <s v="South Asia"/>
    <s v="Asia"/>
    <s v="Strategic Partnership for Peace and Prosperity [战略伙伴关系]"/>
    <s v="None"/>
    <s v="INDOPACOM"/>
    <s v="India"/>
    <x v="33"/>
    <n v="11"/>
    <x v="7"/>
    <s v="Dong Jun"/>
    <m/>
    <s v="Minister of Defense"/>
    <n v="8"/>
    <s v="Abroad"/>
    <s v="Minister of Defense"/>
    <m/>
    <m/>
    <m/>
    <m/>
    <m/>
    <m/>
    <m/>
    <m/>
  </r>
  <r>
    <s v="Senior Level Visit"/>
    <s v="Northeast Asia"/>
    <s v="Asia"/>
    <s v="Mutually Beneficial Strategic Relationship [战略互惠关系]"/>
    <s v="Bilateral Defense Treaty"/>
    <s v="INDOPACOM"/>
    <s v="Japan"/>
    <x v="33"/>
    <n v="11"/>
    <x v="7"/>
    <s v="Dong Jun"/>
    <m/>
    <s v="Minister of Defense"/>
    <n v="8"/>
    <s v="Abroad"/>
    <s v="Minister of Defense"/>
    <m/>
    <m/>
    <m/>
    <m/>
    <m/>
    <m/>
    <m/>
    <m/>
  </r>
  <r>
    <s v="Senior Level Visit"/>
    <s v="Southeast Asia"/>
    <s v="Asia"/>
    <s v="Comprehensive Strategic Cooperative Partnership [全面战略合作伙伴关系]"/>
    <s v="None"/>
    <s v="INDOPACOM"/>
    <s v="Laos"/>
    <x v="33"/>
    <n v="11"/>
    <x v="4"/>
    <s v="Dong Jun"/>
    <m/>
    <s v="Minister of Defense"/>
    <n v="8"/>
    <s v="Abroad"/>
    <s v="President (and Party Central Committee General Secretary)"/>
    <m/>
    <m/>
    <m/>
    <m/>
    <m/>
    <m/>
    <m/>
    <m/>
  </r>
  <r>
    <s v="Military Exercise"/>
    <s v="Southeast Asia"/>
    <s v="Asia"/>
    <s v="Comprehensive Strategic Cooperative Partnership [全面战略合作伙伴关系]"/>
    <s v="None"/>
    <s v="INDOPACOM"/>
    <s v="Laos"/>
    <x v="33"/>
    <n v="11"/>
    <x v="5"/>
    <m/>
    <m/>
    <m/>
    <m/>
    <m/>
    <m/>
    <s v="MOOTW"/>
    <s v="Peace Train 2024"/>
    <s v="Army"/>
    <s v="joint humanitarian medical support exercise and medical service activities "/>
    <m/>
    <m/>
    <m/>
    <m/>
  </r>
  <r>
    <s v="Senior Level Visit"/>
    <s v="Southeast Asia"/>
    <s v="Asia"/>
    <s v="Comprehensive Strategic Partnership [全面战略伙伴关系]"/>
    <s v="None"/>
    <s v="INDOPACOM"/>
    <s v="Malaysia"/>
    <x v="33"/>
    <n v="11"/>
    <x v="7"/>
    <s v="Dong Jun"/>
    <m/>
    <s v="Minister of Defense"/>
    <n v="8"/>
    <s v="Abroad"/>
    <s v="Minister of Defense"/>
    <m/>
    <m/>
    <m/>
    <m/>
    <m/>
    <m/>
    <m/>
    <m/>
  </r>
  <r>
    <s v="Senior Level Visit"/>
    <s v="Oceania"/>
    <s v="America and Oceania"/>
    <s v="Comprehensive Strategic Partnership [全面战略伙伴关系]"/>
    <s v="ANZUS Treaty"/>
    <s v="INDOPACOM"/>
    <s v="New Zealand"/>
    <x v="33"/>
    <n v="11"/>
    <x v="7"/>
    <s v="Dong Jun"/>
    <m/>
    <s v="Minister of Defense"/>
    <n v="8"/>
    <s v="Abroad"/>
    <s v="Minister of Defense"/>
    <m/>
    <m/>
    <m/>
    <m/>
    <m/>
    <m/>
    <m/>
    <m/>
  </r>
  <r>
    <s v="Senior Level Visit"/>
    <s v="South Asia"/>
    <s v="Asia"/>
    <s v="All-Weather Strategic Cooperative Partnership [全天候战略合作伙伴关系]"/>
    <s v="Major Non-NATO Ally"/>
    <s v="CENTCOM"/>
    <s v="Pakistan"/>
    <x v="33"/>
    <n v="11"/>
    <x v="7"/>
    <s v="Zhang Youxia"/>
    <m/>
    <s v="Vice Chair CMC"/>
    <n v="10"/>
    <s v="Abroad"/>
    <s v="Chief of Army Staff"/>
    <m/>
    <m/>
    <m/>
    <m/>
    <m/>
    <m/>
    <m/>
    <m/>
  </r>
  <r>
    <s v="Military Exercise"/>
    <s v="South Asia"/>
    <s v="Asia"/>
    <s v="All-Weather Strategic Cooperative Partnership [全天候战略合作伙伴关系]"/>
    <s v="Major Non-NATO Ally"/>
    <s v="CENTCOM"/>
    <s v="Pakistan"/>
    <x v="33"/>
    <n v="11"/>
    <x v="5"/>
    <m/>
    <m/>
    <m/>
    <m/>
    <m/>
    <m/>
    <s v="Anti-terrorism"/>
    <s v="Warrior VIII"/>
    <s v="Army"/>
    <s v="The exercise will involve troops from the Western Theater Command of the PLA. Will train in multi-level and mixed training across various specialties and organize live troop drills in accordance with the actual combat process."/>
    <m/>
    <m/>
    <m/>
    <m/>
  </r>
  <r>
    <s v="Naval Port Call"/>
    <s v="Southeast Asia"/>
    <s v="Asia"/>
    <s v="All-round, high-quality, future-oriented Partnernship [全方位高质量的前瞻性伙伴关系]"/>
    <s v="None"/>
    <s v="INDOPACOM"/>
    <s v="Singapore"/>
    <x v="33"/>
    <n v="11"/>
    <x v="0"/>
    <m/>
    <m/>
    <m/>
    <m/>
    <m/>
    <m/>
    <m/>
    <m/>
    <m/>
    <m/>
    <s v="NETF"/>
    <s v="Training Ship Po Lang"/>
    <s v="North Sea Fleet"/>
    <s v="Training Ship Po Lang sailing ship from Dalian Naval Academy"/>
  </r>
  <r>
    <s v="Military Exercise"/>
    <s v="Southeast Asia"/>
    <s v="Asia"/>
    <s v="All-round, high-quality, future-oriented Partnernship [全方位高质量的前瞻性伙伴关系]"/>
    <s v="None"/>
    <s v="INDOPACOM"/>
    <s v="Singapore"/>
    <x v="33"/>
    <n v="11"/>
    <x v="5"/>
    <m/>
    <m/>
    <m/>
    <m/>
    <m/>
    <m/>
    <s v="Anti-terrorism"/>
    <s v="Exercise Cooperation 2024 (in Henan, China)"/>
    <s v="Army"/>
    <s v="This year’s exercise will centre on urban Counter-Terrorism (CT) operations, similar to the previous iteration of the exercise in 2023. Personnel from the SAF's 3rd Singapore Division and 1st Commando Battalion will train alongside the PLA’s Central Theatre Command-Army’s 81st Army Group. The exercise will feature a battalion-level Command Post and Field Training Exercise, as well as professional exchanges on CT operations in support of a rescue scenario. Participants will also engage in tactical drills, small-arms live firing, and cohesion activities. These interactions aim to strengthen professional exchanges and build people-to-people ties."/>
    <m/>
    <m/>
    <m/>
    <m/>
  </r>
  <r>
    <s v="Senior Level Visit"/>
    <s v="Southeast Asia"/>
    <s v="Asia"/>
    <s v="Comprehensive Strategic Partnership [全面战略伙伴]"/>
    <s v="Bilateral Defense Treaty"/>
    <s v="INDOPACOM"/>
    <s v="Thailand"/>
    <x v="33"/>
    <n v="11"/>
    <x v="7"/>
    <s v="Dong Jun"/>
    <m/>
    <s v="Minister of Defense"/>
    <n v="8"/>
    <s v="Abroad"/>
    <s v="Minister of Defense"/>
    <m/>
    <m/>
    <m/>
    <m/>
    <m/>
    <m/>
    <m/>
    <m/>
  </r>
  <r>
    <s v="Senior Level Visit"/>
    <s v="Africa"/>
    <s v="West Asia and Africa"/>
    <s v="N/A"/>
    <s v="N/A"/>
    <s v="AFRICOM"/>
    <s v="African Union"/>
    <x v="33"/>
    <n v="12"/>
    <x v="2"/>
    <s v="Dong Jun"/>
    <m/>
    <s v="Minister of Defense"/>
    <n v="8"/>
    <s v="Hosted"/>
    <s v="Heads of various African Navies"/>
    <m/>
    <m/>
    <m/>
    <m/>
    <m/>
    <m/>
    <m/>
    <m/>
  </r>
  <r>
    <s v="Senior Level Visit"/>
    <s v="South America"/>
    <s v="America and Oceania"/>
    <s v="No Specific Relationship"/>
    <s v="None"/>
    <s v="SOUTHCOM"/>
    <s v="Cuba"/>
    <x v="33"/>
    <n v="12"/>
    <x v="4"/>
    <s v="He Weidong"/>
    <m/>
    <s v="Vice Chair CMC"/>
    <n v="10"/>
    <s v="Abroad"/>
    <s v="President"/>
    <m/>
    <m/>
    <m/>
    <m/>
    <m/>
    <m/>
    <m/>
    <m/>
  </r>
  <r>
    <s v="Naval Port Call"/>
    <s v="Africa"/>
    <s v="West Asia and Africa"/>
    <s v="Comprehensive Strategic Partnership [全面战略伙伴关系]"/>
    <s v="None"/>
    <s v="AFRICOM"/>
    <s v="Djibouti"/>
    <x v="33"/>
    <n v="12"/>
    <x v="0"/>
    <m/>
    <m/>
    <m/>
    <m/>
    <m/>
    <m/>
    <m/>
    <m/>
    <m/>
    <m/>
    <s v="NETF"/>
    <s v="Peace Ark - Harmonious Mission 2024"/>
    <s v="East Sea Fleet"/>
    <m/>
  </r>
  <r>
    <s v="Senior Level Visit"/>
    <s v="Europe"/>
    <s v="Europe and Central Asia"/>
    <s v="Comprehensive Strategic Partnership [全面战略伙伴关系]"/>
    <s v="NATO"/>
    <s v="EUCOM"/>
    <s v="France"/>
    <x v="33"/>
    <n v="12"/>
    <x v="3"/>
    <s v="???"/>
    <m/>
    <s v="???"/>
    <n v="5"/>
    <s v="Hosted"/>
    <m/>
    <m/>
    <m/>
    <m/>
    <m/>
    <m/>
    <m/>
    <m/>
    <m/>
  </r>
  <r>
    <s v="Naval Port Call"/>
    <s v="Southeast Asia"/>
    <s v="Asia"/>
    <s v="Comprehensive Strategic Partnership [全面战略伙伴关系]"/>
    <s v="None"/>
    <s v="INDOPACOM"/>
    <s v="Indonesia"/>
    <x v="33"/>
    <n v="12"/>
    <x v="0"/>
    <m/>
    <m/>
    <m/>
    <m/>
    <m/>
    <m/>
    <m/>
    <m/>
    <m/>
    <m/>
    <s v="NETF"/>
    <s v="Hainan Naval Task Force"/>
    <s v="South Sea Fleet"/>
    <s v="amphibious assault ship Hainan (Hull 31) and guided-missile frigates Hengyang (Hull 568) and Liuzhou (Hull 573)"/>
  </r>
  <r>
    <s v="Military Exercise"/>
    <s v="Southeast Asia"/>
    <s v="Asia"/>
    <s v="Comprehensive Strategic Partnership [全面战略伙伴关系]"/>
    <s v="None"/>
    <s v="INDOPACOM"/>
    <s v="Indonesia"/>
    <x v="33"/>
    <n v="12"/>
    <x v="5"/>
    <m/>
    <m/>
    <m/>
    <m/>
    <m/>
    <m/>
    <s v="MOOTW"/>
    <s v="Peace Garuda 2024"/>
    <s v="Joint"/>
    <m/>
    <m/>
    <m/>
    <m/>
    <s v="Based on a significant natural disaster scenario, the drills occurred across land, sea, and air domains at various training sites in Indonesia, focusing on enhancing humanitarian assistance and disaster relief (HADR) capabilities; including paratroop drops"/>
  </r>
  <r>
    <s v="Senior Level Visit"/>
    <s v="Southeast Asia"/>
    <s v="Asia"/>
    <s v="Comprehensive Strategic Cooperative Partnership [全面战略合作伙伴关系]"/>
    <s v="None"/>
    <s v="INDOPACOM"/>
    <s v="Laos"/>
    <x v="33"/>
    <n v="12"/>
    <x v="4"/>
    <s v="Dong Jun"/>
    <m/>
    <s v="Minister of Defense"/>
    <n v="8"/>
    <s v="Abroad"/>
    <s v="President (and Party Central Committee General Secretary)"/>
    <m/>
    <m/>
    <m/>
    <m/>
    <m/>
    <m/>
    <m/>
    <m/>
  </r>
  <r>
    <s v="Military Exercise"/>
    <s v="Russia"/>
    <s v="Europe and Central Asia"/>
    <s v=" Comprehensive Strategic Partnership of Coordination in the New Era [新时代中俄全面战略协作伙伴关系]"/>
    <s v="None"/>
    <s v="EUCOM"/>
    <s v="Russia"/>
    <x v="33"/>
    <n v="12"/>
    <x v="5"/>
    <m/>
    <m/>
    <m/>
    <m/>
    <m/>
    <m/>
    <s v="Patrol"/>
    <s v="Joint Strategic Aerial Patrol II"/>
    <s v="Air Force"/>
    <s v="The Chinese and Russian air forces completed the second phase of the ninth joint strategic aerial patrol in the western Pacific airspace. As part of the annual cooperation between the two militaries, the joint aerial patrol was carried out in the relevant airspace of the Sea of Japan. It is the ninth joint aerial patrol organized by the two militaries since 2019, and the second this year."/>
    <m/>
    <m/>
    <m/>
    <m/>
  </r>
  <r>
    <s v="Naval Port Call"/>
    <s v="South Asia"/>
    <s v="Asia"/>
    <s v="Strategic Cooperative Partnership [战略合作伙伴关系]"/>
    <s v="None"/>
    <s v="INDOPACOM"/>
    <s v="Sri Lanka"/>
    <x v="33"/>
    <n v="12"/>
    <x v="0"/>
    <m/>
    <m/>
    <m/>
    <m/>
    <m/>
    <m/>
    <m/>
    <m/>
    <m/>
    <m/>
    <s v="NETF"/>
    <s v="Peace Ark - Harmonious Mission 2024"/>
    <s v="East Sea Fleet"/>
    <m/>
  </r>
  <r>
    <s v="Senior Level Visit"/>
    <s v="Southeast Asia"/>
    <s v="Asia"/>
    <s v="Comprehensive Strategic Partnership [全面战略伙伴关系]"/>
    <s v="None"/>
    <s v="INDOPACOM"/>
    <s v="Vietnam"/>
    <x v="33"/>
    <n v="12"/>
    <x v="4"/>
    <s v="Dong Jun"/>
    <m/>
    <s v="Minister of Defense"/>
    <n v="8"/>
    <s v="Abroad"/>
    <s v="General Secretary of Comm Party, and Minister of Defense"/>
    <m/>
    <m/>
    <m/>
    <m/>
    <m/>
    <m/>
    <m/>
    <m/>
  </r>
  <r>
    <s v="Naval Port Call"/>
    <s v="Southeast Asia"/>
    <s v="Asia"/>
    <s v="Comprehensive Strategic Partnership [全面战略伙伴关系]"/>
    <s v="None"/>
    <s v="INDOPACOM"/>
    <s v="Vietnam"/>
    <x v="33"/>
    <n v="12"/>
    <x v="0"/>
    <m/>
    <m/>
    <m/>
    <m/>
    <m/>
    <m/>
    <m/>
    <m/>
    <m/>
    <m/>
    <s v="NETF"/>
    <s v="Changsha DDG and amphibious warfare ship Jinggangshan – docked in Da Nang"/>
    <s v="South Sea Fleet"/>
    <s v="Changsha DDG and amphibious warfare ship Jinggangshan – docked in Da Nang"/>
  </r>
  <r>
    <m/>
    <m/>
    <m/>
    <m/>
    <m/>
    <m/>
    <m/>
    <x v="34"/>
    <m/>
    <x v="17"/>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79">
  <r>
    <x v="0"/>
    <x v="0"/>
    <s v="Asia"/>
    <s v="No Specific Relationship"/>
    <x v="0"/>
    <s v="INDOPACOM"/>
    <x v="0"/>
    <x v="0"/>
    <n v="11"/>
    <s v="Port Call - Friendly Visit"/>
    <m/>
    <m/>
    <m/>
    <m/>
    <x v="0"/>
    <m/>
    <x v="0"/>
    <m/>
    <m/>
    <m/>
    <s v="NETF"/>
    <x v="0"/>
    <s v="East Sea Fleet"/>
    <s v="Hefei-132 and Fengcang-615"/>
    <m/>
    <m/>
  </r>
  <r>
    <x v="0"/>
    <x v="1"/>
    <s v="Asia"/>
    <s v="No Specific Relationship"/>
    <x v="0"/>
    <s v="INDOPACOM"/>
    <x v="1"/>
    <x v="0"/>
    <n v="11"/>
    <s v="Port Call - Friendly Visit"/>
    <m/>
    <m/>
    <m/>
    <m/>
    <x v="0"/>
    <m/>
    <x v="0"/>
    <m/>
    <m/>
    <m/>
    <s v="NETF"/>
    <x v="1"/>
    <s v="Unknown"/>
    <s v="???"/>
    <m/>
    <m/>
  </r>
  <r>
    <x v="0"/>
    <x v="0"/>
    <s v="Asia"/>
    <s v="No Specific Relationship"/>
    <x v="1"/>
    <s v="CENTCOM"/>
    <x v="2"/>
    <x v="0"/>
    <n v="11"/>
    <s v="Port Call - Friendly Visit"/>
    <m/>
    <m/>
    <m/>
    <m/>
    <x v="0"/>
    <m/>
    <x v="0"/>
    <m/>
    <m/>
    <m/>
    <s v="NETF"/>
    <x v="0"/>
    <s v="East Sea Fleet"/>
    <s v="Hefei-132 and Fengcang-615"/>
    <m/>
    <m/>
  </r>
  <r>
    <x v="0"/>
    <x v="0"/>
    <s v="Asia"/>
    <s v="No Specific Relationship"/>
    <x v="0"/>
    <s v="INDOPACOM"/>
    <x v="3"/>
    <x v="0"/>
    <n v="11"/>
    <s v="Port Call - Friendly Visit"/>
    <m/>
    <m/>
    <m/>
    <m/>
    <x v="0"/>
    <m/>
    <x v="0"/>
    <m/>
    <m/>
    <m/>
    <s v="NETF"/>
    <x v="0"/>
    <s v="East Sea Fleet"/>
    <s v="Hefei-132 and Fengcang-615"/>
    <m/>
    <m/>
  </r>
  <r>
    <x v="0"/>
    <x v="2"/>
    <s v="America and Oceania"/>
    <s v="No Specific Relationship"/>
    <x v="2"/>
    <s v="NORTHCOM"/>
    <x v="4"/>
    <x v="1"/>
    <n v="3"/>
    <s v="Port Call - Friendly Visit"/>
    <m/>
    <m/>
    <m/>
    <m/>
    <x v="0"/>
    <m/>
    <x v="0"/>
    <m/>
    <m/>
    <m/>
    <s v="NETF"/>
    <x v="2"/>
    <s v="North Sea Fleet"/>
    <s v="Zhenghe training ship"/>
    <m/>
    <m/>
  </r>
  <r>
    <x v="0"/>
    <x v="1"/>
    <s v="Asia"/>
    <s v="No Specific Relationship"/>
    <x v="3"/>
    <s v="INDOPACOM"/>
    <x v="5"/>
    <x v="2"/>
    <n v="3"/>
    <s v="Port Call - Friendly Visit"/>
    <m/>
    <m/>
    <m/>
    <m/>
    <x v="0"/>
    <m/>
    <x v="0"/>
    <m/>
    <m/>
    <m/>
    <s v="NETF"/>
    <x v="3"/>
    <s v="North Sea Fleet"/>
    <s v="Zhenghe training ship"/>
    <m/>
    <m/>
  </r>
  <r>
    <x v="0"/>
    <x v="0"/>
    <s v="Asia"/>
    <s v="No Specific Relationship"/>
    <x v="0"/>
    <s v="INDOPACOM"/>
    <x v="0"/>
    <x v="3"/>
    <n v="10"/>
    <s v="Port Call - Friendly Visit"/>
    <m/>
    <m/>
    <m/>
    <m/>
    <x v="0"/>
    <m/>
    <x v="0"/>
    <m/>
    <m/>
    <m/>
    <s v="NETF"/>
    <x v="4"/>
    <s v="North Sea Fleet"/>
    <s v="Zhenghe training ship"/>
    <m/>
    <m/>
  </r>
  <r>
    <x v="0"/>
    <x v="0"/>
    <s v="Asia"/>
    <s v="No Specific Relationship"/>
    <x v="0"/>
    <s v="INDOPACOM"/>
    <x v="6"/>
    <x v="3"/>
    <n v="10"/>
    <s v="Port Call - Friendly Visit"/>
    <m/>
    <m/>
    <m/>
    <m/>
    <x v="0"/>
    <m/>
    <x v="0"/>
    <m/>
    <m/>
    <m/>
    <s v="NETF"/>
    <x v="4"/>
    <s v="North Sea Fleet"/>
    <s v="Zhenghe training ship"/>
    <m/>
    <m/>
  </r>
  <r>
    <x v="0"/>
    <x v="0"/>
    <s v="Asia"/>
    <s v="No Specific Relationship"/>
    <x v="1"/>
    <s v="CENTCOM"/>
    <x v="2"/>
    <x v="3"/>
    <n v="10"/>
    <s v="Port Call - Friendly Visit"/>
    <m/>
    <m/>
    <m/>
    <m/>
    <x v="0"/>
    <m/>
    <x v="0"/>
    <m/>
    <m/>
    <m/>
    <s v="NETF"/>
    <x v="4"/>
    <s v="North Sea Fleet"/>
    <s v="Zhenghe training ship"/>
    <m/>
    <m/>
  </r>
  <r>
    <x v="0"/>
    <x v="1"/>
    <s v="Asia"/>
    <s v="No Specific Relationship"/>
    <x v="3"/>
    <s v="INDOPACOM"/>
    <x v="5"/>
    <x v="3"/>
    <n v="10"/>
    <s v="Port Call - Friendly Visit"/>
    <m/>
    <m/>
    <m/>
    <m/>
    <x v="0"/>
    <m/>
    <x v="0"/>
    <m/>
    <m/>
    <m/>
    <s v="NETF"/>
    <x v="4"/>
    <s v="North Sea Fleet"/>
    <s v="Zhenghe training ship"/>
    <m/>
    <m/>
  </r>
  <r>
    <x v="0"/>
    <x v="3"/>
    <s v="Europe and Central Asia"/>
    <s v="No Specific Relationship"/>
    <x v="0"/>
    <s v="EUCOM"/>
    <x v="7"/>
    <x v="4"/>
    <n v="5"/>
    <s v="Port Call - Friendly Visit"/>
    <m/>
    <m/>
    <m/>
    <m/>
    <x v="0"/>
    <m/>
    <x v="0"/>
    <m/>
    <m/>
    <m/>
    <s v="NETF"/>
    <x v="5"/>
    <s v="All"/>
    <s v="Dajiang Sub Tender Changxingdao 121, Luda-II destroyer Zhuhai 166, and Jiangwei frigate Huainan 540"/>
    <m/>
    <m/>
  </r>
  <r>
    <x v="0"/>
    <x v="1"/>
    <s v="Asia"/>
    <s v="No Specific Relationship"/>
    <x v="0"/>
    <s v="INDOPACOM"/>
    <x v="8"/>
    <x v="5"/>
    <n v="8"/>
    <s v="Port Call - Friendly Visit"/>
    <m/>
    <m/>
    <m/>
    <m/>
    <x v="0"/>
    <m/>
    <x v="0"/>
    <m/>
    <m/>
    <m/>
    <s v="NETF"/>
    <x v="6"/>
    <s v="All"/>
    <s v="Luda-II destroyer Zhuhai 166, Jiangwei frigate Huainan 540, and one replenishment ship"/>
    <m/>
    <m/>
  </r>
  <r>
    <x v="0"/>
    <x v="3"/>
    <s v="Europe and Central Asia"/>
    <s v="No Specific Relationship"/>
    <x v="0"/>
    <s v="EUCOM"/>
    <x v="7"/>
    <x v="5"/>
    <n v="8"/>
    <s v="Port Call - Friendly Visit"/>
    <m/>
    <m/>
    <m/>
    <m/>
    <x v="0"/>
    <m/>
    <x v="0"/>
    <m/>
    <m/>
    <m/>
    <s v="NETF"/>
    <x v="7"/>
    <s v="East Sea Fleet"/>
    <s v="Jiangwei frigate Huaibei 541"/>
    <m/>
    <m/>
  </r>
  <r>
    <x v="0"/>
    <x v="4"/>
    <s v="Asia"/>
    <s v="Bilateral Defense Treaty"/>
    <x v="0"/>
    <s v="INDOPACOM"/>
    <x v="9"/>
    <x v="6"/>
    <n v="7"/>
    <s v="Port Call - Friendly Visit"/>
    <m/>
    <m/>
    <m/>
    <m/>
    <x v="0"/>
    <m/>
    <x v="0"/>
    <m/>
    <m/>
    <m/>
    <s v="NETF"/>
    <x v="8"/>
    <s v="North Sea Fleet"/>
    <s v="Luhu destroyer Harbin 112 and Luda destroyer Xining 108"/>
    <m/>
    <m/>
  </r>
  <r>
    <x v="0"/>
    <x v="3"/>
    <s v="Europe and Central Asia"/>
    <s v="Strategic Partnership of Coordination [战略协作伙伴关系]"/>
    <x v="0"/>
    <s v="EUCOM"/>
    <x v="7"/>
    <x v="6"/>
    <n v="7"/>
    <s v="Port Call - Friendly Visit"/>
    <m/>
    <m/>
    <m/>
    <m/>
    <x v="0"/>
    <m/>
    <x v="0"/>
    <m/>
    <m/>
    <m/>
    <s v="NETF"/>
    <x v="8"/>
    <s v="North Sea Fleet"/>
    <s v="Luhu destroyer Harbin 112"/>
    <m/>
    <m/>
  </r>
  <r>
    <x v="0"/>
    <x v="1"/>
    <s v="Asia"/>
    <s v="No Specific Relationship"/>
    <x v="0"/>
    <s v="INDOPACOM"/>
    <x v="10"/>
    <x v="7"/>
    <n v="2"/>
    <s v="Port Call - Friendly Visit"/>
    <m/>
    <m/>
    <m/>
    <m/>
    <x v="0"/>
    <m/>
    <x v="0"/>
    <m/>
    <m/>
    <m/>
    <s v="NETF"/>
    <x v="9"/>
    <s v="North Sea Fleet"/>
    <s v="Luhu destroyer Qingdao 113, Jiangwei frigate Tongqing 542"/>
    <m/>
    <m/>
  </r>
  <r>
    <x v="0"/>
    <x v="1"/>
    <s v="Asia"/>
    <s v="No Specific Relationship"/>
    <x v="3"/>
    <s v="INDOPACOM"/>
    <x v="11"/>
    <x v="7"/>
    <n v="2"/>
    <s v="Port Call - Friendly Visit"/>
    <m/>
    <m/>
    <m/>
    <m/>
    <x v="0"/>
    <m/>
    <x v="0"/>
    <m/>
    <m/>
    <m/>
    <s v="NETF"/>
    <x v="9"/>
    <s v="North Sea Fleet"/>
    <s v="Luhu destroyer Qingdao 113, Jiangwei frigate Tongqing 542"/>
    <m/>
    <m/>
  </r>
  <r>
    <x v="0"/>
    <x v="1"/>
    <s v="Asia"/>
    <s v="No Specific Relationship"/>
    <x v="3"/>
    <s v="INDOPACOM"/>
    <x v="5"/>
    <x v="7"/>
    <n v="2"/>
    <s v="Port Call - Friendly Visit"/>
    <m/>
    <m/>
    <m/>
    <m/>
    <x v="0"/>
    <m/>
    <x v="0"/>
    <m/>
    <m/>
    <m/>
    <s v="NETF"/>
    <x v="9"/>
    <s v="North Sea Fleet"/>
    <s v="Luhu destroyer Qingdao 113, Jiangwei frigate Tongqing 542"/>
    <m/>
    <m/>
  </r>
  <r>
    <x v="0"/>
    <x v="2"/>
    <s v="America and Oceania"/>
    <s v="No Specific Relationship"/>
    <x v="2"/>
    <s v="NORTHCOM"/>
    <x v="4"/>
    <x v="7"/>
    <n v="2"/>
    <s v="Port Call - Friendly Visit"/>
    <m/>
    <m/>
    <m/>
    <m/>
    <x v="0"/>
    <m/>
    <x v="0"/>
    <m/>
    <m/>
    <m/>
    <s v="NETF"/>
    <x v="10"/>
    <s v="All"/>
    <s v="Luhu destroyer Harbin 112, Luda-II destroyer Zhuhai 166, Replenishment ship Nancang 953"/>
    <m/>
    <m/>
  </r>
  <r>
    <x v="0"/>
    <x v="5"/>
    <s v="America and Oceania"/>
    <s v="No Specific Relationship"/>
    <x v="4"/>
    <s v="INDOPACOM"/>
    <x v="12"/>
    <x v="8"/>
    <n v="4"/>
    <s v="Port Call - Friendly Visit"/>
    <m/>
    <m/>
    <m/>
    <m/>
    <x v="0"/>
    <m/>
    <x v="0"/>
    <m/>
    <m/>
    <m/>
    <s v="NETF"/>
    <x v="11"/>
    <s v="North Sea Fleet"/>
    <s v="Luhu destroyer Qingdao 113, Training Ship Shichang 82, Replenishment ship Nancang 953 (PI - Qingdao only)"/>
    <m/>
    <m/>
  </r>
  <r>
    <x v="0"/>
    <x v="5"/>
    <s v="America and Oceania"/>
    <s v="No Specific Relationship"/>
    <x v="4"/>
    <s v="INDOPACOM"/>
    <x v="13"/>
    <x v="8"/>
    <n v="4"/>
    <s v="Port Call - Friendly Visit"/>
    <m/>
    <m/>
    <m/>
    <m/>
    <x v="0"/>
    <m/>
    <x v="0"/>
    <m/>
    <m/>
    <m/>
    <s v="NETF"/>
    <x v="11"/>
    <s v="North Sea Fleet"/>
    <s v="Luhu destroyer Qingdao 113, Training Ship Shichang 82, Replenishment ship Nancang 953 (PI - Qingdao only)"/>
    <m/>
    <m/>
  </r>
  <r>
    <x v="0"/>
    <x v="1"/>
    <s v="Asia"/>
    <s v="No Specific Relationship"/>
    <x v="3"/>
    <s v="INDOPACOM"/>
    <x v="11"/>
    <x v="8"/>
    <n v="4"/>
    <s v="Port Call - Friendly Visit"/>
    <m/>
    <m/>
    <m/>
    <m/>
    <x v="0"/>
    <m/>
    <x v="0"/>
    <m/>
    <m/>
    <m/>
    <s v="NETF"/>
    <x v="11"/>
    <s v="North Sea Fleet"/>
    <s v="Luhu destroyer Qingdao 113, Training Ship Shichang 82, Replenishment ship Nancang 953 (PI - Qingdao only)"/>
    <m/>
    <m/>
  </r>
  <r>
    <x v="1"/>
    <x v="6"/>
    <s v="Europe and Central Asia"/>
    <s v="Member"/>
    <x v="0"/>
    <s v="CENTCOM"/>
    <x v="14"/>
    <x v="9"/>
    <n v="3"/>
    <s v="ML - Abroad"/>
    <s v="Chi Haotian"/>
    <m/>
    <s v="Defense Minister; CMC Member"/>
    <n v="8"/>
    <x v="1"/>
    <s v="Shanghai Five Ministers' of Defense Summit in Astana; Other countries: Kazakhstan, Kyrgyzstan, Tajikistan, Russia"/>
    <x v="0"/>
    <m/>
    <m/>
    <m/>
    <m/>
    <x v="12"/>
    <m/>
    <m/>
    <s v="http://globalsummitryproject.com.s197331.gridserver.com/archive/shanghai_cooperation_organization1/ipripak.org/factfiles/ff85.pdf"/>
    <m/>
  </r>
  <r>
    <x v="0"/>
    <x v="1"/>
    <s v="Asia"/>
    <s v="Strategic Cooperative Partnership [战略合作伙伴关系]"/>
    <x v="0"/>
    <s v="INDOPACOM"/>
    <x v="10"/>
    <x v="9"/>
    <n v="7"/>
    <s v="Port Call - Friendly Visit"/>
    <m/>
    <m/>
    <m/>
    <m/>
    <x v="0"/>
    <m/>
    <x v="0"/>
    <m/>
    <m/>
    <m/>
    <s v="NETF"/>
    <x v="13"/>
    <s v="South Sea Fleet"/>
    <s v="Luhai destroyer Shenzhen 167, Replenishment ship Nancang 953"/>
    <m/>
    <m/>
  </r>
  <r>
    <x v="0"/>
    <x v="7"/>
    <s v="West Asia and Africa"/>
    <s v="No Specific Relationship"/>
    <x v="0"/>
    <s v="AFRICOM"/>
    <x v="15"/>
    <x v="9"/>
    <n v="7"/>
    <s v="Port Call - Friendly Visit"/>
    <m/>
    <m/>
    <m/>
    <m/>
    <x v="0"/>
    <m/>
    <x v="0"/>
    <m/>
    <m/>
    <m/>
    <s v="NETF"/>
    <x v="13"/>
    <s v="South Sea Fleet"/>
    <s v="Luhai destroyer Shenzhen 167, Replenishment ship Nancang 953"/>
    <m/>
    <m/>
  </r>
  <r>
    <x v="0"/>
    <x v="7"/>
    <s v="West Asia and Africa"/>
    <s v="No Specific Relationship"/>
    <x v="0"/>
    <s v="AFRICOM"/>
    <x v="16"/>
    <x v="9"/>
    <n v="7"/>
    <s v="Port Call - Friendly Visit"/>
    <m/>
    <m/>
    <m/>
    <m/>
    <x v="0"/>
    <m/>
    <x v="0"/>
    <m/>
    <m/>
    <m/>
    <s v="NETF"/>
    <x v="13"/>
    <s v="South Sea Fleet"/>
    <s v="Luhai destroyer Shenzhen 167, Replenishment ship Nancang 953"/>
    <m/>
    <m/>
  </r>
  <r>
    <x v="0"/>
    <x v="2"/>
    <s v="America and Oceania"/>
    <s v="Comprehensive Partnership [全面伙伴关系]"/>
    <x v="5"/>
    <s v="NORTHCOM"/>
    <x v="17"/>
    <x v="9"/>
    <n v="8"/>
    <s v="Port Call - Friendly Visit"/>
    <m/>
    <m/>
    <m/>
    <m/>
    <x v="0"/>
    <m/>
    <x v="0"/>
    <m/>
    <m/>
    <m/>
    <s v="NETF"/>
    <x v="14"/>
    <s v="North Sea Fleet"/>
    <s v="Luhu destroyer Qingdao 113, replenishment ship Taicang 575"/>
    <m/>
    <m/>
  </r>
  <r>
    <x v="0"/>
    <x v="2"/>
    <s v="America and Oceania"/>
    <s v="No Specific Relationship"/>
    <x v="2"/>
    <s v="NORTHCOM"/>
    <x v="4"/>
    <x v="9"/>
    <n v="8"/>
    <s v="Port Call - Friendly Visit"/>
    <m/>
    <m/>
    <m/>
    <m/>
    <x v="0"/>
    <m/>
    <x v="0"/>
    <m/>
    <m/>
    <m/>
    <s v="NETF"/>
    <x v="15"/>
    <s v="North Sea Fleet"/>
    <s v="Luhu destroyer Qingdao 113, replenishment ship Taicang 575"/>
    <m/>
    <m/>
  </r>
  <r>
    <x v="0"/>
    <x v="0"/>
    <s v="Asia"/>
    <s v="No Specific Relationship"/>
    <x v="0"/>
    <s v="INDOPACOM"/>
    <x v="6"/>
    <x v="10"/>
    <n v="5"/>
    <s v="Port Call - Friendly Visit"/>
    <m/>
    <m/>
    <m/>
    <m/>
    <x v="0"/>
    <m/>
    <x v="0"/>
    <m/>
    <m/>
    <m/>
    <s v="NETF"/>
    <x v="16"/>
    <s v="North Sea Fleet"/>
    <s v="Luhu destroyer Harbin 112, replenishment ship Taicang 575"/>
    <m/>
    <m/>
  </r>
  <r>
    <x v="0"/>
    <x v="0"/>
    <s v="Asia"/>
    <s v="Strategic Partnership [战略伙伴关系]"/>
    <x v="1"/>
    <s v="CENTCOM"/>
    <x v="2"/>
    <x v="10"/>
    <n v="5"/>
    <s v="Port Call - Friendly Visit"/>
    <m/>
    <m/>
    <m/>
    <m/>
    <x v="0"/>
    <m/>
    <x v="0"/>
    <m/>
    <m/>
    <m/>
    <s v="NETF"/>
    <x v="16"/>
    <s v="North Sea Fleet"/>
    <s v="Luhu destroyer Harbin 112, replenishment ship Taicang 575"/>
    <m/>
    <m/>
  </r>
  <r>
    <x v="1"/>
    <x v="6"/>
    <s v="Europe and Central Asia"/>
    <s v="Member"/>
    <x v="0"/>
    <s v="CENTCOM"/>
    <x v="14"/>
    <x v="10"/>
    <n v="6"/>
    <s v="ML - Hosted"/>
    <s v="Chi Haotian"/>
    <m/>
    <s v="Defense Minister; CMC Member"/>
    <n v="8"/>
    <x v="2"/>
    <s v="First official meeting of the SCO Ministers' of Defense in Shanghai; Other countries: Kazakhstan, Kyrgyztan, Russia, Tajikistan, Uzbekistan"/>
    <x v="0"/>
    <m/>
    <m/>
    <m/>
    <m/>
    <x v="12"/>
    <m/>
    <m/>
    <s v="http://globalsummitryproject.com.s197331.gridserver.com/archive/shanghai_cooperation_organization1/ipripak.org/factfiles/ff85.pdf"/>
    <m/>
  </r>
  <r>
    <x v="0"/>
    <x v="8"/>
    <s v="Europe and Central Asia"/>
    <s v="No Specific Relationship"/>
    <x v="5"/>
    <s v="EUCOM"/>
    <x v="18"/>
    <x v="10"/>
    <n v="8"/>
    <s v="Port Call - Friendly Visit"/>
    <m/>
    <m/>
    <m/>
    <m/>
    <x v="0"/>
    <m/>
    <x v="0"/>
    <m/>
    <m/>
    <m/>
    <s v="NETF"/>
    <x v="17"/>
    <s v="South Sea Fleet"/>
    <s v="Luhai destroyer Shenzhen 167, replenishment ship Fengcang 615"/>
    <m/>
    <m/>
  </r>
  <r>
    <x v="0"/>
    <x v="4"/>
    <s v="Asia"/>
    <s v="N/A"/>
    <x v="0"/>
    <s v="INDOPACOM"/>
    <x v="19"/>
    <x v="10"/>
    <n v="8"/>
    <s v="Port Call - Friendly Visit"/>
    <m/>
    <m/>
    <m/>
    <m/>
    <x v="0"/>
    <m/>
    <x v="0"/>
    <m/>
    <m/>
    <m/>
    <s v="NETF"/>
    <x v="17"/>
    <s v="South Sea Fleet"/>
    <s v="Luhai destroyer Shenzhen 167, replenishment ship Fengcang 615"/>
    <m/>
    <m/>
  </r>
  <r>
    <x v="0"/>
    <x v="8"/>
    <s v="Europe and Central Asia"/>
    <s v="No Specific Relationship"/>
    <x v="5"/>
    <s v="EUCOM"/>
    <x v="20"/>
    <x v="10"/>
    <n v="8"/>
    <s v="Port Call - Friendly Visit"/>
    <m/>
    <m/>
    <m/>
    <m/>
    <x v="0"/>
    <m/>
    <x v="0"/>
    <m/>
    <m/>
    <m/>
    <s v="NETF"/>
    <x v="17"/>
    <s v="South Sea Fleet"/>
    <s v="Luhai destroyer Shenzhen 167, replenishment ship Fengcang 615"/>
    <m/>
    <m/>
  </r>
  <r>
    <x v="0"/>
    <x v="8"/>
    <s v="Europe and Central Asia"/>
    <s v="No Specific Relationship"/>
    <x v="5"/>
    <s v="EUCOM"/>
    <x v="21"/>
    <x v="10"/>
    <n v="8"/>
    <s v="Port Call - Friendly Visit"/>
    <m/>
    <m/>
    <m/>
    <m/>
    <x v="0"/>
    <m/>
    <x v="0"/>
    <m/>
    <m/>
    <m/>
    <s v="NETF"/>
    <x v="17"/>
    <s v="South Sea Fleet"/>
    <s v="Luhai destroyer Shenzhen 167, replenishment ship Fengcang 615"/>
    <m/>
    <m/>
  </r>
  <r>
    <x v="0"/>
    <x v="5"/>
    <s v="America and Oceania"/>
    <s v="No Specific Relationship"/>
    <x v="4"/>
    <s v="INDOPACOM"/>
    <x v="12"/>
    <x v="10"/>
    <n v="9"/>
    <s v="Port Call - Friendly Visit"/>
    <m/>
    <m/>
    <m/>
    <m/>
    <x v="0"/>
    <m/>
    <x v="0"/>
    <m/>
    <m/>
    <m/>
    <s v="NETF"/>
    <x v="18"/>
    <s v="South Sea Fleet"/>
    <s v="Jiangwei frigate Yichang 564, replenishment ship Taicang 575"/>
    <m/>
    <m/>
  </r>
  <r>
    <x v="0"/>
    <x v="8"/>
    <s v="Europe "/>
    <s v="No Specific Relationship"/>
    <x v="5"/>
    <s v="EUCOM"/>
    <x v="22"/>
    <x v="10"/>
    <n v="9"/>
    <s v="Port Call - Friendly Visit"/>
    <m/>
    <m/>
    <m/>
    <m/>
    <x v="0"/>
    <m/>
    <x v="0"/>
    <m/>
    <m/>
    <m/>
    <s v="NETF"/>
    <x v="12"/>
    <m/>
    <m/>
    <s v="https://csis-website-prod.s3.amazonaws.com/s3fs-public/legacy_files/files/media/csis/pubs/080507-gill-chinaeuroperelations-web.pdf"/>
    <m/>
  </r>
  <r>
    <x v="0"/>
    <x v="5"/>
    <s v="America and Oceania"/>
    <s v="No Specific Relationship"/>
    <x v="4"/>
    <s v="INDOPACOM"/>
    <x v="13"/>
    <x v="10"/>
    <n v="9"/>
    <s v="Port Call - Friendly Visit"/>
    <m/>
    <m/>
    <m/>
    <m/>
    <x v="0"/>
    <m/>
    <x v="0"/>
    <m/>
    <m/>
    <m/>
    <s v="NETF"/>
    <x v="18"/>
    <s v="South Sea Fleet"/>
    <s v="Jiangwei frigate Yichang 564, replenishment ship Taicang 575"/>
    <m/>
    <m/>
  </r>
  <r>
    <x v="0"/>
    <x v="1"/>
    <s v="Asia"/>
    <s v="No Specific Relationship"/>
    <x v="0"/>
    <s v="INDOPACOM"/>
    <x v="23"/>
    <x v="10"/>
    <n v="11"/>
    <s v="Port Call - Friendly Visit"/>
    <m/>
    <m/>
    <m/>
    <m/>
    <x v="0"/>
    <m/>
    <x v="0"/>
    <m/>
    <m/>
    <m/>
    <s v="NETF"/>
    <x v="19"/>
    <s v="South Sea Fleet"/>
    <s v="Jiangwei frigate Yulin 565"/>
    <m/>
    <m/>
  </r>
  <r>
    <x v="1"/>
    <x v="9"/>
    <s v="West Asia and Africa"/>
    <s v="Strategic Cooperative Partnership [战略合作伙伴关系]"/>
    <x v="1"/>
    <s v="CENTCOM"/>
    <x v="24"/>
    <x v="11"/>
    <n v="1"/>
    <s v="BL - Hosted"/>
    <s v="Xiong Guangkai"/>
    <m/>
    <s v="GSD DCGS"/>
    <n v="6"/>
    <x v="2"/>
    <s v="Major General"/>
    <x v="0"/>
    <m/>
    <m/>
    <m/>
    <m/>
    <x v="12"/>
    <m/>
    <m/>
    <s v="CPP20020131000073"/>
    <m/>
  </r>
  <r>
    <x v="1"/>
    <x v="1"/>
    <s v="Asia"/>
    <s v="No Specific Relationship"/>
    <x v="0"/>
    <s v="INDOPACOM"/>
    <x v="8"/>
    <x v="11"/>
    <n v="1"/>
    <s v="BL - Hosted"/>
    <s v="Chi Haotian"/>
    <m/>
    <s v="Defense Minister; CMC Member"/>
    <n v="8"/>
    <x v="2"/>
    <s v="Navy Chief of Staff"/>
    <x v="0"/>
    <m/>
    <m/>
    <m/>
    <m/>
    <x v="12"/>
    <m/>
    <m/>
    <s v="CPP20020128000121"/>
    <m/>
  </r>
  <r>
    <x v="1"/>
    <x v="0"/>
    <s v="Asia"/>
    <s v="Strategic Partnership [战略伙伴关系]"/>
    <x v="1"/>
    <s v="CENTCOM"/>
    <x v="2"/>
    <x v="11"/>
    <n v="1"/>
    <s v="BL - Hosted"/>
    <s v="Zhang Wannian"/>
    <m/>
    <s v="CMC Vice Chairman"/>
    <n v="10"/>
    <x v="2"/>
    <s v="CJCS General Muhammad Aziz Khan"/>
    <x v="0"/>
    <m/>
    <m/>
    <m/>
    <m/>
    <x v="12"/>
    <m/>
    <m/>
    <s v="CPP20020115000109; Xinhua 1-15-2002"/>
    <m/>
  </r>
  <r>
    <x v="1"/>
    <x v="4"/>
    <s v="Asia"/>
    <s v="Full-Scale Cooperative Partnership [全面合作伙伴关系]"/>
    <x v="3"/>
    <s v="INDOPACOM"/>
    <x v="25"/>
    <x v="11"/>
    <n v="1"/>
    <s v="BL - Hosted"/>
    <s v="Fu Quanyou"/>
    <m/>
    <s v="GSD Commander; CMC Member"/>
    <n v="8"/>
    <x v="2"/>
    <s v="Air Chief of Staff"/>
    <x v="0"/>
    <m/>
    <m/>
    <m/>
    <m/>
    <x v="12"/>
    <m/>
    <m/>
    <s v="CPP20020123000106"/>
    <m/>
  </r>
  <r>
    <x v="1"/>
    <x v="1"/>
    <s v="Asia"/>
    <s v="No Specific Relationship"/>
    <x v="3"/>
    <s v="INDOPACOM"/>
    <x v="5"/>
    <x v="11"/>
    <n v="1"/>
    <s v="BL - Hosted"/>
    <s v="Chi Haotian"/>
    <m/>
    <s v="Defense Minister; CMC Member"/>
    <n v="8"/>
    <x v="2"/>
    <s v="Chairman on Military Affairs"/>
    <x v="0"/>
    <m/>
    <m/>
    <m/>
    <m/>
    <x v="12"/>
    <m/>
    <m/>
    <s v="CPP20020123000127"/>
    <m/>
  </r>
  <r>
    <x v="1"/>
    <x v="8"/>
    <s v="Europe and Central Asia"/>
    <s v="No Specific Relationship"/>
    <x v="0"/>
    <s v="EUCOM"/>
    <x v="26"/>
    <x v="11"/>
    <n v="1"/>
    <s v="BL - Hosted"/>
    <s v="Chi Haotian"/>
    <m/>
    <s v="Defense Minister; CMC Member"/>
    <n v="8"/>
    <x v="2"/>
    <s v="Foreign Minister"/>
    <x v="0"/>
    <m/>
    <m/>
    <m/>
    <m/>
    <x v="12"/>
    <m/>
    <m/>
    <s v="CPP20020128000117"/>
    <m/>
  </r>
  <r>
    <x v="1"/>
    <x v="2"/>
    <s v="America and Oceania"/>
    <s v="No Specific Relationship"/>
    <x v="2"/>
    <s v="NORTHCOM"/>
    <x v="4"/>
    <x v="11"/>
    <n v="1"/>
    <s v="BL - Hosted"/>
    <s v="Chi Haotian"/>
    <m/>
    <s v="Defense Minister; CMC Member"/>
    <n v="8"/>
    <x v="2"/>
    <s v="Delegation"/>
    <x v="0"/>
    <m/>
    <m/>
    <m/>
    <m/>
    <x v="12"/>
    <m/>
    <m/>
    <s v="CPP20020107000110"/>
    <m/>
  </r>
  <r>
    <x v="1"/>
    <x v="7"/>
    <s v="West Asia and Africa"/>
    <s v="No Specific Relationship"/>
    <x v="1"/>
    <s v="AFRICOM"/>
    <x v="27"/>
    <x v="11"/>
    <n v="2"/>
    <s v="BL - Hosted"/>
    <s v="Chi Haotian"/>
    <m/>
    <s v="Defense Minister; CMC Member"/>
    <n v="8"/>
    <x v="2"/>
    <s v="King of Morocco "/>
    <x v="0"/>
    <m/>
    <m/>
    <m/>
    <m/>
    <x v="12"/>
    <m/>
    <m/>
    <s v="CPP20020206000109"/>
    <m/>
  </r>
  <r>
    <x v="1"/>
    <x v="7"/>
    <s v="West Asia and Africa"/>
    <s v="No Specific Relationship"/>
    <x v="0"/>
    <s v="AFRICOM"/>
    <x v="28"/>
    <x v="11"/>
    <n v="3"/>
    <s v="BL - Hosted"/>
    <s v="Xiong Guangkai"/>
    <m/>
    <s v="GSD DCGS"/>
    <n v="6"/>
    <x v="2"/>
    <s v="Defense Minister"/>
    <x v="0"/>
    <m/>
    <m/>
    <m/>
    <m/>
    <x v="12"/>
    <m/>
    <m/>
    <s v="CPP20020325000058"/>
    <m/>
  </r>
  <r>
    <x v="1"/>
    <x v="8"/>
    <s v="Europe and Central Asia"/>
    <s v="No Specific Relationship"/>
    <x v="5"/>
    <s v="EUCOM"/>
    <x v="22"/>
    <x v="11"/>
    <n v="3"/>
    <s v="BL - Hosted"/>
    <s v="Chi Haotian"/>
    <m/>
    <s v="Defense Minister; CMC Member"/>
    <n v="8"/>
    <x v="2"/>
    <s v="Chief of Staff of Air Force"/>
    <x v="0"/>
    <m/>
    <m/>
    <m/>
    <m/>
    <x v="12"/>
    <m/>
    <m/>
    <s v="CPP20020313000100"/>
    <m/>
  </r>
  <r>
    <x v="1"/>
    <x v="8"/>
    <s v="Europe and Central Asia"/>
    <s v="No Specific Relationship"/>
    <x v="5"/>
    <s v="EUCOM"/>
    <x v="18"/>
    <x v="11"/>
    <n v="3"/>
    <s v="BL - Abroad"/>
    <s v="Chi Haotian"/>
    <m/>
    <s v="Defense Minister; CMC Member"/>
    <n v="8"/>
    <x v="1"/>
    <s v="Parliamentary Speaker"/>
    <x v="0"/>
    <m/>
    <m/>
    <m/>
    <m/>
    <x v="12"/>
    <m/>
    <m/>
    <s v="CPP20020321000168"/>
    <m/>
  </r>
  <r>
    <x v="1"/>
    <x v="8"/>
    <s v="Europe and Central Asia"/>
    <s v="No Specific Relationship"/>
    <x v="5"/>
    <s v="EUCOM"/>
    <x v="29"/>
    <x v="11"/>
    <n v="3"/>
    <s v="BL - Abroad"/>
    <s v="Chi Haotian"/>
    <m/>
    <s v="Defense Minister; CMC Member"/>
    <n v="8"/>
    <x v="1"/>
    <s v="President"/>
    <x v="0"/>
    <m/>
    <m/>
    <m/>
    <m/>
    <x v="12"/>
    <m/>
    <m/>
    <s v="CPP20020327000250"/>
    <m/>
  </r>
  <r>
    <x v="1"/>
    <x v="8"/>
    <s v="Europe and Central Asia"/>
    <s v="No Specific Relationship"/>
    <x v="5"/>
    <s v="EUCOM"/>
    <x v="20"/>
    <x v="11"/>
    <n v="3"/>
    <s v="BL - Hosted"/>
    <s v="Fu Quanyou"/>
    <m/>
    <s v="GSD Commander; CMC Member"/>
    <n v="8"/>
    <x v="2"/>
    <s v="Chief of Naval Staff"/>
    <x v="0"/>
    <m/>
    <m/>
    <m/>
    <m/>
    <x v="12"/>
    <m/>
    <m/>
    <s v="CPP20020408000070"/>
    <m/>
  </r>
  <r>
    <x v="1"/>
    <x v="6"/>
    <s v="Europe and Central Asia"/>
    <s v="Comprehensive Cooperative Partnership [全面合作伙伴关系]"/>
    <x v="0"/>
    <s v="CENTCOM"/>
    <x v="30"/>
    <x v="11"/>
    <n v="3"/>
    <s v="BL - Abroad"/>
    <s v="Xiong Guangkai"/>
    <m/>
    <s v="GSD DCGS"/>
    <n v="6"/>
    <x v="1"/>
    <s v="President"/>
    <x v="0"/>
    <m/>
    <m/>
    <m/>
    <m/>
    <x v="12"/>
    <m/>
    <m/>
    <s v="CPP20020318000099"/>
    <m/>
  </r>
  <r>
    <x v="1"/>
    <x v="6"/>
    <s v="Europe and Central Asia"/>
    <s v="No Specific Relationship"/>
    <x v="0"/>
    <s v="CENTCOM"/>
    <x v="31"/>
    <x v="11"/>
    <n v="3"/>
    <s v="BL - Abroad"/>
    <s v="Xiong Guangkai"/>
    <m/>
    <s v="GSD DCGS"/>
    <n v="6"/>
    <x v="1"/>
    <s v="President"/>
    <x v="0"/>
    <m/>
    <m/>
    <m/>
    <m/>
    <x v="12"/>
    <m/>
    <m/>
    <s v="CPP20020318000104"/>
    <m/>
  </r>
  <r>
    <x v="1"/>
    <x v="0"/>
    <s v="Asia"/>
    <s v="Good-Neighborly Partnership [世代友好的睦邻伙伴关系]"/>
    <x v="0"/>
    <s v="INDOPACOM"/>
    <x v="32"/>
    <x v="11"/>
    <n v="3"/>
    <s v="BL - Hosted"/>
    <s v="Fu Quanyou"/>
    <m/>
    <s v="GSD Commander; CMC Member"/>
    <n v="8"/>
    <x v="2"/>
    <s v="Chief of General Staff"/>
    <x v="0"/>
    <m/>
    <m/>
    <m/>
    <m/>
    <x v="12"/>
    <m/>
    <m/>
    <s v="CPP20020326000158"/>
    <s v="Recoded as South Asia"/>
  </r>
  <r>
    <x v="1"/>
    <x v="0"/>
    <s v="Asia"/>
    <s v="Strategic Partnership [战略伙伴关系]"/>
    <x v="1"/>
    <s v="CENTCOM"/>
    <x v="2"/>
    <x v="11"/>
    <n v="3"/>
    <s v="BL - Abroad"/>
    <s v="Xiong Guangkai"/>
    <m/>
    <s v="GSD DCGS"/>
    <n v="6"/>
    <x v="1"/>
    <s v="President"/>
    <x v="0"/>
    <m/>
    <m/>
    <m/>
    <m/>
    <x v="12"/>
    <m/>
    <m/>
    <s v="CPP20020307000205"/>
    <m/>
  </r>
  <r>
    <x v="1"/>
    <x v="8"/>
    <s v="Europe and Central Asia"/>
    <s v="No Specific Relationship"/>
    <x v="5"/>
    <s v="EUCOM"/>
    <x v="33"/>
    <x v="11"/>
    <n v="3"/>
    <s v="BL - Abroad"/>
    <s v="Chi Haotian"/>
    <m/>
    <s v="Defense Minister; CMC Member"/>
    <n v="8"/>
    <x v="1"/>
    <s v="President"/>
    <x v="0"/>
    <m/>
    <m/>
    <m/>
    <m/>
    <x v="12"/>
    <m/>
    <m/>
    <s v="CPP20020325000136"/>
    <m/>
  </r>
  <r>
    <x v="1"/>
    <x v="8"/>
    <s v="Europe and Central Asia"/>
    <s v="No Specific Relationship"/>
    <x v="5"/>
    <s v="EUCOM"/>
    <x v="21"/>
    <x v="11"/>
    <n v="3"/>
    <s v="BL - Hosted"/>
    <s v="Fu Quanyou"/>
    <m/>
    <s v="GSD Commander; CMC Member"/>
    <n v="8"/>
    <x v="2"/>
    <s v="Chief of General Staff"/>
    <x v="0"/>
    <m/>
    <m/>
    <m/>
    <m/>
    <x v="12"/>
    <m/>
    <m/>
    <s v="CPP20020325000143"/>
    <m/>
  </r>
  <r>
    <x v="1"/>
    <x v="8"/>
    <s v="Europe and Central Asia"/>
    <s v="Comprehensive Cooperative Partnership [全面合作伙伴关系]"/>
    <x v="0"/>
    <s v="EUCOM"/>
    <x v="34"/>
    <x v="11"/>
    <n v="4"/>
    <s v="BL - Hosted"/>
    <s v="Cao Gangchuan"/>
    <m/>
    <s v="GAD Director; CMC Member"/>
    <n v="8"/>
    <x v="2"/>
    <s v="Defense Minister"/>
    <x v="0"/>
    <m/>
    <m/>
    <m/>
    <m/>
    <x v="12"/>
    <m/>
    <m/>
    <s v="CPP20020422000148; Xinhua 4-22-2002"/>
    <s v="RECODED to reflect Cao's position"/>
  </r>
  <r>
    <x v="1"/>
    <x v="8"/>
    <s v="Europe and Central Asia"/>
    <s v="No Specific Relationship"/>
    <x v="5"/>
    <s v="EUCOM"/>
    <x v="35"/>
    <x v="11"/>
    <n v="4"/>
    <s v="BL - Abroad"/>
    <s v="Chi Haotian"/>
    <m/>
    <s v="Defense Minister; CMC Member"/>
    <n v="8"/>
    <x v="1"/>
    <s v="President"/>
    <x v="0"/>
    <m/>
    <m/>
    <m/>
    <m/>
    <x v="12"/>
    <m/>
    <m/>
    <s v="CPP20020403000205"/>
    <m/>
  </r>
  <r>
    <x v="1"/>
    <x v="7"/>
    <s v="West Asia and Africa"/>
    <s v="No Specific Relationship"/>
    <x v="0"/>
    <s v="AFRICOM"/>
    <x v="36"/>
    <x v="11"/>
    <n v="4"/>
    <s v="BL - Hosted"/>
    <s v="Chi Haotian"/>
    <m/>
    <s v="Defense Minister; CMC Member"/>
    <n v="8"/>
    <x v="2"/>
    <s v="Defense Minister"/>
    <x v="0"/>
    <m/>
    <m/>
    <m/>
    <m/>
    <x v="12"/>
    <m/>
    <m/>
    <s v="CPP20020423000110"/>
    <m/>
  </r>
  <r>
    <x v="1"/>
    <x v="8"/>
    <s v="Europe and Central Asia"/>
    <s v="No Specific Relationship"/>
    <x v="5"/>
    <s v="EUCOM"/>
    <x v="37"/>
    <x v="11"/>
    <n v="4"/>
    <s v="BL - Abroad"/>
    <s v="Chi Haotian"/>
    <m/>
    <s v="Defense Minister; CMC Member"/>
    <n v="8"/>
    <x v="1"/>
    <s v="King of Norway; Chainman of Parliament Defense Committee; and Minister of Defense"/>
    <x v="0"/>
    <m/>
    <m/>
    <m/>
    <m/>
    <x v="12"/>
    <m/>
    <m/>
    <s v="CPP20020408000192; Xinhua 4-08-2002"/>
    <m/>
  </r>
  <r>
    <x v="1"/>
    <x v="1"/>
    <s v="Asia"/>
    <s v="No Specific Relationship"/>
    <x v="3"/>
    <s v="INDOPACOM"/>
    <x v="11"/>
    <x v="11"/>
    <n v="4"/>
    <s v="BL - Hosted"/>
    <s v="Chi Haotian"/>
    <m/>
    <s v="Defense Minister; CMC Member"/>
    <n v="8"/>
    <x v="2"/>
    <s v="Secretary of Defense"/>
    <x v="0"/>
    <m/>
    <m/>
    <m/>
    <m/>
    <x v="12"/>
    <m/>
    <m/>
    <s v="CPP20020417000132"/>
    <m/>
  </r>
  <r>
    <x v="1"/>
    <x v="4"/>
    <s v="Asia"/>
    <s v="Full-Scale Cooperative Partnership [全面合作伙伴关系]"/>
    <x v="3"/>
    <s v="INDOPACOM"/>
    <x v="25"/>
    <x v="11"/>
    <n v="4"/>
    <s v="BL - Hosted"/>
    <s v="Chi Haotian"/>
    <m/>
    <s v="Defense Minister; CMC Member"/>
    <n v="8"/>
    <x v="2"/>
    <s v="Delegation"/>
    <x v="0"/>
    <m/>
    <m/>
    <m/>
    <m/>
    <x v="12"/>
    <m/>
    <m/>
    <s v="CPP20020423000083"/>
    <m/>
  </r>
  <r>
    <x v="1"/>
    <x v="8"/>
    <s v="Europe and Central Asia"/>
    <s v="No Specific Relationship"/>
    <x v="5"/>
    <s v="EUCOM"/>
    <x v="38"/>
    <x v="11"/>
    <n v="4"/>
    <s v="BL - Hosted"/>
    <s v="Chi Haotian"/>
    <m/>
    <s v="Defense Minister; CMC Member"/>
    <n v="8"/>
    <x v="2"/>
    <s v="Commander of War College"/>
    <x v="0"/>
    <m/>
    <m/>
    <m/>
    <m/>
    <x v="12"/>
    <m/>
    <m/>
    <s v="CPP20020422000084"/>
    <m/>
  </r>
  <r>
    <x v="1"/>
    <x v="8"/>
    <s v="Europe and Central Asia"/>
    <s v="Comprehensive Cooperative Partnership [全面合作伙伴关系]"/>
    <x v="0"/>
    <s v="EUCOM"/>
    <x v="34"/>
    <x v="11"/>
    <n v="5"/>
    <s v="BL - Abroad"/>
    <s v="Fu Quanyou"/>
    <m/>
    <s v="GSD Commander; CMC Member"/>
    <n v="8"/>
    <x v="1"/>
    <s v="President"/>
    <x v="0"/>
    <m/>
    <m/>
    <m/>
    <m/>
    <x v="12"/>
    <m/>
    <m/>
    <s v="CPP20020528000249"/>
    <m/>
  </r>
  <r>
    <x v="0"/>
    <x v="9"/>
    <s v="West Asia and Africa"/>
    <s v="Strategic Cooperative Partnership [战略合作伙伴关系]"/>
    <x v="1"/>
    <s v="CENTCOM"/>
    <x v="24"/>
    <x v="11"/>
    <n v="5"/>
    <s v="Port Call - Friendly Visit"/>
    <m/>
    <m/>
    <m/>
    <m/>
    <x v="0"/>
    <m/>
    <x v="0"/>
    <m/>
    <m/>
    <m/>
    <s v="NETF"/>
    <x v="20"/>
    <s v="North Sea Fleet"/>
    <s v="Luhu destroyer Qingdao 113, replenishment ship Taicang 575"/>
    <s v="CPP20021010000233"/>
    <m/>
  </r>
  <r>
    <x v="1"/>
    <x v="8"/>
    <s v="Europe and Central Asia"/>
    <s v="No Specific Relationship"/>
    <x v="5"/>
    <s v="EUCOM"/>
    <x v="29"/>
    <x v="11"/>
    <n v="5"/>
    <s v="BL - Hosted"/>
    <s v="Fu Quanyou"/>
    <m/>
    <s v="GSD Commander; CMC Member"/>
    <n v="8"/>
    <x v="2"/>
    <s v="Chief of Army"/>
    <x v="0"/>
    <m/>
    <m/>
    <m/>
    <m/>
    <x v="12"/>
    <m/>
    <m/>
    <s v="CPP20020514000096"/>
    <m/>
  </r>
  <r>
    <x v="0"/>
    <x v="8"/>
    <s v="Europe and Central Asia"/>
    <s v="No Specific Relationship"/>
    <x v="5"/>
    <s v="EUCOM"/>
    <x v="29"/>
    <x v="11"/>
    <n v="5"/>
    <s v="Port Call - Friendly Visit"/>
    <m/>
    <m/>
    <m/>
    <m/>
    <x v="0"/>
    <m/>
    <x v="0"/>
    <m/>
    <m/>
    <m/>
    <s v="NETF"/>
    <x v="20"/>
    <s v="North Sea Fleet"/>
    <s v="Luhu destroyer Qingdao 113, replenishment ship Taicang 575"/>
    <s v="CPP20021010000233"/>
    <m/>
  </r>
  <r>
    <x v="1"/>
    <x v="6"/>
    <s v="Europe and Central Asia"/>
    <s v="Member"/>
    <x v="0"/>
    <s v="CENTCOM"/>
    <x v="14"/>
    <x v="11"/>
    <n v="5"/>
    <s v="ML - Hosted"/>
    <s v="Chi Haotian"/>
    <m/>
    <s v="Defense Minister; CMC Member"/>
    <n v="8"/>
    <x v="2"/>
    <s v="Second official meeting of the SCO Ministers' of Defense in Shanghai; Other countries: Kazakhstan, Kyrgyztan, Russia, Tajikistan, Uzbekistan"/>
    <x v="0"/>
    <m/>
    <m/>
    <m/>
    <m/>
    <x v="12"/>
    <m/>
    <m/>
    <s v="http://globalsummitryproject.com.s197331.gridserver.com/archive/shanghai_cooperation_organization1/ipripak.org/factfiles/ff85.pdf"/>
    <m/>
  </r>
  <r>
    <x v="0"/>
    <x v="1"/>
    <s v="Asia"/>
    <s v="No Specific Relationship"/>
    <x v="0"/>
    <s v="INDOPACOM"/>
    <x v="39"/>
    <x v="11"/>
    <n v="5"/>
    <s v="Port Call - Friendly Visit"/>
    <m/>
    <m/>
    <m/>
    <m/>
    <x v="0"/>
    <m/>
    <x v="0"/>
    <m/>
    <m/>
    <m/>
    <s v="NETF"/>
    <x v="20"/>
    <s v="North Sea Fleet"/>
    <s v="Luhu destroyer Qingdao 113, replenishment ship Taicang 575"/>
    <s v="CPP20021010000233"/>
    <m/>
  </r>
  <r>
    <x v="1"/>
    <x v="8"/>
    <s v="Europe and Central Asia"/>
    <s v="No Specific Relationship"/>
    <x v="5"/>
    <s v="EUCOM"/>
    <x v="40"/>
    <x v="11"/>
    <n v="5"/>
    <s v="BL - Abroad"/>
    <s v="Fu Quanyou"/>
    <m/>
    <s v="GSD Commander; CMC Member"/>
    <n v="8"/>
    <x v="1"/>
    <s v="President"/>
    <x v="0"/>
    <m/>
    <m/>
    <m/>
    <m/>
    <x v="12"/>
    <m/>
    <m/>
    <s v="CPP20020521000214"/>
    <m/>
  </r>
  <r>
    <x v="0"/>
    <x v="4"/>
    <s v="Asia"/>
    <s v="Full-Scale Cooperative Partnership [全面合作伙伴关系]"/>
    <x v="3"/>
    <s v="INDOPACOM"/>
    <x v="25"/>
    <x v="11"/>
    <n v="5"/>
    <s v="Port Call - Friendly Visit"/>
    <m/>
    <m/>
    <m/>
    <m/>
    <x v="0"/>
    <m/>
    <x v="0"/>
    <m/>
    <m/>
    <m/>
    <s v="NETF"/>
    <x v="21"/>
    <s v="East Sea Fleet"/>
    <s v="Jiangwei frigate Jiaxing 521, Jiangwei frigate Lianyungang 522"/>
    <m/>
    <m/>
  </r>
  <r>
    <x v="0"/>
    <x v="8"/>
    <s v="Europe and Central Asia"/>
    <s v="No Specific Relationship"/>
    <x v="5"/>
    <s v="EUCOM"/>
    <x v="38"/>
    <x v="11"/>
    <n v="5"/>
    <s v="Port Call - Friendly Visit"/>
    <m/>
    <m/>
    <m/>
    <m/>
    <x v="0"/>
    <m/>
    <x v="0"/>
    <m/>
    <m/>
    <m/>
    <s v="NETF"/>
    <x v="20"/>
    <s v="North Sea Fleet"/>
    <s v="Luhu destroyer Qingdao 113, replenishment ship Taicang 575"/>
    <s v="CPP20021010000233"/>
    <m/>
  </r>
  <r>
    <x v="0"/>
    <x v="8"/>
    <s v="Europe and Central Asia"/>
    <s v="No Specific Relationship"/>
    <x v="0"/>
    <s v="EUCOM"/>
    <x v="26"/>
    <x v="11"/>
    <n v="5"/>
    <s v="Port Call - Friendly Visit"/>
    <m/>
    <m/>
    <m/>
    <m/>
    <x v="0"/>
    <m/>
    <x v="0"/>
    <m/>
    <m/>
    <m/>
    <s v="NETF"/>
    <x v="20"/>
    <s v="North Sea Fleet"/>
    <s v="Luhu destroyer Qingdao 113, replenishment ship Taicang 575"/>
    <s v="CPP20021010000233"/>
    <m/>
  </r>
  <r>
    <x v="1"/>
    <x v="10"/>
    <s v="America and Oceania"/>
    <s v="No Specific Relationship"/>
    <x v="0"/>
    <s v="SOUTHCOM"/>
    <x v="41"/>
    <x v="11"/>
    <n v="6"/>
    <s v="BL - Hosted"/>
    <s v="Fu Quanyou"/>
    <m/>
    <s v="GSD Commander; CMC Member"/>
    <n v="8"/>
    <x v="2"/>
    <s v="Commander of Defense Force"/>
    <x v="0"/>
    <m/>
    <m/>
    <m/>
    <m/>
    <x v="12"/>
    <m/>
    <m/>
    <s v="CPP20020620000095"/>
    <m/>
  </r>
  <r>
    <x v="1"/>
    <x v="0"/>
    <s v="Asia"/>
    <s v="No Specific Relationship"/>
    <x v="0"/>
    <s v="INDOPACOM"/>
    <x v="0"/>
    <x v="11"/>
    <n v="6"/>
    <s v="BL - Hosted"/>
    <s v="Chi Haotian"/>
    <m/>
    <s v="Defense Minister; CMC Member"/>
    <n v="8"/>
    <x v="2"/>
    <s v="Chief of Army Staff"/>
    <x v="0"/>
    <m/>
    <m/>
    <m/>
    <m/>
    <x v="12"/>
    <m/>
    <m/>
    <s v="CPP20020602000061"/>
    <m/>
  </r>
  <r>
    <x v="1"/>
    <x v="10"/>
    <s v="America and Oceania"/>
    <s v="No Specific Relationship"/>
    <x v="0"/>
    <s v="SOUTHCOM"/>
    <x v="42"/>
    <x v="11"/>
    <n v="6"/>
    <s v="BL - Hosted"/>
    <s v="Fu Quanyou"/>
    <m/>
    <s v="GSD Commander; CMC Member"/>
    <n v="8"/>
    <x v="2"/>
    <s v="Army Commander"/>
    <x v="0"/>
    <m/>
    <m/>
    <m/>
    <m/>
    <x v="12"/>
    <m/>
    <m/>
    <s v="CPP20020621000098"/>
    <m/>
  </r>
  <r>
    <x v="1"/>
    <x v="10"/>
    <s v="America and Oceania"/>
    <s v="Strategic Partnership [战略伙伴关系]"/>
    <x v="0"/>
    <s v="SOUTHCOM"/>
    <x v="43"/>
    <x v="11"/>
    <n v="6"/>
    <s v="BL - Hosted"/>
    <s v="Fu Quanyou"/>
    <m/>
    <s v="GSD Commander; CMC Member"/>
    <n v="8"/>
    <x v="2"/>
    <s v="Chief of Army "/>
    <x v="0"/>
    <m/>
    <m/>
    <m/>
    <m/>
    <x v="12"/>
    <m/>
    <m/>
    <s v="CPP20020610000039"/>
    <m/>
  </r>
  <r>
    <x v="0"/>
    <x v="10"/>
    <s v="America and Oceania"/>
    <s v="Strategic Partnership [战略伙伴关系]"/>
    <x v="0"/>
    <s v="SOUTHCOM"/>
    <x v="43"/>
    <x v="11"/>
    <n v="6"/>
    <s v="Port Call - Friendly Visit"/>
    <m/>
    <m/>
    <m/>
    <m/>
    <x v="0"/>
    <m/>
    <x v="0"/>
    <m/>
    <m/>
    <m/>
    <s v="NETF"/>
    <x v="20"/>
    <s v="North Sea Fleet"/>
    <s v="Luhu destroyer Qingdao 113, replenishment ship Taicang 575"/>
    <s v="CPP20021010000233"/>
    <m/>
  </r>
  <r>
    <x v="1"/>
    <x v="1"/>
    <s v="Asia"/>
    <s v="No Specific Relationship"/>
    <x v="0"/>
    <s v="INDOPACOM"/>
    <x v="44"/>
    <x v="11"/>
    <n v="6"/>
    <s v="BL - Hosted"/>
    <s v="Zhang Wannian"/>
    <m/>
    <s v="CMC Vice Chairman"/>
    <n v="10"/>
    <x v="2"/>
    <s v="Commander of Armed Forces"/>
    <x v="0"/>
    <m/>
    <m/>
    <m/>
    <m/>
    <x v="12"/>
    <m/>
    <m/>
    <s v="CPP20020621000104; Xinhua 6-21-2002"/>
    <m/>
  </r>
  <r>
    <x v="1"/>
    <x v="10"/>
    <s v="America and Oceania"/>
    <s v="No Specific Relationship"/>
    <x v="0"/>
    <s v="SOUTHCOM"/>
    <x v="45"/>
    <x v="11"/>
    <n v="6"/>
    <s v="BL - Hosted"/>
    <s v="Chi Haotian"/>
    <m/>
    <s v="Defense Minister; CMC Member"/>
    <n v="8"/>
    <x v="2"/>
    <s v="Commander in Chief"/>
    <x v="0"/>
    <m/>
    <m/>
    <m/>
    <m/>
    <x v="12"/>
    <m/>
    <m/>
    <s v="CPP20020623000024"/>
    <m/>
  </r>
  <r>
    <x v="1"/>
    <x v="7"/>
    <s v="West Asia and Africa"/>
    <s v="No Specific Relationship"/>
    <x v="0"/>
    <s v="AFRICOM"/>
    <x v="46"/>
    <x v="11"/>
    <n v="6"/>
    <s v="BL - Hosted"/>
    <s v="Fu Quanyou"/>
    <m/>
    <s v="GSD Commander; CMC Member"/>
    <n v="8"/>
    <x v="2"/>
    <s v="Defense Minister"/>
    <x v="0"/>
    <m/>
    <m/>
    <m/>
    <m/>
    <x v="12"/>
    <m/>
    <m/>
    <s v="CPP20020614000103"/>
    <m/>
  </r>
  <r>
    <x v="1"/>
    <x v="8"/>
    <s v="Europe and Central Asia"/>
    <s v="No Specific Relationship"/>
    <x v="5"/>
    <s v="EUCOM"/>
    <x v="22"/>
    <x v="11"/>
    <n v="6"/>
    <s v="BL - Abroad"/>
    <s v="Cao Gangchuan"/>
    <m/>
    <s v="GAD Director; CMC Member"/>
    <n v="8"/>
    <x v="1"/>
    <s v="Defense Minister"/>
    <x v="0"/>
    <m/>
    <m/>
    <m/>
    <m/>
    <x v="12"/>
    <m/>
    <m/>
    <s v="CPP20020608000021; Xinhua 6-8-2002"/>
    <m/>
  </r>
  <r>
    <x v="1"/>
    <x v="8"/>
    <s v="Europe and Central Asia"/>
    <s v="No Specific Relationship"/>
    <x v="5"/>
    <s v="EUCOM"/>
    <x v="18"/>
    <x v="11"/>
    <n v="6"/>
    <s v="BL - Hosted"/>
    <s v="Chi Haotian"/>
    <m/>
    <s v="Defense Minister; CMC Member"/>
    <n v="8"/>
    <x v="2"/>
    <s v="Navy Inspector"/>
    <x v="0"/>
    <m/>
    <m/>
    <m/>
    <m/>
    <x v="12"/>
    <m/>
    <m/>
    <s v="CPP20020611000111"/>
    <m/>
  </r>
  <r>
    <x v="1"/>
    <x v="8"/>
    <s v="Europe and Central Asia"/>
    <s v="No Specific Relationship"/>
    <x v="5"/>
    <s v="EUCOM"/>
    <x v="20"/>
    <x v="11"/>
    <n v="6"/>
    <s v="BL - Abroad"/>
    <s v="Cao Gangchuan"/>
    <m/>
    <s v="GAD Director; CMC Member"/>
    <n v="8"/>
    <x v="1"/>
    <s v="Defense Minister"/>
    <x v="0"/>
    <m/>
    <m/>
    <m/>
    <m/>
    <x v="12"/>
    <m/>
    <m/>
    <s v="CPP20020608000021; Xinhua 6-8-2002"/>
    <m/>
  </r>
  <r>
    <x v="1"/>
    <x v="7"/>
    <s v="West Asia and Africa"/>
    <s v="No Specific Relationship"/>
    <x v="0"/>
    <s v="AFRICOM"/>
    <x v="47"/>
    <x v="11"/>
    <n v="6"/>
    <s v="BL - Hosted"/>
    <s v="Chi Haotian"/>
    <m/>
    <s v="Defense Minister; CMC Member"/>
    <n v="8"/>
    <x v="2"/>
    <s v="Chief of Staff  "/>
    <x v="0"/>
    <m/>
    <m/>
    <m/>
    <m/>
    <x v="12"/>
    <m/>
    <m/>
    <s v="CPP20020627000109"/>
    <m/>
  </r>
  <r>
    <x v="0"/>
    <x v="8"/>
    <s v="Europe and Central Asia"/>
    <s v="No Specific Relationship"/>
    <x v="5"/>
    <s v="EUCOM"/>
    <x v="48"/>
    <x v="11"/>
    <n v="6"/>
    <s v="Port Call - Friendly Visit"/>
    <m/>
    <m/>
    <m/>
    <m/>
    <x v="0"/>
    <m/>
    <x v="0"/>
    <m/>
    <m/>
    <m/>
    <s v="NETF"/>
    <x v="20"/>
    <s v="North Sea Fleet"/>
    <s v="Luhu destroyer Qingdao 113, replenishment ship Taicang 575"/>
    <s v="CPP20021010000233"/>
    <m/>
  </r>
  <r>
    <x v="1"/>
    <x v="3"/>
    <s v="Europe and Central Asia"/>
    <s v="Strategic Partnership of Coordination [战略协作伙伴关系]"/>
    <x v="0"/>
    <s v="EUCOM"/>
    <x v="7"/>
    <x v="11"/>
    <n v="6"/>
    <s v="BL - Hosted"/>
    <s v="Chi Haotian"/>
    <m/>
    <s v="Defense Minister; CMC Member"/>
    <n v="8"/>
    <x v="2"/>
    <s v="Defense Minister"/>
    <x v="0"/>
    <m/>
    <m/>
    <m/>
    <m/>
    <x v="12"/>
    <m/>
    <m/>
    <s v="CPP20020601000085"/>
    <m/>
  </r>
  <r>
    <x v="1"/>
    <x v="7"/>
    <s v="West Asia and Africa"/>
    <s v="No Specific Relationship"/>
    <x v="0"/>
    <s v="AFRICOM"/>
    <x v="15"/>
    <x v="11"/>
    <n v="6"/>
    <s v="BL - Abroad"/>
    <s v="Cao Gangchuan"/>
    <m/>
    <s v="GAD Director; CMC Member"/>
    <n v="8"/>
    <x v="1"/>
    <s v="Defense Minister"/>
    <x v="0"/>
    <m/>
    <m/>
    <m/>
    <m/>
    <x v="12"/>
    <m/>
    <m/>
    <s v="CPP20020608000021; Xinhua 6-8-2002"/>
    <m/>
  </r>
  <r>
    <x v="1"/>
    <x v="4"/>
    <s v="Asia"/>
    <s v="Full-Scale Cooperative Partnership [全面合作伙伴关系]"/>
    <x v="3"/>
    <s v="INDOPACOM"/>
    <x v="25"/>
    <x v="11"/>
    <n v="6"/>
    <s v="BL - Hosted"/>
    <s v="Chi Haotian"/>
    <m/>
    <s v="Defense Minister; CMC Member"/>
    <n v="8"/>
    <x v="2"/>
    <s v="Defense Minister"/>
    <x v="0"/>
    <m/>
    <m/>
    <m/>
    <m/>
    <x v="12"/>
    <m/>
    <m/>
    <s v="CPP20020602000062"/>
    <m/>
  </r>
  <r>
    <x v="1"/>
    <x v="0"/>
    <s v="Asia"/>
    <s v="No Specific Relationship"/>
    <x v="0"/>
    <s v="INDOPACOM"/>
    <x v="3"/>
    <x v="11"/>
    <n v="6"/>
    <s v="BL - Hosted"/>
    <s v="Chi Haotian"/>
    <m/>
    <s v="Defense Minister; CMC Member"/>
    <n v="8"/>
    <x v="2"/>
    <s v="Defense Minister"/>
    <x v="0"/>
    <m/>
    <m/>
    <m/>
    <m/>
    <x v="12"/>
    <m/>
    <m/>
    <s v="CPP20020611000116"/>
    <m/>
  </r>
  <r>
    <x v="1"/>
    <x v="1"/>
    <s v="Asia"/>
    <s v="No Specific Relationship"/>
    <x v="3"/>
    <s v="INDOPACOM"/>
    <x v="5"/>
    <x v="11"/>
    <n v="6"/>
    <s v="BL - Hosted"/>
    <s v="Fu Quanyou"/>
    <m/>
    <s v="GSD Commander; CMC Member"/>
    <n v="8"/>
    <x v="2"/>
    <s v="Army Commander"/>
    <x v="0"/>
    <m/>
    <m/>
    <m/>
    <m/>
    <x v="12"/>
    <m/>
    <m/>
    <s v="CPP20020625000204"/>
    <m/>
  </r>
  <r>
    <x v="1"/>
    <x v="8"/>
    <s v="Europe and Central Asia"/>
    <s v="No Specific Relationship"/>
    <x v="0"/>
    <s v="EUCOM"/>
    <x v="26"/>
    <x v="11"/>
    <n v="6"/>
    <s v="BL - Abroad"/>
    <s v="Fu Quanyou"/>
    <m/>
    <s v="GSD Commander; CMC Member"/>
    <n v="8"/>
    <x v="1"/>
    <s v="President"/>
    <x v="0"/>
    <m/>
    <m/>
    <m/>
    <m/>
    <x v="12"/>
    <m/>
    <m/>
    <s v="CPP20020603000168"/>
    <m/>
  </r>
  <r>
    <x v="1"/>
    <x v="2"/>
    <s v="America and Oceania"/>
    <s v="No Specific Relationship"/>
    <x v="2"/>
    <s v="NORTHCOM"/>
    <x v="4"/>
    <x v="11"/>
    <n v="6"/>
    <s v="BL - Hosted"/>
    <s v="Chi Haotian"/>
    <m/>
    <s v="Defense Minister; CMC Member"/>
    <n v="8"/>
    <x v="2"/>
    <s v="Delegation"/>
    <x v="0"/>
    <m/>
    <m/>
    <m/>
    <m/>
    <x v="12"/>
    <m/>
    <m/>
    <s v="CPP20020624000222"/>
    <m/>
  </r>
  <r>
    <x v="1"/>
    <x v="10"/>
    <s v="America and Oceania"/>
    <s v="No Specific Relationship"/>
    <x v="0"/>
    <s v="SOUTHCOM"/>
    <x v="49"/>
    <x v="11"/>
    <n v="7"/>
    <s v="BL - Hosted"/>
    <s v="Fu Quanyou"/>
    <m/>
    <s v="GSD Commander; CMC Member"/>
    <n v="8"/>
    <x v="2"/>
    <s v="General of Armed Forces"/>
    <x v="0"/>
    <m/>
    <m/>
    <m/>
    <m/>
    <x v="12"/>
    <m/>
    <m/>
    <s v="CPP20020715000072"/>
    <m/>
  </r>
  <r>
    <x v="1"/>
    <x v="10"/>
    <s v="America and Oceania"/>
    <s v="No Specific Relationship"/>
    <x v="0"/>
    <s v="SOUTHCOM"/>
    <x v="49"/>
    <x v="11"/>
    <n v="7"/>
    <s v="BL - Hosted"/>
    <s v="Lei Mingqiu"/>
    <m/>
    <s v="Nanjing MR Political Commissar"/>
    <n v="6"/>
    <x v="2"/>
    <s v="Director of Armed Forces"/>
    <x v="0"/>
    <m/>
    <m/>
    <m/>
    <m/>
    <x v="12"/>
    <m/>
    <m/>
    <s v="CPP20020723000047"/>
    <m/>
  </r>
  <r>
    <x v="1"/>
    <x v="1"/>
    <s v="Asia"/>
    <s v="No Specific Relationship"/>
    <x v="0"/>
    <s v="INDOPACOM"/>
    <x v="50"/>
    <x v="11"/>
    <n v="7"/>
    <s v="BL - Hosted"/>
    <s v="Chi Haotian"/>
    <m/>
    <s v="Defense Minister; CMC Member"/>
    <n v="8"/>
    <x v="2"/>
    <s v="Commander of Armed Forces"/>
    <x v="0"/>
    <m/>
    <m/>
    <m/>
    <m/>
    <x v="12"/>
    <m/>
    <m/>
    <s v="CPP20020702000138"/>
    <m/>
  </r>
  <r>
    <x v="0"/>
    <x v="10"/>
    <s v="America and Oceania"/>
    <s v="No Specific Relationship"/>
    <x v="0"/>
    <s v="SOUTHCOM"/>
    <x v="51"/>
    <x v="11"/>
    <n v="7"/>
    <s v="Port Call - Friendly Visit"/>
    <m/>
    <m/>
    <m/>
    <m/>
    <x v="0"/>
    <m/>
    <x v="0"/>
    <m/>
    <m/>
    <m/>
    <s v="NETF"/>
    <x v="20"/>
    <s v="North Sea Fleet"/>
    <s v="Luhu destroyer Qingdao 113, replenishment ship Taicang 575"/>
    <s v="CPP20021010000233"/>
    <m/>
  </r>
  <r>
    <x v="1"/>
    <x v="1"/>
    <s v="Asia"/>
    <s v="No Specific Relationship"/>
    <x v="0"/>
    <s v="INDOPACOM"/>
    <x v="52"/>
    <x v="11"/>
    <n v="7"/>
    <s v="BL - Hosted"/>
    <s v="Chi Haotian"/>
    <m/>
    <s v="Defense Minister; CMC Member"/>
    <n v="8"/>
    <x v="2"/>
    <s v="Delegation"/>
    <x v="0"/>
    <m/>
    <m/>
    <m/>
    <m/>
    <x v="12"/>
    <m/>
    <m/>
    <s v="CPP20020718000193"/>
    <m/>
  </r>
  <r>
    <x v="1"/>
    <x v="4"/>
    <s v="Asia"/>
    <s v="No Specific Relationship"/>
    <x v="0"/>
    <s v="INDOPACOM"/>
    <x v="53"/>
    <x v="11"/>
    <n v="7"/>
    <s v="BL - Abroad"/>
    <s v="Zhang Wentai"/>
    <m/>
    <s v="GLD Political Commissar"/>
    <n v="6"/>
    <x v="1"/>
    <s v="President"/>
    <x v="0"/>
    <m/>
    <m/>
    <m/>
    <m/>
    <x v="12"/>
    <m/>
    <m/>
    <s v="CPP20020725000110"/>
    <m/>
  </r>
  <r>
    <x v="0"/>
    <x v="10"/>
    <s v="America and Oceania"/>
    <s v="No Specific Relationship"/>
    <x v="0"/>
    <s v="SOUTHCOM"/>
    <x v="54"/>
    <x v="11"/>
    <n v="7"/>
    <s v="Port Call - Friendly Visit"/>
    <m/>
    <m/>
    <m/>
    <m/>
    <x v="0"/>
    <m/>
    <x v="0"/>
    <m/>
    <m/>
    <m/>
    <s v="NETF"/>
    <x v="20"/>
    <s v="North Sea Fleet"/>
    <s v="Luhu destroyer Qingdao 113, replenishment ship Taicang 575"/>
    <s v="CPP20021010000233"/>
    <m/>
  </r>
  <r>
    <x v="1"/>
    <x v="3"/>
    <s v="Europe and Central Asia"/>
    <s v="Strategic Partnership of Coordination [战略协作伙伴关系]"/>
    <x v="0"/>
    <s v="EUCOM"/>
    <x v="7"/>
    <x v="11"/>
    <n v="7"/>
    <s v="BL - Hosted"/>
    <s v="Chi Haotian"/>
    <m/>
    <s v="Defense Minister; CMC Member"/>
    <n v="8"/>
    <x v="2"/>
    <s v="Security Council Secretary"/>
    <x v="0"/>
    <m/>
    <m/>
    <m/>
    <m/>
    <x v="12"/>
    <m/>
    <m/>
    <s v="JPP20020717000049"/>
    <m/>
  </r>
  <r>
    <x v="1"/>
    <x v="4"/>
    <s v="Asia"/>
    <s v="Full-Scale Cooperative Partnership [全面合作伙伴关系]"/>
    <x v="3"/>
    <s v="INDOPACOM"/>
    <x v="25"/>
    <x v="11"/>
    <n v="7"/>
    <s v="BL - Abroad"/>
    <s v="Zhang Wentai"/>
    <m/>
    <s v="GLD Political Commissar"/>
    <n v="6"/>
    <x v="1"/>
    <s v="Defense Minister"/>
    <x v="0"/>
    <m/>
    <m/>
    <m/>
    <m/>
    <x v="12"/>
    <m/>
    <m/>
    <s v="KPP20020723000056"/>
    <m/>
  </r>
  <r>
    <x v="1"/>
    <x v="6"/>
    <s v="Europe and Central Asia"/>
    <s v="No Specific Relationship"/>
    <x v="0"/>
    <s v="CENTCOM"/>
    <x v="55"/>
    <x v="11"/>
    <n v="7"/>
    <s v="BL - Hosted"/>
    <s v="Chi Haotian"/>
    <m/>
    <s v="Defense Minister; CMC Member"/>
    <n v="8"/>
    <x v="2"/>
    <s v="Lieutenant General"/>
    <x v="0"/>
    <m/>
    <m/>
    <m/>
    <m/>
    <x v="12"/>
    <m/>
    <m/>
    <s v="CPP20020705000083"/>
    <m/>
  </r>
  <r>
    <x v="1"/>
    <x v="2"/>
    <s v="America and Oceania"/>
    <s v="No Specific Relationship"/>
    <x v="2"/>
    <s v="NORTHCOM"/>
    <x v="4"/>
    <x v="11"/>
    <n v="7"/>
    <s v="BL - Hosted"/>
    <s v="Chi Haotian"/>
    <m/>
    <s v="Defense Minister; CMC Member"/>
    <n v="8"/>
    <x v="2"/>
    <s v="Ex-Official "/>
    <x v="0"/>
    <m/>
    <m/>
    <m/>
    <m/>
    <x v="12"/>
    <m/>
    <m/>
    <s v="CPP20020701000135"/>
    <m/>
  </r>
  <r>
    <x v="1"/>
    <x v="10"/>
    <s v="America and Oceania"/>
    <s v="Strategic Development Partnership [战略发展伙伴关系]"/>
    <x v="0"/>
    <s v="SOUTHCOM"/>
    <x v="56"/>
    <x v="11"/>
    <n v="7"/>
    <s v="BL - Hosted"/>
    <s v="Xiong Guangkai"/>
    <m/>
    <s v="GSD DCGS"/>
    <n v="6"/>
    <x v="2"/>
    <s v="Major General"/>
    <x v="0"/>
    <m/>
    <m/>
    <m/>
    <m/>
    <x v="12"/>
    <m/>
    <m/>
    <s v="CPP20020709000157"/>
    <m/>
  </r>
  <r>
    <x v="1"/>
    <x v="8"/>
    <s v="Europe and Central Asia"/>
    <s v="No Specific Relationship"/>
    <x v="0"/>
    <s v="EUCOM"/>
    <x v="57"/>
    <x v="11"/>
    <n v="8"/>
    <s v="BL - Abroad"/>
    <s v="Chi Haotian"/>
    <m/>
    <s v="Defense Minister; CMC Member"/>
    <n v="8"/>
    <x v="1"/>
    <s v="Vice Defense Minister"/>
    <x v="0"/>
    <m/>
    <m/>
    <m/>
    <m/>
    <x v="12"/>
    <m/>
    <m/>
    <s v="CPP20020807000130"/>
    <m/>
  </r>
  <r>
    <x v="1"/>
    <x v="0"/>
    <s v="Asia"/>
    <s v="No Specific Relationship"/>
    <x v="0"/>
    <s v="INDOPACOM"/>
    <x v="0"/>
    <x v="11"/>
    <n v="8"/>
    <s v="BL - Hosted"/>
    <s v="Fu Quanyou"/>
    <m/>
    <s v="GSD Commander; CMC Member"/>
    <n v="8"/>
    <x v="2"/>
    <s v="Chief of Air Staff"/>
    <x v="0"/>
    <m/>
    <m/>
    <m/>
    <m/>
    <x v="12"/>
    <m/>
    <m/>
    <s v="CPP20020821000148"/>
    <m/>
  </r>
  <r>
    <x v="1"/>
    <x v="8"/>
    <s v="Europe and Central Asia"/>
    <s v="No Specific Relationship"/>
    <x v="5"/>
    <s v="EUCOM"/>
    <x v="58"/>
    <x v="11"/>
    <n v="8"/>
    <s v="BL - Abroad"/>
    <s v="Lei Mingqiu"/>
    <m/>
    <s v="Nanjing MR Political Commissar"/>
    <n v="6"/>
    <x v="1"/>
    <s v="Chief of General Staff"/>
    <x v="0"/>
    <m/>
    <m/>
    <m/>
    <m/>
    <x v="12"/>
    <m/>
    <m/>
    <s v="CPP20020816000076"/>
    <m/>
  </r>
  <r>
    <x v="1"/>
    <x v="6"/>
    <s v="Europe and Central Asia"/>
    <s v="Comprehensive Cooperative Partnership [全面合作伙伴关系]"/>
    <x v="0"/>
    <s v="CENTCOM"/>
    <x v="30"/>
    <x v="11"/>
    <n v="8"/>
    <s v="BL - Abroad"/>
    <s v="Zheng Shouzeng"/>
    <m/>
    <s v="Lanzhou MR Politcal Commander"/>
    <n v="6"/>
    <x v="1"/>
    <s v="Defense Minister"/>
    <x v="0"/>
    <m/>
    <m/>
    <m/>
    <m/>
    <x v="12"/>
    <m/>
    <m/>
    <s v="CPP20020822000155"/>
    <m/>
  </r>
  <r>
    <x v="1"/>
    <x v="8"/>
    <s v="Europe and Central Asia"/>
    <s v="No Specific Relationship"/>
    <x v="5"/>
    <s v="EUCOM"/>
    <x v="59"/>
    <x v="11"/>
    <n v="8"/>
    <s v="BL - Hosted"/>
    <s v="Chi Haotian"/>
    <m/>
    <s v="Defense Minister; CMC Member"/>
    <n v="8"/>
    <x v="2"/>
    <s v="Chief of General Staff"/>
    <x v="0"/>
    <m/>
    <m/>
    <m/>
    <m/>
    <x v="12"/>
    <m/>
    <m/>
    <s v="CPP20020826000111"/>
    <m/>
  </r>
  <r>
    <x v="1"/>
    <x v="8"/>
    <s v="Europe and Central Asia"/>
    <s v="No Specific Relationship"/>
    <x v="5"/>
    <s v="EUCOM"/>
    <x v="59"/>
    <x v="11"/>
    <n v="8"/>
    <s v="BL - Abroad"/>
    <s v="Lei Mingqiu"/>
    <m/>
    <s v="Nanjing MR Political Commissar"/>
    <n v="6"/>
    <x v="1"/>
    <s v="Chief of General Staff"/>
    <x v="0"/>
    <m/>
    <m/>
    <m/>
    <m/>
    <x v="12"/>
    <m/>
    <m/>
    <s v="CPP20020811000001"/>
    <m/>
  </r>
  <r>
    <x v="1"/>
    <x v="4"/>
    <s v="Asia"/>
    <s v="Full-Scale Cooperative Partnership [全面合作伙伴关系]"/>
    <x v="3"/>
    <s v="INDOPACOM"/>
    <x v="25"/>
    <x v="11"/>
    <n v="8"/>
    <s v="BL - Hosted"/>
    <s v="Chi Haotian"/>
    <m/>
    <s v="Defense Minister; CMC Member"/>
    <n v="8"/>
    <x v="2"/>
    <s v="Vice Minister of Defense"/>
    <x v="0"/>
    <m/>
    <m/>
    <m/>
    <m/>
    <x v="12"/>
    <m/>
    <m/>
    <s v="CPP20020827000087"/>
    <m/>
  </r>
  <r>
    <x v="1"/>
    <x v="6"/>
    <s v="Europe and Central Asia"/>
    <s v="No Specific Relationship"/>
    <x v="0"/>
    <s v="CENTCOM"/>
    <x v="60"/>
    <x v="11"/>
    <n v="8"/>
    <s v="BL - Abroad"/>
    <s v="Chi Haotian"/>
    <m/>
    <s v="Defense Minister; CMC Member"/>
    <n v="8"/>
    <x v="1"/>
    <s v="Defense Minister"/>
    <x v="0"/>
    <m/>
    <m/>
    <m/>
    <m/>
    <x v="12"/>
    <m/>
    <m/>
    <s v="CPP20020815000138"/>
    <m/>
  </r>
  <r>
    <x v="1"/>
    <x v="7"/>
    <s v="West Asia and Africa"/>
    <s v="No Specific Relationship"/>
    <x v="0"/>
    <s v="AFRICOM"/>
    <x v="16"/>
    <x v="11"/>
    <n v="8"/>
    <s v="BL - Hosted"/>
    <s v="Chi Haotian"/>
    <m/>
    <s v="Defense Minister; CMC Member"/>
    <n v="8"/>
    <x v="2"/>
    <s v="Commander of Defense Force"/>
    <x v="0"/>
    <m/>
    <m/>
    <m/>
    <m/>
    <x v="12"/>
    <m/>
    <m/>
    <s v="CPP20020821000118"/>
    <m/>
  </r>
  <r>
    <x v="1"/>
    <x v="2"/>
    <s v="America and Oceania"/>
    <s v="No Specific Relationship"/>
    <x v="2"/>
    <s v="NORTHCOM"/>
    <x v="4"/>
    <x v="11"/>
    <n v="8"/>
    <s v="BL - Hosted"/>
    <s v="Chi Haotian"/>
    <m/>
    <s v="Defense Minister; CMC Member"/>
    <n v="8"/>
    <x v="2"/>
    <s v="NDU CAPSTONE Delegation led by General (ret.) Robert Sennewald"/>
    <x v="0"/>
    <m/>
    <m/>
    <m/>
    <m/>
    <x v="12"/>
    <m/>
    <m/>
    <s v="CPP20020802000124"/>
    <m/>
  </r>
  <r>
    <x v="1"/>
    <x v="7"/>
    <s v="West Asia and Africa"/>
    <s v="No Specific Relationship"/>
    <x v="0"/>
    <s v="AFRICOM"/>
    <x v="61"/>
    <x v="11"/>
    <n v="8"/>
    <s v="BL - Hosted"/>
    <s v="Fu Quanyou"/>
    <m/>
    <s v="GSD Commander; CMC Member"/>
    <n v="8"/>
    <x v="2"/>
    <s v="Army Commander"/>
    <x v="0"/>
    <m/>
    <m/>
    <m/>
    <m/>
    <x v="12"/>
    <m/>
    <m/>
    <s v="CPP20020807000105"/>
    <m/>
  </r>
  <r>
    <x v="1"/>
    <x v="10"/>
    <s v="America and Oceania"/>
    <s v="Comprehensive Partnership [全面伙伴关系]"/>
    <x v="1"/>
    <s v="SOUTHCOM"/>
    <x v="62"/>
    <x v="11"/>
    <n v="9"/>
    <s v="BL - Hosted"/>
    <s v="Chi Haotian"/>
    <m/>
    <s v="Defense Minister; CMC Member"/>
    <n v="8"/>
    <x v="2"/>
    <s v="Chief of Staff"/>
    <x v="0"/>
    <m/>
    <m/>
    <m/>
    <m/>
    <x v="12"/>
    <m/>
    <m/>
    <s v="CPP20020903000148"/>
    <m/>
  </r>
  <r>
    <x v="1"/>
    <x v="8"/>
    <s v="Europe and Central Asia"/>
    <s v="No Specific Relationship"/>
    <x v="0"/>
    <s v="EUCOM"/>
    <x v="63"/>
    <x v="11"/>
    <n v="9"/>
    <s v="BL - Hosted"/>
    <s v="Zhang Wannian"/>
    <m/>
    <s v="CMC Vice Chairman"/>
    <n v="10"/>
    <x v="2"/>
    <s v="Chief of General Staff and Vice-Minister of Defense"/>
    <x v="0"/>
    <m/>
    <m/>
    <m/>
    <m/>
    <x v="12"/>
    <m/>
    <m/>
    <s v="CPP20020912000130; Xinhua 9-12-2002"/>
    <m/>
  </r>
  <r>
    <x v="1"/>
    <x v="7"/>
    <s v="West Asia and Africa"/>
    <s v="No Specific Relationship"/>
    <x v="0"/>
    <s v="AFRICOM"/>
    <x v="64"/>
    <x v="11"/>
    <n v="9"/>
    <s v="BL - Abroad"/>
    <s v="Jiang Futang"/>
    <m/>
    <s v="Shenyang MR Political Commissar"/>
    <n v="6"/>
    <x v="1"/>
    <s v="Defense Minister"/>
    <x v="0"/>
    <m/>
    <m/>
    <m/>
    <m/>
    <x v="12"/>
    <m/>
    <m/>
    <s v="CPP20020909000069"/>
    <m/>
  </r>
  <r>
    <x v="1"/>
    <x v="7"/>
    <s v="West Asia and Africa"/>
    <s v="Friendly Cooperative Relationship [友好合作关系]"/>
    <x v="0"/>
    <s v="AFRICOM"/>
    <x v="65"/>
    <x v="11"/>
    <n v="9"/>
    <s v="BL - Abroad"/>
    <s v="Jiang Futang"/>
    <m/>
    <s v="Shenyang MR Political Commissar"/>
    <n v="6"/>
    <x v="1"/>
    <s v="Defense Minister"/>
    <x v="0"/>
    <m/>
    <m/>
    <m/>
    <m/>
    <x v="12"/>
    <m/>
    <m/>
    <s v="CPP20020909000069"/>
    <m/>
  </r>
  <r>
    <x v="1"/>
    <x v="2"/>
    <s v="America and Oceania"/>
    <s v="Comprehensive Partnership [全面伙伴关系]"/>
    <x v="5"/>
    <s v="NORTHCOM"/>
    <x v="17"/>
    <x v="11"/>
    <n v="9"/>
    <s v="BL - Abroad"/>
    <s v="Chi Haotian"/>
    <m/>
    <s v="Defense Minister; CMC Member"/>
    <n v="8"/>
    <x v="1"/>
    <s v="Prime Minister"/>
    <x v="0"/>
    <m/>
    <m/>
    <m/>
    <m/>
    <x v="12"/>
    <m/>
    <m/>
    <s v="CPP20020911000059"/>
    <m/>
  </r>
  <r>
    <x v="1"/>
    <x v="10"/>
    <s v="America and Oceania"/>
    <s v="No Specific Relationship"/>
    <x v="0"/>
    <s v="SOUTHCOM"/>
    <x v="66"/>
    <x v="11"/>
    <n v="9"/>
    <s v="BL - Hosted"/>
    <s v="Chi Haotian"/>
    <m/>
    <s v="Defense Minister; CMC Member"/>
    <n v="8"/>
    <x v="2"/>
    <s v="Vice Minister of Defense"/>
    <x v="0"/>
    <m/>
    <m/>
    <m/>
    <m/>
    <x v="12"/>
    <m/>
    <m/>
    <s v="CPP20020905000082"/>
    <m/>
  </r>
  <r>
    <x v="1"/>
    <x v="7"/>
    <s v="West Asia and Africa"/>
    <s v="No Specific Relationship"/>
    <x v="0"/>
    <s v="AFRICOM"/>
    <x v="67"/>
    <x v="11"/>
    <n v="9"/>
    <s v="BL - Abroad"/>
    <s v="Jiang Futang"/>
    <m/>
    <s v="Shenyang MR Political Commissar"/>
    <n v="6"/>
    <x v="1"/>
    <s v="Defense Minister"/>
    <x v="0"/>
    <m/>
    <m/>
    <m/>
    <m/>
    <x v="12"/>
    <m/>
    <m/>
    <s v="CPP20020909000069"/>
    <m/>
  </r>
  <r>
    <x v="1"/>
    <x v="1"/>
    <s v="Asia"/>
    <s v="No Specific Relationship"/>
    <x v="0"/>
    <s v="INDOPACOM"/>
    <x v="8"/>
    <x v="11"/>
    <n v="9"/>
    <s v="BL - Abroad"/>
    <s v="Chi Haotian"/>
    <m/>
    <s v="Defense Minister; CMC Member"/>
    <n v="8"/>
    <x v="1"/>
    <s v="President"/>
    <x v="0"/>
    <m/>
    <m/>
    <m/>
    <m/>
    <x v="12"/>
    <m/>
    <m/>
    <s v="CPP20020919000110"/>
    <m/>
  </r>
  <r>
    <x v="1"/>
    <x v="1"/>
    <s v="Asia"/>
    <s v="No Specific Relationship"/>
    <x v="3"/>
    <s v="INDOPACOM"/>
    <x v="11"/>
    <x v="11"/>
    <n v="9"/>
    <s v="BL - Hosted"/>
    <s v="Chi Haotian"/>
    <m/>
    <s v="Defense Minister; CMC Member"/>
    <n v="8"/>
    <x v="2"/>
    <s v="President"/>
    <x v="0"/>
    <m/>
    <m/>
    <m/>
    <m/>
    <x v="12"/>
    <m/>
    <m/>
    <s v="CPP20020928000069"/>
    <m/>
  </r>
  <r>
    <x v="1"/>
    <x v="5"/>
    <s v="America and Oceania"/>
    <s v="No Specific Relationship"/>
    <x v="4"/>
    <s v="INDOPACOM"/>
    <x v="12"/>
    <x v="11"/>
    <n v="10"/>
    <s v="BL - Hosted"/>
    <s v="Xiong Guangkai"/>
    <m/>
    <s v="GSD DCGS"/>
    <n v="6"/>
    <x v="2"/>
    <s v="Defense College Delegation led by Commander Jim Molan, President"/>
    <x v="0"/>
    <m/>
    <m/>
    <m/>
    <m/>
    <x v="12"/>
    <m/>
    <m/>
    <s v="CPP20021016000213"/>
    <m/>
  </r>
  <r>
    <x v="1"/>
    <x v="8"/>
    <s v="Europe and Central Asia"/>
    <s v="No Specific Relationship"/>
    <x v="5"/>
    <s v="EUCOM"/>
    <x v="68"/>
    <x v="11"/>
    <n v="10"/>
    <s v="BL - Hosted"/>
    <s v="Chi Haotian"/>
    <m/>
    <s v="Defense Minister; CMC Member"/>
    <n v="8"/>
    <x v="2"/>
    <s v="Defense Minister"/>
    <x v="0"/>
    <m/>
    <m/>
    <m/>
    <m/>
    <x v="12"/>
    <m/>
    <m/>
    <s v="CPP20021028000122"/>
    <m/>
  </r>
  <r>
    <x v="1"/>
    <x v="8"/>
    <s v="Europe and Central Asia"/>
    <s v="No Specific Relationship"/>
    <x v="5"/>
    <s v="EUCOM"/>
    <x v="35"/>
    <x v="11"/>
    <n v="10"/>
    <s v="BL - Hosted"/>
    <s v="Chi Haotian"/>
    <m/>
    <s v="Defense Minister; CMC Member"/>
    <n v="8"/>
    <x v="2"/>
    <s v="Parliamentary Speaker"/>
    <x v="0"/>
    <m/>
    <m/>
    <m/>
    <m/>
    <x v="12"/>
    <m/>
    <m/>
    <s v="CPP20021025000087"/>
    <m/>
  </r>
  <r>
    <x v="1"/>
    <x v="8"/>
    <s v="Europe and Central Asia"/>
    <s v="No Specific Relationship"/>
    <x v="5"/>
    <s v="EUCOM"/>
    <x v="20"/>
    <x v="11"/>
    <n v="10"/>
    <s v="BL - Hosted"/>
    <s v="Chi Haotian"/>
    <m/>
    <s v="Defense Minister; CMC Member"/>
    <n v="8"/>
    <x v="2"/>
    <s v="Vice Minister of Defense"/>
    <x v="0"/>
    <m/>
    <m/>
    <m/>
    <m/>
    <x v="12"/>
    <m/>
    <m/>
    <s v="CPP20021031000122"/>
    <m/>
  </r>
  <r>
    <x v="2"/>
    <x v="6"/>
    <s v="Europe and Central Asia"/>
    <s v="No Specific Relationship"/>
    <x v="0"/>
    <s v="CENTCOM"/>
    <x v="31"/>
    <x v="11"/>
    <n v="10"/>
    <s v="Military Exercise - Bilateral"/>
    <m/>
    <m/>
    <m/>
    <m/>
    <x v="0"/>
    <m/>
    <x v="1"/>
    <s v="Exercise-01"/>
    <s v="Army"/>
    <m/>
    <m/>
    <x v="12"/>
    <m/>
    <m/>
    <s v="CPP20021010000274; de Haas Journal of Slavic Military Studies 29:3 (2016)"/>
    <s v="Under SCO auspices, but coded as Kyrgyzstan because it is a BL exercise."/>
  </r>
  <r>
    <x v="1"/>
    <x v="0"/>
    <s v="Asia"/>
    <s v="Strategic Partnership [战略伙伴关系]"/>
    <x v="1"/>
    <s v="CENTCOM"/>
    <x v="2"/>
    <x v="11"/>
    <n v="10"/>
    <s v="BL - Hosted"/>
    <s v="Fu Quanyou"/>
    <m/>
    <s v="GSD Commander; CMC Member"/>
    <n v="8"/>
    <x v="2"/>
    <s v="Lieutenant General"/>
    <x v="0"/>
    <m/>
    <m/>
    <m/>
    <m/>
    <x v="12"/>
    <m/>
    <m/>
    <s v="CPP20021029000133"/>
    <m/>
  </r>
  <r>
    <x v="1"/>
    <x v="8"/>
    <s v="Europe and Central Asia"/>
    <s v="No Specific Relationship"/>
    <x v="5"/>
    <s v="EUCOM"/>
    <x v="33"/>
    <x v="11"/>
    <n v="10"/>
    <s v="BL - Hosted"/>
    <s v="Fu Quanyou"/>
    <m/>
    <s v="GSD Commander; CMC Member"/>
    <n v="8"/>
    <x v="2"/>
    <s v="General Inspector of Armed Forces"/>
    <x v="0"/>
    <m/>
    <m/>
    <m/>
    <m/>
    <x v="12"/>
    <m/>
    <m/>
    <s v="CPP20021015000073"/>
    <m/>
  </r>
  <r>
    <x v="1"/>
    <x v="4"/>
    <s v="Asia"/>
    <s v="Full-Scale Cooperative Partnership [全面合作伙伴关系]"/>
    <x v="3"/>
    <s v="INDOPACOM"/>
    <x v="25"/>
    <x v="11"/>
    <n v="10"/>
    <s v="BL - Hosted"/>
    <s v="Fu Quanyou"/>
    <m/>
    <s v="GSD Commander; CMC Member"/>
    <n v="8"/>
    <x v="2"/>
    <s v="Defense Minister"/>
    <x v="0"/>
    <m/>
    <m/>
    <m/>
    <m/>
    <x v="12"/>
    <m/>
    <m/>
    <s v="CPP20021002000148"/>
    <m/>
  </r>
  <r>
    <x v="1"/>
    <x v="8"/>
    <s v="Europe and Central Asia"/>
    <s v="No Specific Relationship"/>
    <x v="5"/>
    <s v="EUCOM"/>
    <x v="21"/>
    <x v="11"/>
    <n v="10"/>
    <s v="BL - Hosted"/>
    <s v="Xiong Guangkai"/>
    <m/>
    <s v="GSD DCGS"/>
    <n v="6"/>
    <x v="2"/>
    <s v="Delegation from Royal College of Defense Studies led by LTG Sir Christopher Wallace"/>
    <x v="0"/>
    <m/>
    <m/>
    <m/>
    <m/>
    <x v="12"/>
    <m/>
    <m/>
    <s v="CPP20021017000141"/>
    <m/>
  </r>
  <r>
    <x v="1"/>
    <x v="2"/>
    <s v="America and Oceania"/>
    <s v="No Specific Relationship"/>
    <x v="2"/>
    <s v="NORTHCOM"/>
    <x v="4"/>
    <x v="11"/>
    <n v="10"/>
    <s v="BL - Hosted"/>
    <s v="Chi Haotian"/>
    <m/>
    <s v="Defense Minister; CMC Member"/>
    <n v="8"/>
    <x v="2"/>
    <s v="NDU President"/>
    <x v="0"/>
    <m/>
    <m/>
    <m/>
    <m/>
    <x v="12"/>
    <m/>
    <m/>
    <s v="CPP20021009000121"/>
    <m/>
  </r>
  <r>
    <x v="1"/>
    <x v="1"/>
    <s v="Asia"/>
    <s v="No Specific Relationship"/>
    <x v="0"/>
    <s v="INDOPACOM"/>
    <x v="23"/>
    <x v="11"/>
    <n v="10"/>
    <s v="BL - Hosted"/>
    <s v="Zhang Wannian"/>
    <m/>
    <s v="CMC Vice Chairman"/>
    <n v="10"/>
    <x v="2"/>
    <s v="Director of Vietnam Military GPD Le Van Dung"/>
    <x v="0"/>
    <m/>
    <m/>
    <m/>
    <m/>
    <x v="12"/>
    <m/>
    <m/>
    <s v="CPP20021016000203; Xinhua 10-16-2002"/>
    <m/>
  </r>
  <r>
    <x v="1"/>
    <x v="10"/>
    <s v="America and Oceania"/>
    <s v="No Specific Relationship"/>
    <x v="0"/>
    <s v="SOUTHCOM"/>
    <x v="66"/>
    <x v="11"/>
    <n v="11"/>
    <s v="BL - Hosted"/>
    <s v="Chi Haotian"/>
    <m/>
    <s v="Defense Minister; CMC Member"/>
    <n v="8"/>
    <x v="2"/>
    <s v="Director of Armed Forces"/>
    <x v="0"/>
    <m/>
    <m/>
    <m/>
    <m/>
    <x v="12"/>
    <m/>
    <m/>
    <s v="CPP20021106000098"/>
    <m/>
  </r>
  <r>
    <x v="1"/>
    <x v="8"/>
    <s v="Europe and Central Asia"/>
    <s v="No Specific Relationship"/>
    <x v="5"/>
    <s v="EUCOM"/>
    <x v="35"/>
    <x v="11"/>
    <n v="11"/>
    <s v="BL - Hosted"/>
    <s v="Xiong Guangkai"/>
    <m/>
    <s v="GSD DCGS"/>
    <n v="6"/>
    <x v="2"/>
    <s v="Commander of Air Force"/>
    <x v="0"/>
    <m/>
    <m/>
    <m/>
    <m/>
    <x v="12"/>
    <m/>
    <m/>
    <s v="CPP20021121000151"/>
    <m/>
  </r>
  <r>
    <x v="1"/>
    <x v="0"/>
    <s v="Asia"/>
    <s v="No Specific Relationship"/>
    <x v="0"/>
    <s v="INDOPACOM"/>
    <x v="6"/>
    <x v="11"/>
    <n v="11"/>
    <s v="BL - Hosted"/>
    <s v="Liang Guanglie"/>
    <m/>
    <s v="GSD Commander; CMC Member"/>
    <n v="8"/>
    <x v="2"/>
    <s v="Commander in Chief"/>
    <x v="0"/>
    <m/>
    <m/>
    <m/>
    <m/>
    <x v="12"/>
    <m/>
    <m/>
    <s v="CPP20021125000151"/>
    <m/>
  </r>
  <r>
    <x v="1"/>
    <x v="7"/>
    <s v="West Asia and Africa"/>
    <s v="No Specific Relationship"/>
    <x v="0"/>
    <s v="AFRICOM"/>
    <x v="69"/>
    <x v="11"/>
    <n v="11"/>
    <s v="BL - Hosted"/>
    <s v="Liang Guanglie"/>
    <m/>
    <s v="GSD Commander; CMC Member"/>
    <n v="8"/>
    <x v="2"/>
    <s v="Chief of General Staff"/>
    <x v="0"/>
    <m/>
    <m/>
    <m/>
    <m/>
    <x v="12"/>
    <m/>
    <m/>
    <s v="CPP20021129000065"/>
    <m/>
  </r>
  <r>
    <x v="1"/>
    <x v="4"/>
    <s v="Asia"/>
    <s v="Bilateral Defense Treaty"/>
    <x v="0"/>
    <s v="INDOPACOM"/>
    <x v="9"/>
    <x v="11"/>
    <n v="11"/>
    <s v="BL - Hosted"/>
    <s v="Chi Haotian"/>
    <m/>
    <s v="Defense Minister; CMC Member"/>
    <n v="8"/>
    <x v="2"/>
    <s v="KPA military foreign affairs delegation led by Sin Tong-Kun"/>
    <x v="0"/>
    <m/>
    <m/>
    <m/>
    <m/>
    <x v="12"/>
    <m/>
    <m/>
    <s v="KPP20021122000044"/>
    <m/>
  </r>
  <r>
    <x v="1"/>
    <x v="0"/>
    <s v="Asia"/>
    <s v="Strategic Partnership [战略伙伴关系]"/>
    <x v="1"/>
    <s v="CENTCOM"/>
    <x v="2"/>
    <x v="11"/>
    <n v="11"/>
    <s v="BL - Hosted"/>
    <s v="Liang Guanglie"/>
    <m/>
    <s v="GSD Commander; CMC Member"/>
    <n v="8"/>
    <x v="2"/>
    <s v="Chief of General Staff"/>
    <x v="0"/>
    <m/>
    <m/>
    <m/>
    <m/>
    <x v="12"/>
    <m/>
    <m/>
    <s v="CPP20021223000048"/>
    <m/>
  </r>
  <r>
    <x v="1"/>
    <x v="1"/>
    <s v="Asia"/>
    <s v="No Specific Relationship"/>
    <x v="0"/>
    <s v="INDOPACOM"/>
    <x v="39"/>
    <x v="11"/>
    <n v="11"/>
    <s v="BL - Hosted"/>
    <s v="Chi Haotian"/>
    <m/>
    <s v="Defense Minister; CMC Member"/>
    <n v="8"/>
    <x v="2"/>
    <s v="Chief of Air Force"/>
    <x v="0"/>
    <m/>
    <m/>
    <m/>
    <m/>
    <x v="12"/>
    <m/>
    <m/>
    <s v="CPP20021106000121"/>
    <m/>
  </r>
  <r>
    <x v="1"/>
    <x v="7"/>
    <s v="West Asia and Africa"/>
    <s v="No Specific Relationship"/>
    <x v="0"/>
    <s v="AFRICOM"/>
    <x v="15"/>
    <x v="11"/>
    <n v="11"/>
    <s v="BL - Hosted"/>
    <s v="Xiong Guangkai"/>
    <m/>
    <s v="GSD DCGS"/>
    <n v="6"/>
    <x v="2"/>
    <s v="Vice Admiral"/>
    <x v="0"/>
    <m/>
    <m/>
    <m/>
    <m/>
    <x v="12"/>
    <m/>
    <m/>
    <s v="CPP20021119000057"/>
    <m/>
  </r>
  <r>
    <x v="1"/>
    <x v="8"/>
    <s v="Europe and Central Asia"/>
    <s v="No Specific Relationship"/>
    <x v="5"/>
    <s v="EUCOM"/>
    <x v="70"/>
    <x v="11"/>
    <n v="11"/>
    <s v="BL - Hosted"/>
    <s v="Xiong Guangkai"/>
    <m/>
    <s v="GSD DCGS"/>
    <n v="6"/>
    <x v="2"/>
    <s v="Admiral Chief"/>
    <x v="0"/>
    <m/>
    <m/>
    <m/>
    <m/>
    <x v="12"/>
    <m/>
    <m/>
    <s v="CPP20021121000151"/>
    <m/>
  </r>
  <r>
    <x v="1"/>
    <x v="2"/>
    <s v="America and Oceania"/>
    <s v="No Specific Relationship"/>
    <x v="2"/>
    <s v="NORTHCOM"/>
    <x v="4"/>
    <x v="11"/>
    <n v="11"/>
    <s v="BL - Hosted"/>
    <s v="Chi Haotian"/>
    <m/>
    <s v="Defense Minister; CMC Member"/>
    <n v="8"/>
    <x v="2"/>
    <s v="Former Official"/>
    <x v="0"/>
    <m/>
    <m/>
    <m/>
    <m/>
    <x v="12"/>
    <m/>
    <m/>
    <s v="CPP20021122000080"/>
    <m/>
  </r>
  <r>
    <x v="1"/>
    <x v="7"/>
    <s v="West Asia and Africa"/>
    <s v="Comprehensive Strategic Cooperative Partnership [全面战略合作伙伴关系]"/>
    <x v="0"/>
    <s v="AFRICOM"/>
    <x v="71"/>
    <x v="11"/>
    <n v="12"/>
    <s v="BL - Hosted"/>
    <s v="Chi Haotian"/>
    <m/>
    <s v="Defense Minister; CMC Member"/>
    <n v="8"/>
    <x v="2"/>
    <s v="Defense Minister"/>
    <x v="0"/>
    <m/>
    <m/>
    <m/>
    <m/>
    <x v="12"/>
    <m/>
    <m/>
    <s v="CPP20021225000074"/>
    <m/>
  </r>
  <r>
    <x v="1"/>
    <x v="9"/>
    <s v="West Asia and Africa"/>
    <s v="No Specific Relationship"/>
    <x v="1"/>
    <s v="CENTCOM"/>
    <x v="72"/>
    <x v="11"/>
    <n v="12"/>
    <s v="BL - Hosted"/>
    <s v="Cao Gangchuan"/>
    <m/>
    <s v="CMC Vice Chairman; Defense Minister"/>
    <n v="10"/>
    <x v="2"/>
    <s v="COGS Alimohammad Al-Mumen"/>
    <x v="0"/>
    <m/>
    <m/>
    <m/>
    <m/>
    <x v="12"/>
    <m/>
    <m/>
    <s v="CPP20021220000085; Xinhua 12-20-2002"/>
    <m/>
  </r>
  <r>
    <x v="1"/>
    <x v="1"/>
    <s v="Asia"/>
    <s v="No Specific Relationship"/>
    <x v="0"/>
    <s v="INDOPACOM"/>
    <x v="52"/>
    <x v="11"/>
    <n v="12"/>
    <s v="BL - Hosted"/>
    <s v="Chi Haotian"/>
    <m/>
    <s v="Defense Minister; CMC Member"/>
    <n v="8"/>
    <x v="2"/>
    <s v="Defense Minister"/>
    <x v="0"/>
    <m/>
    <m/>
    <m/>
    <m/>
    <x v="12"/>
    <m/>
    <m/>
    <s v="CPP20021217000063"/>
    <m/>
  </r>
  <r>
    <x v="1"/>
    <x v="4"/>
    <s v="Asia"/>
    <s v="No Specific Relationship"/>
    <x v="0"/>
    <s v="INDOPACOM"/>
    <x v="53"/>
    <x v="11"/>
    <n v="12"/>
    <s v="BL - Hosted"/>
    <s v="Chi Haotian"/>
    <m/>
    <s v="Defense Minister; CMC Member"/>
    <n v="8"/>
    <x v="2"/>
    <s v="Defense Minister"/>
    <x v="0"/>
    <m/>
    <m/>
    <m/>
    <m/>
    <x v="12"/>
    <m/>
    <m/>
    <s v="CPP20021219000120"/>
    <m/>
  </r>
  <r>
    <x v="1"/>
    <x v="1"/>
    <s v="Asia"/>
    <s v="No Specific Relationship"/>
    <x v="0"/>
    <s v="INDOPACOM"/>
    <x v="1"/>
    <x v="11"/>
    <n v="12"/>
    <s v="BL - Hosted"/>
    <s v="Cao Gangchuan"/>
    <m/>
    <s v="CMC Vice Chairman; Defense Minister"/>
    <n v="10"/>
    <x v="2"/>
    <s v="COGS Thura Shwe Mann"/>
    <x v="0"/>
    <m/>
    <m/>
    <m/>
    <m/>
    <x v="12"/>
    <m/>
    <m/>
    <s v="CPP20021205000123; Xinhua 12-5-2002"/>
    <m/>
  </r>
  <r>
    <x v="1"/>
    <x v="7"/>
    <s v="West Asia and Africa"/>
    <s v="No Specific Relationship"/>
    <x v="0"/>
    <s v="AFRICOM"/>
    <x v="36"/>
    <x v="11"/>
    <n v="12"/>
    <s v="BL - Hosted"/>
    <s v="Chi Haotian"/>
    <m/>
    <s v="Defense Minister; CMC Member"/>
    <n v="8"/>
    <x v="2"/>
    <s v="Defense Minister"/>
    <x v="0"/>
    <m/>
    <m/>
    <m/>
    <m/>
    <x v="12"/>
    <m/>
    <m/>
    <s v="CPP20021226000094"/>
    <m/>
  </r>
  <r>
    <x v="1"/>
    <x v="8"/>
    <s v="Europe and Central Asia"/>
    <s v="No Specific Relationship"/>
    <x v="5"/>
    <s v="EUCOM"/>
    <x v="33"/>
    <x v="11"/>
    <n v="12"/>
    <s v="BL - Hosted"/>
    <s v="Cao Gangchuan"/>
    <m/>
    <s v="CMC Vice Chairman; Defense Minister"/>
    <n v="10"/>
    <x v="2"/>
    <s v="COGS Mihail Popescu"/>
    <x v="0"/>
    <m/>
    <m/>
    <m/>
    <m/>
    <x v="12"/>
    <m/>
    <m/>
    <s v="CPP20021210000061; Xinhua 12-10-2002"/>
    <m/>
  </r>
  <r>
    <x v="1"/>
    <x v="3"/>
    <s v="Europe and Central Asia"/>
    <s v="Strategic Partnership of Coordination [战略协作伙伴关系]"/>
    <x v="0"/>
    <s v="EUCOM"/>
    <x v="7"/>
    <x v="11"/>
    <n v="12"/>
    <s v="BL - Hosted"/>
    <s v="Chi Haotian"/>
    <m/>
    <s v="Defense Minister; CMC Member"/>
    <n v="8"/>
    <x v="2"/>
    <s v="Chief of General Staff"/>
    <x v="0"/>
    <m/>
    <m/>
    <m/>
    <m/>
    <x v="12"/>
    <m/>
    <m/>
    <s v="CPP20021217000127"/>
    <m/>
  </r>
  <r>
    <x v="1"/>
    <x v="6"/>
    <s v="Europe and Central Asia"/>
    <s v="No Specific Relationship"/>
    <x v="0"/>
    <s v="CENTCOM"/>
    <x v="55"/>
    <x v="11"/>
    <n v="12"/>
    <s v="BL - Hosted"/>
    <s v="Chi Haotian"/>
    <m/>
    <s v="Defense Minister; CMC Member"/>
    <n v="8"/>
    <x v="2"/>
    <s v="Vice Premier"/>
    <x v="0"/>
    <m/>
    <m/>
    <m/>
    <m/>
    <x v="12"/>
    <m/>
    <m/>
    <s v="CPP20021220000186"/>
    <m/>
  </r>
  <r>
    <x v="1"/>
    <x v="2"/>
    <s v="America and Oceania"/>
    <s v="No Specific Relationship"/>
    <x v="2"/>
    <s v="NORTHCOM"/>
    <x v="4"/>
    <x v="11"/>
    <n v="12"/>
    <s v="BL - Hosted"/>
    <s v="Liang Guanglie"/>
    <m/>
    <s v="GSD Commander; CMC Member"/>
    <n v="8"/>
    <x v="2"/>
    <s v="Deputy Secretary of State"/>
    <x v="0"/>
    <m/>
    <m/>
    <m/>
    <m/>
    <x v="12"/>
    <m/>
    <m/>
    <s v="CPP20021211000135"/>
    <m/>
  </r>
  <r>
    <x v="1"/>
    <x v="2"/>
    <s v="America and Oceania"/>
    <s v="No Specific Relationship"/>
    <x v="2"/>
    <s v="NORTHCOM"/>
    <x v="4"/>
    <x v="11"/>
    <n v="12"/>
    <s v="BL - Abroad"/>
    <s v="Xiong Guangkai"/>
    <m/>
    <s v="GSD DCGS"/>
    <n v="6"/>
    <x v="1"/>
    <s v="Admiral"/>
    <x v="0"/>
    <m/>
    <m/>
    <m/>
    <m/>
    <x v="12"/>
    <m/>
    <m/>
    <s v="CPP20021205000029"/>
    <m/>
  </r>
  <r>
    <x v="1"/>
    <x v="6"/>
    <s v="Europe and Central Asia"/>
    <s v="No Specific Relationship"/>
    <x v="0"/>
    <s v="CENTCOM"/>
    <x v="73"/>
    <x v="11"/>
    <n v="12"/>
    <s v="BL - Abroad"/>
    <s v="Chi Haotian"/>
    <m/>
    <s v="Defense Minister; CMC Member"/>
    <n v="8"/>
    <x v="1"/>
    <s v="Defense Minister"/>
    <x v="0"/>
    <m/>
    <m/>
    <m/>
    <m/>
    <x v="12"/>
    <m/>
    <m/>
    <s v="CPP20021224000019"/>
    <m/>
  </r>
  <r>
    <x v="0"/>
    <x v="8"/>
    <s v="Europe "/>
    <s v="No Specific Relationship"/>
    <x v="5"/>
    <s v="EUCOM"/>
    <x v="22"/>
    <x v="11"/>
    <m/>
    <s v="Port Call - Friendly Visit"/>
    <m/>
    <m/>
    <m/>
    <m/>
    <x v="0"/>
    <m/>
    <x v="0"/>
    <m/>
    <m/>
    <m/>
    <s v="NETF"/>
    <x v="12"/>
    <m/>
    <m/>
    <m/>
    <m/>
  </r>
  <r>
    <x v="1"/>
    <x v="8"/>
    <s v="Europe and Central Asia"/>
    <s v="No Specific Relationship"/>
    <x v="5"/>
    <s v="EUCOM"/>
    <x v="20"/>
    <x v="12"/>
    <n v="1"/>
    <s v="BL - Hosted"/>
    <s v="Liang Guanglie"/>
    <m/>
    <s v="GSD Commander; CMC Member"/>
    <n v="8"/>
    <x v="2"/>
    <s v="Army Chief of Staff"/>
    <x v="0"/>
    <m/>
    <m/>
    <m/>
    <m/>
    <x v="12"/>
    <m/>
    <m/>
    <s v="Defense White Paper Appendix"/>
    <m/>
  </r>
  <r>
    <x v="1"/>
    <x v="10"/>
    <s v="America and Oceania"/>
    <s v="Comprehensive Partnership [全面伙伴关系]"/>
    <x v="1"/>
    <s v="SOUTHCOM"/>
    <x v="62"/>
    <x v="12"/>
    <n v="2"/>
    <s v="BL - Abroad"/>
    <s v="Xiong Guangkai"/>
    <m/>
    <s v="GSD DCGS"/>
    <n v="6"/>
    <x v="1"/>
    <m/>
    <x v="0"/>
    <m/>
    <m/>
    <m/>
    <m/>
    <x v="12"/>
    <m/>
    <m/>
    <s v="Defense White Paper Appendix"/>
    <m/>
  </r>
  <r>
    <x v="1"/>
    <x v="10"/>
    <s v="America and Oceania"/>
    <s v="Strategic Partnership [战略伙伴关系]"/>
    <x v="0"/>
    <s v="SOUTHCOM"/>
    <x v="43"/>
    <x v="12"/>
    <n v="2"/>
    <s v="BL - Abroad"/>
    <s v="Xiong Guangkai"/>
    <m/>
    <s v="GSD DCGS"/>
    <n v="6"/>
    <x v="1"/>
    <m/>
    <x v="0"/>
    <m/>
    <m/>
    <m/>
    <m/>
    <x v="12"/>
    <m/>
    <m/>
    <s v="Defense White Paper Appendix"/>
    <m/>
  </r>
  <r>
    <x v="1"/>
    <x v="10"/>
    <s v="America and Oceania"/>
    <s v="No Specific Relationship"/>
    <x v="0"/>
    <s v="SOUTHCOM"/>
    <x v="66"/>
    <x v="12"/>
    <n v="2"/>
    <s v="BL - Abroad"/>
    <s v="Xiong Guangkai"/>
    <m/>
    <s v="GSD DCGS"/>
    <n v="6"/>
    <x v="1"/>
    <m/>
    <x v="0"/>
    <m/>
    <m/>
    <m/>
    <m/>
    <x v="12"/>
    <m/>
    <m/>
    <s v="Defense White Paper Appendix"/>
    <m/>
  </r>
  <r>
    <x v="1"/>
    <x v="9"/>
    <s v="West Asia and Africa"/>
    <s v="Strategic Cooperative Partnership [战略合作伙伴关系]"/>
    <x v="1"/>
    <s v="CENTCOM"/>
    <x v="24"/>
    <x v="12"/>
    <n v="2"/>
    <s v="BL - Abroad"/>
    <s v="Liu Shunyao"/>
    <m/>
    <s v="PLAAF Commander"/>
    <n v="8"/>
    <x v="1"/>
    <m/>
    <x v="0"/>
    <m/>
    <m/>
    <m/>
    <m/>
    <x v="12"/>
    <m/>
    <m/>
    <s v="Defense White Paper Appendix"/>
    <m/>
  </r>
  <r>
    <x v="1"/>
    <x v="7"/>
    <s v="West Asia and Africa"/>
    <s v="No Specific Relationship"/>
    <x v="0"/>
    <s v="AFRICOM"/>
    <x v="74"/>
    <x v="12"/>
    <n v="2"/>
    <s v="BL - Abroad"/>
    <s v="Liu Shunyao"/>
    <m/>
    <s v="PLAAF Commander"/>
    <n v="8"/>
    <x v="1"/>
    <m/>
    <x v="0"/>
    <m/>
    <m/>
    <m/>
    <m/>
    <x v="12"/>
    <m/>
    <m/>
    <s v="Defense White Paper Appendix"/>
    <m/>
  </r>
  <r>
    <x v="1"/>
    <x v="10"/>
    <s v="America and Oceania"/>
    <s v="No Specific Relationship"/>
    <x v="0"/>
    <s v="SOUTHCOM"/>
    <x v="49"/>
    <x v="12"/>
    <n v="3"/>
    <s v="BL - Abroad"/>
    <s v="Xiong Guangkai"/>
    <m/>
    <s v="GSD DCGS"/>
    <n v="6"/>
    <x v="1"/>
    <m/>
    <x v="0"/>
    <m/>
    <m/>
    <m/>
    <m/>
    <x v="12"/>
    <m/>
    <m/>
    <s v="Defense White Paper Appendix"/>
    <m/>
  </r>
  <r>
    <x v="1"/>
    <x v="4"/>
    <s v="Asia"/>
    <s v="Comprehensive Cooperative Partnership [全面合作伙伴关系]"/>
    <x v="3"/>
    <s v="INDOPACOM"/>
    <x v="25"/>
    <x v="12"/>
    <n v="3"/>
    <s v="BL - Abroad"/>
    <s v="Xiong Guangkai"/>
    <m/>
    <s v="GSD DCGS"/>
    <n v="6"/>
    <x v="1"/>
    <m/>
    <x v="0"/>
    <m/>
    <m/>
    <m/>
    <m/>
    <x v="12"/>
    <m/>
    <m/>
    <s v="Defense White Paper Appendix"/>
    <m/>
  </r>
  <r>
    <x v="1"/>
    <x v="10"/>
    <s v="America and Oceania"/>
    <s v="No Specific Relationship"/>
    <x v="0"/>
    <s v="SOUTHCOM"/>
    <x v="75"/>
    <x v="12"/>
    <n v="3"/>
    <s v="BL - Abroad"/>
    <s v="Xiong Guangkai"/>
    <m/>
    <s v="GSD DCGS"/>
    <n v="6"/>
    <x v="1"/>
    <m/>
    <x v="0"/>
    <m/>
    <m/>
    <m/>
    <m/>
    <x v="12"/>
    <m/>
    <m/>
    <s v="Defense White Paper Appendix"/>
    <m/>
  </r>
  <r>
    <x v="1"/>
    <x v="7"/>
    <s v="West Asia and Africa"/>
    <s v="No Specific Relationship"/>
    <x v="0"/>
    <s v="AFRICOM"/>
    <x v="76"/>
    <x v="12"/>
    <n v="4"/>
    <s v="BL - Abroad"/>
    <s v="Liu Yongzhi"/>
    <m/>
    <s v="PLAN Political Commissar"/>
    <n v="6"/>
    <x v="1"/>
    <m/>
    <x v="0"/>
    <m/>
    <m/>
    <m/>
    <m/>
    <x v="12"/>
    <m/>
    <m/>
    <s v="Defense White Paper Appendix"/>
    <m/>
  </r>
  <r>
    <x v="1"/>
    <x v="8"/>
    <s v="Europe and Central Asia"/>
    <s v="Comprehensive Cooperative Partnership [全面合作伙伴关系]"/>
    <x v="0"/>
    <s v="EUCOM"/>
    <x v="34"/>
    <x v="12"/>
    <n v="4"/>
    <s v="BL - Hosted"/>
    <s v="Li Jinai"/>
    <m/>
    <s v="GAD Director; CMC Member"/>
    <n v="8"/>
    <x v="2"/>
    <s v="COGS "/>
    <x v="0"/>
    <m/>
    <m/>
    <m/>
    <m/>
    <x v="12"/>
    <m/>
    <m/>
    <s v="Defense White Paper Appendix"/>
    <m/>
  </r>
  <r>
    <x v="1"/>
    <x v="0"/>
    <s v="Asia"/>
    <s v="Comprehensive Cooperative Partnership [全面合作伙伴关系]"/>
    <x v="0"/>
    <s v="INDOPACOM"/>
    <x v="6"/>
    <x v="12"/>
    <n v="4"/>
    <s v="BL - Hosted"/>
    <s v="Cao Gangchuan"/>
    <m/>
    <s v="CMC Vice Chairman; Defense Minister"/>
    <n v="10"/>
    <x v="2"/>
    <s v="Defense Minister"/>
    <x v="0"/>
    <m/>
    <m/>
    <m/>
    <m/>
    <x v="12"/>
    <m/>
    <m/>
    <s v="Defense White Paper Appendix"/>
    <s v="Cao was defense minister at time of this visit"/>
  </r>
  <r>
    <x v="1"/>
    <x v="2"/>
    <s v="America and Oceania"/>
    <s v="Strategic Cooperative Partnership [战略合作伙伴关系]"/>
    <x v="0"/>
    <s v="NORTHCOM"/>
    <x v="77"/>
    <x v="12"/>
    <n v="4"/>
    <s v="BL - Abroad"/>
    <s v="Liu Yongzhi"/>
    <m/>
    <s v="PLAN Political Commissar"/>
    <n v="6"/>
    <x v="1"/>
    <m/>
    <x v="0"/>
    <m/>
    <m/>
    <m/>
    <m/>
    <x v="12"/>
    <m/>
    <m/>
    <s v="Defense White Paper Appendix"/>
    <m/>
  </r>
  <r>
    <x v="1"/>
    <x v="4"/>
    <s v="Asia"/>
    <s v="No Specific Relationship"/>
    <x v="0"/>
    <s v="INDOPACOM"/>
    <x v="53"/>
    <x v="12"/>
    <n v="4"/>
    <s v="BL - Hosted"/>
    <s v="Xiong Guangkai"/>
    <m/>
    <s v="GSD DCGS"/>
    <n v="6"/>
    <x v="2"/>
    <s v="Chief of General Department of Border"/>
    <x v="0"/>
    <m/>
    <m/>
    <m/>
    <m/>
    <x v="12"/>
    <m/>
    <m/>
    <s v="Defense White Paper Appendix"/>
    <m/>
  </r>
  <r>
    <x v="1"/>
    <x v="4"/>
    <s v="Asia"/>
    <s v="Bilateral Defense Treaty"/>
    <x v="0"/>
    <s v="INDOPACOM"/>
    <x v="9"/>
    <x v="12"/>
    <n v="4"/>
    <s v="BL - Hosted"/>
    <s v="Guo Boxiong"/>
    <m/>
    <s v="CMC Vice Chairman"/>
    <n v="10"/>
    <x v="2"/>
    <s v="First Vice-Chairman of DPRK National Defense Commission "/>
    <x v="0"/>
    <m/>
    <m/>
    <m/>
    <m/>
    <x v="12"/>
    <m/>
    <m/>
    <s v="Defense White Paper Appendix"/>
    <m/>
  </r>
  <r>
    <x v="1"/>
    <x v="8"/>
    <s v="Europe and Central Asia"/>
    <s v="No Specific Relationship"/>
    <x v="0"/>
    <s v="EUCOM"/>
    <x v="78"/>
    <x v="12"/>
    <n v="4"/>
    <s v="BL - Hosted"/>
    <s v="Xiong Guangkai"/>
    <m/>
    <s v="GSD DCGS"/>
    <n v="6"/>
    <x v="2"/>
    <s v="Defense Minister"/>
    <x v="0"/>
    <m/>
    <m/>
    <m/>
    <m/>
    <x v="12"/>
    <m/>
    <m/>
    <s v="Defense White Paper Appendix"/>
    <m/>
  </r>
  <r>
    <x v="1"/>
    <x v="8"/>
    <s v="Europe and Central Asia"/>
    <s v="No Specific Relationship"/>
    <x v="5"/>
    <s v="EUCOM"/>
    <x v="79"/>
    <x v="12"/>
    <n v="5"/>
    <s v="BL - Hosted"/>
    <s v="Cao Gangchuan"/>
    <m/>
    <s v="CMC Vice Chairman; Defense Minister"/>
    <n v="10"/>
    <x v="2"/>
    <s v="Defense Minister"/>
    <x v="0"/>
    <m/>
    <m/>
    <m/>
    <m/>
    <x v="12"/>
    <m/>
    <m/>
    <s v="Defense White Paper Appendix"/>
    <m/>
  </r>
  <r>
    <x v="1"/>
    <x v="2"/>
    <s v="America and Oceania"/>
    <s v="Comprehensive Partnership [全面伙伴关系]"/>
    <x v="5"/>
    <s v="NORTHCOM"/>
    <x v="17"/>
    <x v="12"/>
    <n v="5"/>
    <s v="BL - Hosted"/>
    <s v="Cao Gangchuan"/>
    <m/>
    <s v="CMC Vice Chairman; Defense Minister"/>
    <n v="10"/>
    <x v="2"/>
    <s v="Defense Minister"/>
    <x v="0"/>
    <m/>
    <m/>
    <m/>
    <m/>
    <x v="12"/>
    <m/>
    <m/>
    <s v="Defense White Paper Appendix"/>
    <m/>
  </r>
  <r>
    <x v="1"/>
    <x v="10"/>
    <s v="America and Oceania"/>
    <s v="No Specific Relationship"/>
    <x v="0"/>
    <s v="SOUTHCOM"/>
    <x v="66"/>
    <x v="12"/>
    <n v="5"/>
    <s v="BL - Hosted"/>
    <s v="Cao Gangchuan"/>
    <m/>
    <s v="CMC Vice Chairman; Defense Minister"/>
    <n v="10"/>
    <x v="2"/>
    <s v="CinC Navy"/>
    <x v="0"/>
    <m/>
    <m/>
    <m/>
    <m/>
    <x v="12"/>
    <m/>
    <m/>
    <s v="Defense White Paper Appendix"/>
    <m/>
  </r>
  <r>
    <x v="1"/>
    <x v="7"/>
    <s v="West Asia and Africa"/>
    <s v="No Specific Relationship"/>
    <x v="0"/>
    <s v="AFRICOM"/>
    <x v="28"/>
    <x v="12"/>
    <n v="5"/>
    <s v="BL - Hosted"/>
    <s v="Cao Gangchuan"/>
    <m/>
    <s v="CMC Vice Chairman; Defense Minister"/>
    <n v="10"/>
    <x v="2"/>
    <s v="Minister Delegate in the Presidency in Charge of National Defense"/>
    <x v="0"/>
    <m/>
    <m/>
    <m/>
    <m/>
    <x v="12"/>
    <m/>
    <m/>
    <s v="Defense White Paper Appendix"/>
    <m/>
  </r>
  <r>
    <x v="1"/>
    <x v="8"/>
    <s v="Europe and Central Asia"/>
    <s v="Comprehensive Partnership [全面伙伴关系]"/>
    <x v="5"/>
    <s v="EUCOM"/>
    <x v="22"/>
    <x v="12"/>
    <n v="5"/>
    <s v="BL - Hosted"/>
    <s v="Cao Gangchuan"/>
    <m/>
    <s v="CMC Vice Chairman; Defense Minister"/>
    <n v="10"/>
    <x v="2"/>
    <s v="Defense Minister"/>
    <x v="0"/>
    <m/>
    <m/>
    <m/>
    <m/>
    <x v="12"/>
    <m/>
    <m/>
    <s v="Defense White Paper Appendix"/>
    <m/>
  </r>
  <r>
    <x v="1"/>
    <x v="8"/>
    <s v="Europe and Central Asia"/>
    <s v="Comprehensive Partnership [全面伙伴关系]"/>
    <x v="5"/>
    <s v="EUCOM"/>
    <x v="22"/>
    <x v="12"/>
    <n v="5"/>
    <s v="BL - Abroad"/>
    <s v="Xiong Guangkai"/>
    <m/>
    <s v="GSD DCGS"/>
    <n v="6"/>
    <x v="1"/>
    <m/>
    <x v="0"/>
    <m/>
    <m/>
    <m/>
    <m/>
    <x v="12"/>
    <m/>
    <m/>
    <s v="Defense White Paper Appendix"/>
    <m/>
  </r>
  <r>
    <x v="1"/>
    <x v="6"/>
    <s v="Europe and Central Asia"/>
    <s v="Comprehensive Cooperative Partnership [全面合作伙伴关系]"/>
    <x v="0"/>
    <s v="CENTCOM"/>
    <x v="30"/>
    <x v="12"/>
    <n v="5"/>
    <s v="BL - Hosted"/>
    <s v="Cao Gangchuan"/>
    <m/>
    <s v="CMC Vice Chairman; Defense Minister"/>
    <n v="10"/>
    <x v="2"/>
    <m/>
    <x v="0"/>
    <m/>
    <m/>
    <m/>
    <m/>
    <x v="12"/>
    <m/>
    <m/>
    <s v="Defense White Paper Appendix"/>
    <m/>
  </r>
  <r>
    <x v="1"/>
    <x v="6"/>
    <s v="Europe and Central Asia"/>
    <s v="No Specific Relationship"/>
    <x v="0"/>
    <s v="CENTCOM"/>
    <x v="31"/>
    <x v="12"/>
    <n v="5"/>
    <s v="BL - Hosted"/>
    <s v="Cao Gangchuan"/>
    <m/>
    <s v="CMC Vice Chairman; Defense Minister"/>
    <n v="10"/>
    <x v="2"/>
    <m/>
    <x v="0"/>
    <m/>
    <m/>
    <m/>
    <m/>
    <x v="12"/>
    <m/>
    <m/>
    <s v="Defense White Paper Appendix"/>
    <m/>
  </r>
  <r>
    <x v="1"/>
    <x v="7"/>
    <s v="West Asia and Africa"/>
    <s v="No Specific Relationship"/>
    <x v="1"/>
    <s v="AFRICOM"/>
    <x v="27"/>
    <x v="12"/>
    <n v="5"/>
    <s v="BL - Abroad"/>
    <s v="Liang Guanglie"/>
    <m/>
    <s v="GSD Commander; CMC Member"/>
    <n v="8"/>
    <x v="1"/>
    <m/>
    <x v="0"/>
    <m/>
    <m/>
    <m/>
    <m/>
    <x v="12"/>
    <m/>
    <m/>
    <s v="Defense White Paper Appendix"/>
    <m/>
  </r>
  <r>
    <x v="1"/>
    <x v="3"/>
    <s v="Europe and Central Asia"/>
    <s v="Strategic Partnership of Coordination [战略协作伙伴关系]"/>
    <x v="0"/>
    <s v="EUCOM"/>
    <x v="7"/>
    <x v="12"/>
    <n v="5"/>
    <s v="BL - Hosted"/>
    <s v="Cao Gangchuan"/>
    <m/>
    <s v="CMC Vice Chairman; Defense Minister"/>
    <n v="10"/>
    <x v="2"/>
    <s v="Russian Ambassador to China"/>
    <x v="0"/>
    <m/>
    <m/>
    <m/>
    <m/>
    <x v="12"/>
    <m/>
    <m/>
    <s v="Defense White Paper Appendix"/>
    <m/>
  </r>
  <r>
    <x v="1"/>
    <x v="3"/>
    <s v="Europe and Central Asia"/>
    <s v="Strategic Partnership of Coordination [战略协作伙伴关系]"/>
    <x v="0"/>
    <s v="EUCOM"/>
    <x v="7"/>
    <x v="12"/>
    <n v="5"/>
    <s v="BL - Abroad"/>
    <s v="Cao Gangchuan"/>
    <m/>
    <s v="CMC Vice Chairman; Defense Minister"/>
    <n v="8"/>
    <x v="1"/>
    <m/>
    <x v="0"/>
    <m/>
    <m/>
    <m/>
    <m/>
    <x v="12"/>
    <m/>
    <m/>
    <s v="Defense White Paper Appendix"/>
    <m/>
  </r>
  <r>
    <x v="1"/>
    <x v="6"/>
    <s v="Europe and Central Asia"/>
    <s v="Member"/>
    <x v="0"/>
    <s v="CENTCOM"/>
    <x v="14"/>
    <x v="12"/>
    <n v="5"/>
    <s v="ML - Abroad"/>
    <s v="Cao Gangchuan"/>
    <m/>
    <s v="CMC Vice Chairman; Defense Minister"/>
    <n v="8"/>
    <x v="2"/>
    <s v="Third official meeting of the SCO Ministers' of Defense in Moscow; Other countries: Kazakhstan, Kyrgyztan, Russia, Tajikistan, Uzbekistan"/>
    <x v="0"/>
    <m/>
    <m/>
    <m/>
    <m/>
    <x v="12"/>
    <m/>
    <m/>
    <s v="http://cc.pacforum.org/2003/10/russian-chinese-oil-politik/"/>
    <m/>
  </r>
  <r>
    <x v="1"/>
    <x v="7"/>
    <s v="West Asia and Africa"/>
    <s v="No Specific Relationship"/>
    <x v="0"/>
    <s v="AFRICOM"/>
    <x v="15"/>
    <x v="12"/>
    <n v="5"/>
    <s v="BL - Abroad"/>
    <s v="Liang Guanglie"/>
    <m/>
    <s v="GSD Commander; CMC Member"/>
    <n v="8"/>
    <x v="1"/>
    <m/>
    <x v="0"/>
    <m/>
    <m/>
    <m/>
    <m/>
    <x v="12"/>
    <m/>
    <m/>
    <s v="Defense White Paper Appendix"/>
    <m/>
  </r>
  <r>
    <x v="1"/>
    <x v="6"/>
    <s v="Europe and Central Asia"/>
    <s v="No Specific Relationship"/>
    <x v="0"/>
    <s v="CENTCOM"/>
    <x v="60"/>
    <x v="12"/>
    <n v="5"/>
    <s v="BL - Hosted"/>
    <s v="Cao Gangchuan"/>
    <m/>
    <s v="CMC Vice Chairman; Defense Minister"/>
    <n v="10"/>
    <x v="2"/>
    <m/>
    <x v="0"/>
    <m/>
    <m/>
    <m/>
    <m/>
    <x v="12"/>
    <m/>
    <m/>
    <s v="Defense White Paper Appendix"/>
    <m/>
  </r>
  <r>
    <x v="1"/>
    <x v="7"/>
    <s v="West Asia and Africa"/>
    <s v="No Specific Relationship"/>
    <x v="0"/>
    <s v="AFRICOM"/>
    <x v="16"/>
    <x v="12"/>
    <n v="5"/>
    <s v="BL - Abroad"/>
    <s v="Liang Guanglie"/>
    <m/>
    <s v="GSD Commander; CMC Member"/>
    <n v="8"/>
    <x v="1"/>
    <m/>
    <x v="0"/>
    <m/>
    <m/>
    <m/>
    <m/>
    <x v="12"/>
    <m/>
    <m/>
    <s v="Defense White Paper Appendix"/>
    <m/>
  </r>
  <r>
    <x v="1"/>
    <x v="2"/>
    <s v="America and Oceania"/>
    <s v="No Specific Relationship"/>
    <x v="2"/>
    <s v="NORTHCOM"/>
    <x v="4"/>
    <x v="12"/>
    <n v="5"/>
    <s v="BL - Abroad"/>
    <s v="Xu Caihou"/>
    <m/>
    <s v="GPD Director; CMC Member"/>
    <n v="8"/>
    <x v="1"/>
    <m/>
    <x v="0"/>
    <m/>
    <m/>
    <m/>
    <m/>
    <x v="12"/>
    <m/>
    <m/>
    <s v="Defense White Paper Appendix"/>
    <m/>
  </r>
  <r>
    <x v="1"/>
    <x v="7"/>
    <s v="West Asia and Africa"/>
    <s v="No Specific Relationship"/>
    <x v="0"/>
    <s v="AFRICOM"/>
    <x v="61"/>
    <x v="12"/>
    <n v="5"/>
    <s v="BL - Hosted"/>
    <s v="Cao Gangchuan"/>
    <m/>
    <s v="CMC Vice Chairman; Defense Minister"/>
    <n v="10"/>
    <x v="2"/>
    <s v="Permanent Secretary of Ministry of Defense"/>
    <x v="0"/>
    <m/>
    <m/>
    <m/>
    <m/>
    <x v="12"/>
    <m/>
    <m/>
    <s v="Defense White Paper Appendix"/>
    <m/>
  </r>
  <r>
    <x v="1"/>
    <x v="7"/>
    <s v="West Asia and Africa"/>
    <s v="No Specific Relationship"/>
    <x v="0"/>
    <s v="AFRICOM"/>
    <x v="80"/>
    <x v="12"/>
    <n v="7"/>
    <s v="BL - Hosted"/>
    <s v="Liang Guanglie"/>
    <m/>
    <s v="GSD Commander; CMC Member"/>
    <n v="8"/>
    <x v="2"/>
    <s v="COGS Guinean Armed Forces"/>
    <x v="0"/>
    <m/>
    <m/>
    <m/>
    <m/>
    <x v="12"/>
    <m/>
    <m/>
    <s v="Defense White Paper Appendix"/>
    <m/>
  </r>
  <r>
    <x v="1"/>
    <x v="8"/>
    <s v="Europe and Central Asia"/>
    <s v="No Specific Relationship"/>
    <x v="5"/>
    <s v="EUCOM"/>
    <x v="58"/>
    <x v="12"/>
    <n v="8"/>
    <s v="BL - Abroad"/>
    <s v="Chi Wanchun"/>
    <m/>
    <s v="GAD Political Commissar"/>
    <n v="6"/>
    <x v="1"/>
    <m/>
    <x v="0"/>
    <m/>
    <m/>
    <m/>
    <m/>
    <x v="12"/>
    <m/>
    <m/>
    <s v="Defense White Paper Appendix"/>
    <m/>
  </r>
  <r>
    <x v="1"/>
    <x v="9"/>
    <s v="West Asia and Africa"/>
    <s v="Strategic Cooperative Partnership [战略合作伙伴关系]"/>
    <x v="1"/>
    <s v="CENTCOM"/>
    <x v="24"/>
    <x v="12"/>
    <n v="8"/>
    <s v="BL - Abroad"/>
    <s v="Liu Yongzhi"/>
    <m/>
    <s v="AMS Political Commissar"/>
    <n v="6"/>
    <x v="1"/>
    <m/>
    <x v="0"/>
    <m/>
    <m/>
    <m/>
    <m/>
    <x v="12"/>
    <m/>
    <m/>
    <s v="Defense White Paper Appendix"/>
    <m/>
  </r>
  <r>
    <x v="1"/>
    <x v="1"/>
    <s v="Asia"/>
    <s v="No Specific Relationship"/>
    <x v="0"/>
    <s v="INDOPACOM"/>
    <x v="1"/>
    <x v="12"/>
    <n v="8"/>
    <s v="BL - Hosted"/>
    <s v="Cao Gangchuan"/>
    <m/>
    <s v="CMC Vice Chairman; Defense Minister"/>
    <n v="10"/>
    <x v="2"/>
    <s v="Vice Chairman of State Peace and Development Council, Deputy CinC Defense Services, CinC Army"/>
    <x v="0"/>
    <m/>
    <m/>
    <m/>
    <m/>
    <x v="12"/>
    <m/>
    <m/>
    <s v="Defense White Paper Appendix"/>
    <m/>
  </r>
  <r>
    <x v="1"/>
    <x v="4"/>
    <s v="Asia"/>
    <s v="Bilateral Defense Treaty"/>
    <x v="0"/>
    <s v="INDOPACOM"/>
    <x v="9"/>
    <x v="12"/>
    <n v="8"/>
    <s v="BL - Abroad"/>
    <s v="Xu Caihou"/>
    <m/>
    <s v="GPD Director; CMC Member"/>
    <n v="8"/>
    <x v="1"/>
    <s v="Vice Chairman of DPRK Defense Commission"/>
    <x v="0"/>
    <m/>
    <m/>
    <m/>
    <m/>
    <x v="12"/>
    <m/>
    <m/>
    <s v="Defense White Paper Appendix"/>
    <m/>
  </r>
  <r>
    <x v="1"/>
    <x v="10"/>
    <s v="America and Oceania"/>
    <s v="No Specific Relationship"/>
    <x v="0"/>
    <s v="SOUTHCOM"/>
    <x v="54"/>
    <x v="12"/>
    <n v="8"/>
    <s v="BL - Hosted"/>
    <s v="Liang Guanglie"/>
    <m/>
    <s v="GSD Commander; CMC Member"/>
    <n v="8"/>
    <x v="2"/>
    <s v="Chairman JCS"/>
    <x v="0"/>
    <m/>
    <m/>
    <m/>
    <m/>
    <x v="12"/>
    <m/>
    <m/>
    <s v="Defense White Paper Appendix"/>
    <m/>
  </r>
  <r>
    <x v="1"/>
    <x v="8"/>
    <s v="Europe and Central Asia"/>
    <s v="No Specific Relationship"/>
    <x v="5"/>
    <s v="EUCOM"/>
    <x v="59"/>
    <x v="12"/>
    <n v="8"/>
    <s v="BL - Abroad"/>
    <s v="Chi Wanchun"/>
    <m/>
    <s v="GAD Political Commissar"/>
    <n v="6"/>
    <x v="1"/>
    <m/>
    <x v="0"/>
    <m/>
    <m/>
    <m/>
    <m/>
    <x v="12"/>
    <m/>
    <m/>
    <s v="Defense White Paper Appendix"/>
    <m/>
  </r>
  <r>
    <x v="2"/>
    <x v="6"/>
    <s v="Europe and Central Asia"/>
    <s v="Member"/>
    <x v="0"/>
    <s v="CENTCOM"/>
    <x v="14"/>
    <x v="12"/>
    <n v="8"/>
    <s v="Military Exercise - Multilateral"/>
    <m/>
    <m/>
    <m/>
    <m/>
    <x v="0"/>
    <m/>
    <x v="1"/>
    <s v="Coalition 2003"/>
    <s v="Army"/>
    <s v="Exercise took place on August 6-10 in the Semipalatinsk Region in Kazakhstan and on August 11-12 in China's Xinjiang region.  NOTE: PLA sends observers to Kazakhstan and only deploys forces during the Xinjiang phase. More than 1300 troops, aircraft, artillery and armored vehicles"/>
    <m/>
    <x v="12"/>
    <m/>
    <m/>
    <s v="de Haas Journal of Slavic Military Studies 29:3 (2016)"/>
    <m/>
  </r>
  <r>
    <x v="1"/>
    <x v="8"/>
    <s v="Europe and Central Asia"/>
    <s v="No Specific Relationship"/>
    <x v="5"/>
    <s v="EUCOM"/>
    <x v="40"/>
    <x v="12"/>
    <n v="8"/>
    <s v="BL - Abroad"/>
    <s v="Chi Wanchun"/>
    <m/>
    <s v="GAD Political Commissar"/>
    <n v="6"/>
    <x v="1"/>
    <m/>
    <x v="0"/>
    <m/>
    <m/>
    <m/>
    <m/>
    <x v="12"/>
    <m/>
    <m/>
    <s v="Defense White Paper Appendix"/>
    <m/>
  </r>
  <r>
    <x v="1"/>
    <x v="5"/>
    <s v="America and Oceania"/>
    <s v="No Specific Relationship"/>
    <x v="4"/>
    <s v="INDOPACOM"/>
    <x v="12"/>
    <x v="12"/>
    <n v="9"/>
    <s v="BL - Hosted"/>
    <s v="Xiong Guangkai"/>
    <m/>
    <s v="GSD DCGS"/>
    <n v="6"/>
    <x v="2"/>
    <s v="Defense Minister"/>
    <x v="0"/>
    <m/>
    <m/>
    <m/>
    <m/>
    <x v="12"/>
    <m/>
    <m/>
    <s v="https://dlib.eastview.com/browse/doc/14643704"/>
    <m/>
  </r>
  <r>
    <x v="1"/>
    <x v="8"/>
    <s v="Europe and Central Asia"/>
    <s v="Comprehensive Cooperative Partnership [全面合作伙伴关系]"/>
    <x v="0"/>
    <s v="EUCOM"/>
    <x v="34"/>
    <x v="12"/>
    <n v="9"/>
    <s v="BL - Abroad"/>
    <s v="Xu Caihou"/>
    <m/>
    <s v="GPD Director; CMC Member"/>
    <n v="8"/>
    <x v="1"/>
    <m/>
    <x v="0"/>
    <m/>
    <m/>
    <m/>
    <m/>
    <x v="12"/>
    <m/>
    <m/>
    <s v="Defense White Paper Appendix"/>
    <m/>
  </r>
  <r>
    <x v="1"/>
    <x v="1"/>
    <s v="Asia"/>
    <s v="No Specific Relationship"/>
    <x v="0"/>
    <s v="INDOPACOM"/>
    <x v="44"/>
    <x v="12"/>
    <n v="9"/>
    <s v="BL - Abroad"/>
    <s v="Liang Guanglie"/>
    <m/>
    <s v="GSD Commander; CMC Member"/>
    <n v="8"/>
    <x v="1"/>
    <m/>
    <x v="0"/>
    <m/>
    <m/>
    <m/>
    <m/>
    <x v="12"/>
    <m/>
    <m/>
    <s v="Defense White Paper Appendix"/>
    <m/>
  </r>
  <r>
    <x v="1"/>
    <x v="8"/>
    <s v="Europe and Central Asia"/>
    <s v="No Specific Relationship"/>
    <x v="5"/>
    <s v="EUCOM"/>
    <x v="35"/>
    <x v="12"/>
    <n v="9"/>
    <s v="BL - Hosted"/>
    <s v="Cao Gangchuan"/>
    <m/>
    <s v="CMC Vice Chairman; Defense Minister"/>
    <n v="10"/>
    <x v="2"/>
    <s v="Vice-Premier and concurrent Defense Minister"/>
    <x v="0"/>
    <m/>
    <m/>
    <m/>
    <m/>
    <x v="12"/>
    <m/>
    <m/>
    <s v="Defense White Paper Appendix"/>
    <m/>
  </r>
  <r>
    <x v="1"/>
    <x v="8"/>
    <s v="Europe and Central Asia"/>
    <s v="No Specific Relationship"/>
    <x v="0"/>
    <s v="EUCOM"/>
    <x v="81"/>
    <x v="12"/>
    <n v="9"/>
    <s v="BL - Abroad"/>
    <s v="Xiong Guangkai"/>
    <m/>
    <s v="GSD DCGS"/>
    <n v="6"/>
    <x v="1"/>
    <m/>
    <x v="0"/>
    <m/>
    <m/>
    <m/>
    <m/>
    <x v="12"/>
    <m/>
    <m/>
    <s v="Defense White Paper Appendix"/>
    <m/>
  </r>
  <r>
    <x v="1"/>
    <x v="8"/>
    <s v="Europe and Central Asia"/>
    <s v="Comprehensive Partnership [全面伙伴关系]"/>
    <x v="5"/>
    <s v="EUCOM"/>
    <x v="22"/>
    <x v="12"/>
    <n v="9"/>
    <s v="BL - Hosted"/>
    <s v="Liang Guanglie"/>
    <m/>
    <s v="GSD Commander; CMC Member"/>
    <n v="8"/>
    <x v="2"/>
    <s v="Chief of Staff Armed Forces"/>
    <x v="0"/>
    <m/>
    <m/>
    <m/>
    <m/>
    <x v="12"/>
    <m/>
    <m/>
    <s v="Defense White Paper Appendix"/>
    <m/>
  </r>
  <r>
    <x v="1"/>
    <x v="8"/>
    <s v="Europe and Central Asia"/>
    <s v="No Specific Relationship"/>
    <x v="5"/>
    <s v="EUCOM"/>
    <x v="29"/>
    <x v="12"/>
    <n v="9"/>
    <s v="BL - Abroad"/>
    <s v="Xiong Guangkai"/>
    <m/>
    <s v="GSD DCGS"/>
    <n v="6"/>
    <x v="1"/>
    <m/>
    <x v="0"/>
    <m/>
    <m/>
    <m/>
    <m/>
    <x v="12"/>
    <m/>
    <m/>
    <s v="Defense White Paper Appendix"/>
    <m/>
  </r>
  <r>
    <x v="1"/>
    <x v="8"/>
    <s v="Europe and Central Asia"/>
    <s v="No Specific Relationship"/>
    <x v="5"/>
    <s v="EUCOM"/>
    <x v="82"/>
    <x v="12"/>
    <n v="9"/>
    <s v="BL - Abroad"/>
    <s v="Xu Caihou"/>
    <m/>
    <s v="GPD Director; CMC Member"/>
    <n v="8"/>
    <x v="1"/>
    <m/>
    <x v="0"/>
    <m/>
    <m/>
    <m/>
    <m/>
    <x v="12"/>
    <m/>
    <m/>
    <s v="Defense White Paper Appendix"/>
    <m/>
  </r>
  <r>
    <x v="1"/>
    <x v="8"/>
    <s v="Europe and Central Asia"/>
    <s v="No Specific Relationship"/>
    <x v="5"/>
    <s v="EUCOM"/>
    <x v="20"/>
    <x v="12"/>
    <n v="9"/>
    <s v="BL - Hosted"/>
    <s v="Cao Gangchuan"/>
    <m/>
    <s v="CMC Vice Chairman; Defense Minister"/>
    <n v="10"/>
    <x v="2"/>
    <s v="Vice Defense Minister"/>
    <x v="0"/>
    <m/>
    <m/>
    <m/>
    <m/>
    <x v="12"/>
    <m/>
    <m/>
    <s v="Defense White Paper Appendix"/>
    <m/>
  </r>
  <r>
    <x v="1"/>
    <x v="4"/>
    <s v="Asia"/>
    <s v="Partnership of Friendship and Cooperation for Peace and Development [致力于和平发展的友好合作关系]"/>
    <x v="3"/>
    <s v="INDOPACOM"/>
    <x v="83"/>
    <x v="12"/>
    <n v="9"/>
    <s v="BL - Hosted"/>
    <s v="Cao Gangchuan"/>
    <m/>
    <s v="CMC Vice Chairman; Defense Minister"/>
    <n v="10"/>
    <x v="2"/>
    <s v="Director-General of JDA"/>
    <x v="0"/>
    <m/>
    <m/>
    <m/>
    <m/>
    <x v="12"/>
    <m/>
    <m/>
    <s v="Defense White Paper Appendix"/>
    <m/>
  </r>
  <r>
    <x v="1"/>
    <x v="1"/>
    <s v="Asia"/>
    <s v="Strategic Cooperative Partnership [战略合作伙伴关系]"/>
    <x v="0"/>
    <s v="INDOPACOM"/>
    <x v="10"/>
    <x v="12"/>
    <n v="9"/>
    <s v="BL - Abroad"/>
    <s v="Liang Guanglie"/>
    <m/>
    <s v="GSD Commander; CMC Member"/>
    <n v="8"/>
    <x v="1"/>
    <m/>
    <x v="0"/>
    <m/>
    <m/>
    <m/>
    <m/>
    <x v="12"/>
    <m/>
    <m/>
    <s v="Defense White Paper Appendix"/>
    <m/>
  </r>
  <r>
    <x v="1"/>
    <x v="2"/>
    <s v="America and Oceania"/>
    <s v="Strategic Cooperative Partnership [战略合作伙伴关系]"/>
    <x v="0"/>
    <s v="NORTHCOM"/>
    <x v="77"/>
    <x v="12"/>
    <n v="9"/>
    <s v="BL - Abroad"/>
    <s v="Xu Caihou"/>
    <m/>
    <s v="GPD Director; CMC Member"/>
    <n v="8"/>
    <x v="1"/>
    <m/>
    <x v="0"/>
    <m/>
    <m/>
    <m/>
    <m/>
    <x v="12"/>
    <m/>
    <m/>
    <s v="Defense White Paper Appendix"/>
    <m/>
  </r>
  <r>
    <x v="1"/>
    <x v="7"/>
    <s v="West Asia and Africa"/>
    <s v="No Specific Relationship"/>
    <x v="0"/>
    <s v="AFRICOM"/>
    <x v="84"/>
    <x v="12"/>
    <n v="9"/>
    <s v="BL - Hosted"/>
    <s v="Cao Gangchuan"/>
    <m/>
    <s v="CMC Vice Chairman; Defense Minister"/>
    <n v="10"/>
    <x v="2"/>
    <s v="Minster of Veterans Affairs"/>
    <x v="0"/>
    <m/>
    <m/>
    <m/>
    <m/>
    <x v="12"/>
    <m/>
    <m/>
    <s v="Defense White Paper Appendix"/>
    <m/>
  </r>
  <r>
    <x v="1"/>
    <x v="0"/>
    <s v="Asia"/>
    <s v="Strategic Partnership [战略伙伴关系]"/>
    <x v="1"/>
    <s v="CENTCOM"/>
    <x v="2"/>
    <x v="12"/>
    <n v="9"/>
    <s v="BL - Abroad"/>
    <s v="Liang Guanglie"/>
    <m/>
    <s v="GSD Commander; CMC Member"/>
    <n v="8"/>
    <x v="1"/>
    <m/>
    <x v="0"/>
    <m/>
    <m/>
    <m/>
    <m/>
    <x v="12"/>
    <m/>
    <m/>
    <s v="Defense White Paper Appendix"/>
    <m/>
  </r>
  <r>
    <x v="1"/>
    <x v="7"/>
    <s v="West Asia and Africa"/>
    <s v="No Specific Relationship"/>
    <x v="0"/>
    <s v="AFRICOM"/>
    <x v="16"/>
    <x v="12"/>
    <n v="9"/>
    <s v="BL - Hosted"/>
    <s v="Cao Gangchuan"/>
    <m/>
    <s v="CMC Vice Chairman; Defense Minister"/>
    <n v="10"/>
    <x v="2"/>
    <s v="Defense Minister"/>
    <x v="0"/>
    <m/>
    <m/>
    <m/>
    <m/>
    <x v="12"/>
    <m/>
    <m/>
    <s v="Defense White Paper Appendix"/>
    <m/>
  </r>
  <r>
    <x v="1"/>
    <x v="7"/>
    <s v="West Asia and Africa"/>
    <s v="No Specific Relationship"/>
    <x v="1"/>
    <s v="AFRICOM"/>
    <x v="85"/>
    <x v="12"/>
    <n v="9"/>
    <s v="BL - Abroad"/>
    <s v="Zhang Wentai"/>
    <m/>
    <s v="GLD Political Commissar"/>
    <n v="6"/>
    <x v="1"/>
    <m/>
    <x v="0"/>
    <m/>
    <m/>
    <m/>
    <m/>
    <x v="12"/>
    <m/>
    <m/>
    <s v="Defense White Paper Appendix"/>
    <m/>
  </r>
  <r>
    <x v="1"/>
    <x v="7"/>
    <s v="West Asia and Africa"/>
    <s v="No Specific Relationship"/>
    <x v="0"/>
    <s v="AFRICOM"/>
    <x v="61"/>
    <x v="12"/>
    <n v="9"/>
    <s v="BL - Abroad"/>
    <s v="Zhang Wentai"/>
    <m/>
    <s v="GLD Political Commissar"/>
    <n v="6"/>
    <x v="1"/>
    <m/>
    <x v="0"/>
    <m/>
    <m/>
    <m/>
    <m/>
    <x v="12"/>
    <m/>
    <m/>
    <s v="Defense White Paper Appendix"/>
    <m/>
  </r>
  <r>
    <x v="1"/>
    <x v="7"/>
    <s v="West Asia and Africa"/>
    <s v="No Specific Relationship"/>
    <x v="0"/>
    <s v="AFRICOM"/>
    <x v="86"/>
    <x v="12"/>
    <n v="9"/>
    <s v="BL - Abroad"/>
    <s v="Zhang Wentai"/>
    <m/>
    <s v="GLD Political Commissar"/>
    <n v="6"/>
    <x v="1"/>
    <m/>
    <x v="0"/>
    <m/>
    <m/>
    <m/>
    <m/>
    <x v="12"/>
    <m/>
    <m/>
    <s v="Defense White Paper Appendix"/>
    <m/>
  </r>
  <r>
    <x v="0"/>
    <x v="1"/>
    <s v="Asia"/>
    <s v="No Specific Relationship"/>
    <x v="0"/>
    <s v="INDOPACOM"/>
    <x v="44"/>
    <x v="12"/>
    <n v="10"/>
    <s v="Port Call - Friendly Visit"/>
    <m/>
    <m/>
    <m/>
    <m/>
    <x v="0"/>
    <m/>
    <x v="0"/>
    <m/>
    <m/>
    <m/>
    <s v="NETF"/>
    <x v="22"/>
    <s v="South Sea Fleet"/>
    <s v="Luhai destroyer Shenzhen 167, replenishment ship Qinghaihu 885"/>
    <m/>
    <m/>
  </r>
  <r>
    <x v="1"/>
    <x v="9"/>
    <s v="West Asia and Africa"/>
    <s v="Strategic Cooperative Partnership [战略合作伙伴关系]"/>
    <x v="1"/>
    <s v="CENTCOM"/>
    <x v="24"/>
    <x v="12"/>
    <n v="10"/>
    <s v="BL - Hosted"/>
    <s v="Liang Guanglie"/>
    <m/>
    <s v="GSD Commander; CMC Member"/>
    <n v="8"/>
    <x v="2"/>
    <s v="Commander Air Defense Force"/>
    <x v="0"/>
    <m/>
    <m/>
    <m/>
    <m/>
    <x v="12"/>
    <m/>
    <m/>
    <s v="Defense White Paper Appendix"/>
    <m/>
  </r>
  <r>
    <x v="1"/>
    <x v="8"/>
    <s v="Europe and Central Asia"/>
    <s v="No Specific Relationship"/>
    <x v="5"/>
    <s v="EUCOM"/>
    <x v="18"/>
    <x v="12"/>
    <n v="10"/>
    <s v="BL - Hosted"/>
    <s v="Liang Guanglie"/>
    <m/>
    <s v="GSD Commander; CMC Member"/>
    <n v="8"/>
    <x v="2"/>
    <s v="General Inspector of Armed Forces"/>
    <x v="0"/>
    <m/>
    <m/>
    <m/>
    <m/>
    <x v="12"/>
    <m/>
    <m/>
    <s v="Defense White Paper Appendix"/>
    <m/>
  </r>
  <r>
    <x v="1"/>
    <x v="7"/>
    <s v="West Asia and Africa"/>
    <s v="No Specific Relationship"/>
    <x v="0"/>
    <s v="AFRICOM"/>
    <x v="87"/>
    <x v="12"/>
    <n v="10"/>
    <s v="BL - Hosted"/>
    <s v="Cao Gangchuan"/>
    <m/>
    <s v="CMC Vice Chairman; Defense Minister"/>
    <n v="10"/>
    <x v="2"/>
    <s v="Defense Minister"/>
    <x v="0"/>
    <m/>
    <m/>
    <m/>
    <m/>
    <x v="12"/>
    <m/>
    <m/>
    <s v="Defense White Paper Appendix"/>
    <m/>
  </r>
  <r>
    <x v="1"/>
    <x v="8"/>
    <s v="Europe and Central Asia"/>
    <s v="No Specific Relationship"/>
    <x v="5"/>
    <s v="EUCOM"/>
    <x v="29"/>
    <x v="12"/>
    <n v="10"/>
    <s v="BL - Hosted"/>
    <s v="Liang Guanglie"/>
    <m/>
    <s v="GSD Commander; CMC Member"/>
    <n v="8"/>
    <x v="2"/>
    <s v="Chief of National Defense General Staff"/>
    <x v="0"/>
    <m/>
    <m/>
    <m/>
    <m/>
    <x v="12"/>
    <m/>
    <m/>
    <s v="Defense White Paper Appendix"/>
    <m/>
  </r>
  <r>
    <x v="1"/>
    <x v="10"/>
    <s v="America and Oceania"/>
    <s v="No Specific Relationship"/>
    <x v="0"/>
    <s v="SOUTHCOM"/>
    <x v="88"/>
    <x v="12"/>
    <n v="10"/>
    <s v="BL - Hosted"/>
    <s v="Cao Gangchuan"/>
    <m/>
    <s v="CMC Vice Chairman; Defense Minister"/>
    <n v="10"/>
    <x v="2"/>
    <s v="Chief of Staff National Defense Forces"/>
    <x v="0"/>
    <m/>
    <m/>
    <m/>
    <m/>
    <x v="12"/>
    <m/>
    <m/>
    <s v="Defense White Paper Appendix"/>
    <m/>
  </r>
  <r>
    <x v="1"/>
    <x v="9"/>
    <s v="West Asia and Africa"/>
    <s v="No Specific Relationship"/>
    <x v="0"/>
    <s v="CENTCOM"/>
    <x v="89"/>
    <x v="12"/>
    <n v="10"/>
    <s v="BL - Hosted"/>
    <s v="Qian Shugen"/>
    <m/>
    <s v="GSD DCGS"/>
    <n v="8"/>
    <x v="2"/>
    <s v="Commander Mobilization Force IRGC"/>
    <x v="0"/>
    <m/>
    <m/>
    <m/>
    <m/>
    <x v="12"/>
    <m/>
    <m/>
    <s v="https://dlib.eastview.com/browse/doc/14631790"/>
    <m/>
  </r>
  <r>
    <x v="1"/>
    <x v="4"/>
    <s v="Asia"/>
    <s v="No Specific Relationship"/>
    <x v="0"/>
    <s v="INDOPACOM"/>
    <x v="53"/>
    <x v="12"/>
    <n v="10"/>
    <s v="BL - Hosted"/>
    <s v="Liang Guanglie"/>
    <m/>
    <s v="GSD Commander; CMC Member"/>
    <n v="8"/>
    <x v="2"/>
    <s v="COGS "/>
    <x v="0"/>
    <m/>
    <m/>
    <m/>
    <m/>
    <x v="12"/>
    <m/>
    <m/>
    <s v="Defense White Paper Appendix"/>
    <m/>
  </r>
  <r>
    <x v="1"/>
    <x v="0"/>
    <s v="Asia"/>
    <s v="Strategic Partnership [战略伙伴关系]"/>
    <x v="1"/>
    <s v="CENTCOM"/>
    <x v="2"/>
    <x v="12"/>
    <n v="10"/>
    <s v="BL - Hosted"/>
    <s v="Cao Gangchuan"/>
    <m/>
    <s v="CMC Vice Chairman; Defense Minister"/>
    <n v="10"/>
    <x v="2"/>
    <s v="Air Force Chief of Staff"/>
    <x v="0"/>
    <m/>
    <m/>
    <m/>
    <m/>
    <x v="12"/>
    <m/>
    <m/>
    <s v="Defense White Paper Appendix"/>
    <m/>
  </r>
  <r>
    <x v="2"/>
    <x v="0"/>
    <s v="Asia"/>
    <s v="Strategic Partnership [战略伙伴关系]"/>
    <x v="1"/>
    <s v="CENTCOM"/>
    <x v="2"/>
    <x v="12"/>
    <n v="10"/>
    <s v="Military Exercise - Bilateral"/>
    <m/>
    <m/>
    <m/>
    <m/>
    <x v="0"/>
    <m/>
    <x v="2"/>
    <s v="Unknown"/>
    <s v="Navy"/>
    <s v="SAREX"/>
    <m/>
    <x v="12"/>
    <m/>
    <m/>
    <s v="Defense White Paper Appendix"/>
    <m/>
  </r>
  <r>
    <x v="1"/>
    <x v="8"/>
    <s v="Europe and Central Asia"/>
    <s v="No Specific Relationship"/>
    <x v="5"/>
    <s v="EUCOM"/>
    <x v="33"/>
    <x v="12"/>
    <n v="10"/>
    <s v="BL - Hosted"/>
    <s v="Cao Gangchuan"/>
    <m/>
    <s v="CMC Vice Chairman; Defense Minister"/>
    <n v="10"/>
    <x v="2"/>
    <s v="Defense Minister"/>
    <x v="0"/>
    <m/>
    <m/>
    <m/>
    <m/>
    <x v="12"/>
    <m/>
    <m/>
    <s v="Defense White Paper Appendix"/>
    <m/>
  </r>
  <r>
    <x v="1"/>
    <x v="7"/>
    <s v="West Asia and Africa"/>
    <s v="No Specific Relationship"/>
    <x v="0"/>
    <s v="AFRICOM"/>
    <x v="90"/>
    <x v="12"/>
    <n v="10"/>
    <s v="BL - Hosted"/>
    <s v="Guo Boxiong"/>
    <m/>
    <s v="CMC Vice Chairman"/>
    <n v="10"/>
    <x v="2"/>
    <s v="Vice Defense Minister"/>
    <x v="0"/>
    <m/>
    <m/>
    <m/>
    <m/>
    <x v="12"/>
    <m/>
    <m/>
    <s v="Defense White Paper Appendix"/>
    <m/>
  </r>
  <r>
    <x v="0"/>
    <x v="1"/>
    <s v="Asia"/>
    <s v="No Specific Relationship"/>
    <x v="0"/>
    <s v="INDOPACOM"/>
    <x v="39"/>
    <x v="12"/>
    <n v="10"/>
    <s v="Port Call - Friendly Visit"/>
    <m/>
    <m/>
    <m/>
    <m/>
    <x v="0"/>
    <m/>
    <x v="0"/>
    <m/>
    <m/>
    <m/>
    <s v="NETF"/>
    <x v="23"/>
    <s v="South Sea Fleet"/>
    <s v="Luhai destroyer Shenzhen 167, replenishment ship Qinghaihu 885"/>
    <m/>
    <m/>
  </r>
  <r>
    <x v="1"/>
    <x v="10"/>
    <s v="America and Oceania"/>
    <s v="No Specific Relationship"/>
    <x v="0"/>
    <s v="SOUTHCOM"/>
    <x v="91"/>
    <x v="12"/>
    <n v="10"/>
    <s v="BL - Hosted"/>
    <s v="Cao Gangchuan"/>
    <m/>
    <s v="CMC Vice Chairman; Defense Minister"/>
    <n v="10"/>
    <x v="2"/>
    <s v="Commander National Defense Forces"/>
    <x v="0"/>
    <m/>
    <m/>
    <m/>
    <m/>
    <x v="12"/>
    <m/>
    <m/>
    <s v="Defense White Paper Appendix"/>
    <m/>
  </r>
  <r>
    <x v="1"/>
    <x v="8"/>
    <s v="Europe and Central Asia"/>
    <s v="No Specific Relationship"/>
    <x v="0"/>
    <s v="EUCOM"/>
    <x v="92"/>
    <x v="12"/>
    <n v="10"/>
    <s v="BL - Hosted"/>
    <s v="Liang Guanglie"/>
    <m/>
    <s v="GSD Commander; CMC Member"/>
    <n v="8"/>
    <x v="2"/>
    <s v="Deputy CinC Armed Forces "/>
    <x v="0"/>
    <m/>
    <m/>
    <m/>
    <m/>
    <x v="12"/>
    <m/>
    <m/>
    <s v="Defense White Paper Appendix"/>
    <m/>
  </r>
  <r>
    <x v="1"/>
    <x v="2"/>
    <s v="America and Oceania"/>
    <s v="No Specific Relationship"/>
    <x v="2"/>
    <s v="NORTHCOM"/>
    <x v="4"/>
    <x v="12"/>
    <n v="10"/>
    <s v="BL - Abroad"/>
    <s v="Cao Gangchuan"/>
    <m/>
    <s v="CMC Vice Chairman; Defense Minister"/>
    <n v="10"/>
    <x v="1"/>
    <s v="SecDef"/>
    <x v="0"/>
    <m/>
    <m/>
    <m/>
    <m/>
    <x v="12"/>
    <m/>
    <m/>
    <s v="Defense White Paper Appendix"/>
    <m/>
  </r>
  <r>
    <x v="0"/>
    <x v="2"/>
    <s v="America and Oceania"/>
    <s v="No Specific Relationship"/>
    <x v="0"/>
    <s v="NORTHCOM"/>
    <x v="4"/>
    <x v="12"/>
    <n v="10"/>
    <s v="Port Call - Friendly Visit"/>
    <m/>
    <m/>
    <m/>
    <m/>
    <x v="0"/>
    <m/>
    <x v="0"/>
    <m/>
    <m/>
    <m/>
    <s v="NETF"/>
    <x v="22"/>
    <s v="South Sea Fleet"/>
    <s v="Luhai destroyer Shenzhen 167, replenishment ship Qinghaihu 885"/>
    <m/>
    <m/>
  </r>
  <r>
    <x v="1"/>
    <x v="1"/>
    <s v="Asia"/>
    <s v="No Specific Relationship"/>
    <x v="0"/>
    <s v="INDOPACOM"/>
    <x v="23"/>
    <x v="12"/>
    <n v="10"/>
    <s v="BL - Hosted"/>
    <s v="Liang Guanglie"/>
    <m/>
    <s v="GSD Commander; CMC Member"/>
    <n v="8"/>
    <x v="2"/>
    <s v="COGS"/>
    <x v="0"/>
    <m/>
    <m/>
    <m/>
    <m/>
    <x v="12"/>
    <m/>
    <m/>
    <s v="Defense White Paper Appendix"/>
    <m/>
  </r>
  <r>
    <x v="1"/>
    <x v="8"/>
    <s v="Europe and Central Asia"/>
    <s v="Comprehensive Cooperative Partnership [全面合作伙伴关系]"/>
    <x v="0"/>
    <s v="EUCOM"/>
    <x v="34"/>
    <x v="12"/>
    <n v="11"/>
    <s v="BL - Hosted"/>
    <s v="Cao Gangchuan"/>
    <m/>
    <s v="CMC Vice Chairman; Defense Minister"/>
    <n v="10"/>
    <x v="2"/>
    <s v="State Affairs Secretary of NSC"/>
    <x v="0"/>
    <m/>
    <m/>
    <m/>
    <m/>
    <x v="12"/>
    <m/>
    <m/>
    <s v="Defense White Paper Appendix"/>
    <m/>
  </r>
  <r>
    <x v="1"/>
    <x v="7"/>
    <s v="West Asia and Africa"/>
    <s v="No Specific Relationship"/>
    <x v="0"/>
    <s v="AFRICOM"/>
    <x v="93"/>
    <x v="12"/>
    <n v="11"/>
    <s v="BL - Abroad"/>
    <s v="Lei Mingqiu"/>
    <m/>
    <s v="Nanjing MR Political Commissar"/>
    <n v="6"/>
    <x v="1"/>
    <m/>
    <x v="0"/>
    <m/>
    <m/>
    <m/>
    <m/>
    <x v="12"/>
    <m/>
    <m/>
    <s v="Defense White Paper Appendix"/>
    <m/>
  </r>
  <r>
    <x v="1"/>
    <x v="10"/>
    <s v="America and Oceania"/>
    <s v="Strategic Partnership [战略伙伴关系]"/>
    <x v="0"/>
    <s v="SOUTHCOM"/>
    <x v="43"/>
    <x v="12"/>
    <n v="11"/>
    <s v="BL - Hosted"/>
    <s v="Cao Gangchuan"/>
    <m/>
    <s v="CMC Vice Chairman; Defense Minister"/>
    <n v="10"/>
    <x v="2"/>
    <s v="Defense Minister"/>
    <x v="0"/>
    <m/>
    <m/>
    <m/>
    <m/>
    <x v="12"/>
    <m/>
    <m/>
    <s v="Defense White Paper Appendix"/>
    <m/>
  </r>
  <r>
    <x v="1"/>
    <x v="1"/>
    <s v="Asia"/>
    <s v="No Specific Relationship"/>
    <x v="0"/>
    <s v="INDOPACOM"/>
    <x v="94"/>
    <x v="12"/>
    <n v="11"/>
    <s v="BL - Hosted"/>
    <s v="Liang Guanglie"/>
    <m/>
    <s v="GSD Commander; CMC Member"/>
    <n v="8"/>
    <x v="2"/>
    <s v="Deputy CinC Armed Forces"/>
    <x v="0"/>
    <m/>
    <m/>
    <m/>
    <m/>
    <x v="12"/>
    <m/>
    <m/>
    <s v="Defense White Paper Appendix"/>
    <m/>
  </r>
  <r>
    <x v="1"/>
    <x v="2"/>
    <s v="America and Oceania"/>
    <s v="Comprehensive Partnership [全面伙伴关系]"/>
    <x v="5"/>
    <s v="NORTHCOM"/>
    <x v="17"/>
    <x v="12"/>
    <n v="11"/>
    <s v="BL - Abroad"/>
    <s v="Zhu Wenquan"/>
    <m/>
    <s v="Nanjing MR Commander"/>
    <n v="6"/>
    <x v="1"/>
    <m/>
    <x v="0"/>
    <m/>
    <m/>
    <m/>
    <m/>
    <x v="12"/>
    <m/>
    <m/>
    <s v="Defense White Paper Appendix"/>
    <m/>
  </r>
  <r>
    <x v="1"/>
    <x v="8"/>
    <s v="Europe and Central Asia"/>
    <s v="No Specific Relationship"/>
    <x v="5"/>
    <s v="EUCOM"/>
    <x v="35"/>
    <x v="12"/>
    <n v="11"/>
    <s v="BL - Abroad"/>
    <s v="Liu Yongzhi"/>
    <m/>
    <s v="Lanzhou MR Political Commissar"/>
    <n v="6"/>
    <x v="1"/>
    <m/>
    <x v="0"/>
    <m/>
    <m/>
    <m/>
    <m/>
    <x v="12"/>
    <m/>
    <m/>
    <s v="Defense White Paper Appendix"/>
    <m/>
  </r>
  <r>
    <x v="1"/>
    <x v="9"/>
    <s v="West Asia and Africa"/>
    <s v="Strategic Cooperative Partnership [战略合作伙伴关系]"/>
    <x v="1"/>
    <s v="CENTCOM"/>
    <x v="24"/>
    <x v="12"/>
    <n v="11"/>
    <s v="BL - Abroad"/>
    <s v="Xu Caihou"/>
    <m/>
    <s v="GPD Director; CMC Member"/>
    <n v="8"/>
    <x v="1"/>
    <m/>
    <x v="0"/>
    <m/>
    <m/>
    <m/>
    <m/>
    <x v="12"/>
    <m/>
    <m/>
    <s v="Defense White Paper Appendix"/>
    <m/>
  </r>
  <r>
    <x v="1"/>
    <x v="7"/>
    <s v="West Asia and Africa"/>
    <s v="No Specific Relationship"/>
    <x v="0"/>
    <s v="AFRICOM"/>
    <x v="95"/>
    <x v="12"/>
    <n v="11"/>
    <s v="BL - Abroad"/>
    <s v="Lei Mingqiu"/>
    <m/>
    <s v="Nanjing MR Political Commissar"/>
    <n v="6"/>
    <x v="1"/>
    <m/>
    <x v="0"/>
    <m/>
    <m/>
    <m/>
    <m/>
    <x v="12"/>
    <m/>
    <m/>
    <s v="Defense White Paper Appendix"/>
    <m/>
  </r>
  <r>
    <x v="1"/>
    <x v="8"/>
    <s v="Europe and Central Asia"/>
    <s v="No Specific Relationship"/>
    <x v="5"/>
    <s v="EUCOM"/>
    <x v="29"/>
    <x v="12"/>
    <n v="11"/>
    <s v="BL - Abroad"/>
    <s v="Deng Changyou"/>
    <m/>
    <s v="PLAAF Political Commissar"/>
    <n v="6"/>
    <x v="1"/>
    <m/>
    <x v="0"/>
    <m/>
    <m/>
    <m/>
    <m/>
    <x v="12"/>
    <m/>
    <m/>
    <s v="Defense White Paper Appendix"/>
    <m/>
  </r>
  <r>
    <x v="2"/>
    <x v="0"/>
    <s v="Asia"/>
    <s v="Comprehensive Cooperative Partnership [全面合作伙伴关系]"/>
    <x v="0"/>
    <s v="INDOPACOM"/>
    <x v="6"/>
    <x v="12"/>
    <n v="11"/>
    <s v="Military Exercise - Bilateral"/>
    <m/>
    <m/>
    <m/>
    <m/>
    <x v="0"/>
    <m/>
    <x v="2"/>
    <s v="Unknown"/>
    <s v="Navy"/>
    <s v="SAREX"/>
    <m/>
    <x v="12"/>
    <m/>
    <m/>
    <s v="Defense White Paper Appendix"/>
    <m/>
  </r>
  <r>
    <x v="1"/>
    <x v="8"/>
    <s v="Europe and Central Asia"/>
    <s v="No Specific Relationship"/>
    <x v="5"/>
    <s v="EUCOM"/>
    <x v="20"/>
    <x v="12"/>
    <n v="11"/>
    <s v="BL - Hosted"/>
    <s v="Xiong Guangkai"/>
    <m/>
    <s v="GSD DCGS"/>
    <n v="6"/>
    <x v="2"/>
    <s v="Deputy Defense Chief of Staff"/>
    <x v="0"/>
    <m/>
    <m/>
    <m/>
    <m/>
    <x v="12"/>
    <m/>
    <m/>
    <s v="Defense White Paper Appendix"/>
    <m/>
  </r>
  <r>
    <x v="1"/>
    <x v="6"/>
    <s v="Europe and Central Asia"/>
    <s v="No Specific Relationship"/>
    <x v="0"/>
    <s v="CENTCOM"/>
    <x v="31"/>
    <x v="12"/>
    <n v="11"/>
    <s v="BL - Hosted"/>
    <s v="Cao Gangchuan"/>
    <m/>
    <s v="CMC Vice Chairman; Defense Minister"/>
    <n v="10"/>
    <x v="2"/>
    <s v="Defense Minister"/>
    <x v="0"/>
    <m/>
    <m/>
    <m/>
    <m/>
    <x v="12"/>
    <m/>
    <m/>
    <s v="Defense White Paper Appendix"/>
    <m/>
  </r>
  <r>
    <x v="1"/>
    <x v="5"/>
    <s v="America and Oceania"/>
    <s v="No Specific Relationship"/>
    <x v="4"/>
    <s v="INDOPACOM"/>
    <x v="13"/>
    <x v="12"/>
    <n v="11"/>
    <s v="BL - Hosted"/>
    <s v="Cao Gangchuan"/>
    <m/>
    <s v="CMC Vice Chairman; Defense Minister"/>
    <n v="10"/>
    <x v="2"/>
    <s v="Commander National Defense Forces"/>
    <x v="0"/>
    <m/>
    <m/>
    <m/>
    <m/>
    <x v="12"/>
    <m/>
    <m/>
    <s v="Defense White Paper Appendix"/>
    <m/>
  </r>
  <r>
    <x v="0"/>
    <x v="5"/>
    <s v="America and Oceania"/>
    <s v="No Specific Relationship"/>
    <x v="4"/>
    <s v="INDOPACOM"/>
    <x v="13"/>
    <x v="12"/>
    <n v="11"/>
    <s v="Port Call - Friendly Visit"/>
    <m/>
    <m/>
    <m/>
    <m/>
    <x v="0"/>
    <m/>
    <x v="0"/>
    <m/>
    <m/>
    <m/>
    <s v="NETF"/>
    <x v="24"/>
    <s v="South Sea Fleet"/>
    <s v="Jiangwei frigate Yichang 564, replenishment ship Taicang 575"/>
    <m/>
    <m/>
  </r>
  <r>
    <x v="1"/>
    <x v="4"/>
    <s v="Asia"/>
    <s v="Bilateral Defense Treaty"/>
    <x v="0"/>
    <s v="INDOPACOM"/>
    <x v="9"/>
    <x v="12"/>
    <n v="11"/>
    <s v="BL - Hosted"/>
    <s v="Cao Gangchuan"/>
    <m/>
    <s v="CMC Vice Chairman; Defense Minister"/>
    <n v="10"/>
    <x v="2"/>
    <s v="Vice Minister People's Armed Forces DPRK"/>
    <x v="0"/>
    <m/>
    <m/>
    <m/>
    <m/>
    <x v="12"/>
    <m/>
    <m/>
    <s v="Defense White Paper Appendix"/>
    <m/>
  </r>
  <r>
    <x v="1"/>
    <x v="8"/>
    <s v="Europe and Central Asia"/>
    <s v="No Specific Relationship"/>
    <x v="5"/>
    <s v="EUCOM"/>
    <x v="48"/>
    <x v="12"/>
    <n v="11"/>
    <s v="BL - Abroad"/>
    <s v="Xu Caihou"/>
    <m/>
    <s v="GPD Director; CMC Member"/>
    <n v="8"/>
    <x v="1"/>
    <m/>
    <x v="0"/>
    <m/>
    <m/>
    <m/>
    <m/>
    <x v="12"/>
    <m/>
    <m/>
    <s v="Defense White Paper Appendix"/>
    <m/>
  </r>
  <r>
    <x v="1"/>
    <x v="8"/>
    <s v="Europe and Central Asia"/>
    <s v="No Specific Relationship"/>
    <x v="5"/>
    <s v="EUCOM"/>
    <x v="33"/>
    <x v="12"/>
    <n v="11"/>
    <s v="BL - Abroad"/>
    <s v="Liu Yongzhi"/>
    <m/>
    <s v="Lanzhou MR Political Commissar"/>
    <n v="6"/>
    <x v="1"/>
    <m/>
    <x v="0"/>
    <m/>
    <m/>
    <m/>
    <m/>
    <x v="12"/>
    <m/>
    <m/>
    <s v="Defense White Paper Appendix"/>
    <m/>
  </r>
  <r>
    <x v="1"/>
    <x v="3"/>
    <s v="Europe and Central Asia"/>
    <s v="Strategic Partnership of Coordination [战略协作伙伴关系]"/>
    <x v="0"/>
    <s v="EUCOM"/>
    <x v="7"/>
    <x v="12"/>
    <n v="11"/>
    <s v="BL - Hosted"/>
    <s v="Cao Gangchuan"/>
    <m/>
    <s v="CMC Vice Chairman; Defense Minister"/>
    <n v="10"/>
    <x v="2"/>
    <s v="First Deputy Director FSB"/>
    <x v="0"/>
    <m/>
    <m/>
    <m/>
    <m/>
    <x v="12"/>
    <m/>
    <m/>
    <s v="Defense White Paper Appendix"/>
    <m/>
  </r>
  <r>
    <x v="1"/>
    <x v="3"/>
    <s v="Europe and Central Asia"/>
    <s v="Strategic Partnership of Coordination [战略协作伙伴关系]"/>
    <x v="0"/>
    <s v="EUCOM"/>
    <x v="7"/>
    <x v="12"/>
    <n v="11"/>
    <s v="BL - Abroad"/>
    <s v="Deng Changyou"/>
    <m/>
    <s v="PLAAF Political Commissar"/>
    <n v="6"/>
    <x v="1"/>
    <m/>
    <x v="0"/>
    <m/>
    <m/>
    <m/>
    <m/>
    <x v="12"/>
    <m/>
    <m/>
    <s v="Defense White Paper Appendix"/>
    <m/>
  </r>
  <r>
    <x v="1"/>
    <x v="4"/>
    <s v="Asia"/>
    <s v="Comprehensive Cooperative Partnership [全面合作伙伴关系]"/>
    <x v="3"/>
    <s v="INDOPACOM"/>
    <x v="25"/>
    <x v="12"/>
    <n v="11"/>
    <s v="BL - Hosted"/>
    <s v="Cao Gangchuan"/>
    <m/>
    <s v="CMC Vice Chairman; Defense Minister"/>
    <n v="10"/>
    <x v="2"/>
    <s v="Chairman JCS"/>
    <x v="0"/>
    <m/>
    <m/>
    <m/>
    <m/>
    <x v="12"/>
    <m/>
    <m/>
    <s v="Defense White Paper Appendix"/>
    <m/>
  </r>
  <r>
    <x v="1"/>
    <x v="8"/>
    <s v="Europe and Central Asia"/>
    <s v="No Specific Relationship"/>
    <x v="5"/>
    <s v="EUCOM"/>
    <x v="70"/>
    <x v="12"/>
    <n v="11"/>
    <s v="BL - Abroad"/>
    <s v="Xu Caihou"/>
    <m/>
    <s v="GPD Director; CMC Member"/>
    <n v="8"/>
    <x v="1"/>
    <m/>
    <x v="0"/>
    <m/>
    <m/>
    <m/>
    <m/>
    <x v="12"/>
    <m/>
    <m/>
    <s v="Defense White Paper Appendix"/>
    <m/>
  </r>
  <r>
    <x v="1"/>
    <x v="7"/>
    <s v="West Asia and Africa"/>
    <s v="No Specific Relationship"/>
    <x v="0"/>
    <s v="AFRICOM"/>
    <x v="16"/>
    <x v="12"/>
    <n v="11"/>
    <s v="BL - Abroad"/>
    <s v="Xu Caihou"/>
    <m/>
    <s v="GPD Director; CMC Member"/>
    <n v="8"/>
    <x v="1"/>
    <m/>
    <x v="0"/>
    <m/>
    <m/>
    <m/>
    <m/>
    <x v="12"/>
    <m/>
    <m/>
    <s v="Defense White Paper Appendix"/>
    <m/>
  </r>
  <r>
    <x v="1"/>
    <x v="1"/>
    <s v="Asia"/>
    <s v="No Specific Relationship"/>
    <x v="3"/>
    <s v="INDOPACOM"/>
    <x v="5"/>
    <x v="12"/>
    <n v="11"/>
    <s v="BL - Hosted"/>
    <s v="Cao Gangchuan"/>
    <m/>
    <s v="CMC Vice Chairman; Defense Minister"/>
    <n v="10"/>
    <x v="2"/>
    <s v="CinC Army"/>
    <x v="0"/>
    <m/>
    <m/>
    <m/>
    <m/>
    <x v="12"/>
    <m/>
    <m/>
    <s v="Defense White Paper Appendix"/>
    <m/>
  </r>
  <r>
    <x v="1"/>
    <x v="7"/>
    <s v="West Asia and Africa"/>
    <s v="Comprehensive Strategic Cooperative Partnership [全面战略合作伙伴关系]"/>
    <x v="0"/>
    <s v="AFRICOM"/>
    <x v="96"/>
    <x v="12"/>
    <n v="11"/>
    <s v="BL - Hosted"/>
    <s v="Cao Gangchuan"/>
    <m/>
    <s v="CMC Vice Chairman; Defense Minister"/>
    <n v="10"/>
    <x v="2"/>
    <s v="Defense Minister"/>
    <x v="0"/>
    <m/>
    <m/>
    <m/>
    <m/>
    <x v="12"/>
    <m/>
    <m/>
    <s v="Defense White Paper Appendix"/>
    <m/>
  </r>
  <r>
    <x v="1"/>
    <x v="7"/>
    <s v="West Asia and Africa"/>
    <s v="No Specific Relationship"/>
    <x v="0"/>
    <s v="AFRICOM"/>
    <x v="97"/>
    <x v="12"/>
    <n v="11"/>
    <s v="BL - Abroad"/>
    <s v="Lei Mingqiu"/>
    <m/>
    <s v="Nanjing MR Political Commissar"/>
    <n v="6"/>
    <x v="1"/>
    <m/>
    <x v="0"/>
    <m/>
    <m/>
    <m/>
    <m/>
    <x v="12"/>
    <m/>
    <m/>
    <s v="Defense White Paper Appendix"/>
    <m/>
  </r>
  <r>
    <x v="1"/>
    <x v="8"/>
    <s v="Europe and Central Asia"/>
    <s v="No Specific Relationship"/>
    <x v="5"/>
    <s v="EUCOM"/>
    <x v="21"/>
    <x v="12"/>
    <n v="11"/>
    <s v="BL - Abroad"/>
    <s v="Xu Caihou"/>
    <m/>
    <s v="GPD Director; CMC Member"/>
    <n v="8"/>
    <x v="1"/>
    <m/>
    <x v="0"/>
    <m/>
    <m/>
    <m/>
    <m/>
    <x v="12"/>
    <m/>
    <m/>
    <s v="Defense White Paper Appendix"/>
    <m/>
  </r>
  <r>
    <x v="1"/>
    <x v="2"/>
    <s v="America and Oceania"/>
    <s v="No Specific Relationship"/>
    <x v="2"/>
    <s v="NORTHCOM"/>
    <x v="4"/>
    <x v="12"/>
    <n v="11"/>
    <s v="BL - Abroad"/>
    <s v="Zhu Wenquan"/>
    <m/>
    <s v="Nanjing MR Commander"/>
    <n v="6"/>
    <x v="1"/>
    <m/>
    <x v="0"/>
    <m/>
    <m/>
    <m/>
    <m/>
    <x v="12"/>
    <m/>
    <m/>
    <s v="Defense White Paper Appendix"/>
    <m/>
  </r>
  <r>
    <x v="1"/>
    <x v="5"/>
    <s v="America and Oceania"/>
    <s v="No Specific Relationship"/>
    <x v="4"/>
    <s v="INDOPACOM"/>
    <x v="12"/>
    <x v="12"/>
    <n v="12"/>
    <s v="BL - Abroad"/>
    <s v="Xiong Guangkai"/>
    <m/>
    <s v="GSD DCGS"/>
    <n v="6"/>
    <x v="1"/>
    <m/>
    <x v="0"/>
    <m/>
    <m/>
    <m/>
    <m/>
    <x v="12"/>
    <m/>
    <m/>
    <s v="Defense White Paper Appendix"/>
    <m/>
  </r>
  <r>
    <x v="1"/>
    <x v="0"/>
    <s v="Asia"/>
    <s v="No Specific Relationship"/>
    <x v="0"/>
    <s v="INDOPACOM"/>
    <x v="0"/>
    <x v="12"/>
    <n v="12"/>
    <s v="BL - Abroad"/>
    <s v="Xiong Guangkai"/>
    <m/>
    <s v="GSD DCGS"/>
    <n v="6"/>
    <x v="1"/>
    <m/>
    <x v="0"/>
    <m/>
    <m/>
    <m/>
    <m/>
    <x v="12"/>
    <m/>
    <m/>
    <s v="Defense White Paper Appendix"/>
    <m/>
  </r>
  <r>
    <x v="1"/>
    <x v="10"/>
    <s v="America and Oceania"/>
    <s v="No Specific Relationship"/>
    <x v="0"/>
    <s v="SOUTHCOM"/>
    <x v="49"/>
    <x v="12"/>
    <n v="12"/>
    <s v="BL - Abroad"/>
    <s v="Jiang Futang"/>
    <m/>
    <s v="Shenyang MR Political Commissar"/>
    <n v="6"/>
    <x v="1"/>
    <m/>
    <x v="0"/>
    <m/>
    <m/>
    <m/>
    <m/>
    <x v="12"/>
    <m/>
    <m/>
    <s v="Defense White Paper Appendix"/>
    <m/>
  </r>
  <r>
    <x v="1"/>
    <x v="8"/>
    <s v="Europe and Central Asia"/>
    <s v="No Specific Relationship"/>
    <x v="0"/>
    <s v="EUCOM"/>
    <x v="98"/>
    <x v="12"/>
    <n v="12"/>
    <s v="BL - Abroad"/>
    <s v="Xiong Guangkai"/>
    <m/>
    <s v="GSD DCGS"/>
    <n v="6"/>
    <x v="1"/>
    <m/>
    <x v="0"/>
    <m/>
    <m/>
    <m/>
    <m/>
    <x v="12"/>
    <m/>
    <m/>
    <s v="Defense White Paper Appendix"/>
    <m/>
  </r>
  <r>
    <x v="1"/>
    <x v="9"/>
    <s v="West Asia and Africa"/>
    <s v="Strategic Cooperative Partnership [战略合作伙伴关系]"/>
    <x v="1"/>
    <s v="CENTCOM"/>
    <x v="24"/>
    <x v="12"/>
    <n v="12"/>
    <s v="BL - Hosted"/>
    <s v="Xiong Guangkai"/>
    <m/>
    <s v="GSD DCGS"/>
    <n v="8"/>
    <x v="2"/>
    <s v="CinC Air Force"/>
    <x v="0"/>
    <m/>
    <m/>
    <m/>
    <m/>
    <x v="12"/>
    <m/>
    <m/>
    <s v="Defense White Paper Appendix"/>
    <m/>
  </r>
  <r>
    <x v="1"/>
    <x v="8"/>
    <s v="Europe and Central Asia"/>
    <s v="No Specific Relationship"/>
    <x v="5"/>
    <s v="EUCOM"/>
    <x v="82"/>
    <x v="12"/>
    <n v="12"/>
    <s v="BL - Abroad"/>
    <s v="Liu Yongzhi"/>
    <m/>
    <s v="PLA NDU Political Commissar"/>
    <n v="6"/>
    <x v="1"/>
    <m/>
    <x v="0"/>
    <m/>
    <m/>
    <m/>
    <m/>
    <x v="12"/>
    <m/>
    <m/>
    <s v="Defense White Paper Appendix"/>
    <m/>
  </r>
  <r>
    <x v="1"/>
    <x v="0"/>
    <s v="Asia"/>
    <s v="Comprehensive Cooperative Partnership [全面合作伙伴关系]"/>
    <x v="0"/>
    <s v="INDOPACOM"/>
    <x v="6"/>
    <x v="12"/>
    <n v="12"/>
    <s v="BL - Abroad"/>
    <s v="Xiong Guangkai"/>
    <m/>
    <s v="GSD DCGS"/>
    <n v="6"/>
    <x v="1"/>
    <m/>
    <x v="0"/>
    <m/>
    <m/>
    <m/>
    <m/>
    <x v="12"/>
    <m/>
    <m/>
    <s v="Defense White Paper Appendix"/>
    <m/>
  </r>
  <r>
    <x v="1"/>
    <x v="8"/>
    <s v="Europe and Central Asia"/>
    <s v="No Specific Relationship"/>
    <x v="5"/>
    <s v="EUCOM"/>
    <x v="20"/>
    <x v="12"/>
    <n v="12"/>
    <s v="BL - Abroad"/>
    <s v="Liu Yongzhi"/>
    <m/>
    <s v="PLA NDU Political Commissar"/>
    <n v="6"/>
    <x v="1"/>
    <m/>
    <x v="0"/>
    <m/>
    <m/>
    <m/>
    <m/>
    <x v="12"/>
    <m/>
    <m/>
    <s v="Defense White Paper Appendix"/>
    <m/>
  </r>
  <r>
    <x v="1"/>
    <x v="7"/>
    <s v="West Asia and Africa"/>
    <s v="No Specific Relationship"/>
    <x v="0"/>
    <s v="AFRICOM"/>
    <x v="47"/>
    <x v="12"/>
    <n v="12"/>
    <s v="BL - Abroad"/>
    <s v="Xiong Guangkai"/>
    <m/>
    <s v="GSD DCGS"/>
    <n v="6"/>
    <x v="1"/>
    <m/>
    <x v="0"/>
    <m/>
    <m/>
    <m/>
    <m/>
    <x v="12"/>
    <m/>
    <m/>
    <s v="Defense White Paper Appendix"/>
    <m/>
  </r>
  <r>
    <x v="1"/>
    <x v="9"/>
    <s v="West Asia and Africa"/>
    <s v="No Specific Relationship"/>
    <x v="1"/>
    <s v="CENTCOM"/>
    <x v="72"/>
    <x v="12"/>
    <n v="12"/>
    <s v="BL - Hosted"/>
    <s v="Cao Gangchuan"/>
    <m/>
    <s v="CMC Vice Chairman; Defense Minister"/>
    <n v="10"/>
    <x v="2"/>
    <s v="Defense Minister"/>
    <x v="0"/>
    <m/>
    <m/>
    <m/>
    <m/>
    <x v="12"/>
    <m/>
    <m/>
    <s v="Defense White Paper Appendix"/>
    <m/>
  </r>
  <r>
    <x v="1"/>
    <x v="1"/>
    <s v="Asia"/>
    <s v="No Specific Relationship"/>
    <x v="0"/>
    <s v="INDOPACOM"/>
    <x v="1"/>
    <x v="12"/>
    <n v="12"/>
    <s v="BL - Abroad"/>
    <s v="Xiong Guangkai"/>
    <m/>
    <s v="GSD DCGS"/>
    <n v="6"/>
    <x v="1"/>
    <m/>
    <x v="0"/>
    <m/>
    <m/>
    <m/>
    <m/>
    <x v="12"/>
    <m/>
    <m/>
    <s v="Defense White Paper Appendix"/>
    <m/>
  </r>
  <r>
    <x v="1"/>
    <x v="5"/>
    <s v="America and Oceania"/>
    <s v="No Specific Relationship"/>
    <x v="4"/>
    <s v="INDOPACOM"/>
    <x v="13"/>
    <x v="12"/>
    <n v="12"/>
    <s v="BL - Abroad"/>
    <s v="Xiong Guangkai"/>
    <m/>
    <s v="GSD DCGS"/>
    <n v="6"/>
    <x v="1"/>
    <m/>
    <x v="0"/>
    <m/>
    <m/>
    <m/>
    <m/>
    <x v="12"/>
    <m/>
    <m/>
    <s v="Defense White Paper Appendix"/>
    <m/>
  </r>
  <r>
    <x v="1"/>
    <x v="1"/>
    <s v="Asia"/>
    <s v="No Specific Relationship"/>
    <x v="3"/>
    <s v="INDOPACOM"/>
    <x v="11"/>
    <x v="12"/>
    <n v="12"/>
    <s v="BL - Abroad"/>
    <s v="Chen Bingde"/>
    <m/>
    <s v="Jinan MR Commander"/>
    <n v="6"/>
    <x v="1"/>
    <m/>
    <x v="0"/>
    <m/>
    <m/>
    <m/>
    <m/>
    <x v="12"/>
    <m/>
    <m/>
    <s v="Defense White Paper Appendix"/>
    <m/>
  </r>
  <r>
    <x v="1"/>
    <x v="3"/>
    <s v="Europe and Central Asia"/>
    <s v="Strategic Partnership of Coordination [战略协作伙伴关系]"/>
    <x v="0"/>
    <s v="EUCOM"/>
    <x v="7"/>
    <x v="12"/>
    <n v="12"/>
    <s v="BL - Abroad"/>
    <s v="Cao Gangchuan"/>
    <m/>
    <s v="CMC Vice Chairman; Defense Minister"/>
    <n v="10"/>
    <x v="1"/>
    <s v="Defense Minister"/>
    <x v="0"/>
    <m/>
    <m/>
    <m/>
    <m/>
    <x v="12"/>
    <m/>
    <m/>
    <s v="Defense White Paper Appendix"/>
    <m/>
  </r>
  <r>
    <x v="1"/>
    <x v="1"/>
    <s v="Asia"/>
    <s v="No Specific Relationship"/>
    <x v="0"/>
    <s v="INDOPACOM"/>
    <x v="39"/>
    <x v="12"/>
    <n v="12"/>
    <s v="BL - Abroad"/>
    <s v="Xiong Guangkai"/>
    <m/>
    <s v="GSD DCGS"/>
    <n v="6"/>
    <x v="1"/>
    <m/>
    <x v="0"/>
    <m/>
    <m/>
    <m/>
    <m/>
    <x v="12"/>
    <m/>
    <m/>
    <s v="Defense White Paper Appendix"/>
    <m/>
  </r>
  <r>
    <x v="1"/>
    <x v="7"/>
    <s v="West Asia and Africa"/>
    <s v="No Specific Relationship"/>
    <x v="0"/>
    <s v="AFRICOM"/>
    <x v="74"/>
    <x v="12"/>
    <n v="12"/>
    <s v="BL - Hosted"/>
    <s v="Cao Gangchuan"/>
    <m/>
    <s v="CMC Vice Chairman; Defense Minister"/>
    <n v="10"/>
    <x v="2"/>
    <s v="Defense Minister"/>
    <x v="0"/>
    <m/>
    <m/>
    <m/>
    <m/>
    <x v="12"/>
    <m/>
    <m/>
    <s v="Defense White Paper Appendix"/>
    <m/>
  </r>
  <r>
    <x v="1"/>
    <x v="1"/>
    <s v="Asia"/>
    <s v="No Specific Relationship"/>
    <x v="3"/>
    <s v="INDOPACOM"/>
    <x v="5"/>
    <x v="12"/>
    <n v="12"/>
    <s v="BL - Abroad"/>
    <s v="Chen Bingde"/>
    <m/>
    <s v="Jinan MR Commander"/>
    <n v="6"/>
    <x v="1"/>
    <m/>
    <x v="0"/>
    <m/>
    <m/>
    <m/>
    <m/>
    <x v="12"/>
    <m/>
    <m/>
    <s v="Defense White Paper Appendix"/>
    <m/>
  </r>
  <r>
    <x v="1"/>
    <x v="2"/>
    <s v="America and Oceania"/>
    <s v="No Specific Relationship"/>
    <x v="2"/>
    <s v="NORTHCOM"/>
    <x v="4"/>
    <x v="13"/>
    <n v="1"/>
    <s v="BL - Hosted"/>
    <s v="Guo Boxiong"/>
    <m/>
    <s v="CMC Vice Chairman"/>
    <n v="10"/>
    <x v="2"/>
    <s v="Chairman JCS"/>
    <x v="0"/>
    <m/>
    <m/>
    <m/>
    <m/>
    <x v="12"/>
    <m/>
    <m/>
    <s v="Defense White Paper Appendix"/>
    <m/>
  </r>
  <r>
    <x v="1"/>
    <x v="9"/>
    <s v="West Asia and Africa"/>
    <s v="Strategic Cooperative Partnership [战略合作伙伴关系]"/>
    <x v="1"/>
    <s v="CENTCOM"/>
    <x v="24"/>
    <x v="13"/>
    <n v="2"/>
    <s v="BL - Abroad"/>
    <s v="Xiong Guangkai"/>
    <m/>
    <s v="GSD DCGS"/>
    <n v="8"/>
    <x v="1"/>
    <m/>
    <x v="0"/>
    <m/>
    <m/>
    <m/>
    <m/>
    <x v="12"/>
    <m/>
    <m/>
    <s v="Defense White Paper Appendix"/>
    <s v="DCOGS trip"/>
  </r>
  <r>
    <x v="1"/>
    <x v="8"/>
    <s v="Europe and Central Asia"/>
    <s v="No Specific Relationship"/>
    <x v="0"/>
    <s v="EUCOM"/>
    <x v="99"/>
    <x v="13"/>
    <n v="2"/>
    <s v="BL - Hosted"/>
    <s v="Cao Gangchuan"/>
    <m/>
    <s v="CMC Vice Chairman; Defense Minister"/>
    <n v="10"/>
    <x v="2"/>
    <s v="Defense Minister"/>
    <x v="0"/>
    <m/>
    <m/>
    <m/>
    <m/>
    <x v="12"/>
    <m/>
    <m/>
    <s v="Defense White Paper Appendix"/>
    <m/>
  </r>
  <r>
    <x v="1"/>
    <x v="1"/>
    <s v="Asia"/>
    <s v="No Specific Relationship"/>
    <x v="0"/>
    <s v="INDOPACOM"/>
    <x v="23"/>
    <x v="13"/>
    <n v="2"/>
    <s v="BL - Abroad"/>
    <s v="Xiong Guangkai"/>
    <m/>
    <s v="GSD DCGS"/>
    <n v="8"/>
    <x v="1"/>
    <m/>
    <x v="0"/>
    <m/>
    <m/>
    <m/>
    <m/>
    <x v="12"/>
    <m/>
    <m/>
    <s v="Defense White Paper Appendix"/>
    <s v="DCOGS trip"/>
  </r>
  <r>
    <x v="1"/>
    <x v="7"/>
    <s v="West Asia and Africa"/>
    <s v="No Specific Relationship"/>
    <x v="0"/>
    <s v="AFRICOM"/>
    <x v="86"/>
    <x v="13"/>
    <n v="2"/>
    <s v="BL - Abroad"/>
    <s v="Xiong Guangkai"/>
    <m/>
    <s v="GSD DCGS"/>
    <n v="8"/>
    <x v="1"/>
    <m/>
    <x v="0"/>
    <m/>
    <m/>
    <m/>
    <m/>
    <x v="12"/>
    <m/>
    <m/>
    <s v="Defense White Paper Appendix"/>
    <s v="DCOGS trip"/>
  </r>
  <r>
    <x v="1"/>
    <x v="5"/>
    <s v="America and Oceania"/>
    <s v="No Specific Relationship"/>
    <x v="4"/>
    <s v="INDOPACOM"/>
    <x v="12"/>
    <x v="13"/>
    <n v="3"/>
    <s v="BL - Hosted"/>
    <s v="Ge Zhenfeng"/>
    <m/>
    <s v="GSD DCGS"/>
    <n v="6"/>
    <x v="2"/>
    <s v="Commander of the Australian Theater"/>
    <x v="0"/>
    <m/>
    <m/>
    <m/>
    <m/>
    <x v="12"/>
    <m/>
    <m/>
    <s v="Defense White Paper Appendix"/>
    <m/>
  </r>
  <r>
    <x v="2"/>
    <x v="8"/>
    <s v="Europe and Central Asia"/>
    <s v="Comprehensive Partnership [全面伙伴关系]"/>
    <x v="5"/>
    <s v="EUCOM"/>
    <x v="22"/>
    <x v="13"/>
    <n v="3"/>
    <s v="Military Exercise - Bilateral"/>
    <m/>
    <m/>
    <m/>
    <m/>
    <x v="0"/>
    <m/>
    <x v="2"/>
    <s v="Unknown"/>
    <s v="Navy"/>
    <s v="SAREX"/>
    <m/>
    <x v="12"/>
    <m/>
    <m/>
    <s v="Defense White Paper Appendix"/>
    <m/>
  </r>
  <r>
    <x v="1"/>
    <x v="0"/>
    <s v="Asia"/>
    <s v="Comprehensive Cooperative Partnership [全面合作伙伴关系]"/>
    <x v="0"/>
    <s v="INDOPACOM"/>
    <x v="6"/>
    <x v="13"/>
    <n v="3"/>
    <s v="BL - Abroad"/>
    <s v="Cao Gangchuan"/>
    <m/>
    <s v="CMC Vice Chairman; Defense Minister"/>
    <n v="10"/>
    <x v="1"/>
    <m/>
    <x v="0"/>
    <m/>
    <m/>
    <m/>
    <m/>
    <x v="12"/>
    <m/>
    <m/>
    <s v="Defense White Paper Appendix"/>
    <m/>
  </r>
  <r>
    <x v="1"/>
    <x v="4"/>
    <s v="Asia"/>
    <s v="Partnership of Friendship and Cooperation for Peace and Development [致力于和平发展的友好合作关系]"/>
    <x v="3"/>
    <s v="INDOPACOM"/>
    <x v="83"/>
    <x v="13"/>
    <n v="3"/>
    <s v="BL - Hosted"/>
    <s v="Cao Gangchuan"/>
    <m/>
    <s v="CMC Vice Chairman; Defense Minister"/>
    <n v="10"/>
    <x v="2"/>
    <s v="Delegation of middle ranking officers from Sasakawa China-Japan Foundation"/>
    <x v="0"/>
    <m/>
    <m/>
    <m/>
    <m/>
    <x v="12"/>
    <m/>
    <m/>
    <s v="Defense White Paper Appendix"/>
    <m/>
  </r>
  <r>
    <x v="1"/>
    <x v="0"/>
    <s v="Asia"/>
    <s v="Strategic Partnership [战略伙伴关系]"/>
    <x v="1"/>
    <s v="CENTCOM"/>
    <x v="2"/>
    <x v="13"/>
    <n v="3"/>
    <s v="BL - Abroad"/>
    <s v="Cao Gangchuan"/>
    <m/>
    <s v="CMC Vice Chairman; Defense Minister"/>
    <n v="10"/>
    <x v="1"/>
    <s v="Defense Minister"/>
    <x v="0"/>
    <m/>
    <m/>
    <m/>
    <m/>
    <x v="12"/>
    <m/>
    <m/>
    <s v="Defense White Paper Appendix"/>
    <m/>
  </r>
  <r>
    <x v="1"/>
    <x v="3"/>
    <s v="Europe and Central Asia"/>
    <s v="Strategic Partnership of Coordination [战略协作伙伴关系]"/>
    <x v="0"/>
    <s v="EUCOM"/>
    <x v="7"/>
    <x v="13"/>
    <n v="3"/>
    <s v="BL - Hosted"/>
    <s v="Liang Guanglie"/>
    <m/>
    <s v="GSD Commander; CMC Member"/>
    <n v="8"/>
    <x v="2"/>
    <s v="First Deputy Chief of Staff Russian Armed Forces"/>
    <x v="0"/>
    <m/>
    <m/>
    <m/>
    <m/>
    <x v="12"/>
    <m/>
    <m/>
    <s v="Defense White Paper Appendix"/>
    <m/>
  </r>
  <r>
    <x v="1"/>
    <x v="1"/>
    <s v="Asia"/>
    <s v="No Specific Relationship"/>
    <x v="3"/>
    <s v="INDOPACOM"/>
    <x v="5"/>
    <x v="13"/>
    <n v="3"/>
    <s v="BL - Abroad"/>
    <s v="Cao Gangchuan"/>
    <m/>
    <s v="CMC Vice Chairman; Defense Minister"/>
    <n v="10"/>
    <x v="1"/>
    <m/>
    <x v="0"/>
    <m/>
    <m/>
    <m/>
    <m/>
    <x v="12"/>
    <m/>
    <m/>
    <s v="Defense White Paper Appendix"/>
    <m/>
  </r>
  <r>
    <x v="1"/>
    <x v="7"/>
    <s v="West Asia and Africa"/>
    <s v="No Specific Relationship"/>
    <x v="0"/>
    <s v="AFRICOM"/>
    <x v="86"/>
    <x v="13"/>
    <n v="3"/>
    <s v="BL - Hosted"/>
    <s v="Cao Gangchuan"/>
    <m/>
    <s v="CMC Vice Chairman; Defense Minister"/>
    <n v="10"/>
    <x v="2"/>
    <s v="Commander Defense Forces "/>
    <x v="0"/>
    <m/>
    <m/>
    <m/>
    <m/>
    <x v="12"/>
    <m/>
    <m/>
    <s v="Defense White Paper Appendix"/>
    <m/>
  </r>
  <r>
    <x v="1"/>
    <x v="8"/>
    <s v="Europe and Central Asia"/>
    <s v="No Specific Relationship"/>
    <x v="5"/>
    <s v="EUCOM"/>
    <x v="58"/>
    <x v="13"/>
    <n v="4"/>
    <s v="BL - Abroad"/>
    <s v="Li Jinai"/>
    <m/>
    <s v="GPD Deputy Director"/>
    <n v="8"/>
    <x v="1"/>
    <m/>
    <x v="0"/>
    <m/>
    <m/>
    <m/>
    <m/>
    <x v="12"/>
    <m/>
    <m/>
    <s v="Defense White Paper Appendix"/>
    <s v="Updated positions with DWP"/>
  </r>
  <r>
    <x v="1"/>
    <x v="9"/>
    <s v="West Asia and Africa"/>
    <s v="Strategic Cooperative Partnership [战略合作伙伴关系]"/>
    <x v="1"/>
    <s v="CENTCOM"/>
    <x v="24"/>
    <x v="13"/>
    <n v="4"/>
    <s v="BL - Abroad"/>
    <s v="Liu Dongdong"/>
    <m/>
    <s v="Jinan MR Political Commissar"/>
    <n v="6"/>
    <x v="1"/>
    <m/>
    <x v="0"/>
    <m/>
    <m/>
    <m/>
    <m/>
    <x v="12"/>
    <m/>
    <m/>
    <s v="Defense White Paper Appendix"/>
    <m/>
  </r>
  <r>
    <x v="1"/>
    <x v="8"/>
    <s v="Europe and Central Asia"/>
    <s v="No Specific Relationship"/>
    <x v="0"/>
    <s v="EUCOM"/>
    <x v="81"/>
    <x v="13"/>
    <n v="4"/>
    <s v="BL - Hosted"/>
    <s v="Cao Gangchuan"/>
    <m/>
    <s v="CMC Vice Chairman; Defense Minister"/>
    <n v="10"/>
    <x v="2"/>
    <s v="CinC National Defense Forces"/>
    <x v="0"/>
    <m/>
    <m/>
    <m/>
    <m/>
    <x v="12"/>
    <m/>
    <m/>
    <s v="Defense White Paper Appendix"/>
    <m/>
  </r>
  <r>
    <x v="1"/>
    <x v="9"/>
    <s v="West Asia and Africa"/>
    <s v="No Specific Relationship"/>
    <x v="1"/>
    <s v="CENTCOM"/>
    <x v="100"/>
    <x v="13"/>
    <n v="4"/>
    <s v="BL - Abroad"/>
    <s v="Pei Huailiang"/>
    <m/>
    <s v="PLA NDU President"/>
    <n v="6"/>
    <x v="1"/>
    <m/>
    <x v="0"/>
    <m/>
    <m/>
    <m/>
    <m/>
    <x v="12"/>
    <m/>
    <m/>
    <s v="Defense White Paper Appendix"/>
    <m/>
  </r>
  <r>
    <x v="1"/>
    <x v="4"/>
    <s v="Asia"/>
    <s v="Partnership of Friendship and Cooperation for Peace and Development [致力于和平发展的友好合作关系]"/>
    <x v="3"/>
    <s v="INDOPACOM"/>
    <x v="83"/>
    <x v="13"/>
    <n v="4"/>
    <s v="BL - Hosted"/>
    <s v="Cao Gangchuan"/>
    <m/>
    <s v="CMC Vice Chairman; Defense Minister"/>
    <n v="10"/>
    <x v="2"/>
    <s v="JADSF Chief of Staff"/>
    <x v="0"/>
    <m/>
    <m/>
    <m/>
    <m/>
    <x v="12"/>
    <m/>
    <m/>
    <s v="Defense White Paper Appendix"/>
    <m/>
  </r>
  <r>
    <x v="1"/>
    <x v="9"/>
    <s v="West Asia and Africa"/>
    <s v="No Specific Relationship"/>
    <x v="1"/>
    <s v="CENTCOM"/>
    <x v="101"/>
    <x v="13"/>
    <n v="4"/>
    <s v="BL - Abroad"/>
    <s v="Pei Huailiang"/>
    <m/>
    <s v="PLA NDU President"/>
    <n v="6"/>
    <x v="1"/>
    <m/>
    <x v="0"/>
    <m/>
    <m/>
    <m/>
    <m/>
    <x v="12"/>
    <m/>
    <m/>
    <s v="Defense White Paper Appendix"/>
    <m/>
  </r>
  <r>
    <x v="1"/>
    <x v="6"/>
    <s v="Europe and Central Asia"/>
    <s v="Comprehensive Cooperative Partnership [全面合作伙伴关系]"/>
    <x v="0"/>
    <s v="CENTCOM"/>
    <x v="30"/>
    <x v="13"/>
    <n v="4"/>
    <s v="BL - Hosted"/>
    <s v="Cao Gangchuan"/>
    <m/>
    <s v="CMC Vice Chairman; Defense Minister"/>
    <n v="10"/>
    <x v="2"/>
    <s v="Defense Minister"/>
    <x v="0"/>
    <m/>
    <m/>
    <m/>
    <m/>
    <x v="12"/>
    <m/>
    <m/>
    <s v="Defense White Paper Appendix"/>
    <m/>
  </r>
  <r>
    <x v="1"/>
    <x v="8"/>
    <s v="Europe and Central Asia"/>
    <s v="No Specific Relationship"/>
    <x v="5"/>
    <s v="EUCOM"/>
    <x v="37"/>
    <x v="13"/>
    <n v="4"/>
    <s v="BL - Hosted"/>
    <s v="Cao Gangchuan"/>
    <m/>
    <s v="CMC Vice Chairman; Defense Minister"/>
    <n v="10"/>
    <x v="2"/>
    <s v="Defense Minister"/>
    <x v="0"/>
    <m/>
    <m/>
    <m/>
    <m/>
    <x v="12"/>
    <m/>
    <m/>
    <s v="Defense White Paper Appendix"/>
    <m/>
  </r>
  <r>
    <x v="1"/>
    <x v="1"/>
    <s v="Asia"/>
    <s v="No Specific Relationship"/>
    <x v="3"/>
    <s v="INDOPACOM"/>
    <x v="11"/>
    <x v="13"/>
    <n v="4"/>
    <s v="BL - Hosted"/>
    <s v="Liang Guanglie"/>
    <m/>
    <s v="GSD Commander; CMC Member"/>
    <n v="8"/>
    <x v="2"/>
    <s v="Commander, Air Force"/>
    <x v="0"/>
    <m/>
    <m/>
    <m/>
    <m/>
    <x v="12"/>
    <m/>
    <m/>
    <s v="Defense White Paper Appendix"/>
    <m/>
  </r>
  <r>
    <x v="1"/>
    <x v="3"/>
    <s v="Europe and Central Asia"/>
    <s v="Strategic Partnership of Coordination [战略协作伙伴关系]"/>
    <x v="0"/>
    <s v="EUCOM"/>
    <x v="7"/>
    <x v="13"/>
    <n v="4"/>
    <s v="BL - Hosted"/>
    <s v="Cao Gangchuan"/>
    <m/>
    <s v="CMC Vice Chairman; Defense Minister"/>
    <n v="10"/>
    <x v="2"/>
    <s v="Defense Minister"/>
    <x v="0"/>
    <m/>
    <m/>
    <m/>
    <m/>
    <x v="12"/>
    <m/>
    <m/>
    <s v="Defense White Paper Appendix"/>
    <m/>
  </r>
  <r>
    <x v="1"/>
    <x v="4"/>
    <s v="Asia"/>
    <s v="Comprehensive Cooperative Partnership [全面合作伙伴关系]"/>
    <x v="3"/>
    <s v="INDOPACOM"/>
    <x v="25"/>
    <x v="13"/>
    <n v="4"/>
    <s v="BL - Hosted"/>
    <s v="Xiong Guangkai"/>
    <m/>
    <s v="GSD DCGS"/>
    <n v="6"/>
    <x v="2"/>
    <s v="ROK NDU President"/>
    <x v="0"/>
    <m/>
    <m/>
    <m/>
    <m/>
    <x v="12"/>
    <m/>
    <m/>
    <s v="Defense White Paper Appendix"/>
    <m/>
  </r>
  <r>
    <x v="1"/>
    <x v="9"/>
    <s v="West Asia and Africa"/>
    <s v="No Specific Relationship"/>
    <x v="0"/>
    <s v="CENTCOM"/>
    <x v="102"/>
    <x v="13"/>
    <n v="4"/>
    <s v="BL - Abroad"/>
    <s v="Liu Dongdong"/>
    <m/>
    <s v="Jinan MR Political Commissar"/>
    <n v="6"/>
    <x v="1"/>
    <m/>
    <x v="0"/>
    <m/>
    <m/>
    <m/>
    <m/>
    <x v="12"/>
    <m/>
    <m/>
    <s v="Defense White Paper Appendix"/>
    <m/>
  </r>
  <r>
    <x v="1"/>
    <x v="8"/>
    <s v="Europe and Central Asia"/>
    <s v="No Specific Relationship"/>
    <x v="0"/>
    <s v="EUCOM"/>
    <x v="26"/>
    <x v="13"/>
    <n v="4"/>
    <s v="BL - Abroad"/>
    <s v="Pei Huailiang"/>
    <m/>
    <s v="PLA NDU President"/>
    <n v="6"/>
    <x v="1"/>
    <m/>
    <x v="0"/>
    <m/>
    <m/>
    <m/>
    <m/>
    <x v="12"/>
    <m/>
    <m/>
    <s v="Defense White Paper Appendix"/>
    <m/>
  </r>
  <r>
    <x v="1"/>
    <x v="10"/>
    <s v="America and Oceania"/>
    <s v="No Specific Relationship"/>
    <x v="0"/>
    <s v="SOUTHCOM"/>
    <x v="103"/>
    <x v="13"/>
    <n v="5"/>
    <s v="BL - Hosted"/>
    <s v="Cao Gangchuan"/>
    <m/>
    <s v="CMC Vice Chairman; Defense Minister"/>
    <n v="10"/>
    <x v="2"/>
    <s v="Chief of Staff National Defense Forces"/>
    <x v="0"/>
    <m/>
    <m/>
    <m/>
    <m/>
    <x v="12"/>
    <m/>
    <m/>
    <s v="Defense White Paper Appendix"/>
    <m/>
  </r>
  <r>
    <x v="1"/>
    <x v="10"/>
    <s v="America and Oceania"/>
    <s v="Comprehensive Strategic Partnership [全面战略伙伴关系]"/>
    <x v="0"/>
    <s v="SOUTHCOM"/>
    <x v="43"/>
    <x v="13"/>
    <n v="5"/>
    <s v="BL - Hosted"/>
    <s v="Cao Gangchuan"/>
    <m/>
    <s v="CMC Vice Chairman; Defense Minister"/>
    <n v="10"/>
    <x v="2"/>
    <s v="Air Force Commander "/>
    <x v="0"/>
    <m/>
    <m/>
    <m/>
    <m/>
    <x v="12"/>
    <m/>
    <m/>
    <s v="Defense White Paper Appendix"/>
    <m/>
  </r>
  <r>
    <x v="1"/>
    <x v="1"/>
    <s v="Asia"/>
    <s v="No Specific Relationship"/>
    <x v="0"/>
    <s v="INDOPACOM"/>
    <x v="94"/>
    <x v="13"/>
    <n v="5"/>
    <s v="BL - Hosted"/>
    <s v="Cao Gangchuan"/>
    <m/>
    <s v="CMC Vice Chairman; Defense Minister"/>
    <n v="10"/>
    <x v="2"/>
    <s v="Director General of General Logistics and Finance"/>
    <x v="0"/>
    <m/>
    <m/>
    <m/>
    <m/>
    <x v="12"/>
    <m/>
    <m/>
    <s v="Defense White Paper Appendix"/>
    <m/>
  </r>
  <r>
    <x v="1"/>
    <x v="2"/>
    <s v="America and Oceania"/>
    <s v="Comprehensive Partnership [全面伙伴关系]"/>
    <x v="5"/>
    <s v="NORTHCOM"/>
    <x v="17"/>
    <x v="13"/>
    <n v="5"/>
    <s v="BL - Abroad"/>
    <s v="Wen Zongren"/>
    <m/>
    <s v="AMS Political Commissar"/>
    <n v="6"/>
    <x v="1"/>
    <m/>
    <x v="0"/>
    <m/>
    <m/>
    <m/>
    <m/>
    <x v="12"/>
    <m/>
    <m/>
    <s v="Defense White Paper Appendix"/>
    <m/>
  </r>
  <r>
    <x v="1"/>
    <x v="10"/>
    <s v="America and Oceania"/>
    <s v="Comprehensive Partnership [全面伙伴关系]"/>
    <x v="0"/>
    <s v="SOUTHCOM"/>
    <x v="66"/>
    <x v="13"/>
    <n v="5"/>
    <s v="BL - Hosted"/>
    <s v="Cao Gangchuan"/>
    <m/>
    <s v="CMC Vice Chairman; Defense Minister"/>
    <n v="10"/>
    <x v="2"/>
    <s v="Defense Minister"/>
    <x v="0"/>
    <m/>
    <m/>
    <m/>
    <m/>
    <x v="12"/>
    <m/>
    <m/>
    <s v="Defense White Paper Appendix"/>
    <m/>
  </r>
  <r>
    <x v="1"/>
    <x v="10"/>
    <s v="America and Oceania"/>
    <s v="No Specific Relationship"/>
    <x v="0"/>
    <s v="SOUTHCOM"/>
    <x v="49"/>
    <x v="13"/>
    <n v="5"/>
    <s v="BL - Abroad"/>
    <s v="Chi Wanchun"/>
    <m/>
    <s v="GAD Political Commissar"/>
    <n v="6"/>
    <x v="1"/>
    <m/>
    <x v="0"/>
    <m/>
    <m/>
    <m/>
    <m/>
    <x v="12"/>
    <m/>
    <m/>
    <s v="Defense White Paper Appendix"/>
    <m/>
  </r>
  <r>
    <x v="1"/>
    <x v="8"/>
    <s v="Europe and Central Asia"/>
    <s v="Comprehensive Partnership [全面伙伴关系]"/>
    <x v="5"/>
    <s v="EUCOM"/>
    <x v="22"/>
    <x v="13"/>
    <n v="5"/>
    <s v="BL - Abroad"/>
    <s v="Liang Guanglie"/>
    <m/>
    <s v="GSD Commander; CMC Member"/>
    <n v="8"/>
    <x v="1"/>
    <m/>
    <x v="0"/>
    <m/>
    <m/>
    <m/>
    <m/>
    <x v="12"/>
    <m/>
    <m/>
    <s v="Defense White Paper Appendix"/>
    <m/>
  </r>
  <r>
    <x v="1"/>
    <x v="8"/>
    <s v="Europe and Central Asia"/>
    <s v="No Specific Relationship"/>
    <x v="5"/>
    <s v="EUCOM"/>
    <x v="29"/>
    <x v="13"/>
    <n v="5"/>
    <s v="BL - Hosted"/>
    <s v="Cao Gangchuan"/>
    <m/>
    <s v="CMC Vice Chairman; Defense Minister"/>
    <n v="10"/>
    <x v="2"/>
    <s v="Chief of Staff, Air Force"/>
    <x v="0"/>
    <m/>
    <m/>
    <m/>
    <m/>
    <x v="12"/>
    <m/>
    <m/>
    <s v="Defense White Paper Appendix"/>
    <m/>
  </r>
  <r>
    <x v="0"/>
    <x v="4"/>
    <s v="Asia"/>
    <s v="N/A"/>
    <x v="0"/>
    <s v="INDOPACOM"/>
    <x v="19"/>
    <x v="13"/>
    <n v="5"/>
    <s v="Port Call - Friendly Visit"/>
    <m/>
    <m/>
    <m/>
    <m/>
    <x v="0"/>
    <m/>
    <x v="0"/>
    <m/>
    <m/>
    <m/>
    <s v="NETF"/>
    <x v="25"/>
    <s v="Unknown"/>
    <s v="8 vessels"/>
    <m/>
    <m/>
  </r>
  <r>
    <x v="1"/>
    <x v="8"/>
    <s v="Europe and Central Asia"/>
    <s v="No Specific Relationship"/>
    <x v="5"/>
    <s v="EUCOM"/>
    <x v="82"/>
    <x v="13"/>
    <n v="5"/>
    <s v="BL - Hosted"/>
    <s v="Cao Gangchuan"/>
    <m/>
    <s v="CMC Vice Chairman; Defense Minister"/>
    <n v="10"/>
    <x v="2"/>
    <s v="State Affairs Secretary"/>
    <x v="0"/>
    <m/>
    <m/>
    <m/>
    <m/>
    <x v="12"/>
    <m/>
    <m/>
    <s v="Defense White Paper Appendix"/>
    <m/>
  </r>
  <r>
    <x v="1"/>
    <x v="4"/>
    <s v="Asia"/>
    <s v="Partnership of Friendship and Cooperation for Peace and Development [致力于和平发展的友好合作关系]"/>
    <x v="3"/>
    <s v="INDOPACOM"/>
    <x v="83"/>
    <x v="13"/>
    <n v="5"/>
    <s v="BL - Hosted"/>
    <s v="Cao Gangchuan"/>
    <m/>
    <s v="CMC Vice Chairman; Defense Minister"/>
    <n v="10"/>
    <x v="2"/>
    <s v="former Chairman JCS"/>
    <x v="0"/>
    <m/>
    <m/>
    <m/>
    <m/>
    <x v="12"/>
    <m/>
    <m/>
    <s v="Defense White Paper Appendix"/>
    <m/>
  </r>
  <r>
    <x v="1"/>
    <x v="1"/>
    <s v="Asia"/>
    <s v="No Specific Relationship"/>
    <x v="0"/>
    <s v="INDOPACOM"/>
    <x v="52"/>
    <x v="13"/>
    <n v="5"/>
    <s v="BL - Hosted"/>
    <s v="Cao Gangchuan"/>
    <m/>
    <s v="CMC Vice Chairman; Defense Minister"/>
    <n v="10"/>
    <x v="2"/>
    <s v="Chief, GPD "/>
    <x v="0"/>
    <m/>
    <m/>
    <m/>
    <m/>
    <x v="12"/>
    <m/>
    <m/>
    <s v="Defense White Paper Appendix"/>
    <m/>
  </r>
  <r>
    <x v="1"/>
    <x v="7"/>
    <s v="West Asia and Africa"/>
    <s v="No Specific Relationship"/>
    <x v="0"/>
    <s v="AFRICOM"/>
    <x v="69"/>
    <x v="13"/>
    <n v="5"/>
    <s v="BL - Hosted"/>
    <s v="Cao Gangchuan"/>
    <m/>
    <s v="CMC Vice Chairman; Defense Minister"/>
    <n v="10"/>
    <x v="2"/>
    <s v="Defense Minister"/>
    <x v="0"/>
    <m/>
    <m/>
    <m/>
    <m/>
    <x v="12"/>
    <m/>
    <m/>
    <s v="Defense White Paper Appendix"/>
    <m/>
  </r>
  <r>
    <x v="1"/>
    <x v="7"/>
    <s v="West Asia and Africa"/>
    <s v="No Specific Relationship"/>
    <x v="0"/>
    <s v="AFRICOM"/>
    <x v="69"/>
    <x v="13"/>
    <n v="5"/>
    <s v="BL - Abroad"/>
    <s v="Xiong Guangkai"/>
    <m/>
    <s v="GSD DCGS"/>
    <n v="6"/>
    <x v="1"/>
    <m/>
    <x v="0"/>
    <m/>
    <m/>
    <m/>
    <m/>
    <x v="12"/>
    <m/>
    <m/>
    <s v="Defense White Paper Appendix"/>
    <m/>
  </r>
  <r>
    <x v="1"/>
    <x v="7"/>
    <s v="West Asia and Africa"/>
    <s v="No Specific Relationship"/>
    <x v="0"/>
    <s v="AFRICOM"/>
    <x v="104"/>
    <x v="13"/>
    <n v="5"/>
    <s v="BL - Hosted"/>
    <s v="Cao Gangchuan"/>
    <m/>
    <s v="CMC Vice Chairman; Defense Minister"/>
    <n v="10"/>
    <x v="2"/>
    <s v="COGS"/>
    <x v="0"/>
    <m/>
    <m/>
    <m/>
    <m/>
    <x v="12"/>
    <m/>
    <m/>
    <s v="Defense White Paper Appendix"/>
    <m/>
  </r>
  <r>
    <x v="1"/>
    <x v="7"/>
    <s v="West Asia and Africa"/>
    <s v="No Specific Relationship"/>
    <x v="0"/>
    <s v="AFRICOM"/>
    <x v="36"/>
    <x v="13"/>
    <n v="5"/>
    <s v="BL - Hosted"/>
    <s v="Cao Gangchuan"/>
    <m/>
    <s v="CMC Vice Chairman; Defense Minister"/>
    <n v="10"/>
    <x v="2"/>
    <s v="Defense Minister"/>
    <x v="0"/>
    <m/>
    <m/>
    <m/>
    <m/>
    <x v="12"/>
    <m/>
    <m/>
    <s v="Defense White Paper Appendix"/>
    <m/>
  </r>
  <r>
    <x v="1"/>
    <x v="4"/>
    <s v="Asia"/>
    <s v="Bilateral Defense Treaty"/>
    <x v="0"/>
    <s v="INDOPACOM"/>
    <x v="9"/>
    <x v="13"/>
    <n v="5"/>
    <s v="BL - Hosted"/>
    <s v="Cao Gangchuan"/>
    <m/>
    <s v="CMC Vice Chairman; Defense Minister"/>
    <n v="10"/>
    <x v="2"/>
    <s v="Defense Minister"/>
    <x v="0"/>
    <m/>
    <m/>
    <m/>
    <m/>
    <x v="12"/>
    <m/>
    <m/>
    <s v="Defense White Paper Appendix"/>
    <m/>
  </r>
  <r>
    <x v="1"/>
    <x v="0"/>
    <s v="Asia"/>
    <s v="Strategic Partnership [战略伙伴关系]"/>
    <x v="1"/>
    <s v="CENTCOM"/>
    <x v="2"/>
    <x v="13"/>
    <n v="5"/>
    <s v="BL - Hosted"/>
    <s v="Cao Gangchuan"/>
    <m/>
    <s v="CMC Vice Chairman; Defense Minister"/>
    <n v="10"/>
    <x v="2"/>
    <s v="Chief of Naval Staff, Pakistan"/>
    <x v="0"/>
    <m/>
    <m/>
    <m/>
    <m/>
    <x v="12"/>
    <m/>
    <m/>
    <s v="Defense White Paper Appendix"/>
    <m/>
  </r>
  <r>
    <x v="1"/>
    <x v="0"/>
    <s v="Asia"/>
    <s v="Strategic Partnership [战略伙伴关系]"/>
    <x v="1"/>
    <s v="CENTCOM"/>
    <x v="2"/>
    <x v="13"/>
    <n v="5"/>
    <s v="BL - Hosted"/>
    <s v="Cao Gangchuan"/>
    <m/>
    <s v="CMC Vice Chairman; Defense Minister"/>
    <n v="10"/>
    <x v="2"/>
    <s v="Commandant Pakistan National Defense College"/>
    <x v="0"/>
    <m/>
    <m/>
    <m/>
    <m/>
    <x v="12"/>
    <m/>
    <m/>
    <s v="Defense White Paper Appendix"/>
    <m/>
  </r>
  <r>
    <x v="1"/>
    <x v="8"/>
    <s v="Europe and Central Asia"/>
    <s v="No Specific Relationship"/>
    <x v="5"/>
    <s v="EUCOM"/>
    <x v="59"/>
    <x v="13"/>
    <n v="5"/>
    <s v="BL - Abroad"/>
    <s v="Li Jinai"/>
    <m/>
    <s v="GPD Deputy Director"/>
    <n v="8"/>
    <x v="1"/>
    <m/>
    <x v="0"/>
    <m/>
    <m/>
    <m/>
    <m/>
    <x v="12"/>
    <m/>
    <m/>
    <s v="Defense White Paper Appendix"/>
    <s v="Updated positions with DWP"/>
  </r>
  <r>
    <x v="1"/>
    <x v="8"/>
    <s v="Europe and Central Asia"/>
    <s v="Comprehensive Friendly Cooperative Partnership [全面友好合作伙伴关系]"/>
    <x v="5"/>
    <s v="EUCOM"/>
    <x v="33"/>
    <x v="13"/>
    <n v="5"/>
    <s v="BL - Abroad"/>
    <s v="Liang Guanglie"/>
    <m/>
    <s v="GSD Commander; CMC Member"/>
    <n v="8"/>
    <x v="1"/>
    <m/>
    <x v="0"/>
    <m/>
    <m/>
    <m/>
    <m/>
    <x v="12"/>
    <m/>
    <m/>
    <s v="Defense White Paper Appendix"/>
    <m/>
  </r>
  <r>
    <x v="1"/>
    <x v="3"/>
    <s v="Europe and Central Asia"/>
    <s v="Strategic Partnership of Coordination [战略协作伙伴关系]"/>
    <x v="0"/>
    <s v="EUCOM"/>
    <x v="7"/>
    <x v="13"/>
    <n v="5"/>
    <s v="BL - Abroad"/>
    <s v="Liang Guanglie"/>
    <m/>
    <s v="GSD Commander; CMC Member"/>
    <n v="8"/>
    <x v="1"/>
    <m/>
    <x v="0"/>
    <m/>
    <m/>
    <m/>
    <m/>
    <x v="12"/>
    <m/>
    <m/>
    <s v="Defense White Paper Appendix"/>
    <m/>
  </r>
  <r>
    <x v="1"/>
    <x v="8"/>
    <s v="Europe and Central Asia"/>
    <s v="No Specific Relationship"/>
    <x v="5"/>
    <s v="EUCOM"/>
    <x v="40"/>
    <x v="13"/>
    <n v="5"/>
    <s v="BL - Abroad"/>
    <s v="Li Jinai"/>
    <m/>
    <s v="GPD Deputy Director"/>
    <n v="8"/>
    <x v="1"/>
    <m/>
    <x v="0"/>
    <m/>
    <m/>
    <m/>
    <m/>
    <x v="12"/>
    <m/>
    <m/>
    <s v="Defense White Paper Appendix"/>
    <s v="Updated positions with DWP"/>
  </r>
  <r>
    <x v="1"/>
    <x v="7"/>
    <s v="West Asia and Africa"/>
    <s v="No Specific Relationship"/>
    <x v="0"/>
    <s v="AFRICOM"/>
    <x v="16"/>
    <x v="13"/>
    <n v="5"/>
    <s v="BL - Abroad"/>
    <s v="Xiong Guangkai"/>
    <m/>
    <s v="GSD DCGS"/>
    <n v="6"/>
    <x v="1"/>
    <m/>
    <x v="0"/>
    <m/>
    <m/>
    <m/>
    <m/>
    <x v="12"/>
    <m/>
    <m/>
    <s v="Defense White Paper Appendix"/>
    <m/>
  </r>
  <r>
    <x v="1"/>
    <x v="8"/>
    <s v="Europe and Central Asia"/>
    <s v="Comprehensive Strategic Partnership [全面战略伙伴关系]"/>
    <x v="5"/>
    <s v="EUCOM"/>
    <x v="21"/>
    <x v="13"/>
    <n v="5"/>
    <s v="BL - Abroad"/>
    <s v="Liang Guanglie"/>
    <m/>
    <s v="GSD Commander; CMC Member"/>
    <n v="8"/>
    <x v="1"/>
    <m/>
    <x v="0"/>
    <m/>
    <m/>
    <m/>
    <m/>
    <x v="12"/>
    <m/>
    <m/>
    <s v="Defense White Paper Appendix"/>
    <m/>
  </r>
  <r>
    <x v="1"/>
    <x v="0"/>
    <s v="Asia"/>
    <s v="Good-Neighborly Partnership [世代友好的睦邻伙伴关系]"/>
    <x v="0"/>
    <s v="INDOPACOM"/>
    <x v="32"/>
    <x v="13"/>
    <n v="6"/>
    <s v="BL - Hosted"/>
    <s v="Liang Guanglie"/>
    <m/>
    <s v="GSD Commander; CMC Member"/>
    <n v="8"/>
    <x v="2"/>
    <s v="Army Chief of Staff"/>
    <x v="0"/>
    <m/>
    <m/>
    <m/>
    <m/>
    <x v="12"/>
    <m/>
    <m/>
    <s v="Defense White Paper Appendix"/>
    <s v="Recoded as South Asia"/>
  </r>
  <r>
    <x v="1"/>
    <x v="4"/>
    <s v="Asia"/>
    <s v="Bilateral Defense Treaty"/>
    <x v="0"/>
    <s v="INDOPACOM"/>
    <x v="9"/>
    <x v="13"/>
    <n v="6"/>
    <s v="BL - Abroad"/>
    <s v="Li Yu"/>
    <m/>
    <s v="GSD Assistant Commander"/>
    <n v="5"/>
    <x v="1"/>
    <m/>
    <x v="0"/>
    <m/>
    <m/>
    <m/>
    <m/>
    <x v="12"/>
    <m/>
    <m/>
    <s v="Defense White Paper Appendix"/>
    <m/>
  </r>
  <r>
    <x v="1"/>
    <x v="8"/>
    <s v="Europe and Central Asia"/>
    <s v="Comprehensive Friendly Cooperative Partnership [全面友好合作伙伴关系]"/>
    <x v="5"/>
    <s v="EUCOM"/>
    <x v="33"/>
    <x v="13"/>
    <n v="6"/>
    <s v="BL - Hosted"/>
    <s v="Liang Guanglie"/>
    <m/>
    <s v="GSD Commander; CMC Member"/>
    <n v="8"/>
    <x v="2"/>
    <s v="State Affairs Secretary and concurrent Chief of General Ordnance Department"/>
    <x v="0"/>
    <m/>
    <m/>
    <m/>
    <m/>
    <x v="12"/>
    <m/>
    <m/>
    <s v="Defense White Paper Appendix"/>
    <m/>
  </r>
  <r>
    <x v="2"/>
    <x v="8"/>
    <s v="Europe and Central Asia"/>
    <s v="Comprehensive Strategic Partnership [全面战略伙伴关系]"/>
    <x v="5"/>
    <s v="EUCOM"/>
    <x v="21"/>
    <x v="13"/>
    <n v="6"/>
    <s v="Military Exercise - Bilateral"/>
    <m/>
    <m/>
    <m/>
    <m/>
    <x v="0"/>
    <m/>
    <x v="2"/>
    <s v="Unknown"/>
    <s v="Navy"/>
    <s v="SAREX"/>
    <m/>
    <x v="12"/>
    <m/>
    <m/>
    <s v="Defense White Paper Appendix"/>
    <m/>
  </r>
  <r>
    <x v="1"/>
    <x v="10"/>
    <s v="America and Oceania"/>
    <s v="No Specific Relationship"/>
    <x v="0"/>
    <s v="SOUTHCOM"/>
    <x v="49"/>
    <x v="13"/>
    <n v="7"/>
    <s v="BL - Abroad"/>
    <s v="Zhang Wentai"/>
    <m/>
    <s v="GLD Political Commissar"/>
    <n v="6"/>
    <x v="1"/>
    <m/>
    <x v="0"/>
    <m/>
    <m/>
    <m/>
    <m/>
    <x v="12"/>
    <m/>
    <m/>
    <s v="Defense White Paper Appendix"/>
    <m/>
  </r>
  <r>
    <x v="1"/>
    <x v="9"/>
    <s v="West Asia and Africa"/>
    <s v="Strategic Cooperative Partnership [战略合作伙伴关系]"/>
    <x v="1"/>
    <s v="CENTCOM"/>
    <x v="24"/>
    <x v="13"/>
    <n v="7"/>
    <s v="BL - Abroad"/>
    <s v="Guo Boxiong"/>
    <m/>
    <s v="CMC Vice Chairman"/>
    <n v="10"/>
    <x v="1"/>
    <s v="Defense Minister"/>
    <x v="0"/>
    <m/>
    <m/>
    <m/>
    <m/>
    <x v="12"/>
    <m/>
    <m/>
    <s v="Defense White Paper Appendix"/>
    <m/>
  </r>
  <r>
    <x v="1"/>
    <x v="8"/>
    <s v="Europe and Central Asia"/>
    <s v="No Specific Relationship"/>
    <x v="5"/>
    <s v="EUCOM"/>
    <x v="18"/>
    <x v="13"/>
    <n v="7"/>
    <s v="BL - Hosted"/>
    <s v="Liang Guanglie"/>
    <m/>
    <s v="GSD Commander; CMC Member"/>
    <n v="8"/>
    <x v="2"/>
    <s v="Deputy General Inspector Armed Forces"/>
    <x v="0"/>
    <m/>
    <m/>
    <m/>
    <m/>
    <x v="12"/>
    <m/>
    <m/>
    <s v="Defense White Paper Appendix"/>
    <m/>
  </r>
  <r>
    <x v="1"/>
    <x v="8"/>
    <s v="Europe and Central Asia"/>
    <s v="No Specific Relationship"/>
    <x v="5"/>
    <s v="EUCOM"/>
    <x v="37"/>
    <x v="13"/>
    <n v="7"/>
    <s v="BL - Abroad"/>
    <s v="Xiong Guangkai"/>
    <m/>
    <s v="GSD DCGS"/>
    <n v="6"/>
    <x v="1"/>
    <m/>
    <x v="0"/>
    <m/>
    <m/>
    <m/>
    <m/>
    <x v="12"/>
    <m/>
    <m/>
    <s v="Defense White Paper Appendix"/>
    <m/>
  </r>
  <r>
    <x v="1"/>
    <x v="8"/>
    <s v="Europe and Central Asia"/>
    <s v="No Specific Relationship"/>
    <x v="5"/>
    <s v="EUCOM"/>
    <x v="59"/>
    <x v="13"/>
    <n v="7"/>
    <s v="BL - Abroad"/>
    <s v="Zhao Keming"/>
    <m/>
    <s v="PLA NDU Political Commissar"/>
    <n v="6"/>
    <x v="1"/>
    <m/>
    <x v="0"/>
    <m/>
    <m/>
    <m/>
    <m/>
    <x v="12"/>
    <m/>
    <m/>
    <s v="Defense White Paper Appendix"/>
    <m/>
  </r>
  <r>
    <x v="1"/>
    <x v="3"/>
    <s v="Europe and Central Asia"/>
    <s v="Strategic Partnership of Coordination [战略协作伙伴关系]"/>
    <x v="0"/>
    <s v="EUCOM"/>
    <x v="7"/>
    <x v="13"/>
    <n v="7"/>
    <s v="BL - Abroad"/>
    <s v="Guo Boxiong"/>
    <m/>
    <s v="CMC Vice Chairman"/>
    <n v="10"/>
    <x v="1"/>
    <s v="Defense Minister"/>
    <x v="0"/>
    <m/>
    <m/>
    <m/>
    <m/>
    <x v="12"/>
    <m/>
    <m/>
    <s v="Defense White Paper Appendix"/>
    <m/>
  </r>
  <r>
    <x v="1"/>
    <x v="6"/>
    <s v="Europe and Central Asia"/>
    <s v="Member"/>
    <x v="0"/>
    <s v="CENTCOM"/>
    <x v="14"/>
    <x v="13"/>
    <n v="7"/>
    <s v="ML - Hosted"/>
    <s v="Xiong Guangkai"/>
    <m/>
    <s v="GSD DCGS"/>
    <n v="8"/>
    <x v="2"/>
    <s v="first defense security seminar of the Shanghai Cooperation Organization"/>
    <x v="0"/>
    <m/>
    <m/>
    <m/>
    <m/>
    <x v="12"/>
    <m/>
    <m/>
    <s v="https://dlib.eastview.com/browse/doc/14666368"/>
    <m/>
  </r>
  <r>
    <x v="1"/>
    <x v="7"/>
    <s v="West Asia and Africa"/>
    <s v="Strategic Partnership [战略伙伴关系]"/>
    <x v="0"/>
    <s v="AFRICOM"/>
    <x v="15"/>
    <x v="13"/>
    <n v="7"/>
    <s v="BL - Abroad"/>
    <s v="Guo Boxiong"/>
    <m/>
    <s v="CMC Vice Chairman"/>
    <n v="10"/>
    <x v="1"/>
    <m/>
    <x v="0"/>
    <m/>
    <m/>
    <m/>
    <m/>
    <x v="12"/>
    <m/>
    <m/>
    <s v="Defense White Paper Appendix"/>
    <m/>
  </r>
  <r>
    <x v="1"/>
    <x v="2"/>
    <s v="America and Oceania"/>
    <s v="No Specific Relationship"/>
    <x v="2"/>
    <s v="NORTHCOM"/>
    <x v="4"/>
    <x v="13"/>
    <n v="7"/>
    <s v="BL - Hosted"/>
    <s v="Liang Guanglie"/>
    <m/>
    <s v="GSD Commander; CMC Member"/>
    <n v="8"/>
    <x v="2"/>
    <s v="PACOM Commander"/>
    <x v="0"/>
    <m/>
    <m/>
    <m/>
    <m/>
    <x v="12"/>
    <m/>
    <m/>
    <s v="Defense White Paper Appendix"/>
    <m/>
  </r>
  <r>
    <x v="1"/>
    <x v="7"/>
    <s v="West Asia and Africa"/>
    <s v="No Specific Relationship"/>
    <x v="0"/>
    <s v="AFRICOM"/>
    <x v="105"/>
    <x v="13"/>
    <n v="8"/>
    <s v="BL - Abroad"/>
    <s v="Li Qianyuan"/>
    <m/>
    <s v="Lanzhou MR Commander"/>
    <n v="6"/>
    <x v="1"/>
    <m/>
    <x v="0"/>
    <m/>
    <m/>
    <m/>
    <m/>
    <x v="12"/>
    <m/>
    <m/>
    <s v="Defense White Paper Appendix"/>
    <m/>
  </r>
  <r>
    <x v="1"/>
    <x v="5"/>
    <s v="America and Oceania"/>
    <s v="No Specific Relationship"/>
    <x v="4"/>
    <s v="INDOPACOM"/>
    <x v="12"/>
    <x v="13"/>
    <n v="8"/>
    <s v="BL - Hosted"/>
    <s v="Liang Guanglie"/>
    <m/>
    <s v="GSD Commander; CMC Member"/>
    <n v="8"/>
    <x v="2"/>
    <s v="Commander National Defense Forces"/>
    <x v="0"/>
    <m/>
    <m/>
    <m/>
    <m/>
    <x v="12"/>
    <m/>
    <m/>
    <s v="Defense White Paper Appendix"/>
    <m/>
  </r>
  <r>
    <x v="1"/>
    <x v="10"/>
    <s v="America and Oceania"/>
    <s v="Comprehensive Partnership [全面伙伴关系]"/>
    <x v="0"/>
    <s v="SOUTHCOM"/>
    <x v="66"/>
    <x v="13"/>
    <n v="8"/>
    <s v="BL - Abroad"/>
    <s v="Fan Changlong"/>
    <m/>
    <s v="Jinan MR Commander"/>
    <n v="6"/>
    <x v="1"/>
    <m/>
    <x v="0"/>
    <m/>
    <m/>
    <m/>
    <m/>
    <x v="12"/>
    <m/>
    <m/>
    <s v="Defense White Paper Appendix"/>
    <m/>
  </r>
  <r>
    <x v="1"/>
    <x v="10"/>
    <s v="America and Oceania"/>
    <s v="No Specific Relationship"/>
    <x v="0"/>
    <s v="SOUTHCOM"/>
    <x v="49"/>
    <x v="13"/>
    <n v="8"/>
    <s v="BL - Abroad"/>
    <s v="Li Yu"/>
    <m/>
    <s v="GSD Assistant Commander"/>
    <n v="5"/>
    <x v="1"/>
    <m/>
    <x v="0"/>
    <m/>
    <m/>
    <m/>
    <m/>
    <x v="12"/>
    <m/>
    <m/>
    <s v="Defense White Paper Appendix"/>
    <m/>
  </r>
  <r>
    <x v="1"/>
    <x v="2"/>
    <s v="America and Oceania"/>
    <s v="Strategic Cooperative Partnership [战略合作伙伴关系]"/>
    <x v="0"/>
    <s v="NORTHCOM"/>
    <x v="77"/>
    <x v="13"/>
    <n v="8"/>
    <s v="BL - Abroad"/>
    <s v="Li Yu"/>
    <m/>
    <s v="GSD Assistant Commander"/>
    <n v="5"/>
    <x v="1"/>
    <m/>
    <x v="0"/>
    <m/>
    <m/>
    <m/>
    <m/>
    <x v="12"/>
    <m/>
    <m/>
    <s v="Defense White Paper Appendix"/>
    <m/>
  </r>
  <r>
    <x v="2"/>
    <x v="0"/>
    <s v="Asia"/>
    <s v="Strategic Partnership [战略伙伴关系]"/>
    <x v="1"/>
    <s v="CENTCOM"/>
    <x v="2"/>
    <x v="13"/>
    <n v="8"/>
    <s v="Military Exercise - Bilateral"/>
    <m/>
    <m/>
    <m/>
    <m/>
    <x v="0"/>
    <m/>
    <x v="1"/>
    <s v="Unknown"/>
    <s v="Army"/>
    <s v="Anti-terrorism"/>
    <m/>
    <x v="12"/>
    <m/>
    <m/>
    <s v="Defense White Paper Appendix"/>
    <m/>
  </r>
  <r>
    <x v="1"/>
    <x v="7"/>
    <s v="West Asia and Africa"/>
    <s v="No Specific Relationship"/>
    <x v="0"/>
    <s v="AFRICOM"/>
    <x v="16"/>
    <x v="13"/>
    <n v="8"/>
    <s v="BL - Abroad"/>
    <s v="Deng Changyou"/>
    <m/>
    <s v="PLAAF Political Commissar"/>
    <n v="6"/>
    <x v="1"/>
    <m/>
    <x v="0"/>
    <m/>
    <m/>
    <m/>
    <m/>
    <x v="12"/>
    <m/>
    <m/>
    <s v="Defense White Paper Appendix"/>
    <m/>
  </r>
  <r>
    <x v="1"/>
    <x v="10"/>
    <s v="America and Oceania"/>
    <s v="No Specific Relationship"/>
    <x v="0"/>
    <s v="SOUTHCOM"/>
    <x v="75"/>
    <x v="13"/>
    <n v="8"/>
    <s v="BL - Abroad"/>
    <s v="Li Yu"/>
    <m/>
    <s v="GSD Assistant Commander"/>
    <n v="5"/>
    <x v="1"/>
    <m/>
    <x v="0"/>
    <m/>
    <m/>
    <m/>
    <m/>
    <x v="12"/>
    <m/>
    <m/>
    <s v="Defense White Paper Appendix"/>
    <m/>
  </r>
  <r>
    <x v="1"/>
    <x v="9"/>
    <s v="West Asia and Africa"/>
    <s v="No Specific Relationship"/>
    <x v="0"/>
    <s v="CENTCOM"/>
    <x v="106"/>
    <x v="13"/>
    <n v="8"/>
    <s v="BL - Hosted"/>
    <s v="Liang Guanglie"/>
    <m/>
    <s v="GSD Commander; CMC Member"/>
    <n v="8"/>
    <x v="2"/>
    <s v="Army Commander"/>
    <x v="0"/>
    <m/>
    <m/>
    <m/>
    <m/>
    <x v="12"/>
    <m/>
    <m/>
    <s v="https://dlib-eastview-com.ezproxy.princeton.edu/search/simple/doc?pager.offset=0&amp;id=14666421&amp;hl=%E9%98%BF%E8%81%94https://dlib.eastview.com/browse/doc/14666421"/>
    <m/>
  </r>
  <r>
    <x v="1"/>
    <x v="10"/>
    <s v="America and Oceania"/>
    <s v="No Specific Relationship"/>
    <x v="0"/>
    <s v="SOUTHCOM"/>
    <x v="107"/>
    <x v="13"/>
    <n v="8"/>
    <s v="BL - Abroad"/>
    <s v="Fan Changlong"/>
    <m/>
    <s v="Jinan MR Commander"/>
    <n v="6"/>
    <x v="1"/>
    <m/>
    <x v="0"/>
    <m/>
    <m/>
    <m/>
    <m/>
    <x v="12"/>
    <m/>
    <m/>
    <s v="Defense White Paper Appendix"/>
    <m/>
  </r>
  <r>
    <x v="1"/>
    <x v="7"/>
    <s v="West Asia and Africa"/>
    <s v="No Specific Relationship"/>
    <x v="0"/>
    <s v="AFRICOM"/>
    <x v="61"/>
    <x v="13"/>
    <n v="8"/>
    <s v="BL - Abroad"/>
    <s v="Li Qianyuan"/>
    <m/>
    <s v="Lanzhou MR Commander"/>
    <n v="6"/>
    <x v="1"/>
    <m/>
    <x v="0"/>
    <m/>
    <m/>
    <m/>
    <m/>
    <x v="12"/>
    <m/>
    <m/>
    <s v="Defense White Paper Appendix"/>
    <m/>
  </r>
  <r>
    <x v="1"/>
    <x v="8"/>
    <s v="Europe and Central Asia"/>
    <s v="No Specific Relationship"/>
    <x v="5"/>
    <s v="EUCOM"/>
    <x v="108"/>
    <x v="13"/>
    <n v="9"/>
    <s v="BL - Hosted"/>
    <s v="Liang Guanglie"/>
    <m/>
    <s v="GSD Commander; CMC Member"/>
    <n v="8"/>
    <x v="2"/>
    <s v="COGS Austrian Army"/>
    <x v="0"/>
    <m/>
    <m/>
    <m/>
    <m/>
    <x v="12"/>
    <m/>
    <m/>
    <s v="Defense White Paper Appendix"/>
    <m/>
  </r>
  <r>
    <x v="1"/>
    <x v="0"/>
    <s v="Asia"/>
    <s v="No Specific Relationship"/>
    <x v="0"/>
    <s v="INDOPACOM"/>
    <x v="0"/>
    <x v="13"/>
    <n v="9"/>
    <s v="BL - Hosted"/>
    <s v="Xiong Guangkai"/>
    <m/>
    <s v="GSD Commander; CMC Member"/>
    <n v="8"/>
    <x v="2"/>
    <s v="Army Chief of Staff"/>
    <x v="0"/>
    <m/>
    <m/>
    <m/>
    <m/>
    <x v="12"/>
    <m/>
    <m/>
    <s v="Defense White Paper Appendix"/>
    <m/>
  </r>
  <r>
    <x v="1"/>
    <x v="1"/>
    <s v="Asia"/>
    <s v="No Specific Relationship"/>
    <x v="0"/>
    <s v="INDOPACOM"/>
    <x v="44"/>
    <x v="13"/>
    <n v="9"/>
    <s v="BL - Hosted"/>
    <s v="Cao Gangchuan"/>
    <m/>
    <s v="CMC Vice Chairman; Defense Minister"/>
    <n v="10"/>
    <x v="2"/>
    <s v="Commander, Armed Forces"/>
    <x v="0"/>
    <m/>
    <m/>
    <m/>
    <m/>
    <x v="12"/>
    <m/>
    <m/>
    <s v="Defense White Paper Appendix"/>
    <m/>
  </r>
  <r>
    <x v="1"/>
    <x v="8"/>
    <s v="Europe and Central Asia"/>
    <s v="No Specific Relationship"/>
    <x v="5"/>
    <s v="EUCOM"/>
    <x v="35"/>
    <x v="13"/>
    <n v="9"/>
    <s v="BL - Abroad"/>
    <s v="Lei Mingqiu"/>
    <m/>
    <s v="Nanjing MR Political Commissar"/>
    <n v="6"/>
    <x v="1"/>
    <m/>
    <x v="0"/>
    <m/>
    <m/>
    <m/>
    <m/>
    <x v="12"/>
    <m/>
    <m/>
    <s v="Defense White Paper Appendix"/>
    <m/>
  </r>
  <r>
    <x v="1"/>
    <x v="10"/>
    <s v="America and Oceania"/>
    <s v="No Specific Relationship"/>
    <x v="0"/>
    <s v="SOUTHCOM"/>
    <x v="49"/>
    <x v="13"/>
    <n v="9"/>
    <s v="BL - Hosted"/>
    <s v="Cao Gangchuan"/>
    <m/>
    <s v="CMC Vice Chairman; Defense Minister"/>
    <n v="10"/>
    <x v="2"/>
    <s v="Commander, western army"/>
    <x v="0"/>
    <m/>
    <m/>
    <m/>
    <m/>
    <x v="12"/>
    <m/>
    <m/>
    <s v="Defense White Paper Appendix"/>
    <m/>
  </r>
  <r>
    <x v="1"/>
    <x v="9"/>
    <s v="West Asia and Africa"/>
    <s v="Strategic Cooperative Partnership [战略合作伙伴关系]"/>
    <x v="1"/>
    <s v="CENTCOM"/>
    <x v="24"/>
    <x v="13"/>
    <n v="9"/>
    <s v="BL - Hosted"/>
    <s v="Cao Gangchuan"/>
    <m/>
    <s v="CMC Vice Chairman; Defense Minister"/>
    <n v="10"/>
    <x v="2"/>
    <s v="Defense Minister"/>
    <x v="0"/>
    <m/>
    <m/>
    <m/>
    <m/>
    <x v="12"/>
    <m/>
    <m/>
    <s v="Defense White Paper Appendix"/>
    <m/>
  </r>
  <r>
    <x v="1"/>
    <x v="8"/>
    <s v="Europe and Central Asia"/>
    <s v="No Specific Relationship"/>
    <x v="5"/>
    <s v="EUCOM"/>
    <x v="18"/>
    <x v="13"/>
    <n v="9"/>
    <s v="BL - Abroad"/>
    <s v="Li Yu"/>
    <m/>
    <s v="GSD Assistant Commander"/>
    <n v="5"/>
    <x v="1"/>
    <m/>
    <x v="0"/>
    <m/>
    <m/>
    <m/>
    <m/>
    <x v="12"/>
    <m/>
    <m/>
    <s v="Defense White Paper Appendix"/>
    <m/>
  </r>
  <r>
    <x v="1"/>
    <x v="7"/>
    <s v="West Asia and Africa"/>
    <s v="No Specific Relationship"/>
    <x v="0"/>
    <s v="AFRICOM"/>
    <x v="109"/>
    <x v="13"/>
    <n v="9"/>
    <s v="BL - Hosted"/>
    <s v="Cao Gangchuan"/>
    <m/>
    <s v="CMC Vice Chairman; Defense Minister"/>
    <n v="10"/>
    <x v="2"/>
    <s v="Defense Minister"/>
    <x v="0"/>
    <m/>
    <m/>
    <m/>
    <m/>
    <x v="12"/>
    <m/>
    <m/>
    <s v="Defense White Paper Appendix"/>
    <m/>
  </r>
  <r>
    <x v="1"/>
    <x v="8"/>
    <s v="Europe and Central Asia"/>
    <s v="No Specific Relationship"/>
    <x v="5"/>
    <s v="EUCOM"/>
    <x v="82"/>
    <x v="13"/>
    <n v="9"/>
    <s v="BL - Abroad"/>
    <s v="Liu Yongzhi"/>
    <m/>
    <s v="Lanzhou MR Political Commissar"/>
    <n v="6"/>
    <x v="1"/>
    <m/>
    <x v="0"/>
    <m/>
    <m/>
    <m/>
    <m/>
    <x v="12"/>
    <m/>
    <m/>
    <s v="Defense White Paper Appendix"/>
    <m/>
  </r>
  <r>
    <x v="1"/>
    <x v="8"/>
    <s v="Europe and Central Asia"/>
    <s v="Comprehensive Strategic Partnership [全面战略伙伴关系]"/>
    <x v="5"/>
    <s v="EUCOM"/>
    <x v="20"/>
    <x v="13"/>
    <n v="9"/>
    <s v="BL - Abroad"/>
    <s v="Li Yu"/>
    <m/>
    <s v="GSD Assistant Commander"/>
    <n v="5"/>
    <x v="1"/>
    <m/>
    <x v="0"/>
    <m/>
    <m/>
    <m/>
    <m/>
    <x v="12"/>
    <m/>
    <m/>
    <s v="Defense White Paper Appendix"/>
    <m/>
  </r>
  <r>
    <x v="1"/>
    <x v="9"/>
    <s v="West Asia and Africa"/>
    <s v="No Specific Relationship"/>
    <x v="1"/>
    <s v="CENTCOM"/>
    <x v="101"/>
    <x v="13"/>
    <n v="9"/>
    <s v="BL - Hosted"/>
    <s v="Cao Gangchuan"/>
    <m/>
    <s v="CMC Vice Chairman; Defense Minister"/>
    <n v="10"/>
    <x v="2"/>
    <s v="Chairman JCS"/>
    <x v="0"/>
    <m/>
    <m/>
    <m/>
    <m/>
    <x v="12"/>
    <m/>
    <m/>
    <s v="Defense White Paper Appendix"/>
    <m/>
  </r>
  <r>
    <x v="1"/>
    <x v="6"/>
    <s v="Europe and Central Asia"/>
    <s v="Comprehensive Cooperative Partnership [全面合作伙伴关系]"/>
    <x v="0"/>
    <s v="CENTCOM"/>
    <x v="30"/>
    <x v="13"/>
    <n v="9"/>
    <s v="BL - Hosted"/>
    <s v="Cao Gangchuan"/>
    <m/>
    <s v="CMC Vice Chairman; Defense Minister"/>
    <n v="10"/>
    <x v="2"/>
    <s v="Vice Chairman, Committee of Chief of Staff and Chief of Dept of Operation Planning of Defense Ministry"/>
    <x v="0"/>
    <m/>
    <m/>
    <m/>
    <m/>
    <x v="12"/>
    <m/>
    <m/>
    <s v="Defense White Paper Appendix"/>
    <m/>
  </r>
  <r>
    <x v="1"/>
    <x v="6"/>
    <s v="Europe and Central Asia"/>
    <s v="No Specific Relationship"/>
    <x v="0"/>
    <s v="CENTCOM"/>
    <x v="31"/>
    <x v="13"/>
    <n v="9"/>
    <s v="BL - Hosted"/>
    <s v="Cao Gangchuan"/>
    <m/>
    <s v="CMC Vice Chairman; Defense Minister"/>
    <n v="10"/>
    <x v="2"/>
    <s v="Deputy Defense Minister"/>
    <x v="0"/>
    <m/>
    <m/>
    <m/>
    <m/>
    <x v="12"/>
    <m/>
    <m/>
    <s v="Defense White Paper Appendix"/>
    <m/>
  </r>
  <r>
    <x v="1"/>
    <x v="9"/>
    <s v="West Asia and Africa"/>
    <s v="No Specific Relationship"/>
    <x v="0"/>
    <s v="CENTCOM"/>
    <x v="110"/>
    <x v="13"/>
    <n v="9"/>
    <s v="BL - Abroad"/>
    <s v="Liu Zhenwu"/>
    <m/>
    <s v="Guangzhou MR Commander"/>
    <n v="6"/>
    <x v="1"/>
    <m/>
    <x v="0"/>
    <m/>
    <m/>
    <m/>
    <m/>
    <x v="12"/>
    <m/>
    <m/>
    <s v="Defense White Paper Appendix"/>
    <m/>
  </r>
  <r>
    <x v="1"/>
    <x v="8"/>
    <s v="Europe and Central Asia"/>
    <s v="Friendly Cooperative Partnership [友好合作伙伴关系]"/>
    <x v="5"/>
    <s v="EUCOM"/>
    <x v="111"/>
    <x v="13"/>
    <n v="9"/>
    <s v="BL - Hosted"/>
    <s v="Cao Gangchuan"/>
    <m/>
    <s v="CMC Vice Chairman; Defense Minister"/>
    <n v="8"/>
    <x v="2"/>
    <s v="Defense Minister"/>
    <x v="0"/>
    <m/>
    <m/>
    <m/>
    <m/>
    <x v="12"/>
    <m/>
    <m/>
    <s v="https://dlib.eastview.com/browse/doc/14386032"/>
    <m/>
  </r>
  <r>
    <x v="1"/>
    <x v="1"/>
    <s v="Asia"/>
    <s v="No Specific Relationship"/>
    <x v="3"/>
    <s v="INDOPACOM"/>
    <x v="11"/>
    <x v="13"/>
    <n v="9"/>
    <s v="BL - Hosted"/>
    <s v="Cao Gangchuan"/>
    <m/>
    <s v="CMC Vice Chairman; Defense Minister"/>
    <n v="10"/>
    <x v="2"/>
    <s v="COGS"/>
    <x v="0"/>
    <m/>
    <m/>
    <m/>
    <m/>
    <x v="12"/>
    <m/>
    <m/>
    <s v="Defense White Paper Appendix"/>
    <m/>
  </r>
  <r>
    <x v="1"/>
    <x v="8"/>
    <s v="Europe and Central Asia"/>
    <s v="Comprehensive Friendly Cooperative Partnership [全面友好合作伙伴关系]"/>
    <x v="5"/>
    <s v="EUCOM"/>
    <x v="33"/>
    <x v="13"/>
    <n v="9"/>
    <s v="BL - Abroad"/>
    <s v="Lei Mingqiu"/>
    <m/>
    <s v="Nanjing MR Political Commissar"/>
    <n v="6"/>
    <x v="1"/>
    <m/>
    <x v="0"/>
    <m/>
    <m/>
    <m/>
    <m/>
    <x v="12"/>
    <m/>
    <m/>
    <s v="Defense White Paper Appendix"/>
    <m/>
  </r>
  <r>
    <x v="1"/>
    <x v="3"/>
    <s v="Europe and Central Asia"/>
    <s v="Strategic Partnership of Coordination [战略协作伙伴关系]"/>
    <x v="0"/>
    <s v="EUCOM"/>
    <x v="7"/>
    <x v="13"/>
    <n v="9"/>
    <s v="BL - Abroad"/>
    <s v="Liu Yongzhi"/>
    <m/>
    <s v="Lanzhou MR Political Commissar"/>
    <n v="6"/>
    <x v="1"/>
    <m/>
    <x v="0"/>
    <m/>
    <m/>
    <m/>
    <m/>
    <x v="12"/>
    <m/>
    <m/>
    <s v="Defense White Paper Appendix"/>
    <m/>
  </r>
  <r>
    <x v="1"/>
    <x v="8"/>
    <s v="Europe and Central Asia"/>
    <s v="No Specific Relationship"/>
    <x v="0"/>
    <s v="EUCOM"/>
    <x v="112"/>
    <x v="13"/>
    <n v="9"/>
    <s v="BL - Hosted"/>
    <s v="Cao Gangchuan"/>
    <m/>
    <s v="CMC Vice Chairman; Defense Minister"/>
    <n v="10"/>
    <x v="2"/>
    <s v="Defense Minister"/>
    <x v="0"/>
    <m/>
    <m/>
    <m/>
    <m/>
    <x v="12"/>
    <m/>
    <m/>
    <s v="Defense White Paper Appendix"/>
    <m/>
  </r>
  <r>
    <x v="1"/>
    <x v="8"/>
    <s v="Europe and Central Asia"/>
    <s v="No Specific Relationship"/>
    <x v="5"/>
    <s v="EUCOM"/>
    <x v="70"/>
    <x v="13"/>
    <n v="9"/>
    <s v="BL - Hosted"/>
    <s v="Wu Shengli"/>
    <m/>
    <s v="PLAN Commander "/>
    <n v="8"/>
    <x v="2"/>
    <s v="Army Chief of Staff"/>
    <x v="0"/>
    <m/>
    <m/>
    <m/>
    <m/>
    <x v="12"/>
    <m/>
    <m/>
    <s v="https://dlib.eastview.com/browse/doc/14660911"/>
    <m/>
  </r>
  <r>
    <x v="1"/>
    <x v="7"/>
    <s v="West Asia and Africa"/>
    <s v="No Specific Relationship"/>
    <x v="1"/>
    <s v="AFRICOM"/>
    <x v="85"/>
    <x v="13"/>
    <n v="9"/>
    <s v="BL - Hosted"/>
    <s v="Liang Guanglie"/>
    <m/>
    <s v="GSD Commander; CMC Member"/>
    <n v="8"/>
    <x v="2"/>
    <s v="Army Chief of Staff"/>
    <x v="0"/>
    <m/>
    <m/>
    <m/>
    <m/>
    <x v="12"/>
    <m/>
    <m/>
    <s v="https://dlib.eastview.com/browse/doc/14386034"/>
    <m/>
  </r>
  <r>
    <x v="1"/>
    <x v="8"/>
    <s v="Europe and Central Asia"/>
    <s v="Comprehensive Strategic Partnership [全面战略伙伴关系]"/>
    <x v="5"/>
    <s v="EUCOM"/>
    <x v="21"/>
    <x v="13"/>
    <n v="9"/>
    <s v="BL - Hosted"/>
    <s v="Cao Gangchuan"/>
    <m/>
    <s v="CMC Vice Chairman; Defense Minister"/>
    <n v="10"/>
    <x v="2"/>
    <s v="Defense Secretary"/>
    <x v="0"/>
    <m/>
    <m/>
    <m/>
    <m/>
    <x v="12"/>
    <m/>
    <m/>
    <s v="Defense White Paper Appendix"/>
    <m/>
  </r>
  <r>
    <x v="1"/>
    <x v="10"/>
    <s v="America and Oceania"/>
    <s v="No Specific Relationship"/>
    <x v="0"/>
    <s v="SOUTHCOM"/>
    <x v="107"/>
    <x v="13"/>
    <n v="9"/>
    <s v="BL - Hosted"/>
    <s v="Qiao Qingchen"/>
    <m/>
    <s v="PLAAF Commander"/>
    <n v="8"/>
    <x v="2"/>
    <s v="Commander, Air Force"/>
    <x v="0"/>
    <m/>
    <m/>
    <m/>
    <m/>
    <x v="12"/>
    <m/>
    <m/>
    <s v="Defense White Paper Appendix"/>
    <m/>
  </r>
  <r>
    <x v="1"/>
    <x v="5"/>
    <s v="America and Oceania"/>
    <s v="No Specific Relationship"/>
    <x v="4"/>
    <s v="INDOPACOM"/>
    <x v="12"/>
    <x v="13"/>
    <n v="10"/>
    <s v="BL - Abroad"/>
    <s v="Liang Guanglie"/>
    <m/>
    <s v="GSD Commander; CMC Member"/>
    <n v="8"/>
    <x v="1"/>
    <m/>
    <x v="0"/>
    <m/>
    <m/>
    <m/>
    <m/>
    <x v="12"/>
    <m/>
    <m/>
    <s v="Defense White Paper Appendix"/>
    <m/>
  </r>
  <r>
    <x v="2"/>
    <x v="5"/>
    <s v="America and Oceania"/>
    <s v="No Specific Relationship"/>
    <x v="4"/>
    <s v="INDOPACOM"/>
    <x v="12"/>
    <x v="13"/>
    <n v="10"/>
    <s v="Military Exercise - Bilateral"/>
    <m/>
    <m/>
    <m/>
    <m/>
    <x v="0"/>
    <m/>
    <x v="2"/>
    <s v="Unknown"/>
    <s v="Navy"/>
    <s v="SAREX"/>
    <m/>
    <x v="12"/>
    <m/>
    <m/>
    <s v="Defense White Paper Appendix"/>
    <m/>
  </r>
  <r>
    <x v="1"/>
    <x v="8"/>
    <s v="Europe and Central Asia"/>
    <s v="No Specific Relationship"/>
    <x v="5"/>
    <s v="EUCOM"/>
    <x v="68"/>
    <x v="13"/>
    <n v="10"/>
    <s v="BL - Abroad"/>
    <s v="Cao Gangchuan"/>
    <m/>
    <s v="CMC Vice Chairman; Defense Minister"/>
    <n v="10"/>
    <x v="1"/>
    <m/>
    <x v="0"/>
    <m/>
    <m/>
    <m/>
    <m/>
    <x v="12"/>
    <m/>
    <m/>
    <s v="Defense White Paper Appendix"/>
    <m/>
  </r>
  <r>
    <x v="1"/>
    <x v="10"/>
    <s v="America and Oceania"/>
    <s v="Comprehensive Strategic Partnership [全面战略伙伴关系]"/>
    <x v="0"/>
    <s v="SOUTHCOM"/>
    <x v="43"/>
    <x v="13"/>
    <n v="10"/>
    <s v="BL - Abroad"/>
    <s v="Cao Gangchuan"/>
    <m/>
    <s v="CMC Vice Chairman; Defense Minister"/>
    <n v="10"/>
    <x v="1"/>
    <m/>
    <x v="0"/>
    <m/>
    <m/>
    <m/>
    <m/>
    <x v="12"/>
    <m/>
    <m/>
    <s v="Defense White Paper Appendix"/>
    <m/>
  </r>
  <r>
    <x v="1"/>
    <x v="1"/>
    <s v="Asia"/>
    <s v="No Specific Relationship"/>
    <x v="0"/>
    <s v="INDOPACOM"/>
    <x v="94"/>
    <x v="13"/>
    <n v="10"/>
    <s v="BL - Hosted"/>
    <s v="Xu Caihou"/>
    <m/>
    <s v="CMC Vice Chairman"/>
    <n v="10"/>
    <x v="2"/>
    <s v="Royal Army Chief"/>
    <x v="0"/>
    <m/>
    <m/>
    <m/>
    <m/>
    <x v="12"/>
    <m/>
    <m/>
    <s v="https://dlib.eastview.com/browse/doc/14663334"/>
    <m/>
  </r>
  <r>
    <x v="1"/>
    <x v="10"/>
    <s v="America and Oceania"/>
    <s v="Comprehensive Partnership [全面伙伴关系]"/>
    <x v="0"/>
    <s v="SOUTHCOM"/>
    <x v="66"/>
    <x v="13"/>
    <n v="10"/>
    <s v="BL - Hosted"/>
    <s v="Liang Guanglie"/>
    <m/>
    <s v="GSD Commander; CMC Member"/>
    <n v="8"/>
    <x v="2"/>
    <s v="CinC Army"/>
    <x v="0"/>
    <m/>
    <m/>
    <m/>
    <m/>
    <x v="12"/>
    <m/>
    <m/>
    <s v="Defense White Paper Appendix"/>
    <m/>
  </r>
  <r>
    <x v="1"/>
    <x v="8"/>
    <s v="Europe and Central Asia"/>
    <s v="No Specific Relationship"/>
    <x v="0"/>
    <s v="EUCOM"/>
    <x v="81"/>
    <x v="13"/>
    <n v="10"/>
    <s v="BL - Abroad"/>
    <s v="Zhu Wenquan"/>
    <m/>
    <s v="Nanjing MR Commander"/>
    <n v="6"/>
    <x v="1"/>
    <m/>
    <x v="0"/>
    <m/>
    <m/>
    <m/>
    <m/>
    <x v="12"/>
    <m/>
    <m/>
    <s v="Defense White Paper Appendix"/>
    <m/>
  </r>
  <r>
    <x v="1"/>
    <x v="8"/>
    <s v="Europe and Central Asia"/>
    <s v="Comprehensive Partnership [全面伙伴关系]"/>
    <x v="5"/>
    <s v="EUCOM"/>
    <x v="22"/>
    <x v="13"/>
    <n v="10"/>
    <s v="BL - Abroad"/>
    <s v="Cao Gangchuan"/>
    <m/>
    <s v="CMC Vice Chairman; Defense Minister"/>
    <n v="10"/>
    <x v="1"/>
    <s v="Defense Minister"/>
    <x v="0"/>
    <m/>
    <m/>
    <m/>
    <m/>
    <x v="12"/>
    <m/>
    <m/>
    <s v="Defense White Paper Appendix"/>
    <m/>
  </r>
  <r>
    <x v="1"/>
    <x v="8"/>
    <s v="Europe and Central Asia"/>
    <s v="Comprehensive Strategic Partnership [全面战略伙伴关系]"/>
    <x v="5"/>
    <s v="EUCOM"/>
    <x v="20"/>
    <x v="13"/>
    <n v="10"/>
    <s v="BL - Hosted"/>
    <s v="Cao Gangchuan"/>
    <m/>
    <s v="CMC Vice Chairman; Defense Minister"/>
    <n v="8"/>
    <x v="2"/>
    <s v="Vice Defense Minister"/>
    <x v="0"/>
    <m/>
    <m/>
    <m/>
    <m/>
    <x v="12"/>
    <m/>
    <m/>
    <s v="Defense White Paper Appendix"/>
    <s v="No corroborating reporting on this visit; assess Cao Gangchuan as likely counterpart"/>
  </r>
  <r>
    <x v="1"/>
    <x v="8"/>
    <s v="Europe and Central Asia"/>
    <s v="Comprehensive Strategic Partnership [全面战略伙伴关系]"/>
    <x v="5"/>
    <s v="EUCOM"/>
    <x v="20"/>
    <x v="13"/>
    <n v="10"/>
    <s v="BL - Hosted"/>
    <s v="Liang Guanglie"/>
    <m/>
    <s v="GSD Commander; CMC Member"/>
    <n v="8"/>
    <x v="2"/>
    <s v="Air Force Chief of Staff"/>
    <x v="0"/>
    <m/>
    <m/>
    <m/>
    <m/>
    <x v="12"/>
    <m/>
    <m/>
    <s v="Defense White Paper Appendix"/>
    <m/>
  </r>
  <r>
    <x v="1"/>
    <x v="4"/>
    <s v="Asia"/>
    <s v="Partnership of Friendship and Cooperation for Peace and Development [致力于和平发展的友好合作关系]"/>
    <x v="3"/>
    <s v="INDOPACOM"/>
    <x v="83"/>
    <x v="13"/>
    <n v="10"/>
    <s v="BL - Abroad"/>
    <s v="Xiong Guangkai"/>
    <m/>
    <s v="GSD DCGS"/>
    <n v="6"/>
    <x v="1"/>
    <m/>
    <x v="0"/>
    <m/>
    <m/>
    <m/>
    <m/>
    <x v="12"/>
    <m/>
    <m/>
    <s v="Defense White Paper Appendix"/>
    <m/>
  </r>
  <r>
    <x v="1"/>
    <x v="9"/>
    <s v="West Asia and Africa"/>
    <s v="No Specific Relationship"/>
    <x v="0"/>
    <s v="CENTCOM"/>
    <x v="110"/>
    <x v="13"/>
    <n v="10"/>
    <s v="BL - Hosted"/>
    <s v="Xu Caihou"/>
    <m/>
    <s v="CMC Vice Chairman"/>
    <n v="10"/>
    <x v="2"/>
    <s v="Army Chief of Staff"/>
    <x v="0"/>
    <m/>
    <m/>
    <m/>
    <m/>
    <x v="12"/>
    <m/>
    <m/>
    <s v="Defense White Paper Appendix"/>
    <m/>
  </r>
  <r>
    <x v="1"/>
    <x v="5"/>
    <s v="America and Oceania"/>
    <s v="No Specific Relationship"/>
    <x v="4"/>
    <s v="INDOPACOM"/>
    <x v="13"/>
    <x v="13"/>
    <n v="10"/>
    <s v="BL - Abroad"/>
    <s v="Liang Guanglie"/>
    <m/>
    <s v="GSD Commander; CMC Member"/>
    <n v="8"/>
    <x v="1"/>
    <m/>
    <x v="0"/>
    <m/>
    <m/>
    <m/>
    <m/>
    <x v="12"/>
    <m/>
    <m/>
    <s v="Defense White Paper Appendix"/>
    <m/>
  </r>
  <r>
    <x v="1"/>
    <x v="8"/>
    <s v="Europe and Central Asia"/>
    <s v="No Specific Relationship"/>
    <x v="0"/>
    <s v="EUCOM"/>
    <x v="92"/>
    <x v="13"/>
    <n v="10"/>
    <s v="BL - Abroad"/>
    <s v="Zhu Wenquan"/>
    <m/>
    <s v="Nanjing MR Commander"/>
    <n v="6"/>
    <x v="1"/>
    <m/>
    <x v="0"/>
    <m/>
    <m/>
    <m/>
    <m/>
    <x v="12"/>
    <m/>
    <m/>
    <s v="Defense White Paper Appendix"/>
    <m/>
  </r>
  <r>
    <x v="1"/>
    <x v="8"/>
    <s v="Europe and Central Asia"/>
    <s v="No Specific Relationship"/>
    <x v="0"/>
    <s v="EUCOM"/>
    <x v="78"/>
    <x v="13"/>
    <n v="10"/>
    <s v="BL - Abroad"/>
    <s v="Cao Gangchuan"/>
    <m/>
    <s v="CMC Vice Chairman; Defense Minister"/>
    <n v="10"/>
    <x v="1"/>
    <s v="Defense Minister and VP of Swiss Confederation"/>
    <x v="0"/>
    <m/>
    <m/>
    <m/>
    <m/>
    <x v="12"/>
    <m/>
    <m/>
    <s v="Defense White Paper Appendix"/>
    <m/>
  </r>
  <r>
    <x v="1"/>
    <x v="1"/>
    <s v="Asia"/>
    <s v="No Specific Relationship"/>
    <x v="3"/>
    <s v="INDOPACOM"/>
    <x v="5"/>
    <x v="13"/>
    <n v="10"/>
    <s v="BL - Abroad"/>
    <s v="Xiong Guangkai"/>
    <m/>
    <s v="GSD DCGS"/>
    <n v="6"/>
    <x v="1"/>
    <m/>
    <x v="0"/>
    <m/>
    <m/>
    <m/>
    <m/>
    <x v="12"/>
    <m/>
    <m/>
    <s v="Defense White Paper Appendix"/>
    <m/>
  </r>
  <r>
    <x v="1"/>
    <x v="2"/>
    <s v="America and Oceania"/>
    <s v="No Specific Relationship"/>
    <x v="2"/>
    <s v="NORTHCOM"/>
    <x v="4"/>
    <x v="13"/>
    <n v="10"/>
    <s v="BL - Abroad"/>
    <s v="Liang Guanglie"/>
    <m/>
    <s v="GSD Commander; CMC Member"/>
    <n v="8"/>
    <x v="1"/>
    <s v="Chairman JCS"/>
    <x v="0"/>
    <m/>
    <m/>
    <m/>
    <m/>
    <x v="12"/>
    <m/>
    <m/>
    <s v="Defense White Paper Appendix"/>
    <m/>
  </r>
  <r>
    <x v="1"/>
    <x v="8"/>
    <s v="Europe and Central Asia"/>
    <s v="No Specific Relationship"/>
    <x v="5"/>
    <s v="EUCOM"/>
    <x v="113"/>
    <x v="13"/>
    <n v="11"/>
    <s v="BL - Hosted"/>
    <s v="Cao Gangchuan"/>
    <m/>
    <s v="CMC Vice Chairman; Defense Minister"/>
    <n v="10"/>
    <x v="2"/>
    <s v="Defense Minister"/>
    <x v="0"/>
    <m/>
    <m/>
    <m/>
    <m/>
    <x v="12"/>
    <m/>
    <m/>
    <s v="Defense White Paper Appendix"/>
    <m/>
  </r>
  <r>
    <x v="1"/>
    <x v="5"/>
    <s v="America and Oceania"/>
    <s v="No Specific Relationship"/>
    <x v="4"/>
    <s v="INDOPACOM"/>
    <x v="12"/>
    <x v="13"/>
    <n v="11"/>
    <s v="BL - Hosted"/>
    <s v="Liang Guanglie"/>
    <m/>
    <s v="GSD Commander; CMC Member"/>
    <n v="8"/>
    <x v="2"/>
    <s v="Chief Commander of the ADF"/>
    <x v="0"/>
    <m/>
    <m/>
    <m/>
    <m/>
    <x v="12"/>
    <m/>
    <m/>
    <s v="Defense White Paper Appendix"/>
    <m/>
  </r>
  <r>
    <x v="1"/>
    <x v="8"/>
    <s v="Europe and Central Asia"/>
    <s v="Comprehensive Cooperative Partnership [全面合作伙伴关系]"/>
    <x v="0"/>
    <s v="EUCOM"/>
    <x v="34"/>
    <x v="13"/>
    <n v="11"/>
    <s v="BL - Hosted"/>
    <s v="Cao Gangchuan"/>
    <m/>
    <s v="CMC Vice Chairman; Defense Minister"/>
    <n v="10"/>
    <x v="2"/>
    <s v="Vice Defense Minister"/>
    <x v="0"/>
    <m/>
    <m/>
    <m/>
    <m/>
    <x v="12"/>
    <m/>
    <m/>
    <s v="Defense White Paper Appendix"/>
    <m/>
  </r>
  <r>
    <x v="1"/>
    <x v="10"/>
    <s v="America and Oceania"/>
    <s v="No Specific Relationship"/>
    <x v="0"/>
    <s v="SOUTHCOM"/>
    <x v="42"/>
    <x v="13"/>
    <n v="11"/>
    <s v="BL - Hosted"/>
    <s v="Cao Gangchuan"/>
    <m/>
    <s v="CMC Vice Chairman; Defense Minister"/>
    <n v="10"/>
    <x v="2"/>
    <s v="Defense Minister"/>
    <x v="0"/>
    <m/>
    <m/>
    <m/>
    <m/>
    <x v="12"/>
    <m/>
    <m/>
    <s v="Defense White Paper Appendix"/>
    <m/>
  </r>
  <r>
    <x v="1"/>
    <x v="1"/>
    <s v="Asia"/>
    <s v="No Specific Relationship"/>
    <x v="0"/>
    <s v="INDOPACOM"/>
    <x v="44"/>
    <x v="13"/>
    <n v="11"/>
    <s v="BL - Abroad"/>
    <s v="Qian Nanzhong"/>
    <m/>
    <s v="Shenyang MR Commander"/>
    <n v="6"/>
    <x v="1"/>
    <m/>
    <x v="0"/>
    <m/>
    <m/>
    <m/>
    <m/>
    <x v="12"/>
    <m/>
    <m/>
    <s v="Defense White Paper Appendix"/>
    <m/>
  </r>
  <r>
    <x v="1"/>
    <x v="2"/>
    <s v="America and Oceania"/>
    <s v="Comprehensive Partnership [全面伙伴关系]"/>
    <x v="5"/>
    <s v="NORTHCOM"/>
    <x v="17"/>
    <x v="13"/>
    <n v="11"/>
    <s v="BL - Hosted"/>
    <s v="Liang Guanglie"/>
    <m/>
    <s v="GSD Commander; CMC Member"/>
    <n v="8"/>
    <x v="2"/>
    <s v="Chief of the Defense Staff"/>
    <x v="0"/>
    <m/>
    <m/>
    <m/>
    <m/>
    <x v="12"/>
    <m/>
    <m/>
    <s v="Defense White Paper Appendix"/>
    <m/>
  </r>
  <r>
    <x v="1"/>
    <x v="10"/>
    <s v="America and Oceania"/>
    <s v="No Specific Relationship"/>
    <x v="0"/>
    <s v="SOUTHCOM"/>
    <x v="45"/>
    <x v="13"/>
    <n v="11"/>
    <s v="BL - Hosted"/>
    <s v="Cao Gangchuan"/>
    <m/>
    <s v="CMC Vice Chairman; Defense Minister"/>
    <n v="8"/>
    <x v="2"/>
    <s v="CinC Armed Forces"/>
    <x v="0"/>
    <m/>
    <m/>
    <m/>
    <m/>
    <x v="12"/>
    <m/>
    <m/>
    <s v="Defense White Paper Appendix"/>
    <s v="No corroborating reporting on this visit; assess Cao Gangchuan as likely counterpart"/>
  </r>
  <r>
    <x v="1"/>
    <x v="5"/>
    <s v="America and Oceania"/>
    <s v="No Specific Relationship"/>
    <x v="4"/>
    <s v="INDOPACOM"/>
    <x v="13"/>
    <x v="13"/>
    <n v="11"/>
    <s v="BL - Hosted"/>
    <s v="Cao Gangchuan"/>
    <m/>
    <s v="CMC Vice Chairman; Defense Minister"/>
    <n v="10"/>
    <x v="2"/>
    <s v="CinC Navy"/>
    <x v="0"/>
    <m/>
    <m/>
    <m/>
    <m/>
    <x v="12"/>
    <m/>
    <m/>
    <s v="Defense White Paper Appendix"/>
    <s v="Updated positions with DWP"/>
  </r>
  <r>
    <x v="1"/>
    <x v="1"/>
    <s v="Asia"/>
    <s v="No Specific Relationship"/>
    <x v="3"/>
    <s v="INDOPACOM"/>
    <x v="11"/>
    <x v="13"/>
    <n v="11"/>
    <s v="BL - Hosted"/>
    <s v="Cao Gangchuan"/>
    <m/>
    <s v="CMC Vice Chairman; Defense Minister"/>
    <n v="10"/>
    <x v="2"/>
    <s v="Defense Minister"/>
    <x v="0"/>
    <m/>
    <m/>
    <m/>
    <m/>
    <x v="12"/>
    <m/>
    <m/>
    <s v="Defense White Paper Appendix"/>
    <s v="Updated positions with DWP"/>
  </r>
  <r>
    <x v="1"/>
    <x v="4"/>
    <s v="Asia"/>
    <s v="Comprehensive Cooperative Partnership [全面合作伙伴关系]"/>
    <x v="3"/>
    <s v="INDOPACOM"/>
    <x v="25"/>
    <x v="13"/>
    <n v="11"/>
    <s v="BL - Abroad"/>
    <s v="Qian Nanzhong"/>
    <m/>
    <s v="Shenyang MR Commander"/>
    <n v="6"/>
    <x v="1"/>
    <m/>
    <x v="0"/>
    <m/>
    <m/>
    <m/>
    <m/>
    <x v="12"/>
    <m/>
    <m/>
    <s v="Defense White Paper Appendix"/>
    <m/>
  </r>
  <r>
    <x v="1"/>
    <x v="7"/>
    <s v="West Asia and Africa"/>
    <s v="No Specific Relationship"/>
    <x v="0"/>
    <s v="AFRICOM"/>
    <x v="97"/>
    <x v="13"/>
    <n v="11"/>
    <s v="BL - Abroad"/>
    <s v="Li Jinai"/>
    <m/>
    <s v="GPD Deputy Director"/>
    <n v="8"/>
    <x v="1"/>
    <m/>
    <x v="0"/>
    <m/>
    <m/>
    <m/>
    <m/>
    <x v="12"/>
    <m/>
    <m/>
    <s v="Defense White Paper Appendix"/>
    <s v="Updated positions with DWP"/>
  </r>
  <r>
    <x v="1"/>
    <x v="8"/>
    <s v="Europe and Central Asia"/>
    <s v="Comprehensive Strategic Partnership [全面战略伙伴关系]"/>
    <x v="5"/>
    <s v="EUCOM"/>
    <x v="21"/>
    <x v="13"/>
    <n v="11"/>
    <s v="BL - Hosted"/>
    <s v="Cao Gangchuan"/>
    <m/>
    <s v="CMC Vice Chairman; Defense Minister"/>
    <n v="10"/>
    <x v="2"/>
    <s v="First Sea Lord and Chief of Naval Staff"/>
    <x v="0"/>
    <m/>
    <m/>
    <m/>
    <m/>
    <x v="12"/>
    <m/>
    <m/>
    <s v="Defense White Paper Appendix"/>
    <m/>
  </r>
  <r>
    <x v="1"/>
    <x v="7"/>
    <s v="West Asia and Africa"/>
    <s v="No Specific Relationship"/>
    <x v="0"/>
    <s v="AFRICOM"/>
    <x v="61"/>
    <x v="13"/>
    <n v="11"/>
    <s v="BL - Abroad"/>
    <s v="Li Jinai"/>
    <m/>
    <s v="GPD Deputy Director"/>
    <n v="8"/>
    <x v="1"/>
    <m/>
    <x v="0"/>
    <m/>
    <m/>
    <m/>
    <m/>
    <x v="12"/>
    <m/>
    <m/>
    <s v="Defense White Paper Appendix"/>
    <s v="Updated positions with DWP"/>
  </r>
  <r>
    <x v="1"/>
    <x v="5"/>
    <s v="America and Oceania"/>
    <s v="No Specific Relationship"/>
    <x v="4"/>
    <s v="INDOPACOM"/>
    <x v="12"/>
    <x v="13"/>
    <n v="12"/>
    <s v="BL - Hosted"/>
    <s v="Qiao Qingchen"/>
    <m/>
    <s v="PLAAF Commander"/>
    <n v="8"/>
    <x v="2"/>
    <s v="Air Force Commander"/>
    <x v="0"/>
    <m/>
    <m/>
    <m/>
    <m/>
    <x v="12"/>
    <m/>
    <m/>
    <s v="https://dlib.eastview.com/browse/doc/14653038"/>
    <m/>
  </r>
  <r>
    <x v="1"/>
    <x v="10"/>
    <s v="America and Oceania"/>
    <s v="No Specific Relationship"/>
    <x v="0"/>
    <s v="SOUTHCOM"/>
    <x v="51"/>
    <x v="13"/>
    <n v="12"/>
    <s v="BL - Hosted"/>
    <s v="Xu Caihou"/>
    <m/>
    <s v="CMC Vice Chairman"/>
    <n v="10"/>
    <x v="2"/>
    <s v="Chief of Joint Command"/>
    <x v="0"/>
    <m/>
    <m/>
    <m/>
    <m/>
    <x v="12"/>
    <m/>
    <m/>
    <s v="Defense White Paper Appendix"/>
    <m/>
  </r>
  <r>
    <x v="1"/>
    <x v="0"/>
    <s v="Asia"/>
    <s v="Comprehensive Cooperative Partnership [全面合作伙伴关系]"/>
    <x v="0"/>
    <s v="INDOPACOM"/>
    <x v="6"/>
    <x v="13"/>
    <n v="12"/>
    <s v="BL - Hosted"/>
    <s v="Cao Gangchuan"/>
    <m/>
    <s v="CMC Vice Chairman; Defense Minister"/>
    <n v="10"/>
    <x v="2"/>
    <s v="Army Chief"/>
    <x v="0"/>
    <m/>
    <m/>
    <m/>
    <m/>
    <x v="12"/>
    <m/>
    <m/>
    <s v="Defense White Paper Appendix"/>
    <m/>
  </r>
  <r>
    <x v="1"/>
    <x v="1"/>
    <s v="Asia"/>
    <s v="No Specific Relationship"/>
    <x v="0"/>
    <s v="INDOPACOM"/>
    <x v="52"/>
    <x v="13"/>
    <n v="12"/>
    <s v="BL - Abroad"/>
    <s v="Li Jinai"/>
    <m/>
    <s v="GPD Deputy Director"/>
    <n v="8"/>
    <x v="1"/>
    <m/>
    <x v="0"/>
    <m/>
    <m/>
    <m/>
    <m/>
    <x v="12"/>
    <m/>
    <m/>
    <s v="Defense White Paper Appendix"/>
    <s v="Updated positions with DWP"/>
  </r>
  <r>
    <x v="1"/>
    <x v="1"/>
    <s v="Asia"/>
    <s v="No Specific Relationship"/>
    <x v="0"/>
    <s v="INDOPACOM"/>
    <x v="1"/>
    <x v="13"/>
    <n v="12"/>
    <s v="BL - Abroad"/>
    <s v="Xiong Guangkai"/>
    <m/>
    <s v="GSD DCGS"/>
    <n v="6"/>
    <x v="1"/>
    <m/>
    <x v="0"/>
    <m/>
    <m/>
    <m/>
    <m/>
    <x v="12"/>
    <m/>
    <m/>
    <s v="Defense White Paper Appendix"/>
    <m/>
  </r>
  <r>
    <x v="1"/>
    <x v="3"/>
    <s v="Europe and Central Asia"/>
    <s v="Strategic Partnership of Coordination [战略协作伙伴关系]"/>
    <x v="0"/>
    <s v="EUCOM"/>
    <x v="7"/>
    <x v="13"/>
    <n v="12"/>
    <s v="BL - Hosted"/>
    <s v="Cao Gangchuan"/>
    <m/>
    <s v="CMC Vice Chairman; Defense Minister"/>
    <n v="10"/>
    <x v="2"/>
    <s v="Defense Minister"/>
    <x v="0"/>
    <m/>
    <m/>
    <m/>
    <m/>
    <x v="12"/>
    <m/>
    <m/>
    <s v="Defense White Paper Appendix"/>
    <m/>
  </r>
  <r>
    <x v="1"/>
    <x v="1"/>
    <s v="Asia"/>
    <s v="No Specific Relationship"/>
    <x v="3"/>
    <s v="INDOPACOM"/>
    <x v="5"/>
    <x v="13"/>
    <n v="12"/>
    <s v="BL - Abroad"/>
    <s v="Li Jinai"/>
    <m/>
    <s v="GPD Deputy Director"/>
    <n v="8"/>
    <x v="1"/>
    <m/>
    <x v="0"/>
    <m/>
    <m/>
    <m/>
    <m/>
    <x v="12"/>
    <m/>
    <m/>
    <s v="Defense White Paper Appendix"/>
    <s v="Updated positions with DWP"/>
  </r>
  <r>
    <x v="1"/>
    <x v="8"/>
    <s v="Europe and Central Asia"/>
    <s v="No Specific Relationship"/>
    <x v="5"/>
    <s v="EUCOM"/>
    <x v="38"/>
    <x v="13"/>
    <n v="12"/>
    <s v="BL - Hosted"/>
    <s v="Zhang Li"/>
    <m/>
    <s v="GSD DCGS"/>
    <n v="8"/>
    <x v="2"/>
    <s v="Defense Minister"/>
    <x v="0"/>
    <m/>
    <m/>
    <m/>
    <m/>
    <x v="12"/>
    <m/>
    <m/>
    <s v="Defense White Paper Appendix"/>
    <s v="https://dlib.eastview.com/browse/doc/14656319"/>
  </r>
  <r>
    <x v="1"/>
    <x v="1"/>
    <s v="Asia"/>
    <s v="No Specific Relationship"/>
    <x v="0"/>
    <s v="INDOPACOM"/>
    <x v="23"/>
    <x v="13"/>
    <n v="12"/>
    <s v="BL - Abroad"/>
    <s v="Li Jinai"/>
    <m/>
    <s v="GPD Deputy Director"/>
    <n v="8"/>
    <x v="1"/>
    <m/>
    <x v="0"/>
    <m/>
    <m/>
    <m/>
    <m/>
    <x v="12"/>
    <m/>
    <m/>
    <s v="Defense White Paper Appendix"/>
    <s v=" "/>
  </r>
  <r>
    <x v="1"/>
    <x v="10"/>
    <s v="America and Oceania"/>
    <s v="No Specific Relationship"/>
    <x v="0"/>
    <s v="SOUTHCOM"/>
    <x v="45"/>
    <x v="14"/>
    <n v="1"/>
    <s v="BL - Hosted"/>
    <s v="Cao Gangchuan"/>
    <m/>
    <s v="CMC Vice Chairman; Defense Minister"/>
    <n v="10"/>
    <x v="2"/>
    <s v="CinC Armed Forces"/>
    <x v="0"/>
    <m/>
    <m/>
    <m/>
    <m/>
    <x v="12"/>
    <m/>
    <m/>
    <s v="Defense White Paper Appendix"/>
    <m/>
  </r>
  <r>
    <x v="1"/>
    <x v="0"/>
    <s v="Asia"/>
    <s v="Strategic Partnership [战略伙伴关系]"/>
    <x v="1"/>
    <s v="CENTCOM"/>
    <x v="2"/>
    <x v="14"/>
    <n v="1"/>
    <s v="BL - Hosted"/>
    <s v="Cao Gangchuan"/>
    <m/>
    <s v="CMC Vice Chairman; Defense Minister"/>
    <n v="10"/>
    <x v="2"/>
    <s v="Defense Minister"/>
    <x v="0"/>
    <m/>
    <m/>
    <m/>
    <m/>
    <x v="12"/>
    <m/>
    <m/>
    <s v="Defense White Paper Appendix"/>
    <m/>
  </r>
  <r>
    <x v="1"/>
    <x v="2"/>
    <s v="America and Oceania"/>
    <s v="No Specific Relationship"/>
    <x v="2"/>
    <s v="NORTHCOM"/>
    <x v="4"/>
    <x v="14"/>
    <n v="1"/>
    <s v="BL - Hosted"/>
    <s v="Cao Gangchuan"/>
    <m/>
    <s v="CMC Vice Chairman; Defense Minister"/>
    <n v="10"/>
    <x v="2"/>
    <s v="Co-heads of US House Armed Services Committee"/>
    <x v="0"/>
    <m/>
    <m/>
    <m/>
    <m/>
    <x v="12"/>
    <m/>
    <m/>
    <s v="Defense White Paper Appendix"/>
    <m/>
  </r>
  <r>
    <x v="1"/>
    <x v="8"/>
    <s v="Europe and Central Asia"/>
    <s v="Comprehensive Strategic Partnership [全面战略伙伴关系]"/>
    <x v="5"/>
    <s v="EUCOM"/>
    <x v="20"/>
    <x v="14"/>
    <n v="2"/>
    <s v="BL - Hosted"/>
    <s v="Cao Gangchuan"/>
    <m/>
    <s v="CMC Vice Chairman; Defense Minister"/>
    <n v="10"/>
    <x v="2"/>
    <s v="Chief of Defense Staff"/>
    <x v="0"/>
    <m/>
    <m/>
    <m/>
    <m/>
    <x v="12"/>
    <m/>
    <m/>
    <s v="Defense White Paper Appendix"/>
    <m/>
  </r>
  <r>
    <x v="1"/>
    <x v="8"/>
    <s v="Europe and Central Asia"/>
    <s v="Strategic Partnership [战略伙伴关系]"/>
    <x v="0"/>
    <s v="EUCOM"/>
    <x v="34"/>
    <x v="14"/>
    <n v="3"/>
    <s v="BL - Hosted"/>
    <s v="Cao Gangchuan"/>
    <m/>
    <s v="CMC Vice Chairman; Defense Minister"/>
    <n v="10"/>
    <x v="2"/>
    <s v="Air Force Commander"/>
    <x v="0"/>
    <m/>
    <m/>
    <m/>
    <m/>
    <x v="12"/>
    <m/>
    <m/>
    <s v="Defense White Paper Appendix"/>
    <m/>
  </r>
  <r>
    <x v="1"/>
    <x v="10"/>
    <s v="America and Oceania"/>
    <s v="Comprehensive Strategic Partnership [全面战略伙伴关系]"/>
    <x v="0"/>
    <s v="SOUTHCOM"/>
    <x v="43"/>
    <x v="14"/>
    <n v="3"/>
    <s v="BL - Abroad"/>
    <s v="Qiao Qingchen"/>
    <m/>
    <s v="PLAAF Commander"/>
    <n v="6"/>
    <x v="1"/>
    <m/>
    <x v="0"/>
    <m/>
    <m/>
    <m/>
    <m/>
    <x v="12"/>
    <m/>
    <m/>
    <s v="Defense White Paper Appendix"/>
    <m/>
  </r>
  <r>
    <x v="1"/>
    <x v="10"/>
    <s v="America and Oceania"/>
    <s v="No Specific Relationship"/>
    <x v="0"/>
    <s v="SOUTHCOM"/>
    <x v="49"/>
    <x v="14"/>
    <n v="3"/>
    <s v="BL - Abroad"/>
    <s v="Yang Deqing"/>
    <m/>
    <s v="Guangzhou MR Political Commissar"/>
    <n v="6"/>
    <x v="1"/>
    <m/>
    <x v="0"/>
    <m/>
    <m/>
    <m/>
    <m/>
    <x v="12"/>
    <m/>
    <m/>
    <s v="Defense White Paper Appendix"/>
    <m/>
  </r>
  <r>
    <x v="1"/>
    <x v="8"/>
    <s v="Europe and Central Asia"/>
    <s v="Comprehensive Strategic Partnership [全面战略伙伴关系]"/>
    <x v="5"/>
    <s v="EUCOM"/>
    <x v="20"/>
    <x v="14"/>
    <n v="3"/>
    <s v="BL - Hosted"/>
    <s v="Cao Gangchuan"/>
    <m/>
    <s v="CMC Vice Chairman; Defense Minister"/>
    <n v="10"/>
    <x v="2"/>
    <s v="CinC Military Police"/>
    <x v="0"/>
    <m/>
    <m/>
    <m/>
    <m/>
    <x v="12"/>
    <m/>
    <m/>
    <s v="Defense White Paper Appendix"/>
    <m/>
  </r>
  <r>
    <x v="1"/>
    <x v="4"/>
    <s v="Asia"/>
    <s v="Partnership of Friendship and Cooperation for Peace and Development [致力于和平发展的友好合作关系]"/>
    <x v="3"/>
    <s v="INDOPACOM"/>
    <x v="83"/>
    <x v="14"/>
    <n v="3"/>
    <s v="BL - Hosted"/>
    <s v="Xiong Guangkai"/>
    <m/>
    <s v="GSD DCGS"/>
    <n v="6"/>
    <x v="2"/>
    <s v="Deputy Minister of State for Defense"/>
    <x v="0"/>
    <m/>
    <m/>
    <m/>
    <m/>
    <x v="12"/>
    <m/>
    <m/>
    <s v="Defense White Paper Appendix"/>
    <m/>
  </r>
  <r>
    <x v="1"/>
    <x v="6"/>
    <s v="Europe and Central Asia"/>
    <s v="No Specific Relationship"/>
    <x v="0"/>
    <s v="CENTCOM"/>
    <x v="31"/>
    <x v="14"/>
    <n v="3"/>
    <s v="BL - Hosted"/>
    <s v="Xiong Guangkai"/>
    <m/>
    <s v="GSD DCGS"/>
    <n v="6"/>
    <x v="2"/>
    <s v="Defense Minister"/>
    <x v="0"/>
    <m/>
    <m/>
    <m/>
    <m/>
    <x v="12"/>
    <m/>
    <m/>
    <s v="Defense White Paper Appendix"/>
    <m/>
  </r>
  <r>
    <x v="1"/>
    <x v="7"/>
    <s v="West Asia and Africa"/>
    <s v="No Specific Relationship"/>
    <x v="0"/>
    <s v="AFRICOM"/>
    <x v="114"/>
    <x v="14"/>
    <n v="3"/>
    <s v="BL - Hosted"/>
    <s v="Cao Gangchuan"/>
    <m/>
    <s v="CMC Vice Chairman; Defense Minister"/>
    <n v="10"/>
    <x v="2"/>
    <s v="Chief of Defense Forces"/>
    <x v="0"/>
    <m/>
    <m/>
    <m/>
    <m/>
    <x v="12"/>
    <m/>
    <m/>
    <s v="Defense White Paper Appendix"/>
    <m/>
  </r>
  <r>
    <x v="1"/>
    <x v="7"/>
    <s v="West Asia and Africa"/>
    <s v="No Specific Relationship"/>
    <x v="0"/>
    <s v="AFRICOM"/>
    <x v="115"/>
    <x v="14"/>
    <n v="3"/>
    <s v="BL - Hosted"/>
    <s v="Cao Gangchuan"/>
    <m/>
    <s v="CMC Vice Chairman; Defense Minister"/>
    <n v="8"/>
    <x v="2"/>
    <s v="Defense Minister"/>
    <x v="0"/>
    <m/>
    <m/>
    <m/>
    <m/>
    <x v="12"/>
    <m/>
    <m/>
    <s v="https://dlib.eastview.com/browse/doc/14712209"/>
    <m/>
  </r>
  <r>
    <x v="1"/>
    <x v="3"/>
    <s v="Europe and Central Asia"/>
    <s v="Strategic Partnership of Coordination [战略协作伙伴关系]"/>
    <x v="0"/>
    <s v="EUCOM"/>
    <x v="7"/>
    <x v="14"/>
    <n v="3"/>
    <s v="BL - Hosted"/>
    <s v="Cao Gangchuan"/>
    <m/>
    <s v="CMC Vice Chairman; Defense Minister"/>
    <n v="10"/>
    <x v="2"/>
    <s v="COGS"/>
    <x v="0"/>
    <m/>
    <m/>
    <m/>
    <m/>
    <x v="12"/>
    <m/>
    <m/>
    <s v="Defense White Paper Appendix"/>
    <m/>
  </r>
  <r>
    <x v="1"/>
    <x v="4"/>
    <s v="Asia"/>
    <s v="Comprehensive Cooperative Partnership [全面合作伙伴关系]"/>
    <x v="3"/>
    <s v="INDOPACOM"/>
    <x v="25"/>
    <x v="14"/>
    <n v="3"/>
    <s v="BL - Hosted"/>
    <s v="Cao Gangchuan"/>
    <m/>
    <s v="CMC Vice Chairman; Defense Minister"/>
    <n v="10"/>
    <x v="2"/>
    <s v="Defense Minister"/>
    <x v="0"/>
    <m/>
    <m/>
    <m/>
    <m/>
    <x v="12"/>
    <m/>
    <m/>
    <s v="Defense White Paper Appendix"/>
    <m/>
  </r>
  <r>
    <x v="1"/>
    <x v="8"/>
    <s v="Europe and Central Asia"/>
    <s v="Comprehensive Strategic Partnership [全面战略伙伴关系]"/>
    <x v="5"/>
    <s v="EUCOM"/>
    <x v="70"/>
    <x v="14"/>
    <n v="3"/>
    <s v="BL - Abroad"/>
    <s v="Qiao Qingchen"/>
    <m/>
    <s v="PLAAF Commander"/>
    <n v="6"/>
    <x v="1"/>
    <m/>
    <x v="0"/>
    <m/>
    <m/>
    <m/>
    <m/>
    <x v="12"/>
    <m/>
    <m/>
    <s v="Defense White Paper Appendix"/>
    <m/>
  </r>
  <r>
    <x v="1"/>
    <x v="8"/>
    <s v="Europe and Central Asia"/>
    <s v="No Specific Relationship"/>
    <x v="0"/>
    <s v="EUCOM"/>
    <x v="92"/>
    <x v="14"/>
    <n v="3"/>
    <s v="BL - Abroad"/>
    <s v="Qiao Qingchen"/>
    <m/>
    <s v="PLAAF Commander; CMC Member"/>
    <n v="8"/>
    <x v="1"/>
    <m/>
    <x v="0"/>
    <m/>
    <m/>
    <m/>
    <m/>
    <x v="12"/>
    <m/>
    <m/>
    <s v="Defense White Paper Appendix"/>
    <m/>
  </r>
  <r>
    <x v="1"/>
    <x v="10"/>
    <s v="America and Oceania"/>
    <s v="No Specific Relationship"/>
    <x v="0"/>
    <s v="SOUTHCOM"/>
    <x v="42"/>
    <x v="14"/>
    <n v="4"/>
    <s v="BL - Abroad"/>
    <s v="Sun Dafa"/>
    <m/>
    <s v="GLD Political Commissar"/>
    <n v="6"/>
    <x v="1"/>
    <m/>
    <x v="0"/>
    <m/>
    <m/>
    <m/>
    <m/>
    <x v="12"/>
    <m/>
    <m/>
    <s v="Defense White Paper Appendix"/>
    <m/>
  </r>
  <r>
    <x v="1"/>
    <x v="10"/>
    <s v="America and Oceania"/>
    <s v="Comprehensive Strategic Partnership [全面战略伙伴关系]"/>
    <x v="0"/>
    <s v="SOUTHCOM"/>
    <x v="43"/>
    <x v="14"/>
    <n v="4"/>
    <s v="BL - Hosted"/>
    <s v="Cao Gangchuan"/>
    <m/>
    <s v="CMC Vice Chairman; Defense Minister"/>
    <n v="10"/>
    <x v="2"/>
    <s v="Army Commander"/>
    <x v="0"/>
    <m/>
    <m/>
    <m/>
    <m/>
    <x v="12"/>
    <m/>
    <m/>
    <s v="Defense White Paper Appendix"/>
    <m/>
  </r>
  <r>
    <x v="1"/>
    <x v="10"/>
    <s v="America and Oceania"/>
    <s v="No Specific Relationship"/>
    <x v="0"/>
    <s v="SOUTHCOM"/>
    <x v="49"/>
    <x v="14"/>
    <n v="4"/>
    <s v="BL - Hosted"/>
    <s v="Xiong Guangkai"/>
    <m/>
    <s v="GSD DCGS"/>
    <n v="8"/>
    <x v="2"/>
    <s v="DCOGS"/>
    <x v="0"/>
    <m/>
    <m/>
    <m/>
    <m/>
    <x v="12"/>
    <m/>
    <m/>
    <s v="Defense White Paper Appendix"/>
    <s v="No corroborating reporting on this visit; assess Xiong Guangkai as likely counterpart"/>
  </r>
  <r>
    <x v="1"/>
    <x v="8"/>
    <s v="Europe and Central Asia"/>
    <s v="No Specific Relationship"/>
    <x v="5"/>
    <s v="EUCOM"/>
    <x v="116"/>
    <x v="14"/>
    <n v="4"/>
    <s v="BL - Abroad"/>
    <s v="Cao Gangchuan"/>
    <m/>
    <s v="CMC Vice Chairman; Defense Minister"/>
    <n v="10"/>
    <x v="1"/>
    <m/>
    <x v="0"/>
    <m/>
    <m/>
    <m/>
    <m/>
    <x v="12"/>
    <m/>
    <m/>
    <s v="Defense White Paper Appendix"/>
    <m/>
  </r>
  <r>
    <x v="1"/>
    <x v="9"/>
    <s v="West Asia and Africa"/>
    <s v="Strategic Cooperative Partnership [战略合作伙伴关系]"/>
    <x v="1"/>
    <s v="CENTCOM"/>
    <x v="24"/>
    <x v="14"/>
    <n v="4"/>
    <s v="BL - Abroad"/>
    <s v="Cao Gangchuan"/>
    <m/>
    <s v="CMC Vice Chairman; Defense Minister"/>
    <n v="10"/>
    <x v="1"/>
    <s v="Defense Minister"/>
    <x v="0"/>
    <m/>
    <m/>
    <m/>
    <m/>
    <x v="12"/>
    <m/>
    <m/>
    <s v="Defense White Paper Appendix"/>
    <m/>
  </r>
  <r>
    <x v="1"/>
    <x v="8"/>
    <s v="Europe and Central Asia"/>
    <s v="No Specific Relationship"/>
    <x v="5"/>
    <s v="EUCOM"/>
    <x v="29"/>
    <x v="14"/>
    <n v="4"/>
    <s v="BL - Abroad"/>
    <s v="Jiang Futang"/>
    <m/>
    <s v="Shenyang MR Political Commissar"/>
    <n v="6"/>
    <x v="1"/>
    <m/>
    <x v="0"/>
    <m/>
    <m/>
    <m/>
    <m/>
    <x v="12"/>
    <m/>
    <m/>
    <s v="Defense White Paper Appendix"/>
    <m/>
  </r>
  <r>
    <x v="1"/>
    <x v="8"/>
    <s v="Europe and Central Asia"/>
    <s v="Comprehensive Strategic Partnership [全面战略伙伴关系]"/>
    <x v="5"/>
    <s v="EUCOM"/>
    <x v="20"/>
    <x v="14"/>
    <n v="4"/>
    <s v="BL - Hosted"/>
    <s v="Xu Caihou"/>
    <m/>
    <s v="CMC Vice Chairman"/>
    <n v="10"/>
    <x v="2"/>
    <s v="Chief of Naval Staff"/>
    <x v="0"/>
    <m/>
    <m/>
    <m/>
    <m/>
    <x v="12"/>
    <m/>
    <m/>
    <s v="Defense White Paper Appendix"/>
    <m/>
  </r>
  <r>
    <x v="1"/>
    <x v="8"/>
    <s v="Europe and Central Asia"/>
    <s v="No Specific Relationship"/>
    <x v="5"/>
    <s v="EUCOM"/>
    <x v="117"/>
    <x v="14"/>
    <n v="4"/>
    <s v="BL - Abroad"/>
    <s v="Cao Gangchuan"/>
    <m/>
    <s v="CMC Vice Chairman; Defense Minister"/>
    <n v="10"/>
    <x v="1"/>
    <s v="Defense Minister"/>
    <x v="0"/>
    <m/>
    <m/>
    <m/>
    <m/>
    <x v="12"/>
    <m/>
    <m/>
    <s v="Defense White Paper Appendix"/>
    <m/>
  </r>
  <r>
    <x v="1"/>
    <x v="4"/>
    <s v="Asia"/>
    <s v="Bilateral Defense Treaty"/>
    <x v="0"/>
    <s v="INDOPACOM"/>
    <x v="9"/>
    <x v="14"/>
    <n v="4"/>
    <s v="BL - Hosted"/>
    <s v="Guo Boxiong"/>
    <m/>
    <s v="CMC Vice Chairman"/>
    <n v="10"/>
    <x v="2"/>
    <s v="Director of Army"/>
    <x v="0"/>
    <m/>
    <m/>
    <m/>
    <m/>
    <x v="12"/>
    <m/>
    <m/>
    <s v="Defense White Paper Appendix"/>
    <m/>
  </r>
  <r>
    <x v="1"/>
    <x v="0"/>
    <s v="Asia"/>
    <s v="Strategic Partnership [战略伙伴关系]"/>
    <x v="1"/>
    <s v="CENTCOM"/>
    <x v="2"/>
    <x v="14"/>
    <n v="4"/>
    <s v="BL - Hosted"/>
    <s v="Cao Gangchuan"/>
    <m/>
    <s v="CMC Vice Chairman; Defense Minister"/>
    <n v="10"/>
    <x v="2"/>
    <s v="Deputy Chief of Army Staff"/>
    <x v="0"/>
    <m/>
    <m/>
    <m/>
    <m/>
    <x v="12"/>
    <m/>
    <m/>
    <s v="Defense White Paper Appendix"/>
    <m/>
  </r>
  <r>
    <x v="1"/>
    <x v="8"/>
    <s v="Europe and Central Asia"/>
    <s v="No Specific Relationship"/>
    <x v="5"/>
    <s v="EUCOM"/>
    <x v="40"/>
    <x v="14"/>
    <n v="4"/>
    <s v="BL - Abroad"/>
    <s v="Jiang Futang"/>
    <m/>
    <s v="Shenyang MR Political Commissar"/>
    <n v="6"/>
    <x v="1"/>
    <m/>
    <x v="0"/>
    <m/>
    <m/>
    <m/>
    <m/>
    <x v="12"/>
    <m/>
    <m/>
    <s v="Defense White Paper Appendix"/>
    <m/>
  </r>
  <r>
    <x v="1"/>
    <x v="7"/>
    <s v="West Asia and Africa"/>
    <s v="No Specific Relationship"/>
    <x v="0"/>
    <s v="AFRICOM"/>
    <x v="16"/>
    <x v="14"/>
    <n v="4"/>
    <s v="BL - Abroad"/>
    <s v="Cao Gangchuan"/>
    <m/>
    <s v="CMC Vice Chairman; Defense Minister"/>
    <n v="10"/>
    <x v="1"/>
    <s v="Defense Minister"/>
    <x v="0"/>
    <m/>
    <m/>
    <m/>
    <m/>
    <x v="12"/>
    <m/>
    <m/>
    <s v="Defense White Paper Appendix"/>
    <m/>
  </r>
  <r>
    <x v="1"/>
    <x v="8"/>
    <s v="Europe and Central Asia"/>
    <s v="No Specific Relationship"/>
    <x v="5"/>
    <s v="EUCOM"/>
    <x v="38"/>
    <x v="14"/>
    <n v="4"/>
    <s v="BL - Hosted"/>
    <s v="Liang Guanglie"/>
    <m/>
    <s v="GSD Commander; CMC Member"/>
    <n v="8"/>
    <x v="2"/>
    <s v="Air Force Commander"/>
    <x v="0"/>
    <m/>
    <m/>
    <m/>
    <m/>
    <x v="12"/>
    <m/>
    <m/>
    <s v="Defense White Paper Appendix"/>
    <m/>
  </r>
  <r>
    <x v="1"/>
    <x v="2"/>
    <s v="America and Oceania"/>
    <s v="No Specific Relationship"/>
    <x v="2"/>
    <s v="NORTHCOM"/>
    <x v="4"/>
    <x v="14"/>
    <n v="4"/>
    <s v="BL - Abroad"/>
    <s v="Xiong Guangkai"/>
    <m/>
    <s v="GSD DCGS"/>
    <n v="6"/>
    <x v="1"/>
    <m/>
    <x v="0"/>
    <m/>
    <m/>
    <m/>
    <m/>
    <x v="12"/>
    <m/>
    <m/>
    <s v="Defense White Paper Appendix"/>
    <m/>
  </r>
  <r>
    <x v="1"/>
    <x v="10"/>
    <s v="America and Oceania"/>
    <s v="No Specific Relationship"/>
    <x v="0"/>
    <s v="SOUTHCOM"/>
    <x v="107"/>
    <x v="14"/>
    <n v="4"/>
    <s v="BL - Abroad"/>
    <s v="Sun Dafa"/>
    <m/>
    <s v="GLD Political Commissar"/>
    <n v="6"/>
    <x v="1"/>
    <m/>
    <x v="0"/>
    <m/>
    <m/>
    <m/>
    <m/>
    <x v="12"/>
    <m/>
    <m/>
    <s v="Defense White Paper Appendix"/>
    <m/>
  </r>
  <r>
    <x v="1"/>
    <x v="7"/>
    <s v="West Asia and Africa"/>
    <s v="No Specific Relationship"/>
    <x v="0"/>
    <s v="AFRICOM"/>
    <x v="76"/>
    <x v="14"/>
    <n v="5"/>
    <s v="BL - Hosted"/>
    <s v="Cao Gangchuan"/>
    <m/>
    <s v="CMC Vice Chairman; Defense Minister"/>
    <n v="10"/>
    <x v="2"/>
    <s v="Navy Commander"/>
    <x v="0"/>
    <m/>
    <m/>
    <m/>
    <m/>
    <x v="12"/>
    <m/>
    <m/>
    <s v="Defense White Paper Appendix"/>
    <m/>
  </r>
  <r>
    <x v="1"/>
    <x v="7"/>
    <s v="West Asia and Africa"/>
    <s v="No Specific Relationship"/>
    <x v="0"/>
    <s v="AFRICOM"/>
    <x v="105"/>
    <x v="14"/>
    <n v="5"/>
    <s v="BL - Hosted"/>
    <s v="Cao Gangchuan"/>
    <m/>
    <s v="CMC Vice Chairman; Defense Minister"/>
    <n v="10"/>
    <x v="2"/>
    <s v="COGS"/>
    <x v="0"/>
    <m/>
    <m/>
    <m/>
    <m/>
    <x v="12"/>
    <m/>
    <m/>
    <s v="Defense White Paper Appendix"/>
    <m/>
  </r>
  <r>
    <x v="1"/>
    <x v="5"/>
    <s v="America and Oceania"/>
    <s v="No Specific Relationship"/>
    <x v="4"/>
    <s v="INDOPACOM"/>
    <x v="12"/>
    <x v="14"/>
    <n v="5"/>
    <s v="BL - Hosted"/>
    <s v="Cao Gangchuan"/>
    <m/>
    <s v="CMC Vice Chairman; Defense Minister"/>
    <n v="10"/>
    <x v="2"/>
    <s v="Defense Minister"/>
    <x v="0"/>
    <m/>
    <m/>
    <m/>
    <m/>
    <x v="12"/>
    <m/>
    <m/>
    <s v="Defense White Paper Appendix"/>
    <m/>
  </r>
  <r>
    <x v="1"/>
    <x v="0"/>
    <s v="Asia"/>
    <s v="Comprehensive Cooperative Partnership [全面合作伙伴关系]"/>
    <x v="0"/>
    <s v="INDOPACOM"/>
    <x v="0"/>
    <x v="14"/>
    <n v="5"/>
    <s v="BL - Abroad"/>
    <s v="Liang Guanglie"/>
    <m/>
    <s v="GSD Commander; CMC Member"/>
    <n v="8"/>
    <x v="1"/>
    <m/>
    <x v="0"/>
    <m/>
    <m/>
    <m/>
    <m/>
    <x v="12"/>
    <m/>
    <m/>
    <s v="Defense White Paper Appendix"/>
    <m/>
  </r>
  <r>
    <x v="1"/>
    <x v="8"/>
    <s v="Europe and Central Asia"/>
    <s v="Strategic Partnership [战略伙伴关系]"/>
    <x v="0"/>
    <s v="EUCOM"/>
    <x v="34"/>
    <x v="14"/>
    <n v="5"/>
    <s v="BL - Hosted"/>
    <s v="Cao Gangchuan"/>
    <m/>
    <s v="CMC Vice Chairman; Defense Minister"/>
    <n v="10"/>
    <x v="2"/>
    <s v="Defense Minister"/>
    <x v="0"/>
    <m/>
    <m/>
    <m/>
    <m/>
    <x v="12"/>
    <m/>
    <m/>
    <s v="Defense White Paper Appendix"/>
    <m/>
  </r>
  <r>
    <x v="1"/>
    <x v="8"/>
    <s v="Europe and Central Asia"/>
    <s v="No Specific Relationship"/>
    <x v="5"/>
    <s v="EUCOM"/>
    <x v="68"/>
    <x v="14"/>
    <n v="5"/>
    <s v="BL - Hosted"/>
    <s v="Cao Gangchuan"/>
    <m/>
    <s v="CMC Vice Chairman; Defense Minister"/>
    <n v="10"/>
    <x v="2"/>
    <s v="Chief of Defense Staff"/>
    <x v="0"/>
    <m/>
    <m/>
    <m/>
    <m/>
    <x v="12"/>
    <m/>
    <m/>
    <s v="Defense White Paper Appendix"/>
    <m/>
  </r>
  <r>
    <x v="1"/>
    <x v="7"/>
    <s v="West Asia and Africa"/>
    <s v="Friendly Cooperative Partnership [友好合作伙伴关系]"/>
    <x v="0"/>
    <s v="AFRICOM"/>
    <x v="118"/>
    <x v="14"/>
    <n v="5"/>
    <s v="BL - Hosted"/>
    <s v="Cao Gangchuan"/>
    <m/>
    <s v="CMC Vice Chairman; Defense Minister"/>
    <n v="10"/>
    <x v="2"/>
    <s v="Chief of Staff Armed Forces"/>
    <x v="0"/>
    <m/>
    <m/>
    <m/>
    <m/>
    <x v="12"/>
    <m/>
    <m/>
    <s v="Defense White Paper Appendix"/>
    <m/>
  </r>
  <r>
    <x v="1"/>
    <x v="8"/>
    <s v="Europe and Central Asia"/>
    <s v="Comprehensive Cooperative Partnership [全面合作伙伴关系]"/>
    <x v="5"/>
    <s v="EUCOM"/>
    <x v="35"/>
    <x v="14"/>
    <n v="5"/>
    <s v="BL - Abroad"/>
    <s v="Fan Changlong"/>
    <m/>
    <s v="Jinan MR Commander"/>
    <n v="6"/>
    <x v="1"/>
    <m/>
    <x v="0"/>
    <m/>
    <m/>
    <m/>
    <m/>
    <x v="12"/>
    <m/>
    <m/>
    <s v="Defense White Paper Appendix"/>
    <m/>
  </r>
  <r>
    <x v="1"/>
    <x v="9"/>
    <s v="West Asia and Africa"/>
    <s v="No Specific Relationship"/>
    <x v="0"/>
    <s v="CENTCOM"/>
    <x v="119"/>
    <x v="14"/>
    <n v="5"/>
    <s v="BL - Hosted"/>
    <s v="Cao Gangchuan"/>
    <m/>
    <s v="CMC Vice Chairman; Defense Minister"/>
    <n v="10"/>
    <x v="2"/>
    <s v="Chief of Staff Armed Forces"/>
    <x v="0"/>
    <m/>
    <m/>
    <m/>
    <m/>
    <x v="12"/>
    <m/>
    <m/>
    <s v="Defense White Paper Appendix"/>
    <m/>
  </r>
  <r>
    <x v="1"/>
    <x v="8"/>
    <s v="Europe and Central Asia"/>
    <s v="No Specific Relationship"/>
    <x v="0"/>
    <s v="EUCOM"/>
    <x v="81"/>
    <x v="14"/>
    <n v="5"/>
    <s v="BL - Hosted"/>
    <s v="Cao Gangchuan"/>
    <m/>
    <s v="CMC Vice Chairman; Defense Minister"/>
    <n v="10"/>
    <x v="2"/>
    <s v="COGS"/>
    <x v="0"/>
    <m/>
    <m/>
    <m/>
    <m/>
    <x v="12"/>
    <m/>
    <m/>
    <s v="Defense White Paper Appendix"/>
    <m/>
  </r>
  <r>
    <x v="1"/>
    <x v="8"/>
    <s v="Europe and Central Asia"/>
    <s v="No Specific Relationship"/>
    <x v="0"/>
    <s v="EUCOM"/>
    <x v="81"/>
    <x v="14"/>
    <n v="5"/>
    <s v="BL - Abroad"/>
    <s v="Xiong Guangkai"/>
    <m/>
    <s v="GSD DCGS"/>
    <n v="6"/>
    <x v="1"/>
    <m/>
    <x v="0"/>
    <m/>
    <m/>
    <m/>
    <m/>
    <x v="12"/>
    <m/>
    <m/>
    <s v="Defense White Paper Appendix"/>
    <m/>
  </r>
  <r>
    <x v="1"/>
    <x v="8"/>
    <s v="Europe and Central Asia"/>
    <s v="Comprehensive Partnership [全面伙伴关系]"/>
    <x v="5"/>
    <s v="EUCOM"/>
    <x v="22"/>
    <x v="14"/>
    <n v="5"/>
    <s v="BL - Abroad"/>
    <s v="Xiong Guangkai"/>
    <m/>
    <s v="GSD DCGS"/>
    <n v="6"/>
    <x v="1"/>
    <m/>
    <x v="0"/>
    <m/>
    <m/>
    <m/>
    <m/>
    <x v="12"/>
    <m/>
    <m/>
    <s v="Defense White Paper Appendix"/>
    <m/>
  </r>
  <r>
    <x v="1"/>
    <x v="7"/>
    <s v="West Asia and Africa"/>
    <s v="No Specific Relationship"/>
    <x v="0"/>
    <s v="AFRICOM"/>
    <x v="67"/>
    <x v="14"/>
    <n v="5"/>
    <s v="BL - Hosted"/>
    <s v="Cao Gangchuan"/>
    <m/>
    <s v="CMC Vice Chairman; Defense Minister"/>
    <n v="10"/>
    <x v="2"/>
    <s v="Secretary-General of Defense Ministry"/>
    <x v="0"/>
    <m/>
    <m/>
    <m/>
    <m/>
    <x v="12"/>
    <m/>
    <m/>
    <s v="Defense White Paper Appendix"/>
    <m/>
  </r>
  <r>
    <x v="1"/>
    <x v="8"/>
    <s v="Europe and Central Asia"/>
    <s v="No Specific Relationship"/>
    <x v="5"/>
    <s v="EUCOM"/>
    <x v="18"/>
    <x v="14"/>
    <n v="5"/>
    <s v="BL - Abroad"/>
    <s v="Liang Guanglie"/>
    <m/>
    <s v="GSD Commander; CMC Member"/>
    <n v="8"/>
    <x v="1"/>
    <m/>
    <x v="0"/>
    <m/>
    <m/>
    <m/>
    <m/>
    <x v="12"/>
    <m/>
    <m/>
    <s v="Defense White Paper Appendix"/>
    <m/>
  </r>
  <r>
    <x v="1"/>
    <x v="8"/>
    <s v="Europe and Central Asia"/>
    <s v="No Specific Relationship"/>
    <x v="5"/>
    <s v="EUCOM"/>
    <x v="29"/>
    <x v="14"/>
    <n v="5"/>
    <s v="BL - Hosted"/>
    <s v="Cao Gangchuan"/>
    <m/>
    <s v="CMC Vice Chairman; Defense Minister"/>
    <n v="10"/>
    <x v="2"/>
    <s v="Defense Minister"/>
    <x v="0"/>
    <m/>
    <m/>
    <m/>
    <m/>
    <x v="12"/>
    <m/>
    <m/>
    <s v="Defense White Paper Appendix"/>
    <m/>
  </r>
  <r>
    <x v="1"/>
    <x v="10"/>
    <s v="America and Oceania"/>
    <s v="No Specific Relationship"/>
    <x v="0"/>
    <s v="SOUTHCOM"/>
    <x v="88"/>
    <x v="14"/>
    <n v="5"/>
    <s v="BL - Hosted"/>
    <s v="Xu Caihou"/>
    <m/>
    <s v="CMC Vice Chairman"/>
    <n v="10"/>
    <x v="2"/>
    <s v="Chief of the Defense Staff"/>
    <x v="0"/>
    <m/>
    <m/>
    <m/>
    <m/>
    <x v="12"/>
    <m/>
    <m/>
    <s v="Defense White Paper Appendix"/>
    <m/>
  </r>
  <r>
    <x v="1"/>
    <x v="8"/>
    <s v="Europe and Central Asia"/>
    <s v="No Specific Relationship"/>
    <x v="5"/>
    <s v="EUCOM"/>
    <x v="82"/>
    <x v="14"/>
    <n v="5"/>
    <s v="BL - Hosted"/>
    <s v="Cao Gangchuan"/>
    <m/>
    <s v="CMC Vice Chairman; Defense Minister"/>
    <n v="10"/>
    <x v="2"/>
    <s v="Defense Minister"/>
    <x v="0"/>
    <m/>
    <m/>
    <m/>
    <m/>
    <x v="12"/>
    <m/>
    <m/>
    <s v="Defense White Paper Appendix"/>
    <m/>
  </r>
  <r>
    <x v="1"/>
    <x v="0"/>
    <s v="Asia"/>
    <s v="Strategic Partnership for Peace and Prosperity [战略伙伴关系]"/>
    <x v="0"/>
    <s v="INDOPACOM"/>
    <x v="6"/>
    <x v="14"/>
    <n v="5"/>
    <s v="BL - Abroad"/>
    <s v="Liang Guanglie"/>
    <m/>
    <s v="GSD Commander; CMC Member"/>
    <n v="8"/>
    <x v="1"/>
    <s v="Defense Minister"/>
    <x v="0"/>
    <m/>
    <m/>
    <m/>
    <m/>
    <x v="12"/>
    <m/>
    <m/>
    <s v="Defense White Paper Appendix"/>
    <m/>
  </r>
  <r>
    <x v="1"/>
    <x v="8"/>
    <s v="Europe and Central Asia"/>
    <s v="Comprehensive Strategic Partnership [全面战略伙伴关系]"/>
    <x v="5"/>
    <s v="EUCOM"/>
    <x v="20"/>
    <x v="14"/>
    <n v="5"/>
    <s v="BL - Hosted"/>
    <s v="Cao Gangchuan"/>
    <m/>
    <s v="CMC Vice Chairman; Defense Minister"/>
    <n v="10"/>
    <x v="2"/>
    <s v="Chief of Italian Army"/>
    <x v="0"/>
    <m/>
    <m/>
    <m/>
    <m/>
    <x v="12"/>
    <m/>
    <m/>
    <s v="Defense White Paper Appendix"/>
    <m/>
  </r>
  <r>
    <x v="1"/>
    <x v="8"/>
    <s v="Europe and Central Asia"/>
    <s v="Comprehensive Strategic Partnership [全面战略伙伴关系]"/>
    <x v="5"/>
    <s v="EUCOM"/>
    <x v="20"/>
    <x v="14"/>
    <n v="5"/>
    <s v="BL - Abroad"/>
    <s v="Chen Bingde"/>
    <m/>
    <s v="GAD Director; CMC Member"/>
    <n v="8"/>
    <x v="1"/>
    <m/>
    <x v="0"/>
    <m/>
    <m/>
    <m/>
    <m/>
    <x v="12"/>
    <m/>
    <m/>
    <s v="Defense White Paper Appendix"/>
    <m/>
  </r>
  <r>
    <x v="1"/>
    <x v="6"/>
    <s v="Europe and Central Asia"/>
    <s v="Strategic Partnership [战略伙伴关系]"/>
    <x v="0"/>
    <s v="CENTCOM"/>
    <x v="30"/>
    <x v="14"/>
    <n v="5"/>
    <s v="BL - Hosted"/>
    <s v="Cao Gangchuan"/>
    <m/>
    <s v="CMC Vice Chairman; Defense Minister"/>
    <n v="10"/>
    <x v="2"/>
    <s v="Deputy Defense Minister"/>
    <x v="0"/>
    <m/>
    <m/>
    <m/>
    <m/>
    <x v="12"/>
    <m/>
    <m/>
    <s v="Defense White Paper Appendix"/>
    <m/>
  </r>
  <r>
    <x v="1"/>
    <x v="6"/>
    <s v="Europe and Central Asia"/>
    <s v="No Specific Relationship"/>
    <x v="0"/>
    <s v="CENTCOM"/>
    <x v="31"/>
    <x v="14"/>
    <n v="5"/>
    <s v="BL - Hosted"/>
    <s v="Cao Gangchuan"/>
    <m/>
    <s v="CMC Vice Chairman; Defense Minister"/>
    <n v="10"/>
    <x v="2"/>
    <s v="Defense Minister"/>
    <x v="0"/>
    <m/>
    <m/>
    <m/>
    <m/>
    <x v="12"/>
    <m/>
    <m/>
    <s v="Defense White Paper Appendix"/>
    <m/>
  </r>
  <r>
    <x v="1"/>
    <x v="7"/>
    <s v="West Asia and Africa"/>
    <s v="No Specific Relationship"/>
    <x v="0"/>
    <s v="AFRICOM"/>
    <x v="84"/>
    <x v="14"/>
    <n v="5"/>
    <s v="BL - Hosted"/>
    <s v="Cao Gangchuan"/>
    <m/>
    <s v="CMC Vice Chairman; Defense Minister"/>
    <n v="10"/>
    <x v="2"/>
    <s v="Defense Minister"/>
    <x v="0"/>
    <m/>
    <m/>
    <m/>
    <m/>
    <x v="12"/>
    <m/>
    <m/>
    <s v="Defense White Paper Appendix"/>
    <m/>
  </r>
  <r>
    <x v="1"/>
    <x v="10"/>
    <s v="America and Oceania"/>
    <s v="Comprehensive Partnership [全面伙伴关系]"/>
    <x v="0"/>
    <s v="SOUTHCOM"/>
    <x v="54"/>
    <x v="14"/>
    <n v="5"/>
    <s v="BL - Hosted"/>
    <s v="Cao Gangchuan"/>
    <m/>
    <s v="CMC Vice Chairman; Defense Minister"/>
    <n v="10"/>
    <x v="2"/>
    <s v="Defense Minister"/>
    <x v="0"/>
    <m/>
    <m/>
    <m/>
    <m/>
    <x v="12"/>
    <m/>
    <m/>
    <s v="Defense White Paper Appendix"/>
    <m/>
  </r>
  <r>
    <x v="1"/>
    <x v="8"/>
    <s v="Europe and Central Asia"/>
    <s v="Comprehensive Friendly Cooperative Partnership [全面友好合作伙伴关系]"/>
    <x v="5"/>
    <s v="EUCOM"/>
    <x v="33"/>
    <x v="14"/>
    <n v="5"/>
    <s v="BL - Hosted"/>
    <s v="Xu Caihou"/>
    <m/>
    <s v="CMC Vice Chairman"/>
    <n v="10"/>
    <x v="2"/>
    <s v="Chief of Land Forces"/>
    <x v="0"/>
    <m/>
    <m/>
    <m/>
    <m/>
    <x v="12"/>
    <m/>
    <m/>
    <s v="Defense White Paper Appendix"/>
    <m/>
  </r>
  <r>
    <x v="1"/>
    <x v="3"/>
    <s v="Europe and Central Asia"/>
    <s v="Strategic Partnership of Coordination [战略协作伙伴关系]"/>
    <x v="0"/>
    <s v="EUCOM"/>
    <x v="7"/>
    <x v="14"/>
    <n v="5"/>
    <s v="BL - Hosted"/>
    <s v="Cao Gangchuan"/>
    <m/>
    <s v="CMC Vice Chairman; Defense Minister"/>
    <n v="10"/>
    <x v="2"/>
    <s v="Defense Minister"/>
    <x v="0"/>
    <m/>
    <m/>
    <m/>
    <m/>
    <x v="12"/>
    <m/>
    <m/>
    <s v="Defense White Paper Appendix"/>
    <m/>
  </r>
  <r>
    <x v="1"/>
    <x v="3"/>
    <s v="Europe and Central Asia"/>
    <s v="Strategic Partnership of Coordination [战略协作伙伴关系]"/>
    <x v="0"/>
    <s v="EUCOM"/>
    <x v="7"/>
    <x v="14"/>
    <n v="5"/>
    <s v="BL - Abroad"/>
    <s v="Fan Changlong"/>
    <m/>
    <s v="Jinan MR Commander"/>
    <n v="6"/>
    <x v="1"/>
    <m/>
    <x v="0"/>
    <m/>
    <m/>
    <m/>
    <m/>
    <x v="12"/>
    <m/>
    <m/>
    <s v="Defense White Paper Appendix"/>
    <m/>
  </r>
  <r>
    <x v="1"/>
    <x v="7"/>
    <s v="West Asia and Africa"/>
    <s v="Strategic Partnership [战略伙伴关系]"/>
    <x v="0"/>
    <s v="AFRICOM"/>
    <x v="15"/>
    <x v="14"/>
    <n v="5"/>
    <s v="BL - Hosted"/>
    <s v="Cao Gangchuan"/>
    <m/>
    <s v="CMC Vice Chairman; Defense Minister"/>
    <n v="10"/>
    <x v="2"/>
    <s v="Secretary of Defense"/>
    <x v="0"/>
    <m/>
    <m/>
    <m/>
    <m/>
    <x v="12"/>
    <m/>
    <m/>
    <s v="Defense White Paper Appendix"/>
    <m/>
  </r>
  <r>
    <x v="1"/>
    <x v="4"/>
    <s v="Asia"/>
    <s v="Comprehensive Cooperative Partnership [全面合作伙伴关系]"/>
    <x v="3"/>
    <s v="INDOPACOM"/>
    <x v="25"/>
    <x v="14"/>
    <n v="5"/>
    <s v="BL - Hosted"/>
    <s v="Cao Gangchuan"/>
    <m/>
    <s v="CMC Vice Chairman; Defense Minister"/>
    <n v="10"/>
    <x v="2"/>
    <s v="COGS ROKAF"/>
    <x v="0"/>
    <m/>
    <m/>
    <m/>
    <m/>
    <x v="12"/>
    <m/>
    <m/>
    <s v="Defense White Paper Appendix"/>
    <m/>
  </r>
  <r>
    <x v="1"/>
    <x v="7"/>
    <s v="West Asia and Africa"/>
    <s v="No Specific Relationship"/>
    <x v="0"/>
    <s v="AFRICOM"/>
    <x v="74"/>
    <x v="14"/>
    <n v="5"/>
    <s v="BL - Hosted"/>
    <s v="Cao Gangchuan"/>
    <m/>
    <s v="CMC Vice Chairman; Defense Minister"/>
    <n v="10"/>
    <x v="2"/>
    <s v="COGS "/>
    <x v="0"/>
    <m/>
    <m/>
    <m/>
    <m/>
    <x v="12"/>
    <m/>
    <m/>
    <s v="Defense White Paper Appendix"/>
    <m/>
  </r>
  <r>
    <x v="1"/>
    <x v="6"/>
    <s v="Europe and Central Asia"/>
    <s v="No Specific Relationship"/>
    <x v="0"/>
    <s v="CENTCOM"/>
    <x v="60"/>
    <x v="14"/>
    <n v="5"/>
    <s v="BL - Hosted"/>
    <s v="Cao Gangchuan"/>
    <m/>
    <s v="CMC Vice Chairman; Defense Minister"/>
    <n v="10"/>
    <x v="2"/>
    <s v="Defense Minister"/>
    <x v="0"/>
    <m/>
    <m/>
    <m/>
    <m/>
    <x v="12"/>
    <m/>
    <m/>
    <s v="Defense White Paper Appendix"/>
    <m/>
  </r>
  <r>
    <x v="1"/>
    <x v="1"/>
    <s v="Asia"/>
    <s v="No Specific Relationship"/>
    <x v="3"/>
    <s v="INDOPACOM"/>
    <x v="5"/>
    <x v="14"/>
    <n v="5"/>
    <s v="BL - Hosted"/>
    <s v="Cao Gangchuan"/>
    <m/>
    <s v="CMC Vice Chairman; Defense Minister"/>
    <n v="10"/>
    <x v="2"/>
    <s v="CinC Army"/>
    <x v="0"/>
    <m/>
    <m/>
    <m/>
    <m/>
    <x v="12"/>
    <m/>
    <m/>
    <s v="Defense White Paper Appendix"/>
    <m/>
  </r>
  <r>
    <x v="1"/>
    <x v="8"/>
    <s v="Europe and Central Asia"/>
    <s v="No Specific Relationship"/>
    <x v="5"/>
    <s v="EUCOM"/>
    <x v="38"/>
    <x v="14"/>
    <n v="5"/>
    <s v="BL - Hosted"/>
    <s v="Cao Gangchuan"/>
    <m/>
    <s v="CMC Vice Chairman; Defense Minister"/>
    <n v="10"/>
    <x v="2"/>
    <s v="Gendarmerie Commander"/>
    <x v="0"/>
    <m/>
    <m/>
    <m/>
    <m/>
    <x v="12"/>
    <m/>
    <m/>
    <s v="Defense White Paper Appendix"/>
    <m/>
  </r>
  <r>
    <x v="1"/>
    <x v="8"/>
    <s v="Europe and Central Asia"/>
    <s v="No Specific Relationship"/>
    <x v="5"/>
    <s v="EUCOM"/>
    <x v="38"/>
    <x v="14"/>
    <n v="5"/>
    <s v="BL - Abroad"/>
    <s v="Liang Guanglie"/>
    <m/>
    <s v="GSD Commander; CMC Member"/>
    <n v="8"/>
    <x v="1"/>
    <s v="Defense Minister"/>
    <x v="0"/>
    <m/>
    <m/>
    <m/>
    <m/>
    <x v="12"/>
    <m/>
    <m/>
    <s v="Defense White Paper Appendix"/>
    <m/>
  </r>
  <r>
    <x v="1"/>
    <x v="8"/>
    <s v="Europe and Central Asia"/>
    <s v="Comprehensive Strategic Partnership [全面战略伙伴关系]"/>
    <x v="5"/>
    <s v="EUCOM"/>
    <x v="21"/>
    <x v="14"/>
    <n v="5"/>
    <s v="BL - Abroad"/>
    <s v="Chen Bingde"/>
    <m/>
    <s v="GAD Director; CMC Member"/>
    <n v="8"/>
    <x v="1"/>
    <m/>
    <x v="0"/>
    <m/>
    <m/>
    <m/>
    <m/>
    <x v="12"/>
    <m/>
    <m/>
    <s v="Defense White Paper Appendix"/>
    <m/>
  </r>
  <r>
    <x v="1"/>
    <x v="6"/>
    <s v="Europe and Central Asia"/>
    <s v="No Specific Relationship"/>
    <x v="0"/>
    <s v="CENTCOM"/>
    <x v="73"/>
    <x v="14"/>
    <n v="5"/>
    <s v="BL - Hosted"/>
    <s v="Cao Gangchuan"/>
    <m/>
    <s v="CMC Vice Chairman; Defense Minister"/>
    <n v="10"/>
    <x v="2"/>
    <s v="Deputy Defense Minister"/>
    <x v="0"/>
    <m/>
    <m/>
    <m/>
    <m/>
    <x v="12"/>
    <m/>
    <m/>
    <s v="Defense White Paper Appendix"/>
    <m/>
  </r>
  <r>
    <x v="1"/>
    <x v="10"/>
    <s v="America and Oceania"/>
    <s v="No Specific Relationship"/>
    <x v="0"/>
    <s v="SOUTHCOM"/>
    <x v="49"/>
    <x v="14"/>
    <n v="6"/>
    <s v="BL - Abroad"/>
    <s v="Li Jinai"/>
    <m/>
    <s v="GPD Deputy Director"/>
    <n v="8"/>
    <x v="1"/>
    <m/>
    <x v="0"/>
    <m/>
    <m/>
    <m/>
    <m/>
    <x v="12"/>
    <m/>
    <m/>
    <s v="Defense White Paper Appendix"/>
    <s v="Updated positions with DWP"/>
  </r>
  <r>
    <x v="1"/>
    <x v="9"/>
    <s v="West Asia and Africa"/>
    <s v="Strategic Cooperative Partnership [战略合作伙伴关系]"/>
    <x v="1"/>
    <s v="CENTCOM"/>
    <x v="24"/>
    <x v="14"/>
    <n v="6"/>
    <s v="BL - Abroad"/>
    <s v="Fu Tinggui"/>
    <m/>
    <s v="Beijing MR Political Commissar"/>
    <n v="6"/>
    <x v="1"/>
    <m/>
    <x v="0"/>
    <m/>
    <m/>
    <m/>
    <m/>
    <x v="12"/>
    <m/>
    <m/>
    <s v="Defense White Paper Appendix"/>
    <m/>
  </r>
  <r>
    <x v="1"/>
    <x v="8"/>
    <s v="Europe and Central Asia"/>
    <s v="Comprehensive Partnership [全面伙伴关系]"/>
    <x v="5"/>
    <s v="EUCOM"/>
    <x v="22"/>
    <x v="14"/>
    <n v="6"/>
    <s v="BL - Abroad"/>
    <s v="Xiong Guangkai"/>
    <m/>
    <s v="GSD DCGS"/>
    <n v="6"/>
    <x v="1"/>
    <m/>
    <x v="0"/>
    <m/>
    <m/>
    <m/>
    <m/>
    <x v="12"/>
    <m/>
    <m/>
    <s v="Defense White Paper Appendix"/>
    <m/>
  </r>
  <r>
    <x v="1"/>
    <x v="8"/>
    <s v="Europe and Central Asia"/>
    <s v="No Specific Relationship"/>
    <x v="5"/>
    <s v="EUCOM"/>
    <x v="18"/>
    <x v="14"/>
    <n v="6"/>
    <s v="BL - Abroad"/>
    <s v="Zheng Shenxia"/>
    <m/>
    <s v="AMS President"/>
    <n v="6"/>
    <x v="1"/>
    <m/>
    <x v="0"/>
    <m/>
    <m/>
    <m/>
    <m/>
    <x v="12"/>
    <m/>
    <m/>
    <s v="Defense White Paper Appendix"/>
    <m/>
  </r>
  <r>
    <x v="1"/>
    <x v="7"/>
    <s v="West Asia and Africa"/>
    <s v="No Specific Relationship"/>
    <x v="0"/>
    <s v="AFRICOM"/>
    <x v="47"/>
    <x v="14"/>
    <n v="6"/>
    <s v="BL - Abroad"/>
    <m/>
    <m/>
    <s v="GLD Deputy Director"/>
    <n v="8"/>
    <x v="1"/>
    <m/>
    <x v="0"/>
    <m/>
    <m/>
    <m/>
    <m/>
    <x v="12"/>
    <m/>
    <m/>
    <s v="Defense White Paper Appendix"/>
    <s v="Updated positions with DWP"/>
  </r>
  <r>
    <x v="1"/>
    <x v="2"/>
    <s v="America and Oceania"/>
    <s v="Strategic Cooperative Partnership [战略合作伙伴关系]"/>
    <x v="0"/>
    <s v="NORTHCOM"/>
    <x v="77"/>
    <x v="14"/>
    <n v="6"/>
    <s v="BL - Abroad"/>
    <s v="Li Jinai"/>
    <m/>
    <s v="GPD Deputy Director"/>
    <n v="8"/>
    <x v="1"/>
    <m/>
    <x v="0"/>
    <m/>
    <m/>
    <m/>
    <m/>
    <x v="12"/>
    <m/>
    <m/>
    <s v="Defense White Paper Appendix"/>
    <s v="Updated positions with DWP"/>
  </r>
  <r>
    <x v="1"/>
    <x v="1"/>
    <s v="Asia"/>
    <s v="Strategic Cooperative Partnership [战略合作伙伴关系]"/>
    <x v="3"/>
    <s v="INDOPACOM"/>
    <x v="11"/>
    <x v="14"/>
    <n v="6"/>
    <s v="BL - Abroad"/>
    <m/>
    <m/>
    <s v="GLD Deputy Director"/>
    <n v="8"/>
    <x v="1"/>
    <m/>
    <x v="0"/>
    <m/>
    <m/>
    <m/>
    <m/>
    <x v="12"/>
    <m/>
    <m/>
    <s v="Defense White Paper Appendix"/>
    <s v="Updated positions with DWP"/>
  </r>
  <r>
    <x v="1"/>
    <x v="3"/>
    <s v="Europe and Central Asia"/>
    <s v="Strategic Partnership of Coordination [战略协作伙伴关系]"/>
    <x v="0"/>
    <s v="EUCOM"/>
    <x v="7"/>
    <x v="14"/>
    <n v="6"/>
    <s v="BL - Abroad"/>
    <s v="Xiong Guangkai"/>
    <m/>
    <s v="GSD DCGS"/>
    <n v="8"/>
    <x v="1"/>
    <m/>
    <x v="0"/>
    <m/>
    <m/>
    <m/>
    <m/>
    <x v="12"/>
    <m/>
    <m/>
    <s v="Defense White Paper Appendix"/>
    <s v="Updated positions with DWP"/>
  </r>
  <r>
    <x v="1"/>
    <x v="9"/>
    <s v="West Asia and Africa"/>
    <s v="No Specific Relationship"/>
    <x v="0"/>
    <s v="CENTCOM"/>
    <x v="102"/>
    <x v="14"/>
    <n v="6"/>
    <s v="BL - Abroad"/>
    <s v="Fu Tinggui"/>
    <m/>
    <s v="Beijing MR Political Commissar"/>
    <n v="6"/>
    <x v="1"/>
    <m/>
    <x v="0"/>
    <m/>
    <m/>
    <m/>
    <m/>
    <x v="12"/>
    <m/>
    <m/>
    <s v="Defense White Paper Appendix"/>
    <m/>
  </r>
  <r>
    <x v="1"/>
    <x v="6"/>
    <s v="Europe and Central Asia"/>
    <s v="No Specific Relationship"/>
    <x v="0"/>
    <s v="CENTCOM"/>
    <x v="60"/>
    <x v="14"/>
    <n v="6"/>
    <s v="BL - Hosted"/>
    <s v="He Yong"/>
    <m/>
    <s v="Member of Secretariat "/>
    <n v="6"/>
    <x v="2"/>
    <s v="Commander, National Guard"/>
    <x v="0"/>
    <m/>
    <m/>
    <m/>
    <m/>
    <x v="12"/>
    <m/>
    <m/>
    <s v="Defense White Paper Appendix"/>
    <m/>
  </r>
  <r>
    <x v="1"/>
    <x v="7"/>
    <s v="West Asia and Africa"/>
    <s v="No Specific Relationship"/>
    <x v="0"/>
    <s v="AFRICOM"/>
    <x v="16"/>
    <x v="14"/>
    <n v="6"/>
    <s v="BL - Abroad"/>
    <m/>
    <m/>
    <s v="GLD Deputy Director"/>
    <n v="8"/>
    <x v="1"/>
    <m/>
    <x v="0"/>
    <m/>
    <m/>
    <m/>
    <m/>
    <x v="12"/>
    <m/>
    <m/>
    <s v="Defense White Paper Appendix"/>
    <s v="Updated positions with DWP"/>
  </r>
  <r>
    <x v="1"/>
    <x v="8"/>
    <s v="Europe and Central Asia"/>
    <s v="No Specific Relationship"/>
    <x v="0"/>
    <s v="EUCOM"/>
    <x v="26"/>
    <x v="14"/>
    <n v="6"/>
    <s v="BL - Abroad"/>
    <s v="Zheng Shenxia"/>
    <m/>
    <s v="AMS President"/>
    <n v="6"/>
    <x v="1"/>
    <m/>
    <x v="0"/>
    <m/>
    <m/>
    <m/>
    <m/>
    <x v="12"/>
    <m/>
    <m/>
    <s v="Defense White Paper Appendix"/>
    <m/>
  </r>
  <r>
    <x v="1"/>
    <x v="8"/>
    <s v="Europe and Central Asia"/>
    <s v="Comprehensive Strategic Partnership [全面战略伙伴关系]"/>
    <x v="5"/>
    <s v="EUCOM"/>
    <x v="21"/>
    <x v="14"/>
    <n v="6"/>
    <s v="BL - Hosted"/>
    <s v="Xu Qiliang"/>
    <m/>
    <s v="GSD DCGS"/>
    <n v="6"/>
    <x v="2"/>
    <s v="Director, Royal College of Defense Studies"/>
    <x v="0"/>
    <m/>
    <m/>
    <m/>
    <m/>
    <x v="12"/>
    <m/>
    <m/>
    <s v="https://dlib.eastview.com/browse/doc/14694891"/>
    <m/>
  </r>
  <r>
    <x v="1"/>
    <x v="2"/>
    <s v="America and Oceania"/>
    <s v="No Specific Relationship"/>
    <x v="2"/>
    <s v="NORTHCOM"/>
    <x v="4"/>
    <x v="14"/>
    <n v="6"/>
    <s v="BL - Hosted"/>
    <s v="Xu Qiliang"/>
    <m/>
    <s v="GSD DCGS"/>
    <n v="6"/>
    <x v="2"/>
    <s v="Superintendent USMA West Point"/>
    <x v="0"/>
    <m/>
    <m/>
    <m/>
    <m/>
    <x v="12"/>
    <m/>
    <m/>
    <s v="https://dlib.eastview.com/browse/doc/14696449"/>
    <m/>
  </r>
  <r>
    <x v="1"/>
    <x v="0"/>
    <s v="Asia"/>
    <s v="Comprehensive Cooperative Partnership [全面合作伙伴关系]"/>
    <x v="0"/>
    <s v="INDOPACOM"/>
    <x v="0"/>
    <x v="14"/>
    <n v="7"/>
    <s v="BL - Hosted"/>
    <s v="Zhang Dingfa"/>
    <m/>
    <s v="PLAN Commander "/>
    <n v="8"/>
    <x v="2"/>
    <s v="Chief of Naval Staff"/>
    <x v="0"/>
    <m/>
    <m/>
    <m/>
    <m/>
    <x v="12"/>
    <m/>
    <m/>
    <s v="Defense White Paper Appendix"/>
    <s v="No corroborating reporting on this visit; assess PLAN commander as likely counterpart"/>
  </r>
  <r>
    <x v="1"/>
    <x v="8"/>
    <s v="Europe and Central Asia"/>
    <s v="No Specific Relationship"/>
    <x v="5"/>
    <s v="EUCOM"/>
    <x v="79"/>
    <x v="14"/>
    <n v="7"/>
    <s v="BL - Abroad"/>
    <s v="Li Jinai"/>
    <m/>
    <s v="GPD Deputy Director"/>
    <n v="8"/>
    <x v="1"/>
    <m/>
    <x v="0"/>
    <m/>
    <m/>
    <m/>
    <m/>
    <x v="12"/>
    <m/>
    <m/>
    <s v="Defense White Paper Appendix"/>
    <s v="Updated positions with DWP"/>
  </r>
  <r>
    <x v="1"/>
    <x v="8"/>
    <s v="Europe and Central Asia"/>
    <s v="Comprehensive Friendly Cooperative Partnership [全面友好合作伙伴关系]"/>
    <x v="5"/>
    <s v="EUCOM"/>
    <x v="33"/>
    <x v="14"/>
    <n v="7"/>
    <s v="BL - Hosted"/>
    <s v="Liang Guanglie"/>
    <m/>
    <s v="GSD Commander; CMC Member"/>
    <n v="8"/>
    <x v="2"/>
    <s v="COGS"/>
    <x v="0"/>
    <m/>
    <m/>
    <m/>
    <m/>
    <x v="12"/>
    <m/>
    <m/>
    <s v="Defense White Paper Appendix"/>
    <m/>
  </r>
  <r>
    <x v="1"/>
    <x v="8"/>
    <s v="Europe and Central Asia"/>
    <s v="No Specific Relationship"/>
    <x v="0"/>
    <s v="EUCOM"/>
    <x v="78"/>
    <x v="14"/>
    <n v="7"/>
    <s v="BL - Abroad"/>
    <s v="Li Jinai"/>
    <m/>
    <s v="GPD Deputy Director"/>
    <n v="8"/>
    <x v="1"/>
    <m/>
    <x v="0"/>
    <m/>
    <m/>
    <m/>
    <m/>
    <x v="12"/>
    <m/>
    <m/>
    <s v="Defense White Paper Appendix"/>
    <s v="Updated positions with DWP"/>
  </r>
  <r>
    <x v="1"/>
    <x v="1"/>
    <s v="Asia"/>
    <s v="No Specific Relationship"/>
    <x v="3"/>
    <s v="INDOPACOM"/>
    <x v="5"/>
    <x v="14"/>
    <n v="7"/>
    <s v="BL - Hosted"/>
    <s v="Cao Gangchuan"/>
    <m/>
    <s v="CMC Vice Chairman; Defense Minister"/>
    <n v="8"/>
    <x v="2"/>
    <s v="Assistant Defense Minister"/>
    <x v="0"/>
    <m/>
    <m/>
    <m/>
    <m/>
    <x v="12"/>
    <m/>
    <m/>
    <s v="https://dlib.eastview.com/browse/doc/14675628"/>
    <m/>
  </r>
  <r>
    <x v="1"/>
    <x v="2"/>
    <s v="America and Oceania"/>
    <s v="No Specific Relationship"/>
    <x v="2"/>
    <s v="NORTHCOM"/>
    <x v="4"/>
    <x v="14"/>
    <n v="7"/>
    <s v="BL - Abroad"/>
    <s v="Liu Zhenwu"/>
    <m/>
    <s v="Guangzhou MR Commander"/>
    <n v="6"/>
    <x v="1"/>
    <m/>
    <x v="0"/>
    <m/>
    <m/>
    <m/>
    <m/>
    <x v="12"/>
    <m/>
    <m/>
    <s v="Defense White Paper Appendix"/>
    <m/>
  </r>
  <r>
    <x v="1"/>
    <x v="5"/>
    <s v="America and Oceania"/>
    <s v="No Specific Relationship"/>
    <x v="0"/>
    <s v="INDOPACOM"/>
    <x v="120"/>
    <x v="14"/>
    <n v="7"/>
    <s v="BL - Hosted"/>
    <s v="Cao Gangchuan"/>
    <m/>
    <s v="CMC Vice Chairman; Defense Minister"/>
    <n v="10"/>
    <x v="2"/>
    <s v="Minister of Home Affairs"/>
    <x v="0"/>
    <m/>
    <m/>
    <m/>
    <m/>
    <x v="12"/>
    <m/>
    <m/>
    <s v="Defense White Paper Appendix"/>
    <m/>
  </r>
  <r>
    <x v="1"/>
    <x v="1"/>
    <s v="Asia"/>
    <s v="No Specific Relationship"/>
    <x v="0"/>
    <s v="INDOPACOM"/>
    <x v="23"/>
    <x v="14"/>
    <n v="7"/>
    <s v="BL - Hosted"/>
    <s v="Liang Guanglie"/>
    <m/>
    <s v="GSD Commander; CMC Member"/>
    <n v="8"/>
    <x v="2"/>
    <s v="Deputy Defense Minister"/>
    <x v="0"/>
    <m/>
    <m/>
    <m/>
    <m/>
    <x v="12"/>
    <m/>
    <m/>
    <s v="https://dlib.eastview.com/browse/doc/14698980"/>
    <m/>
  </r>
  <r>
    <x v="1"/>
    <x v="7"/>
    <s v="West Asia and Africa"/>
    <s v="No Specific Relationship"/>
    <x v="0"/>
    <s v="AFRICOM"/>
    <x v="61"/>
    <x v="14"/>
    <n v="7"/>
    <s v="BL - Hosted"/>
    <s v="Cao Gangchuan"/>
    <m/>
    <s v="CMC Vice Chairman; Defense Minister"/>
    <n v="8"/>
    <x v="2"/>
    <s v="Defense Minister"/>
    <x v="0"/>
    <m/>
    <m/>
    <m/>
    <m/>
    <x v="12"/>
    <m/>
    <m/>
    <s v="https://dlib.eastview.com/browse/doc/14680808"/>
    <m/>
  </r>
  <r>
    <x v="1"/>
    <x v="7"/>
    <s v="West Asia and Africa"/>
    <s v="Comprehensive Strategic Cooperative Partnership [全面战略合作伙伴关系]"/>
    <x v="0"/>
    <s v="AFRICOM"/>
    <x v="71"/>
    <x v="14"/>
    <n v="8"/>
    <s v="BL - Abroad"/>
    <s v="Zhu Wenquan"/>
    <m/>
    <s v="Nanjing MR Commander"/>
    <n v="6"/>
    <x v="1"/>
    <m/>
    <x v="0"/>
    <m/>
    <m/>
    <m/>
    <m/>
    <x v="12"/>
    <m/>
    <m/>
    <s v="Defense White Paper Appendix"/>
    <m/>
  </r>
  <r>
    <x v="1"/>
    <x v="7"/>
    <s v="West Asia and Africa"/>
    <s v="No Specific Relationship"/>
    <x v="0"/>
    <s v="AFRICOM"/>
    <x v="95"/>
    <x v="14"/>
    <n v="8"/>
    <s v="BL - Abroad"/>
    <s v="Zhu Wenquan"/>
    <m/>
    <s v="Nanjing MR Commander"/>
    <n v="6"/>
    <x v="1"/>
    <m/>
    <x v="0"/>
    <m/>
    <m/>
    <m/>
    <m/>
    <x v="12"/>
    <m/>
    <m/>
    <s v="Defense White Paper Appendix"/>
    <m/>
  </r>
  <r>
    <x v="1"/>
    <x v="9"/>
    <s v="West Asia and Africa"/>
    <s v="No Specific Relationship"/>
    <x v="0"/>
    <s v="CENTCOM"/>
    <x v="89"/>
    <x v="14"/>
    <n v="8"/>
    <s v="BL - Abroad"/>
    <s v="Zhu Wenquan"/>
    <m/>
    <s v="Nanjing MR Commander"/>
    <n v="6"/>
    <x v="1"/>
    <m/>
    <x v="0"/>
    <m/>
    <m/>
    <m/>
    <m/>
    <x v="12"/>
    <m/>
    <m/>
    <s v="Defense White Paper Appendix"/>
    <m/>
  </r>
  <r>
    <x v="1"/>
    <x v="7"/>
    <s v="West Asia and Africa"/>
    <s v="No Specific Relationship"/>
    <x v="0"/>
    <s v="AFRICOM"/>
    <x v="121"/>
    <x v="14"/>
    <n v="8"/>
    <s v="BL - Hosted"/>
    <s v="Cao Gangchuan"/>
    <m/>
    <s v="CMC Vice Chairman; Defense Minister"/>
    <n v="10"/>
    <x v="2"/>
    <s v="Minister of Defense and Retired Servicemen"/>
    <x v="0"/>
    <m/>
    <m/>
    <m/>
    <m/>
    <x v="12"/>
    <m/>
    <m/>
    <s v="Defense White Paper Appendix"/>
    <m/>
  </r>
  <r>
    <x v="2"/>
    <x v="3"/>
    <s v="Europe and Central Asia"/>
    <s v="Strategic Partnership of Coordination [战略协作伙伴关系]"/>
    <x v="0"/>
    <s v="EUCOM"/>
    <x v="7"/>
    <x v="14"/>
    <n v="8"/>
    <s v="Military Exercise - Bilateral"/>
    <m/>
    <m/>
    <m/>
    <m/>
    <x v="0"/>
    <m/>
    <x v="3"/>
    <s v="Peace Mission 2005"/>
    <s v="Joint"/>
    <s v="Army, Navy, Air Force, SOF; nominal anti-terrorism focus.  August 18–25"/>
    <m/>
    <x v="12"/>
    <m/>
    <m/>
    <s v="Defense White Paper Appendix"/>
    <s v="Under SCO auspices, but coded as Russia because it is a BL exercise."/>
  </r>
  <r>
    <x v="1"/>
    <x v="10"/>
    <s v="America and Oceania"/>
    <s v="Strategic Partnership [战略伙伴关系]"/>
    <x v="1"/>
    <s v="SOUTHCOM"/>
    <x v="62"/>
    <x v="14"/>
    <n v="9"/>
    <s v="BL - Abroad"/>
    <s v="Li Jinai"/>
    <m/>
    <s v="GPD Director; CMC Member"/>
    <n v="8"/>
    <x v="1"/>
    <m/>
    <x v="0"/>
    <m/>
    <m/>
    <m/>
    <m/>
    <x v="12"/>
    <m/>
    <m/>
    <s v="Defense White Paper Appendix"/>
    <m/>
  </r>
  <r>
    <x v="1"/>
    <x v="5"/>
    <s v="America and Oceania"/>
    <s v="No Specific Relationship"/>
    <x v="4"/>
    <s v="INDOPACOM"/>
    <x v="12"/>
    <x v="14"/>
    <n v="9"/>
    <s v="BL - Hosted"/>
    <s v="Cao Gangchuan"/>
    <m/>
    <s v="CMC Vice Chairman; Defense Minister"/>
    <n v="10"/>
    <x v="2"/>
    <s v="Navy Commander"/>
    <x v="0"/>
    <m/>
    <m/>
    <m/>
    <m/>
    <x v="12"/>
    <m/>
    <m/>
    <s v="Defense White Paper Appendix"/>
    <m/>
  </r>
  <r>
    <x v="1"/>
    <x v="8"/>
    <s v="Europe and Central Asia"/>
    <s v="No Specific Relationship"/>
    <x v="5"/>
    <s v="EUCOM"/>
    <x v="79"/>
    <x v="14"/>
    <n v="9"/>
    <s v="BL - Abroad"/>
    <m/>
    <m/>
    <s v="GLD Deputy Director"/>
    <n v="8"/>
    <x v="1"/>
    <m/>
    <x v="0"/>
    <m/>
    <m/>
    <m/>
    <m/>
    <x v="12"/>
    <m/>
    <m/>
    <s v="Defense White Paper Appendix"/>
    <s v="Updated positions with DWP"/>
  </r>
  <r>
    <x v="1"/>
    <x v="10"/>
    <s v="America and Oceania"/>
    <s v="Comprehensive Partnership [全面伙伴关系]"/>
    <x v="0"/>
    <s v="SOUTHCOM"/>
    <x v="66"/>
    <x v="14"/>
    <n v="9"/>
    <s v="BL - Abroad"/>
    <s v="Xiong Guangkai"/>
    <m/>
    <s v="GSD DCGS"/>
    <n v="6"/>
    <x v="1"/>
    <m/>
    <x v="0"/>
    <m/>
    <m/>
    <m/>
    <m/>
    <x v="12"/>
    <m/>
    <m/>
    <s v="Defense White Paper Appendix"/>
    <m/>
  </r>
  <r>
    <x v="1"/>
    <x v="10"/>
    <s v="America and Oceania"/>
    <s v="No Specific Relationship"/>
    <x v="0"/>
    <s v="SOUTHCOM"/>
    <x v="45"/>
    <x v="14"/>
    <n v="9"/>
    <s v="BL - Abroad"/>
    <s v="Xiong Guangkai"/>
    <m/>
    <s v="GSD DCGS"/>
    <n v="6"/>
    <x v="1"/>
    <m/>
    <x v="0"/>
    <m/>
    <m/>
    <m/>
    <m/>
    <x v="12"/>
    <m/>
    <m/>
    <s v="Defense White Paper Appendix"/>
    <m/>
  </r>
  <r>
    <x v="1"/>
    <x v="8"/>
    <s v="Europe and Central Asia"/>
    <s v="No Specific Relationship"/>
    <x v="5"/>
    <s v="EUCOM"/>
    <x v="58"/>
    <x v="14"/>
    <n v="9"/>
    <s v="BL - Abroad"/>
    <m/>
    <m/>
    <s v="GLD Deputy Director"/>
    <n v="8"/>
    <x v="1"/>
    <m/>
    <x v="0"/>
    <m/>
    <m/>
    <m/>
    <m/>
    <x v="12"/>
    <m/>
    <m/>
    <s v="Defense White Paper Appendix"/>
    <s v="Updated positions with DWP"/>
  </r>
  <r>
    <x v="1"/>
    <x v="8"/>
    <s v="Europe and Central Asia"/>
    <s v="No Specific Relationship"/>
    <x v="5"/>
    <s v="EUCOM"/>
    <x v="116"/>
    <x v="14"/>
    <n v="9"/>
    <s v="BL - Abroad"/>
    <s v="Xiong Guangkai"/>
    <m/>
    <s v="GSD DCGS"/>
    <n v="6"/>
    <x v="1"/>
    <m/>
    <x v="0"/>
    <m/>
    <m/>
    <m/>
    <m/>
    <x v="12"/>
    <m/>
    <m/>
    <s v="Defense White Paper Appendix"/>
    <m/>
  </r>
  <r>
    <x v="1"/>
    <x v="8"/>
    <s v="Europe and Central Asia"/>
    <s v="No Specific Relationship"/>
    <x v="5"/>
    <s v="EUCOM"/>
    <x v="82"/>
    <x v="14"/>
    <n v="9"/>
    <s v="BL - Abroad"/>
    <s v="Xiong Guangkai"/>
    <m/>
    <s v="GSD DCGS"/>
    <n v="6"/>
    <x v="1"/>
    <m/>
    <x v="0"/>
    <m/>
    <m/>
    <m/>
    <m/>
    <x v="12"/>
    <m/>
    <m/>
    <s v="Defense White Paper Appendix"/>
    <m/>
  </r>
  <r>
    <x v="1"/>
    <x v="8"/>
    <s v="Europe and Central Asia"/>
    <s v="Comprehensive Strategic Partnership [全面战略伙伴关系]"/>
    <x v="5"/>
    <s v="EUCOM"/>
    <x v="20"/>
    <x v="14"/>
    <n v="9"/>
    <s v="BL - Hosted"/>
    <s v="Cao Gangchuan"/>
    <m/>
    <s v="CMC Vice Chairman; Defense Minister"/>
    <n v="10"/>
    <x v="2"/>
    <s v="Deputy Defense Minister"/>
    <x v="0"/>
    <m/>
    <m/>
    <m/>
    <m/>
    <x v="12"/>
    <m/>
    <m/>
    <s v="Defense White Paper Appendix"/>
    <m/>
  </r>
  <r>
    <x v="1"/>
    <x v="6"/>
    <s v="Europe and Central Asia"/>
    <s v="Strategic Partnership [战略伙伴关系]"/>
    <x v="0"/>
    <s v="CENTCOM"/>
    <x v="30"/>
    <x v="14"/>
    <n v="9"/>
    <s v="BL - Abroad"/>
    <s v="Cao Gangchuan"/>
    <m/>
    <s v="CMC Vice Chairman; Defense Minister"/>
    <n v="10"/>
    <x v="1"/>
    <s v="Defense Minister"/>
    <x v="0"/>
    <m/>
    <m/>
    <m/>
    <m/>
    <x v="12"/>
    <m/>
    <m/>
    <s v="Defense White Paper Appendix"/>
    <m/>
  </r>
  <r>
    <x v="1"/>
    <x v="1"/>
    <s v="Asia"/>
    <s v="Strategic Cooperative Partnership [战略合作伙伴关系]"/>
    <x v="0"/>
    <s v="INDOPACOM"/>
    <x v="10"/>
    <x v="14"/>
    <n v="9"/>
    <s v="BL - Hosted"/>
    <s v="Cao Gangchuan"/>
    <m/>
    <s v="CMC Vice Chairman; Defense Minister"/>
    <n v="10"/>
    <x v="2"/>
    <s v="Deputy Prime Minister and Defense Minister"/>
    <x v="0"/>
    <m/>
    <m/>
    <m/>
    <m/>
    <x v="12"/>
    <m/>
    <m/>
    <s v="Defense White Paper Appendix"/>
    <m/>
  </r>
  <r>
    <x v="1"/>
    <x v="5"/>
    <s v="America and Oceania"/>
    <s v="No Specific Relationship"/>
    <x v="4"/>
    <s v="INDOPACOM"/>
    <x v="13"/>
    <x v="14"/>
    <n v="9"/>
    <s v="BL - Abroad"/>
    <s v="Xiong Guangkai"/>
    <m/>
    <s v="GSD DCGS"/>
    <n v="6"/>
    <x v="1"/>
    <m/>
    <x v="0"/>
    <m/>
    <m/>
    <m/>
    <m/>
    <x v="12"/>
    <m/>
    <m/>
    <s v="Defense White Paper Appendix"/>
    <m/>
  </r>
  <r>
    <x v="1"/>
    <x v="0"/>
    <s v="Asia"/>
    <s v="Strategic Partnership [战略伙伴关系]"/>
    <x v="1"/>
    <s v="CENTCOM"/>
    <x v="2"/>
    <x v="14"/>
    <n v="9"/>
    <s v="BL - Hosted"/>
    <s v="Guo Boxiong"/>
    <m/>
    <s v="CMC Vice Chairman"/>
    <n v="10"/>
    <x v="2"/>
    <s v="Chairman JCS"/>
    <x v="0"/>
    <m/>
    <m/>
    <m/>
    <m/>
    <x v="12"/>
    <m/>
    <m/>
    <s v="Defense White Paper Appendix"/>
    <m/>
  </r>
  <r>
    <x v="1"/>
    <x v="1"/>
    <s v="America and Oceania"/>
    <s v="No Specific Relationship"/>
    <x v="0"/>
    <s v="INDOPACOM"/>
    <x v="122"/>
    <x v="14"/>
    <n v="9"/>
    <s v="BL - Hosted"/>
    <s v="Cao Gangchuan"/>
    <m/>
    <s v="CMC Vice Chairman; Defense Minister"/>
    <n v="10"/>
    <x v="2"/>
    <s v="Defense Minister"/>
    <x v="0"/>
    <m/>
    <m/>
    <m/>
    <m/>
    <x v="12"/>
    <m/>
    <m/>
    <s v="Defense White Paper Appendix"/>
    <m/>
  </r>
  <r>
    <x v="1"/>
    <x v="8"/>
    <s v="Europe and Central Asia"/>
    <s v="No Specific Relationship"/>
    <x v="5"/>
    <s v="EUCOM"/>
    <x v="59"/>
    <x v="14"/>
    <n v="9"/>
    <s v="BL - Abroad"/>
    <m/>
    <m/>
    <s v="GLD Deputy Director"/>
    <n v="8"/>
    <x v="1"/>
    <m/>
    <x v="0"/>
    <m/>
    <m/>
    <m/>
    <m/>
    <x v="12"/>
    <m/>
    <m/>
    <s v="Defense White Paper Appendix"/>
    <s v="Updated positions with DWP"/>
  </r>
  <r>
    <x v="1"/>
    <x v="8"/>
    <s v="Europe and Central Asia"/>
    <s v="Comprehensive Friendly Cooperative Partnership [全面友好合作伙伴关系]"/>
    <x v="5"/>
    <s v="EUCOM"/>
    <x v="33"/>
    <x v="14"/>
    <n v="9"/>
    <s v="BL - Hosted"/>
    <s v="Cao Gangchuan"/>
    <m/>
    <s v="CMC Vice Chairman; Defense Minister"/>
    <n v="10"/>
    <x v="2"/>
    <s v="Secretary of State of Ministry of Defense"/>
    <x v="0"/>
    <m/>
    <m/>
    <m/>
    <m/>
    <x v="12"/>
    <m/>
    <m/>
    <s v="Defense White Paper Appendix"/>
    <m/>
  </r>
  <r>
    <x v="1"/>
    <x v="3"/>
    <s v="Europe and Central Asia"/>
    <s v="Strategic Partnership of Coordination [战略协作伙伴关系]"/>
    <x v="0"/>
    <s v="EUCOM"/>
    <x v="7"/>
    <x v="14"/>
    <n v="9"/>
    <s v="BL - Abroad"/>
    <s v="Cao Gangchuan"/>
    <m/>
    <s v="CMC Vice Chairman; Defense Minister"/>
    <n v="10"/>
    <x v="1"/>
    <s v="Defense Minister"/>
    <x v="0"/>
    <m/>
    <m/>
    <m/>
    <m/>
    <x v="12"/>
    <m/>
    <m/>
    <s v="Defense White Paper Appendix"/>
    <m/>
  </r>
  <r>
    <x v="1"/>
    <x v="0"/>
    <s v="Asia"/>
    <s v="Comprehensive Cooperative Partnership [全面合作伙伴关系]"/>
    <x v="0"/>
    <s v="INDOPACOM"/>
    <x v="3"/>
    <x v="14"/>
    <n v="9"/>
    <s v="BL - Hosted"/>
    <s v="Cao Gangchuan"/>
    <m/>
    <s v="CMC Vice Chairman; Defense Minister"/>
    <n v="10"/>
    <x v="2"/>
    <s v="President and Defense Minister"/>
    <x v="0"/>
    <m/>
    <m/>
    <m/>
    <m/>
    <x v="12"/>
    <m/>
    <m/>
    <s v="Defense White Paper Appendix"/>
    <m/>
  </r>
  <r>
    <x v="1"/>
    <x v="6"/>
    <s v="Europe and Central Asia"/>
    <s v="No Specific Relationship"/>
    <x v="0"/>
    <s v="CENTCOM"/>
    <x v="60"/>
    <x v="14"/>
    <n v="9"/>
    <s v="BL - Abroad"/>
    <s v="Cao Gangchuan"/>
    <m/>
    <s v="CMC Vice Chairman; Defense Minister"/>
    <n v="10"/>
    <x v="1"/>
    <s v="Defense Minister"/>
    <x v="0"/>
    <m/>
    <m/>
    <m/>
    <m/>
    <x v="12"/>
    <m/>
    <m/>
    <s v="Defense White Paper Appendix"/>
    <m/>
  </r>
  <r>
    <x v="1"/>
    <x v="7"/>
    <s v="West Asia and Africa"/>
    <s v="No Specific Relationship"/>
    <x v="0"/>
    <s v="AFRICOM"/>
    <x v="16"/>
    <x v="14"/>
    <n v="9"/>
    <s v="BL - Hosted"/>
    <s v="Cao Gangchuan"/>
    <m/>
    <s v="CMC Vice Chairman; Defense Minister"/>
    <n v="10"/>
    <x v="2"/>
    <s v="Chief of People's Defense Force"/>
    <x v="0"/>
    <m/>
    <m/>
    <m/>
    <m/>
    <x v="12"/>
    <m/>
    <m/>
    <s v="Defense White Paper Appendix"/>
    <m/>
  </r>
  <r>
    <x v="1"/>
    <x v="2"/>
    <s v="America and Oceania"/>
    <s v="No Specific Relationship"/>
    <x v="2"/>
    <s v="NORTHCOM"/>
    <x v="4"/>
    <x v="14"/>
    <n v="9"/>
    <s v="BL - Hosted"/>
    <s v="Guo Boxiong"/>
    <m/>
    <s v="CMC Vice Chairman"/>
    <n v="10"/>
    <x v="2"/>
    <s v="PACOM Commander"/>
    <x v="0"/>
    <m/>
    <m/>
    <m/>
    <m/>
    <x v="12"/>
    <m/>
    <m/>
    <s v="Defense White Paper Appendix"/>
    <m/>
  </r>
  <r>
    <x v="2"/>
    <x v="2"/>
    <s v="America and Oceania"/>
    <s v="No Specific Relationship"/>
    <x v="2"/>
    <s v="NORTHCOM"/>
    <x v="4"/>
    <x v="14"/>
    <n v="9"/>
    <s v="Military Exercise - Bilateral"/>
    <m/>
    <m/>
    <m/>
    <m/>
    <x v="0"/>
    <m/>
    <x v="2"/>
    <s v="Unknown"/>
    <s v="Navy"/>
    <s v="SAREX"/>
    <m/>
    <x v="12"/>
    <m/>
    <m/>
    <s v="Defense White Paper Appendix"/>
    <m/>
  </r>
  <r>
    <x v="1"/>
    <x v="10"/>
    <s v="America and Oceania"/>
    <s v="Strategic Development Partnership [战略发展伙伴关系]"/>
    <x v="0"/>
    <s v="SOUTHCOM"/>
    <x v="56"/>
    <x v="14"/>
    <n v="9"/>
    <s v="BL - Abroad"/>
    <s v="Li Jinai"/>
    <m/>
    <s v="GPD Director; CMC Member"/>
    <n v="8"/>
    <x v="1"/>
    <m/>
    <x v="0"/>
    <m/>
    <m/>
    <m/>
    <m/>
    <x v="12"/>
    <m/>
    <m/>
    <s v="Defense White Paper Appendix"/>
    <m/>
  </r>
  <r>
    <x v="1"/>
    <x v="0"/>
    <s v="Europe and Central Asia"/>
    <s v="Comprehensive Cooperative Partnership [全面合作伙伴关系]"/>
    <x v="1"/>
    <s v="CENTCOM"/>
    <x v="123"/>
    <x v="14"/>
    <n v="10"/>
    <s v="BL - Hosted"/>
    <s v="Cao Gangchuan"/>
    <m/>
    <s v="CMC Vice Chairman; Defense Minister"/>
    <n v="10"/>
    <x v="2"/>
    <s v="Deputy Defense Minister"/>
    <x v="0"/>
    <m/>
    <m/>
    <m/>
    <m/>
    <x v="12"/>
    <m/>
    <m/>
    <s v="Defense White Paper Appendix"/>
    <m/>
  </r>
  <r>
    <x v="1"/>
    <x v="10"/>
    <s v="America and Oceania"/>
    <s v="Strategic Partnership [战略伙伴关系]"/>
    <x v="1"/>
    <s v="SOUTHCOM"/>
    <x v="62"/>
    <x v="14"/>
    <n v="10"/>
    <s v="BL - Abroad"/>
    <s v="Liang Guanglie"/>
    <m/>
    <s v="GSD Commander; CMC Member"/>
    <n v="8"/>
    <x v="1"/>
    <m/>
    <x v="0"/>
    <m/>
    <m/>
    <m/>
    <m/>
    <x v="12"/>
    <m/>
    <m/>
    <s v="Defense White Paper Appendix"/>
    <m/>
  </r>
  <r>
    <x v="1"/>
    <x v="5"/>
    <s v="America and Oceania"/>
    <s v="No Specific Relationship"/>
    <x v="4"/>
    <s v="INDOPACOM"/>
    <x v="12"/>
    <x v="14"/>
    <n v="10"/>
    <s v="BL - Hosted"/>
    <s v="Liang Guanglie"/>
    <m/>
    <s v="GSD Commander; CMC Member"/>
    <n v="8"/>
    <x v="2"/>
    <s v="Deputy Chief ADF"/>
    <x v="0"/>
    <m/>
    <m/>
    <m/>
    <m/>
    <x v="12"/>
    <m/>
    <m/>
    <s v="https://dlib.eastview.com/browse/doc/14690844"/>
    <m/>
  </r>
  <r>
    <x v="1"/>
    <x v="8"/>
    <s v="Europe and Central Asia"/>
    <s v="No Specific Relationship"/>
    <x v="5"/>
    <s v="EUCOM"/>
    <x v="68"/>
    <x v="14"/>
    <n v="10"/>
    <s v="BL - Hosted"/>
    <s v="Cao Gangchuan"/>
    <m/>
    <s v="CMC Vice Chairman; Defense Minister"/>
    <n v="10"/>
    <x v="2"/>
    <s v="Defense Minister"/>
    <x v="0"/>
    <m/>
    <m/>
    <m/>
    <m/>
    <x v="12"/>
    <m/>
    <m/>
    <s v="Defense White Paper Appendix"/>
    <m/>
  </r>
  <r>
    <x v="1"/>
    <x v="10"/>
    <s v="America and Oceania"/>
    <s v="No Specific Relationship"/>
    <x v="0"/>
    <s v="SOUTHCOM"/>
    <x v="42"/>
    <x v="14"/>
    <n v="10"/>
    <s v="BL - Hosted"/>
    <s v="Cao Gangchuan"/>
    <m/>
    <s v="CMC Vice Chairman; Defense Minister"/>
    <n v="10"/>
    <x v="2"/>
    <s v="CinC Armed Forces"/>
    <x v="0"/>
    <m/>
    <m/>
    <m/>
    <m/>
    <x v="12"/>
    <m/>
    <m/>
    <s v="Defense White Paper Appendix"/>
    <m/>
  </r>
  <r>
    <x v="1"/>
    <x v="1"/>
    <s v="Asia"/>
    <s v="No Specific Relationship"/>
    <x v="0"/>
    <s v="INDOPACOM"/>
    <x v="44"/>
    <x v="14"/>
    <n v="10"/>
    <s v="BL - Hosted"/>
    <s v="Cao Gangchuan"/>
    <m/>
    <s v="CMC Vice Chairman; Defense Minister"/>
    <n v="10"/>
    <x v="2"/>
    <s v="Deputy Defense Minister"/>
    <x v="0"/>
    <m/>
    <m/>
    <m/>
    <m/>
    <x v="12"/>
    <m/>
    <m/>
    <s v="Defense White Paper Appendix"/>
    <m/>
  </r>
  <r>
    <x v="1"/>
    <x v="10"/>
    <s v="America and Oceania"/>
    <s v="Comprehensive Partnership [全面伙伴关系]"/>
    <x v="0"/>
    <s v="SOUTHCOM"/>
    <x v="66"/>
    <x v="14"/>
    <n v="10"/>
    <s v="BL - Hosted"/>
    <s v="Cao Gangchuan"/>
    <m/>
    <s v="CMC Vice Chairman; Defense Minister"/>
    <n v="10"/>
    <x v="2"/>
    <s v="CinC Air Force"/>
    <x v="0"/>
    <m/>
    <m/>
    <m/>
    <m/>
    <x v="12"/>
    <m/>
    <m/>
    <s v="Defense White Paper Appendix"/>
    <m/>
  </r>
  <r>
    <x v="1"/>
    <x v="10"/>
    <s v="America and Oceania"/>
    <s v="No Specific Relationship"/>
    <x v="0"/>
    <s v="SOUTHCOM"/>
    <x v="49"/>
    <x v="14"/>
    <n v="10"/>
    <s v="BL - Abroad"/>
    <s v="Liang Guanglie"/>
    <m/>
    <s v="GSD Commander; CMC Member"/>
    <n v="8"/>
    <x v="1"/>
    <m/>
    <x v="0"/>
    <m/>
    <m/>
    <m/>
    <m/>
    <x v="12"/>
    <m/>
    <m/>
    <s v="Defense White Paper Appendix"/>
    <m/>
  </r>
  <r>
    <x v="1"/>
    <x v="8"/>
    <s v="Europe and Central Asia"/>
    <s v="No Specific Relationship"/>
    <x v="5"/>
    <s v="EUCOM"/>
    <x v="116"/>
    <x v="14"/>
    <n v="10"/>
    <s v="BL - Hosted"/>
    <s v="Cao Gangchuan"/>
    <m/>
    <s v="CMC Vice Chairman; Defense Minister"/>
    <n v="10"/>
    <x v="2"/>
    <s v="Chief of Defense"/>
    <x v="0"/>
    <m/>
    <m/>
    <m/>
    <m/>
    <x v="12"/>
    <m/>
    <m/>
    <s v="Defense White Paper Appendix"/>
    <m/>
  </r>
  <r>
    <x v="1"/>
    <x v="8"/>
    <s v="Europe and Central Asia"/>
    <s v="No Specific Relationship"/>
    <x v="0"/>
    <s v="EUCOM"/>
    <x v="81"/>
    <x v="14"/>
    <n v="10"/>
    <s v="BL - Hosted"/>
    <s v="Cao Gangchuan"/>
    <m/>
    <s v="CMC Vice Chairman; Defense Minister"/>
    <n v="10"/>
    <x v="2"/>
    <s v="Defense Minister"/>
    <x v="0"/>
    <m/>
    <m/>
    <m/>
    <m/>
    <x v="12"/>
    <m/>
    <m/>
    <s v="Defense White Paper Appendix"/>
    <m/>
  </r>
  <r>
    <x v="1"/>
    <x v="0"/>
    <s v="Asia"/>
    <s v="Good-Neighborly Partnership [世代友好的睦邻伙伴关系]"/>
    <x v="0"/>
    <s v="INDOPACOM"/>
    <x v="32"/>
    <x v="14"/>
    <n v="10"/>
    <s v="BL - Hosted"/>
    <s v="Liang Guanglie"/>
    <m/>
    <s v="GSD Commander; CMC Member"/>
    <n v="8"/>
    <x v="2"/>
    <s v="COGS"/>
    <x v="0"/>
    <m/>
    <m/>
    <m/>
    <m/>
    <x v="12"/>
    <m/>
    <m/>
    <s v="https://dlib.eastview.com/browse/doc/14702697"/>
    <s v="Recoded as South Asia"/>
  </r>
  <r>
    <x v="1"/>
    <x v="7"/>
    <s v="West Asia and Africa"/>
    <s v="No Specific Relationship"/>
    <x v="0"/>
    <s v="AFRICOM"/>
    <x v="74"/>
    <x v="14"/>
    <n v="10"/>
    <s v="BL - Abroad"/>
    <s v="Xu Caihou"/>
    <m/>
    <s v="CMC Vice Chairman"/>
    <n v="10"/>
    <x v="1"/>
    <m/>
    <x v="0"/>
    <m/>
    <m/>
    <m/>
    <m/>
    <x v="12"/>
    <m/>
    <m/>
    <s v="Defense White Paper Appendix"/>
    <m/>
  </r>
  <r>
    <x v="1"/>
    <x v="6"/>
    <s v="Europe and Central Asia"/>
    <s v="No Specific Relationship"/>
    <x v="0"/>
    <s v="CENTCOM"/>
    <x v="60"/>
    <x v="14"/>
    <n v="10"/>
    <s v="BL - Hosted"/>
    <s v="Chen Bingde"/>
    <m/>
    <s v="GAD Director; CMC Member"/>
    <n v="8"/>
    <x v="2"/>
    <s v="First Deputy Defense Minister"/>
    <x v="0"/>
    <m/>
    <m/>
    <m/>
    <m/>
    <x v="12"/>
    <m/>
    <m/>
    <s v="Defense White Paper Appendix"/>
    <m/>
  </r>
  <r>
    <x v="1"/>
    <x v="8"/>
    <s v="Europe and Central Asia"/>
    <s v="No Specific Relationship"/>
    <x v="5"/>
    <s v="EUCOM"/>
    <x v="38"/>
    <x v="14"/>
    <n v="10"/>
    <s v="BL - Abroad"/>
    <s v="Xu Caihou"/>
    <m/>
    <s v="CMC Vice Chairman"/>
    <n v="10"/>
    <x v="1"/>
    <m/>
    <x v="0"/>
    <m/>
    <m/>
    <m/>
    <m/>
    <x v="12"/>
    <m/>
    <m/>
    <s v="Defense White Paper Appendix"/>
    <m/>
  </r>
  <r>
    <x v="1"/>
    <x v="2"/>
    <s v="America and Oceania"/>
    <s v="No Specific Relationship"/>
    <x v="2"/>
    <s v="NORTHCOM"/>
    <x v="4"/>
    <x v="14"/>
    <n v="10"/>
    <s v="BL - Hosted"/>
    <s v="Cao Gangchuan"/>
    <m/>
    <s v="CMC Vice Chairman; Defense Minister"/>
    <n v="10"/>
    <x v="2"/>
    <s v="Secretary of Defense"/>
    <x v="0"/>
    <m/>
    <m/>
    <m/>
    <m/>
    <x v="12"/>
    <m/>
    <m/>
    <s v="Defense White Paper Appendix"/>
    <m/>
  </r>
  <r>
    <x v="1"/>
    <x v="10"/>
    <s v="America and Oceania"/>
    <s v="No Specific Relationship"/>
    <x v="0"/>
    <s v="SOUTHCOM"/>
    <x v="107"/>
    <x v="14"/>
    <n v="10"/>
    <s v="BL - Abroad"/>
    <s v="Liang Guanglie"/>
    <m/>
    <s v="GSD Commander; CMC Member"/>
    <n v="8"/>
    <x v="1"/>
    <m/>
    <x v="0"/>
    <m/>
    <m/>
    <m/>
    <m/>
    <x v="12"/>
    <m/>
    <m/>
    <s v="Defense White Paper Appendix"/>
    <m/>
  </r>
  <r>
    <x v="1"/>
    <x v="1"/>
    <s v="Asia"/>
    <s v="No Specific Relationship"/>
    <x v="0"/>
    <s v="INDOPACOM"/>
    <x v="23"/>
    <x v="14"/>
    <n v="10"/>
    <s v="BL - Abroad"/>
    <s v="Pei Huailiang"/>
    <m/>
    <s v="PLA NDU President"/>
    <n v="6"/>
    <x v="1"/>
    <m/>
    <x v="0"/>
    <m/>
    <m/>
    <m/>
    <m/>
    <x v="12"/>
    <m/>
    <m/>
    <s v="Defense White Paper Appendix"/>
    <m/>
  </r>
  <r>
    <x v="1"/>
    <x v="7"/>
    <s v="West Asia and Africa"/>
    <s v="No Specific Relationship"/>
    <x v="0"/>
    <s v="AFRICOM"/>
    <x v="76"/>
    <x v="14"/>
    <n v="11"/>
    <s v="BL - Abroad"/>
    <s v="Jing Zhiyuan"/>
    <m/>
    <s v="PLASAF Commander; CMC Member"/>
    <n v="8"/>
    <x v="1"/>
    <m/>
    <x v="0"/>
    <m/>
    <m/>
    <m/>
    <m/>
    <x v="12"/>
    <m/>
    <m/>
    <s v="Defense White Paper Appendix"/>
    <m/>
  </r>
  <r>
    <x v="1"/>
    <x v="5"/>
    <s v="America and Oceania"/>
    <s v="No Specific Relationship"/>
    <x v="4"/>
    <s v="INDOPACOM"/>
    <x v="12"/>
    <x v="14"/>
    <n v="11"/>
    <s v="BL - Abroad"/>
    <s v="Xiong Guangkai"/>
    <m/>
    <s v="GSD DCGS"/>
    <n v="6"/>
    <x v="1"/>
    <m/>
    <x v="0"/>
    <m/>
    <m/>
    <m/>
    <m/>
    <x v="12"/>
    <m/>
    <m/>
    <s v="Defense White Paper Appendix"/>
    <m/>
  </r>
  <r>
    <x v="1"/>
    <x v="8"/>
    <s v="Europe and Central Asia"/>
    <s v="No Specific Relationship"/>
    <x v="5"/>
    <s v="EUCOM"/>
    <x v="108"/>
    <x v="14"/>
    <n v="11"/>
    <s v="BL - Hosted"/>
    <s v="Cao Gangchuan"/>
    <m/>
    <s v="CMC Vice Chairman; Defense Minister"/>
    <n v="10"/>
    <x v="2"/>
    <s v="Defense Minister"/>
    <x v="0"/>
    <m/>
    <m/>
    <m/>
    <m/>
    <x v="12"/>
    <m/>
    <m/>
    <s v="Defense White Paper Appendix"/>
    <m/>
  </r>
  <r>
    <x v="1"/>
    <x v="8"/>
    <s v="Europe and Central Asia"/>
    <s v="Strategic Partnership [战略伙伴关系]"/>
    <x v="0"/>
    <s v="EUCOM"/>
    <x v="34"/>
    <x v="14"/>
    <n v="11"/>
    <s v="BL - Abroad"/>
    <s v="Li Qianyuan"/>
    <m/>
    <s v="Lanzhou MR Commander"/>
    <n v="6"/>
    <x v="1"/>
    <m/>
    <x v="0"/>
    <m/>
    <m/>
    <m/>
    <m/>
    <x v="12"/>
    <m/>
    <m/>
    <s v="Defense White Paper Appendix"/>
    <m/>
  </r>
  <r>
    <x v="1"/>
    <x v="8"/>
    <s v="Europe and Central Asia"/>
    <s v="No Specific Relationship"/>
    <x v="0"/>
    <s v="EUCOM"/>
    <x v="124"/>
    <x v="14"/>
    <n v="11"/>
    <s v="BL - Hosted"/>
    <s v="Cao Gangchuan"/>
    <m/>
    <s v="CMC Vice Chairman; Defense Minister"/>
    <n v="10"/>
    <x v="2"/>
    <s v="First Deputy Defense Minister"/>
    <x v="0"/>
    <m/>
    <m/>
    <m/>
    <m/>
    <x v="12"/>
    <m/>
    <m/>
    <s v="Defense White Paper Appendix"/>
    <m/>
  </r>
  <r>
    <x v="1"/>
    <x v="8"/>
    <s v="Europe and Central Asia"/>
    <s v="No Specific Relationship"/>
    <x v="5"/>
    <s v="EUCOM"/>
    <x v="79"/>
    <x v="14"/>
    <n v="11"/>
    <s v="BL - Hosted"/>
    <s v="Cao Gangchuan"/>
    <m/>
    <s v="CMC Vice Chairman; Defense Minister"/>
    <n v="10"/>
    <x v="2"/>
    <s v="COGS"/>
    <x v="0"/>
    <m/>
    <m/>
    <m/>
    <m/>
    <x v="12"/>
    <m/>
    <m/>
    <s v="Defense White Paper Appendix"/>
    <m/>
  </r>
  <r>
    <x v="1"/>
    <x v="7"/>
    <s v="West Asia and Africa"/>
    <s v="No Specific Relationship"/>
    <x v="0"/>
    <s v="AFRICOM"/>
    <x v="125"/>
    <x v="14"/>
    <n v="11"/>
    <s v="BL - Hosted"/>
    <s v="Cao Gangchuan"/>
    <m/>
    <s v="CMC Vice Chairman; Defense Minister"/>
    <n v="10"/>
    <x v="2"/>
    <s v="COGS"/>
    <x v="0"/>
    <m/>
    <m/>
    <m/>
    <m/>
    <x v="12"/>
    <m/>
    <m/>
    <s v="Defense White Paper Appendix"/>
    <m/>
  </r>
  <r>
    <x v="1"/>
    <x v="8"/>
    <s v="Europe and Central Asia"/>
    <s v="Comprehensive Cooperative Partnership [全面合作伙伴关系]"/>
    <x v="5"/>
    <s v="EUCOM"/>
    <x v="35"/>
    <x v="14"/>
    <n v="11"/>
    <s v="BL - Hosted"/>
    <s v="Cao Gangchuan"/>
    <m/>
    <s v="CMC Vice Chairman; Defense Minister"/>
    <n v="10"/>
    <x v="2"/>
    <s v="COGS"/>
    <x v="0"/>
    <m/>
    <m/>
    <m/>
    <m/>
    <x v="12"/>
    <m/>
    <m/>
    <s v="Defense White Paper Appendix"/>
    <m/>
  </r>
  <r>
    <x v="1"/>
    <x v="8"/>
    <s v="Europe and Central Asia"/>
    <s v="No Specific Relationship"/>
    <x v="5"/>
    <s v="EUCOM"/>
    <x v="29"/>
    <x v="14"/>
    <n v="11"/>
    <s v="BL - Abroad"/>
    <s v="Xiong Guangkai"/>
    <m/>
    <s v="GSD DCGS"/>
    <n v="6"/>
    <x v="1"/>
    <m/>
    <x v="0"/>
    <m/>
    <m/>
    <m/>
    <m/>
    <x v="12"/>
    <m/>
    <m/>
    <s v="Defense White Paper Appendix"/>
    <m/>
  </r>
  <r>
    <x v="1"/>
    <x v="8"/>
    <s v="Europe and Central Asia"/>
    <s v="No Specific Relationship"/>
    <x v="5"/>
    <s v="EUCOM"/>
    <x v="82"/>
    <x v="14"/>
    <n v="11"/>
    <s v="BL - Abroad"/>
    <s v="Li Qianyuan"/>
    <m/>
    <s v="Lanzhou MR Commander"/>
    <n v="6"/>
    <x v="1"/>
    <m/>
    <x v="0"/>
    <m/>
    <m/>
    <m/>
    <m/>
    <x v="12"/>
    <m/>
    <m/>
    <s v="Defense White Paper Appendix"/>
    <m/>
  </r>
  <r>
    <x v="0"/>
    <x v="0"/>
    <s v="Asia"/>
    <s v="Strategic Partnership for Peace and Prosperity [战略伙伴关系]"/>
    <x v="0"/>
    <s v="INDOPACOM"/>
    <x v="6"/>
    <x v="14"/>
    <n v="11"/>
    <s v="Port Call - Friendly Visit"/>
    <m/>
    <m/>
    <m/>
    <m/>
    <x v="0"/>
    <m/>
    <x v="0"/>
    <m/>
    <m/>
    <m/>
    <s v="NETF"/>
    <x v="26"/>
    <s v="South Sea Fleet"/>
    <s v="Luhai destroyer Shenzhen 167, replenishment ship Weishanhu 887"/>
    <m/>
    <m/>
  </r>
  <r>
    <x v="1"/>
    <x v="6"/>
    <s v="Europe and Central Asia"/>
    <s v="No Specific Relationship"/>
    <x v="0"/>
    <s v="CENTCOM"/>
    <x v="31"/>
    <x v="14"/>
    <n v="11"/>
    <s v="BL - Hosted"/>
    <s v="Xiong Guangkai"/>
    <m/>
    <s v="GSD DCGS"/>
    <n v="6"/>
    <x v="2"/>
    <s v="Commander National Guard"/>
    <x v="0"/>
    <m/>
    <m/>
    <m/>
    <m/>
    <x v="12"/>
    <m/>
    <m/>
    <s v="Defense White Paper Appendix"/>
    <m/>
  </r>
  <r>
    <x v="1"/>
    <x v="8"/>
    <s v="Europe and Central Asia"/>
    <s v="Friendly Cooperative Partnership [友好合作伙伴关系]"/>
    <x v="0"/>
    <s v="EUCOM"/>
    <x v="126"/>
    <x v="14"/>
    <n v="11"/>
    <s v="BL - Hosted"/>
    <s v="Cao Gangchuan"/>
    <m/>
    <s v="CMC Vice Chairman; Defense Minister"/>
    <n v="10"/>
    <x v="2"/>
    <s v="Defense Minister"/>
    <x v="0"/>
    <m/>
    <m/>
    <m/>
    <m/>
    <x v="12"/>
    <m/>
    <m/>
    <s v="Defense White Paper Appendix"/>
    <m/>
  </r>
  <r>
    <x v="0"/>
    <x v="0"/>
    <s v="Asia"/>
    <s v="Strategic Partnership [战略伙伴关系]"/>
    <x v="1"/>
    <s v="CENTCOM"/>
    <x v="2"/>
    <x v="14"/>
    <n v="11"/>
    <s v="Port Call - Friendly Visit"/>
    <m/>
    <m/>
    <m/>
    <m/>
    <x v="0"/>
    <m/>
    <x v="0"/>
    <m/>
    <m/>
    <m/>
    <s v="NETF"/>
    <x v="27"/>
    <m/>
    <m/>
    <m/>
    <m/>
  </r>
  <r>
    <x v="0"/>
    <x v="0"/>
    <s v="Asia"/>
    <s v="Strategic Partnership [战略伙伴关系]"/>
    <x v="1"/>
    <s v="CENTCOM"/>
    <x v="2"/>
    <x v="14"/>
    <n v="11"/>
    <s v="Port Call - Friendly Visit"/>
    <m/>
    <m/>
    <m/>
    <m/>
    <x v="0"/>
    <m/>
    <x v="0"/>
    <m/>
    <m/>
    <m/>
    <s v="NETF"/>
    <x v="26"/>
    <s v="South Sea Fleet"/>
    <s v="Luhai destroyer Shenzhen 167, replenishment ship Weishanhu 887"/>
    <m/>
    <m/>
  </r>
  <r>
    <x v="2"/>
    <x v="0"/>
    <s v="Asia"/>
    <s v="Strategic Partnership [战略伙伴关系]"/>
    <x v="1"/>
    <s v="CENTCOM"/>
    <x v="2"/>
    <x v="14"/>
    <n v="11"/>
    <s v="Military Exercise - Bilateral"/>
    <m/>
    <m/>
    <m/>
    <m/>
    <x v="0"/>
    <m/>
    <x v="2"/>
    <s v="Unknown"/>
    <s v="Navy"/>
    <s v="SAREX"/>
    <m/>
    <x v="12"/>
    <m/>
    <m/>
    <s v="Defense White Paper Appendix"/>
    <m/>
  </r>
  <r>
    <x v="1"/>
    <x v="1"/>
    <s v="Asia"/>
    <s v="No Specific Relationship"/>
    <x v="0"/>
    <s v="INDOPACOM"/>
    <x v="39"/>
    <x v="14"/>
    <n v="11"/>
    <s v="BL - Hosted"/>
    <s v="Cao Gangchuan"/>
    <m/>
    <s v="CMC Vice Chairman; Defense Minister"/>
    <n v="10"/>
    <x v="2"/>
    <s v="Defense Minister"/>
    <x v="0"/>
    <m/>
    <m/>
    <m/>
    <m/>
    <x v="12"/>
    <m/>
    <m/>
    <s v="Defense White Paper Appendix"/>
    <m/>
  </r>
  <r>
    <x v="1"/>
    <x v="7"/>
    <s v="West Asia and Africa"/>
    <s v="No Specific Relationship"/>
    <x v="0"/>
    <s v="AFRICOM"/>
    <x v="74"/>
    <x v="14"/>
    <n v="11"/>
    <s v="BL - Hosted"/>
    <s v="Xu Caihou"/>
    <m/>
    <s v="CMC Vice Chairman"/>
    <n v="10"/>
    <x v="2"/>
    <s v="DCOGS"/>
    <x v="0"/>
    <m/>
    <m/>
    <m/>
    <m/>
    <x v="12"/>
    <m/>
    <m/>
    <s v="Defense White Paper Appendix"/>
    <m/>
  </r>
  <r>
    <x v="1"/>
    <x v="9"/>
    <s v="West Asia and Africa"/>
    <s v="No Specific Relationship"/>
    <x v="0"/>
    <s v="CENTCOM"/>
    <x v="102"/>
    <x v="14"/>
    <n v="11"/>
    <s v="BL - Hosted"/>
    <s v="Cao Gangchuan"/>
    <m/>
    <s v="CMC Vice Chairman; Defense Minister"/>
    <n v="8"/>
    <x v="2"/>
    <s v="Deputy Commander Armed Forces and Defense Minister"/>
    <x v="0"/>
    <m/>
    <m/>
    <m/>
    <m/>
    <x v="12"/>
    <m/>
    <m/>
    <s v="Defense White Paper Appendix"/>
    <s v="No corroborating reporting on this visit; assess Cao Gangchuan as likely counterpart"/>
  </r>
  <r>
    <x v="0"/>
    <x v="1"/>
    <s v="Asia"/>
    <s v="No Specific Relationship"/>
    <x v="3"/>
    <s v="INDOPACOM"/>
    <x v="5"/>
    <x v="14"/>
    <n v="11"/>
    <s v="Port Call - Friendly Visit"/>
    <m/>
    <m/>
    <m/>
    <m/>
    <x v="0"/>
    <m/>
    <x v="0"/>
    <m/>
    <m/>
    <m/>
    <s v="NETF"/>
    <x v="26"/>
    <s v="South Sea Fleet"/>
    <s v="Luhai destroyer Shenzhen 167, replenishment ship Weishanhu 887"/>
    <m/>
    <m/>
  </r>
  <r>
    <x v="1"/>
    <x v="7"/>
    <s v="West Asia and Africa"/>
    <s v="Comprehensive Strategic Cooperative Partnership [全面战略合作伙伴关系]"/>
    <x v="0"/>
    <s v="AFRICOM"/>
    <x v="96"/>
    <x v="14"/>
    <n v="11"/>
    <s v="BL - Hosted"/>
    <s v="Cao Gangchuan"/>
    <m/>
    <s v="CMC Vice Chairman; Defense Minister"/>
    <n v="10"/>
    <x v="2"/>
    <s v="Minister Delegate in the Presidency in Charge of Defense and Veterans"/>
    <x v="0"/>
    <m/>
    <m/>
    <m/>
    <m/>
    <x v="12"/>
    <m/>
    <m/>
    <s v="Defense White Paper Appendix"/>
    <m/>
  </r>
  <r>
    <x v="1"/>
    <x v="7"/>
    <s v="West Asia and Africa"/>
    <s v="No Specific Relationship"/>
    <x v="1"/>
    <s v="AFRICOM"/>
    <x v="85"/>
    <x v="14"/>
    <n v="11"/>
    <s v="BL - Abroad"/>
    <s v="Jing Zhiyuan"/>
    <m/>
    <s v="PLASAF Commander; CMC Member"/>
    <n v="8"/>
    <x v="1"/>
    <m/>
    <x v="0"/>
    <m/>
    <m/>
    <m/>
    <m/>
    <x v="12"/>
    <m/>
    <m/>
    <s v="Defense White Paper Appendix"/>
    <m/>
  </r>
  <r>
    <x v="1"/>
    <x v="10"/>
    <s v="America and Oceania"/>
    <s v="No Specific Relationship"/>
    <x v="0"/>
    <s v="SOUTHCOM"/>
    <x v="41"/>
    <x v="14"/>
    <n v="12"/>
    <s v="BL - Hosted"/>
    <s v="Xiong Guangkai"/>
    <m/>
    <s v="GSD DCGS"/>
    <n v="6"/>
    <x v="2"/>
    <s v="Deputy Chief of Defense Force"/>
    <x v="0"/>
    <m/>
    <m/>
    <m/>
    <m/>
    <x v="12"/>
    <m/>
    <m/>
    <s v="Defense White Paper Appendix"/>
    <m/>
  </r>
  <r>
    <x v="1"/>
    <x v="7"/>
    <s v="West Asia and Africa"/>
    <s v="No Specific Relationship"/>
    <x v="0"/>
    <s v="AFRICOM"/>
    <x v="28"/>
    <x v="14"/>
    <n v="12"/>
    <s v="BL - Hosted"/>
    <s v="Liang Guanglie"/>
    <m/>
    <s v="GSD Commander; CMC Member"/>
    <n v="8"/>
    <x v="2"/>
    <s v="COGS"/>
    <x v="0"/>
    <m/>
    <m/>
    <m/>
    <m/>
    <x v="12"/>
    <m/>
    <m/>
    <s v="Defense White Paper Appendix"/>
    <m/>
  </r>
  <r>
    <x v="1"/>
    <x v="7"/>
    <s v="West Asia and Africa"/>
    <s v="Comprehensive Strategic Partnership [全面战略伙伴关系]"/>
    <x v="0"/>
    <s v="AFRICOM"/>
    <x v="127"/>
    <x v="14"/>
    <n v="12"/>
    <s v="BL - Hosted"/>
    <s v="Liang Guanglie"/>
    <m/>
    <s v="GSD Commander; CMC Member"/>
    <n v="8"/>
    <x v="2"/>
    <s v="COGS"/>
    <x v="0"/>
    <m/>
    <m/>
    <m/>
    <m/>
    <x v="12"/>
    <m/>
    <m/>
    <s v="Defense White Paper Appendix"/>
    <m/>
  </r>
  <r>
    <x v="1"/>
    <x v="5"/>
    <s v="America and Oceania"/>
    <s v="No Specific Relationship"/>
    <x v="0"/>
    <s v="INDOPACOM"/>
    <x v="128"/>
    <x v="14"/>
    <n v="12"/>
    <s v="BL - Hosted"/>
    <s v="Cao Gangchuan"/>
    <m/>
    <s v="CMC Vice Chairman; Defense Minister"/>
    <n v="10"/>
    <x v="2"/>
    <s v="Commander Armed Forces"/>
    <x v="0"/>
    <m/>
    <m/>
    <m/>
    <m/>
    <x v="12"/>
    <m/>
    <m/>
    <s v="Defense White Paper Appendix"/>
    <s v="Coded as Oceania instead of Southeast Asia"/>
  </r>
  <r>
    <x v="2"/>
    <x v="0"/>
    <s v="Asia"/>
    <s v="Strategic Partnership for Peace and Prosperity [战略伙伴关系]"/>
    <x v="0"/>
    <s v="INDOPACOM"/>
    <x v="6"/>
    <x v="14"/>
    <n v="12"/>
    <s v="Military Exercise - Bilateral"/>
    <m/>
    <m/>
    <m/>
    <m/>
    <x v="0"/>
    <m/>
    <x v="2"/>
    <s v="Unknown"/>
    <s v="Navy"/>
    <s v="SAREX"/>
    <m/>
    <x v="12"/>
    <m/>
    <m/>
    <s v="Defense White Paper Appendix"/>
    <m/>
  </r>
  <r>
    <x v="1"/>
    <x v="7"/>
    <s v="West Asia and Africa"/>
    <s v="No Specific Relationship"/>
    <x v="0"/>
    <s v="AFRICOM"/>
    <x v="69"/>
    <x v="14"/>
    <n v="12"/>
    <s v="BL - Hosted"/>
    <s v="Cao Gangchuan"/>
    <m/>
    <s v="CMC Vice Chairman; Defense Minister"/>
    <n v="10"/>
    <x v="2"/>
    <s v="Defense Minister"/>
    <x v="0"/>
    <m/>
    <m/>
    <m/>
    <m/>
    <x v="12"/>
    <m/>
    <m/>
    <s v="Defense White Paper Appendix"/>
    <m/>
  </r>
  <r>
    <x v="1"/>
    <x v="7"/>
    <s v="West Asia and Africa"/>
    <s v="No Specific Relationship"/>
    <x v="0"/>
    <s v="AFRICOM"/>
    <x v="74"/>
    <x v="14"/>
    <n v="12"/>
    <s v="BL - Hosted"/>
    <s v="Liang Guanglie"/>
    <m/>
    <s v="GSD Commander; CMC Member"/>
    <n v="8"/>
    <x v="2"/>
    <s v="Air Force Commander"/>
    <x v="0"/>
    <m/>
    <m/>
    <m/>
    <m/>
    <x v="12"/>
    <m/>
    <m/>
    <s v="Defense White Paper Appendix"/>
    <m/>
  </r>
  <r>
    <x v="2"/>
    <x v="1"/>
    <s v="Asia"/>
    <s v="No Specific Relationship"/>
    <x v="3"/>
    <s v="INDOPACOM"/>
    <x v="5"/>
    <x v="14"/>
    <n v="12"/>
    <s v="Military Exercise - Bilateral"/>
    <m/>
    <m/>
    <m/>
    <m/>
    <x v="0"/>
    <m/>
    <x v="2"/>
    <s v="Unknown"/>
    <s v="Navy"/>
    <s v="SAREX"/>
    <m/>
    <x v="12"/>
    <m/>
    <m/>
    <s v="Defense White Paper Appendix"/>
    <m/>
  </r>
  <r>
    <x v="1"/>
    <x v="6"/>
    <s v="Europe and Central Asia"/>
    <s v="No Specific Relationship"/>
    <x v="0"/>
    <s v="CENTCOM"/>
    <x v="73"/>
    <x v="14"/>
    <n v="12"/>
    <s v="BL - Hosted"/>
    <s v="Cao Gangchuan"/>
    <m/>
    <s v="CMC Vice Chairman; Defense Minister"/>
    <n v="10"/>
    <x v="2"/>
    <s v="Defense Minister"/>
    <x v="0"/>
    <m/>
    <m/>
    <m/>
    <m/>
    <x v="12"/>
    <m/>
    <m/>
    <s v="Defense White Paper Appendix"/>
    <m/>
  </r>
  <r>
    <x v="1"/>
    <x v="8"/>
    <s v="Europe and Central Asia"/>
    <s v="Comprehensive Strategic Partnership [全面战略伙伴关系]"/>
    <x v="5"/>
    <s v="EUCOM"/>
    <x v="48"/>
    <x v="15"/>
    <n v="1"/>
    <s v="BL - Hosted"/>
    <s v="Cao Gangchuan"/>
    <m/>
    <s v="CMC Vice Chairman; Defense Minister"/>
    <n v="8"/>
    <x v="2"/>
    <s v="Defense Minister"/>
    <x v="0"/>
    <m/>
    <m/>
    <m/>
    <m/>
    <x v="12"/>
    <m/>
    <m/>
    <s v="http://www.chinavitae.com/vip/index.php?mode=show&amp;id=4545"/>
    <s v="Changed from Zeng Qinghong"/>
  </r>
  <r>
    <x v="1"/>
    <x v="1"/>
    <s v="Asia"/>
    <s v="No Specific Relationship"/>
    <x v="0"/>
    <s v="INDOPACOM"/>
    <x v="50"/>
    <x v="15"/>
    <n v="2"/>
    <s v="BL - Hosted"/>
    <s v="Cao Gangchuan"/>
    <m/>
    <s v="CMC Vice Chairman; Defense Minister"/>
    <n v="8"/>
    <x v="2"/>
    <s v="Defense Minster"/>
    <x v="0"/>
    <m/>
    <m/>
    <m/>
    <m/>
    <x v="12"/>
    <m/>
    <m/>
    <s v="https://dlib.eastview.com/browse/doc/14704768"/>
    <m/>
  </r>
  <r>
    <x v="1"/>
    <x v="8"/>
    <s v="Europe and Central Asia"/>
    <s v="No Specific Relationship"/>
    <x v="0"/>
    <s v="EUCOM"/>
    <x v="78"/>
    <x v="15"/>
    <n v="2"/>
    <s v="BL - Hosted"/>
    <s v="Cao Gangchuan"/>
    <m/>
    <s v="CMC Vice Chairman; Defense Minister"/>
    <n v="8"/>
    <x v="2"/>
    <s v="Defense Minster"/>
    <x v="0"/>
    <m/>
    <m/>
    <m/>
    <m/>
    <x v="12"/>
    <m/>
    <m/>
    <s v="https://dlib.eastview.com/browse/doc/14711056"/>
    <m/>
  </r>
  <r>
    <x v="1"/>
    <x v="10"/>
    <s v="America and Oceania"/>
    <s v="Strategic Partnership [战略伙伴关系]"/>
    <x v="1"/>
    <s v="SOUTHCOM"/>
    <x v="62"/>
    <x v="15"/>
    <n v="3"/>
    <s v="BL - Abroad"/>
    <s v="Ma Xiaotian"/>
    <m/>
    <s v="GSD DCGS"/>
    <n v="6"/>
    <x v="1"/>
    <m/>
    <x v="0"/>
    <m/>
    <m/>
    <m/>
    <m/>
    <x v="12"/>
    <m/>
    <m/>
    <s v="Defense White Paper Appendix"/>
    <m/>
  </r>
  <r>
    <x v="1"/>
    <x v="10"/>
    <s v="America and Oceania"/>
    <s v="No Specific Relationship"/>
    <x v="0"/>
    <s v="SOUTHCOM"/>
    <x v="49"/>
    <x v="15"/>
    <n v="3"/>
    <s v="BL - Abroad"/>
    <s v="Peng Xiaofeng"/>
    <m/>
    <s v="PLASAF Political Commissar"/>
    <n v="6"/>
    <x v="1"/>
    <m/>
    <x v="0"/>
    <m/>
    <m/>
    <m/>
    <m/>
    <x v="12"/>
    <m/>
    <m/>
    <s v="Defense White Paper Appendix"/>
    <m/>
  </r>
  <r>
    <x v="1"/>
    <x v="10"/>
    <s v="America and Oceania"/>
    <s v="No Specific Relationship"/>
    <x v="0"/>
    <s v="SOUTHCOM"/>
    <x v="51"/>
    <x v="15"/>
    <n v="3"/>
    <s v="BL - Hosted"/>
    <s v="Cao Gangchuan"/>
    <m/>
    <s v="CMC Vice Chairman; Defense Minister"/>
    <n v="10"/>
    <x v="2"/>
    <s v="Ecuador"/>
    <x v="0"/>
    <m/>
    <m/>
    <m/>
    <m/>
    <x v="12"/>
    <m/>
    <m/>
    <s v="Defense White Paper Appendix"/>
    <m/>
  </r>
  <r>
    <x v="1"/>
    <x v="6"/>
    <s v="Europe and Central Asia"/>
    <s v="No Specific Relationship"/>
    <x v="0"/>
    <s v="CENTCOM"/>
    <x v="31"/>
    <x v="15"/>
    <n v="3"/>
    <s v="BL - Hosted"/>
    <s v="Cao Gangchuan"/>
    <m/>
    <s v="CMC Vice Chairman; Defense Minister"/>
    <n v="10"/>
    <x v="2"/>
    <s v="Commander Border Forces"/>
    <x v="0"/>
    <m/>
    <m/>
    <m/>
    <m/>
    <x v="12"/>
    <m/>
    <m/>
    <s v="Defense White Paper Appendix"/>
    <m/>
  </r>
  <r>
    <x v="1"/>
    <x v="2"/>
    <s v="America and Oceania"/>
    <s v="Strategic Cooperative Partnership [战略合作伙伴关系]"/>
    <x v="0"/>
    <s v="NORTHCOM"/>
    <x v="77"/>
    <x v="15"/>
    <n v="3"/>
    <s v="BL - Abroad"/>
    <s v="Ma Xiaotian"/>
    <m/>
    <s v="GSD DCGS"/>
    <n v="6"/>
    <x v="1"/>
    <m/>
    <x v="0"/>
    <m/>
    <m/>
    <m/>
    <m/>
    <x v="12"/>
    <m/>
    <m/>
    <s v="Defense White Paper Appendix"/>
    <m/>
  </r>
  <r>
    <x v="1"/>
    <x v="3"/>
    <s v="Europe and Central Asia"/>
    <s v="Strategic Partnership of Coordination [战略协作伙伴关系]"/>
    <x v="0"/>
    <s v="EUCOM"/>
    <x v="7"/>
    <x v="15"/>
    <n v="3"/>
    <s v="BL - Hosted"/>
    <s v="Ge Zhenfeng"/>
    <m/>
    <s v="GSD DCGS"/>
    <n v="8"/>
    <x v="2"/>
    <s v="Army Commander"/>
    <x v="0"/>
    <m/>
    <m/>
    <m/>
    <m/>
    <x v="12"/>
    <m/>
    <m/>
    <s v="https://dlib.eastview.com/browse/doc/14712481"/>
    <m/>
  </r>
  <r>
    <x v="1"/>
    <x v="7"/>
    <s v="West Asia and Africa"/>
    <s v="No Specific Relationship"/>
    <x v="0"/>
    <s v="AFRICOM"/>
    <x v="129"/>
    <x v="15"/>
    <n v="3"/>
    <s v="BL - Hosted"/>
    <s v="Cao Gangchuan"/>
    <m/>
    <s v="CMC Vice Chairman; Defense Minister"/>
    <n v="10"/>
    <x v="2"/>
    <s v="Defense Minister"/>
    <x v="0"/>
    <m/>
    <m/>
    <m/>
    <m/>
    <x v="12"/>
    <m/>
    <m/>
    <s v="Defense White Paper Appendix"/>
    <m/>
  </r>
  <r>
    <x v="2"/>
    <x v="6"/>
    <s v="Europe and Central Asia"/>
    <s v="Member"/>
    <x v="0"/>
    <s v="CENTCOM"/>
    <x v="14"/>
    <x v="15"/>
    <n v="3"/>
    <s v="Military Exercise - Multilateral"/>
    <m/>
    <m/>
    <m/>
    <m/>
    <x v="0"/>
    <m/>
    <x v="1"/>
    <s v="East-Antiterror-2006"/>
    <s v="Army"/>
    <s v="Special forces anti-terrorism exercise in Uzbekistan; Other countries: Russia, China, Kazakhstan; Krygyzstan; Tajikistan; Uzbekistan; "/>
    <m/>
    <x v="12"/>
    <m/>
    <m/>
    <s v="https://jamestown.org/program/uzbekistan-hosts-sco-anti-terrorist-drill/; de Haas Journal of Slavic Military Studies 29:3 (2016)"/>
    <m/>
  </r>
  <r>
    <x v="1"/>
    <x v="7"/>
    <s v="West Asia and Africa"/>
    <s v="No Specific Relationship"/>
    <x v="0"/>
    <s v="AFRICOM"/>
    <x v="74"/>
    <x v="15"/>
    <n v="3"/>
    <s v="BL - Hosted"/>
    <s v="Cao Gangchuan"/>
    <m/>
    <s v="CMC Vice Chairman; Defense Minister"/>
    <n v="10"/>
    <x v="2"/>
    <s v="Defense Minister"/>
    <x v="0"/>
    <m/>
    <m/>
    <m/>
    <m/>
    <x v="12"/>
    <m/>
    <m/>
    <s v="Defense White Paper Appendix"/>
    <m/>
  </r>
  <r>
    <x v="1"/>
    <x v="10"/>
    <s v="America and Oceania"/>
    <s v="Strategic Partnership [战略伙伴关系]"/>
    <x v="1"/>
    <s v="SOUTHCOM"/>
    <x v="62"/>
    <x v="15"/>
    <n v="4"/>
    <s v="BL - Abroad"/>
    <s v="Deng Changyou"/>
    <m/>
    <s v="PLAAF Political Commissar"/>
    <n v="6"/>
    <x v="1"/>
    <m/>
    <x v="0"/>
    <m/>
    <m/>
    <m/>
    <m/>
    <x v="12"/>
    <m/>
    <m/>
    <s v="Defense White Paper Appendix"/>
    <m/>
  </r>
  <r>
    <x v="1"/>
    <x v="8"/>
    <s v="Europe and Central Asia"/>
    <s v="Strategic Partnership [战略伙伴关系]"/>
    <x v="0"/>
    <s v="EUCOM"/>
    <x v="34"/>
    <x v="15"/>
    <n v="4"/>
    <s v="BL - Hosted"/>
    <s v="Li Yu"/>
    <m/>
    <s v="GSD Assistant Commander"/>
    <n v="5"/>
    <x v="2"/>
    <s v="COGS"/>
    <x v="0"/>
    <m/>
    <m/>
    <m/>
    <m/>
    <x v="12"/>
    <m/>
    <m/>
    <s v="Defense White Paper Appendix"/>
    <m/>
  </r>
  <r>
    <x v="1"/>
    <x v="7"/>
    <s v="West Asia and Africa"/>
    <s v="Friendly Cooperative Relationship [友好合作关系]"/>
    <x v="0"/>
    <s v="AFRICOM"/>
    <x v="65"/>
    <x v="15"/>
    <n v="4"/>
    <s v="BL - Abroad"/>
    <s v="Ma Xiaotian"/>
    <m/>
    <s v="GSD DCGS"/>
    <n v="6"/>
    <x v="1"/>
    <m/>
    <x v="0"/>
    <m/>
    <m/>
    <m/>
    <m/>
    <x v="12"/>
    <m/>
    <m/>
    <s v="Defense White Paper Appendix"/>
    <m/>
  </r>
  <r>
    <x v="1"/>
    <x v="10"/>
    <s v="America and Oceania"/>
    <s v="Comprehensive Partnership [全面伙伴关系]"/>
    <x v="0"/>
    <s v="SOUTHCOM"/>
    <x v="66"/>
    <x v="15"/>
    <n v="4"/>
    <s v="BL - Abroad"/>
    <s v="Li Yu"/>
    <m/>
    <s v="GSD Assistant Commander"/>
    <n v="5"/>
    <x v="1"/>
    <m/>
    <x v="0"/>
    <m/>
    <m/>
    <m/>
    <m/>
    <x v="12"/>
    <m/>
    <m/>
    <s v="Defense White Paper Appendix"/>
    <m/>
  </r>
  <r>
    <x v="1"/>
    <x v="8"/>
    <s v="Europe and Central Asia"/>
    <s v="No Specific Relationship"/>
    <x v="5"/>
    <s v="EUCOM"/>
    <x v="82"/>
    <x v="15"/>
    <n v="4"/>
    <s v="BL - Abroad"/>
    <s v="Zhu Qi"/>
    <m/>
    <s v="Beijing MR Commander"/>
    <n v="6"/>
    <x v="1"/>
    <m/>
    <x v="0"/>
    <m/>
    <m/>
    <m/>
    <m/>
    <x v="12"/>
    <m/>
    <m/>
    <s v="Defense White Paper Appendix"/>
    <m/>
  </r>
  <r>
    <x v="1"/>
    <x v="6"/>
    <s v="Europe and Central Asia"/>
    <s v="Strategic Partnership [战略伙伴关系]"/>
    <x v="0"/>
    <s v="CENTCOM"/>
    <x v="30"/>
    <x v="15"/>
    <n v="4"/>
    <s v="ML - Margins"/>
    <s v="Cao Gangchuan"/>
    <m/>
    <s v="CMC Vice Chairman; Defense Minister"/>
    <n v="10"/>
    <x v="2"/>
    <s v="Deputy Defense Minister"/>
    <x v="0"/>
    <m/>
    <m/>
    <m/>
    <m/>
    <x v="12"/>
    <m/>
    <m/>
    <s v="Defense White Paper Appendix"/>
    <s v="SCO Defense Ministers' Sidelines"/>
  </r>
  <r>
    <x v="1"/>
    <x v="6"/>
    <s v="Europe and Central Asia"/>
    <s v="No Specific Relationship"/>
    <x v="0"/>
    <s v="CENTCOM"/>
    <x v="31"/>
    <x v="15"/>
    <n v="4"/>
    <s v="ML - Margins"/>
    <s v="Cao Gangchuan"/>
    <m/>
    <s v="CMC Vice Chairman; Defense Minister"/>
    <n v="10"/>
    <x v="2"/>
    <s v="Defense Minister"/>
    <x v="0"/>
    <m/>
    <m/>
    <m/>
    <m/>
    <x v="12"/>
    <m/>
    <m/>
    <s v="Defense White Paper Appendix"/>
    <s v="SCO Defense Ministers' Sidelines"/>
  </r>
  <r>
    <x v="1"/>
    <x v="1"/>
    <s v="Asia"/>
    <s v="Strategic Cooperative Partnership [战略合作伙伴关系]"/>
    <x v="0"/>
    <s v="INDOPACOM"/>
    <x v="10"/>
    <x v="15"/>
    <n v="4"/>
    <s v="BL - Abroad"/>
    <s v="Cao Gangchuan"/>
    <m/>
    <s v="CMC Vice Chairman; Defense Minister"/>
    <n v="10"/>
    <x v="1"/>
    <m/>
    <x v="0"/>
    <m/>
    <m/>
    <m/>
    <m/>
    <x v="12"/>
    <m/>
    <m/>
    <s v="Defense White Paper Appendix"/>
    <m/>
  </r>
  <r>
    <x v="1"/>
    <x v="2"/>
    <s v="America and Oceania"/>
    <s v="Strategic Cooperative Partnership [战略合作伙伴关系]"/>
    <x v="0"/>
    <s v="NORTHCOM"/>
    <x v="77"/>
    <x v="15"/>
    <n v="4"/>
    <s v="BL - Abroad"/>
    <s v="Li Yu"/>
    <m/>
    <s v="GSD Assistant Commander"/>
    <n v="5"/>
    <x v="1"/>
    <m/>
    <x v="0"/>
    <m/>
    <m/>
    <m/>
    <m/>
    <x v="12"/>
    <m/>
    <m/>
    <s v="Defense White Paper Appendix"/>
    <m/>
  </r>
  <r>
    <x v="1"/>
    <x v="4"/>
    <s v="Asia"/>
    <s v="Bilateral Defense Treaty"/>
    <x v="0"/>
    <s v="INDOPACOM"/>
    <x v="9"/>
    <x v="15"/>
    <n v="4"/>
    <s v="BL - Abroad"/>
    <s v="Cao Gangchuan"/>
    <m/>
    <s v="CMC Vice Chairman; Defense Minister"/>
    <n v="10"/>
    <x v="1"/>
    <m/>
    <x v="0"/>
    <m/>
    <m/>
    <m/>
    <m/>
    <x v="12"/>
    <m/>
    <m/>
    <s v="Defense White Paper Appendix"/>
    <m/>
  </r>
  <r>
    <x v="1"/>
    <x v="10"/>
    <s v="America and Oceania"/>
    <s v="Comprehensive Partnership [全面伙伴关系]"/>
    <x v="0"/>
    <s v="SOUTHCOM"/>
    <x v="54"/>
    <x v="15"/>
    <n v="4"/>
    <s v="BL - Abroad"/>
    <s v="Deng Changyou"/>
    <m/>
    <s v="PLAAF Political Commissar"/>
    <n v="6"/>
    <x v="1"/>
    <m/>
    <x v="0"/>
    <m/>
    <m/>
    <m/>
    <m/>
    <x v="12"/>
    <m/>
    <m/>
    <s v="Defense White Paper Appendix"/>
    <m/>
  </r>
  <r>
    <x v="1"/>
    <x v="8"/>
    <s v="Europe and Central Asia"/>
    <s v="Comprehensive Friendly Cooperative Partnership [全面友好合作伙伴关系]"/>
    <x v="5"/>
    <s v="EUCOM"/>
    <x v="33"/>
    <x v="15"/>
    <n v="4"/>
    <s v="BL - Abroad"/>
    <s v="Zhu Qi"/>
    <m/>
    <s v="Beijing MR Commander"/>
    <n v="6"/>
    <x v="1"/>
    <m/>
    <x v="0"/>
    <m/>
    <m/>
    <m/>
    <m/>
    <x v="12"/>
    <m/>
    <m/>
    <s v="Defense White Paper Appendix"/>
    <m/>
  </r>
  <r>
    <x v="1"/>
    <x v="3"/>
    <s v="Europe and Central Asia"/>
    <s v="Strategic Partnership of Coordination [战略协作伙伴关系]"/>
    <x v="0"/>
    <s v="EUCOM"/>
    <x v="7"/>
    <x v="15"/>
    <n v="4"/>
    <s v="ML - Margins"/>
    <s v="Cao Gangchuan"/>
    <m/>
    <s v="CMC Vice Chairman; Defense Minister"/>
    <n v="10"/>
    <x v="2"/>
    <s v="Defense Minister"/>
    <x v="0"/>
    <m/>
    <m/>
    <m/>
    <m/>
    <x v="12"/>
    <m/>
    <m/>
    <s v="Defense White Paper Appendix"/>
    <m/>
  </r>
  <r>
    <x v="1"/>
    <x v="6"/>
    <s v="Europe and Central Asia"/>
    <s v="Member"/>
    <x v="0"/>
    <s v="CENTCOM"/>
    <x v="14"/>
    <x v="15"/>
    <n v="4"/>
    <s v="ML - Hosted"/>
    <s v="Cao Gangchuan"/>
    <m/>
    <s v="CMC Vice Chairman; Defense Minister"/>
    <n v="10"/>
    <x v="2"/>
    <s v="Fourth official meeting of the SCO Ministers' of Defense in Shanghai; Other countries: Kazakhstan, Kyrgyztan, Russia, Tajikistan, Uzbekistan"/>
    <x v="0"/>
    <m/>
    <m/>
    <m/>
    <m/>
    <x v="12"/>
    <m/>
    <m/>
    <s v="http://www.chinaconsulatesf.org/eng/xw/t249533.htm#:~:text=On%20April%2026%2C%202006%2C%20Premier,SCO)%20Defense%20Ministers'%20Meeting."/>
    <m/>
  </r>
  <r>
    <x v="1"/>
    <x v="1"/>
    <s v="Asia"/>
    <s v="No Specific Relationship"/>
    <x v="0"/>
    <s v="INDOPACOM"/>
    <x v="39"/>
    <x v="15"/>
    <n v="4"/>
    <s v="BL - Abroad"/>
    <s v="Cao Gangchuan"/>
    <m/>
    <s v="CMC Vice Chairman; Defense Minister"/>
    <n v="10"/>
    <x v="1"/>
    <m/>
    <x v="0"/>
    <m/>
    <m/>
    <m/>
    <m/>
    <x v="12"/>
    <m/>
    <m/>
    <s v="Defense White Paper Appendix"/>
    <m/>
  </r>
  <r>
    <x v="1"/>
    <x v="4"/>
    <s v="Asia"/>
    <s v="Comprehensive Cooperative Partnership [全面合作伙伴关系]"/>
    <x v="3"/>
    <s v="INDOPACOM"/>
    <x v="25"/>
    <x v="15"/>
    <n v="4"/>
    <s v="BL - Abroad"/>
    <s v="Cao Gangchuan"/>
    <m/>
    <s v="CMC Vice Chairman; Defense Minister"/>
    <n v="10"/>
    <x v="1"/>
    <m/>
    <x v="0"/>
    <m/>
    <m/>
    <m/>
    <m/>
    <x v="12"/>
    <m/>
    <m/>
    <s v="Defense White Paper Appendix"/>
    <m/>
  </r>
  <r>
    <x v="1"/>
    <x v="9"/>
    <s v="West Asia and Africa"/>
    <s v="No Specific Relationship"/>
    <x v="0"/>
    <s v="CENTCOM"/>
    <x v="102"/>
    <x v="15"/>
    <n v="4"/>
    <s v="BL - Abroad"/>
    <s v="Ma Xiaotian"/>
    <m/>
    <s v="GSD DCGS"/>
    <n v="6"/>
    <x v="1"/>
    <m/>
    <x v="0"/>
    <m/>
    <m/>
    <m/>
    <m/>
    <x v="12"/>
    <m/>
    <m/>
    <s v="Defense White Paper Appendix"/>
    <m/>
  </r>
  <r>
    <x v="1"/>
    <x v="6"/>
    <s v="Europe and Central Asia"/>
    <s v="No Specific Relationship"/>
    <x v="0"/>
    <s v="CENTCOM"/>
    <x v="60"/>
    <x v="15"/>
    <n v="4"/>
    <s v="ML - Margins"/>
    <s v="Cao Gangchuan"/>
    <m/>
    <s v="CMC Vice Chairman; Defense Minister"/>
    <n v="10"/>
    <x v="2"/>
    <s v="Defense Minister"/>
    <x v="0"/>
    <m/>
    <m/>
    <m/>
    <m/>
    <x v="12"/>
    <m/>
    <m/>
    <s v="Defense White Paper Appendix"/>
    <m/>
  </r>
  <r>
    <x v="1"/>
    <x v="2"/>
    <s v="America and Oceania"/>
    <s v="No Specific Relationship"/>
    <x v="2"/>
    <s v="NORTHCOM"/>
    <x v="4"/>
    <x v="15"/>
    <n v="4"/>
    <s v="BL - Hosted"/>
    <s v="Liang Guanglie"/>
    <m/>
    <s v="GSD Commander; CMC Member"/>
    <n v="8"/>
    <x v="2"/>
    <s v="US NDU President"/>
    <x v="0"/>
    <m/>
    <m/>
    <m/>
    <m/>
    <x v="12"/>
    <m/>
    <m/>
    <s v="https://dlib.eastview.com/browse/doc/14686566"/>
    <m/>
  </r>
  <r>
    <x v="1"/>
    <x v="6"/>
    <s v="Europe and Central Asia"/>
    <s v="No Specific Relationship"/>
    <x v="0"/>
    <s v="CENTCOM"/>
    <x v="73"/>
    <x v="15"/>
    <n v="4"/>
    <s v="ML - Margins"/>
    <s v="Cao Gangchuan"/>
    <m/>
    <s v="CMC Vice Chairman; Defense Minister"/>
    <n v="10"/>
    <x v="2"/>
    <s v="Defense Minister"/>
    <x v="0"/>
    <m/>
    <m/>
    <m/>
    <m/>
    <x v="12"/>
    <m/>
    <m/>
    <s v="Defense White Paper Appendix"/>
    <m/>
  </r>
  <r>
    <x v="1"/>
    <x v="1"/>
    <s v="Asia"/>
    <s v="No Specific Relationship"/>
    <x v="0"/>
    <s v="INDOPACOM"/>
    <x v="23"/>
    <x v="15"/>
    <n v="4"/>
    <s v="BL - Abroad"/>
    <s v="Cao Gangchuan"/>
    <m/>
    <s v="CMC Vice Chairman; Defense Minister"/>
    <n v="10"/>
    <x v="1"/>
    <m/>
    <x v="0"/>
    <m/>
    <m/>
    <m/>
    <m/>
    <x v="12"/>
    <m/>
    <m/>
    <s v="Defense White Paper Appendix"/>
    <m/>
  </r>
  <r>
    <x v="1"/>
    <x v="0"/>
    <s v="Europe and Central Asia"/>
    <s v="Comprehensive Cooperative Partnership [全面合作伙伴关系]"/>
    <x v="1"/>
    <s v="CENTCOM"/>
    <x v="123"/>
    <x v="15"/>
    <n v="5"/>
    <s v="BL - Hosted"/>
    <s v="Cao Gangchuan"/>
    <m/>
    <s v="CMC Vice Chairman; Defense Minister"/>
    <n v="10"/>
    <x v="2"/>
    <s v="Defense Minister"/>
    <x v="0"/>
    <m/>
    <m/>
    <m/>
    <m/>
    <x v="12"/>
    <m/>
    <m/>
    <s v="Defense White Paper Appendix"/>
    <m/>
  </r>
  <r>
    <x v="1"/>
    <x v="0"/>
    <s v="Asia"/>
    <s v="Comprehensive Cooperative Partnership [全面合作伙伴关系]"/>
    <x v="0"/>
    <s v="INDOPACOM"/>
    <x v="0"/>
    <x v="15"/>
    <n v="5"/>
    <s v="BL - Hosted"/>
    <s v="Cao Gangchuan"/>
    <m/>
    <s v="CMC Vice Chairman; Defense Minister"/>
    <n v="10"/>
    <x v="2"/>
    <s v="Army Chief of Staff"/>
    <x v="0"/>
    <m/>
    <m/>
    <m/>
    <m/>
    <x v="12"/>
    <m/>
    <m/>
    <s v="Defense White Paper Appendix"/>
    <m/>
  </r>
  <r>
    <x v="1"/>
    <x v="7"/>
    <s v="West Asia and Africa"/>
    <s v="No Specific Relationship"/>
    <x v="0"/>
    <s v="AFRICOM"/>
    <x v="130"/>
    <x v="15"/>
    <n v="5"/>
    <s v="BL - Hosted"/>
    <s v="Cao Gangchuan"/>
    <m/>
    <s v="CMC Vice Chairman; Defense Minister"/>
    <n v="10"/>
    <x v="2"/>
    <s v="Defense Minister"/>
    <x v="0"/>
    <m/>
    <m/>
    <m/>
    <m/>
    <x v="12"/>
    <m/>
    <m/>
    <s v="Defense White Paper Appendix"/>
    <m/>
  </r>
  <r>
    <x v="1"/>
    <x v="8"/>
    <s v="Europe and Central Asia"/>
    <s v="No Specific Relationship"/>
    <x v="5"/>
    <s v="EUCOM"/>
    <x v="116"/>
    <x v="15"/>
    <n v="5"/>
    <s v="BL - Abroad"/>
    <s v="Liang Guanglie"/>
    <m/>
    <s v="GSD Commander; CMC Member"/>
    <n v="8"/>
    <x v="1"/>
    <m/>
    <x v="0"/>
    <m/>
    <m/>
    <m/>
    <m/>
    <x v="12"/>
    <m/>
    <m/>
    <s v="Defense White Paper Appendix"/>
    <m/>
  </r>
  <r>
    <x v="1"/>
    <x v="7"/>
    <s v="West Asia and Africa"/>
    <s v="Comprehensive Strategic Cooperative Partnership [全面战略合作伙伴关系]"/>
    <x v="0"/>
    <s v="AFRICOM"/>
    <x v="71"/>
    <x v="15"/>
    <n v="5"/>
    <s v="BL - Hosted"/>
    <s v="Cao Gangchuan"/>
    <m/>
    <s v="CMC Vice Chairman; Defense Minister"/>
    <n v="10"/>
    <x v="2"/>
    <s v="Defense Minister"/>
    <x v="0"/>
    <m/>
    <m/>
    <m/>
    <m/>
    <x v="12"/>
    <m/>
    <m/>
    <s v="Defense White Paper Appendix"/>
    <m/>
  </r>
  <r>
    <x v="1"/>
    <x v="0"/>
    <s v="Asia"/>
    <s v="Strategic Partnership for Peace and Prosperity [战略伙伴关系]"/>
    <x v="0"/>
    <s v="INDOPACOM"/>
    <x v="6"/>
    <x v="15"/>
    <n v="5"/>
    <s v="BL - Hosted"/>
    <s v="Cao Gangchuan"/>
    <m/>
    <s v="CMC Vice Chairman; Defense Minister"/>
    <n v="10"/>
    <x v="2"/>
    <s v="Defense Minister"/>
    <x v="0"/>
    <m/>
    <m/>
    <m/>
    <m/>
    <x v="12"/>
    <m/>
    <m/>
    <s v="Defense White Paper Appendix"/>
    <m/>
  </r>
  <r>
    <x v="1"/>
    <x v="1"/>
    <s v="Asia"/>
    <s v="Strategic Partnership [战略伙伴关系]"/>
    <x v="0"/>
    <s v="INDOPACOM"/>
    <x v="8"/>
    <x v="15"/>
    <n v="5"/>
    <s v="BL - Abroad"/>
    <s v="Li Yu"/>
    <m/>
    <s v="GSD Assistant Commander"/>
    <n v="5"/>
    <x v="1"/>
    <m/>
    <x v="0"/>
    <m/>
    <m/>
    <m/>
    <m/>
    <x v="12"/>
    <m/>
    <m/>
    <s v="Defense White Paper Appendix"/>
    <m/>
  </r>
  <r>
    <x v="1"/>
    <x v="7"/>
    <s v="West Asia and Africa"/>
    <s v="No Specific Relationship"/>
    <x v="0"/>
    <s v="AFRICOM"/>
    <x v="47"/>
    <x v="15"/>
    <n v="5"/>
    <s v="BL - Hosted"/>
    <s v="Cao Gangchuan"/>
    <m/>
    <s v="CMC Vice Chairman; Defense Minister"/>
    <n v="10"/>
    <x v="2"/>
    <s v="Minister of State for Defense"/>
    <x v="0"/>
    <m/>
    <m/>
    <m/>
    <m/>
    <x v="12"/>
    <m/>
    <m/>
    <s v="Defense White Paper Appendix"/>
    <m/>
  </r>
  <r>
    <x v="1"/>
    <x v="1"/>
    <s v="Asia"/>
    <s v="Strategic Cooperative Partnership [战略合作伙伴关系]"/>
    <x v="0"/>
    <s v="INDOPACOM"/>
    <x v="10"/>
    <x v="15"/>
    <n v="5"/>
    <s v="BL - Hosted"/>
    <s v="Liang Guanglie"/>
    <m/>
    <s v="GSD Commander; CMC Member"/>
    <n v="8"/>
    <x v="2"/>
    <s v="Commander Armed Forces"/>
    <x v="0"/>
    <m/>
    <m/>
    <m/>
    <m/>
    <x v="12"/>
    <m/>
    <m/>
    <s v="Defense White Paper Appendix"/>
    <m/>
  </r>
  <r>
    <x v="1"/>
    <x v="8"/>
    <s v="Europe and Central Asia"/>
    <s v="No Specific Relationship"/>
    <x v="5"/>
    <s v="EUCOM"/>
    <x v="37"/>
    <x v="15"/>
    <n v="5"/>
    <s v="BL - Abroad"/>
    <s v="Liang Guanglie"/>
    <m/>
    <s v="GSD Commander; CMC Member"/>
    <n v="8"/>
    <x v="1"/>
    <m/>
    <x v="0"/>
    <m/>
    <m/>
    <m/>
    <m/>
    <x v="12"/>
    <m/>
    <m/>
    <s v="Defense White Paper Appendix"/>
    <m/>
  </r>
  <r>
    <x v="1"/>
    <x v="0"/>
    <s v="Asia"/>
    <s v="Strategic Partnership [战略伙伴关系]"/>
    <x v="1"/>
    <s v="CENTCOM"/>
    <x v="2"/>
    <x v="15"/>
    <n v="5"/>
    <s v="BL - Hosted"/>
    <s v="Cao Gangchuan"/>
    <m/>
    <s v="CMC Vice Chairman; Defense Minister"/>
    <n v="10"/>
    <x v="2"/>
    <s v="Navy Chief of Staff"/>
    <x v="0"/>
    <m/>
    <m/>
    <m/>
    <m/>
    <x v="12"/>
    <m/>
    <m/>
    <s v="Defense White Paper Appendix"/>
    <m/>
  </r>
  <r>
    <x v="1"/>
    <x v="1"/>
    <s v="Asia"/>
    <s v="Strategic Cooperative Partnership [战略合作伙伴关系]"/>
    <x v="3"/>
    <s v="INDOPACOM"/>
    <x v="11"/>
    <x v="15"/>
    <n v="5"/>
    <s v="BL - Hosted"/>
    <s v="Cao Gangchuan"/>
    <m/>
    <s v="CMC Vice Chairman; Defense Minister"/>
    <n v="10"/>
    <x v="2"/>
    <s v="COGS"/>
    <x v="0"/>
    <m/>
    <m/>
    <m/>
    <m/>
    <x v="12"/>
    <m/>
    <m/>
    <s v="Defense White Paper Appendix"/>
    <m/>
  </r>
  <r>
    <x v="1"/>
    <x v="3"/>
    <s v="Europe and Central Asia"/>
    <s v="Strategic Partnership of Coordination [战略协作伙伴关系]"/>
    <x v="0"/>
    <s v="EUCOM"/>
    <x v="7"/>
    <x v="15"/>
    <n v="5"/>
    <s v="BL - Abroad"/>
    <s v="Liang Guanglie"/>
    <m/>
    <s v="GSD Commander; CMC Member"/>
    <n v="8"/>
    <x v="1"/>
    <m/>
    <x v="0"/>
    <m/>
    <m/>
    <m/>
    <m/>
    <x v="12"/>
    <m/>
    <m/>
    <s v="Defense White Paper Appendix"/>
    <m/>
  </r>
  <r>
    <x v="1"/>
    <x v="1"/>
    <s v="Asia"/>
    <s v="No Specific Relationship"/>
    <x v="0"/>
    <s v="INDOPACOM"/>
    <x v="39"/>
    <x v="15"/>
    <n v="5"/>
    <s v="BL - Hosted"/>
    <s v="Cao Gangchuan"/>
    <m/>
    <s v="CMC Vice Chairman; Defense Minister"/>
    <n v="10"/>
    <x v="2"/>
    <s v="COGS"/>
    <x v="0"/>
    <m/>
    <m/>
    <m/>
    <m/>
    <x v="12"/>
    <m/>
    <m/>
    <s v="Defense White Paper Appendix"/>
    <m/>
  </r>
  <r>
    <x v="1"/>
    <x v="8"/>
    <s v="Europe and Central Asia"/>
    <s v="No Specific Relationship"/>
    <x v="5"/>
    <s v="EUCOM"/>
    <x v="40"/>
    <x v="15"/>
    <n v="5"/>
    <s v="BL - Abroad"/>
    <s v="Yu Linxiang"/>
    <m/>
    <s v="Lanzhou MR Political Commissar"/>
    <n v="6"/>
    <x v="1"/>
    <m/>
    <x v="0"/>
    <m/>
    <m/>
    <m/>
    <m/>
    <x v="12"/>
    <m/>
    <m/>
    <s v="Defense White Paper Appendix"/>
    <m/>
  </r>
  <r>
    <x v="1"/>
    <x v="4"/>
    <s v="Asia"/>
    <s v="Comprehensive Cooperative Partnership [全面合作伙伴关系]"/>
    <x v="3"/>
    <s v="INDOPACOM"/>
    <x v="25"/>
    <x v="15"/>
    <n v="5"/>
    <s v="BL - Hosted"/>
    <s v="Cao Gangchuan"/>
    <m/>
    <s v="CMC Vice Chairman; Defense Minister"/>
    <n v="10"/>
    <x v="2"/>
    <s v="Navy Chief of Staff"/>
    <x v="0"/>
    <m/>
    <m/>
    <m/>
    <m/>
    <x v="12"/>
    <m/>
    <m/>
    <s v="Defense White Paper Appendix"/>
    <m/>
  </r>
  <r>
    <x v="1"/>
    <x v="8"/>
    <s v="Europe and Central Asia"/>
    <s v="Comprehensive Strategic Partnership [全面战略伙伴关系]"/>
    <x v="5"/>
    <s v="EUCOM"/>
    <x v="70"/>
    <x v="15"/>
    <n v="5"/>
    <s v="BL - Hosted"/>
    <s v="Ma Xiaotian"/>
    <m/>
    <s v="GSD DCGS"/>
    <n v="6"/>
    <x v="2"/>
    <s v="Chief of Air Staff"/>
    <x v="0"/>
    <m/>
    <m/>
    <m/>
    <m/>
    <x v="12"/>
    <m/>
    <m/>
    <s v="Defense White Paper Appendix"/>
    <m/>
  </r>
  <r>
    <x v="1"/>
    <x v="1"/>
    <s v="Asia"/>
    <s v="No Specific Relationship"/>
    <x v="3"/>
    <s v="INDOPACOM"/>
    <x v="5"/>
    <x v="15"/>
    <n v="5"/>
    <s v="BL - Hosted"/>
    <s v="Cao Gangchuan"/>
    <m/>
    <s v="CMC Vice Chairman; Defense Minister"/>
    <n v="10"/>
    <x v="2"/>
    <s v="Supreme Commander Armed Forces"/>
    <x v="0"/>
    <m/>
    <m/>
    <m/>
    <m/>
    <x v="12"/>
    <m/>
    <m/>
    <s v="Defense White Paper Appendix"/>
    <m/>
  </r>
  <r>
    <x v="1"/>
    <x v="2"/>
    <s v="America and Oceania"/>
    <s v="No Specific Relationship"/>
    <x v="2"/>
    <s v="NORTHCOM"/>
    <x v="4"/>
    <x v="15"/>
    <n v="5"/>
    <s v="BL - Hosted"/>
    <s v="Cao Gangchuan"/>
    <m/>
    <s v="CMC Vice Chairman; Defense Minister"/>
    <n v="10"/>
    <x v="2"/>
    <s v="PACOM Commander"/>
    <x v="0"/>
    <m/>
    <m/>
    <m/>
    <m/>
    <x v="12"/>
    <m/>
    <m/>
    <s v="Defense White Paper Appendix"/>
    <m/>
  </r>
  <r>
    <x v="1"/>
    <x v="8"/>
    <s v="Europe and Central Asia"/>
    <s v="No Specific Relationship"/>
    <x v="5"/>
    <s v="EUCOM"/>
    <x v="108"/>
    <x v="15"/>
    <n v="6"/>
    <s v="BL - Abroad"/>
    <s v="Chen Bingde"/>
    <m/>
    <s v="GAD Director; CMC Member"/>
    <n v="8"/>
    <x v="1"/>
    <m/>
    <x v="0"/>
    <m/>
    <m/>
    <m/>
    <m/>
    <x v="12"/>
    <m/>
    <m/>
    <s v="Defense White Paper Appendix"/>
    <m/>
  </r>
  <r>
    <x v="1"/>
    <x v="10"/>
    <s v="America and Oceania"/>
    <s v="Comprehensive Partnership [全面伙伴关系]"/>
    <x v="0"/>
    <s v="SOUTHCOM"/>
    <x v="66"/>
    <x v="15"/>
    <n v="6"/>
    <s v="BL - Hosted"/>
    <s v="Liang Guanglie"/>
    <m/>
    <s v="Defense Minister; CMC Member"/>
    <n v="8"/>
    <x v="2"/>
    <s v="Chief of Navy"/>
    <x v="0"/>
    <m/>
    <m/>
    <m/>
    <m/>
    <x v="12"/>
    <m/>
    <m/>
    <s v="Defense White Paper Appendix"/>
    <m/>
  </r>
  <r>
    <x v="1"/>
    <x v="9"/>
    <s v="West Asia and Africa"/>
    <s v="Strategic Cooperative Partnership [战略合作伙伴关系]"/>
    <x v="1"/>
    <s v="CENTCOM"/>
    <x v="24"/>
    <x v="15"/>
    <n v="6"/>
    <s v="BL - Abroad"/>
    <s v="Zhao Keming"/>
    <m/>
    <s v="PLA NDU Political Commissar"/>
    <n v="6"/>
    <x v="1"/>
    <m/>
    <x v="0"/>
    <m/>
    <m/>
    <m/>
    <m/>
    <x v="12"/>
    <m/>
    <m/>
    <s v="Defense White Paper Appendix"/>
    <m/>
  </r>
  <r>
    <x v="1"/>
    <x v="7"/>
    <s v="West Asia and Africa"/>
    <s v="No Specific Relationship"/>
    <x v="0"/>
    <s v="AFRICOM"/>
    <x v="80"/>
    <x v="15"/>
    <n v="6"/>
    <s v="BL - Hosted"/>
    <s v="Cao Gangchuan"/>
    <m/>
    <s v="CMC Vice Chairman; Defense Minister"/>
    <n v="10"/>
    <x v="2"/>
    <s v="Chief of General Office, Ministry of Defense"/>
    <x v="0"/>
    <m/>
    <m/>
    <m/>
    <m/>
    <x v="12"/>
    <m/>
    <m/>
    <s v="Defense White Paper Appendix"/>
    <m/>
  </r>
  <r>
    <x v="1"/>
    <x v="7"/>
    <s v="West Asia and Africa"/>
    <s v="No Specific Relationship"/>
    <x v="0"/>
    <s v="AFRICOM"/>
    <x v="109"/>
    <x v="15"/>
    <n v="6"/>
    <s v="BL - Hosted"/>
    <s v="Cao Gangchuan"/>
    <m/>
    <s v="CMC Vice Chairman; Defense Minister"/>
    <n v="10"/>
    <x v="2"/>
    <s v="Chief of Staff Armed Forces"/>
    <x v="0"/>
    <m/>
    <m/>
    <m/>
    <m/>
    <x v="12"/>
    <m/>
    <m/>
    <s v="Defense White Paper Appendix"/>
    <m/>
  </r>
  <r>
    <x v="1"/>
    <x v="1"/>
    <s v="Asia"/>
    <s v="Strategic Cooperative Partnership [战略合作伙伴关系]"/>
    <x v="0"/>
    <s v="INDOPACOM"/>
    <x v="10"/>
    <x v="15"/>
    <n v="6"/>
    <s v="BL - Hosted"/>
    <s v="Ma Xiaotian"/>
    <m/>
    <s v="GSD DCGS"/>
    <n v="6"/>
    <x v="2"/>
    <s v="Navy Commander"/>
    <x v="0"/>
    <m/>
    <m/>
    <m/>
    <m/>
    <x v="12"/>
    <m/>
    <m/>
    <s v="Defense White Paper Appendix"/>
    <m/>
  </r>
  <r>
    <x v="1"/>
    <x v="4"/>
    <s v="Asia"/>
    <s v="Bilateral Defense Treaty"/>
    <x v="0"/>
    <s v="INDOPACOM"/>
    <x v="9"/>
    <x v="15"/>
    <n v="6"/>
    <s v="BL - Hosted"/>
    <s v="Liang Guanglie"/>
    <m/>
    <s v="GSD Commander; CMC Member"/>
    <n v="8"/>
    <x v="2"/>
    <s v="KPA army commander"/>
    <x v="0"/>
    <m/>
    <m/>
    <m/>
    <m/>
    <x v="12"/>
    <m/>
    <m/>
    <s v="Defense White Paper Appendix"/>
    <m/>
  </r>
  <r>
    <x v="1"/>
    <x v="9"/>
    <s v="West Asia and Africa"/>
    <s v="No Specific Relationship"/>
    <x v="0"/>
    <s v="CENTCOM"/>
    <x v="131"/>
    <x v="15"/>
    <n v="6"/>
    <s v="BL - Hosted"/>
    <s v="Liang Guanglie"/>
    <m/>
    <s v="GSD Commander; CMC Member"/>
    <n v="8"/>
    <x v="2"/>
    <s v="COGS"/>
    <x v="0"/>
    <m/>
    <m/>
    <m/>
    <m/>
    <x v="12"/>
    <m/>
    <m/>
    <s v="Defense White Paper Appendix"/>
    <m/>
  </r>
  <r>
    <x v="1"/>
    <x v="7"/>
    <s v="West Asia and Africa"/>
    <s v="Strategic Partnership [战略伙伴关系]"/>
    <x v="0"/>
    <s v="AFRICOM"/>
    <x v="15"/>
    <x v="15"/>
    <n v="6"/>
    <s v="BL - Abroad"/>
    <s v="Chen Bingde"/>
    <m/>
    <s v="GAD Director; CMC Member"/>
    <n v="8"/>
    <x v="1"/>
    <m/>
    <x v="0"/>
    <m/>
    <m/>
    <m/>
    <m/>
    <x v="12"/>
    <m/>
    <m/>
    <s v="Defense White Paper Appendix"/>
    <m/>
  </r>
  <r>
    <x v="1"/>
    <x v="7"/>
    <s v="West Asia and Africa"/>
    <s v="No Specific Relationship"/>
    <x v="0"/>
    <s v="AFRICOM"/>
    <x v="16"/>
    <x v="15"/>
    <n v="6"/>
    <s v="BL - Abroad"/>
    <m/>
    <m/>
    <s v="GLD Deputy Director"/>
    <n v="8"/>
    <x v="1"/>
    <m/>
    <x v="0"/>
    <m/>
    <m/>
    <m/>
    <m/>
    <x v="12"/>
    <m/>
    <m/>
    <s v="Defense White Paper Appendix"/>
    <s v="Updated positions with DWP"/>
  </r>
  <r>
    <x v="1"/>
    <x v="8"/>
    <s v="Europe and Central Asia"/>
    <s v="No Specific Relationship"/>
    <x v="5"/>
    <s v="EUCOM"/>
    <x v="38"/>
    <x v="15"/>
    <n v="6"/>
    <s v="BL - Abroad"/>
    <s v="Zhao Keming"/>
    <m/>
    <s v="PLA NDU Political Commissar"/>
    <n v="6"/>
    <x v="1"/>
    <m/>
    <x v="0"/>
    <m/>
    <m/>
    <m/>
    <m/>
    <x v="12"/>
    <m/>
    <m/>
    <s v="Defense White Paper Appendix"/>
    <m/>
  </r>
  <r>
    <x v="1"/>
    <x v="6"/>
    <s v="Europe and Central Asia"/>
    <s v="No Specific Relationship"/>
    <x v="0"/>
    <s v="CENTCOM"/>
    <x v="55"/>
    <x v="15"/>
    <n v="6"/>
    <s v="BL - Hosted"/>
    <s v="Ma Xiaotian"/>
    <m/>
    <s v="GSD DCGS"/>
    <n v="6"/>
    <x v="2"/>
    <s v="First Deputy Defense Minister"/>
    <x v="0"/>
    <m/>
    <m/>
    <m/>
    <m/>
    <x v="12"/>
    <m/>
    <m/>
    <s v="Defense White Paper Appendix"/>
    <m/>
  </r>
  <r>
    <x v="1"/>
    <x v="7"/>
    <s v="West Asia and Africa"/>
    <s v="No Specific Relationship"/>
    <x v="0"/>
    <s v="AFRICOM"/>
    <x v="61"/>
    <x v="15"/>
    <n v="6"/>
    <s v="BL - Abroad"/>
    <m/>
    <m/>
    <s v="GLD Deputy Director"/>
    <n v="8"/>
    <x v="1"/>
    <m/>
    <x v="0"/>
    <m/>
    <m/>
    <m/>
    <m/>
    <x v="12"/>
    <m/>
    <m/>
    <s v="Defense White Paper Appendix"/>
    <s v="Updated positions with DWP"/>
  </r>
  <r>
    <x v="1"/>
    <x v="5"/>
    <s v="America and Oceania"/>
    <s v="No Specific Relationship"/>
    <x v="4"/>
    <s v="INDOPACOM"/>
    <x v="12"/>
    <x v="15"/>
    <n v="7"/>
    <s v="BL - Hosted"/>
    <s v="Ge Zhenfeng"/>
    <m/>
    <s v="GSD DCGS"/>
    <n v="6"/>
    <x v="2"/>
    <s v="Chief of Special Operations"/>
    <x v="0"/>
    <m/>
    <m/>
    <m/>
    <m/>
    <x v="12"/>
    <m/>
    <m/>
    <s v="https://dlib.eastview.com/browse/doc/14707183"/>
    <m/>
  </r>
  <r>
    <x v="1"/>
    <x v="8"/>
    <s v="Europe and Central Asia"/>
    <s v="Comprehensive Partnership [全面伙伴关系]"/>
    <x v="5"/>
    <s v="EUCOM"/>
    <x v="22"/>
    <x v="15"/>
    <n v="7"/>
    <s v="BL - Abroad"/>
    <s v="Guo Boxiong"/>
    <m/>
    <s v="CMC Vice Chairman"/>
    <n v="10"/>
    <x v="1"/>
    <m/>
    <x v="0"/>
    <m/>
    <m/>
    <m/>
    <m/>
    <x v="12"/>
    <m/>
    <m/>
    <s v="Defense White Paper Appendix"/>
    <m/>
  </r>
  <r>
    <x v="1"/>
    <x v="1"/>
    <s v="Asia"/>
    <s v="Strategic Partnership [战略伙伴关系]"/>
    <x v="0"/>
    <s v="INDOPACOM"/>
    <x v="8"/>
    <x v="15"/>
    <n v="7"/>
    <s v="BL - Hosted"/>
    <s v="Ma Xiaotian"/>
    <m/>
    <s v="GSD DCGS"/>
    <n v="6"/>
    <x v="2"/>
    <s v="Chief of Army Staff"/>
    <x v="0"/>
    <m/>
    <m/>
    <m/>
    <m/>
    <x v="12"/>
    <m/>
    <m/>
    <s v="Defense White Paper Appendix"/>
    <m/>
  </r>
  <r>
    <x v="1"/>
    <x v="8"/>
    <s v="Europe and Central Asia"/>
    <s v="No Specific Relationship"/>
    <x v="0"/>
    <s v="EUCOM"/>
    <x v="78"/>
    <x v="15"/>
    <n v="7"/>
    <s v="BL - Hosted"/>
    <s v="Liang Guanglie"/>
    <m/>
    <s v="GSD Commander; CMC Member"/>
    <n v="8"/>
    <x v="2"/>
    <s v="Chief of Armed Forces"/>
    <x v="0"/>
    <m/>
    <m/>
    <m/>
    <m/>
    <x v="12"/>
    <m/>
    <m/>
    <s v="Defense White Paper Appendix"/>
    <m/>
  </r>
  <r>
    <x v="1"/>
    <x v="1"/>
    <s v="Asia"/>
    <s v="No Specific Relationship"/>
    <x v="3"/>
    <s v="INDOPACOM"/>
    <x v="5"/>
    <x v="15"/>
    <n v="7"/>
    <s v="BL - Hosted"/>
    <s v="Ma Xiaotian"/>
    <m/>
    <s v="GSD DCGS"/>
    <n v="6"/>
    <x v="2"/>
    <s v="Air Force Commander"/>
    <x v="0"/>
    <m/>
    <m/>
    <m/>
    <m/>
    <x v="12"/>
    <m/>
    <m/>
    <s v="Defense White Paper Appendix"/>
    <m/>
  </r>
  <r>
    <x v="1"/>
    <x v="7"/>
    <s v="West Asia and Africa"/>
    <s v="Strategic Partnership [战略伙伴关系]"/>
    <x v="0"/>
    <s v="AFRICOM"/>
    <x v="76"/>
    <x v="15"/>
    <n v="8"/>
    <s v="BL - Hosted"/>
    <s v="Xu Caihou"/>
    <m/>
    <s v="CMC Vice Chairman"/>
    <n v="10"/>
    <x v="2"/>
    <s v="Chief of Staff"/>
    <x v="0"/>
    <m/>
    <m/>
    <m/>
    <m/>
    <x v="12"/>
    <m/>
    <m/>
    <s v="Defense White Paper Appendix"/>
    <m/>
  </r>
  <r>
    <x v="1"/>
    <x v="7"/>
    <s v="West Asia and Africa"/>
    <s v="Friendly Cooperative Relationship [友好合作关系]"/>
    <x v="0"/>
    <s v="AFRICOM"/>
    <x v="64"/>
    <x v="15"/>
    <n v="8"/>
    <s v="BL - Abroad"/>
    <s v="Qi Zhengxiang"/>
    <m/>
    <s v="Jinan MR Political Commissar"/>
    <n v="6"/>
    <x v="1"/>
    <m/>
    <x v="0"/>
    <m/>
    <m/>
    <m/>
    <m/>
    <x v="12"/>
    <m/>
    <m/>
    <s v="Defense White Paper Appendix"/>
    <m/>
  </r>
  <r>
    <x v="0"/>
    <x v="2"/>
    <s v="America and Oceania"/>
    <s v="Strategic Partnership [战略伙伴关系]"/>
    <x v="5"/>
    <s v="NORTHCOM"/>
    <x v="17"/>
    <x v="15"/>
    <n v="8"/>
    <s v="Port Call - Friendly Visit"/>
    <m/>
    <m/>
    <m/>
    <m/>
    <x v="0"/>
    <m/>
    <x v="0"/>
    <m/>
    <m/>
    <m/>
    <s v="NETF"/>
    <x v="28"/>
    <s v="North Sea Fleet"/>
    <s v="Luhu destroyer Qingdao 113, replenishment ship Hongzehu 881"/>
    <m/>
    <m/>
  </r>
  <r>
    <x v="1"/>
    <x v="10"/>
    <s v="America and Oceania"/>
    <s v="Comprehensive Partnership [全面伙伴关系]"/>
    <x v="0"/>
    <s v="SOUTHCOM"/>
    <x v="66"/>
    <x v="15"/>
    <n v="8"/>
    <s v="BL - Hosted"/>
    <s v="Xu Caihou"/>
    <m/>
    <s v="CMC Vice Chairman"/>
    <n v="10"/>
    <x v="2"/>
    <s v="Chief of Defense Staff"/>
    <x v="0"/>
    <m/>
    <m/>
    <m/>
    <m/>
    <x v="12"/>
    <m/>
    <m/>
    <s v="Defense White Paper Appendix"/>
    <m/>
  </r>
  <r>
    <x v="1"/>
    <x v="9"/>
    <s v="West Asia and Africa"/>
    <s v="Strategic Cooperative Partnership [战略合作伙伴关系]"/>
    <x v="1"/>
    <s v="CENTCOM"/>
    <x v="24"/>
    <x v="15"/>
    <n v="8"/>
    <s v="BL - Abroad"/>
    <s v="Ma Xiaotian"/>
    <m/>
    <s v="GSD DCGS"/>
    <n v="6"/>
    <x v="1"/>
    <m/>
    <x v="0"/>
    <m/>
    <m/>
    <m/>
    <m/>
    <x v="12"/>
    <m/>
    <m/>
    <s v="Defense White Paper Appendix"/>
    <m/>
  </r>
  <r>
    <x v="1"/>
    <x v="8"/>
    <s v="Europe and Central Asia"/>
    <s v="No Specific Relationship"/>
    <x v="0"/>
    <s v="EUCOM"/>
    <x v="81"/>
    <x v="15"/>
    <n v="8"/>
    <s v="BL - Abroad"/>
    <m/>
    <m/>
    <s v="GLD Deputy Director"/>
    <n v="8"/>
    <x v="1"/>
    <m/>
    <x v="0"/>
    <m/>
    <m/>
    <m/>
    <m/>
    <x v="12"/>
    <m/>
    <m/>
    <s v="Defense White Paper Appendix"/>
    <m/>
  </r>
  <r>
    <x v="1"/>
    <x v="8"/>
    <s v="Europe and Central Asia"/>
    <s v="No Specific Relationship"/>
    <x v="5"/>
    <s v="EUCOM"/>
    <x v="18"/>
    <x v="15"/>
    <n v="8"/>
    <s v="BL - Abroad"/>
    <s v="Ma Xiaotian"/>
    <m/>
    <s v="GSD DCGS"/>
    <n v="6"/>
    <x v="1"/>
    <m/>
    <x v="0"/>
    <m/>
    <m/>
    <m/>
    <m/>
    <x v="12"/>
    <m/>
    <m/>
    <s v="Defense White Paper Appendix"/>
    <m/>
  </r>
  <r>
    <x v="2"/>
    <x v="6"/>
    <s v="Europe and Central Asia"/>
    <s v="Strategic Partnership [战略伙伴关系]"/>
    <x v="0"/>
    <s v="CENTCOM"/>
    <x v="30"/>
    <x v="15"/>
    <n v="8"/>
    <s v="Military Exercise - Bilateral"/>
    <m/>
    <m/>
    <m/>
    <m/>
    <x v="0"/>
    <m/>
    <x v="1"/>
    <s v="Tianshan-1"/>
    <s v="PAP"/>
    <s v="First PAP cooperation with foreign security forces"/>
    <m/>
    <x v="12"/>
    <m/>
    <m/>
    <s v="https://www.jstor.org/stable/pdf/resrep11945.11.pdf?refreqid=excelsior%3A4fac441d45c51d61db50c8bc19c2628f"/>
    <m/>
  </r>
  <r>
    <x v="1"/>
    <x v="0"/>
    <s v="Asia"/>
    <s v="Strategic Partnership [战略伙伴关系]"/>
    <x v="1"/>
    <s v="CENTCOM"/>
    <x v="2"/>
    <x v="15"/>
    <n v="8"/>
    <s v="BL - Abroad"/>
    <s v="Li Yu"/>
    <m/>
    <s v="GSD Assistant Commander"/>
    <n v="5"/>
    <x v="1"/>
    <m/>
    <x v="0"/>
    <m/>
    <m/>
    <m/>
    <m/>
    <x v="12"/>
    <m/>
    <m/>
    <s v="Defense White Paper Appendix"/>
    <m/>
  </r>
  <r>
    <x v="0"/>
    <x v="1"/>
    <s v="Asia"/>
    <s v="Strategic Cooperative Partnership [战略合作伙伴关系]"/>
    <x v="3"/>
    <s v="INDOPACOM"/>
    <x v="11"/>
    <x v="15"/>
    <n v="8"/>
    <s v="Port Call - Friendly Visit"/>
    <m/>
    <m/>
    <m/>
    <m/>
    <x v="0"/>
    <m/>
    <x v="0"/>
    <m/>
    <m/>
    <m/>
    <s v="NETF"/>
    <x v="28"/>
    <s v="North Sea Fleet"/>
    <s v="Luhu destroyer Qingdao 113, replenishment ship Hongzehu 881"/>
    <m/>
    <m/>
  </r>
  <r>
    <x v="1"/>
    <x v="8"/>
    <s v="Europe and Central Asia"/>
    <s v="No Specific Relationship"/>
    <x v="0"/>
    <s v="EUCOM"/>
    <x v="92"/>
    <x v="15"/>
    <n v="8"/>
    <s v="BL - Abroad"/>
    <m/>
    <m/>
    <s v="GLD Deputy Director"/>
    <n v="8"/>
    <x v="1"/>
    <m/>
    <x v="0"/>
    <m/>
    <m/>
    <m/>
    <m/>
    <x v="12"/>
    <m/>
    <m/>
    <s v="Defense White Paper Appendix"/>
    <m/>
  </r>
  <r>
    <x v="1"/>
    <x v="7"/>
    <s v="West Asia and Africa"/>
    <s v="No Specific Relationship"/>
    <x v="0"/>
    <s v="AFRICOM"/>
    <x v="16"/>
    <x v="15"/>
    <n v="8"/>
    <s v="BL - Abroad"/>
    <s v="Qi Zhengxiang"/>
    <m/>
    <s v="Jinan MR Political Commissar"/>
    <n v="6"/>
    <x v="1"/>
    <m/>
    <x v="0"/>
    <m/>
    <m/>
    <m/>
    <m/>
    <x v="12"/>
    <m/>
    <m/>
    <s v="Defense White Paper Appendix"/>
    <m/>
  </r>
  <r>
    <x v="1"/>
    <x v="1"/>
    <s v="Asia"/>
    <s v="No Specific Relationship"/>
    <x v="3"/>
    <s v="INDOPACOM"/>
    <x v="5"/>
    <x v="15"/>
    <n v="8"/>
    <s v="BL - Abroad"/>
    <s v="Li Yu"/>
    <m/>
    <s v="GSD Assistant Commander"/>
    <n v="5"/>
    <x v="1"/>
    <m/>
    <x v="0"/>
    <m/>
    <m/>
    <m/>
    <m/>
    <x v="12"/>
    <m/>
    <m/>
    <s v="Defense White Paper Appendix"/>
    <m/>
  </r>
  <r>
    <x v="1"/>
    <x v="7"/>
    <s v="West Asia and Africa"/>
    <s v="Comprehensive Strategic Cooperative Partnership [全面战略合作伙伴关系]"/>
    <x v="0"/>
    <s v="AFRICOM"/>
    <x v="96"/>
    <x v="15"/>
    <n v="8"/>
    <s v="BL - Abroad"/>
    <s v="Qi Zhengxiang"/>
    <m/>
    <s v="Jinan MR Political Commissar"/>
    <n v="6"/>
    <x v="1"/>
    <m/>
    <x v="0"/>
    <m/>
    <m/>
    <m/>
    <m/>
    <x v="12"/>
    <m/>
    <m/>
    <s v="Defense White Paper Appendix"/>
    <m/>
  </r>
  <r>
    <x v="1"/>
    <x v="2"/>
    <s v="America and Oceania"/>
    <s v="No Specific Relationship"/>
    <x v="2"/>
    <s v="NORTHCOM"/>
    <x v="4"/>
    <x v="15"/>
    <n v="8"/>
    <s v="BL - Hosted"/>
    <s v="UNK"/>
    <m/>
    <s v="North Sea Fleet Commander"/>
    <n v="6"/>
    <x v="2"/>
    <s v="PACOM Commander visit to Harbin"/>
    <x v="0"/>
    <m/>
    <m/>
    <m/>
    <m/>
    <x v="12"/>
    <m/>
    <m/>
    <s v="https://www.npr.org/templates/story/story.php?storyId=6135356 "/>
    <s v="No counterpart identified; assess North Sea Fleet Commander given Harbin location"/>
  </r>
  <r>
    <x v="0"/>
    <x v="2"/>
    <s v="America and Oceania"/>
    <s v="No Specific Relationship"/>
    <x v="2"/>
    <s v="NORTHCOM"/>
    <x v="4"/>
    <x v="15"/>
    <n v="8"/>
    <s v="Port Call - Friendly Visit"/>
    <m/>
    <m/>
    <m/>
    <m/>
    <x v="0"/>
    <m/>
    <x v="0"/>
    <m/>
    <m/>
    <m/>
    <s v="NETF"/>
    <x v="28"/>
    <s v="North Sea Fleet"/>
    <s v="Luhu destroyer Qingdao 113, replenishment ship Hongzehu 881"/>
    <m/>
    <m/>
  </r>
  <r>
    <x v="1"/>
    <x v="5"/>
    <s v="America and Oceania"/>
    <s v="No Specific Relationship"/>
    <x v="4"/>
    <s v="INDOPACOM"/>
    <x v="12"/>
    <x v="15"/>
    <n v="9"/>
    <s v="BL - Abroad"/>
    <s v="Xu Caihou"/>
    <m/>
    <s v="CMC Vice Chairman"/>
    <n v="10"/>
    <x v="1"/>
    <m/>
    <x v="0"/>
    <m/>
    <m/>
    <m/>
    <m/>
    <x v="12"/>
    <m/>
    <m/>
    <s v="Defense White Paper Appendix"/>
    <m/>
  </r>
  <r>
    <x v="1"/>
    <x v="8"/>
    <s v="Europe and Central Asia"/>
    <s v="Strategic Partnership [战略伙伴关系]"/>
    <x v="0"/>
    <s v="EUCOM"/>
    <x v="34"/>
    <x v="15"/>
    <n v="9"/>
    <s v="BL - Abroad"/>
    <s v="Cao Gangchuan"/>
    <m/>
    <s v="CMC Vice Chairman; Defense Minister"/>
    <n v="10"/>
    <x v="1"/>
    <m/>
    <x v="0"/>
    <m/>
    <m/>
    <m/>
    <m/>
    <x v="12"/>
    <m/>
    <m/>
    <s v="Defense White Paper Appendix"/>
    <m/>
  </r>
  <r>
    <x v="1"/>
    <x v="10"/>
    <s v="America and Oceania"/>
    <s v="No Specific Relationship"/>
    <x v="0"/>
    <s v="SOUTHCOM"/>
    <x v="42"/>
    <x v="15"/>
    <n v="9"/>
    <s v="BL - Hosted"/>
    <s v="Cao Gangchuan"/>
    <m/>
    <s v="CMC Vice Chairman; Defense Minister"/>
    <n v="10"/>
    <x v="2"/>
    <s v="Defense Minister"/>
    <x v="0"/>
    <m/>
    <m/>
    <m/>
    <m/>
    <x v="12"/>
    <m/>
    <m/>
    <s v="Defense White Paper Appendix"/>
    <m/>
  </r>
  <r>
    <x v="1"/>
    <x v="10"/>
    <s v="America and Oceania"/>
    <s v="Comprehensive Strategic Partnership [全面战略伙伴关系]"/>
    <x v="0"/>
    <s v="SOUTHCOM"/>
    <x v="43"/>
    <x v="15"/>
    <n v="9"/>
    <s v="BL - Abroad"/>
    <s v="Sun Dafa"/>
    <m/>
    <s v="GLD Political Commissar"/>
    <n v="6"/>
    <x v="1"/>
    <m/>
    <x v="0"/>
    <m/>
    <m/>
    <m/>
    <m/>
    <x v="12"/>
    <m/>
    <m/>
    <s v="Defense White Paper Appendix"/>
    <m/>
  </r>
  <r>
    <x v="1"/>
    <x v="8"/>
    <s v="Europe and Central Asia"/>
    <s v="No Specific Relationship"/>
    <x v="5"/>
    <s v="EUCOM"/>
    <x v="79"/>
    <x v="15"/>
    <n v="9"/>
    <s v="BL - Abroad"/>
    <s v="Cao Gangchuan"/>
    <m/>
    <s v="CMC Vice Chairman; Defense Minister"/>
    <n v="10"/>
    <x v="1"/>
    <m/>
    <x v="0"/>
    <m/>
    <m/>
    <m/>
    <m/>
    <x v="12"/>
    <m/>
    <m/>
    <s v="Defense White Paper Appendix"/>
    <m/>
  </r>
  <r>
    <x v="1"/>
    <x v="7"/>
    <s v="West Asia and Africa"/>
    <s v="No Specific Relationship"/>
    <x v="0"/>
    <s v="AFRICOM"/>
    <x v="132"/>
    <x v="15"/>
    <n v="9"/>
    <s v="BL - Hosted"/>
    <s v="Guo Boxiong"/>
    <m/>
    <s v="CMC Vice Chairman"/>
    <n v="10"/>
    <x v="2"/>
    <s v="Chief of Staff Armed Forces"/>
    <x v="0"/>
    <m/>
    <m/>
    <m/>
    <m/>
    <x v="12"/>
    <m/>
    <m/>
    <s v="Defense White Paper Appendix"/>
    <m/>
  </r>
  <r>
    <x v="1"/>
    <x v="10"/>
    <s v="America and Oceania"/>
    <s v="Comprehensive Partnership [全面伙伴关系]"/>
    <x v="0"/>
    <s v="SOUTHCOM"/>
    <x v="66"/>
    <x v="15"/>
    <n v="9"/>
    <s v="BL - Abroad"/>
    <s v="Sun Dafa"/>
    <m/>
    <s v="GLD Political Commissar"/>
    <n v="6"/>
    <x v="1"/>
    <m/>
    <x v="0"/>
    <m/>
    <m/>
    <m/>
    <m/>
    <x v="12"/>
    <m/>
    <m/>
    <s v="Defense White Paper Appendix"/>
    <m/>
  </r>
  <r>
    <x v="1"/>
    <x v="10"/>
    <s v="America and Oceania"/>
    <s v="No Specific Relationship"/>
    <x v="0"/>
    <s v="SOUTHCOM"/>
    <x v="45"/>
    <x v="15"/>
    <n v="9"/>
    <s v="BL - Abroad"/>
    <s v="Li Qianyuan"/>
    <m/>
    <s v="Lanzhou MR Commander"/>
    <n v="6"/>
    <x v="1"/>
    <m/>
    <x v="0"/>
    <m/>
    <m/>
    <m/>
    <m/>
    <x v="12"/>
    <m/>
    <m/>
    <s v="Defense White Paper Appendix"/>
    <m/>
  </r>
  <r>
    <x v="1"/>
    <x v="9"/>
    <s v="West Asia and Africa"/>
    <s v="Strategic Cooperative Partnership [战略合作伙伴关系]"/>
    <x v="1"/>
    <s v="CENTCOM"/>
    <x v="24"/>
    <x v="15"/>
    <n v="9"/>
    <s v="BL - Abroad"/>
    <s v="Zheng Shenxia"/>
    <m/>
    <s v="AMS President"/>
    <n v="6"/>
    <x v="1"/>
    <m/>
    <x v="0"/>
    <m/>
    <m/>
    <m/>
    <m/>
    <x v="12"/>
    <m/>
    <m/>
    <s v="Defense White Paper Appendix"/>
    <m/>
  </r>
  <r>
    <x v="1"/>
    <x v="8"/>
    <s v="Europe and Central Asia"/>
    <s v="No Specific Relationship"/>
    <x v="0"/>
    <s v="EUCOM"/>
    <x v="81"/>
    <x v="15"/>
    <n v="9"/>
    <s v="BL - Abroad"/>
    <s v="Li Jinai"/>
    <m/>
    <s v="GPD Director; CMC Member"/>
    <n v="8"/>
    <x v="1"/>
    <m/>
    <x v="0"/>
    <m/>
    <m/>
    <m/>
    <m/>
    <x v="12"/>
    <m/>
    <m/>
    <s v="Defense White Paper Appendix"/>
    <m/>
  </r>
  <r>
    <x v="1"/>
    <x v="7"/>
    <s v="West Asia and Africa"/>
    <s v="No Specific Relationship"/>
    <x v="0"/>
    <s v="AFRICOM"/>
    <x v="67"/>
    <x v="15"/>
    <n v="9"/>
    <s v="BL - Hosted"/>
    <s v="Cao Gangchuan"/>
    <m/>
    <s v="CMC Vice Chairman; Defense Minister"/>
    <n v="10"/>
    <x v="2"/>
    <s v="Minister of State for Defense"/>
    <x v="0"/>
    <m/>
    <m/>
    <m/>
    <m/>
    <x v="12"/>
    <m/>
    <m/>
    <s v="Defense White Paper Appendix"/>
    <m/>
  </r>
  <r>
    <x v="1"/>
    <x v="8"/>
    <s v="Europe and Central Asia"/>
    <s v="Comprehensive Strategic Partnership [全面战略伙伴关系]"/>
    <x v="5"/>
    <s v="EUCOM"/>
    <x v="29"/>
    <x v="15"/>
    <n v="9"/>
    <s v="BL - Abroad"/>
    <s v="Li Jinai"/>
    <m/>
    <s v="GPD Director; CMC Member"/>
    <n v="8"/>
    <x v="1"/>
    <m/>
    <x v="0"/>
    <m/>
    <m/>
    <m/>
    <m/>
    <x v="12"/>
    <m/>
    <m/>
    <s v="Defense White Paper Appendix"/>
    <m/>
  </r>
  <r>
    <x v="1"/>
    <x v="8"/>
    <s v="Europe and Central Asia"/>
    <s v="No Specific Relationship"/>
    <x v="5"/>
    <s v="EUCOM"/>
    <x v="82"/>
    <x v="15"/>
    <n v="9"/>
    <s v="BL - Abroad"/>
    <s v="Cao Gangchuan"/>
    <m/>
    <s v="CMC Vice Chairman; Defense Minister"/>
    <n v="10"/>
    <x v="1"/>
    <m/>
    <x v="0"/>
    <m/>
    <m/>
    <m/>
    <m/>
    <x v="12"/>
    <m/>
    <m/>
    <s v="Defense White Paper Appendix"/>
    <m/>
  </r>
  <r>
    <x v="1"/>
    <x v="7"/>
    <s v="West Asia and Africa"/>
    <s v="No Specific Relationship"/>
    <x v="0"/>
    <s v="AFRICOM"/>
    <x v="115"/>
    <x v="15"/>
    <n v="9"/>
    <s v="BL - Hosted"/>
    <s v="Cao Gangchuan"/>
    <m/>
    <s v="CMC Vice Chairman; Defense Minister"/>
    <n v="6"/>
    <x v="2"/>
    <s v="Defense Minister"/>
    <x v="0"/>
    <m/>
    <m/>
    <m/>
    <m/>
    <x v="12"/>
    <m/>
    <m/>
    <s v="https://dlib.eastview.com/browse/doc/14711783"/>
    <m/>
  </r>
  <r>
    <x v="1"/>
    <x v="2"/>
    <s v="America and Oceania"/>
    <s v="Strategic Cooperative Partnership [战略合作伙伴关系]"/>
    <x v="0"/>
    <s v="NORTHCOM"/>
    <x v="77"/>
    <x v="15"/>
    <n v="9"/>
    <s v="BL - Abroad"/>
    <s v="Huang Xianzhong"/>
    <m/>
    <s v="Shenyang MR Political Commissar"/>
    <n v="6"/>
    <x v="1"/>
    <m/>
    <x v="0"/>
    <m/>
    <m/>
    <m/>
    <m/>
    <x v="12"/>
    <m/>
    <m/>
    <s v="Defense White Paper Appendix"/>
    <m/>
  </r>
  <r>
    <x v="1"/>
    <x v="5"/>
    <s v="America and Oceania"/>
    <s v="No Specific Relationship"/>
    <x v="4"/>
    <s v="INDOPACOM"/>
    <x v="13"/>
    <x v="15"/>
    <n v="9"/>
    <s v="BL - Abroad"/>
    <s v="Xu Caihou"/>
    <m/>
    <s v="CMC Vice Chairman"/>
    <n v="10"/>
    <x v="1"/>
    <m/>
    <x v="0"/>
    <m/>
    <m/>
    <m/>
    <m/>
    <x v="12"/>
    <m/>
    <m/>
    <s v="Defense White Paper Appendix"/>
    <m/>
  </r>
  <r>
    <x v="1"/>
    <x v="10"/>
    <s v="America and Oceania"/>
    <s v="Comprehensive Partnership [全面伙伴关系]"/>
    <x v="0"/>
    <s v="SOUTHCOM"/>
    <x v="54"/>
    <x v="15"/>
    <n v="9"/>
    <s v="BL - Hosted"/>
    <s v="Liang Guanglie"/>
    <m/>
    <s v="GSD Commander; CMC Member"/>
    <n v="8"/>
    <x v="2"/>
    <s v="Air Force Commander"/>
    <x v="0"/>
    <m/>
    <m/>
    <m/>
    <m/>
    <x v="12"/>
    <m/>
    <m/>
    <s v="Defense White Paper Appendix"/>
    <m/>
  </r>
  <r>
    <x v="1"/>
    <x v="8"/>
    <s v="Europe and Central Asia"/>
    <s v="Comprehensive Friendly Cooperative Partnership [全面友好合作伙伴关系]"/>
    <x v="5"/>
    <s v="EUCOM"/>
    <x v="33"/>
    <x v="15"/>
    <n v="9"/>
    <s v="BL - Abroad"/>
    <s v="Cao Gangchuan"/>
    <m/>
    <s v="CMC Vice Chairman; Defense Minister"/>
    <n v="10"/>
    <x v="1"/>
    <m/>
    <x v="0"/>
    <m/>
    <m/>
    <m/>
    <m/>
    <x v="12"/>
    <m/>
    <m/>
    <s v="Defense White Paper Appendix"/>
    <m/>
  </r>
  <r>
    <x v="1"/>
    <x v="7"/>
    <s v="West Asia and Africa"/>
    <s v="Strategic Partnership [战略伙伴关系]"/>
    <x v="0"/>
    <s v="AFRICOM"/>
    <x v="15"/>
    <x v="15"/>
    <n v="9"/>
    <s v="BL - Abroad"/>
    <s v="Zheng Shenxia"/>
    <m/>
    <s v="AMS President"/>
    <n v="6"/>
    <x v="1"/>
    <m/>
    <x v="0"/>
    <m/>
    <m/>
    <m/>
    <m/>
    <x v="12"/>
    <m/>
    <m/>
    <s v="Defense White Paper Appendix"/>
    <m/>
  </r>
  <r>
    <x v="2"/>
    <x v="6"/>
    <s v="Europe and Central Asia"/>
    <s v="No Specific Relationship"/>
    <x v="0"/>
    <s v="CENTCOM"/>
    <x v="60"/>
    <x v="15"/>
    <n v="9"/>
    <s v="Military Exercise - Bilateral"/>
    <m/>
    <m/>
    <m/>
    <m/>
    <x v="0"/>
    <m/>
    <x v="1"/>
    <s v="Coordination-2006"/>
    <s v="Army"/>
    <s v="First joint anti-terrorism military exercise; in Tajikistan; 450 troops; TJ artillery, infantry, airborne; PLA reinforced company of 150+ troops"/>
    <m/>
    <x v="12"/>
    <m/>
    <m/>
    <s v="Defense White Paper Appendix; de Haas Journal of Slavic Military Studies 29:3 (2016)"/>
    <s v="Miscoded as 2005 exercise in previous DB"/>
  </r>
  <r>
    <x v="1"/>
    <x v="6"/>
    <s v="Europe and Central Asia"/>
    <s v="No Specific Relationship"/>
    <x v="0"/>
    <s v="CENTCOM"/>
    <x v="60"/>
    <x v="15"/>
    <n v="9"/>
    <s v="BL - Abroad"/>
    <s v="Ma Xiaotian"/>
    <m/>
    <s v="GSD DCGS"/>
    <n v="6"/>
    <x v="1"/>
    <m/>
    <x v="0"/>
    <m/>
    <m/>
    <m/>
    <m/>
    <x v="12"/>
    <m/>
    <m/>
    <s v="Defense White Paper Appendix"/>
    <m/>
  </r>
  <r>
    <x v="1"/>
    <x v="10"/>
    <s v="America and Oceania"/>
    <s v="No Specific Relationship"/>
    <x v="0"/>
    <s v="SOUTHCOM"/>
    <x v="107"/>
    <x v="15"/>
    <n v="9"/>
    <s v="BL - Hosted"/>
    <s v="Liang Guanglie"/>
    <m/>
    <s v="Defense Minister; CMC Member"/>
    <n v="8"/>
    <x v="2"/>
    <s v="Commander of Army and Navy"/>
    <x v="0"/>
    <m/>
    <m/>
    <m/>
    <m/>
    <x v="12"/>
    <m/>
    <m/>
    <s v="Defense White Paper Appendix"/>
    <m/>
  </r>
  <r>
    <x v="1"/>
    <x v="0"/>
    <s v="Europe and Central Asia"/>
    <s v="Comprehensive Cooperative Partnership [全面合作伙伴关系]"/>
    <x v="1"/>
    <s v="CENTCOM"/>
    <x v="123"/>
    <x v="15"/>
    <n v="10"/>
    <s v="BL - Hosted"/>
    <s v="Cao Gangchuan"/>
    <m/>
    <s v="CMC Vice Chairman; Defense Minister"/>
    <n v="10"/>
    <x v="2"/>
    <s v="Defense Minister"/>
    <x v="0"/>
    <m/>
    <m/>
    <m/>
    <m/>
    <x v="12"/>
    <m/>
    <m/>
    <s v="Defense White Paper Appendix"/>
    <m/>
  </r>
  <r>
    <x v="1"/>
    <x v="7"/>
    <s v="West Asia and Africa"/>
    <s v="Strategic Partnership [战略伙伴关系]"/>
    <x v="0"/>
    <s v="AFRICOM"/>
    <x v="76"/>
    <x v="15"/>
    <n v="10"/>
    <s v="BL - Abroad"/>
    <s v="Chi Wanchun"/>
    <m/>
    <s v="GAD Political Commissar"/>
    <n v="6"/>
    <x v="1"/>
    <m/>
    <x v="0"/>
    <m/>
    <m/>
    <m/>
    <m/>
    <x v="12"/>
    <m/>
    <m/>
    <s v="Defense White Paper Appendix"/>
    <m/>
  </r>
  <r>
    <x v="1"/>
    <x v="5"/>
    <s v="America and Oceania"/>
    <s v="No Specific Relationship"/>
    <x v="4"/>
    <s v="INDOPACOM"/>
    <x v="12"/>
    <x v="15"/>
    <n v="10"/>
    <s v="BL - Hosted"/>
    <s v="Cao Gangchuan"/>
    <m/>
    <s v="CMC Vice Chairman; Defense Minister"/>
    <n v="10"/>
    <x v="2"/>
    <s v="Chief of Army"/>
    <x v="0"/>
    <m/>
    <m/>
    <m/>
    <m/>
    <x v="12"/>
    <m/>
    <m/>
    <s v="Defense White Paper Appendix"/>
    <m/>
  </r>
  <r>
    <x v="1"/>
    <x v="1"/>
    <s v="Asia"/>
    <s v="Comprehensive Cooperative Partnership [全面合作伙伴关系]"/>
    <x v="0"/>
    <s v="INDOPACOM"/>
    <x v="94"/>
    <x v="15"/>
    <n v="10"/>
    <s v="BL - Abroad"/>
    <s v="Liang Guanglie"/>
    <m/>
    <s v="GSD Commander; CMC Member"/>
    <n v="8"/>
    <x v="1"/>
    <m/>
    <x v="0"/>
    <m/>
    <m/>
    <m/>
    <m/>
    <x v="12"/>
    <m/>
    <m/>
    <s v="Defense White Paper Appendix"/>
    <m/>
  </r>
  <r>
    <x v="1"/>
    <x v="7"/>
    <s v="West Asia and Africa"/>
    <s v="No Specific Relationship"/>
    <x v="0"/>
    <s v="AFRICOM"/>
    <x v="133"/>
    <x v="15"/>
    <n v="10"/>
    <s v="BL - Hosted"/>
    <s v="Cao Gangchuan"/>
    <m/>
    <s v="CMC Vice Chairman; Defense Minister"/>
    <n v="10"/>
    <x v="2"/>
    <s v="Defense Minister"/>
    <x v="0"/>
    <m/>
    <m/>
    <m/>
    <m/>
    <x v="12"/>
    <m/>
    <m/>
    <s v="Defense White Paper Appendix"/>
    <m/>
  </r>
  <r>
    <x v="1"/>
    <x v="8"/>
    <s v="Europe and Central Asia"/>
    <s v="No Specific Relationship"/>
    <x v="5"/>
    <s v="EUCOM"/>
    <x v="134"/>
    <x v="15"/>
    <n v="10"/>
    <s v="BL - Hosted"/>
    <s v="Zhang Li"/>
    <m/>
    <s v="GSD DCGS"/>
    <n v="8"/>
    <x v="2"/>
    <s v="Defense Minister"/>
    <x v="0"/>
    <m/>
    <m/>
    <m/>
    <m/>
    <x v="12"/>
    <m/>
    <m/>
    <s v="https://dlib.eastview.com/browse/doc/14697011"/>
    <m/>
  </r>
  <r>
    <x v="1"/>
    <x v="8"/>
    <s v="Europe and Central Asia"/>
    <s v="No Specific Relationship"/>
    <x v="5"/>
    <s v="EUCOM"/>
    <x v="18"/>
    <x v="15"/>
    <n v="10"/>
    <s v="BL - Hosted"/>
    <s v="Cao Gangchuan"/>
    <m/>
    <s v="CMC Vice Chairman; Defense Minister"/>
    <n v="10"/>
    <x v="2"/>
    <s v="Inspector General of Armed Forces"/>
    <x v="0"/>
    <m/>
    <m/>
    <m/>
    <m/>
    <x v="12"/>
    <m/>
    <m/>
    <s v="Defense White Paper Appendix"/>
    <m/>
  </r>
  <r>
    <x v="1"/>
    <x v="0"/>
    <s v="Asia"/>
    <s v="Strategic Partnership for Peace and Prosperity [战略伙伴关系]"/>
    <x v="0"/>
    <s v="INDOPACOM"/>
    <x v="6"/>
    <x v="15"/>
    <n v="10"/>
    <s v="BL - Abroad"/>
    <s v="Qiao Qingchen"/>
    <m/>
    <s v="PLAAF Commander; CMC Member"/>
    <n v="8"/>
    <x v="1"/>
    <m/>
    <x v="0"/>
    <m/>
    <m/>
    <m/>
    <m/>
    <x v="12"/>
    <m/>
    <m/>
    <s v="Defense White Paper Appendix"/>
    <m/>
  </r>
  <r>
    <x v="1"/>
    <x v="7"/>
    <s v="West Asia and Africa"/>
    <s v="No Specific Relationship"/>
    <x v="0"/>
    <s v="AFRICOM"/>
    <x v="47"/>
    <x v="15"/>
    <n v="10"/>
    <s v="BL - Hosted"/>
    <s v="Cao Gangchuan"/>
    <m/>
    <s v="CMC Vice Chairman; Defense Minister"/>
    <n v="8"/>
    <x v="2"/>
    <s v="COGS"/>
    <x v="0"/>
    <m/>
    <m/>
    <m/>
    <m/>
    <x v="12"/>
    <m/>
    <m/>
    <s v="https://dlib.eastview.com/browse/doc/14715624"/>
    <m/>
  </r>
  <r>
    <x v="1"/>
    <x v="1"/>
    <s v="Asia"/>
    <s v="Comprehensive Cooperative Partnership [全面合作伙伴关系]"/>
    <x v="0"/>
    <s v="INDOPACOM"/>
    <x v="52"/>
    <x v="15"/>
    <n v="10"/>
    <s v="BL - Abroad"/>
    <s v="Liang Guanglie"/>
    <m/>
    <s v="GSD Commander; CMC Member"/>
    <n v="8"/>
    <x v="1"/>
    <m/>
    <x v="0"/>
    <m/>
    <m/>
    <m/>
    <m/>
    <x v="12"/>
    <m/>
    <m/>
    <s v="Defense White Paper Appendix"/>
    <m/>
  </r>
  <r>
    <x v="1"/>
    <x v="1"/>
    <s v="Asia"/>
    <s v="No Specific Relationship"/>
    <x v="0"/>
    <s v="INDOPACOM"/>
    <x v="1"/>
    <x v="15"/>
    <n v="10"/>
    <s v="BL - Abroad"/>
    <s v="Liang Guanglie"/>
    <m/>
    <s v="GSD Commander; CMC Member"/>
    <n v="8"/>
    <x v="1"/>
    <m/>
    <x v="0"/>
    <m/>
    <m/>
    <m/>
    <m/>
    <x v="12"/>
    <m/>
    <m/>
    <s v="Defense White Paper Appendix"/>
    <m/>
  </r>
  <r>
    <x v="1"/>
    <x v="7"/>
    <s v="West Asia and Africa"/>
    <s v="No Specific Relationship"/>
    <x v="0"/>
    <s v="AFRICOM"/>
    <x v="69"/>
    <x v="15"/>
    <n v="10"/>
    <s v="BL - Abroad"/>
    <s v="Chi Wanchun"/>
    <m/>
    <s v="GAD Political Commissar"/>
    <n v="6"/>
    <x v="1"/>
    <m/>
    <x v="0"/>
    <m/>
    <m/>
    <m/>
    <m/>
    <x v="12"/>
    <m/>
    <m/>
    <s v="Defense White Paper Appendix"/>
    <m/>
  </r>
  <r>
    <x v="1"/>
    <x v="5"/>
    <s v="America and Oceania"/>
    <s v="No Specific Relationship"/>
    <x v="4"/>
    <s v="INDOPACOM"/>
    <x v="13"/>
    <x v="15"/>
    <n v="10"/>
    <s v="BL - Hosted"/>
    <s v="Cao Gangchuan"/>
    <m/>
    <s v="CMC Vice Chairman; Defense Minister"/>
    <n v="6"/>
    <x v="2"/>
    <s v="Chief of Defense Forces"/>
    <x v="0"/>
    <m/>
    <m/>
    <m/>
    <m/>
    <x v="12"/>
    <m/>
    <m/>
    <s v="https://dlib.eastview.com/browse/doc/14688205"/>
    <m/>
  </r>
  <r>
    <x v="1"/>
    <x v="0"/>
    <s v="Asia"/>
    <s v="Strategic Partnership [战略伙伴关系]"/>
    <x v="1"/>
    <s v="CENTCOM"/>
    <x v="2"/>
    <x v="15"/>
    <n v="10"/>
    <s v="BL - Abroad"/>
    <s v="Qiao Qingchen"/>
    <m/>
    <s v="PLAAF Commander; CMC Member"/>
    <n v="8"/>
    <x v="1"/>
    <m/>
    <x v="0"/>
    <m/>
    <m/>
    <m/>
    <m/>
    <x v="12"/>
    <m/>
    <m/>
    <s v="Defense White Paper Appendix"/>
    <m/>
  </r>
  <r>
    <x v="1"/>
    <x v="3"/>
    <s v="Europe and Central Asia"/>
    <s v="Strategic Partnership of Coordination [战略协作伙伴关系]"/>
    <x v="0"/>
    <s v="EUCOM"/>
    <x v="7"/>
    <x v="15"/>
    <n v="10"/>
    <s v="BL - Abroad"/>
    <s v="Li Yu"/>
    <m/>
    <s v="GSD Assistant Commander"/>
    <n v="5"/>
    <x v="1"/>
    <m/>
    <x v="0"/>
    <m/>
    <m/>
    <m/>
    <m/>
    <x v="12"/>
    <m/>
    <m/>
    <s v="Defense White Paper Appendix"/>
    <m/>
  </r>
  <r>
    <x v="1"/>
    <x v="1"/>
    <s v="Asia"/>
    <s v="No Specific Relationship"/>
    <x v="3"/>
    <s v="INDOPACOM"/>
    <x v="5"/>
    <x v="15"/>
    <n v="10"/>
    <s v="BL - Abroad"/>
    <s v="Liang Guanglie"/>
    <m/>
    <s v="GSD Commander; CMC Member"/>
    <n v="8"/>
    <x v="1"/>
    <m/>
    <x v="0"/>
    <m/>
    <m/>
    <m/>
    <m/>
    <x v="12"/>
    <m/>
    <m/>
    <s v="Defense White Paper Appendix"/>
    <m/>
  </r>
  <r>
    <x v="1"/>
    <x v="8"/>
    <s v="Europe and Central Asia"/>
    <s v="No Specific Relationship"/>
    <x v="5"/>
    <s v="EUCOM"/>
    <x v="38"/>
    <x v="15"/>
    <n v="10"/>
    <s v="BL - Abroad"/>
    <s v="Qiao Qingchen"/>
    <m/>
    <s v="PLAAF Commander; CMC Member"/>
    <n v="8"/>
    <x v="1"/>
    <m/>
    <x v="0"/>
    <m/>
    <m/>
    <m/>
    <m/>
    <x v="12"/>
    <m/>
    <m/>
    <s v="Defense White Paper Appendix"/>
    <m/>
  </r>
  <r>
    <x v="1"/>
    <x v="1"/>
    <s v="Asia"/>
    <s v="No Specific Relationship"/>
    <x v="0"/>
    <s v="INDOPACOM"/>
    <x v="23"/>
    <x v="15"/>
    <n v="10"/>
    <s v="BL - Hosted"/>
    <s v="Cao Gangchuan"/>
    <m/>
    <s v="CMC Vice Chairman; Defense Minister"/>
    <n v="10"/>
    <x v="2"/>
    <s v="Chief of General Political Department"/>
    <x v="0"/>
    <m/>
    <m/>
    <m/>
    <m/>
    <x v="12"/>
    <m/>
    <m/>
    <s v="Defense White Paper Appendix"/>
    <m/>
  </r>
  <r>
    <x v="1"/>
    <x v="9"/>
    <s v="West Asia and Africa"/>
    <s v="Strategic Cooperative Partnership [战略合作伙伴关系]"/>
    <x v="1"/>
    <s v="CENTCOM"/>
    <x v="24"/>
    <x v="15"/>
    <n v="11"/>
    <s v="BL - Abroad"/>
    <s v="Li Jinai"/>
    <m/>
    <s v="GPD Deputy Director"/>
    <n v="8"/>
    <x v="1"/>
    <m/>
    <x v="0"/>
    <m/>
    <m/>
    <m/>
    <m/>
    <x v="12"/>
    <m/>
    <m/>
    <s v="Defense White Paper Appendix"/>
    <m/>
  </r>
  <r>
    <x v="1"/>
    <x v="5"/>
    <s v="America and Oceania"/>
    <s v="No Specific Relationship"/>
    <x v="4"/>
    <s v="INDOPACOM"/>
    <x v="13"/>
    <x v="15"/>
    <n v="11"/>
    <s v="BL - Hosted"/>
    <s v="Cao Gangchuan"/>
    <m/>
    <s v="CMC Vice Chairman; Defense Minister"/>
    <n v="10"/>
    <x v="2"/>
    <s v="Defense Minister"/>
    <x v="0"/>
    <m/>
    <m/>
    <m/>
    <m/>
    <x v="12"/>
    <m/>
    <m/>
    <s v="Defense White Paper Appendix"/>
    <m/>
  </r>
  <r>
    <x v="1"/>
    <x v="8"/>
    <s v="Europe and Central Asia"/>
    <s v="Comprehensive Friendly Cooperative Partnership [全面友好合作伙伴关系]"/>
    <x v="5"/>
    <s v="EUCOM"/>
    <x v="33"/>
    <x v="15"/>
    <n v="11"/>
    <s v="BL - Hosted"/>
    <s v="Xu Caihou"/>
    <m/>
    <s v="CMC Vice Chairman"/>
    <n v="10"/>
    <x v="2"/>
    <s v="DCOGS"/>
    <x v="0"/>
    <m/>
    <m/>
    <m/>
    <m/>
    <x v="12"/>
    <m/>
    <m/>
    <s v="Defense White Paper Appendix"/>
    <m/>
  </r>
  <r>
    <x v="1"/>
    <x v="8"/>
    <s v="Europe and Central Asia"/>
    <s v="No Specific Relationship"/>
    <x v="5"/>
    <s v="EUCOM"/>
    <x v="40"/>
    <x v="15"/>
    <n v="11"/>
    <s v="BL - Hosted"/>
    <s v="Cao Gangchuan"/>
    <m/>
    <s v="CMC Vice Chairman; Defense Minister"/>
    <n v="10"/>
    <x v="2"/>
    <s v="COGS"/>
    <x v="0"/>
    <m/>
    <m/>
    <m/>
    <m/>
    <x v="12"/>
    <m/>
    <m/>
    <s v="Defense White Paper Appendix"/>
    <m/>
  </r>
  <r>
    <x v="1"/>
    <x v="7"/>
    <s v="West Asia and Africa"/>
    <s v="No Specific Relationship"/>
    <x v="1"/>
    <s v="AFRICOM"/>
    <x v="85"/>
    <x v="15"/>
    <n v="11"/>
    <s v="BL - Abroad"/>
    <s v="Ma Xiaotian"/>
    <m/>
    <s v="GSD DCGS"/>
    <n v="6"/>
    <x v="1"/>
    <m/>
    <x v="0"/>
    <m/>
    <m/>
    <m/>
    <m/>
    <x v="12"/>
    <m/>
    <m/>
    <s v="Defense White Paper Appendix"/>
    <m/>
  </r>
  <r>
    <x v="1"/>
    <x v="7"/>
    <s v="West Asia and Africa"/>
    <s v="No Specific Relationship"/>
    <x v="0"/>
    <s v="AFRICOM"/>
    <x v="97"/>
    <x v="15"/>
    <n v="11"/>
    <s v="BL - Abroad"/>
    <s v="Li Jinai"/>
    <m/>
    <s v="GPD Deputy Director"/>
    <n v="8"/>
    <x v="1"/>
    <m/>
    <x v="0"/>
    <m/>
    <m/>
    <m/>
    <m/>
    <x v="12"/>
    <m/>
    <m/>
    <s v="Defense White Paper Appendix"/>
    <m/>
  </r>
  <r>
    <x v="2"/>
    <x v="2"/>
    <s v="America and Oceania"/>
    <s v="No Specific Relationship"/>
    <x v="2"/>
    <s v="NORTHCOM"/>
    <x v="4"/>
    <x v="15"/>
    <n v="11"/>
    <s v="Military Exercise - Bilateral"/>
    <m/>
    <m/>
    <m/>
    <m/>
    <x v="0"/>
    <m/>
    <x v="2"/>
    <s v="Unknown"/>
    <s v="Navy"/>
    <s v="SAREX"/>
    <m/>
    <x v="12"/>
    <m/>
    <m/>
    <s v="Defense White Paper Appendix"/>
    <m/>
  </r>
  <r>
    <x v="1"/>
    <x v="9"/>
    <s v="West Asia and Africa"/>
    <s v="No Specific Relationship"/>
    <x v="0"/>
    <s v="CENTCOM"/>
    <x v="135"/>
    <x v="15"/>
    <n v="11"/>
    <s v="BL - Abroad"/>
    <s v="Ma Xiaotian"/>
    <m/>
    <s v="GSD DCGS"/>
    <n v="6"/>
    <x v="1"/>
    <m/>
    <x v="0"/>
    <m/>
    <m/>
    <m/>
    <m/>
    <x v="12"/>
    <m/>
    <m/>
    <s v="Defense White Paper Appendix"/>
    <m/>
  </r>
  <r>
    <x v="1"/>
    <x v="10"/>
    <s v="America and Oceania"/>
    <s v="Strategic Partnership [战略伙伴关系]"/>
    <x v="1"/>
    <s v="SOUTHCOM"/>
    <x v="62"/>
    <x v="15"/>
    <n v="12"/>
    <s v="BL - Abroad"/>
    <s v="Jing Zhiyuan"/>
    <m/>
    <s v="PLASAF Commander; CMC Member"/>
    <n v="8"/>
    <x v="1"/>
    <m/>
    <x v="0"/>
    <m/>
    <m/>
    <m/>
    <m/>
    <x v="12"/>
    <m/>
    <m/>
    <s v="Defense White Paper Appendix"/>
    <m/>
  </r>
  <r>
    <x v="1"/>
    <x v="8"/>
    <s v="Europe and Central Asia"/>
    <s v="Strategic Partnership [战略伙伴关系]"/>
    <x v="0"/>
    <s v="EUCOM"/>
    <x v="34"/>
    <x v="15"/>
    <n v="12"/>
    <s v="BL - Abroad"/>
    <s v="Fu Tinggui"/>
    <m/>
    <s v="Beijing MR Political Commissar"/>
    <n v="6"/>
    <x v="1"/>
    <m/>
    <x v="0"/>
    <m/>
    <m/>
    <m/>
    <m/>
    <x v="12"/>
    <m/>
    <m/>
    <s v="Defense White Paper Appendix"/>
    <m/>
  </r>
  <r>
    <x v="1"/>
    <x v="7"/>
    <s v="West Asia and Africa"/>
    <s v="Friendly Cooperative Relationship [友好合作关系]"/>
    <x v="0"/>
    <s v="AFRICOM"/>
    <x v="64"/>
    <x v="15"/>
    <n v="12"/>
    <s v="BL - Hosted"/>
    <s v="Cao Gangchuan"/>
    <m/>
    <s v="CMC Vice Chairman; Defense Minister"/>
    <n v="8"/>
    <x v="2"/>
    <s v="COGS"/>
    <x v="0"/>
    <m/>
    <m/>
    <m/>
    <m/>
    <x v="12"/>
    <m/>
    <m/>
    <s v="https://dlib.eastview.com/browse/doc/14714804"/>
    <m/>
  </r>
  <r>
    <x v="1"/>
    <x v="10"/>
    <s v="America and Oceania"/>
    <s v="Comprehensive Partnership [全面伙伴关系]"/>
    <x v="0"/>
    <s v="SOUTHCOM"/>
    <x v="66"/>
    <x v="15"/>
    <n v="12"/>
    <s v="BL - Abroad"/>
    <s v="Jing Zhiyuan"/>
    <m/>
    <s v="PLASAF Commander; CMC Member"/>
    <n v="8"/>
    <x v="1"/>
    <m/>
    <x v="0"/>
    <m/>
    <m/>
    <m/>
    <m/>
    <x v="12"/>
    <m/>
    <m/>
    <s v="Defense White Paper Appendix"/>
    <m/>
  </r>
  <r>
    <x v="1"/>
    <x v="10"/>
    <s v="America and Oceania"/>
    <s v="No Specific Relationship"/>
    <x v="0"/>
    <s v="SOUTHCOM"/>
    <x v="49"/>
    <x v="15"/>
    <n v="12"/>
    <s v="BL - Abroad"/>
    <s v="Zhao Keming"/>
    <m/>
    <s v="PLA NDU Political Commissar"/>
    <n v="6"/>
    <x v="1"/>
    <m/>
    <x v="0"/>
    <m/>
    <m/>
    <m/>
    <m/>
    <x v="12"/>
    <m/>
    <m/>
    <s v="Defense White Paper Appendix"/>
    <m/>
  </r>
  <r>
    <x v="1"/>
    <x v="0"/>
    <s v="Asia"/>
    <s v="Strategic Partnership for Peace and Prosperity [战略伙伴关系]"/>
    <x v="0"/>
    <s v="INDOPACOM"/>
    <x v="6"/>
    <x v="15"/>
    <n v="12"/>
    <s v="BL - Abroad"/>
    <s v="Zhang Haiyang"/>
    <m/>
    <s v="Chengdu MR Political Commissar"/>
    <n v="6"/>
    <x v="1"/>
    <m/>
    <x v="0"/>
    <m/>
    <m/>
    <m/>
    <m/>
    <x v="12"/>
    <m/>
    <m/>
    <s v="Defense White Paper Appendix"/>
    <m/>
  </r>
  <r>
    <x v="1"/>
    <x v="4"/>
    <s v="Asia"/>
    <s v="Partnership of Friendship and Cooperation for Peace and Development [致力于和平发展的友好合作关系]"/>
    <x v="3"/>
    <s v="INDOPACOM"/>
    <x v="83"/>
    <x v="15"/>
    <n v="12"/>
    <s v="BL - Abroad"/>
    <s v="Li Yu"/>
    <m/>
    <s v="GSD Assistant Commander"/>
    <n v="5"/>
    <x v="1"/>
    <m/>
    <x v="0"/>
    <m/>
    <m/>
    <m/>
    <m/>
    <x v="12"/>
    <m/>
    <m/>
    <s v="https://web.archive.org/web/20120322070501/http://news.163.com/09/1231/17/5RSLONPS000120GU.html"/>
    <m/>
  </r>
  <r>
    <x v="2"/>
    <x v="0"/>
    <s v="Asia"/>
    <s v="Strategic Partnership [战略伙伴关系]"/>
    <x v="1"/>
    <s v="CENTCOM"/>
    <x v="2"/>
    <x v="15"/>
    <n v="12"/>
    <s v="Military Exercise - Bilateral"/>
    <m/>
    <m/>
    <m/>
    <m/>
    <x v="0"/>
    <m/>
    <x v="1"/>
    <s v="Unknown"/>
    <s v="Army"/>
    <s v="Anti-terrorism"/>
    <m/>
    <x v="12"/>
    <m/>
    <m/>
    <s v="Defense White Paper Appendix"/>
    <m/>
  </r>
  <r>
    <x v="1"/>
    <x v="8"/>
    <s v="Europe and Central Asia"/>
    <s v="No Specific Relationship"/>
    <x v="5"/>
    <s v="EUCOM"/>
    <x v="59"/>
    <x v="15"/>
    <n v="12"/>
    <s v="BL - Abroad"/>
    <s v="Fu Tinggui"/>
    <m/>
    <s v="Beijing MR Political Commissar"/>
    <n v="6"/>
    <x v="1"/>
    <m/>
    <x v="0"/>
    <m/>
    <m/>
    <m/>
    <m/>
    <x v="12"/>
    <m/>
    <m/>
    <s v="Defense White Paper Appendix"/>
    <m/>
  </r>
  <r>
    <x v="1"/>
    <x v="7"/>
    <s v="West Asia and Africa"/>
    <s v="Strategic Partnership [战略伙伴关系]"/>
    <x v="0"/>
    <s v="AFRICOM"/>
    <x v="15"/>
    <x v="15"/>
    <n v="12"/>
    <s v="BL - Abroad"/>
    <s v="Li Yu"/>
    <m/>
    <s v="GSD Assistant Commander"/>
    <n v="5"/>
    <x v="1"/>
    <m/>
    <x v="0"/>
    <m/>
    <m/>
    <m/>
    <m/>
    <x v="12"/>
    <m/>
    <m/>
    <s v="Defense White Paper Appendix"/>
    <m/>
  </r>
  <r>
    <x v="1"/>
    <x v="8"/>
    <s v="Europe and Central Asia"/>
    <s v="No Specific Relationship"/>
    <x v="0"/>
    <s v="EUCOM"/>
    <x v="92"/>
    <x v="15"/>
    <n v="12"/>
    <s v="BL - Hosted"/>
    <s v="Cao Gangchuan"/>
    <m/>
    <s v="CMC Vice Chairman; Defense Minister"/>
    <n v="8"/>
    <x v="2"/>
    <s v="Chief of Air Staff"/>
    <x v="0"/>
    <m/>
    <m/>
    <m/>
    <m/>
    <x v="12"/>
    <m/>
    <m/>
    <s v="https://dlib.eastview.com/browse/doc/14713441"/>
    <m/>
  </r>
  <r>
    <x v="1"/>
    <x v="1"/>
    <s v="Asia"/>
    <s v="No Specific Relationship"/>
    <x v="3"/>
    <s v="INDOPACOM"/>
    <x v="5"/>
    <x v="15"/>
    <n v="12"/>
    <s v="BL - Abroad"/>
    <s v="Li Yu"/>
    <m/>
    <s v="GSD Assistant Commander"/>
    <n v="5"/>
    <x v="1"/>
    <m/>
    <x v="0"/>
    <m/>
    <m/>
    <m/>
    <m/>
    <x v="12"/>
    <m/>
    <m/>
    <s v="Defense White Paper Appendix"/>
    <m/>
  </r>
  <r>
    <x v="1"/>
    <x v="1"/>
    <s v="Asia"/>
    <s v="No Specific Relationship"/>
    <x v="0"/>
    <s v="INDOPACOM"/>
    <x v="23"/>
    <x v="15"/>
    <n v="12"/>
    <s v="BL - Abroad"/>
    <s v="Zhang Haiyang"/>
    <m/>
    <s v="Chengdu MR Political Commissar"/>
    <n v="6"/>
    <x v="1"/>
    <m/>
    <x v="0"/>
    <m/>
    <m/>
    <m/>
    <m/>
    <x v="12"/>
    <m/>
    <m/>
    <s v="Defense White Paper Appendix"/>
    <m/>
  </r>
  <r>
    <x v="1"/>
    <x v="8"/>
    <s v="Europe and Central Asia"/>
    <s v="No Specific Relationship"/>
    <x v="5"/>
    <s v="EUCOM"/>
    <x v="58"/>
    <x v="16"/>
    <n v="1"/>
    <s v="BL - Hosted"/>
    <s v="Cao Gangchuan"/>
    <m/>
    <s v="CMC Vice Chairman; Defense Minister"/>
    <n v="10"/>
    <x v="2"/>
    <s v="COGS"/>
    <x v="0"/>
    <m/>
    <m/>
    <m/>
    <m/>
    <x v="12"/>
    <m/>
    <m/>
    <s v="Defense White Paper Appendix"/>
    <m/>
  </r>
  <r>
    <x v="1"/>
    <x v="4"/>
    <s v="Asia"/>
    <s v="Comprehensive Cooperative Partnership [全面合作伙伴关系]"/>
    <x v="3"/>
    <s v="INDOPACOM"/>
    <x v="25"/>
    <x v="16"/>
    <n v="1"/>
    <s v="BL - Abroad"/>
    <s v="Ma Xiaotian"/>
    <m/>
    <s v="GSD DCGS"/>
    <n v="6"/>
    <x v="1"/>
    <m/>
    <x v="0"/>
    <m/>
    <m/>
    <m/>
    <m/>
    <x v="12"/>
    <m/>
    <m/>
    <s v="Defense White Paper Appendix"/>
    <m/>
  </r>
  <r>
    <x v="1"/>
    <x v="1"/>
    <s v="Asia"/>
    <s v="Strategic Partnership [战略伙伴关系]"/>
    <x v="3"/>
    <s v="INDOPACOM"/>
    <x v="5"/>
    <x v="16"/>
    <n v="1"/>
    <s v="BL - Hosted"/>
    <s v="Cao Gangchuan"/>
    <m/>
    <s v="CMC Vice Chairman; Defense Minister"/>
    <n v="10"/>
    <x v="2"/>
    <s v="Defense Minister"/>
    <x v="0"/>
    <m/>
    <m/>
    <m/>
    <m/>
    <x v="12"/>
    <m/>
    <m/>
    <s v="Defense White Paper Appendix"/>
    <m/>
  </r>
  <r>
    <x v="1"/>
    <x v="2"/>
    <s v="America and Oceania"/>
    <s v="No Specific Relationship"/>
    <x v="2"/>
    <s v="NORTHCOM"/>
    <x v="4"/>
    <x v="16"/>
    <n v="1"/>
    <s v="BL - Abroad"/>
    <s v="Ma Xiaotian"/>
    <m/>
    <s v="GSD DCGS"/>
    <n v="6"/>
    <x v="1"/>
    <m/>
    <x v="0"/>
    <m/>
    <m/>
    <m/>
    <m/>
    <x v="12"/>
    <m/>
    <m/>
    <s v="Defense White Paper Appendix"/>
    <m/>
  </r>
  <r>
    <x v="1"/>
    <x v="1"/>
    <s v="Asia"/>
    <s v="Strategic Partnership [战略伙伴关系]"/>
    <x v="0"/>
    <s v="INDOPACOM"/>
    <x v="8"/>
    <x v="16"/>
    <n v="2"/>
    <s v="BL - Hosted"/>
    <s v="Zhang Li"/>
    <m/>
    <s v="GLD Deputy Director"/>
    <n v="6"/>
    <x v="2"/>
    <s v="Chief of Staff Navy"/>
    <x v="0"/>
    <m/>
    <m/>
    <m/>
    <m/>
    <x v="12"/>
    <m/>
    <m/>
    <s v="Defense White Paper Appendix"/>
    <m/>
  </r>
  <r>
    <x v="1"/>
    <x v="4"/>
    <s v="Asia"/>
    <s v="Partnership of Friendship and Cooperation for Peace and Development [致力于和平发展的友好合作关系]"/>
    <x v="3"/>
    <s v="INDOPACOM"/>
    <x v="83"/>
    <x v="16"/>
    <n v="2"/>
    <s v="BL - Hosted"/>
    <s v="Cao Gangchuan"/>
    <m/>
    <s v="CMC Vice Chairman; Defense Minister"/>
    <n v="10"/>
    <x v="2"/>
    <s v="Former director-general of JDA"/>
    <x v="0"/>
    <m/>
    <m/>
    <m/>
    <m/>
    <x v="12"/>
    <m/>
    <m/>
    <s v="Defense White Paper Appendix"/>
    <m/>
  </r>
  <r>
    <x v="1"/>
    <x v="1"/>
    <s v="Asia"/>
    <s v="No Specific Relationship"/>
    <x v="0"/>
    <s v="INDOPACOM"/>
    <x v="39"/>
    <x v="16"/>
    <n v="2"/>
    <s v="BL - Hosted"/>
    <s v="Liang Guanglie"/>
    <m/>
    <s v="Defense Minister; CMC Member"/>
    <n v="8"/>
    <x v="2"/>
    <s v="COGS Army"/>
    <x v="0"/>
    <m/>
    <m/>
    <m/>
    <m/>
    <x v="12"/>
    <m/>
    <m/>
    <s v="Defense White Paper Appendix"/>
    <m/>
  </r>
  <r>
    <x v="1"/>
    <x v="10"/>
    <s v="America and Oceania"/>
    <s v="Strategic Partnership [战略伙伴关系]"/>
    <x v="1"/>
    <s v="SOUTHCOM"/>
    <x v="62"/>
    <x v="16"/>
    <n v="3"/>
    <s v="BL - Abroad"/>
    <s v="Zhang Li"/>
    <m/>
    <s v="GLD Deputy Director"/>
    <n v="6"/>
    <x v="1"/>
    <m/>
    <x v="0"/>
    <m/>
    <m/>
    <m/>
    <m/>
    <x v="12"/>
    <m/>
    <m/>
    <s v="Defense White Paper Appendix"/>
    <m/>
  </r>
  <r>
    <x v="1"/>
    <x v="10"/>
    <s v="America and Oceania"/>
    <s v="No Specific Relationship"/>
    <x v="0"/>
    <s v="SOUTHCOM"/>
    <x v="49"/>
    <x v="16"/>
    <n v="3"/>
    <s v="BL - Abroad"/>
    <s v="Zhao Keshi"/>
    <m/>
    <s v="Nanjing MR Commander"/>
    <n v="6"/>
    <x v="1"/>
    <m/>
    <x v="0"/>
    <m/>
    <m/>
    <m/>
    <m/>
    <x v="12"/>
    <m/>
    <m/>
    <s v="Defense White Paper Appendix"/>
    <m/>
  </r>
  <r>
    <x v="1"/>
    <x v="10"/>
    <s v="America and Oceania"/>
    <s v="No Specific Relationship"/>
    <x v="0"/>
    <s v="SOUTHCOM"/>
    <x v="51"/>
    <x v="16"/>
    <n v="3"/>
    <s v="BL - Abroad"/>
    <s v="Zhang Li"/>
    <m/>
    <s v="GLD Deputy Director"/>
    <n v="6"/>
    <x v="1"/>
    <m/>
    <x v="0"/>
    <m/>
    <m/>
    <m/>
    <m/>
    <x v="12"/>
    <m/>
    <m/>
    <s v="Defense White Paper Appendix"/>
    <m/>
  </r>
  <r>
    <x v="1"/>
    <x v="8"/>
    <s v="Europe and Central Asia"/>
    <s v="Comprehensive Partnership [全面伙伴关系]"/>
    <x v="5"/>
    <s v="EUCOM"/>
    <x v="22"/>
    <x v="16"/>
    <n v="3"/>
    <s v="BL - Hosted"/>
    <s v="Cao Gangchuan"/>
    <m/>
    <s v="CMC Vice Chairman; Defense Minister"/>
    <n v="10"/>
    <x v="2"/>
    <s v="Defense Minister"/>
    <x v="0"/>
    <m/>
    <m/>
    <m/>
    <m/>
    <x v="12"/>
    <m/>
    <m/>
    <s v="Defense White Paper Appendix"/>
    <m/>
  </r>
  <r>
    <x v="1"/>
    <x v="9"/>
    <s v="West Asia and Africa"/>
    <s v="No Specific Relationship"/>
    <x v="1"/>
    <s v="CENTCOM"/>
    <x v="101"/>
    <x v="16"/>
    <n v="3"/>
    <s v="BL - Hosted"/>
    <s v="Qiao Qingchen"/>
    <m/>
    <s v="PLAAF Commander; CMC Member"/>
    <n v="8"/>
    <x v="2"/>
    <s v="Air Force Commander"/>
    <x v="0"/>
    <m/>
    <m/>
    <m/>
    <m/>
    <x v="12"/>
    <m/>
    <m/>
    <s v="Defense White Paper Appendix"/>
    <m/>
  </r>
  <r>
    <x v="1"/>
    <x v="1"/>
    <s v="Asia"/>
    <s v="Comprehensive Cooperative Partnership [全面合作伙伴关系]"/>
    <x v="0"/>
    <s v="INDOPACOM"/>
    <x v="52"/>
    <x v="16"/>
    <n v="3"/>
    <s v="BL - Hosted"/>
    <s v="Cao Gangchuan"/>
    <m/>
    <s v="CMC Vice Chairman; Defense Minister"/>
    <n v="10"/>
    <x v="2"/>
    <s v="Defense Minister"/>
    <x v="0"/>
    <m/>
    <m/>
    <m/>
    <m/>
    <x v="12"/>
    <m/>
    <m/>
    <s v="Defense White Paper Appendix"/>
    <m/>
  </r>
  <r>
    <x v="2"/>
    <x v="0"/>
    <s v="Asia"/>
    <s v="Strategic Partnership [战略伙伴关系]"/>
    <x v="1"/>
    <s v="CENTCOM"/>
    <x v="2"/>
    <x v="16"/>
    <n v="3"/>
    <s v="Military Exercise - Multilateral"/>
    <m/>
    <m/>
    <m/>
    <m/>
    <x v="0"/>
    <m/>
    <x v="2"/>
    <s v="Aman"/>
    <s v="Navy"/>
    <s v="Maritime in Arabian Sea; Pakistan and 10 other countries"/>
    <m/>
    <x v="12"/>
    <m/>
    <m/>
    <s v="Defense White Paper Appendix"/>
    <m/>
  </r>
  <r>
    <x v="1"/>
    <x v="1"/>
    <s v="Asia"/>
    <s v="Strategic Cooperative Partnership [战略合作伙伴关系]"/>
    <x v="3"/>
    <s v="INDOPACOM"/>
    <x v="11"/>
    <x v="16"/>
    <n v="3"/>
    <s v="BL - Hosted"/>
    <s v="Liao Xilong"/>
    <m/>
    <s v="GLD Director; CMC Member"/>
    <n v="8"/>
    <x v="2"/>
    <s v="Deputy Chief of Staff"/>
    <x v="0"/>
    <m/>
    <m/>
    <m/>
    <m/>
    <x v="12"/>
    <m/>
    <m/>
    <s v="Defense White Paper Appendix"/>
    <m/>
  </r>
  <r>
    <x v="1"/>
    <x v="3"/>
    <s v="Europe and Central Asia"/>
    <s v="Strategic Partnership of Coordination [战略协作伙伴关系]"/>
    <x v="0"/>
    <s v="EUCOM"/>
    <x v="7"/>
    <x v="16"/>
    <n v="3"/>
    <s v="BL - Hosted"/>
    <s v="Cao Gangchuan"/>
    <m/>
    <s v="CMC Vice Chairman; Defense Minister"/>
    <n v="10"/>
    <x v="2"/>
    <s v="COGS"/>
    <x v="0"/>
    <m/>
    <m/>
    <m/>
    <m/>
    <x v="12"/>
    <m/>
    <m/>
    <s v="Defense White Paper Appendix"/>
    <m/>
  </r>
  <r>
    <x v="1"/>
    <x v="2"/>
    <s v="America and Oceania"/>
    <s v="No Specific Relationship"/>
    <x v="2"/>
    <s v="NORTHCOM"/>
    <x v="4"/>
    <x v="16"/>
    <n v="3"/>
    <s v="BL - Hosted"/>
    <s v="Guo Boxiong"/>
    <m/>
    <s v="CMC Vice Chairman"/>
    <n v="10"/>
    <x v="2"/>
    <m/>
    <x v="0"/>
    <m/>
    <m/>
    <m/>
    <m/>
    <x v="12"/>
    <m/>
    <m/>
    <s v="Defense White Paper Appendix"/>
    <m/>
  </r>
  <r>
    <x v="1"/>
    <x v="10"/>
    <s v="America and Oceania"/>
    <s v="Strategic Development Partnership [战略发展伙伴关系]"/>
    <x v="0"/>
    <s v="SOUTHCOM"/>
    <x v="56"/>
    <x v="16"/>
    <n v="3"/>
    <s v="BL - Abroad"/>
    <s v="Zhang Li"/>
    <m/>
    <s v="GLD Deputy Director"/>
    <n v="6"/>
    <x v="1"/>
    <m/>
    <x v="0"/>
    <m/>
    <m/>
    <m/>
    <m/>
    <x v="12"/>
    <m/>
    <m/>
    <s v="Defense White Paper Appendix"/>
    <m/>
  </r>
  <r>
    <x v="1"/>
    <x v="7"/>
    <s v="West Asia and Africa"/>
    <s v="No Specific Relationship"/>
    <x v="0"/>
    <s v="AFRICOM"/>
    <x v="86"/>
    <x v="16"/>
    <n v="3"/>
    <s v="BL - Hosted"/>
    <s v="Zhang Li"/>
    <m/>
    <s v="GLD Deputy Director"/>
    <n v="6"/>
    <x v="2"/>
    <s v="Chief of Staff of Defense Force"/>
    <x v="0"/>
    <m/>
    <m/>
    <m/>
    <m/>
    <x v="12"/>
    <m/>
    <m/>
    <s v="Defense White Paper Appendix"/>
    <m/>
  </r>
  <r>
    <x v="1"/>
    <x v="8"/>
    <s v="Europe and Central Asia"/>
    <s v="Strategic Partnership [战略伙伴关系]"/>
    <x v="0"/>
    <s v="EUCOM"/>
    <x v="34"/>
    <x v="16"/>
    <n v="4"/>
    <s v="BL - Hosted"/>
    <s v="Cao Gangchuan"/>
    <m/>
    <s v="CMC Vice Chairman; Defense Minister"/>
    <n v="8"/>
    <x v="2"/>
    <s v="Defense Minister"/>
    <x v="0"/>
    <m/>
    <m/>
    <m/>
    <m/>
    <x v="12"/>
    <m/>
    <m/>
    <s v="https://dlib.eastview.com/browse/doc/24491764"/>
    <m/>
  </r>
  <r>
    <x v="1"/>
    <x v="8"/>
    <s v="Europe and Central Asia"/>
    <s v="No Specific Relationship"/>
    <x v="5"/>
    <s v="EUCOM"/>
    <x v="68"/>
    <x v="16"/>
    <n v="4"/>
    <s v="BL - Abroad"/>
    <s v="Zhang Li"/>
    <m/>
    <s v="GLD Deputy Director"/>
    <n v="6"/>
    <x v="1"/>
    <m/>
    <x v="0"/>
    <m/>
    <m/>
    <m/>
    <m/>
    <x v="12"/>
    <m/>
    <m/>
    <s v="Defense White Paper Appendix"/>
    <m/>
  </r>
  <r>
    <x v="1"/>
    <x v="10"/>
    <s v="America and Oceania"/>
    <s v="No Specific Relationship"/>
    <x v="0"/>
    <s v="SOUTHCOM"/>
    <x v="42"/>
    <x v="16"/>
    <n v="4"/>
    <s v="BL - Hosted"/>
    <s v="Cao Gangchuan"/>
    <m/>
    <s v="CMC Vice Chairman; Defense Minister"/>
    <n v="10"/>
    <x v="2"/>
    <s v="Chief of the Armed Forces"/>
    <x v="0"/>
    <m/>
    <m/>
    <m/>
    <m/>
    <x v="12"/>
    <m/>
    <m/>
    <s v="Defense White Paper Appendix"/>
    <m/>
  </r>
  <r>
    <x v="1"/>
    <x v="1"/>
    <s v="Asia"/>
    <s v="Comprehensive Cooperative Partnership [全面合作伙伴关系]"/>
    <x v="0"/>
    <s v="INDOPACOM"/>
    <x v="94"/>
    <x v="16"/>
    <n v="4"/>
    <s v="BL - Hosted"/>
    <s v="Cao Gangchuan"/>
    <m/>
    <s v="CMC Vice Chairman; Defense Minister"/>
    <n v="10"/>
    <x v="2"/>
    <s v="Secretary of Defense"/>
    <x v="0"/>
    <m/>
    <m/>
    <m/>
    <m/>
    <x v="12"/>
    <m/>
    <m/>
    <s v="Defense White Paper Appendix"/>
    <m/>
  </r>
  <r>
    <x v="1"/>
    <x v="8"/>
    <s v="Europe and Central Asia"/>
    <s v="Comprehensive Partnership [全面伙伴关系]"/>
    <x v="5"/>
    <s v="EUCOM"/>
    <x v="22"/>
    <x v="16"/>
    <n v="4"/>
    <s v="BL - Abroad"/>
    <s v="Wu Shengli"/>
    <m/>
    <s v="PLAN Commander; CMC Member"/>
    <n v="8"/>
    <x v="1"/>
    <m/>
    <x v="0"/>
    <m/>
    <m/>
    <m/>
    <m/>
    <x v="12"/>
    <m/>
    <m/>
    <s v="Defense White Paper Appendix"/>
    <m/>
  </r>
  <r>
    <x v="1"/>
    <x v="7"/>
    <s v="West Asia and Africa"/>
    <s v="No Specific Relationship"/>
    <x v="0"/>
    <s v="AFRICOM"/>
    <x v="67"/>
    <x v="16"/>
    <n v="4"/>
    <s v="BL - Hosted"/>
    <s v="Cao Gangchuan"/>
    <m/>
    <s v="CMC Vice Chairman; Defense Minister"/>
    <n v="10"/>
    <x v="2"/>
    <s v="Defense Minister"/>
    <x v="0"/>
    <m/>
    <m/>
    <m/>
    <m/>
    <x v="12"/>
    <m/>
    <m/>
    <s v="Defense White Paper Appendix"/>
    <m/>
  </r>
  <r>
    <x v="1"/>
    <x v="8"/>
    <s v="Europe and Central Asia"/>
    <s v="No Specific Relationship"/>
    <x v="5"/>
    <s v="EUCOM"/>
    <x v="18"/>
    <x v="16"/>
    <n v="4"/>
    <s v="BL - Hosted"/>
    <s v="Cao Gangchuan"/>
    <m/>
    <s v="CMC Vice Chairman; Defense Minister"/>
    <n v="10"/>
    <x v="2"/>
    <s v="Defense Minister"/>
    <x v="0"/>
    <m/>
    <m/>
    <m/>
    <m/>
    <x v="12"/>
    <m/>
    <m/>
    <s v="Defense White Paper Appendix"/>
    <m/>
  </r>
  <r>
    <x v="1"/>
    <x v="1"/>
    <s v="Asia"/>
    <s v="Strategic Partnership [战略伙伴关系]"/>
    <x v="0"/>
    <s v="INDOPACOM"/>
    <x v="8"/>
    <x v="16"/>
    <n v="4"/>
    <s v="BL - Hosted"/>
    <s v="Zhang Li"/>
    <m/>
    <s v="GLD Deputy Director"/>
    <n v="6"/>
    <x v="2"/>
    <s v="General Secretary of Defense Ministry"/>
    <x v="0"/>
    <m/>
    <m/>
    <m/>
    <m/>
    <x v="12"/>
    <m/>
    <m/>
    <s v="Defense White Paper Appendix"/>
    <m/>
  </r>
  <r>
    <x v="1"/>
    <x v="7"/>
    <s v="West Asia and Africa"/>
    <s v="No Specific Relationship"/>
    <x v="1"/>
    <s v="AFRICOM"/>
    <x v="27"/>
    <x v="16"/>
    <n v="4"/>
    <s v="BL - Abroad"/>
    <s v="Zhang Li"/>
    <m/>
    <s v="GLD Deputy Director"/>
    <n v="6"/>
    <x v="1"/>
    <m/>
    <x v="0"/>
    <m/>
    <m/>
    <m/>
    <m/>
    <x v="12"/>
    <m/>
    <m/>
    <s v="Defense White Paper Appendix"/>
    <m/>
  </r>
  <r>
    <x v="1"/>
    <x v="7"/>
    <s v="West Asia and Africa"/>
    <s v="No Specific Relationship"/>
    <x v="0"/>
    <s v="AFRICOM"/>
    <x v="84"/>
    <x v="16"/>
    <n v="4"/>
    <s v="BL - Abroad"/>
    <s v="Deng Changyou"/>
    <m/>
    <s v="PLAAF Political Commissar"/>
    <n v="6"/>
    <x v="1"/>
    <m/>
    <x v="0"/>
    <m/>
    <m/>
    <m/>
    <m/>
    <x v="12"/>
    <m/>
    <m/>
    <s v="Defense White Paper Appendix"/>
    <m/>
  </r>
  <r>
    <x v="1"/>
    <x v="7"/>
    <s v="West Asia and Africa"/>
    <s v="Strategic Partnership [战略伙伴关系]"/>
    <x v="0"/>
    <s v="AFRICOM"/>
    <x v="36"/>
    <x v="16"/>
    <n v="4"/>
    <s v="BL - Hosted"/>
    <s v="Cao Gangchuan"/>
    <m/>
    <s v="CMC Vice Chairman; Defense Minister"/>
    <n v="10"/>
    <x v="2"/>
    <s v="Defense Minister"/>
    <x v="0"/>
    <m/>
    <m/>
    <m/>
    <m/>
    <x v="12"/>
    <m/>
    <m/>
    <s v="Defense White Paper Appendix"/>
    <m/>
  </r>
  <r>
    <x v="1"/>
    <x v="0"/>
    <s v="Asia"/>
    <s v="Strategic Partnership [战略伙伴关系]"/>
    <x v="1"/>
    <s v="CENTCOM"/>
    <x v="2"/>
    <x v="16"/>
    <n v="4"/>
    <s v="BL - Hosted"/>
    <s v="Cao Gangchuan"/>
    <m/>
    <s v="CMC Vice Chairman; Defense Minister"/>
    <n v="10"/>
    <x v="2"/>
    <s v="Chairman JCS"/>
    <x v="0"/>
    <m/>
    <m/>
    <m/>
    <m/>
    <x v="12"/>
    <m/>
    <m/>
    <s v="Defense White Paper Appendix"/>
    <m/>
  </r>
  <r>
    <x v="1"/>
    <x v="4"/>
    <s v="Asia"/>
    <s v="Comprehensive Cooperative Partnership [全面合作伙伴关系]"/>
    <x v="3"/>
    <s v="INDOPACOM"/>
    <x v="25"/>
    <x v="16"/>
    <n v="4"/>
    <s v="BL - Hosted"/>
    <s v="Liang Guanglie"/>
    <m/>
    <s v="Defense Minister; CMC Member"/>
    <n v="8"/>
    <x v="2"/>
    <s v="Defense Minister"/>
    <x v="0"/>
    <m/>
    <m/>
    <m/>
    <m/>
    <x v="12"/>
    <m/>
    <m/>
    <s v="Defense White Paper Appendix"/>
    <m/>
  </r>
  <r>
    <x v="1"/>
    <x v="7"/>
    <s v="West Asia and Africa"/>
    <s v="No Specific Relationship"/>
    <x v="0"/>
    <s v="AFRICOM"/>
    <x v="74"/>
    <x v="16"/>
    <n v="4"/>
    <s v="BL - Hosted"/>
    <s v="Liang Guanglie"/>
    <m/>
    <s v="Defense Minister; CMC Member"/>
    <n v="8"/>
    <x v="2"/>
    <s v="Chief of the Joint Staff"/>
    <x v="0"/>
    <m/>
    <m/>
    <m/>
    <m/>
    <x v="12"/>
    <m/>
    <m/>
    <s v="Defense White Paper Appendix"/>
    <m/>
  </r>
  <r>
    <x v="1"/>
    <x v="8"/>
    <s v="Europe and Central Asia"/>
    <s v="No Specific Relationship"/>
    <x v="0"/>
    <s v="EUCOM"/>
    <x v="78"/>
    <x v="16"/>
    <n v="4"/>
    <s v="BL - Hosted"/>
    <s v="Qiao Qingchen"/>
    <m/>
    <s v="PLAAF Commander; CMC Member"/>
    <n v="8"/>
    <x v="2"/>
    <s v="Air Force Commander"/>
    <x v="0"/>
    <m/>
    <m/>
    <m/>
    <m/>
    <x v="12"/>
    <m/>
    <m/>
    <s v="https://dlib.eastview.com/browse/doc/24536821"/>
    <m/>
  </r>
  <r>
    <x v="1"/>
    <x v="8"/>
    <s v="Europe and Central Asia"/>
    <s v="Comprehensive Strategic Partnership [全面战略伙伴关系]"/>
    <x v="5"/>
    <s v="EUCOM"/>
    <x v="21"/>
    <x v="16"/>
    <n v="4"/>
    <s v="BL - Abroad"/>
    <s v="Cao Gangchuan"/>
    <m/>
    <s v="CMC Vice Chairman; Defense Minister"/>
    <n v="8"/>
    <x v="2"/>
    <s v="COGS"/>
    <x v="0"/>
    <m/>
    <m/>
    <m/>
    <m/>
    <x v="12"/>
    <m/>
    <m/>
    <s v="Defense White Paper Appendix"/>
    <m/>
  </r>
  <r>
    <x v="1"/>
    <x v="2"/>
    <s v="America and Oceania"/>
    <s v="No Specific Relationship"/>
    <x v="2"/>
    <s v="NORTHCOM"/>
    <x v="4"/>
    <x v="16"/>
    <n v="4"/>
    <s v="BL - Abroad"/>
    <s v="Wu Shengli"/>
    <m/>
    <s v="PLAN Commander; CMC Member"/>
    <n v="8"/>
    <x v="2"/>
    <s v="Chief of Staff Air Force"/>
    <x v="0"/>
    <m/>
    <m/>
    <m/>
    <m/>
    <x v="12"/>
    <m/>
    <m/>
    <s v="Defense White Paper Appendix"/>
    <m/>
  </r>
  <r>
    <x v="1"/>
    <x v="7"/>
    <s v="West Asia and Africa"/>
    <s v="No Specific Relationship"/>
    <x v="0"/>
    <s v="AFRICOM"/>
    <x v="61"/>
    <x v="16"/>
    <n v="4"/>
    <s v="BL - Abroad"/>
    <s v="Deng Changyou"/>
    <m/>
    <s v="PLAAF Political Commissar"/>
    <n v="6"/>
    <x v="1"/>
    <m/>
    <x v="0"/>
    <m/>
    <m/>
    <m/>
    <m/>
    <x v="12"/>
    <m/>
    <m/>
    <s v="Defense White Paper Appendix"/>
    <m/>
  </r>
  <r>
    <x v="1"/>
    <x v="7"/>
    <s v="West Asia and Africa"/>
    <s v="No Specific Relationship"/>
    <x v="0"/>
    <s v="AFRICOM"/>
    <x v="86"/>
    <x v="16"/>
    <n v="4"/>
    <s v="BL - Abroad"/>
    <s v="Deng Changyou"/>
    <m/>
    <s v="PLAAF Political Commissar"/>
    <n v="6"/>
    <x v="1"/>
    <m/>
    <x v="0"/>
    <m/>
    <m/>
    <m/>
    <m/>
    <x v="12"/>
    <m/>
    <m/>
    <s v="Defense White Paper Appendix"/>
    <m/>
  </r>
  <r>
    <x v="1"/>
    <x v="10"/>
    <s v="America and Oceania"/>
    <s v="Strategic Partnership [战略伙伴关系]"/>
    <x v="1"/>
    <s v="SOUTHCOM"/>
    <x v="62"/>
    <x v="16"/>
    <n v="5"/>
    <s v="BL - Abroad"/>
    <s v="Cao Gangchuan"/>
    <m/>
    <s v="CMC Vice Chairman; Defense Minister"/>
    <n v="10"/>
    <x v="1"/>
    <s v="Defense Minister"/>
    <x v="0"/>
    <m/>
    <m/>
    <m/>
    <m/>
    <x v="12"/>
    <m/>
    <m/>
    <s v="Defense White Paper Appendix"/>
    <m/>
  </r>
  <r>
    <x v="1"/>
    <x v="10"/>
    <s v="America and Oceania"/>
    <s v="Strategic Partnership [战略伙伴关系]"/>
    <x v="1"/>
    <s v="SOUTHCOM"/>
    <x v="62"/>
    <x v="16"/>
    <n v="5"/>
    <s v="BL - Hosted"/>
    <s v="Cao Gangchuan"/>
    <m/>
    <s v="CMC Vice Chairman; Defense Minister"/>
    <n v="10"/>
    <x v="2"/>
    <s v="Defense Minister"/>
    <x v="0"/>
    <m/>
    <m/>
    <m/>
    <m/>
    <x v="12"/>
    <m/>
    <m/>
    <s v="Defense White Paper Appendix"/>
    <m/>
  </r>
  <r>
    <x v="1"/>
    <x v="5"/>
    <s v="America and Oceania"/>
    <s v="No Specific Relationship"/>
    <x v="4"/>
    <s v="INDOPACOM"/>
    <x v="12"/>
    <x v="16"/>
    <n v="5"/>
    <s v="BL - Abroad"/>
    <s v="Zhang Yang"/>
    <m/>
    <s v="Guangzhou MR Political Commissar"/>
    <n v="6"/>
    <x v="1"/>
    <m/>
    <x v="0"/>
    <m/>
    <m/>
    <m/>
    <m/>
    <x v="12"/>
    <m/>
    <m/>
    <s v="Defense White Paper Appendix"/>
    <m/>
  </r>
  <r>
    <x v="1"/>
    <x v="8"/>
    <s v="Europe and Central Asia"/>
    <s v="No Specific Relationship"/>
    <x v="0"/>
    <s v="EUCOM"/>
    <x v="57"/>
    <x v="16"/>
    <n v="5"/>
    <s v="BL - Hosted"/>
    <s v="Cao Gangchuan"/>
    <m/>
    <s v="CMC Vice Chairman; Defense Minister"/>
    <n v="10"/>
    <x v="2"/>
    <s v="COGS"/>
    <x v="0"/>
    <m/>
    <m/>
    <m/>
    <m/>
    <x v="12"/>
    <m/>
    <m/>
    <s v="Defense White Paper Appendix"/>
    <m/>
  </r>
  <r>
    <x v="1"/>
    <x v="0"/>
    <s v="Asia"/>
    <s v="Comprehensive Cooperative Partnership [全面合作伙伴关系]"/>
    <x v="0"/>
    <s v="INDOPACOM"/>
    <x v="0"/>
    <x v="16"/>
    <n v="5"/>
    <s v="BL - Hosted"/>
    <s v="Cao Gangchuan"/>
    <m/>
    <s v="CMC Vice Chairman; Defense Minister"/>
    <n v="10"/>
    <x v="2"/>
    <s v="Air Force Chief of Staff"/>
    <x v="0"/>
    <m/>
    <m/>
    <m/>
    <m/>
    <x v="12"/>
    <m/>
    <m/>
    <s v="Defense White Paper Appendix"/>
    <m/>
  </r>
  <r>
    <x v="1"/>
    <x v="10"/>
    <s v="America and Oceania"/>
    <s v="Comprehensive Strategic Partnership [全面战略伙伴关系]"/>
    <x v="0"/>
    <s v="SOUTHCOM"/>
    <x v="43"/>
    <x v="16"/>
    <n v="5"/>
    <s v="BL - Abroad"/>
    <s v="Ma Xiaotian"/>
    <m/>
    <s v="GSD DCGS"/>
    <n v="6"/>
    <x v="1"/>
    <m/>
    <x v="0"/>
    <m/>
    <m/>
    <m/>
    <m/>
    <x v="12"/>
    <m/>
    <m/>
    <s v="Defense White Paper Appendix"/>
    <m/>
  </r>
  <r>
    <x v="1"/>
    <x v="10"/>
    <s v="America and Oceania"/>
    <s v="Comprehensive Partnership [全面伙伴关系]"/>
    <x v="0"/>
    <s v="SOUTHCOM"/>
    <x v="66"/>
    <x v="16"/>
    <n v="5"/>
    <s v="BL - Abroad"/>
    <s v="Cao Gangchuan"/>
    <m/>
    <s v="CMC Vice Chairman; Defense Minister"/>
    <n v="10"/>
    <x v="1"/>
    <s v="Army Commander"/>
    <x v="0"/>
    <m/>
    <m/>
    <m/>
    <m/>
    <x v="12"/>
    <m/>
    <m/>
    <s v="Defense White Paper Appendix"/>
    <s v="MISCODED as hosted visit in V3.0"/>
  </r>
  <r>
    <x v="1"/>
    <x v="10"/>
    <s v="America and Oceania"/>
    <s v="No Specific Relationship"/>
    <x v="0"/>
    <s v="SOUTHCOM"/>
    <x v="49"/>
    <x v="16"/>
    <n v="5"/>
    <s v="BL - Abroad"/>
    <s v="Cao Gangchuan"/>
    <m/>
    <s v="CMC Vice Chairman; Defense Minister"/>
    <n v="10"/>
    <x v="1"/>
    <m/>
    <x v="0"/>
    <m/>
    <m/>
    <m/>
    <m/>
    <x v="12"/>
    <m/>
    <m/>
    <s v="Defense White Paper Appendix"/>
    <m/>
  </r>
  <r>
    <x v="1"/>
    <x v="8"/>
    <s v="Europe and Central Asia"/>
    <s v="Comprehensive Strategic Partnership [全面战略伙伴关系]"/>
    <x v="5"/>
    <s v="EUCOM"/>
    <x v="29"/>
    <x v="16"/>
    <n v="5"/>
    <s v="BL - Abroad"/>
    <s v="Cao Gangchuan"/>
    <m/>
    <s v="CMC Vice Chairman; Defense Minister"/>
    <n v="10"/>
    <x v="1"/>
    <s v="Defense Minister"/>
    <x v="0"/>
    <m/>
    <m/>
    <m/>
    <m/>
    <x v="12"/>
    <m/>
    <m/>
    <s v="Defense White Paper Appendix"/>
    <m/>
  </r>
  <r>
    <x v="1"/>
    <x v="8"/>
    <s v="Europe and Central Asia"/>
    <s v="No Specific Relationship"/>
    <x v="5"/>
    <s v="EUCOM"/>
    <x v="82"/>
    <x v="16"/>
    <n v="5"/>
    <s v="BL - Hosted"/>
    <s v="Cao Gangchuan"/>
    <m/>
    <s v="CMC Vice Chairman; Defense Minister"/>
    <n v="10"/>
    <x v="2"/>
    <s v="Defense Minister"/>
    <x v="0"/>
    <m/>
    <m/>
    <m/>
    <m/>
    <x v="12"/>
    <m/>
    <m/>
    <s v="Defense White Paper Appendix"/>
    <m/>
  </r>
  <r>
    <x v="1"/>
    <x v="0"/>
    <s v="Asia"/>
    <s v="Strategic Partnership for Peace and Prosperity [战略伙伴关系]"/>
    <x v="0"/>
    <s v="INDOPACOM"/>
    <x v="6"/>
    <x v="16"/>
    <n v="5"/>
    <s v="BL - Hosted"/>
    <s v="Guo Boxiong"/>
    <m/>
    <s v="CMC Vice Chairman"/>
    <n v="10"/>
    <x v="2"/>
    <s v="Army Chief of Staff"/>
    <x v="0"/>
    <m/>
    <m/>
    <m/>
    <m/>
    <x v="12"/>
    <m/>
    <m/>
    <s v="Defense White Paper Appendix"/>
    <m/>
  </r>
  <r>
    <x v="1"/>
    <x v="8"/>
    <s v="Europe and Central Asia"/>
    <s v="Comprehensive Strategic Partnership [全面战略伙伴关系]"/>
    <x v="5"/>
    <s v="EUCOM"/>
    <x v="20"/>
    <x v="16"/>
    <n v="5"/>
    <s v="BL - Abroad"/>
    <s v="Chang Wanquan"/>
    <m/>
    <s v="GAD Director; CMC Member"/>
    <n v="8"/>
    <x v="1"/>
    <m/>
    <x v="0"/>
    <m/>
    <m/>
    <m/>
    <m/>
    <x v="12"/>
    <m/>
    <m/>
    <s v="Defense White Paper Appendix"/>
    <m/>
  </r>
  <r>
    <x v="1"/>
    <x v="2"/>
    <s v="America and Oceania"/>
    <s v="Strategic Cooperative Partnership [战略合作伙伴关系]"/>
    <x v="0"/>
    <s v="NORTHCOM"/>
    <x v="77"/>
    <x v="16"/>
    <n v="5"/>
    <s v="BL - Abroad"/>
    <s v="Ma Xiaotian"/>
    <m/>
    <s v="GSD DCGS"/>
    <n v="6"/>
    <x v="1"/>
    <m/>
    <x v="0"/>
    <m/>
    <m/>
    <m/>
    <m/>
    <x v="12"/>
    <m/>
    <m/>
    <s v="Defense White Paper Appendix"/>
    <m/>
  </r>
  <r>
    <x v="1"/>
    <x v="4"/>
    <s v="Asia"/>
    <s v="No Specific Relationship"/>
    <x v="0"/>
    <s v="INDOPACOM"/>
    <x v="53"/>
    <x v="16"/>
    <n v="5"/>
    <s v="BL - Abroad"/>
    <s v="Chen Bingde"/>
    <m/>
    <s v="GSD Commander; CMC Member"/>
    <n v="8"/>
    <x v="1"/>
    <m/>
    <x v="0"/>
    <m/>
    <m/>
    <m/>
    <m/>
    <x v="12"/>
    <m/>
    <m/>
    <s v="Defense White Paper Appendix"/>
    <m/>
  </r>
  <r>
    <x v="1"/>
    <x v="7"/>
    <s v="West Asia and Africa"/>
    <s v="No Specific Relationship"/>
    <x v="1"/>
    <s v="AFRICOM"/>
    <x v="27"/>
    <x v="16"/>
    <n v="5"/>
    <s v="BL - Hosted"/>
    <s v="Cao Gangchuan"/>
    <m/>
    <s v="CMC Vice Chairman; Defense Minister"/>
    <n v="10"/>
    <x v="2"/>
    <s v="Inspector General of Armed Forces"/>
    <x v="0"/>
    <m/>
    <m/>
    <m/>
    <m/>
    <x v="12"/>
    <m/>
    <m/>
    <s v="Defense White Paper Appendix"/>
    <m/>
  </r>
  <r>
    <x v="1"/>
    <x v="7"/>
    <s v="West Asia and Africa"/>
    <s v="No Specific Relationship"/>
    <x v="0"/>
    <s v="AFRICOM"/>
    <x v="69"/>
    <x v="16"/>
    <n v="5"/>
    <s v="BL - Hosted"/>
    <s v="Guo Boxiong"/>
    <m/>
    <s v="CMC Vice Chairman"/>
    <n v="10"/>
    <x v="2"/>
    <s v="Chief of Defense Force"/>
    <x v="0"/>
    <m/>
    <m/>
    <m/>
    <m/>
    <x v="12"/>
    <m/>
    <m/>
    <s v="Defense White Paper Appendix"/>
    <m/>
  </r>
  <r>
    <x v="1"/>
    <x v="5"/>
    <s v="America and Oceania"/>
    <s v="No Specific Relationship"/>
    <x v="4"/>
    <s v="INDOPACOM"/>
    <x v="13"/>
    <x v="16"/>
    <n v="5"/>
    <s v="BL - Abroad"/>
    <s v="Zhang Yang"/>
    <m/>
    <s v="Guangzhou MR Political Commissar"/>
    <n v="6"/>
    <x v="1"/>
    <m/>
    <x v="0"/>
    <m/>
    <m/>
    <m/>
    <m/>
    <x v="12"/>
    <m/>
    <m/>
    <s v="Defense White Paper Appendix"/>
    <m/>
  </r>
  <r>
    <x v="1"/>
    <x v="1"/>
    <s v="Asia"/>
    <s v="Strategic Cooperative Partnership [战略合作伙伴关系]"/>
    <x v="3"/>
    <s v="INDOPACOM"/>
    <x v="11"/>
    <x v="16"/>
    <n v="5"/>
    <s v="BL - Abroad"/>
    <s v="Ma Xiaotian"/>
    <m/>
    <s v="GSD DCGS"/>
    <n v="6"/>
    <x v="1"/>
    <m/>
    <x v="0"/>
    <m/>
    <m/>
    <m/>
    <m/>
    <x v="12"/>
    <m/>
    <m/>
    <s v="Defense White Paper Appendix"/>
    <m/>
  </r>
  <r>
    <x v="1"/>
    <x v="7"/>
    <s v="West Asia and Africa"/>
    <s v="No Specific Relationship"/>
    <x v="0"/>
    <s v="AFRICOM"/>
    <x v="129"/>
    <x v="16"/>
    <n v="5"/>
    <s v="BL - Abroad"/>
    <s v="Zhang Youxia"/>
    <m/>
    <s v="Shenyang MR Commander"/>
    <n v="6"/>
    <x v="1"/>
    <m/>
    <x v="0"/>
    <m/>
    <m/>
    <m/>
    <m/>
    <x v="12"/>
    <m/>
    <m/>
    <s v="Defense White Paper Appendix"/>
    <m/>
  </r>
  <r>
    <x v="2"/>
    <x v="6"/>
    <s v="Europe and Central Asia"/>
    <s v="Member"/>
    <x v="0"/>
    <s v="CENTCOM"/>
    <x v="14"/>
    <x v="16"/>
    <n v="5"/>
    <s v="Military Exercise - Multilateral"/>
    <m/>
    <m/>
    <m/>
    <m/>
    <x v="0"/>
    <m/>
    <x v="1"/>
    <s v="Issyuk-Kul Antiterror-2007"/>
    <s v="Army"/>
    <s v="anti-terrorism exercise in Kyrgyzstan; Countries: Russia, China, Tajikistan, Kazakhstan, Uzbekistan and Kyrgyzstan; intelligence services, special forces, and law enforcement; exercises in mountains and hostage scenarios"/>
    <m/>
    <x v="12"/>
    <m/>
    <m/>
    <s v="de Haas Journal of Slavic Military Studies 29:3 (2016)"/>
    <m/>
  </r>
  <r>
    <x v="1"/>
    <x v="8"/>
    <s v="Europe and Central Asia"/>
    <s v="No Specific Relationship"/>
    <x v="0"/>
    <s v="EUCOM"/>
    <x v="112"/>
    <x v="16"/>
    <n v="5"/>
    <s v="BL - Hosted"/>
    <s v="Cao Gangchuan"/>
    <m/>
    <s v="CMC Vice Chairman; Defense Minister"/>
    <n v="10"/>
    <x v="2"/>
    <s v="COGS"/>
    <x v="0"/>
    <m/>
    <m/>
    <m/>
    <m/>
    <x v="12"/>
    <m/>
    <m/>
    <s v="Defense White Paper Appendix"/>
    <m/>
  </r>
  <r>
    <x v="0"/>
    <x v="1"/>
    <s v="Asia"/>
    <s v="No Specific Relationship"/>
    <x v="0"/>
    <s v="INDOPACOM"/>
    <x v="39"/>
    <x v="16"/>
    <n v="5"/>
    <s v="Port Call - Friendly Visit"/>
    <m/>
    <m/>
    <m/>
    <m/>
    <x v="0"/>
    <m/>
    <x v="0"/>
    <m/>
    <m/>
    <m/>
    <s v="NETF"/>
    <x v="27"/>
    <m/>
    <s v="PLAN Frigate IMDEX07"/>
    <s v="https://jamestown.org/program/the-chinese-navys-emerging-support-network-in-the-indian-ocean/"/>
    <m/>
  </r>
  <r>
    <x v="1"/>
    <x v="8"/>
    <s v="Europe and Central Asia"/>
    <s v="No Specific Relationship"/>
    <x v="5"/>
    <s v="EUCOM"/>
    <x v="40"/>
    <x v="16"/>
    <n v="5"/>
    <s v="BL - Hosted"/>
    <s v="Cao Gangchuan"/>
    <m/>
    <s v="CMC Vice Chairman; Defense Minister"/>
    <n v="10"/>
    <x v="2"/>
    <s v="Defense Minister"/>
    <x v="0"/>
    <m/>
    <m/>
    <m/>
    <m/>
    <x v="12"/>
    <m/>
    <m/>
    <s v="Defense White Paper Appendix"/>
    <m/>
  </r>
  <r>
    <x v="1"/>
    <x v="4"/>
    <s v="Asia"/>
    <s v="Comprehensive Cooperative Partnership [全面合作伙伴关系]"/>
    <x v="3"/>
    <s v="INDOPACOM"/>
    <x v="25"/>
    <x v="16"/>
    <n v="5"/>
    <s v="BL - Abroad"/>
    <s v="Chen Bingde"/>
    <m/>
    <s v="GSD Commander; CMC Member"/>
    <n v="8"/>
    <x v="1"/>
    <m/>
    <x v="0"/>
    <m/>
    <m/>
    <m/>
    <m/>
    <x v="12"/>
    <m/>
    <m/>
    <s v="Defense White Paper Appendix"/>
    <m/>
  </r>
  <r>
    <x v="1"/>
    <x v="7"/>
    <s v="West Asia and Africa"/>
    <s v="No Specific Relationship"/>
    <x v="0"/>
    <s v="AFRICOM"/>
    <x v="74"/>
    <x v="16"/>
    <n v="5"/>
    <s v="BL - Abroad"/>
    <s v="Zhang Youxia"/>
    <m/>
    <s v="Shenyang MR Commander"/>
    <n v="6"/>
    <x v="1"/>
    <m/>
    <x v="0"/>
    <m/>
    <m/>
    <m/>
    <m/>
    <x v="12"/>
    <m/>
    <m/>
    <s v="Defense White Paper Appendix"/>
    <m/>
  </r>
  <r>
    <x v="1"/>
    <x v="8"/>
    <s v="Europe and Central Asia"/>
    <s v="No Specific Relationship"/>
    <x v="0"/>
    <s v="EUCOM"/>
    <x v="78"/>
    <x v="16"/>
    <n v="5"/>
    <s v="BL - Abroad"/>
    <s v="Cao Gangchuan"/>
    <m/>
    <s v="CMC Vice Chairman; Defense Minister"/>
    <n v="10"/>
    <x v="1"/>
    <m/>
    <x v="0"/>
    <m/>
    <m/>
    <m/>
    <m/>
    <x v="12"/>
    <m/>
    <m/>
    <s v="Defense White Paper Appendix"/>
    <m/>
  </r>
  <r>
    <x v="1"/>
    <x v="7"/>
    <s v="West Asia and Africa"/>
    <s v="No Specific Relationship"/>
    <x v="0"/>
    <s v="AFRICOM"/>
    <x v="16"/>
    <x v="16"/>
    <n v="5"/>
    <s v="BL - Hosted"/>
    <s v="Cao Gangchuan"/>
    <m/>
    <s v="CMC Vice Chairman; Defense Minister"/>
    <n v="10"/>
    <x v="2"/>
    <s v="Defense Minister"/>
    <x v="0"/>
    <m/>
    <m/>
    <m/>
    <m/>
    <x v="12"/>
    <m/>
    <m/>
    <s v="Defense White Paper Appendix"/>
    <m/>
  </r>
  <r>
    <x v="1"/>
    <x v="1"/>
    <s v="Asia"/>
    <s v="Strategic Partnership [战略伙伴关系]"/>
    <x v="3"/>
    <s v="INDOPACOM"/>
    <x v="5"/>
    <x v="16"/>
    <n v="5"/>
    <s v="BL - Hosted"/>
    <s v="Cao Gangchuan"/>
    <m/>
    <s v="CMC Vice Chairman; Defense Minister"/>
    <n v="10"/>
    <x v="2"/>
    <s v="Army Commander"/>
    <x v="0"/>
    <m/>
    <m/>
    <m/>
    <m/>
    <x v="12"/>
    <m/>
    <m/>
    <s v="Defense White Paper Appendix"/>
    <m/>
  </r>
  <r>
    <x v="1"/>
    <x v="1"/>
    <s v="Asia"/>
    <s v="Strategic Partnership [战略伙伴关系]"/>
    <x v="3"/>
    <s v="INDOPACOM"/>
    <x v="5"/>
    <x v="16"/>
    <n v="5"/>
    <s v="BL - Hosted"/>
    <s v="Cao Gangchuan"/>
    <m/>
    <s v="CMC Vice Chairman; Defense Minister"/>
    <n v="10"/>
    <x v="1"/>
    <m/>
    <x v="0"/>
    <m/>
    <m/>
    <m/>
    <m/>
    <x v="12"/>
    <m/>
    <m/>
    <s v="Defense White Paper Appendix"/>
    <m/>
  </r>
  <r>
    <x v="1"/>
    <x v="7"/>
    <s v="West Asia and Africa"/>
    <s v="No Specific Relationship"/>
    <x v="1"/>
    <s v="AFRICOM"/>
    <x v="85"/>
    <x v="16"/>
    <n v="5"/>
    <s v="BL - Hosted"/>
    <s v="Cao Gangchuan"/>
    <m/>
    <s v="CMC Vice Chairman; Defense Minister"/>
    <n v="10"/>
    <x v="2"/>
    <s v="Navy Chief"/>
    <x v="0"/>
    <m/>
    <m/>
    <m/>
    <m/>
    <x v="12"/>
    <m/>
    <m/>
    <s v="Defense White Paper Appendix"/>
    <m/>
  </r>
  <r>
    <x v="1"/>
    <x v="8"/>
    <s v="Europe and Central Asia"/>
    <s v="Comprehensive Strategic Partnership [全面战略伙伴关系]"/>
    <x v="5"/>
    <s v="EUCOM"/>
    <x v="21"/>
    <x v="16"/>
    <n v="5"/>
    <s v="BL - Hosted"/>
    <s v="Wu Shengli"/>
    <m/>
    <s v="PLAN Commander; CMC Member"/>
    <n v="8"/>
    <x v="1"/>
    <m/>
    <x v="0"/>
    <m/>
    <m/>
    <m/>
    <m/>
    <x v="12"/>
    <m/>
    <m/>
    <s v="Defense White Paper Appendix"/>
    <m/>
  </r>
  <r>
    <x v="1"/>
    <x v="2"/>
    <s v="America and Oceania"/>
    <s v="No Specific Relationship"/>
    <x v="2"/>
    <s v="NORTHCOM"/>
    <x v="4"/>
    <x v="16"/>
    <n v="5"/>
    <s v="BL - Hosted"/>
    <s v="Cao Gangchuan"/>
    <m/>
    <s v="CMC Vice Chairman; Defense Minister"/>
    <n v="10"/>
    <x v="1"/>
    <m/>
    <x v="0"/>
    <m/>
    <m/>
    <m/>
    <m/>
    <x v="12"/>
    <m/>
    <m/>
    <s v="Defense White Paper Appendix"/>
    <m/>
  </r>
  <r>
    <x v="1"/>
    <x v="2"/>
    <s v="America and Oceania"/>
    <s v="No Specific Relationship"/>
    <x v="2"/>
    <s v="NORTHCOM"/>
    <x v="4"/>
    <x v="16"/>
    <n v="5"/>
    <s v="BL - Abroad"/>
    <s v="Liu Chengjun"/>
    <m/>
    <s v="AMS President"/>
    <n v="6"/>
    <x v="1"/>
    <s v="Chairman JCS"/>
    <x v="0"/>
    <m/>
    <m/>
    <m/>
    <m/>
    <x v="12"/>
    <m/>
    <m/>
    <s v="Defense White Paper Appendix"/>
    <m/>
  </r>
  <r>
    <x v="1"/>
    <x v="6"/>
    <s v="Europe and Central Asia"/>
    <s v="No Specific Relationship"/>
    <x v="0"/>
    <s v="CENTCOM"/>
    <x v="73"/>
    <x v="16"/>
    <n v="5"/>
    <s v="BL - Hosted"/>
    <s v="Cao Gangchuan"/>
    <m/>
    <s v="CMC Vice Chairman; Defense Minister"/>
    <n v="10"/>
    <x v="2"/>
    <s v="Deputy Defense Minister"/>
    <x v="0"/>
    <m/>
    <m/>
    <m/>
    <m/>
    <x v="12"/>
    <m/>
    <m/>
    <s v="Defense White Paper Appendix"/>
    <m/>
  </r>
  <r>
    <x v="1"/>
    <x v="10"/>
    <s v="America and Oceania"/>
    <s v="Strategic Development Partnership [战略发展伙伴关系]"/>
    <x v="0"/>
    <s v="SOUTHCOM"/>
    <x v="56"/>
    <x v="16"/>
    <n v="5"/>
    <s v="BL - Abroad"/>
    <s v="Ma Xiaotian"/>
    <m/>
    <s v="GSD DCGS"/>
    <n v="6"/>
    <x v="1"/>
    <m/>
    <x v="0"/>
    <m/>
    <m/>
    <m/>
    <m/>
    <x v="12"/>
    <m/>
    <m/>
    <s v="Defense White Paper Appendix"/>
    <m/>
  </r>
  <r>
    <x v="1"/>
    <x v="1"/>
    <s v="Asia"/>
    <s v="No Specific Relationship"/>
    <x v="0"/>
    <s v="INDOPACOM"/>
    <x v="23"/>
    <x v="16"/>
    <n v="5"/>
    <s v="BL - Hosted"/>
    <s v="Cao Gangchuan"/>
    <m/>
    <s v="CMC Vice Chairman; Defense Minister"/>
    <n v="10"/>
    <x v="2"/>
    <s v="Defense Minister"/>
    <x v="0"/>
    <m/>
    <m/>
    <m/>
    <m/>
    <x v="12"/>
    <m/>
    <m/>
    <s v="Defense White Paper Appendix"/>
    <m/>
  </r>
  <r>
    <x v="1"/>
    <x v="1"/>
    <s v="Asia"/>
    <s v="No Specific Relationship"/>
    <x v="0"/>
    <s v="INDOPACOM"/>
    <x v="23"/>
    <x v="16"/>
    <n v="5"/>
    <s v="BL - Abroad"/>
    <s v="Chen Bingde"/>
    <m/>
    <s v="GSD Commander; CMC Member"/>
    <n v="8"/>
    <x v="1"/>
    <m/>
    <x v="0"/>
    <m/>
    <m/>
    <m/>
    <m/>
    <x v="12"/>
    <m/>
    <m/>
    <s v="Defense White Paper Appendix"/>
    <m/>
  </r>
  <r>
    <x v="2"/>
    <x v="4"/>
    <s v="N/A"/>
    <s v="Member"/>
    <x v="0"/>
    <s v="INDOPACOM"/>
    <x v="136"/>
    <x v="16"/>
    <n v="5"/>
    <s v="Military Exercise - Multilateral"/>
    <m/>
    <m/>
    <m/>
    <m/>
    <x v="0"/>
    <m/>
    <x v="2"/>
    <s v="WPNS 2007 Maritime Exercise (MMEx)"/>
    <s v="Navy"/>
    <s v="Maritime; HADR; anti-piracy; WPNS 2007 attendees +7"/>
    <m/>
    <x v="12"/>
    <m/>
    <m/>
    <s v="https://www.nas.gov.sg/archivesonline/data/pdfdoc/20070516999.htm"/>
    <s v="Chinese TV coverage suggests PLAN participated."/>
  </r>
  <r>
    <x v="1"/>
    <x v="8"/>
    <s v="Europe and Central Asia"/>
    <s v="No Specific Relationship"/>
    <x v="5"/>
    <s v="EUCOM"/>
    <x v="79"/>
    <x v="16"/>
    <n v="6"/>
    <s v="BL - Abroad"/>
    <s v="Zhang Qinsheng"/>
    <m/>
    <s v="Guangzhou MR Commander"/>
    <n v="6"/>
    <x v="1"/>
    <m/>
    <x v="0"/>
    <m/>
    <m/>
    <m/>
    <m/>
    <x v="12"/>
    <m/>
    <m/>
    <s v="Defense White Paper Appendix"/>
    <m/>
  </r>
  <r>
    <x v="1"/>
    <x v="10"/>
    <s v="America and Oceania"/>
    <s v="No Specific Relationship"/>
    <x v="0"/>
    <s v="SOUTHCOM"/>
    <x v="45"/>
    <x v="16"/>
    <n v="6"/>
    <s v="BL - Abroad"/>
    <s v="Zhang Li"/>
    <m/>
    <s v="GLD Deputy Director"/>
    <n v="6"/>
    <x v="1"/>
    <m/>
    <x v="0"/>
    <m/>
    <m/>
    <m/>
    <m/>
    <x v="12"/>
    <m/>
    <m/>
    <s v="Defense White Paper Appendix"/>
    <m/>
  </r>
  <r>
    <x v="1"/>
    <x v="8"/>
    <s v="Europe and Central Asia"/>
    <s v="Comprehensive Strategic Partnership [全面战略伙伴关系]"/>
    <x v="5"/>
    <s v="EUCOM"/>
    <x v="29"/>
    <x v="16"/>
    <n v="6"/>
    <s v="BL - Abroad"/>
    <s v="Chi Wanchun"/>
    <m/>
    <s v="GAD Political Commissar"/>
    <n v="6"/>
    <x v="1"/>
    <m/>
    <x v="0"/>
    <m/>
    <m/>
    <m/>
    <m/>
    <x v="12"/>
    <m/>
    <m/>
    <s v="Defense White Paper Appendix"/>
    <m/>
  </r>
  <r>
    <x v="1"/>
    <x v="1"/>
    <s v="Asia"/>
    <s v="No Specific Relationship"/>
    <x v="0"/>
    <s v="INDOPACOM"/>
    <x v="137"/>
    <x v="16"/>
    <n v="6"/>
    <s v="ML - Abroad"/>
    <s v="Zhang Qinsheng"/>
    <m/>
    <s v="GSD DCGS"/>
    <n v="6"/>
    <x v="1"/>
    <s v="6th Shangri-La Dialogue"/>
    <x v="0"/>
    <m/>
    <m/>
    <m/>
    <m/>
    <x v="12"/>
    <m/>
    <m/>
    <s v="http://eng.chinamil.com.cn/view/2019-05/31/content_9519879.htm "/>
    <m/>
  </r>
  <r>
    <x v="1"/>
    <x v="8"/>
    <s v="Europe and Central Asia"/>
    <s v="Comprehensive Strategic Partnership [全面战略伙伴关系]"/>
    <x v="5"/>
    <s v="EUCOM"/>
    <x v="20"/>
    <x v="16"/>
    <n v="6"/>
    <s v="BL - Abroad"/>
    <s v="Chi Wanchun"/>
    <m/>
    <s v="GAD Political Commissar"/>
    <n v="6"/>
    <x v="1"/>
    <m/>
    <x v="0"/>
    <m/>
    <m/>
    <m/>
    <m/>
    <x v="12"/>
    <m/>
    <m/>
    <s v="Defense White Paper Appendix"/>
    <m/>
  </r>
  <r>
    <x v="1"/>
    <x v="6"/>
    <s v="Europe and Central Asia"/>
    <s v="No Specific Relationship"/>
    <x v="0"/>
    <s v="CENTCOM"/>
    <x v="31"/>
    <x v="16"/>
    <n v="6"/>
    <s v="BL - Abroad"/>
    <s v="Cao Gangchuan"/>
    <m/>
    <s v="CMC Vice Chairman; Defense Minister"/>
    <n v="10"/>
    <x v="1"/>
    <m/>
    <x v="0"/>
    <m/>
    <m/>
    <m/>
    <m/>
    <x v="12"/>
    <m/>
    <m/>
    <s v="Defense White Paper Appendix"/>
    <m/>
  </r>
  <r>
    <x v="1"/>
    <x v="7"/>
    <s v="West Asia and Africa"/>
    <s v="No Specific Relationship"/>
    <x v="0"/>
    <s v="AFRICOM"/>
    <x v="84"/>
    <x v="16"/>
    <n v="6"/>
    <s v="BL - Hosted"/>
    <s v="Xu Caihou"/>
    <m/>
    <s v="CMC Vice Chairman"/>
    <n v="10"/>
    <x v="2"/>
    <s v="COGS"/>
    <x v="0"/>
    <m/>
    <m/>
    <m/>
    <m/>
    <x v="12"/>
    <m/>
    <m/>
    <s v="Defense White Paper Appendix"/>
    <m/>
  </r>
  <r>
    <x v="1"/>
    <x v="5"/>
    <s v="America and Oceania"/>
    <s v="No Specific Relationship"/>
    <x v="4"/>
    <s v="INDOPACOM"/>
    <x v="13"/>
    <x v="16"/>
    <n v="6"/>
    <s v="BL - Abroad"/>
    <s v="Tong Shiping"/>
    <m/>
    <s v="PLA NDU Political Commissar"/>
    <n v="6"/>
    <x v="1"/>
    <m/>
    <x v="0"/>
    <m/>
    <m/>
    <m/>
    <m/>
    <x v="12"/>
    <m/>
    <m/>
    <s v="Defense White Paper Appendix"/>
    <m/>
  </r>
  <r>
    <x v="1"/>
    <x v="3"/>
    <s v="Europe and Central Asia"/>
    <s v="Strategic Partnership of Coordination [战略协作伙伴关系]"/>
    <x v="0"/>
    <s v="EUCOM"/>
    <x v="7"/>
    <x v="16"/>
    <n v="6"/>
    <s v="BL - Abroad"/>
    <s v="Zhang Qinsheng"/>
    <m/>
    <s v="Guangzhou MR Commander"/>
    <n v="6"/>
    <x v="1"/>
    <m/>
    <x v="0"/>
    <m/>
    <m/>
    <m/>
    <m/>
    <x v="12"/>
    <m/>
    <m/>
    <s v="Defense White Paper Appendix"/>
    <m/>
  </r>
  <r>
    <x v="1"/>
    <x v="6"/>
    <s v="Europe and Central Asia"/>
    <s v="Member"/>
    <x v="0"/>
    <s v="CENTCOM"/>
    <x v="14"/>
    <x v="16"/>
    <n v="6"/>
    <s v="ML - Abroad"/>
    <s v="Cao Gangchuan"/>
    <m/>
    <s v="CMC Vice Chairman; Defense Minister"/>
    <n v="10"/>
    <x v="2"/>
    <s v="Fifth official meeting of the SCO Ministers' of Defense in Bishkek; Other countries: Kazakhstan, Kyrgyztan, Russia, Tajikistan, Uzbekistan"/>
    <x v="0"/>
    <m/>
    <m/>
    <m/>
    <m/>
    <x v="12"/>
    <m/>
    <m/>
    <s v="https://www.fmprc.gov.cn/mfa_eng/wjdt_665385/2649_665393/t355665.shtml"/>
    <m/>
  </r>
  <r>
    <x v="1"/>
    <x v="1"/>
    <s v="Asia"/>
    <s v="No Specific Relationship"/>
    <x v="0"/>
    <s v="INDOPACOM"/>
    <x v="39"/>
    <x v="16"/>
    <n v="6"/>
    <s v="BL - Abroad"/>
    <s v="Ma Xiaotian"/>
    <m/>
    <s v="GSD DCGS"/>
    <n v="6"/>
    <x v="1"/>
    <m/>
    <x v="0"/>
    <m/>
    <m/>
    <m/>
    <m/>
    <x v="12"/>
    <m/>
    <m/>
    <s v="Defense White Paper Appendix"/>
    <m/>
  </r>
  <r>
    <x v="1"/>
    <x v="4"/>
    <s v="Asia"/>
    <s v="Comprehensive Cooperative Partnership [全面合作伙伴关系]"/>
    <x v="3"/>
    <s v="INDOPACOM"/>
    <x v="25"/>
    <x v="16"/>
    <n v="6"/>
    <s v="BL - Abroad"/>
    <s v="Tong Shiping"/>
    <m/>
    <s v="PLA NDU Political Commissar"/>
    <n v="6"/>
    <x v="1"/>
    <m/>
    <x v="0"/>
    <m/>
    <m/>
    <m/>
    <m/>
    <x v="12"/>
    <m/>
    <m/>
    <s v="Defense White Paper Appendix"/>
    <m/>
  </r>
  <r>
    <x v="1"/>
    <x v="8"/>
    <s v="Europe and Central Asia"/>
    <s v="No Specific Relationship"/>
    <x v="5"/>
    <s v="EUCOM"/>
    <x v="38"/>
    <x v="16"/>
    <n v="6"/>
    <s v="BL - Hosted"/>
    <s v="Ma Xiaotian"/>
    <m/>
    <s v="GSD DCGS"/>
    <n v="6"/>
    <x v="1"/>
    <m/>
    <x v="0"/>
    <m/>
    <m/>
    <m/>
    <m/>
    <x v="12"/>
    <m/>
    <m/>
    <s v="Defense White Paper Appendix"/>
    <m/>
  </r>
  <r>
    <x v="1"/>
    <x v="2"/>
    <s v="America and Oceania"/>
    <s v="No Specific Relationship"/>
    <x v="2"/>
    <s v="NORTHCOM"/>
    <x v="4"/>
    <x v="16"/>
    <n v="6"/>
    <s v="ML - Margins"/>
    <s v="Zhang Qinsheng"/>
    <m/>
    <s v="GSD DCGS"/>
    <n v="6"/>
    <x v="1"/>
    <s v="Chairman JCS"/>
    <x v="0"/>
    <m/>
    <m/>
    <m/>
    <m/>
    <x v="12"/>
    <m/>
    <m/>
    <s v="China's &quot;New&quot; Diplomacy: Tactical or Fundamental Change?, page 204"/>
    <m/>
  </r>
  <r>
    <x v="1"/>
    <x v="7"/>
    <s v="West Asia and Africa"/>
    <s v="No Specific Relationship"/>
    <x v="0"/>
    <s v="AFRICOM"/>
    <x v="61"/>
    <x v="16"/>
    <n v="6"/>
    <s v="BL - Hosted"/>
    <s v="Cao Gangchuan"/>
    <m/>
    <s v="CMC Vice Chairman; Defense Minister"/>
    <n v="10"/>
    <x v="2"/>
    <s v="Defense Minister"/>
    <x v="0"/>
    <m/>
    <m/>
    <m/>
    <m/>
    <x v="12"/>
    <m/>
    <m/>
    <s v="Defense White Paper Appendix"/>
    <m/>
  </r>
  <r>
    <x v="1"/>
    <x v="7"/>
    <s v="West Asia and Africa"/>
    <s v="No Specific Relationship"/>
    <x v="0"/>
    <s v="AFRICOM"/>
    <x v="86"/>
    <x v="16"/>
    <n v="6"/>
    <s v="BL - Hosted"/>
    <s v="Cao Gangchuan"/>
    <m/>
    <s v="CMC Vice Chairman; Defense Minister"/>
    <n v="10"/>
    <x v="2"/>
    <s v="Defense Minister"/>
    <x v="0"/>
    <m/>
    <m/>
    <m/>
    <m/>
    <x v="12"/>
    <m/>
    <m/>
    <s v="Defense White Paper Appendix"/>
    <m/>
  </r>
  <r>
    <x v="1"/>
    <x v="5"/>
    <s v="America and Oceania"/>
    <s v="No Specific Relationship"/>
    <x v="4"/>
    <s v="INDOPACOM"/>
    <x v="12"/>
    <x v="16"/>
    <n v="7"/>
    <s v="BL - Hosted"/>
    <s v="Cao Gangchuan"/>
    <m/>
    <s v="CMC Vice Chairman; Defense Minister"/>
    <n v="8"/>
    <x v="2"/>
    <s v="Defense Minister"/>
    <x v="0"/>
    <m/>
    <m/>
    <m/>
    <m/>
    <x v="12"/>
    <m/>
    <m/>
    <s v="https://dlib.eastview.com/browse/doc/24489731"/>
    <m/>
  </r>
  <r>
    <x v="1"/>
    <x v="8"/>
    <s v="Europe and Central Asia"/>
    <s v="No Specific Relationship"/>
    <x v="5"/>
    <s v="EUCOM"/>
    <x v="79"/>
    <x v="16"/>
    <n v="7"/>
    <s v="BL - Hosted"/>
    <s v="Chen Xiaogong "/>
    <m/>
    <s v="GSD DCGS"/>
    <n v="6"/>
    <x v="2"/>
    <s v="Navy Chief of Staff"/>
    <x v="0"/>
    <m/>
    <m/>
    <m/>
    <m/>
    <x v="12"/>
    <m/>
    <m/>
    <s v="https://dlib.eastview.com/browse/doc/24529512"/>
    <m/>
  </r>
  <r>
    <x v="1"/>
    <x v="10"/>
    <s v="America and Oceania"/>
    <s v="Comprehensive Partnership [全面伙伴关系]"/>
    <x v="0"/>
    <s v="SOUTHCOM"/>
    <x v="66"/>
    <x v="16"/>
    <n v="7"/>
    <s v="BL - Abroad"/>
    <s v="Hu Yanlin"/>
    <m/>
    <s v="PLAN Political Commissar"/>
    <n v="6"/>
    <x v="1"/>
    <m/>
    <x v="0"/>
    <m/>
    <m/>
    <m/>
    <m/>
    <x v="12"/>
    <m/>
    <m/>
    <s v="Defense White Paper Appendix"/>
    <m/>
  </r>
  <r>
    <x v="1"/>
    <x v="7"/>
    <s v="West Asia and Africa"/>
    <s v="Comprehensive Strategic Partnership [全面战略伙伴关系]"/>
    <x v="0"/>
    <s v="AFRICOM"/>
    <x v="127"/>
    <x v="16"/>
    <n v="7"/>
    <s v="BL - Hosted"/>
    <s v="Cao Gangchuan"/>
    <m/>
    <s v="CMC Vice Chairman; Defense Minister"/>
    <n v="10"/>
    <x v="2"/>
    <s v="Defense Minister"/>
    <x v="0"/>
    <m/>
    <m/>
    <m/>
    <m/>
    <x v="12"/>
    <m/>
    <m/>
    <s v="Defense White Paper Appendix"/>
    <m/>
  </r>
  <r>
    <x v="1"/>
    <x v="10"/>
    <s v="America and Oceania"/>
    <s v="No Specific Relationship"/>
    <x v="0"/>
    <s v="SOUTHCOM"/>
    <x v="51"/>
    <x v="16"/>
    <n v="7"/>
    <s v="BL - Hosted"/>
    <s v="Xu Caihou"/>
    <m/>
    <s v="CMC Vice Chairman"/>
    <n v="10"/>
    <x v="2"/>
    <s v="Chief of Joint Command"/>
    <x v="0"/>
    <m/>
    <m/>
    <m/>
    <m/>
    <x v="12"/>
    <m/>
    <m/>
    <s v="Defense White Paper Appendix"/>
    <m/>
  </r>
  <r>
    <x v="1"/>
    <x v="10"/>
    <s v="America and Oceania"/>
    <s v="No Specific Relationship"/>
    <x v="0"/>
    <s v="SOUTHCOM"/>
    <x v="138"/>
    <x v="16"/>
    <n v="7"/>
    <s v="BL - Hosted"/>
    <s v="Cao Gangchuan"/>
    <m/>
    <s v="CMC Vice Chairman; Defense Minister"/>
    <n v="10"/>
    <x v="2"/>
    <s v="Defense Minister"/>
    <x v="0"/>
    <m/>
    <m/>
    <m/>
    <m/>
    <x v="12"/>
    <m/>
    <m/>
    <s v="Defense White Paper Appendix"/>
    <m/>
  </r>
  <r>
    <x v="1"/>
    <x v="0"/>
    <s v="Asia"/>
    <s v="Strategic Partnership [战略伙伴关系]"/>
    <x v="1"/>
    <s v="CENTCOM"/>
    <x v="2"/>
    <x v="16"/>
    <n v="7"/>
    <s v="BL - Abroad"/>
    <s v="Hu Yanlin"/>
    <m/>
    <s v="PLAN Political Commissar"/>
    <n v="6"/>
    <x v="1"/>
    <m/>
    <x v="0"/>
    <m/>
    <m/>
    <m/>
    <m/>
    <x v="12"/>
    <m/>
    <m/>
    <s v="Defense White Paper Appendix"/>
    <m/>
  </r>
  <r>
    <x v="1"/>
    <x v="7"/>
    <s v="West Asia and Africa"/>
    <s v="Strategic Partnership [战略伙伴关系]"/>
    <x v="0"/>
    <s v="AFRICOM"/>
    <x v="15"/>
    <x v="16"/>
    <n v="7"/>
    <s v="BL - Hosted"/>
    <s v="Xu Caihou"/>
    <m/>
    <s v="CMC Vice Chairman"/>
    <n v="10"/>
    <x v="2"/>
    <s v="Air Force Commander"/>
    <x v="0"/>
    <m/>
    <m/>
    <m/>
    <m/>
    <x v="12"/>
    <m/>
    <m/>
    <s v="Defense White Paper Appendix"/>
    <m/>
  </r>
  <r>
    <x v="1"/>
    <x v="4"/>
    <s v="Asia"/>
    <s v="Comprehensive Cooperative Partnership [全面合作伙伴关系]"/>
    <x v="3"/>
    <s v="INDOPACOM"/>
    <x v="25"/>
    <x v="16"/>
    <n v="7"/>
    <s v="BL - Abroad"/>
    <s v="Fan Changlong"/>
    <m/>
    <s v="Jinan MR Commander"/>
    <n v="6"/>
    <x v="1"/>
    <m/>
    <x v="0"/>
    <m/>
    <m/>
    <m/>
    <m/>
    <x v="12"/>
    <m/>
    <m/>
    <s v="Defense White Paper Appendix"/>
    <m/>
  </r>
  <r>
    <x v="2"/>
    <x v="1"/>
    <s v="Asia"/>
    <s v="Strategic Partnership [战略伙伴关系]"/>
    <x v="3"/>
    <s v="INDOPACOM"/>
    <x v="5"/>
    <x v="16"/>
    <n v="7"/>
    <s v="Military Exercise - Bilateral"/>
    <m/>
    <m/>
    <m/>
    <m/>
    <x v="0"/>
    <m/>
    <x v="1"/>
    <s v="Strike 2007"/>
    <s v="Army"/>
    <s v="Anti-terrorism"/>
    <m/>
    <x v="12"/>
    <m/>
    <m/>
    <s v="Defense White Paper Appendix"/>
    <m/>
  </r>
  <r>
    <x v="1"/>
    <x v="0"/>
    <s v="Asia"/>
    <s v="Comprehensive Cooperative Partnership [全面合作伙伴关系]"/>
    <x v="0"/>
    <s v="INDOPACOM"/>
    <x v="0"/>
    <x v="16"/>
    <n v="8"/>
    <s v="BL - Abroad"/>
    <s v="Chang Wanquan"/>
    <m/>
    <s v="GAD Director; CMC Member"/>
    <n v="8"/>
    <x v="1"/>
    <m/>
    <x v="0"/>
    <m/>
    <m/>
    <m/>
    <m/>
    <x v="12"/>
    <m/>
    <m/>
    <s v="Defense White Paper Appendix"/>
    <m/>
  </r>
  <r>
    <x v="1"/>
    <x v="7"/>
    <s v="West Asia and Africa"/>
    <s v="No Specific Relationship"/>
    <x v="0"/>
    <s v="AFRICOM"/>
    <x v="93"/>
    <x v="16"/>
    <n v="8"/>
    <s v="BL - Hosted"/>
    <s v="Xu Caihou"/>
    <m/>
    <s v="CMC Vice Chairman"/>
    <n v="10"/>
    <x v="2"/>
    <s v="Commander Defense Force"/>
    <x v="0"/>
    <m/>
    <m/>
    <m/>
    <m/>
    <x v="12"/>
    <m/>
    <m/>
    <s v="https://dlib.eastview.com/browse/doc/24489383"/>
    <m/>
  </r>
  <r>
    <x v="1"/>
    <x v="1"/>
    <s v="Asia"/>
    <s v="No Specific Relationship"/>
    <x v="0"/>
    <s v="INDOPACOM"/>
    <x v="44"/>
    <x v="16"/>
    <n v="8"/>
    <s v="BL - Abroad"/>
    <s v="Chang Wanquan"/>
    <m/>
    <s v="GAD Director; CMC Member"/>
    <n v="8"/>
    <x v="1"/>
    <m/>
    <x v="0"/>
    <m/>
    <m/>
    <m/>
    <m/>
    <x v="12"/>
    <m/>
    <m/>
    <s v="Defense White Paper Appendix"/>
    <m/>
  </r>
  <r>
    <x v="1"/>
    <x v="1"/>
    <s v="Asia"/>
    <s v="Comprehensive Cooperative Partnership [全面合作伙伴关系]"/>
    <x v="0"/>
    <s v="INDOPACOM"/>
    <x v="94"/>
    <x v="16"/>
    <n v="8"/>
    <s v="BL - Abroad"/>
    <s v="Liu Dongdong"/>
    <m/>
    <s v="Jinan MR Political Commissar"/>
    <n v="6"/>
    <x v="1"/>
    <m/>
    <x v="0"/>
    <m/>
    <m/>
    <m/>
    <m/>
    <x v="12"/>
    <m/>
    <m/>
    <s v="Defense White Paper Appendix"/>
    <m/>
  </r>
  <r>
    <x v="1"/>
    <x v="1"/>
    <s v="Asia"/>
    <s v="Strategic Partnership [战略伙伴关系]"/>
    <x v="0"/>
    <s v="INDOPACOM"/>
    <x v="8"/>
    <x v="16"/>
    <n v="8"/>
    <s v="BL - Abroad"/>
    <s v="Chang Wanquan"/>
    <m/>
    <s v="GAD Director; CMC Member"/>
    <n v="8"/>
    <x v="1"/>
    <m/>
    <x v="0"/>
    <m/>
    <m/>
    <m/>
    <m/>
    <x v="12"/>
    <m/>
    <m/>
    <s v="Defense White Paper Appendix"/>
    <m/>
  </r>
  <r>
    <x v="1"/>
    <x v="1"/>
    <s v="Asia"/>
    <s v="Comprehensive Cooperative Partnership [全面合作伙伴关系]"/>
    <x v="0"/>
    <s v="INDOPACOM"/>
    <x v="52"/>
    <x v="16"/>
    <n v="8"/>
    <s v="BL - Abroad"/>
    <s v="Liu Dongdong"/>
    <m/>
    <s v="Jinan MR Political Commissar"/>
    <n v="6"/>
    <x v="1"/>
    <m/>
    <x v="0"/>
    <m/>
    <m/>
    <m/>
    <m/>
    <x v="12"/>
    <m/>
    <m/>
    <s v="Defense White Paper Appendix"/>
    <m/>
  </r>
  <r>
    <x v="1"/>
    <x v="7"/>
    <s v="West Asia and Africa"/>
    <s v="No Specific Relationship"/>
    <x v="0"/>
    <s v="AFRICOM"/>
    <x v="121"/>
    <x v="16"/>
    <n v="8"/>
    <s v="BL - Hosted"/>
    <s v="Cao Gangchuan"/>
    <m/>
    <s v="CMC Vice Chairman; Defense Minister"/>
    <n v="10"/>
    <x v="2"/>
    <s v="COGS"/>
    <x v="0"/>
    <m/>
    <m/>
    <m/>
    <m/>
    <x v="12"/>
    <m/>
    <m/>
    <s v="Defense White Paper Appendix"/>
    <m/>
  </r>
  <r>
    <x v="1"/>
    <x v="1"/>
    <s v="Asia"/>
    <s v="No Specific Relationship"/>
    <x v="0"/>
    <s v="INDOPACOM"/>
    <x v="1"/>
    <x v="16"/>
    <n v="8"/>
    <s v="BL - Abroad"/>
    <s v="Liu Dongdong"/>
    <m/>
    <s v="Jinan MR Political Commissar"/>
    <n v="6"/>
    <x v="1"/>
    <m/>
    <x v="0"/>
    <m/>
    <m/>
    <m/>
    <m/>
    <x v="12"/>
    <m/>
    <m/>
    <s v="Defense White Paper Appendix"/>
    <m/>
  </r>
  <r>
    <x v="1"/>
    <x v="4"/>
    <s v="Asia"/>
    <s v="Bilateral Defense Treaty"/>
    <x v="0"/>
    <s v="INDOPACOM"/>
    <x v="9"/>
    <x v="16"/>
    <n v="8"/>
    <s v="BL - Abroad"/>
    <s v="Zhang Li"/>
    <m/>
    <s v="GLD Deputy Director"/>
    <n v="6"/>
    <x v="1"/>
    <m/>
    <x v="0"/>
    <m/>
    <m/>
    <m/>
    <m/>
    <x v="12"/>
    <m/>
    <m/>
    <s v="Defense White Paper Appendix"/>
    <m/>
  </r>
  <r>
    <x v="1"/>
    <x v="8"/>
    <s v="Europe and Central Asia"/>
    <s v="Comprehensive Friendly Cooperative Partnership [全面友好合作伙伴关系]"/>
    <x v="5"/>
    <s v="EUCOM"/>
    <x v="33"/>
    <x v="16"/>
    <n v="8"/>
    <s v="BL - Abroad"/>
    <s v="Zhang Li"/>
    <m/>
    <s v="GLD Deputy Director"/>
    <n v="6"/>
    <x v="1"/>
    <m/>
    <x v="0"/>
    <m/>
    <m/>
    <m/>
    <m/>
    <x v="12"/>
    <m/>
    <m/>
    <s v="Defense White Paper Appendix"/>
    <m/>
  </r>
  <r>
    <x v="1"/>
    <x v="3"/>
    <s v="Europe and Central Asia"/>
    <s v="Strategic Partnership of Coordination [战略协作伙伴关系]"/>
    <x v="0"/>
    <s v="EUCOM"/>
    <x v="7"/>
    <x v="16"/>
    <n v="8"/>
    <s v="BL - Abroad"/>
    <s v="Zhang Li"/>
    <m/>
    <s v="GLD Deputy Director"/>
    <n v="6"/>
    <x v="1"/>
    <m/>
    <x v="0"/>
    <m/>
    <m/>
    <m/>
    <m/>
    <x v="12"/>
    <m/>
    <m/>
    <s v="Defense White Paper Appendix"/>
    <m/>
  </r>
  <r>
    <x v="2"/>
    <x v="6"/>
    <s v="Europe and Central Asia"/>
    <s v="Member"/>
    <x v="0"/>
    <s v="CENTCOM"/>
    <x v="14"/>
    <x v="16"/>
    <n v="8"/>
    <s v="Military Exercise - Multilateral"/>
    <m/>
    <m/>
    <m/>
    <m/>
    <x v="0"/>
    <m/>
    <x v="3"/>
    <s v="Peace Mission 2007"/>
    <s v="Joint"/>
    <s v="Army, Navy, Air Force, SOF. Countries: Russia, Tajikistan, Kazakhstan, Uzbekistan and Kyrgyzstan.  Aug. 9 to Aug. 17."/>
    <m/>
    <x v="12"/>
    <m/>
    <m/>
    <s v="http://en.people.cn/90002/91620/index.html "/>
    <m/>
  </r>
  <r>
    <x v="1"/>
    <x v="10"/>
    <s v="America and Oceania"/>
    <s v="No Specific Relationship"/>
    <x v="0"/>
    <s v="SOUTHCOM"/>
    <x v="107"/>
    <x v="16"/>
    <n v="8"/>
    <s v="BL - Hosted"/>
    <s v="Cao Gangchuan"/>
    <m/>
    <s v="CMC Vice Chairman; Defense Minister"/>
    <n v="8"/>
    <x v="2"/>
    <s v="Secretary of Defense"/>
    <x v="0"/>
    <m/>
    <m/>
    <m/>
    <m/>
    <x v="12"/>
    <m/>
    <m/>
    <s v="Defense White Paper Appendix"/>
    <m/>
  </r>
  <r>
    <x v="1"/>
    <x v="10"/>
    <s v="America and Oceania"/>
    <s v="Comprehensive Strategic Partnership [全面战略伙伴关系]"/>
    <x v="0"/>
    <s v="SOUTHCOM"/>
    <x v="43"/>
    <x v="16"/>
    <n v="9"/>
    <s v="BL - Hosted"/>
    <s v="Ma Xiaotian"/>
    <m/>
    <s v="GSD DCGS"/>
    <n v="6"/>
    <x v="2"/>
    <s v="Army Chief of Staff"/>
    <x v="0"/>
    <m/>
    <m/>
    <m/>
    <m/>
    <x v="12"/>
    <m/>
    <m/>
    <s v="Defense White Paper Appendix"/>
    <m/>
  </r>
  <r>
    <x v="1"/>
    <x v="8"/>
    <s v="Europe and Central Asia"/>
    <s v="No Specific Relationship"/>
    <x v="5"/>
    <s v="EUCOM"/>
    <x v="79"/>
    <x v="16"/>
    <n v="9"/>
    <s v="BL - Hosted"/>
    <s v="Cao Gangchuan"/>
    <m/>
    <s v="CMC Vice Chairman; Defense Minister"/>
    <n v="10"/>
    <x v="2"/>
    <s v="Defense Minister"/>
    <x v="0"/>
    <m/>
    <m/>
    <m/>
    <m/>
    <x v="12"/>
    <m/>
    <m/>
    <s v="Defense White Paper Appendix"/>
    <m/>
  </r>
  <r>
    <x v="1"/>
    <x v="7"/>
    <s v="West Asia and Africa"/>
    <s v="No Specific Relationship"/>
    <x v="0"/>
    <s v="AFRICOM"/>
    <x v="132"/>
    <x v="16"/>
    <n v="9"/>
    <s v="BL - Hosted"/>
    <s v="Cao Gangchuan"/>
    <m/>
    <s v="CMC Vice Chairman; Defense Minister"/>
    <n v="10"/>
    <x v="2"/>
    <s v="Defense Minister"/>
    <x v="0"/>
    <m/>
    <m/>
    <m/>
    <m/>
    <x v="12"/>
    <m/>
    <m/>
    <s v="Defense White Paper Appendix"/>
    <m/>
  </r>
  <r>
    <x v="1"/>
    <x v="7"/>
    <s v="West Asia and Africa"/>
    <s v="No Specific Relationship"/>
    <x v="0"/>
    <s v="AFRICOM"/>
    <x v="125"/>
    <x v="16"/>
    <n v="9"/>
    <s v="BL - Hosted"/>
    <s v="Cao Gangchuan"/>
    <m/>
    <s v="CMC Vice Chairman; Defense Minister"/>
    <n v="8"/>
    <x v="2"/>
    <s v="COGS"/>
    <x v="0"/>
    <m/>
    <m/>
    <m/>
    <m/>
    <x v="12"/>
    <m/>
    <m/>
    <s v="Defense White Paper Appendix"/>
    <m/>
  </r>
  <r>
    <x v="1"/>
    <x v="10"/>
    <s v="America and Oceania"/>
    <s v="Comprehensive Partnership [全面伙伴关系]"/>
    <x v="0"/>
    <s v="SOUTHCOM"/>
    <x v="66"/>
    <x v="16"/>
    <n v="9"/>
    <s v="BL - Abroad"/>
    <s v="Xu Qiliang"/>
    <m/>
    <s v="PLAAF Commander; CMC Member"/>
    <n v="8"/>
    <x v="1"/>
    <m/>
    <x v="0"/>
    <m/>
    <m/>
    <m/>
    <m/>
    <x v="12"/>
    <m/>
    <m/>
    <s v="Defense White Paper Appendix"/>
    <m/>
  </r>
  <r>
    <x v="1"/>
    <x v="10"/>
    <s v="America and Oceania"/>
    <s v="No Specific Relationship"/>
    <x v="0"/>
    <s v="SOUTHCOM"/>
    <x v="49"/>
    <x v="16"/>
    <n v="9"/>
    <s v="BL - Abroad"/>
    <s v="Zhang Li"/>
    <m/>
    <s v="GLD Deputy Director"/>
    <n v="6"/>
    <x v="1"/>
    <m/>
    <x v="0"/>
    <m/>
    <m/>
    <m/>
    <m/>
    <x v="12"/>
    <m/>
    <m/>
    <s v="Defense White Paper Appendix"/>
    <m/>
  </r>
  <r>
    <x v="1"/>
    <x v="10"/>
    <s v="America and Oceania"/>
    <s v="No Specific Relationship"/>
    <x v="0"/>
    <s v="SOUTHCOM"/>
    <x v="51"/>
    <x v="16"/>
    <n v="9"/>
    <s v="BL - Abroad"/>
    <s v="Ma Xiaotian"/>
    <m/>
    <s v="GSD DCGS"/>
    <n v="6"/>
    <x v="1"/>
    <m/>
    <x v="0"/>
    <m/>
    <m/>
    <m/>
    <m/>
    <x v="12"/>
    <m/>
    <m/>
    <s v="Defense White Paper Appendix"/>
    <m/>
  </r>
  <r>
    <x v="1"/>
    <x v="8"/>
    <s v="Europe and Central Asia"/>
    <s v="No Specific Relationship"/>
    <x v="0"/>
    <s v="EUCOM"/>
    <x v="81"/>
    <x v="16"/>
    <n v="9"/>
    <s v="BL - Abroad"/>
    <s v="Xu Qiliang"/>
    <m/>
    <s v="PLAAF Commander; CMC Member"/>
    <n v="8"/>
    <x v="1"/>
    <m/>
    <x v="0"/>
    <m/>
    <m/>
    <m/>
    <m/>
    <x v="12"/>
    <m/>
    <m/>
    <s v="Defense White Paper Appendix"/>
    <m/>
  </r>
  <r>
    <x v="1"/>
    <x v="8"/>
    <s v="Europe and Central Asia"/>
    <s v="Comprehensive Partnership [全面伙伴关系]"/>
    <x v="5"/>
    <s v="EUCOM"/>
    <x v="22"/>
    <x v="16"/>
    <n v="9"/>
    <s v="BL - Hosted"/>
    <s v="Cao Gangchuan"/>
    <m/>
    <s v="CMC Vice Chairman; Defense Minister"/>
    <n v="10"/>
    <x v="2"/>
    <s v="Navy Chief of Staff"/>
    <x v="0"/>
    <m/>
    <m/>
    <m/>
    <m/>
    <x v="12"/>
    <m/>
    <m/>
    <s v="Defense White Paper Appendix"/>
    <m/>
  </r>
  <r>
    <x v="0"/>
    <x v="8"/>
    <s v="Europe and Central Asia"/>
    <s v="Comprehensive Partnership [全面伙伴关系]"/>
    <x v="5"/>
    <s v="EUCOM"/>
    <x v="22"/>
    <x v="16"/>
    <n v="9"/>
    <s v="Port Call - Friendly Visit"/>
    <m/>
    <m/>
    <m/>
    <m/>
    <x v="0"/>
    <m/>
    <x v="0"/>
    <m/>
    <m/>
    <m/>
    <s v="NETF"/>
    <x v="27"/>
    <m/>
    <m/>
    <s v="https://csis-website-prod.s3.amazonaws.com/s3fs-public/legacy_files/files/media/csis/pubs/080507-gill-chinaeuroperelations-web.pdf"/>
    <m/>
  </r>
  <r>
    <x v="1"/>
    <x v="4"/>
    <s v="Asia"/>
    <s v="Partnership of Friendship and Cooperation for Peace and Development [致力于和平发展的友好合作关系]"/>
    <x v="3"/>
    <s v="INDOPACOM"/>
    <x v="83"/>
    <x v="16"/>
    <n v="9"/>
    <s v="BL - Abroad"/>
    <s v="Cao Gangchuan"/>
    <m/>
    <s v="CMC Vice Chairman; Defense Minister"/>
    <n v="8"/>
    <x v="1"/>
    <m/>
    <x v="0"/>
    <m/>
    <m/>
    <m/>
    <m/>
    <x v="12"/>
    <m/>
    <m/>
    <s v="Defense White Paper Appendix"/>
    <m/>
  </r>
  <r>
    <x v="1"/>
    <x v="2"/>
    <s v="America and Oceania"/>
    <s v="Strategic Cooperative Partnership [战略合作伙伴关系]"/>
    <x v="0"/>
    <s v="NORTHCOM"/>
    <x v="77"/>
    <x v="16"/>
    <n v="9"/>
    <s v="BL - Abroad"/>
    <s v="Ma Xiaotian"/>
    <m/>
    <s v="GSD DCGS"/>
    <n v="6"/>
    <x v="1"/>
    <m/>
    <x v="0"/>
    <m/>
    <m/>
    <m/>
    <m/>
    <x v="12"/>
    <m/>
    <m/>
    <s v="Defense White Paper Appendix"/>
    <m/>
  </r>
  <r>
    <x v="1"/>
    <x v="1"/>
    <s v="Asia"/>
    <s v="Strategic Cooperative Partnership [战略合作伙伴关系]"/>
    <x v="3"/>
    <s v="INDOPACOM"/>
    <x v="11"/>
    <x v="16"/>
    <n v="9"/>
    <s v="BL - Abroad"/>
    <s v="Cao Gangchuan"/>
    <m/>
    <s v="CMC Vice Chairman; Defense Minister"/>
    <n v="8"/>
    <x v="1"/>
    <m/>
    <x v="0"/>
    <m/>
    <m/>
    <m/>
    <m/>
    <x v="12"/>
    <m/>
    <m/>
    <s v="Defense White Paper Appendix"/>
    <m/>
  </r>
  <r>
    <x v="1"/>
    <x v="8"/>
    <s v="Europe and Central Asia"/>
    <s v="No Specific Relationship"/>
    <x v="5"/>
    <s v="EUCOM"/>
    <x v="59"/>
    <x v="16"/>
    <n v="9"/>
    <s v="BL - Abroad"/>
    <s v="Zhang Li"/>
    <m/>
    <s v="GLD Deputy Director"/>
    <n v="6"/>
    <x v="1"/>
    <m/>
    <x v="0"/>
    <m/>
    <m/>
    <m/>
    <m/>
    <x v="12"/>
    <m/>
    <m/>
    <s v="Defense White Paper Appendix"/>
    <m/>
  </r>
  <r>
    <x v="2"/>
    <x v="3"/>
    <s v="Europe and Central Asia"/>
    <s v="Strategic Partnership of Coordination [战略协作伙伴关系]"/>
    <x v="0"/>
    <s v="EUCOM"/>
    <x v="7"/>
    <x v="16"/>
    <n v="9"/>
    <s v="Military Exercise - Bilateral"/>
    <m/>
    <m/>
    <m/>
    <m/>
    <x v="0"/>
    <m/>
    <x v="1"/>
    <s v="Cooperation 2007"/>
    <s v="PAP"/>
    <s v="Snow Leopard commando unit"/>
    <m/>
    <x v="12"/>
    <m/>
    <m/>
    <s v="https://www.jstor.org/stable/resrep11945.11?seq=1#metadata_info_tab_contents"/>
    <m/>
  </r>
  <r>
    <x v="0"/>
    <x v="3"/>
    <s v="Europe and Central Asia"/>
    <s v="Strategic Partnership of Coordination [战略协作伙伴关系]"/>
    <x v="2"/>
    <s v="EUCOM"/>
    <x v="7"/>
    <x v="16"/>
    <n v="9"/>
    <s v="Port Call - Friendly Visit"/>
    <m/>
    <m/>
    <m/>
    <m/>
    <x v="0"/>
    <m/>
    <x v="0"/>
    <m/>
    <m/>
    <m/>
    <s v="NETF"/>
    <x v="27"/>
    <m/>
    <m/>
    <s v="https://csis-website-prod.s3.amazonaws.com/s3fs-public/legacy_files/files/media/csis/pubs/080507-gill-chinaeuroperelations-web.pdf"/>
    <m/>
  </r>
  <r>
    <x v="1"/>
    <x v="7"/>
    <s v="West Asia and Africa"/>
    <s v="No Specific Relationship"/>
    <x v="0"/>
    <s v="AFRICOM"/>
    <x v="139"/>
    <x v="16"/>
    <n v="9"/>
    <s v="BL - Hosted"/>
    <s v="Cao Gangchuan"/>
    <m/>
    <s v="CMC Vice Chairman; Defense Minister"/>
    <n v="10"/>
    <x v="2"/>
    <s v="Commander Defense Force"/>
    <x v="0"/>
    <m/>
    <m/>
    <m/>
    <m/>
    <x v="12"/>
    <m/>
    <m/>
    <s v="Defense White Paper Appendix"/>
    <m/>
  </r>
  <r>
    <x v="0"/>
    <x v="8"/>
    <s v="Europe and Central Asia"/>
    <s v="Comprehensive Strategic Partnership [全面战略伙伴关系]"/>
    <x v="5"/>
    <s v="EUCOM"/>
    <x v="70"/>
    <x v="16"/>
    <n v="9"/>
    <s v="Port Call - Friendly Visit"/>
    <m/>
    <m/>
    <m/>
    <m/>
    <x v="0"/>
    <m/>
    <x v="0"/>
    <m/>
    <m/>
    <m/>
    <s v="NETF"/>
    <x v="27"/>
    <m/>
    <m/>
    <s v="https://csis-website-prod.s3.amazonaws.com/s3fs-public/legacy_files/files/media/csis/pubs/080507-gill-chinaeuroperelations-web.pdf"/>
    <m/>
  </r>
  <r>
    <x v="1"/>
    <x v="7"/>
    <s v="West Asia and Africa"/>
    <s v="No Specific Relationship"/>
    <x v="0"/>
    <s v="AFRICOM"/>
    <x v="97"/>
    <x v="16"/>
    <n v="9"/>
    <s v="BL - Hosted"/>
    <s v="Cao Gangchuan"/>
    <m/>
    <s v="CMC Vice Chairman; Defense Minister"/>
    <n v="8"/>
    <x v="2"/>
    <s v="Commander Defense Force"/>
    <x v="0"/>
    <m/>
    <m/>
    <m/>
    <m/>
    <x v="12"/>
    <m/>
    <m/>
    <s v="Defense White Paper Appendix"/>
    <m/>
  </r>
  <r>
    <x v="0"/>
    <x v="8"/>
    <s v="Europe and Central Asia"/>
    <s v="Comprehensive Strategic Partnership [全面战略伙伴关系]"/>
    <x v="5"/>
    <s v="EUCOM"/>
    <x v="21"/>
    <x v="16"/>
    <n v="9"/>
    <s v="Port Call - Friendly Visit"/>
    <m/>
    <m/>
    <m/>
    <m/>
    <x v="0"/>
    <m/>
    <x v="0"/>
    <m/>
    <m/>
    <m/>
    <s v="NETF"/>
    <x v="27"/>
    <m/>
    <m/>
    <s v="https://csis-website-prod.s3.amazonaws.com/s3fs-public/legacy_files/files/media/csis/pubs/080507-gill-chinaeuroperelations-web.pdf"/>
    <m/>
  </r>
  <r>
    <x v="2"/>
    <x v="5"/>
    <s v="America and Oceania"/>
    <s v="No Specific Relationship"/>
    <x v="4"/>
    <s v="INDOPACOM"/>
    <x v="12"/>
    <x v="16"/>
    <n v="10"/>
    <s v="Military Exercise - Multilateral"/>
    <m/>
    <m/>
    <m/>
    <m/>
    <x v="0"/>
    <m/>
    <x v="2"/>
    <s v="Joint Maritime SAREX"/>
    <s v="Navy"/>
    <s v="SAREX. Other countries: New Zeland "/>
    <m/>
    <x v="12"/>
    <m/>
    <m/>
    <s v="Defense White Paper Appendix"/>
    <m/>
  </r>
  <r>
    <x v="1"/>
    <x v="0"/>
    <s v="Europe and Central Asia"/>
    <s v="Comprehensive Cooperative Partnership [全面合作伙伴关系]"/>
    <x v="1"/>
    <s v="CENTCOM"/>
    <x v="123"/>
    <x v="16"/>
    <n v="11"/>
    <s v="BL - Hosted"/>
    <s v="Cao Gangchuan"/>
    <m/>
    <s v="CMC Vice Chairman; Defense Minister"/>
    <n v="8"/>
    <x v="2"/>
    <s v="COGS"/>
    <x v="0"/>
    <m/>
    <m/>
    <m/>
    <m/>
    <x v="12"/>
    <m/>
    <m/>
    <s v="Defense White Paper Appendix"/>
    <m/>
  </r>
  <r>
    <x v="1"/>
    <x v="8"/>
    <s v="Europe and Central Asia"/>
    <s v="No Specific Relationship"/>
    <x v="5"/>
    <s v="EUCOM"/>
    <x v="79"/>
    <x v="16"/>
    <n v="11"/>
    <s v="BL - Abroad"/>
    <s v="Jing Zhiyuan"/>
    <m/>
    <s v="PLASAF Commander; CMC Member"/>
    <n v="8"/>
    <x v="1"/>
    <m/>
    <x v="0"/>
    <m/>
    <m/>
    <m/>
    <m/>
    <x v="12"/>
    <m/>
    <m/>
    <s v="Defense White Paper Appendix"/>
    <m/>
  </r>
  <r>
    <x v="1"/>
    <x v="9"/>
    <s v="West Asia and Africa"/>
    <s v="Strategic Cooperative Partnership [战略合作伙伴关系]"/>
    <x v="1"/>
    <s v="CENTCOM"/>
    <x v="24"/>
    <x v="16"/>
    <n v="11"/>
    <s v="BL - Abroad"/>
    <s v="Sun Dafa"/>
    <m/>
    <s v="GLD Political Commissar"/>
    <n v="6"/>
    <x v="1"/>
    <m/>
    <x v="0"/>
    <m/>
    <m/>
    <m/>
    <m/>
    <x v="12"/>
    <m/>
    <m/>
    <s v="Defense White Paper Appendix"/>
    <m/>
  </r>
  <r>
    <x v="1"/>
    <x v="0"/>
    <s v="Asia"/>
    <s v="Strategic Partnership for Peace and Prosperity [战略伙伴关系]"/>
    <x v="0"/>
    <s v="INDOPACOM"/>
    <x v="6"/>
    <x v="16"/>
    <n v="11"/>
    <s v="BL - Hosted"/>
    <s v="Chen Bingde"/>
    <m/>
    <s v="GSD Commander; CMC Member"/>
    <n v="8"/>
    <x v="2"/>
    <s v="Joint Secretary of Ministry of Defense"/>
    <x v="0"/>
    <m/>
    <m/>
    <m/>
    <m/>
    <x v="12"/>
    <m/>
    <m/>
    <s v="Defense White Paper Appendix"/>
    <m/>
  </r>
  <r>
    <x v="1"/>
    <x v="1"/>
    <s v="Asia"/>
    <s v="Strategic Partnership [战略伙伴关系]"/>
    <x v="0"/>
    <s v="INDOPACOM"/>
    <x v="8"/>
    <x v="16"/>
    <n v="11"/>
    <s v="BL - Hosted"/>
    <s v="Cao Gangchuan"/>
    <m/>
    <s v="CMC Vice Chairman; Defense Minister"/>
    <n v="10"/>
    <x v="2"/>
    <s v="Defense Minister"/>
    <x v="0"/>
    <m/>
    <m/>
    <m/>
    <m/>
    <x v="12"/>
    <m/>
    <m/>
    <s v="Defense White Paper Appendix"/>
    <m/>
  </r>
  <r>
    <x v="1"/>
    <x v="7"/>
    <s v="West Asia and Africa"/>
    <s v="No Specific Relationship"/>
    <x v="0"/>
    <s v="AFRICOM"/>
    <x v="140"/>
    <x v="16"/>
    <n v="11"/>
    <s v="BL - Hosted"/>
    <s v="Cao Gangchuan"/>
    <m/>
    <s v="CMC Vice Chairman; Defense Minister"/>
    <n v="8"/>
    <x v="2"/>
    <s v="Defense Minister"/>
    <x v="0"/>
    <m/>
    <m/>
    <m/>
    <m/>
    <x v="12"/>
    <m/>
    <m/>
    <s v="Defense White Paper Appendix"/>
    <m/>
  </r>
  <r>
    <x v="0"/>
    <x v="4"/>
    <s v="Asia"/>
    <s v="Partnership of Friendship and Cooperation for Peace and Development [致力于和平发展的友好合作关系]"/>
    <x v="3"/>
    <s v="INDOPACOM"/>
    <x v="83"/>
    <x v="16"/>
    <n v="11"/>
    <s v="Port Call - Friendly Visit"/>
    <m/>
    <m/>
    <m/>
    <m/>
    <x v="0"/>
    <m/>
    <x v="0"/>
    <m/>
    <m/>
    <m/>
    <s v="NETF"/>
    <x v="27"/>
    <s v="South Sea Fleet"/>
    <s v="Shenzhen"/>
    <s v="http://au.china-embassy.org/eng/xw/t385273.htm"/>
    <m/>
  </r>
  <r>
    <x v="1"/>
    <x v="7"/>
    <s v="West Asia and Africa"/>
    <s v="No Specific Relationship"/>
    <x v="0"/>
    <s v="AFRICOM"/>
    <x v="47"/>
    <x v="16"/>
    <n v="11"/>
    <s v="BL - Abroad"/>
    <s v="Cao Gangchuan"/>
    <m/>
    <s v="CMC Vice Chairman; Defense Minister"/>
    <n v="8"/>
    <x v="1"/>
    <m/>
    <x v="0"/>
    <m/>
    <m/>
    <m/>
    <m/>
    <x v="12"/>
    <m/>
    <m/>
    <s v="Defense White Paper Appendix"/>
    <m/>
  </r>
  <r>
    <x v="1"/>
    <x v="9"/>
    <s v="West Asia and Africa"/>
    <s v="No Specific Relationship"/>
    <x v="1"/>
    <s v="CENTCOM"/>
    <x v="72"/>
    <x v="16"/>
    <n v="11"/>
    <s v="BL - Abroad"/>
    <s v="Cao Gangchuan"/>
    <m/>
    <s v="CMC Vice Chairman; Defense Minister"/>
    <n v="8"/>
    <x v="1"/>
    <m/>
    <x v="0"/>
    <m/>
    <m/>
    <m/>
    <m/>
    <x v="12"/>
    <m/>
    <m/>
    <s v="Defense White Paper Appendix"/>
    <m/>
  </r>
  <r>
    <x v="1"/>
    <x v="1"/>
    <s v="Asia"/>
    <s v="Comprehensive Cooperative Partnership [全面合作伙伴关系]"/>
    <x v="0"/>
    <s v="INDOPACOM"/>
    <x v="52"/>
    <x v="16"/>
    <n v="11"/>
    <s v="BL - Abroad"/>
    <s v="Li Jinai"/>
    <m/>
    <s v="GPD Director; CMC Member"/>
    <n v="8"/>
    <x v="1"/>
    <m/>
    <x v="0"/>
    <m/>
    <m/>
    <m/>
    <m/>
    <x v="12"/>
    <m/>
    <m/>
    <s v="Defense White Paper Appendix"/>
    <m/>
  </r>
  <r>
    <x v="1"/>
    <x v="10"/>
    <s v="America and Oceania"/>
    <s v="Comprehensive Partnership [全面伙伴关系]"/>
    <x v="0"/>
    <s v="SOUTHCOM"/>
    <x v="54"/>
    <x v="16"/>
    <n v="11"/>
    <s v="BL - Hosted"/>
    <s v="Cao Gangchuan"/>
    <m/>
    <s v="CMC Vice Chairman; Defense Minister"/>
    <n v="8"/>
    <x v="2"/>
    <s v="Defense Minister"/>
    <x v="0"/>
    <m/>
    <m/>
    <m/>
    <m/>
    <x v="12"/>
    <m/>
    <m/>
    <s v="Defense White Paper Appendix"/>
    <m/>
  </r>
  <r>
    <x v="1"/>
    <x v="4"/>
    <s v="Asia"/>
    <s v="Comprehensive Cooperative Partnership [全面合作伙伴关系]"/>
    <x v="3"/>
    <s v="INDOPACOM"/>
    <x v="25"/>
    <x v="16"/>
    <n v="11"/>
    <s v="BL - Hosted"/>
    <s v="Cao Gangchuan"/>
    <m/>
    <s v="CMC Vice Chairman; Defense Minister"/>
    <n v="8"/>
    <x v="2"/>
    <s v="Chairman JCS"/>
    <x v="0"/>
    <m/>
    <m/>
    <m/>
    <m/>
    <x v="12"/>
    <m/>
    <m/>
    <s v="Defense White Paper Appendix"/>
    <m/>
  </r>
  <r>
    <x v="1"/>
    <x v="8"/>
    <s v="Europe and Central Asia"/>
    <s v="No Specific Relationship"/>
    <x v="0"/>
    <s v="EUCOM"/>
    <x v="92"/>
    <x v="16"/>
    <n v="11"/>
    <s v="BL - Abroad"/>
    <s v="Jing Zhiyuan"/>
    <m/>
    <s v="PLASAF Commander; CMC Member"/>
    <n v="8"/>
    <x v="1"/>
    <m/>
    <x v="0"/>
    <m/>
    <m/>
    <m/>
    <m/>
    <x v="12"/>
    <m/>
    <m/>
    <s v="Defense White Paper Appendix"/>
    <m/>
  </r>
  <r>
    <x v="1"/>
    <x v="9"/>
    <s v="West Asia and Africa"/>
    <s v="No Specific Relationship"/>
    <x v="0"/>
    <s v="CENTCOM"/>
    <x v="102"/>
    <x v="16"/>
    <n v="11"/>
    <s v="BL - Abroad"/>
    <s v="Sun Dafa"/>
    <m/>
    <s v="GLD Political Commissar"/>
    <n v="6"/>
    <x v="1"/>
    <m/>
    <x v="0"/>
    <m/>
    <m/>
    <m/>
    <m/>
    <x v="12"/>
    <m/>
    <m/>
    <s v="Defense White Paper Appendix"/>
    <m/>
  </r>
  <r>
    <x v="1"/>
    <x v="1"/>
    <s v="Asia"/>
    <s v="Strategic Partnership [战略伙伴关系]"/>
    <x v="3"/>
    <s v="INDOPACOM"/>
    <x v="5"/>
    <x v="16"/>
    <n v="11"/>
    <s v="BL - Abroad"/>
    <s v="Cao Gangchuan"/>
    <m/>
    <s v="CMC Vice Chairman; Defense Minister"/>
    <n v="8"/>
    <x v="2"/>
    <s v="Supreme Commander Armed Forces"/>
    <x v="0"/>
    <m/>
    <m/>
    <m/>
    <m/>
    <x v="12"/>
    <m/>
    <m/>
    <s v="Defense White Paper Appendix"/>
    <m/>
  </r>
  <r>
    <x v="1"/>
    <x v="6"/>
    <s v="Europe and Central Asia"/>
    <s v="No Specific Relationship"/>
    <x v="0"/>
    <s v="CENTCOM"/>
    <x v="55"/>
    <x v="16"/>
    <n v="11"/>
    <s v="BL - Hosted"/>
    <s v="Cao Gangchuan"/>
    <m/>
    <s v="CMC Vice Chairman; Defense Minister"/>
    <n v="6"/>
    <x v="2"/>
    <s v="Army Commander"/>
    <x v="0"/>
    <m/>
    <m/>
    <m/>
    <m/>
    <x v="12"/>
    <m/>
    <m/>
    <s v="https://dlib.eastview.com/browse/doc/24526495"/>
    <m/>
  </r>
  <r>
    <x v="1"/>
    <x v="2"/>
    <s v="America and Oceania"/>
    <s v="No Specific Relationship"/>
    <x v="2"/>
    <s v="NORTHCOM"/>
    <x v="4"/>
    <x v="16"/>
    <n v="11"/>
    <s v="BL - Hosted"/>
    <s v="Xu Caihou"/>
    <m/>
    <s v="CMC Vice Chairman"/>
    <n v="10"/>
    <x v="2"/>
    <s v="Secretary of Defense"/>
    <x v="0"/>
    <m/>
    <m/>
    <m/>
    <m/>
    <x v="12"/>
    <m/>
    <m/>
    <s v="Defense White Paper Appendix"/>
    <m/>
  </r>
  <r>
    <x v="1"/>
    <x v="1"/>
    <s v="Asia"/>
    <s v="No Specific Relationship"/>
    <x v="0"/>
    <s v="INDOPACOM"/>
    <x v="23"/>
    <x v="16"/>
    <n v="11"/>
    <s v="BL - Abroad"/>
    <s v="Li Jinai"/>
    <m/>
    <s v="GPD Director; CMC Member"/>
    <n v="8"/>
    <x v="1"/>
    <m/>
    <x v="0"/>
    <m/>
    <m/>
    <m/>
    <m/>
    <x v="12"/>
    <m/>
    <m/>
    <s v="Defense White Paper Appendix"/>
    <m/>
  </r>
  <r>
    <x v="1"/>
    <x v="7"/>
    <s v="West Asia and Africa"/>
    <s v="No Specific Relationship"/>
    <x v="0"/>
    <s v="AFRICOM"/>
    <x v="87"/>
    <x v="16"/>
    <n v="12"/>
    <s v="BL - Hosted"/>
    <s v="Cao Gangchuan"/>
    <m/>
    <s v="CMC Vice Chairman; Defense Minister"/>
    <n v="10"/>
    <x v="2"/>
    <s v="Defense Minister"/>
    <x v="0"/>
    <m/>
    <m/>
    <m/>
    <m/>
    <x v="12"/>
    <m/>
    <m/>
    <s v="Defense White Paper Appendix"/>
    <m/>
  </r>
  <r>
    <x v="2"/>
    <x v="0"/>
    <s v="Asia"/>
    <s v="Strategic Partnership for Peace and Prosperity [战略伙伴关系]"/>
    <x v="0"/>
    <s v="INDOPACOM"/>
    <x v="6"/>
    <x v="16"/>
    <n v="12"/>
    <s v="Military Exercise - Bilateral"/>
    <m/>
    <m/>
    <m/>
    <m/>
    <x v="0"/>
    <m/>
    <x v="1"/>
    <s v="Hand-in-Hand 2007"/>
    <s v="Army"/>
    <s v="Anti-terrorism"/>
    <m/>
    <x v="12"/>
    <m/>
    <m/>
    <s v="Defense White Paper Appendix"/>
    <m/>
  </r>
  <r>
    <x v="1"/>
    <x v="9"/>
    <s v="West Asia and Africa"/>
    <s v="No Specific Relationship"/>
    <x v="1"/>
    <s v="CENTCOM"/>
    <x v="100"/>
    <x v="16"/>
    <n v="12"/>
    <s v="BL - Abroad"/>
    <s v="Ma Xiaotian"/>
    <m/>
    <s v="GSD DCGS"/>
    <n v="6"/>
    <x v="1"/>
    <m/>
    <x v="0"/>
    <m/>
    <m/>
    <m/>
    <m/>
    <x v="12"/>
    <m/>
    <m/>
    <s v="Defense White Paper Appendix"/>
    <m/>
  </r>
  <r>
    <x v="1"/>
    <x v="9"/>
    <s v="West Asia and Africa"/>
    <s v="No Specific Relationship"/>
    <x v="1"/>
    <s v="CENTCOM"/>
    <x v="101"/>
    <x v="16"/>
    <n v="12"/>
    <s v="BL - Abroad"/>
    <s v="Fu Tinggui"/>
    <m/>
    <s v="Beijing MR Political Commissar"/>
    <n v="6"/>
    <x v="1"/>
    <m/>
    <x v="0"/>
    <m/>
    <m/>
    <m/>
    <m/>
    <x v="12"/>
    <m/>
    <m/>
    <s v="Defense White Paper Appendix"/>
    <m/>
  </r>
  <r>
    <x v="1"/>
    <x v="7"/>
    <s v="West Asia and Africa"/>
    <s v="No Specific Relationship"/>
    <x v="0"/>
    <s v="AFRICOM"/>
    <x v="141"/>
    <x v="16"/>
    <n v="12"/>
    <s v="BL - Abroad"/>
    <s v="Fu Tinggui"/>
    <m/>
    <s v="Beijing MR Political Commissar"/>
    <n v="6"/>
    <x v="1"/>
    <m/>
    <x v="0"/>
    <m/>
    <m/>
    <m/>
    <m/>
    <x v="12"/>
    <m/>
    <m/>
    <s v="Defense White Paper Appendix"/>
    <m/>
  </r>
  <r>
    <x v="1"/>
    <x v="1"/>
    <s v="Asia"/>
    <s v="Strategic Cooperative Partnership [战略合作伙伴关系]"/>
    <x v="0"/>
    <s v="INDOPACOM"/>
    <x v="10"/>
    <x v="16"/>
    <n v="12"/>
    <s v="BL - Abroad"/>
    <s v="Zhang Li"/>
    <m/>
    <s v="GLD Deputy Director"/>
    <n v="6"/>
    <x v="1"/>
    <m/>
    <x v="0"/>
    <m/>
    <m/>
    <m/>
    <m/>
    <x v="12"/>
    <m/>
    <m/>
    <s v="Defense White Paper Appendix"/>
    <m/>
  </r>
  <r>
    <x v="1"/>
    <x v="7"/>
    <s v="West Asia and Africa"/>
    <s v="No Specific Relationship"/>
    <x v="1"/>
    <s v="AFRICOM"/>
    <x v="27"/>
    <x v="16"/>
    <n v="12"/>
    <s v="BL - Hosted"/>
    <s v="Chen Bingde"/>
    <m/>
    <s v="GAD Director; CMC Member"/>
    <n v="8"/>
    <x v="2"/>
    <s v="Inspector of Navy"/>
    <x v="0"/>
    <m/>
    <m/>
    <m/>
    <m/>
    <x v="12"/>
    <m/>
    <m/>
    <s v="Defense White Paper Appendix"/>
    <m/>
  </r>
  <r>
    <x v="1"/>
    <x v="8"/>
    <s v="Europe and Central Asia"/>
    <s v="Comprehensive Friendly Cooperative Partnership [全面友好合作伙伴关系]"/>
    <x v="5"/>
    <s v="EUCOM"/>
    <x v="33"/>
    <x v="16"/>
    <n v="12"/>
    <s v="BL - Hosted"/>
    <s v="Chen Bingde"/>
    <m/>
    <s v="GSD Commander; CMC Member"/>
    <n v="8"/>
    <x v="2"/>
    <s v="Army Chief of Staff"/>
    <x v="0"/>
    <m/>
    <m/>
    <m/>
    <m/>
    <x v="12"/>
    <m/>
    <m/>
    <s v="https://dlib.eastview.com/browse/doc/14723065"/>
    <m/>
  </r>
  <r>
    <x v="1"/>
    <x v="8"/>
    <s v="Europe and Central Asia"/>
    <s v="No Specific Relationship"/>
    <x v="5"/>
    <s v="EUCOM"/>
    <x v="38"/>
    <x v="16"/>
    <n v="12"/>
    <s v="BL - Abroad"/>
    <s v="Zhang Li"/>
    <m/>
    <s v="GLD Deputy Director"/>
    <n v="6"/>
    <x v="1"/>
    <m/>
    <x v="0"/>
    <m/>
    <m/>
    <m/>
    <m/>
    <x v="12"/>
    <m/>
    <m/>
    <s v="Defense White Paper Appendix"/>
    <m/>
  </r>
  <r>
    <x v="1"/>
    <x v="8"/>
    <s v="Europe and Central Asia"/>
    <s v="No Specific Relationship"/>
    <x v="0"/>
    <s v="EUCOM"/>
    <x v="26"/>
    <x v="16"/>
    <n v="12"/>
    <s v="BL - Hosted"/>
    <s v="Cao Gangchuan"/>
    <m/>
    <s v="CMC Vice Chairman; Defense Minister"/>
    <n v="10"/>
    <x v="2"/>
    <s v="Commander Defense Force"/>
    <x v="0"/>
    <m/>
    <m/>
    <m/>
    <m/>
    <x v="12"/>
    <m/>
    <m/>
    <s v="Defense White Paper Appendix"/>
    <m/>
  </r>
  <r>
    <x v="1"/>
    <x v="2"/>
    <s v="America and Oceania"/>
    <s v="No Specific Relationship"/>
    <x v="2"/>
    <s v="NORTHCOM"/>
    <x v="4"/>
    <x v="16"/>
    <n v="12"/>
    <s v="BL - Abroad"/>
    <s v="Jing Zhiyuan"/>
    <m/>
    <s v="PLASAF Commander; CMC Member"/>
    <n v="8"/>
    <x v="2"/>
    <s v="Chairman Armed Services Committee US House of Representatives"/>
    <x v="0"/>
    <m/>
    <m/>
    <m/>
    <m/>
    <x v="12"/>
    <m/>
    <m/>
    <s v="Defense White Paper Appendix"/>
    <m/>
  </r>
  <r>
    <x v="1"/>
    <x v="1"/>
    <s v="Asia"/>
    <s v="No Specific Relationship"/>
    <x v="0"/>
    <s v="INDOPACOM"/>
    <x v="44"/>
    <x v="17"/>
    <n v="1"/>
    <s v="BL - Abroad"/>
    <s v="Cao Gangchuan"/>
    <m/>
    <s v="CMC Vice Chairman; Defense Minister"/>
    <n v="8"/>
    <x v="1"/>
    <m/>
    <x v="0"/>
    <m/>
    <m/>
    <m/>
    <m/>
    <x v="12"/>
    <m/>
    <m/>
    <s v="Defense White Paper Appendix"/>
    <m/>
  </r>
  <r>
    <x v="1"/>
    <x v="1"/>
    <s v="Asia"/>
    <s v="Strategic Partnership [战略伙伴关系]"/>
    <x v="0"/>
    <s v="INDOPACOM"/>
    <x v="8"/>
    <x v="17"/>
    <n v="1"/>
    <s v="BL - Abroad"/>
    <s v="Cao Gangchuan"/>
    <m/>
    <s v="CMC Vice Chairman; Defense Minister"/>
    <n v="8"/>
    <x v="1"/>
    <m/>
    <x v="0"/>
    <m/>
    <m/>
    <m/>
    <m/>
    <x v="12"/>
    <m/>
    <m/>
    <s v="Defense White Paper Appendix"/>
    <m/>
  </r>
  <r>
    <x v="1"/>
    <x v="0"/>
    <s v="Asia"/>
    <s v="Good-Neighborly Partnership [世代友好的睦邻伙伴关系]"/>
    <x v="0"/>
    <s v="INDOPACOM"/>
    <x v="32"/>
    <x v="17"/>
    <n v="1"/>
    <s v="BL - Hosted"/>
    <s v="Cao Gangchuan"/>
    <m/>
    <s v="CMC Vice Chairman; Defense Minister"/>
    <n v="8"/>
    <x v="2"/>
    <s v="Chief of Army Staff"/>
    <x v="0"/>
    <m/>
    <m/>
    <m/>
    <m/>
    <x v="12"/>
    <m/>
    <m/>
    <s v="Defense White Paper Appendix"/>
    <s v="Recoded as South Asia"/>
  </r>
  <r>
    <x v="1"/>
    <x v="9"/>
    <s v="West Asia and Africa"/>
    <s v="No Specific Relationship"/>
    <x v="0"/>
    <s v="CENTCOM"/>
    <x v="142"/>
    <x v="17"/>
    <n v="1"/>
    <s v="BL - Abroad"/>
    <s v="Cao Gangchuan"/>
    <m/>
    <s v="CMC Vice Chairman; Defense Minister"/>
    <n v="8"/>
    <x v="1"/>
    <m/>
    <x v="0"/>
    <m/>
    <m/>
    <m/>
    <m/>
    <x v="12"/>
    <m/>
    <m/>
    <s v="Defense White Paper Appendix"/>
    <m/>
  </r>
  <r>
    <x v="1"/>
    <x v="1"/>
    <s v="Asia"/>
    <s v="No Specific Relationship"/>
    <x v="0"/>
    <s v="INDOPACOM"/>
    <x v="39"/>
    <x v="17"/>
    <n v="1"/>
    <s v="BL - Hosted"/>
    <s v="Cao Gangchuan"/>
    <m/>
    <s v="CMC Vice Chairman; Defense Minister"/>
    <n v="8"/>
    <x v="2"/>
    <s v="Permanent Secretary of Ministry of Defense"/>
    <x v="0"/>
    <m/>
    <m/>
    <m/>
    <m/>
    <x v="12"/>
    <m/>
    <m/>
    <s v="Defense White Paper Appendix"/>
    <m/>
  </r>
  <r>
    <x v="1"/>
    <x v="4"/>
    <s v="Asia"/>
    <s v="Strategic Cooperative Partnership [战略合作伙伴关系]"/>
    <x v="3"/>
    <s v="INDOPACOM"/>
    <x v="25"/>
    <x v="17"/>
    <n v="1"/>
    <s v="BL - Hosted"/>
    <s v="Chen Xiaogong "/>
    <m/>
    <s v="GSD DCGS"/>
    <n v="6"/>
    <x v="2"/>
    <s v="Army COGS"/>
    <x v="0"/>
    <m/>
    <m/>
    <m/>
    <m/>
    <x v="12"/>
    <m/>
    <m/>
    <s v="https://dlib.eastview.com/browse/doc/18636239"/>
    <m/>
  </r>
  <r>
    <x v="1"/>
    <x v="2"/>
    <s v="America and Oceania"/>
    <s v="No Specific Relationship"/>
    <x v="2"/>
    <s v="NORTHCOM"/>
    <x v="4"/>
    <x v="17"/>
    <n v="1"/>
    <s v="BL - Hosted"/>
    <s v="Chen Bingde"/>
    <m/>
    <s v="GSD Commander; CMC Member"/>
    <n v="8"/>
    <x v="2"/>
    <s v="PACOM Commander"/>
    <x v="0"/>
    <m/>
    <m/>
    <m/>
    <m/>
    <x v="12"/>
    <m/>
    <m/>
    <s v="Defense White Paper Appendix"/>
    <m/>
  </r>
  <r>
    <x v="1"/>
    <x v="4"/>
    <s v="Asia"/>
    <s v="Mutually Beneficial Strategic Relationship [战略互惠关系]"/>
    <x v="3"/>
    <s v="INDOPACOM"/>
    <x v="83"/>
    <x v="17"/>
    <n v="2"/>
    <s v="BL - Hosted"/>
    <s v="Cao Gangchuan"/>
    <m/>
    <s v="CMC Vice Chairman; Defense Minister"/>
    <n v="8"/>
    <x v="2"/>
    <s v="JCS"/>
    <x v="0"/>
    <m/>
    <m/>
    <m/>
    <m/>
    <x v="12"/>
    <m/>
    <m/>
    <s v="Defense White Paper Appendix"/>
    <m/>
  </r>
  <r>
    <x v="1"/>
    <x v="8"/>
    <s v="Europe and Central Asia"/>
    <s v="No Specific Relationship"/>
    <x v="0"/>
    <s v="EUCOM"/>
    <x v="78"/>
    <x v="17"/>
    <n v="2"/>
    <s v="BL - Hosted"/>
    <s v="Cao Gangchuan"/>
    <m/>
    <s v="CMC Vice Chairman; Defense Minister"/>
    <n v="8"/>
    <x v="2"/>
    <s v="Secretary General of Federal Department of Defense"/>
    <x v="0"/>
    <m/>
    <m/>
    <m/>
    <m/>
    <x v="12"/>
    <m/>
    <m/>
    <s v="Defense White Paper Appendix"/>
    <m/>
  </r>
  <r>
    <x v="1"/>
    <x v="8"/>
    <s v="Europe and Central Asia"/>
    <s v="Strategic Partnership [战略伙伴关系]"/>
    <x v="5"/>
    <s v="EUCOM"/>
    <x v="34"/>
    <x v="17"/>
    <n v="3"/>
    <s v="BL - Hosted"/>
    <s v="Cao Gangchuan"/>
    <m/>
    <s v="CMC Vice Chairman; Defense Minister"/>
    <n v="8"/>
    <x v="2"/>
    <s v="Defense Minister"/>
    <x v="0"/>
    <m/>
    <m/>
    <m/>
    <m/>
    <x v="12"/>
    <m/>
    <m/>
    <s v="Defense White Paper Appendix"/>
    <m/>
  </r>
  <r>
    <x v="1"/>
    <x v="7"/>
    <s v="West Asia and Africa"/>
    <s v="No Specific Relationship"/>
    <x v="0"/>
    <s v="AFRICOM"/>
    <x v="143"/>
    <x v="17"/>
    <n v="3"/>
    <s v="BL - Hosted"/>
    <s v="Liang Guanglie"/>
    <m/>
    <s v="Defense Minister; CMC Member"/>
    <n v="8"/>
    <x v="2"/>
    <s v="Defense Minister"/>
    <x v="0"/>
    <m/>
    <m/>
    <m/>
    <m/>
    <x v="12"/>
    <m/>
    <m/>
    <s v="Defense White Paper Appendix"/>
    <m/>
  </r>
  <r>
    <x v="1"/>
    <x v="8"/>
    <s v="Europe and Central Asia"/>
    <s v="No Specific Relationship"/>
    <x v="0"/>
    <s v="EUCOM"/>
    <x v="79"/>
    <x v="17"/>
    <n v="4"/>
    <s v="BL - Abroad"/>
    <s v="Wang Guosheng"/>
    <m/>
    <s v="Lanzhou MR Commander"/>
    <n v="6"/>
    <x v="1"/>
    <m/>
    <x v="0"/>
    <m/>
    <m/>
    <m/>
    <m/>
    <x v="12"/>
    <m/>
    <m/>
    <s v="Defense White Paper Appendix"/>
    <m/>
  </r>
  <r>
    <x v="1"/>
    <x v="1"/>
    <s v="Asia"/>
    <s v="Strategic Cooperative Partnership [战略合作伙伴关系]"/>
    <x v="0"/>
    <s v="INDOPACOM"/>
    <x v="10"/>
    <x v="17"/>
    <n v="4"/>
    <s v="BL - Hosted"/>
    <s v="Liang Guanglie"/>
    <m/>
    <s v="Defense Minister; CMC Member"/>
    <n v="8"/>
    <x v="2"/>
    <s v="Air Force Commander"/>
    <x v="0"/>
    <m/>
    <m/>
    <m/>
    <m/>
    <x v="12"/>
    <m/>
    <m/>
    <s v="Defense White Paper Appendix"/>
    <m/>
  </r>
  <r>
    <x v="1"/>
    <x v="4"/>
    <s v="Asia"/>
    <s v="Bilateral Defense Treaty"/>
    <x v="0"/>
    <s v="INDOPACOM"/>
    <x v="9"/>
    <x v="17"/>
    <n v="4"/>
    <s v="BL - Hosted"/>
    <s v="Liang Guanglie"/>
    <m/>
    <s v="Defense Minister; CMC Member"/>
    <n v="8"/>
    <x v="2"/>
    <s v="Chief of Air Force"/>
    <x v="0"/>
    <m/>
    <m/>
    <m/>
    <m/>
    <x v="12"/>
    <m/>
    <m/>
    <s v="Defense White Paper Appendix"/>
    <m/>
  </r>
  <r>
    <x v="1"/>
    <x v="0"/>
    <s v="Asia"/>
    <s v="Strategic Partnership [战略伙伴关系]"/>
    <x v="1"/>
    <s v="CENTCOM"/>
    <x v="2"/>
    <x v="17"/>
    <n v="4"/>
    <s v="BL - Hosted"/>
    <s v="Liang Guanglie"/>
    <m/>
    <s v="Defense Minister; CMC Member"/>
    <n v="8"/>
    <x v="2"/>
    <s v="Chief of Air Staff"/>
    <x v="0"/>
    <m/>
    <m/>
    <m/>
    <m/>
    <x v="12"/>
    <m/>
    <m/>
    <s v="Defense White Paper Appendix"/>
    <m/>
  </r>
  <r>
    <x v="1"/>
    <x v="8"/>
    <s v="Europe and Central Asia"/>
    <s v="Comprehensive Friendly Cooperative Partnership [全面友好合作伙伴关系]"/>
    <x v="5"/>
    <s v="EUCOM"/>
    <x v="33"/>
    <x v="17"/>
    <n v="4"/>
    <s v="BL - Abroad"/>
    <s v="Wang Guosheng"/>
    <m/>
    <s v="Lanzhou MR Commander"/>
    <n v="6"/>
    <x v="1"/>
    <m/>
    <x v="0"/>
    <m/>
    <m/>
    <m/>
    <m/>
    <x v="12"/>
    <m/>
    <m/>
    <s v="Defense White Paper Appendix"/>
    <m/>
  </r>
  <r>
    <x v="1"/>
    <x v="3"/>
    <s v="Europe and Central Asia"/>
    <s v="Strategic Partnership of Coordination [战略协作伙伴关系]"/>
    <x v="0"/>
    <s v="EUCOM"/>
    <x v="7"/>
    <x v="17"/>
    <n v="4"/>
    <s v="BL - Hosted"/>
    <s v="Liang Guanglie"/>
    <m/>
    <s v="Defense Minister; CMC Member"/>
    <n v="8"/>
    <x v="2"/>
    <s v="Chairman State Duma Defense Committee"/>
    <x v="0"/>
    <m/>
    <m/>
    <m/>
    <m/>
    <x v="12"/>
    <m/>
    <m/>
    <s v="Defense White Paper Appendix"/>
    <m/>
  </r>
  <r>
    <x v="1"/>
    <x v="4"/>
    <s v="Asia"/>
    <s v="Strategic Cooperative Partnership [战略合作伙伴关系]"/>
    <x v="3"/>
    <s v="INDOPACOM"/>
    <x v="25"/>
    <x v="17"/>
    <n v="4"/>
    <s v="BL - Abroad"/>
    <s v="Liu Dongdong"/>
    <m/>
    <s v="Jinan MR Political Commissar"/>
    <n v="6"/>
    <x v="1"/>
    <m/>
    <x v="0"/>
    <m/>
    <m/>
    <m/>
    <m/>
    <x v="12"/>
    <m/>
    <m/>
    <s v="Defense White Paper Appendix"/>
    <m/>
  </r>
  <r>
    <x v="1"/>
    <x v="8"/>
    <s v="Europe and Central Asia"/>
    <s v="Comprehensive Strategic Partnership [全面战略伙伴关系]"/>
    <x v="5"/>
    <s v="EUCOM"/>
    <x v="70"/>
    <x v="17"/>
    <n v="4"/>
    <s v="BL - Hosted"/>
    <s v="Liang Guanglie"/>
    <m/>
    <s v="Defense Minister; CMC Member"/>
    <n v="8"/>
    <x v="2"/>
    <s v="Chief of Naval Staff"/>
    <x v="0"/>
    <m/>
    <m/>
    <m/>
    <m/>
    <x v="12"/>
    <m/>
    <m/>
    <s v="Defense White Paper Appendix"/>
    <m/>
  </r>
  <r>
    <x v="1"/>
    <x v="2"/>
    <s v="America and Oceania"/>
    <s v="No Specific Relationship"/>
    <x v="2"/>
    <s v="NORTHCOM"/>
    <x v="4"/>
    <x v="17"/>
    <n v="4"/>
    <s v="BL - Hosted"/>
    <s v="Liang Guanglie"/>
    <m/>
    <s v="Defense Minister; CMC Member"/>
    <n v="8"/>
    <x v="2"/>
    <s v="Commandant, USMC"/>
    <x v="0"/>
    <m/>
    <m/>
    <m/>
    <m/>
    <x v="12"/>
    <m/>
    <m/>
    <s v="Defense White Paper Appendix"/>
    <m/>
  </r>
  <r>
    <x v="1"/>
    <x v="10"/>
    <s v="America and Oceania"/>
    <s v="Comprehensive Partnership [全面伙伴关系]"/>
    <x v="0"/>
    <s v="SOUTHCOM"/>
    <x v="66"/>
    <x v="17"/>
    <n v="5"/>
    <s v="BL - Hosted"/>
    <s v="Liang Guanglie"/>
    <m/>
    <s v="Defense Minister; CMC Member"/>
    <n v="8"/>
    <x v="2"/>
    <s v="Air Force Commander"/>
    <x v="0"/>
    <m/>
    <m/>
    <m/>
    <m/>
    <x v="12"/>
    <m/>
    <m/>
    <s v="Defense White Paper Appendix"/>
    <m/>
  </r>
  <r>
    <x v="1"/>
    <x v="1"/>
    <s v="Asia"/>
    <s v="No Specific Relationship"/>
    <x v="0"/>
    <s v="INDOPACOM"/>
    <x v="137"/>
    <x v="17"/>
    <n v="5"/>
    <s v="ML - Abroad"/>
    <s v="Ma Xiaotian"/>
    <m/>
    <s v="GSD DCGS"/>
    <n v="6"/>
    <x v="1"/>
    <s v="7th Shangri-La Dialogue"/>
    <x v="0"/>
    <m/>
    <m/>
    <m/>
    <m/>
    <x v="12"/>
    <m/>
    <m/>
    <s v="Defense White Paper Appendix"/>
    <m/>
  </r>
  <r>
    <x v="1"/>
    <x v="1"/>
    <s v="America and Oceania"/>
    <s v="No Specific Relationship"/>
    <x v="0"/>
    <s v="INDOPACOM"/>
    <x v="122"/>
    <x v="17"/>
    <n v="5"/>
    <s v="BL - Hosted"/>
    <s v="Liang Guanglie"/>
    <m/>
    <s v="Defense Minister; CMC Member"/>
    <n v="8"/>
    <x v="2"/>
    <s v="Defense Minister"/>
    <x v="0"/>
    <m/>
    <m/>
    <m/>
    <m/>
    <x v="12"/>
    <m/>
    <m/>
    <s v="Defense White Paper Appendix"/>
    <m/>
  </r>
  <r>
    <x v="1"/>
    <x v="6"/>
    <s v="Europe and Central Asia"/>
    <s v="Member"/>
    <x v="0"/>
    <s v="CENTCOM"/>
    <x v="14"/>
    <x v="17"/>
    <n v="5"/>
    <s v="ML - Abroad"/>
    <s v="Liang Guanglie"/>
    <m/>
    <s v="Defense Minister; CMC Member"/>
    <n v="8"/>
    <x v="1"/>
    <s v="Sixth official meeting of the SCO Ministers' of Defense in Tajikistan; Other countries: Kazakhstan, Kyrgyztan, Russia, Tajikistan, Uzbekistan"/>
    <x v="0"/>
    <m/>
    <m/>
    <m/>
    <m/>
    <x v="12"/>
    <m/>
    <m/>
    <s v="https://www.fmprc.gov.cn/mfa_eng/wjdt_665385/2649_665393/t355665.shtml"/>
    <m/>
  </r>
  <r>
    <x v="1"/>
    <x v="1"/>
    <s v="Asia"/>
    <s v="No Specific Relationship"/>
    <x v="0"/>
    <s v="INDOPACOM"/>
    <x v="39"/>
    <x v="17"/>
    <n v="5"/>
    <s v="BL - Abroad"/>
    <s v="Ma Xiaotian"/>
    <m/>
    <s v="GSD DCGS"/>
    <n v="6"/>
    <x v="1"/>
    <s v="Defense Minister"/>
    <x v="0"/>
    <m/>
    <m/>
    <m/>
    <m/>
    <x v="12"/>
    <m/>
    <m/>
    <s v="Defense White Paper Appendix"/>
    <m/>
  </r>
  <r>
    <x v="1"/>
    <x v="10"/>
    <s v="America and Oceania"/>
    <s v="No Specific Relationship"/>
    <x v="0"/>
    <s v="SOUTHCOM"/>
    <x v="91"/>
    <x v="17"/>
    <n v="5"/>
    <s v="BL - Hosted"/>
    <s v="Qi Jianguo"/>
    <m/>
    <s v="GSD Assistant Commander"/>
    <n v="5"/>
    <x v="2"/>
    <s v="Defense Minister"/>
    <x v="0"/>
    <m/>
    <m/>
    <m/>
    <m/>
    <x v="12"/>
    <m/>
    <m/>
    <s v="Defense White Paper Appendix"/>
    <m/>
  </r>
  <r>
    <x v="1"/>
    <x v="6"/>
    <s v="Europe and Central Asia"/>
    <s v="No Specific Relationship"/>
    <x v="0"/>
    <s v="CENTCOM"/>
    <x v="60"/>
    <x v="17"/>
    <n v="5"/>
    <s v="BL - Abroad"/>
    <s v="Liang Guanglie"/>
    <m/>
    <s v="Defense Minister; CMC Member"/>
    <n v="8"/>
    <x v="1"/>
    <m/>
    <x v="0"/>
    <m/>
    <m/>
    <m/>
    <m/>
    <x v="12"/>
    <m/>
    <m/>
    <s v="Defense White Paper Appendix"/>
    <m/>
  </r>
  <r>
    <x v="1"/>
    <x v="5"/>
    <s v="America and Oceania"/>
    <s v="No Specific Relationship"/>
    <x v="0"/>
    <s v="INDOPACOM"/>
    <x v="144"/>
    <x v="17"/>
    <n v="5"/>
    <s v="BL - Hosted"/>
    <s v="Liang Guanglie"/>
    <m/>
    <s v="Defense Minister; CMC Member"/>
    <n v="8"/>
    <x v="2"/>
    <s v="Defense Minister"/>
    <x v="0"/>
    <m/>
    <m/>
    <m/>
    <m/>
    <x v="12"/>
    <m/>
    <m/>
    <s v="Defense White Paper Appendix"/>
    <m/>
  </r>
  <r>
    <x v="1"/>
    <x v="9"/>
    <s v="West Asia and Africa"/>
    <s v="Strategic Cooperative Partnership [战略合作伙伴关系]"/>
    <x v="1"/>
    <s v="CENTCOM"/>
    <x v="24"/>
    <x v="17"/>
    <n v="6"/>
    <s v="BL - Hosted"/>
    <s v="Liang Guanglie"/>
    <m/>
    <s v="Defense Minister; CMC Member"/>
    <n v="8"/>
    <x v="2"/>
    <s v="COGS"/>
    <x v="0"/>
    <m/>
    <m/>
    <m/>
    <m/>
    <x v="12"/>
    <m/>
    <m/>
    <s v="Defense White Paper Appendix"/>
    <m/>
  </r>
  <r>
    <x v="1"/>
    <x v="8"/>
    <s v="Europe and Central Asia"/>
    <s v="No Specific Relationship"/>
    <x v="0"/>
    <s v="EUCOM"/>
    <x v="81"/>
    <x v="17"/>
    <n v="6"/>
    <s v="BL - Hosted"/>
    <s v="Liang Guanglie"/>
    <m/>
    <s v="Defense Minister; CMC Member"/>
    <n v="8"/>
    <x v="2"/>
    <s v="Defense Minister"/>
    <x v="0"/>
    <m/>
    <m/>
    <m/>
    <m/>
    <x v="12"/>
    <m/>
    <m/>
    <s v="Defense White Paper Appendix"/>
    <m/>
  </r>
  <r>
    <x v="1"/>
    <x v="8"/>
    <s v="Europe and Central Asia"/>
    <s v="Comprehensive Friendly Cooperative Partnership [全面友好合作伙伴关系]"/>
    <x v="5"/>
    <s v="EUCOM"/>
    <x v="33"/>
    <x v="17"/>
    <n v="6"/>
    <s v="BL - Hosted"/>
    <s v="Liang Guanglie"/>
    <m/>
    <s v="GSD Commander; CMC Member"/>
    <n v="8"/>
    <x v="2"/>
    <s v="Defense Minister"/>
    <x v="0"/>
    <m/>
    <m/>
    <m/>
    <m/>
    <x v="12"/>
    <m/>
    <m/>
    <s v="https://dlib.eastview.com/browse/doc/17685252"/>
    <m/>
  </r>
  <r>
    <x v="1"/>
    <x v="2"/>
    <s v="America and Oceania"/>
    <s v="No Specific Relationship"/>
    <x v="2"/>
    <s v="NORTHCOM"/>
    <x v="4"/>
    <x v="17"/>
    <n v="6"/>
    <s v="BL - Hosted"/>
    <s v="Xu Caihou"/>
    <m/>
    <s v="CMC Vice Chairman"/>
    <n v="10"/>
    <x v="2"/>
    <s v="former Secretary of Defense"/>
    <x v="0"/>
    <m/>
    <m/>
    <m/>
    <m/>
    <x v="12"/>
    <m/>
    <m/>
    <s v="Defense White Paper Appendix"/>
    <m/>
  </r>
  <r>
    <x v="1"/>
    <x v="5"/>
    <s v="America and Oceania"/>
    <s v="No Specific Relationship"/>
    <x v="4"/>
    <s v="INDOPACOM"/>
    <x v="12"/>
    <x v="17"/>
    <n v="7"/>
    <s v="BL - Hosted"/>
    <s v="Guo Boxiong"/>
    <m/>
    <s v="CMC Vice Chairman"/>
    <n v="10"/>
    <x v="2"/>
    <s v="Commander ADF"/>
    <x v="0"/>
    <m/>
    <m/>
    <m/>
    <m/>
    <x v="12"/>
    <m/>
    <m/>
    <s v="Defense White Paper Appendix"/>
    <m/>
  </r>
  <r>
    <x v="1"/>
    <x v="8"/>
    <s v="Europe and Central Asia"/>
    <s v="No Specific Relationship"/>
    <x v="0"/>
    <s v="EUCOM"/>
    <x v="79"/>
    <x v="17"/>
    <n v="7"/>
    <s v="BL - Hosted"/>
    <s v="Chen Xiaogong "/>
    <m/>
    <s v="GSD Assistant Commander"/>
    <n v="6"/>
    <x v="2"/>
    <s v="Chief of Army Staff"/>
    <x v="0"/>
    <m/>
    <m/>
    <m/>
    <m/>
    <x v="12"/>
    <m/>
    <m/>
    <s v="Defense White Paper Appendix"/>
    <m/>
  </r>
  <r>
    <x v="1"/>
    <x v="10"/>
    <s v="America and Oceania"/>
    <s v="No Specific Relationship"/>
    <x v="0"/>
    <s v="SOUTHCOM"/>
    <x v="88"/>
    <x v="17"/>
    <n v="7"/>
    <s v="BL - Hosted"/>
    <s v="Liang Guanglie"/>
    <m/>
    <s v="Defense Minister; CMC Member"/>
    <n v="8"/>
    <x v="2"/>
    <s v="Chief of Staff Defense Force"/>
    <x v="0"/>
    <m/>
    <m/>
    <m/>
    <m/>
    <x v="12"/>
    <m/>
    <m/>
    <s v="Defense White Paper Appendix"/>
    <m/>
  </r>
  <r>
    <x v="1"/>
    <x v="5"/>
    <s v="America and Oceania"/>
    <s v="No Specific Relationship"/>
    <x v="4"/>
    <s v="INDOPACOM"/>
    <x v="13"/>
    <x v="17"/>
    <n v="7"/>
    <s v="BL - Hosted"/>
    <s v="Chen Bingde"/>
    <m/>
    <s v="GSD Commander; CMC Member"/>
    <n v="8"/>
    <x v="2"/>
    <s v="Army Commander"/>
    <x v="0"/>
    <m/>
    <m/>
    <m/>
    <m/>
    <x v="12"/>
    <m/>
    <m/>
    <s v="Defense White Paper Appendix"/>
    <m/>
  </r>
  <r>
    <x v="1"/>
    <x v="1"/>
    <s v="Asia"/>
    <s v="Strategic Partnership [战略伙伴关系]"/>
    <x v="3"/>
    <s v="INDOPACOM"/>
    <x v="5"/>
    <x v="17"/>
    <n v="7"/>
    <s v="BL - Hosted"/>
    <s v="Liang Guanglie"/>
    <m/>
    <s v="Defense Minister; CMC Member"/>
    <n v="8"/>
    <x v="2"/>
    <s v="Defense Minister"/>
    <x v="0"/>
    <m/>
    <m/>
    <m/>
    <m/>
    <x v="12"/>
    <m/>
    <m/>
    <s v="Defense White Paper Appendix"/>
    <m/>
  </r>
  <r>
    <x v="2"/>
    <x v="1"/>
    <s v="Asia"/>
    <s v="Strategic Partnership [战略伙伴关系]"/>
    <x v="3"/>
    <s v="INDOPACOM"/>
    <x v="5"/>
    <x v="17"/>
    <n v="7"/>
    <s v="Military Exercise - Bilateral"/>
    <m/>
    <m/>
    <m/>
    <m/>
    <x v="0"/>
    <m/>
    <x v="1"/>
    <s v="Strike 2008"/>
    <s v="Army"/>
    <s v="Anti-terrorism"/>
    <m/>
    <x v="12"/>
    <m/>
    <m/>
    <s v="Defense White Paper Appendix"/>
    <m/>
  </r>
  <r>
    <x v="1"/>
    <x v="2"/>
    <s v="America and Oceania"/>
    <s v="No Specific Relationship"/>
    <x v="2"/>
    <s v="NORTHCOM"/>
    <x v="4"/>
    <x v="17"/>
    <n v="7"/>
    <s v="BL - Abroad"/>
    <s v="Zhang Qinsheng"/>
    <m/>
    <s v="Guangzhou MR Commander"/>
    <n v="6"/>
    <x v="1"/>
    <m/>
    <x v="0"/>
    <m/>
    <m/>
    <m/>
    <m/>
    <x v="12"/>
    <m/>
    <m/>
    <s v="Defense White Paper Appendix"/>
    <m/>
  </r>
  <r>
    <x v="1"/>
    <x v="8"/>
    <s v="Europe and Central Asia"/>
    <s v="No Specific Relationship"/>
    <x v="0"/>
    <s v="EUCOM"/>
    <x v="79"/>
    <x v="17"/>
    <n v="8"/>
    <s v="BL - Hosted"/>
    <s v="Liang Guanglie"/>
    <m/>
    <s v="Defense Minister; CMC Member"/>
    <n v="8"/>
    <x v="2"/>
    <s v="Defense Minister"/>
    <x v="0"/>
    <m/>
    <m/>
    <m/>
    <m/>
    <x v="12"/>
    <m/>
    <m/>
    <s v="Defense White Paper Appendix"/>
    <m/>
  </r>
  <r>
    <x v="1"/>
    <x v="8"/>
    <s v="Europe and Central Asia"/>
    <s v="No Specific Relationship"/>
    <x v="5"/>
    <s v="EUCOM"/>
    <x v="18"/>
    <x v="17"/>
    <n v="8"/>
    <s v="BL - Hosted"/>
    <s v="Liang Guanglie"/>
    <m/>
    <s v="Defense Minister; CMC Member"/>
    <n v="8"/>
    <x v="2"/>
    <s v="Defense Minister"/>
    <x v="0"/>
    <m/>
    <m/>
    <m/>
    <m/>
    <x v="12"/>
    <m/>
    <m/>
    <s v="Defense White Paper Appendix"/>
    <m/>
  </r>
  <r>
    <x v="1"/>
    <x v="2"/>
    <s v="America and Oceania"/>
    <s v="Strategic Cooperative Partnership [战略合作伙伴关系]"/>
    <x v="0"/>
    <s v="NORTHCOM"/>
    <x v="77"/>
    <x v="17"/>
    <n v="8"/>
    <s v="BL - Abroad"/>
    <s v="Ma Xiaotian"/>
    <m/>
    <s v="GSD DCGS"/>
    <n v="6"/>
    <x v="1"/>
    <m/>
    <x v="0"/>
    <m/>
    <m/>
    <m/>
    <m/>
    <x v="12"/>
    <m/>
    <m/>
    <s v="Defense White Paper Appendix"/>
    <m/>
  </r>
  <r>
    <x v="1"/>
    <x v="4"/>
    <s v="Asia"/>
    <s v="No Specific Relationship"/>
    <x v="0"/>
    <s v="INDOPACOM"/>
    <x v="53"/>
    <x v="17"/>
    <n v="8"/>
    <s v="BL - Abroad"/>
    <s v="Qi Jianguo"/>
    <m/>
    <s v="GSD Assistant Commander"/>
    <n v="5"/>
    <x v="1"/>
    <m/>
    <x v="0"/>
    <m/>
    <m/>
    <m/>
    <m/>
    <x v="12"/>
    <m/>
    <m/>
    <s v="Defense White Paper Appendix"/>
    <m/>
  </r>
  <r>
    <x v="1"/>
    <x v="1"/>
    <s v="Asia"/>
    <s v="No Specific Relationship"/>
    <x v="0"/>
    <s v="INDOPACOM"/>
    <x v="1"/>
    <x v="17"/>
    <n v="8"/>
    <s v="BL - Hosted"/>
    <s v="Liang Guanglie"/>
    <m/>
    <s v="Defense Minister; CMC Member"/>
    <n v="8"/>
    <x v="2"/>
    <s v="Chief of Defense Industries"/>
    <x v="0"/>
    <m/>
    <m/>
    <m/>
    <m/>
    <x v="12"/>
    <m/>
    <m/>
    <s v="Defense White Paper Appendix"/>
    <m/>
  </r>
  <r>
    <x v="1"/>
    <x v="10"/>
    <s v="America and Oceania"/>
    <s v="No Specific Relationship"/>
    <x v="0"/>
    <s v="SOUTHCOM"/>
    <x v="107"/>
    <x v="17"/>
    <n v="8"/>
    <s v="BL - Abroad"/>
    <s v="Ma Xiaotian"/>
    <m/>
    <s v="GSD DCGS"/>
    <n v="6"/>
    <x v="1"/>
    <m/>
    <x v="0"/>
    <m/>
    <m/>
    <m/>
    <m/>
    <x v="12"/>
    <m/>
    <m/>
    <s v="Defense White Paper Appendix"/>
    <m/>
  </r>
  <r>
    <x v="1"/>
    <x v="5"/>
    <s v="America and Oceania"/>
    <s v="No Specific Relationship"/>
    <x v="4"/>
    <s v="INDOPACOM"/>
    <x v="12"/>
    <x v="17"/>
    <n v="9"/>
    <s v="BL - Abroad"/>
    <s v="Peng Xiaofeng"/>
    <m/>
    <s v="PLASAF Political Commissar"/>
    <n v="6"/>
    <x v="1"/>
    <m/>
    <x v="0"/>
    <m/>
    <m/>
    <m/>
    <m/>
    <x v="12"/>
    <m/>
    <m/>
    <s v="Defense White Paper Appendix"/>
    <m/>
  </r>
  <r>
    <x v="1"/>
    <x v="8"/>
    <s v="Europe and Central Asia"/>
    <s v="Strategic Partnership [战略伙伴关系]"/>
    <x v="5"/>
    <s v="EUCOM"/>
    <x v="34"/>
    <x v="17"/>
    <n v="9"/>
    <s v="BL - Abroad"/>
    <s v="Liang Guanglie"/>
    <m/>
    <s v="Defense Minister; CMC Member"/>
    <n v="8"/>
    <x v="1"/>
    <m/>
    <x v="0"/>
    <m/>
    <m/>
    <m/>
    <m/>
    <x v="12"/>
    <m/>
    <m/>
    <s v="Defense White Paper Appendix"/>
    <m/>
  </r>
  <r>
    <x v="1"/>
    <x v="10"/>
    <s v="America and Oceania"/>
    <s v="Comprehensive Strategic Partnership [全面战略伙伴关系]"/>
    <x v="0"/>
    <s v="SOUTHCOM"/>
    <x v="43"/>
    <x v="17"/>
    <n v="9"/>
    <s v="BL - Abroad"/>
    <s v="Ma Xiaotian"/>
    <m/>
    <s v="GSD DCGS"/>
    <n v="6"/>
    <x v="1"/>
    <m/>
    <x v="0"/>
    <m/>
    <m/>
    <m/>
    <m/>
    <x v="12"/>
    <m/>
    <m/>
    <s v="Defense White Paper Appendix"/>
    <m/>
  </r>
  <r>
    <x v="1"/>
    <x v="1"/>
    <s v="Asia"/>
    <s v="No Specific Relationship"/>
    <x v="0"/>
    <s v="INDOPACOM"/>
    <x v="44"/>
    <x v="17"/>
    <n v="9"/>
    <s v="BL - Hosted"/>
    <s v="Chen Bingde"/>
    <m/>
    <s v="GSD Commander; CMC Member"/>
    <n v="8"/>
    <x v="2"/>
    <s v="Commander Armed Forces"/>
    <x v="0"/>
    <m/>
    <m/>
    <m/>
    <m/>
    <x v="12"/>
    <m/>
    <m/>
    <s v="Defense White Paper Appendix"/>
    <m/>
  </r>
  <r>
    <x v="1"/>
    <x v="7"/>
    <s v="West Asia and Africa"/>
    <s v="Friendly Cooperative Relationship [友好合作关系]"/>
    <x v="0"/>
    <s v="AFRICOM"/>
    <x v="65"/>
    <x v="17"/>
    <n v="9"/>
    <s v="BL - Hosted"/>
    <s v="Chen Bingde"/>
    <m/>
    <s v="GSD Commander; CMC Member"/>
    <n v="8"/>
    <x v="2"/>
    <s v="COGS"/>
    <x v="0"/>
    <m/>
    <m/>
    <m/>
    <m/>
    <x v="12"/>
    <m/>
    <m/>
    <s v="Defense White Paper Appendix"/>
    <m/>
  </r>
  <r>
    <x v="1"/>
    <x v="2"/>
    <s v="America and Oceania"/>
    <s v="Strategic Partnership [战略伙伴关系]"/>
    <x v="0"/>
    <s v="NORTHCOM"/>
    <x v="17"/>
    <x v="17"/>
    <n v="9"/>
    <s v="BL - Abroad"/>
    <s v="Wang Xibin"/>
    <m/>
    <s v="PLA NDU President"/>
    <n v="6"/>
    <x v="1"/>
    <m/>
    <x v="0"/>
    <m/>
    <m/>
    <m/>
    <m/>
    <x v="12"/>
    <m/>
    <m/>
    <s v="Defense White Paper Appendix"/>
    <m/>
  </r>
  <r>
    <x v="1"/>
    <x v="10"/>
    <s v="America and Oceania"/>
    <s v="Comprehensive Partnership [全面伙伴关系]"/>
    <x v="0"/>
    <s v="SOUTHCOM"/>
    <x v="66"/>
    <x v="17"/>
    <n v="9"/>
    <s v="BL - Abroad"/>
    <s v="Xu Qiliang"/>
    <m/>
    <s v="PLAAF Commander; CMC Member"/>
    <n v="8"/>
    <x v="1"/>
    <m/>
    <x v="0"/>
    <m/>
    <m/>
    <m/>
    <m/>
    <x v="12"/>
    <m/>
    <m/>
    <s v="Defense White Paper Appendix"/>
    <m/>
  </r>
  <r>
    <x v="1"/>
    <x v="10"/>
    <s v="America and Oceania"/>
    <s v="No Specific Relationship"/>
    <x v="0"/>
    <s v="SOUTHCOM"/>
    <x v="49"/>
    <x v="17"/>
    <n v="9"/>
    <s v="BL - Abroad"/>
    <s v="Xu Qiliang"/>
    <m/>
    <s v="PLAAF Commander; CMC Member"/>
    <n v="8"/>
    <x v="1"/>
    <m/>
    <x v="0"/>
    <m/>
    <m/>
    <m/>
    <m/>
    <x v="12"/>
    <m/>
    <m/>
    <s v="Defense White Paper Appendix"/>
    <m/>
  </r>
  <r>
    <x v="1"/>
    <x v="8"/>
    <s v="Europe and Central Asia"/>
    <s v="No Specific Relationship"/>
    <x v="5"/>
    <s v="EUCOM"/>
    <x v="18"/>
    <x v="17"/>
    <n v="9"/>
    <s v="BL - Abroad"/>
    <s v="Liang Guanglie"/>
    <m/>
    <s v="Defense Minister; CMC Member"/>
    <n v="8"/>
    <x v="1"/>
    <s v="Defense Minister"/>
    <x v="0"/>
    <m/>
    <m/>
    <m/>
    <m/>
    <x v="12"/>
    <m/>
    <m/>
    <s v="Defense White Paper Appendix"/>
    <m/>
  </r>
  <r>
    <x v="1"/>
    <x v="8"/>
    <s v="Europe and Central Asia"/>
    <s v="No Specific Relationship"/>
    <x v="5"/>
    <s v="EUCOM"/>
    <x v="82"/>
    <x v="17"/>
    <n v="9"/>
    <s v="BL - Abroad"/>
    <s v="Liang Guanglie"/>
    <m/>
    <s v="Defense Minister; CMC Member"/>
    <n v="8"/>
    <x v="1"/>
    <m/>
    <x v="0"/>
    <m/>
    <m/>
    <m/>
    <m/>
    <x v="12"/>
    <m/>
    <m/>
    <s v="Defense White Paper Appendix"/>
    <m/>
  </r>
  <r>
    <x v="1"/>
    <x v="8"/>
    <s v="Europe and Central Asia"/>
    <s v="Comprehensive Strategic Partnership [全面战略伙伴关系]"/>
    <x v="5"/>
    <s v="EUCOM"/>
    <x v="20"/>
    <x v="17"/>
    <n v="9"/>
    <s v="BL - Abroad"/>
    <s v="Liang Guanglie"/>
    <m/>
    <s v="Defense Minister; CMC Member"/>
    <n v="8"/>
    <x v="1"/>
    <m/>
    <x v="0"/>
    <m/>
    <m/>
    <m/>
    <m/>
    <x v="12"/>
    <m/>
    <m/>
    <s v="Defense White Paper Appendix"/>
    <m/>
  </r>
  <r>
    <x v="1"/>
    <x v="4"/>
    <s v="Asia"/>
    <s v="Mutually Beneficial Strategic Relationship [战略互惠关系]"/>
    <x v="3"/>
    <s v="INDOPACOM"/>
    <x v="83"/>
    <x v="17"/>
    <n v="9"/>
    <s v="BL - Abroad"/>
    <s v="Xu Qiliang"/>
    <m/>
    <s v="PLAAF Commander; CMC Member"/>
    <n v="8"/>
    <x v="1"/>
    <m/>
    <x v="0"/>
    <m/>
    <m/>
    <m/>
    <m/>
    <x v="12"/>
    <m/>
    <m/>
    <s v="Defense White Paper Appendix"/>
    <m/>
  </r>
  <r>
    <x v="1"/>
    <x v="7"/>
    <s v="West Asia and Africa"/>
    <s v="No Specific Relationship"/>
    <x v="0"/>
    <s v="AFRICOM"/>
    <x v="47"/>
    <x v="17"/>
    <n v="9"/>
    <s v="BL - Abroad"/>
    <s v="Fan Changlong"/>
    <m/>
    <s v="Jinan MR Commander"/>
    <n v="6"/>
    <x v="1"/>
    <m/>
    <x v="0"/>
    <m/>
    <m/>
    <m/>
    <m/>
    <x v="12"/>
    <m/>
    <m/>
    <s v="Defense White Paper Appendix"/>
    <m/>
  </r>
  <r>
    <x v="1"/>
    <x v="7"/>
    <s v="West Asia and Africa"/>
    <s v="No Specific Relationship"/>
    <x v="0"/>
    <s v="AFRICOM"/>
    <x v="69"/>
    <x v="17"/>
    <n v="9"/>
    <s v="BL - Abroad"/>
    <s v="Fan Changlong"/>
    <m/>
    <s v="Jinan MR Commander"/>
    <n v="6"/>
    <x v="1"/>
    <m/>
    <x v="0"/>
    <m/>
    <m/>
    <m/>
    <m/>
    <x v="12"/>
    <m/>
    <m/>
    <s v="Defense White Paper Appendix"/>
    <m/>
  </r>
  <r>
    <x v="1"/>
    <x v="0"/>
    <s v="Asia"/>
    <s v="Good-Neighborly Partnership [世代友好的睦邻伙伴关系]"/>
    <x v="0"/>
    <s v="INDOPACOM"/>
    <x v="32"/>
    <x v="17"/>
    <n v="9"/>
    <s v="BL - Hosted"/>
    <s v="Guo Boxiong"/>
    <m/>
    <s v="CMC Vice Chairman"/>
    <n v="8"/>
    <x v="2"/>
    <s v="Defense Minister"/>
    <x v="0"/>
    <m/>
    <m/>
    <m/>
    <m/>
    <x v="12"/>
    <m/>
    <m/>
    <s v="https://dlib.eastview.com/browse/doc/18952140"/>
    <s v="Recoded as South Asia"/>
  </r>
  <r>
    <x v="1"/>
    <x v="5"/>
    <s v="America and Oceania"/>
    <s v="No Specific Relationship"/>
    <x v="4"/>
    <s v="INDOPACOM"/>
    <x v="13"/>
    <x v="17"/>
    <n v="9"/>
    <s v="BL - Abroad"/>
    <s v="Peng Xiaofeng"/>
    <m/>
    <s v="PLASAF Political Commissar"/>
    <n v="6"/>
    <x v="1"/>
    <m/>
    <x v="0"/>
    <m/>
    <m/>
    <m/>
    <m/>
    <x v="12"/>
    <m/>
    <m/>
    <s v="Defense White Paper Appendix"/>
    <m/>
  </r>
  <r>
    <x v="1"/>
    <x v="8"/>
    <s v="Europe and Central Asia"/>
    <s v="No Specific Relationship"/>
    <x v="5"/>
    <s v="EUCOM"/>
    <x v="37"/>
    <x v="17"/>
    <n v="9"/>
    <s v="BL - Abroad"/>
    <s v="Chen Bingde"/>
    <m/>
    <s v="GSD Commander; CMC Member"/>
    <n v="8"/>
    <x v="1"/>
    <m/>
    <x v="0"/>
    <m/>
    <m/>
    <m/>
    <m/>
    <x v="12"/>
    <m/>
    <m/>
    <s v="Defense White Paper Appendix"/>
    <m/>
  </r>
  <r>
    <x v="1"/>
    <x v="0"/>
    <s v="Asia"/>
    <s v="Strategic Partnership [战略伙伴关系]"/>
    <x v="1"/>
    <s v="CENTCOM"/>
    <x v="2"/>
    <x v="17"/>
    <n v="9"/>
    <s v="BL - Hosted"/>
    <s v="Guo Boxiong"/>
    <m/>
    <s v="CMC Vice Chairman"/>
    <n v="10"/>
    <x v="2"/>
    <s v="Chief of Army Staff"/>
    <x v="0"/>
    <m/>
    <m/>
    <m/>
    <m/>
    <x v="12"/>
    <m/>
    <m/>
    <s v="Defense White Paper Appendix"/>
    <m/>
  </r>
  <r>
    <x v="1"/>
    <x v="8"/>
    <s v="Europe and Central Asia"/>
    <s v="No Specific Relationship"/>
    <x v="5"/>
    <s v="EUCOM"/>
    <x v="59"/>
    <x v="17"/>
    <n v="9"/>
    <s v="BL - Abroad"/>
    <s v="Huang Xianzhong"/>
    <m/>
    <s v="Shenyang MR Political Commissar"/>
    <n v="6"/>
    <x v="1"/>
    <m/>
    <x v="0"/>
    <m/>
    <m/>
    <m/>
    <m/>
    <x v="12"/>
    <m/>
    <m/>
    <s v="Defense White Paper Appendix"/>
    <m/>
  </r>
  <r>
    <x v="1"/>
    <x v="8"/>
    <s v="Europe and Central Asia"/>
    <s v="No Specific Relationship"/>
    <x v="0"/>
    <s v="EUCOM"/>
    <x v="112"/>
    <x v="17"/>
    <n v="9"/>
    <s v="BL - Abroad"/>
    <s v="Chen Bingde"/>
    <m/>
    <s v="GSD Commander; CMC Member"/>
    <n v="8"/>
    <x v="1"/>
    <s v="COGS"/>
    <x v="0"/>
    <m/>
    <m/>
    <m/>
    <m/>
    <x v="12"/>
    <m/>
    <m/>
    <s v="Defense White Paper Appendix"/>
    <m/>
  </r>
  <r>
    <x v="1"/>
    <x v="7"/>
    <s v="West Asia and Africa"/>
    <s v="Strategic Partnership [战略伙伴关系]"/>
    <x v="0"/>
    <s v="AFRICOM"/>
    <x v="15"/>
    <x v="17"/>
    <n v="9"/>
    <s v="BL - Abroad"/>
    <s v="Tong Shiping"/>
    <m/>
    <s v="GPD Deputy Director"/>
    <n v="6"/>
    <x v="1"/>
    <m/>
    <x v="0"/>
    <m/>
    <m/>
    <m/>
    <m/>
    <x v="12"/>
    <m/>
    <m/>
    <s v="Defense White Paper Appendix"/>
    <m/>
  </r>
  <r>
    <x v="1"/>
    <x v="8"/>
    <s v="Europe and Central Asia"/>
    <s v="No Specific Relationship"/>
    <x v="0"/>
    <s v="EUCOM"/>
    <x v="78"/>
    <x v="17"/>
    <n v="9"/>
    <s v="BL - Hosted"/>
    <s v="Guo Boxiong"/>
    <m/>
    <s v="CMC Vice Chairman"/>
    <n v="10"/>
    <x v="2"/>
    <s v="Defense Minister"/>
    <x v="0"/>
    <m/>
    <m/>
    <m/>
    <m/>
    <x v="12"/>
    <m/>
    <m/>
    <s v="Defense White Paper Appendix"/>
    <m/>
  </r>
  <r>
    <x v="1"/>
    <x v="7"/>
    <s v="West Asia and Africa"/>
    <s v="No Specific Relationship"/>
    <x v="0"/>
    <s v="AFRICOM"/>
    <x v="16"/>
    <x v="17"/>
    <n v="9"/>
    <s v="BL - Hosted"/>
    <s v="Ma Xiaotian"/>
    <m/>
    <s v="GSD DCGS"/>
    <n v="6"/>
    <x v="2"/>
    <s v="Chief of Staff Defense Force"/>
    <x v="0"/>
    <m/>
    <m/>
    <m/>
    <m/>
    <x v="12"/>
    <m/>
    <m/>
    <s v="https://dlib.eastview.com/browse/doc/18939547"/>
    <m/>
  </r>
  <r>
    <x v="1"/>
    <x v="8"/>
    <s v="Europe and Central Asia"/>
    <s v="Comprehensive Strategic Partnership [全面战略伙伴关系]"/>
    <x v="5"/>
    <s v="EUCOM"/>
    <x v="21"/>
    <x v="17"/>
    <n v="9"/>
    <s v="BL - Hosted"/>
    <s v="Liang Guanglie"/>
    <m/>
    <s v="Defense Minister; CMC Member"/>
    <n v="8"/>
    <x v="2"/>
    <s v="First Sea Lord and Chief of Naval Staff"/>
    <x v="0"/>
    <m/>
    <m/>
    <m/>
    <m/>
    <x v="12"/>
    <m/>
    <m/>
    <s v="Defense White Paper Appendix"/>
    <m/>
  </r>
  <r>
    <x v="1"/>
    <x v="2"/>
    <s v="America and Oceania"/>
    <s v="No Specific Relationship"/>
    <x v="2"/>
    <s v="NORTHCOM"/>
    <x v="4"/>
    <x v="17"/>
    <n v="9"/>
    <s v="BL - Abroad"/>
    <s v="Wang Xibin"/>
    <m/>
    <s v="PLA NDU President"/>
    <n v="6"/>
    <x v="1"/>
    <m/>
    <x v="0"/>
    <m/>
    <m/>
    <m/>
    <m/>
    <x v="12"/>
    <m/>
    <m/>
    <s v="Defense White Paper Appendix"/>
    <m/>
  </r>
  <r>
    <x v="1"/>
    <x v="7"/>
    <s v="West Asia and Africa"/>
    <s v="No Specific Relationship"/>
    <x v="0"/>
    <s v="AFRICOM"/>
    <x v="93"/>
    <x v="17"/>
    <n v="10"/>
    <s v="BL - Abroad"/>
    <s v="Qi Jianguo"/>
    <m/>
    <s v="GSD Assistant Commander"/>
    <n v="5"/>
    <x v="1"/>
    <m/>
    <x v="0"/>
    <m/>
    <m/>
    <m/>
    <m/>
    <x v="12"/>
    <m/>
    <m/>
    <s v="Defense White Paper Appendix"/>
    <m/>
  </r>
  <r>
    <x v="1"/>
    <x v="1"/>
    <s v="Asia"/>
    <s v="Comprehensive Cooperative Partnership [全面合作伙伴关系]"/>
    <x v="0"/>
    <s v="INDOPACOM"/>
    <x v="94"/>
    <x v="17"/>
    <n v="10"/>
    <s v="BL - Abroad"/>
    <s v="Ma Xiaotian"/>
    <m/>
    <s v="GSD DCGS"/>
    <n v="6"/>
    <x v="1"/>
    <m/>
    <x v="0"/>
    <m/>
    <m/>
    <m/>
    <m/>
    <x v="12"/>
    <m/>
    <m/>
    <s v="Defense White Paper Appendix"/>
    <m/>
  </r>
  <r>
    <x v="1"/>
    <x v="10"/>
    <s v="America and Oceania"/>
    <s v="No Specific Relationship"/>
    <x v="0"/>
    <s v="SOUTHCOM"/>
    <x v="45"/>
    <x v="17"/>
    <n v="10"/>
    <s v="BL - Hosted"/>
    <s v="Liang Guanglie"/>
    <m/>
    <s v="Defense Minister; CMC Member"/>
    <n v="8"/>
    <x v="2"/>
    <s v="Commander Armed Forces"/>
    <x v="0"/>
    <m/>
    <m/>
    <m/>
    <m/>
    <x v="12"/>
    <m/>
    <m/>
    <s v="Defense White Paper Appendix"/>
    <m/>
  </r>
  <r>
    <x v="1"/>
    <x v="7"/>
    <s v="West Asia and Africa"/>
    <s v="Friendly Cooperative Partnership [友好合作伙伴关系]"/>
    <x v="0"/>
    <s v="AFRICOM"/>
    <x v="118"/>
    <x v="17"/>
    <n v="10"/>
    <s v="BL - Hosted"/>
    <s v="Liang Guanglie"/>
    <m/>
    <s v="Defense Minister; CMC Member"/>
    <n v="8"/>
    <x v="2"/>
    <s v="COGS"/>
    <x v="0"/>
    <m/>
    <m/>
    <m/>
    <m/>
    <x v="12"/>
    <m/>
    <m/>
    <s v="Defense White Paper Appendix"/>
    <m/>
  </r>
  <r>
    <x v="1"/>
    <x v="10"/>
    <s v="America and Oceania"/>
    <s v="No Specific Relationship"/>
    <x v="0"/>
    <s v="SOUTHCOM"/>
    <x v="51"/>
    <x v="17"/>
    <n v="10"/>
    <s v="BL - Hosted"/>
    <s v="Liang Guanglie"/>
    <m/>
    <s v="Defense Minister; CMC Member"/>
    <n v="8"/>
    <x v="2"/>
    <s v="Defense Minister"/>
    <x v="0"/>
    <m/>
    <m/>
    <m/>
    <m/>
    <x v="12"/>
    <m/>
    <m/>
    <s v="Defense White Paper Appendix"/>
    <m/>
  </r>
  <r>
    <x v="1"/>
    <x v="9"/>
    <s v="West Asia and Africa"/>
    <s v="Strategic Cooperative Partnership [战略合作伙伴关系]"/>
    <x v="1"/>
    <s v="CENTCOM"/>
    <x v="24"/>
    <x v="17"/>
    <n v="10"/>
    <s v="BL - Abroad"/>
    <s v="Zhang Haiyang"/>
    <m/>
    <s v="Chengdu MR Political Commissar"/>
    <n v="6"/>
    <x v="1"/>
    <m/>
    <x v="0"/>
    <m/>
    <m/>
    <m/>
    <m/>
    <x v="12"/>
    <m/>
    <m/>
    <s v="Defense White Paper Appendix"/>
    <m/>
  </r>
  <r>
    <x v="1"/>
    <x v="8"/>
    <s v="Europe and Central Asia"/>
    <s v="Comprehensive Strategic Partnership [全面战略伙伴关系]"/>
    <x v="5"/>
    <s v="EUCOM"/>
    <x v="29"/>
    <x v="17"/>
    <n v="10"/>
    <s v="BL - Abroad"/>
    <s v="Tong Shiping"/>
    <m/>
    <s v="GPD Deputy Director"/>
    <n v="6"/>
    <x v="1"/>
    <m/>
    <x v="0"/>
    <m/>
    <m/>
    <m/>
    <m/>
    <x v="12"/>
    <m/>
    <m/>
    <s v="Defense White Paper Appendix"/>
    <m/>
  </r>
  <r>
    <x v="1"/>
    <x v="8"/>
    <s v="Europe and Central Asia"/>
    <s v="No Specific Relationship"/>
    <x v="5"/>
    <s v="EUCOM"/>
    <x v="82"/>
    <x v="17"/>
    <n v="10"/>
    <s v="BL - Abroad"/>
    <s v="Liu Yuan"/>
    <m/>
    <s v="AMS Political Commissar"/>
    <n v="6"/>
    <x v="1"/>
    <m/>
    <x v="0"/>
    <m/>
    <m/>
    <m/>
    <m/>
    <x v="12"/>
    <m/>
    <m/>
    <s v="Defense White Paper Appendix"/>
    <m/>
  </r>
  <r>
    <x v="1"/>
    <x v="10"/>
    <s v="America and Oceania"/>
    <s v="Friendly Partnership [友好伙伴关系)]"/>
    <x v="0"/>
    <s v="SOUTHCOM"/>
    <x v="145"/>
    <x v="17"/>
    <n v="10"/>
    <s v="BL - Hosted"/>
    <s v="Chen Bingde"/>
    <m/>
    <s v="GSD Commander; CMC Member"/>
    <n v="8"/>
    <x v="2"/>
    <s v="Chief of Defense Force"/>
    <x v="0"/>
    <m/>
    <m/>
    <m/>
    <m/>
    <x v="12"/>
    <m/>
    <m/>
    <s v="Defense White Paper Appendix"/>
    <m/>
  </r>
  <r>
    <x v="1"/>
    <x v="7"/>
    <s v="West Asia and Africa"/>
    <s v="No Specific Relationship"/>
    <x v="0"/>
    <s v="AFRICOM"/>
    <x v="114"/>
    <x v="17"/>
    <n v="10"/>
    <s v="BL - Abroad"/>
    <s v="Qi Jianguo"/>
    <m/>
    <s v="GSD Assistant Commander"/>
    <n v="5"/>
    <x v="1"/>
    <m/>
    <x v="0"/>
    <m/>
    <m/>
    <m/>
    <m/>
    <x v="12"/>
    <m/>
    <m/>
    <s v="Defense White Paper Appendix"/>
    <m/>
  </r>
  <r>
    <x v="1"/>
    <x v="1"/>
    <s v="Asia"/>
    <s v="No Specific Relationship"/>
    <x v="0"/>
    <s v="INDOPACOM"/>
    <x v="1"/>
    <x v="17"/>
    <n v="10"/>
    <s v="BL - Abroad"/>
    <s v="Ma Xiaotian"/>
    <m/>
    <s v="GSD DCGS"/>
    <n v="6"/>
    <x v="1"/>
    <m/>
    <x v="0"/>
    <m/>
    <m/>
    <m/>
    <m/>
    <x v="12"/>
    <m/>
    <m/>
    <s v="Defense White Paper Appendix"/>
    <m/>
  </r>
  <r>
    <x v="1"/>
    <x v="1"/>
    <s v="Asia"/>
    <s v="Strategic Cooperative Partnership [战略合作伙伴关系]"/>
    <x v="3"/>
    <s v="INDOPACOM"/>
    <x v="11"/>
    <x v="17"/>
    <n v="10"/>
    <s v="BL - Hosted"/>
    <s v="Liang Guanglie"/>
    <m/>
    <s v="Defense Minister; CMC Member"/>
    <n v="8"/>
    <x v="2"/>
    <s v="Air Force Commander"/>
    <x v="0"/>
    <m/>
    <m/>
    <m/>
    <m/>
    <x v="12"/>
    <m/>
    <m/>
    <s v="Defense White Paper Appendix"/>
    <m/>
  </r>
  <r>
    <x v="1"/>
    <x v="8"/>
    <s v="Europe and Central Asia"/>
    <s v="Comprehensive Friendly Cooperative Partnership [全面友好合作伙伴关系]"/>
    <x v="5"/>
    <s v="EUCOM"/>
    <x v="33"/>
    <x v="17"/>
    <n v="10"/>
    <s v="BL - Abroad"/>
    <s v="Liu Yuan"/>
    <m/>
    <s v="AMS Political Commissar"/>
    <n v="6"/>
    <x v="1"/>
    <m/>
    <x v="0"/>
    <m/>
    <m/>
    <m/>
    <m/>
    <x v="12"/>
    <m/>
    <m/>
    <s v="Defense White Paper Appendix"/>
    <m/>
  </r>
  <r>
    <x v="1"/>
    <x v="1"/>
    <s v="Asia"/>
    <s v="No Specific Relationship"/>
    <x v="0"/>
    <s v="INDOPACOM"/>
    <x v="39"/>
    <x v="17"/>
    <n v="10"/>
    <s v="BL - Hosted"/>
    <s v="Liang Guanglie"/>
    <m/>
    <s v="Defense Minister; CMC Member"/>
    <n v="8"/>
    <x v="2"/>
    <s v="Defense Minister"/>
    <x v="0"/>
    <m/>
    <m/>
    <m/>
    <m/>
    <x v="12"/>
    <m/>
    <m/>
    <s v="https://dlib.eastview.com/browse/doc/19041905"/>
    <m/>
  </r>
  <r>
    <x v="1"/>
    <x v="4"/>
    <s v="Asia"/>
    <s v="Strategic Cooperative Partnership [战略合作伙伴关系]"/>
    <x v="3"/>
    <s v="INDOPACOM"/>
    <x v="25"/>
    <x v="17"/>
    <n v="10"/>
    <s v="BL - Abroad"/>
    <s v="Ma Xiaotian"/>
    <m/>
    <s v="GSD DCGS"/>
    <n v="6"/>
    <x v="1"/>
    <m/>
    <x v="0"/>
    <m/>
    <m/>
    <m/>
    <m/>
    <x v="12"/>
    <m/>
    <m/>
    <s v="Defense White Paper Appendix"/>
    <m/>
  </r>
  <r>
    <x v="1"/>
    <x v="8"/>
    <s v="Europe and Central Asia"/>
    <s v="No Specific Relationship"/>
    <x v="0"/>
    <s v="EUCOM"/>
    <x v="92"/>
    <x v="17"/>
    <n v="10"/>
    <s v="BL - Hosted"/>
    <s v="Liang Guanglie"/>
    <m/>
    <s v="Defense Minister; CMC Member"/>
    <n v="8"/>
    <x v="2"/>
    <s v="Supreme Commander Armed Forces"/>
    <x v="0"/>
    <m/>
    <m/>
    <m/>
    <m/>
    <x v="12"/>
    <m/>
    <m/>
    <s v="Defense White Paper Appendix"/>
    <m/>
  </r>
  <r>
    <x v="1"/>
    <x v="9"/>
    <s v="West Asia and Africa"/>
    <s v="No Specific Relationship"/>
    <x v="0"/>
    <s v="CENTCOM"/>
    <x v="102"/>
    <x v="17"/>
    <n v="10"/>
    <s v="BL - Abroad"/>
    <s v="Zhang Haiyang"/>
    <m/>
    <s v="Chengdu MR Political Commissar"/>
    <n v="6"/>
    <x v="1"/>
    <m/>
    <x v="0"/>
    <m/>
    <m/>
    <m/>
    <m/>
    <x v="12"/>
    <m/>
    <m/>
    <s v="Defense White Paper Appendix"/>
    <m/>
  </r>
  <r>
    <x v="1"/>
    <x v="7"/>
    <s v="West Asia and Africa"/>
    <s v="No Specific Relationship"/>
    <x v="0"/>
    <s v="AFRICOM"/>
    <x v="16"/>
    <x v="17"/>
    <n v="10"/>
    <s v="BL - Abroad"/>
    <s v="Jing Zhiyuan"/>
    <m/>
    <s v="PLASAF Commander; CMC Member"/>
    <n v="8"/>
    <x v="1"/>
    <m/>
    <x v="0"/>
    <m/>
    <m/>
    <m/>
    <m/>
    <x v="12"/>
    <m/>
    <m/>
    <s v="Defense White Paper Appendix"/>
    <m/>
  </r>
  <r>
    <x v="1"/>
    <x v="7"/>
    <s v="West Asia and Africa"/>
    <s v="No Specific Relationship"/>
    <x v="0"/>
    <s v="AFRICOM"/>
    <x v="97"/>
    <x v="17"/>
    <n v="10"/>
    <s v="BL - Abroad"/>
    <s v="Jing Zhiyuan"/>
    <m/>
    <s v="PLASAF Commander; CMC Member"/>
    <n v="8"/>
    <x v="1"/>
    <m/>
    <x v="0"/>
    <m/>
    <m/>
    <m/>
    <m/>
    <x v="12"/>
    <m/>
    <m/>
    <s v="Defense White Paper Appendix"/>
    <m/>
  </r>
  <r>
    <x v="1"/>
    <x v="10"/>
    <s v="America and Oceania"/>
    <s v="Strategic Partnership [战略伙伴关系]"/>
    <x v="1"/>
    <s v="SOUTHCOM"/>
    <x v="62"/>
    <x v="17"/>
    <n v="11"/>
    <s v="BL - Abroad"/>
    <s v="Liu Chengjun"/>
    <m/>
    <s v="AMS President"/>
    <n v="6"/>
    <x v="1"/>
    <m/>
    <x v="0"/>
    <m/>
    <m/>
    <m/>
    <m/>
    <x v="12"/>
    <m/>
    <m/>
    <s v="Defense White Paper Appendix"/>
    <m/>
  </r>
  <r>
    <x v="1"/>
    <x v="9"/>
    <s v="West Asia and Africa"/>
    <s v="Friendly Cooperative Partnership [友好合作伙伴关系]"/>
    <x v="1"/>
    <s v="CENTCOM"/>
    <x v="146"/>
    <x v="17"/>
    <n v="11"/>
    <s v="BL - Abroad"/>
    <s v="Liang Guanglie"/>
    <m/>
    <s v="Defense Minister; CMC Member"/>
    <n v="8"/>
    <x v="1"/>
    <m/>
    <x v="0"/>
    <m/>
    <m/>
    <m/>
    <m/>
    <x v="12"/>
    <m/>
    <m/>
    <s v="Defense White Paper Appendix"/>
    <m/>
  </r>
  <r>
    <x v="1"/>
    <x v="10"/>
    <s v="America and Oceania"/>
    <s v="Comprehensive Strategic Partnership [全面战略伙伴关系]"/>
    <x v="0"/>
    <s v="SOUTHCOM"/>
    <x v="43"/>
    <x v="17"/>
    <n v="11"/>
    <s v="BL - Abroad"/>
    <s v="Xu Caihou"/>
    <m/>
    <s v="CMC Vice Chairman"/>
    <n v="10"/>
    <x v="1"/>
    <m/>
    <x v="0"/>
    <m/>
    <m/>
    <m/>
    <m/>
    <x v="12"/>
    <m/>
    <m/>
    <s v="Defense White Paper Appendix"/>
    <m/>
  </r>
  <r>
    <x v="1"/>
    <x v="8"/>
    <s v="Europe and Central Asia"/>
    <s v="No Specific Relationship"/>
    <x v="0"/>
    <s v="EUCOM"/>
    <x v="79"/>
    <x v="17"/>
    <n v="11"/>
    <s v="BL - Hosted"/>
    <s v="Xu Caihou"/>
    <m/>
    <s v="CMC Vice Chairman"/>
    <n v="10"/>
    <x v="2"/>
    <s v="COGS"/>
    <x v="0"/>
    <m/>
    <m/>
    <m/>
    <m/>
    <x v="12"/>
    <m/>
    <m/>
    <s v="Defense White Paper Appendix"/>
    <m/>
  </r>
  <r>
    <x v="1"/>
    <x v="10"/>
    <s v="America and Oceania"/>
    <s v="Comprehensive Partnership [全面伙伴关系]"/>
    <x v="0"/>
    <s v="SOUTHCOM"/>
    <x v="66"/>
    <x v="17"/>
    <n v="11"/>
    <s v="BL - Abroad"/>
    <s v="Xu Caihou"/>
    <m/>
    <s v="CMC Vice Chairman"/>
    <n v="10"/>
    <x v="1"/>
    <m/>
    <x v="0"/>
    <m/>
    <m/>
    <m/>
    <m/>
    <x v="12"/>
    <m/>
    <m/>
    <s v="Defense White Paper Appendix"/>
    <m/>
  </r>
  <r>
    <x v="1"/>
    <x v="7"/>
    <s v="West Asia and Africa"/>
    <s v="No Specific Relationship"/>
    <x v="0"/>
    <s v="AFRICOM"/>
    <x v="95"/>
    <x v="17"/>
    <n v="11"/>
    <s v="BL - Abroad"/>
    <s v="Tong Shiping"/>
    <m/>
    <s v="GPD Deputy Director"/>
    <n v="6"/>
    <x v="1"/>
    <m/>
    <x v="0"/>
    <m/>
    <m/>
    <m/>
    <m/>
    <x v="12"/>
    <m/>
    <m/>
    <s v="Defense White Paper Appendix"/>
    <m/>
  </r>
  <r>
    <x v="1"/>
    <x v="8"/>
    <s v="Europe and Central Asia"/>
    <s v="No Specific Relationship"/>
    <x v="5"/>
    <s v="EUCOM"/>
    <x v="18"/>
    <x v="17"/>
    <n v="11"/>
    <s v="BL - Hosted"/>
    <s v="Liang Guanglie"/>
    <m/>
    <s v="Defense Minister; CMC Member"/>
    <n v="8"/>
    <x v="2"/>
    <s v="Inspector of Navy"/>
    <x v="0"/>
    <m/>
    <m/>
    <m/>
    <m/>
    <x v="12"/>
    <m/>
    <m/>
    <s v="Defense White Paper Appendix"/>
    <m/>
  </r>
  <r>
    <x v="1"/>
    <x v="0"/>
    <s v="Asia"/>
    <s v="Strategic Partnership for Peace and Prosperity [战略伙伴关系]"/>
    <x v="0"/>
    <s v="INDOPACOM"/>
    <x v="6"/>
    <x v="17"/>
    <n v="11"/>
    <s v="BL - Abroad"/>
    <s v="Wu Shengli"/>
    <m/>
    <s v="PLAN Commander; CMC Member"/>
    <n v="8"/>
    <x v="1"/>
    <m/>
    <x v="0"/>
    <m/>
    <m/>
    <m/>
    <m/>
    <x v="12"/>
    <m/>
    <m/>
    <s v="Defense White Paper Appendix"/>
    <m/>
  </r>
  <r>
    <x v="1"/>
    <x v="4"/>
    <s v="Asia"/>
    <s v="Mutually Beneficial Strategic Relationship [战略互惠关系]"/>
    <x v="3"/>
    <s v="INDOPACOM"/>
    <x v="83"/>
    <x v="17"/>
    <n v="11"/>
    <s v="BL - Abroad"/>
    <s v="Wu Shengli"/>
    <m/>
    <s v="PLAN Commander; CMC Member"/>
    <n v="8"/>
    <x v="1"/>
    <m/>
    <x v="0"/>
    <m/>
    <m/>
    <m/>
    <m/>
    <x v="12"/>
    <m/>
    <m/>
    <s v="Defense White Paper Appendix"/>
    <m/>
  </r>
  <r>
    <x v="1"/>
    <x v="1"/>
    <s v="Asia"/>
    <s v="Comprehensive Cooperative Partnership [全面合作伙伴关系]"/>
    <x v="0"/>
    <s v="INDOPACOM"/>
    <x v="52"/>
    <x v="17"/>
    <n v="11"/>
    <s v="BL - Abroad"/>
    <s v="Ma Xiaotian"/>
    <m/>
    <s v="GSD DCGS"/>
    <n v="6"/>
    <x v="1"/>
    <m/>
    <x v="0"/>
    <m/>
    <m/>
    <m/>
    <m/>
    <x v="12"/>
    <m/>
    <m/>
    <s v="Defense White Paper Appendix"/>
    <m/>
  </r>
  <r>
    <x v="1"/>
    <x v="2"/>
    <s v="America and Oceania"/>
    <s v="Strategic Cooperative Partnership [战略合作伙伴关系]"/>
    <x v="0"/>
    <s v="NORTHCOM"/>
    <x v="77"/>
    <x v="17"/>
    <n v="11"/>
    <s v="BL - Abroad"/>
    <s v="Sun Dafa"/>
    <m/>
    <s v="GLD Political Commissar"/>
    <n v="6"/>
    <x v="1"/>
    <m/>
    <x v="0"/>
    <m/>
    <m/>
    <m/>
    <m/>
    <x v="12"/>
    <m/>
    <m/>
    <s v="Defense White Paper Appendix"/>
    <m/>
  </r>
  <r>
    <x v="1"/>
    <x v="7"/>
    <s v="West Asia and Africa"/>
    <s v="No Specific Relationship"/>
    <x v="1"/>
    <s v="AFRICOM"/>
    <x v="27"/>
    <x v="17"/>
    <n v="11"/>
    <s v="BL - Abroad"/>
    <s v="Tong Shiping"/>
    <m/>
    <s v="GPD Deputy Director"/>
    <n v="6"/>
    <x v="1"/>
    <m/>
    <x v="0"/>
    <m/>
    <m/>
    <m/>
    <m/>
    <x v="12"/>
    <m/>
    <m/>
    <s v="Defense White Paper Appendix"/>
    <m/>
  </r>
  <r>
    <x v="1"/>
    <x v="9"/>
    <s v="West Asia and Africa"/>
    <s v="No Specific Relationship"/>
    <x v="0"/>
    <s v="CENTCOM"/>
    <x v="147"/>
    <x v="17"/>
    <n v="11"/>
    <s v="BL - Abroad"/>
    <s v="Liang Guanglie"/>
    <m/>
    <s v="Defense Minister; CMC Member"/>
    <n v="8"/>
    <x v="1"/>
    <m/>
    <x v="0"/>
    <m/>
    <m/>
    <m/>
    <m/>
    <x v="12"/>
    <m/>
    <m/>
    <s v="Defense White Paper Appendix"/>
    <m/>
  </r>
  <r>
    <x v="1"/>
    <x v="9"/>
    <s v="West Asia and Africa"/>
    <s v="No Specific Relationship"/>
    <x v="0"/>
    <s v="CENTCOM"/>
    <x v="131"/>
    <x v="17"/>
    <n v="11"/>
    <s v="BL - Abroad"/>
    <s v="Liang Guanglie"/>
    <m/>
    <s v="Defense Minister; CMC Member"/>
    <n v="8"/>
    <x v="1"/>
    <m/>
    <x v="0"/>
    <m/>
    <m/>
    <m/>
    <m/>
    <x v="12"/>
    <m/>
    <m/>
    <s v="Defense White Paper Appendix"/>
    <m/>
  </r>
  <r>
    <x v="1"/>
    <x v="8"/>
    <s v="Europe and Central Asia"/>
    <s v="Comprehensive Friendly Cooperative Partnership [全面友好合作伙伴关系]"/>
    <x v="5"/>
    <s v="EUCOM"/>
    <x v="33"/>
    <x v="17"/>
    <n v="11"/>
    <s v="BL - Hosted"/>
    <s v="Guo Boxiong"/>
    <m/>
    <s v="CMC Vice Chairman"/>
    <n v="10"/>
    <x v="2"/>
    <s v="COGS"/>
    <x v="0"/>
    <m/>
    <m/>
    <m/>
    <m/>
    <x v="12"/>
    <m/>
    <m/>
    <s v="Defense White Paper Appendix"/>
    <m/>
  </r>
  <r>
    <x v="1"/>
    <x v="8"/>
    <s v="Europe and Central Asia"/>
    <s v="No Specific Relationship"/>
    <x v="0"/>
    <s v="EUCOM"/>
    <x v="112"/>
    <x v="17"/>
    <n v="11"/>
    <s v="BL - Hosted"/>
    <s v="Liang Guanglie"/>
    <m/>
    <s v="Defense Minister; CMC Member"/>
    <n v="8"/>
    <x v="2"/>
    <s v="Defense Minister"/>
    <x v="0"/>
    <m/>
    <m/>
    <m/>
    <m/>
    <x v="12"/>
    <m/>
    <m/>
    <s v="Defense White Paper Appendix"/>
    <m/>
  </r>
  <r>
    <x v="1"/>
    <x v="4"/>
    <s v="Asia"/>
    <s v="Strategic Cooperative Partnership [战略合作伙伴关系]"/>
    <x v="3"/>
    <s v="INDOPACOM"/>
    <x v="25"/>
    <x v="17"/>
    <n v="11"/>
    <s v="BL - Abroad"/>
    <s v="Wu Shengli"/>
    <m/>
    <s v="PLAN Commander; CMC Member"/>
    <n v="8"/>
    <x v="1"/>
    <m/>
    <x v="0"/>
    <m/>
    <m/>
    <m/>
    <m/>
    <x v="12"/>
    <m/>
    <m/>
    <s v="Defense White Paper Appendix"/>
    <m/>
  </r>
  <r>
    <x v="1"/>
    <x v="7"/>
    <s v="West Asia and Africa"/>
    <s v="No Specific Relationship"/>
    <x v="0"/>
    <s v="AFRICOM"/>
    <x v="16"/>
    <x v="17"/>
    <n v="11"/>
    <s v="BL - Abroad"/>
    <s v="Tong Shiping"/>
    <m/>
    <s v="GPD Deputy Director"/>
    <n v="6"/>
    <x v="1"/>
    <m/>
    <x v="0"/>
    <m/>
    <m/>
    <m/>
    <m/>
    <x v="12"/>
    <m/>
    <m/>
    <s v="Defense White Paper Appendix"/>
    <m/>
  </r>
  <r>
    <x v="1"/>
    <x v="1"/>
    <s v="Asia"/>
    <s v="Strategic Partnership [战略伙伴关系]"/>
    <x v="3"/>
    <s v="INDOPACOM"/>
    <x v="5"/>
    <x v="17"/>
    <n v="11"/>
    <s v="BL - Abroad"/>
    <s v="Wu Shengli"/>
    <m/>
    <s v="PLAN Commander; CMC Member"/>
    <n v="8"/>
    <x v="1"/>
    <m/>
    <x v="0"/>
    <m/>
    <m/>
    <m/>
    <m/>
    <x v="12"/>
    <m/>
    <m/>
    <s v="Defense White Paper Appendix"/>
    <m/>
  </r>
  <r>
    <x v="1"/>
    <x v="7"/>
    <s v="West Asia and Africa"/>
    <s v="No Specific Relationship"/>
    <x v="1"/>
    <s v="AFRICOM"/>
    <x v="85"/>
    <x v="17"/>
    <n v="11"/>
    <s v="BL - Abroad"/>
    <s v="Tong Shiping"/>
    <m/>
    <s v="GPD Deputy Director"/>
    <n v="6"/>
    <x v="1"/>
    <m/>
    <x v="0"/>
    <m/>
    <m/>
    <m/>
    <m/>
    <x v="12"/>
    <m/>
    <m/>
    <s v="Defense White Paper Appendix"/>
    <m/>
  </r>
  <r>
    <x v="1"/>
    <x v="9"/>
    <s v="West Asia and Africa"/>
    <s v="No Specific Relationship"/>
    <x v="0"/>
    <s v="CENTCOM"/>
    <x v="106"/>
    <x v="17"/>
    <n v="11"/>
    <s v="BL - Abroad"/>
    <s v="Liang Guanglie"/>
    <m/>
    <s v="Defense Minister; CMC Member"/>
    <n v="8"/>
    <x v="1"/>
    <m/>
    <x v="0"/>
    <m/>
    <m/>
    <m/>
    <m/>
    <x v="12"/>
    <m/>
    <m/>
    <s v="Defense White Paper Appendix"/>
    <m/>
  </r>
  <r>
    <x v="1"/>
    <x v="10"/>
    <s v="America and Oceania"/>
    <s v="Strategic Development Partnership [战略发展伙伴关系]"/>
    <x v="0"/>
    <s v="SOUTHCOM"/>
    <x v="56"/>
    <x v="17"/>
    <n v="11"/>
    <s v="BL - Abroad"/>
    <s v="Liu Chengjun"/>
    <m/>
    <s v="AMS President"/>
    <n v="6"/>
    <x v="1"/>
    <m/>
    <x v="0"/>
    <m/>
    <m/>
    <m/>
    <m/>
    <x v="12"/>
    <m/>
    <m/>
    <s v="Defense White Paper Appendix"/>
    <m/>
  </r>
  <r>
    <x v="1"/>
    <x v="1"/>
    <s v="Asia"/>
    <s v="Comprehensive Strategic Cooperative Partnership [全面战略合作伙伴关系]"/>
    <x v="0"/>
    <s v="INDOPACOM"/>
    <x v="23"/>
    <x v="17"/>
    <n v="11"/>
    <s v="BL - Abroad"/>
    <s v="Ma Xiaotian"/>
    <m/>
    <s v="GSD DCGS"/>
    <n v="6"/>
    <x v="1"/>
    <m/>
    <x v="0"/>
    <m/>
    <m/>
    <m/>
    <m/>
    <x v="12"/>
    <m/>
    <m/>
    <s v="Defense White Paper Appendix"/>
    <m/>
  </r>
  <r>
    <x v="0"/>
    <x v="1"/>
    <s v="Asia"/>
    <s v="Comprehensive Strategic Cooperative Partnership [全面战略合作伙伴关系]"/>
    <x v="0"/>
    <s v="INDOPACOM"/>
    <x v="23"/>
    <x v="17"/>
    <n v="11"/>
    <s v="Port Call - Friendly Visit "/>
    <m/>
    <m/>
    <m/>
    <m/>
    <x v="0"/>
    <m/>
    <x v="0"/>
    <m/>
    <m/>
    <m/>
    <s v="NETF"/>
    <x v="27"/>
    <m/>
    <m/>
    <s v="USCC Report 2009"/>
    <m/>
  </r>
  <r>
    <x v="1"/>
    <x v="9"/>
    <s v="West Asia and Africa"/>
    <s v="No Specific Relationship"/>
    <x v="0"/>
    <s v="CENTCOM"/>
    <x v="135"/>
    <x v="17"/>
    <n v="11"/>
    <s v="BL - Abroad"/>
    <s v="Ma Xiaotian"/>
    <m/>
    <s v="GSD DCGS"/>
    <n v="6"/>
    <x v="1"/>
    <m/>
    <x v="0"/>
    <m/>
    <m/>
    <m/>
    <m/>
    <x v="12"/>
    <m/>
    <m/>
    <s v="Defense White Paper Appendix"/>
    <m/>
  </r>
  <r>
    <x v="1"/>
    <x v="8"/>
    <s v="Europe and Central Asia"/>
    <s v="No Specific Relationship"/>
    <x v="0"/>
    <s v="EUCOM"/>
    <x v="63"/>
    <x v="17"/>
    <n v="12"/>
    <s v="BL - Hosted"/>
    <s v="Guo Boxiong"/>
    <m/>
    <s v="CMC Vice Chairman"/>
    <n v="10"/>
    <x v="2"/>
    <s v="Defense Minister"/>
    <x v="0"/>
    <m/>
    <m/>
    <m/>
    <m/>
    <x v="12"/>
    <m/>
    <m/>
    <s v="Defense White Paper Appendix"/>
    <m/>
  </r>
  <r>
    <x v="1"/>
    <x v="8"/>
    <s v="Europe and Central Asia"/>
    <s v="No Specific Relationship"/>
    <x v="0"/>
    <s v="EUCOM"/>
    <x v="124"/>
    <x v="17"/>
    <n v="12"/>
    <s v="BL - Hosted"/>
    <s v="Liang Guanglie"/>
    <m/>
    <s v="GSD Commander; CMC Member"/>
    <n v="8"/>
    <x v="2"/>
    <s v="Head JCS"/>
    <x v="0"/>
    <m/>
    <m/>
    <m/>
    <m/>
    <x v="12"/>
    <m/>
    <m/>
    <s v="Defense White Paper Appendix"/>
    <m/>
  </r>
  <r>
    <x v="1"/>
    <x v="10"/>
    <s v="America and Oceania"/>
    <s v="Comprehensive Partnership [全面伙伴关系]"/>
    <x v="0"/>
    <s v="SOUTHCOM"/>
    <x v="66"/>
    <x v="17"/>
    <n v="12"/>
    <s v="BL - Abroad"/>
    <s v="Chi Wanchun"/>
    <m/>
    <s v="GAD Political Commissar"/>
    <n v="6"/>
    <x v="1"/>
    <m/>
    <x v="0"/>
    <m/>
    <m/>
    <m/>
    <m/>
    <x v="12"/>
    <m/>
    <m/>
    <s v="Defense White Paper Appendix"/>
    <m/>
  </r>
  <r>
    <x v="1"/>
    <x v="7"/>
    <s v="West Asia and Africa"/>
    <s v="No Specific Relationship"/>
    <x v="0"/>
    <s v="AFRICOM"/>
    <x v="67"/>
    <x v="17"/>
    <n v="12"/>
    <s v="BL - Hosted"/>
    <s v="Qi Jianguo"/>
    <m/>
    <s v="GSD Assistant Commander"/>
    <n v="5"/>
    <x v="2"/>
    <s v="Defense Minister"/>
    <x v="0"/>
    <m/>
    <m/>
    <m/>
    <m/>
    <x v="12"/>
    <m/>
    <m/>
    <s v="Defense White Paper Appendix"/>
    <m/>
  </r>
  <r>
    <x v="1"/>
    <x v="8"/>
    <s v="Europe and Central Asia"/>
    <s v="No Specific Relationship"/>
    <x v="5"/>
    <s v="EUCOM"/>
    <x v="82"/>
    <x v="17"/>
    <n v="12"/>
    <s v="BL - Hosted"/>
    <s v="Chen Bingde"/>
    <m/>
    <s v="GSD Commander; CMC Member"/>
    <n v="8"/>
    <x v="2"/>
    <s v="COGS"/>
    <x v="0"/>
    <m/>
    <m/>
    <m/>
    <m/>
    <x v="12"/>
    <m/>
    <m/>
    <s v="Defense White Paper Appendix"/>
    <m/>
  </r>
  <r>
    <x v="1"/>
    <x v="0"/>
    <s v="Asia"/>
    <s v="Strategic Partnership for Peace and Prosperity [战略伙伴关系]"/>
    <x v="0"/>
    <s v="INDOPACOM"/>
    <x v="6"/>
    <x v="17"/>
    <n v="12"/>
    <s v="BL - Abroad"/>
    <s v="Ma Xiaotian"/>
    <m/>
    <s v="GSD DCGS"/>
    <n v="6"/>
    <x v="1"/>
    <m/>
    <x v="0"/>
    <m/>
    <m/>
    <m/>
    <m/>
    <x v="12"/>
    <m/>
    <m/>
    <s v="Defense White Paper Appendix"/>
    <m/>
  </r>
  <r>
    <x v="2"/>
    <x v="0"/>
    <s v="Asia"/>
    <s v="Strategic Partnership for Peace and Prosperity [战略伙伴关系]"/>
    <x v="0"/>
    <s v="INDOPACOM"/>
    <x v="6"/>
    <x v="17"/>
    <n v="12"/>
    <s v="Military Exercise - Bilateral"/>
    <m/>
    <m/>
    <m/>
    <m/>
    <x v="0"/>
    <m/>
    <x v="1"/>
    <s v="Hand-in-Hand 2008"/>
    <s v="Army"/>
    <s v="Anti-terrorism"/>
    <m/>
    <x v="12"/>
    <m/>
    <m/>
    <s v="Defense White Paper Appendix"/>
    <m/>
  </r>
  <r>
    <x v="1"/>
    <x v="1"/>
    <s v="Asia"/>
    <s v="Strategic Partnership [战略伙伴关系]"/>
    <x v="0"/>
    <s v="INDOPACOM"/>
    <x v="8"/>
    <x v="17"/>
    <n v="12"/>
    <s v="BL - Abroad"/>
    <s v="Chi Wanchun"/>
    <m/>
    <s v="GAD Political Commissar"/>
    <n v="6"/>
    <x v="1"/>
    <m/>
    <x v="0"/>
    <m/>
    <m/>
    <m/>
    <m/>
    <x v="12"/>
    <m/>
    <m/>
    <s v="Defense White Paper Appendix"/>
    <m/>
  </r>
  <r>
    <x v="1"/>
    <x v="9"/>
    <s v="West Asia and Africa"/>
    <s v="No Specific Relationship"/>
    <x v="1"/>
    <s v="CENTCOM"/>
    <x v="100"/>
    <x v="17"/>
    <n v="12"/>
    <s v="BL - Abroad"/>
    <s v="Qi Jianguo"/>
    <m/>
    <s v="GSD Assistant Commander"/>
    <n v="5"/>
    <x v="1"/>
    <m/>
    <x v="0"/>
    <m/>
    <m/>
    <m/>
    <m/>
    <x v="12"/>
    <m/>
    <m/>
    <s v="Defense White Paper Appendix"/>
    <m/>
  </r>
  <r>
    <x v="1"/>
    <x v="9"/>
    <s v="West Asia and Africa"/>
    <s v="No Specific Relationship"/>
    <x v="1"/>
    <s v="CENTCOM"/>
    <x v="101"/>
    <x v="17"/>
    <n v="12"/>
    <s v="BL - Abroad"/>
    <s v="Zhao Keshi"/>
    <m/>
    <s v="Nanjing MR Commander"/>
    <n v="6"/>
    <x v="1"/>
    <m/>
    <x v="0"/>
    <m/>
    <m/>
    <m/>
    <m/>
    <x v="12"/>
    <m/>
    <m/>
    <s v="Defense White Paper Appendix"/>
    <m/>
  </r>
  <r>
    <x v="1"/>
    <x v="9"/>
    <s v="West Asia and Africa"/>
    <s v="No Specific Relationship"/>
    <x v="0"/>
    <s v="CENTCOM"/>
    <x v="110"/>
    <x v="17"/>
    <n v="12"/>
    <s v="BL - Abroad"/>
    <s v="Zhao Keshi"/>
    <m/>
    <s v="Nanjing MR Commander"/>
    <n v="6"/>
    <x v="1"/>
    <m/>
    <x v="0"/>
    <m/>
    <m/>
    <m/>
    <m/>
    <x v="12"/>
    <m/>
    <m/>
    <s v="Defense White Paper Appendix"/>
    <m/>
  </r>
  <r>
    <x v="1"/>
    <x v="8"/>
    <s v="Europe and Central Asia"/>
    <s v="No Specific Relationship"/>
    <x v="0"/>
    <s v="EUCOM"/>
    <x v="148"/>
    <x v="17"/>
    <n v="12"/>
    <s v="BL - Abroad"/>
    <s v="Qi Jianguo"/>
    <m/>
    <s v="GSD Assistant Commander"/>
    <n v="5"/>
    <x v="1"/>
    <m/>
    <x v="0"/>
    <m/>
    <m/>
    <m/>
    <m/>
    <x v="12"/>
    <m/>
    <m/>
    <s v="Defense White Paper Appendix"/>
    <m/>
  </r>
  <r>
    <x v="1"/>
    <x v="1"/>
    <s v="Asia"/>
    <s v="No Specific Relationship"/>
    <x v="0"/>
    <s v="INDOPACOM"/>
    <x v="1"/>
    <x v="17"/>
    <n v="12"/>
    <s v="BL - Hosted"/>
    <s v="Chen Bingde"/>
    <m/>
    <s v="GSD Commander; CMC Member"/>
    <n v="8"/>
    <x v="2"/>
    <s v="COGS"/>
    <x v="0"/>
    <m/>
    <m/>
    <m/>
    <m/>
    <x v="12"/>
    <m/>
    <m/>
    <s v="Defense White Paper Appendix"/>
    <m/>
  </r>
  <r>
    <x v="1"/>
    <x v="0"/>
    <s v="Asia"/>
    <s v="Good-Neighborly Partnership [世代友好的睦邻伙伴关系]"/>
    <x v="0"/>
    <s v="INDOPACOM"/>
    <x v="32"/>
    <x v="17"/>
    <n v="12"/>
    <s v="BL - Abroad"/>
    <s v="Ma Xiaotian"/>
    <m/>
    <s v="GSD DCGS"/>
    <n v="6"/>
    <x v="1"/>
    <m/>
    <x v="0"/>
    <m/>
    <m/>
    <m/>
    <m/>
    <x v="12"/>
    <m/>
    <m/>
    <s v="Defense White Paper Appendix"/>
    <s v="Recoded as South Asia"/>
  </r>
  <r>
    <x v="1"/>
    <x v="0"/>
    <s v="Asia"/>
    <s v="Strategic Partnership [战略伙伴关系]"/>
    <x v="1"/>
    <s v="CENTCOM"/>
    <x v="2"/>
    <x v="17"/>
    <n v="12"/>
    <s v="BL - Hosted"/>
    <s v="Liang Guanglie"/>
    <m/>
    <s v="Defense Minister; CMC Member"/>
    <n v="8"/>
    <x v="2"/>
    <s v="Chairman JCS"/>
    <x v="0"/>
    <m/>
    <m/>
    <m/>
    <m/>
    <x v="12"/>
    <m/>
    <m/>
    <s v="Defense White Paper Appendix"/>
    <m/>
  </r>
  <r>
    <x v="1"/>
    <x v="3"/>
    <s v="Europe and Central Asia"/>
    <s v="Strategic Partnership of Coordination [战略协作伙伴关系]"/>
    <x v="0"/>
    <s v="EUCOM"/>
    <x v="7"/>
    <x v="17"/>
    <n v="12"/>
    <s v="BL - Hosted"/>
    <s v="Guo Boxiong"/>
    <m/>
    <s v="CMC Vice Chairman"/>
    <n v="10"/>
    <x v="2"/>
    <s v="Defense Minister"/>
    <x v="0"/>
    <m/>
    <m/>
    <m/>
    <m/>
    <x v="12"/>
    <m/>
    <m/>
    <s v="Defense White Paper Appendix"/>
    <m/>
  </r>
  <r>
    <x v="1"/>
    <x v="1"/>
    <s v="Asia"/>
    <s v="No Specific Relationship"/>
    <x v="0"/>
    <s v="INDOPACOM"/>
    <x v="39"/>
    <x v="17"/>
    <n v="12"/>
    <s v="BL - Hosted"/>
    <s v="Liang Guanglie"/>
    <m/>
    <s v="Defense Minister; CMC Member"/>
    <n v="8"/>
    <x v="2"/>
    <s v="COGS"/>
    <x v="0"/>
    <m/>
    <m/>
    <m/>
    <m/>
    <x v="12"/>
    <m/>
    <m/>
    <s v="Defense White Paper Appendix"/>
    <m/>
  </r>
  <r>
    <x v="1"/>
    <x v="2"/>
    <s v="America and Oceania"/>
    <s v="No Specific Relationship"/>
    <x v="2"/>
    <s v="NORTHCOM"/>
    <x v="4"/>
    <x v="17"/>
    <n v="12"/>
    <s v="BL - Hosted"/>
    <s v="Liang Guanglie"/>
    <m/>
    <s v="Defense Minister; CMC Member"/>
    <n v="8"/>
    <x v="2"/>
    <s v="former Chairman JCS"/>
    <x v="0"/>
    <m/>
    <m/>
    <m/>
    <m/>
    <x v="12"/>
    <m/>
    <m/>
    <s v="Defense White Paper Appendix"/>
    <m/>
  </r>
  <r>
    <x v="1"/>
    <x v="1"/>
    <s v="Asia"/>
    <s v="Comprehensive Strategic Cooperative Partnership [全面战略合作伙伴关系]"/>
    <x v="0"/>
    <s v="INDOPACOM"/>
    <x v="23"/>
    <x v="17"/>
    <n v="12"/>
    <s v="BL - Hosted"/>
    <s v="Liang Guanglie"/>
    <m/>
    <s v="Defense Minister; CMC Member"/>
    <n v="6"/>
    <x v="2"/>
    <s v="COGS"/>
    <x v="0"/>
    <m/>
    <m/>
    <m/>
    <m/>
    <x v="12"/>
    <m/>
    <m/>
    <s v="https://dlib.eastview.com/browse/doc/19268531"/>
    <m/>
  </r>
  <r>
    <x v="1"/>
    <x v="8"/>
    <s v="Europe and Central Asia"/>
    <s v="No Specific Relationship"/>
    <x v="0"/>
    <s v="EUCOM"/>
    <x v="148"/>
    <x v="18"/>
    <n v="1"/>
    <s v="BL - Hosted"/>
    <s v="Chen Bingde"/>
    <m/>
    <s v="GSD Commander; CMC Member"/>
    <n v="8"/>
    <x v="2"/>
    <s v="Commander Armed Forces"/>
    <x v="0"/>
    <m/>
    <m/>
    <m/>
    <m/>
    <x v="12"/>
    <m/>
    <m/>
    <s v="Defense White Paper Appendix"/>
    <m/>
  </r>
  <r>
    <x v="1"/>
    <x v="8"/>
    <s v="Europe and Central Asia"/>
    <s v="No Specific Relationship"/>
    <x v="0"/>
    <s v="EUCOM"/>
    <x v="26"/>
    <x v="18"/>
    <n v="1"/>
    <s v="BL - Hosted"/>
    <s v="Liang Guanglie"/>
    <m/>
    <s v="Defense Minister; CMC Member"/>
    <n v="8"/>
    <x v="2"/>
    <s v="Defense Minister"/>
    <x v="0"/>
    <m/>
    <m/>
    <m/>
    <m/>
    <x v="12"/>
    <m/>
    <m/>
    <s v="Defense White Paper Appendix"/>
    <m/>
  </r>
  <r>
    <x v="1"/>
    <x v="1"/>
    <s v="Asia"/>
    <s v="No Specific Relationship"/>
    <x v="0"/>
    <s v="INDOPACOM"/>
    <x v="44"/>
    <x v="18"/>
    <n v="2"/>
    <s v="BL - Abroad"/>
    <s v="Ma Xiaotian"/>
    <m/>
    <s v="GSD DCGS"/>
    <n v="6"/>
    <x v="1"/>
    <m/>
    <x v="0"/>
    <m/>
    <m/>
    <m/>
    <m/>
    <x v="12"/>
    <m/>
    <m/>
    <s v="Defense White Paper Appendix"/>
    <m/>
  </r>
  <r>
    <x v="1"/>
    <x v="9"/>
    <s v="West Asia and Africa"/>
    <s v="Strategic Cooperative Partnership [战略合作伙伴关系]"/>
    <x v="1"/>
    <s v="CENTCOM"/>
    <x v="24"/>
    <x v="18"/>
    <n v="2"/>
    <s v="BL - Hosted"/>
    <s v="Liang Guanglie"/>
    <m/>
    <s v="Defense Minister; CMC Member"/>
    <n v="8"/>
    <x v="2"/>
    <s v="Air Force Commander"/>
    <x v="0"/>
    <m/>
    <m/>
    <m/>
    <m/>
    <x v="12"/>
    <m/>
    <m/>
    <s v="Defense White Paper Appendix"/>
    <m/>
  </r>
  <r>
    <x v="1"/>
    <x v="8"/>
    <s v="Europe and Central Asia"/>
    <s v="No Specific Relationship"/>
    <x v="0"/>
    <s v="EUCOM"/>
    <x v="81"/>
    <x v="18"/>
    <n v="2"/>
    <s v="BL - Hosted"/>
    <s v="Liang Guanglie"/>
    <m/>
    <s v="Defense Minister; CMC Member"/>
    <n v="8"/>
    <x v="2"/>
    <s v="Defense Minister"/>
    <x v="0"/>
    <m/>
    <m/>
    <m/>
    <m/>
    <x v="12"/>
    <m/>
    <m/>
    <s v="Defense White Paper Appendix"/>
    <m/>
  </r>
  <r>
    <x v="1"/>
    <x v="4"/>
    <s v="Asia"/>
    <s v="Mutually Beneficial Strategic Relationship [战略互惠关系]"/>
    <x v="3"/>
    <s v="INDOPACOM"/>
    <x v="83"/>
    <x v="18"/>
    <n v="2"/>
    <s v="BL - Abroad"/>
    <s v="Ma Xiaotian"/>
    <m/>
    <s v="GSD DCGS"/>
    <n v="6"/>
    <x v="1"/>
    <m/>
    <x v="0"/>
    <m/>
    <m/>
    <m/>
    <m/>
    <x v="12"/>
    <m/>
    <m/>
    <s v="Defense White Paper Appendix"/>
    <m/>
  </r>
  <r>
    <x v="1"/>
    <x v="0"/>
    <s v="West Asia and Africa"/>
    <s v="No Specific Relationship"/>
    <x v="0"/>
    <s v="INDOPACOM"/>
    <x v="149"/>
    <x v="18"/>
    <n v="2"/>
    <s v="BL - Hosted"/>
    <s v="Liang Guanglie"/>
    <m/>
    <s v="Defense Minister; CMC Member"/>
    <n v="8"/>
    <x v="2"/>
    <s v="Defense Minister"/>
    <x v="0"/>
    <m/>
    <m/>
    <m/>
    <m/>
    <x v="12"/>
    <m/>
    <m/>
    <s v="Defense White Paper Appendix"/>
    <m/>
  </r>
  <r>
    <x v="0"/>
    <x v="9"/>
    <s v="West Asia and Africa"/>
    <s v="No Specific Relationship"/>
    <x v="0"/>
    <s v="CENTCOM"/>
    <x v="135"/>
    <x v="18"/>
    <n v="2"/>
    <s v="Port Call - Replenish/Overhaul"/>
    <m/>
    <m/>
    <m/>
    <m/>
    <x v="0"/>
    <m/>
    <x v="0"/>
    <m/>
    <m/>
    <m/>
    <s v="ETF"/>
    <x v="29"/>
    <s v="South Sea Fleet"/>
    <s v="DDG169 Wuhan, DDG171 Haikou, AOR887 Weishan Hu; unknown, could also be ETF-2"/>
    <m/>
    <m/>
  </r>
  <r>
    <x v="1"/>
    <x v="5"/>
    <s v="America and Oceania"/>
    <s v="No Specific Relationship"/>
    <x v="4"/>
    <s v="INDOPACOM"/>
    <x v="12"/>
    <x v="18"/>
    <n v="3"/>
    <s v="BL - Hosted"/>
    <s v="Ma Xiaotian"/>
    <m/>
    <s v="GSD DCGS"/>
    <n v="6"/>
    <x v="1"/>
    <s v="Army Commander"/>
    <x v="0"/>
    <m/>
    <m/>
    <m/>
    <m/>
    <x v="12"/>
    <m/>
    <m/>
    <s v="Defense White Paper Appendix"/>
    <m/>
  </r>
  <r>
    <x v="1"/>
    <x v="0"/>
    <s v="Asia"/>
    <s v="Comprehensive Cooperative Partnership [全面合作伙伴关系]"/>
    <x v="0"/>
    <s v="INDOPACOM"/>
    <x v="0"/>
    <x v="18"/>
    <n v="3"/>
    <s v="BL - Abroad"/>
    <s v="Ma Xiaotian"/>
    <m/>
    <s v="GSD DCGS"/>
    <n v="6"/>
    <x v="1"/>
    <m/>
    <x v="0"/>
    <m/>
    <m/>
    <m/>
    <m/>
    <x v="12"/>
    <m/>
    <m/>
    <s v="Defense White Paper Appendix"/>
    <m/>
  </r>
  <r>
    <x v="1"/>
    <x v="10"/>
    <s v="America and Oceania"/>
    <s v="No Specific Relationship"/>
    <x v="0"/>
    <s v="SOUTHCOM"/>
    <x v="49"/>
    <x v="18"/>
    <n v="3"/>
    <s v="BL - Abroad"/>
    <s v="Fu Tinggui"/>
    <m/>
    <s v="Beijing MR Political Commissar"/>
    <n v="6"/>
    <x v="1"/>
    <m/>
    <x v="0"/>
    <m/>
    <m/>
    <m/>
    <m/>
    <x v="12"/>
    <m/>
    <m/>
    <s v="Defense White Paper Appendix"/>
    <m/>
  </r>
  <r>
    <x v="1"/>
    <x v="4"/>
    <s v="Asia"/>
    <s v="Mutually Beneficial Strategic Relationship [战略互惠关系]"/>
    <x v="3"/>
    <s v="INDOPACOM"/>
    <x v="83"/>
    <x v="18"/>
    <n v="3"/>
    <s v="BL - Hosted"/>
    <s v="Liang Guanglie"/>
    <m/>
    <s v="Defense Minister; CMC Member"/>
    <n v="8"/>
    <x v="2"/>
    <s v="Defense Minister"/>
    <x v="0"/>
    <m/>
    <m/>
    <m/>
    <m/>
    <x v="12"/>
    <m/>
    <m/>
    <s v="Defense White Paper Appendix"/>
    <m/>
  </r>
  <r>
    <x v="1"/>
    <x v="1"/>
    <s v="Asia"/>
    <s v="Strategic Cooperative Partnership [战略合作伙伴关系]"/>
    <x v="0"/>
    <s v="INDOPACOM"/>
    <x v="10"/>
    <x v="18"/>
    <n v="3"/>
    <s v="BL - Abroad"/>
    <s v="Ma Xiaotian"/>
    <m/>
    <s v="GSD DCGS"/>
    <n v="6"/>
    <x v="1"/>
    <m/>
    <x v="0"/>
    <m/>
    <m/>
    <m/>
    <m/>
    <x v="12"/>
    <m/>
    <m/>
    <s v="Defense White Paper Appendix"/>
    <m/>
  </r>
  <r>
    <x v="1"/>
    <x v="7"/>
    <s v="West Asia and Africa"/>
    <s v="No Specific Relationship"/>
    <x v="0"/>
    <s v="AFRICOM"/>
    <x v="84"/>
    <x v="18"/>
    <n v="3"/>
    <s v="BL - Abroad"/>
    <s v="Ma Xiaotian"/>
    <m/>
    <s v="GSD DCGS"/>
    <n v="6"/>
    <x v="1"/>
    <m/>
    <x v="0"/>
    <m/>
    <m/>
    <m/>
    <m/>
    <x v="12"/>
    <m/>
    <m/>
    <s v="Defense White Paper Appendix"/>
    <m/>
  </r>
  <r>
    <x v="1"/>
    <x v="1"/>
    <s v="Asia"/>
    <s v="No Specific Relationship"/>
    <x v="0"/>
    <s v="INDOPACOM"/>
    <x v="1"/>
    <x v="18"/>
    <n v="3"/>
    <s v="BL - Abroad"/>
    <s v="Chen Bingde"/>
    <m/>
    <s v="GSD Commander; CMC Member"/>
    <n v="8"/>
    <x v="1"/>
    <m/>
    <x v="0"/>
    <m/>
    <m/>
    <m/>
    <m/>
    <x v="12"/>
    <m/>
    <m/>
    <s v="Defense White Paper Appendix"/>
    <m/>
  </r>
  <r>
    <x v="1"/>
    <x v="5"/>
    <s v="America and Oceania"/>
    <s v="No Specific Relationship"/>
    <x v="4"/>
    <s v="INDOPACOM"/>
    <x v="13"/>
    <x v="18"/>
    <n v="3"/>
    <s v="BL - Abroad"/>
    <s v="Ma Xiaotian"/>
    <m/>
    <s v="GSD DCGS"/>
    <n v="6"/>
    <x v="1"/>
    <s v="Defense Minister"/>
    <x v="0"/>
    <m/>
    <m/>
    <m/>
    <m/>
    <x v="12"/>
    <m/>
    <m/>
    <s v="Defense White Paper Appendix"/>
    <m/>
  </r>
  <r>
    <x v="1"/>
    <x v="0"/>
    <s v="Asia"/>
    <s v="Strategic Partnership [战略伙伴关系]"/>
    <x v="1"/>
    <s v="CENTCOM"/>
    <x v="2"/>
    <x v="18"/>
    <n v="3"/>
    <s v="BL - Abroad"/>
    <s v="Ma Xiaotian"/>
    <m/>
    <s v="GSD DCGS"/>
    <n v="6"/>
    <x v="1"/>
    <m/>
    <x v="0"/>
    <m/>
    <m/>
    <m/>
    <m/>
    <x v="12"/>
    <m/>
    <m/>
    <s v="Defense White Paper Appendix"/>
    <m/>
  </r>
  <r>
    <x v="2"/>
    <x v="0"/>
    <s v="Asia"/>
    <s v="Strategic Partnership [战略伙伴关系]"/>
    <x v="1"/>
    <s v="CENTCOM"/>
    <x v="2"/>
    <x v="18"/>
    <n v="3"/>
    <s v="Military Exercise - Multilateral"/>
    <m/>
    <m/>
    <m/>
    <m/>
    <x v="0"/>
    <m/>
    <x v="2"/>
    <s v="Aman"/>
    <s v="Navy"/>
    <s v="Maritime in Arabian Sea; Pakistan and 10 other countries"/>
    <m/>
    <x v="12"/>
    <m/>
    <m/>
    <s v="Defense White Paper Appendix"/>
    <m/>
  </r>
  <r>
    <x v="1"/>
    <x v="1"/>
    <s v="Asia"/>
    <s v="No Specific Relationship"/>
    <x v="0"/>
    <s v="INDOPACOM"/>
    <x v="39"/>
    <x v="18"/>
    <n v="3"/>
    <s v="BL - Abroad"/>
    <s v="Ma Xiaotian"/>
    <m/>
    <s v="GSD DCGS"/>
    <n v="6"/>
    <x v="1"/>
    <m/>
    <x v="0"/>
    <m/>
    <m/>
    <m/>
    <m/>
    <x v="12"/>
    <m/>
    <m/>
    <s v="Defense White Paper Appendix"/>
    <m/>
  </r>
  <r>
    <x v="1"/>
    <x v="4"/>
    <s v="Asia"/>
    <s v="Strategic Cooperative Partnership [战略合作伙伴关系]"/>
    <x v="3"/>
    <s v="INDOPACOM"/>
    <x v="25"/>
    <x v="18"/>
    <n v="3"/>
    <s v="BL - Abroad"/>
    <s v="Chen Bingde"/>
    <m/>
    <s v="GSD Commander; CMC Member"/>
    <n v="8"/>
    <x v="1"/>
    <m/>
    <x v="0"/>
    <m/>
    <m/>
    <m/>
    <m/>
    <x v="12"/>
    <m/>
    <m/>
    <s v="Defense White Paper Appendix"/>
    <m/>
  </r>
  <r>
    <x v="1"/>
    <x v="0"/>
    <s v="Asia"/>
    <s v="Comprehensive Cooperative Partnership [全面合作伙伴关系]"/>
    <x v="0"/>
    <s v="INDOPACOM"/>
    <x v="3"/>
    <x v="18"/>
    <n v="3"/>
    <s v="BL - Hosted"/>
    <s v="Ma Xiaotian"/>
    <m/>
    <s v="GSD DCGS"/>
    <n v="6"/>
    <x v="1"/>
    <s v="Permanent Secretary of Ministry of Defense"/>
    <x v="0"/>
    <m/>
    <m/>
    <m/>
    <m/>
    <x v="12"/>
    <m/>
    <m/>
    <s v="Defense White Paper Appendix"/>
    <m/>
  </r>
  <r>
    <x v="1"/>
    <x v="6"/>
    <s v="Europe and Central Asia"/>
    <s v="No Specific Relationship"/>
    <x v="0"/>
    <s v="CENTCOM"/>
    <x v="60"/>
    <x v="18"/>
    <n v="3"/>
    <s v="BL - Hosted"/>
    <s v="Ma Xiaotian"/>
    <m/>
    <s v="GSD DCGS"/>
    <n v="6"/>
    <x v="1"/>
    <s v="Defense Minister"/>
    <x v="0"/>
    <m/>
    <m/>
    <m/>
    <m/>
    <x v="12"/>
    <m/>
    <m/>
    <s v="Defense White Paper Appendix"/>
    <m/>
  </r>
  <r>
    <x v="1"/>
    <x v="1"/>
    <s v="Asia"/>
    <s v="Comprehensive Strategic Cooperative Partnership [全面战略合作伙伴关系]"/>
    <x v="0"/>
    <s v="INDOPACOM"/>
    <x v="23"/>
    <x v="18"/>
    <n v="3"/>
    <s v="BL - Abroad"/>
    <s v="Chen Bingde"/>
    <m/>
    <s v="GSD Commander; CMC Member"/>
    <n v="8"/>
    <x v="1"/>
    <m/>
    <x v="0"/>
    <m/>
    <m/>
    <m/>
    <m/>
    <x v="12"/>
    <m/>
    <m/>
    <s v="Defense White Paper Appendix"/>
    <m/>
  </r>
  <r>
    <x v="1"/>
    <x v="7"/>
    <s v="West Asia and Africa"/>
    <s v="No Specific Relationship"/>
    <x v="0"/>
    <s v="AFRICOM"/>
    <x v="61"/>
    <x v="18"/>
    <n v="3"/>
    <s v="BL - Abroad"/>
    <s v="Ma Xiaotian"/>
    <m/>
    <s v="GSD DCGS"/>
    <n v="6"/>
    <x v="1"/>
    <m/>
    <x v="0"/>
    <m/>
    <m/>
    <m/>
    <m/>
    <x v="12"/>
    <m/>
    <m/>
    <s v="Defense White Paper Appendix"/>
    <m/>
  </r>
  <r>
    <x v="1"/>
    <x v="10"/>
    <s v="America and Oceania"/>
    <s v="Strategic Partnership [战略伙伴关系]"/>
    <x v="1"/>
    <s v="SOUTHCOM"/>
    <x v="62"/>
    <x v="18"/>
    <n v="4"/>
    <s v="BL - Abroad"/>
    <s v="Ma Xiaotian"/>
    <m/>
    <s v="GSD DCGS"/>
    <n v="6"/>
    <x v="1"/>
    <m/>
    <x v="0"/>
    <m/>
    <m/>
    <m/>
    <m/>
    <x v="12"/>
    <m/>
    <m/>
    <s v="Defense White Paper Appendix"/>
    <m/>
  </r>
  <r>
    <x v="1"/>
    <x v="0"/>
    <s v="Asia"/>
    <s v="Comprehensive Cooperative Partnership [全面合作伙伴关系]"/>
    <x v="0"/>
    <s v="INDOPACOM"/>
    <x v="0"/>
    <x v="18"/>
    <n v="4"/>
    <s v="BL - Hosted"/>
    <s v="Wu Shengli"/>
    <m/>
    <s v="PLAN Commander; CMC Member"/>
    <n v="8"/>
    <x v="2"/>
    <s v="Navy Commander"/>
    <x v="0"/>
    <m/>
    <m/>
    <m/>
    <m/>
    <x v="12"/>
    <m/>
    <m/>
    <s v="Defense White Paper Appendix"/>
    <m/>
  </r>
  <r>
    <x v="1"/>
    <x v="8"/>
    <s v="Europe and Central Asia"/>
    <s v="Strategic Partnership [战略伙伴关系]"/>
    <x v="5"/>
    <s v="EUCOM"/>
    <x v="34"/>
    <x v="18"/>
    <n v="4"/>
    <s v="BL - Abroad"/>
    <s v="Zhang Youxia"/>
    <m/>
    <s v="Shenyang MR Commander"/>
    <n v="6"/>
    <x v="1"/>
    <m/>
    <x v="0"/>
    <m/>
    <m/>
    <m/>
    <m/>
    <x v="12"/>
    <m/>
    <m/>
    <s v="Defense White Paper Appendix"/>
    <m/>
  </r>
  <r>
    <x v="1"/>
    <x v="10"/>
    <s v="America and Oceania"/>
    <s v="Comprehensive Strategic Partnership [全面战略伙伴关系]"/>
    <x v="0"/>
    <s v="SOUTHCOM"/>
    <x v="43"/>
    <x v="18"/>
    <n v="4"/>
    <s v="BL - Abroad"/>
    <s v="Ma Xiaotian"/>
    <m/>
    <s v="GSD DCGS"/>
    <n v="6"/>
    <x v="1"/>
    <m/>
    <x v="0"/>
    <m/>
    <m/>
    <m/>
    <m/>
    <x v="12"/>
    <m/>
    <m/>
    <s v="Defense White Paper Appendix"/>
    <m/>
  </r>
  <r>
    <x v="1"/>
    <x v="1"/>
    <s v="Asia"/>
    <s v="Comprehensive Cooperative Partnership [全面合作伙伴关系]"/>
    <x v="0"/>
    <s v="INDOPACOM"/>
    <x v="94"/>
    <x v="18"/>
    <n v="4"/>
    <s v="BL - Abroad"/>
    <s v="Ma Xiaotian"/>
    <m/>
    <s v="GSD DCGS"/>
    <n v="6"/>
    <x v="1"/>
    <m/>
    <x v="0"/>
    <m/>
    <m/>
    <m/>
    <m/>
    <x v="12"/>
    <m/>
    <m/>
    <s v="Defense White Paper Appendix"/>
    <m/>
  </r>
  <r>
    <x v="1"/>
    <x v="10"/>
    <s v="America and Oceania"/>
    <s v="Comprehensive Partnership [全面伙伴关系]"/>
    <x v="0"/>
    <s v="SOUTHCOM"/>
    <x v="66"/>
    <x v="18"/>
    <n v="4"/>
    <s v="BL - Hosted"/>
    <s v="Wu Shengli"/>
    <m/>
    <s v="PLAN Commander; CMC Member"/>
    <n v="8"/>
    <x v="2"/>
    <s v="Navy Commander"/>
    <x v="0"/>
    <m/>
    <m/>
    <m/>
    <m/>
    <x v="12"/>
    <m/>
    <m/>
    <s v="Defense White Paper Appendix"/>
    <m/>
  </r>
  <r>
    <x v="1"/>
    <x v="0"/>
    <s v="Asia"/>
    <s v="Strategic Partnership for Peace and Prosperity [战略伙伴关系]"/>
    <x v="0"/>
    <s v="INDOPACOM"/>
    <x v="6"/>
    <x v="18"/>
    <n v="4"/>
    <s v="BL - Hosted"/>
    <s v="Wu Shengli"/>
    <m/>
    <s v="PLAN Commander; CMC Member"/>
    <n v="8"/>
    <x v="2"/>
    <s v="Navy Commander"/>
    <x v="0"/>
    <m/>
    <m/>
    <m/>
    <m/>
    <x v="12"/>
    <m/>
    <m/>
    <s v="Defense White Paper Appendix"/>
    <m/>
  </r>
  <r>
    <x v="1"/>
    <x v="1"/>
    <s v="Asia"/>
    <s v="Strategic Partnership [战略伙伴关系]"/>
    <x v="0"/>
    <s v="INDOPACOM"/>
    <x v="8"/>
    <x v="18"/>
    <n v="4"/>
    <s v="BL - Hosted"/>
    <s v="Wu Shengli"/>
    <m/>
    <s v="PLAN Commander; CMC Member"/>
    <n v="8"/>
    <x v="2"/>
    <s v="Navy Commander"/>
    <x v="0"/>
    <m/>
    <m/>
    <m/>
    <m/>
    <x v="12"/>
    <m/>
    <m/>
    <s v="Defense White Paper Appendix"/>
    <m/>
  </r>
  <r>
    <x v="1"/>
    <x v="8"/>
    <s v="Europe and Central Asia"/>
    <s v="Comprehensive Strategic Partnership [全面战略伙伴关系]"/>
    <x v="5"/>
    <s v="EUCOM"/>
    <x v="20"/>
    <x v="18"/>
    <n v="4"/>
    <s v="BL - Abroad"/>
    <s v="Ma Xiaotian"/>
    <m/>
    <s v="GSD DCGS"/>
    <n v="6"/>
    <x v="1"/>
    <m/>
    <x v="0"/>
    <m/>
    <m/>
    <m/>
    <m/>
    <x v="12"/>
    <m/>
    <m/>
    <s v="Defense White Paper Appendix"/>
    <m/>
  </r>
  <r>
    <x v="1"/>
    <x v="1"/>
    <s v="Asia"/>
    <s v="Comprehensive Strategic Cooperative Partnership [全面战略合作伙伴关系]"/>
    <x v="0"/>
    <s v="INDOPACOM"/>
    <x v="52"/>
    <x v="18"/>
    <n v="4"/>
    <s v="BL - Abroad"/>
    <s v="Ma Xiaotian"/>
    <m/>
    <s v="GSD DCGS"/>
    <n v="6"/>
    <x v="1"/>
    <m/>
    <x v="0"/>
    <m/>
    <m/>
    <m/>
    <m/>
    <x v="12"/>
    <m/>
    <m/>
    <s v="Defense White Paper Appendix"/>
    <m/>
  </r>
  <r>
    <x v="1"/>
    <x v="1"/>
    <s v="Asia"/>
    <s v="Strategic Cooperative Partnership [战略合作伙伴关系]"/>
    <x v="0"/>
    <s v="INDOPACOM"/>
    <x v="10"/>
    <x v="18"/>
    <n v="4"/>
    <s v="BL - Abroad"/>
    <s v="Xu Qiliang"/>
    <m/>
    <s v="PLAAF Commander; CMC Member"/>
    <n v="8"/>
    <x v="1"/>
    <m/>
    <x v="0"/>
    <m/>
    <m/>
    <m/>
    <m/>
    <x v="12"/>
    <m/>
    <m/>
    <s v="Defense White Paper Appendix"/>
    <m/>
  </r>
  <r>
    <x v="1"/>
    <x v="0"/>
    <s v="Asia"/>
    <s v="Strategic Partnership [战略伙伴关系]"/>
    <x v="1"/>
    <s v="CENTCOM"/>
    <x v="2"/>
    <x v="18"/>
    <n v="4"/>
    <s v="BL - Abroad"/>
    <s v="Xu Qiliang"/>
    <m/>
    <s v="PLAAF Commander; CMC Member"/>
    <n v="8"/>
    <x v="1"/>
    <m/>
    <x v="0"/>
    <m/>
    <m/>
    <m/>
    <m/>
    <x v="12"/>
    <m/>
    <m/>
    <s v="Defense White Paper Appendix"/>
    <m/>
  </r>
  <r>
    <x v="1"/>
    <x v="10"/>
    <s v="America and Oceania"/>
    <s v="Strategic Partnership [战略伙伴关系]"/>
    <x v="0"/>
    <s v="SOUTHCOM"/>
    <x v="54"/>
    <x v="18"/>
    <n v="4"/>
    <s v="BL - Hosted"/>
    <s v="Wu Shengli"/>
    <m/>
    <s v="PLAN Commander; CMC Member"/>
    <n v="8"/>
    <x v="2"/>
    <s v="Navy Commander"/>
    <x v="0"/>
    <m/>
    <m/>
    <m/>
    <m/>
    <x v="12"/>
    <m/>
    <m/>
    <s v="Defense White Paper Appendix"/>
    <m/>
  </r>
  <r>
    <x v="1"/>
    <x v="3"/>
    <s v="Europe and Central Asia"/>
    <s v="Strategic Partnership of Coordination [战略协作伙伴关系]"/>
    <x v="0"/>
    <s v="EUCOM"/>
    <x v="7"/>
    <x v="18"/>
    <n v="4"/>
    <s v="BL - Abroad"/>
    <s v="Liang Guanglie"/>
    <m/>
    <s v="Defense Minister; CMC Member"/>
    <n v="8"/>
    <x v="1"/>
    <m/>
    <x v="0"/>
    <m/>
    <m/>
    <m/>
    <m/>
    <x v="12"/>
    <m/>
    <m/>
    <s v="Defense White Paper Appendix"/>
    <m/>
  </r>
  <r>
    <x v="1"/>
    <x v="6"/>
    <s v="Europe and Central Asia"/>
    <s v="Member"/>
    <x v="0"/>
    <s v="CENTCOM"/>
    <x v="14"/>
    <x v="18"/>
    <n v="4"/>
    <s v="ML - Abroad"/>
    <s v="Liang Guanglie"/>
    <m/>
    <s v="Defense Minister; CMC Member"/>
    <n v="8"/>
    <x v="1"/>
    <s v="Seventh official meeting of the SCO Ministers' of Defense in Moscow; Other countries: Kazakhstan, Kyrgyztan, Russia, Tajikistan, Uzbekistan"/>
    <x v="0"/>
    <m/>
    <m/>
    <m/>
    <m/>
    <x v="12"/>
    <m/>
    <m/>
    <s v="http://infoshos.ru/en/?idn=4137"/>
    <m/>
  </r>
  <r>
    <x v="1"/>
    <x v="8"/>
    <s v="Europe and Central Asia"/>
    <s v="No Specific Relationship"/>
    <x v="5"/>
    <s v="EUCOM"/>
    <x v="40"/>
    <x v="18"/>
    <n v="4"/>
    <s v="BL - Abroad"/>
    <s v="Zhang Youxia"/>
    <m/>
    <s v="Shenyang MR Commander"/>
    <n v="6"/>
    <x v="1"/>
    <m/>
    <x v="0"/>
    <m/>
    <m/>
    <m/>
    <m/>
    <x v="12"/>
    <m/>
    <m/>
    <s v="Defense White Paper Appendix"/>
    <m/>
  </r>
  <r>
    <x v="1"/>
    <x v="7"/>
    <s v="West Asia and Africa"/>
    <s v="Strategic Partnership [战略伙伴关系]"/>
    <x v="0"/>
    <s v="AFRICOM"/>
    <x v="15"/>
    <x v="18"/>
    <n v="4"/>
    <s v="BL - Hosted"/>
    <s v="Wu Shengli"/>
    <m/>
    <s v="PLAN Commander; CMC Member"/>
    <n v="8"/>
    <x v="2"/>
    <s v="Navy Commander"/>
    <x v="0"/>
    <m/>
    <m/>
    <m/>
    <m/>
    <x v="12"/>
    <m/>
    <m/>
    <s v="Defense White Paper Appendix"/>
    <m/>
  </r>
  <r>
    <x v="1"/>
    <x v="4"/>
    <s v="Asia"/>
    <s v="Strategic Cooperative Partnership [战略合作伙伴关系]"/>
    <x v="3"/>
    <s v="INDOPACOM"/>
    <x v="25"/>
    <x v="18"/>
    <n v="4"/>
    <s v="BL - Hosted"/>
    <s v="Wu Shengli"/>
    <m/>
    <s v="PLAN Commander; CMC Member"/>
    <n v="8"/>
    <x v="2"/>
    <s v="Navy Commander"/>
    <x v="0"/>
    <m/>
    <m/>
    <m/>
    <m/>
    <x v="12"/>
    <m/>
    <m/>
    <s v="Defense White Paper Appendix"/>
    <m/>
  </r>
  <r>
    <x v="1"/>
    <x v="1"/>
    <s v="Asia"/>
    <s v="Strategic Partnership [战略伙伴关系]"/>
    <x v="3"/>
    <s v="INDOPACOM"/>
    <x v="5"/>
    <x v="18"/>
    <n v="4"/>
    <s v="BL - Abroad"/>
    <s v="Ma Xiaotian"/>
    <m/>
    <s v="GSD DCGS"/>
    <n v="6"/>
    <x v="1"/>
    <m/>
    <x v="0"/>
    <m/>
    <m/>
    <m/>
    <m/>
    <x v="12"/>
    <m/>
    <m/>
    <s v="Defense White Paper Appendix"/>
    <m/>
  </r>
  <r>
    <x v="1"/>
    <x v="8"/>
    <s v="Europe and Central Asia"/>
    <s v="No Specific Relationship"/>
    <x v="5"/>
    <s v="EUCOM"/>
    <x v="38"/>
    <x v="18"/>
    <n v="4"/>
    <s v="BL - Abroad"/>
    <s v="Xu Qiliang"/>
    <m/>
    <s v="PLAAF Commander; CMC Member"/>
    <n v="8"/>
    <x v="1"/>
    <m/>
    <x v="0"/>
    <m/>
    <m/>
    <m/>
    <m/>
    <x v="12"/>
    <m/>
    <m/>
    <s v="Defense White Paper Appendix"/>
    <m/>
  </r>
  <r>
    <x v="1"/>
    <x v="2"/>
    <s v="America and Oceania"/>
    <s v="No Specific Relationship"/>
    <x v="2"/>
    <s v="NORTHCOM"/>
    <x v="4"/>
    <x v="18"/>
    <n v="4"/>
    <s v="BL - Hosted"/>
    <s v="Liang Guanglie"/>
    <m/>
    <s v="Defense Minister; CMC Member"/>
    <n v="8"/>
    <x v="2"/>
    <s v="CNO"/>
    <x v="0"/>
    <m/>
    <m/>
    <m/>
    <m/>
    <x v="12"/>
    <m/>
    <m/>
    <s v="Defense White Paper Appendix"/>
    <m/>
  </r>
  <r>
    <x v="1"/>
    <x v="10"/>
    <s v="America and Oceania"/>
    <s v="No Specific Relationship"/>
    <x v="0"/>
    <s v="SOUTHCOM"/>
    <x v="107"/>
    <x v="18"/>
    <n v="4"/>
    <s v="BL - Hosted"/>
    <s v="Liang Guanglie"/>
    <m/>
    <s v="Defense Minister; CMC Member"/>
    <n v="8"/>
    <x v="2"/>
    <s v="Defense Minister"/>
    <x v="0"/>
    <m/>
    <m/>
    <m/>
    <m/>
    <x v="12"/>
    <m/>
    <m/>
    <s v="Defense White Paper Appendix"/>
    <m/>
  </r>
  <r>
    <x v="1"/>
    <x v="1"/>
    <s v="Asia"/>
    <s v="Comprehensive Strategic Cooperative Partnership [全面战略合作伙伴关系]"/>
    <x v="0"/>
    <s v="INDOPACOM"/>
    <x v="23"/>
    <x v="18"/>
    <n v="4"/>
    <s v="BL - Hosted"/>
    <s v="Wu Shengli"/>
    <m/>
    <s v="PLAN Commander; CMC Member"/>
    <n v="8"/>
    <x v="2"/>
    <s v="Navy Commander"/>
    <x v="0"/>
    <m/>
    <m/>
    <m/>
    <m/>
    <x v="12"/>
    <m/>
    <m/>
    <s v="Defense White Paper Appendix"/>
    <m/>
  </r>
  <r>
    <x v="0"/>
    <x v="9"/>
    <s v="West Asia and Africa"/>
    <s v="No Specific Relationship"/>
    <x v="0"/>
    <s v="CENTCOM"/>
    <x v="135"/>
    <x v="18"/>
    <n v="4"/>
    <s v="Port Call - Replenish/Overhaul"/>
    <m/>
    <m/>
    <m/>
    <m/>
    <x v="0"/>
    <m/>
    <x v="0"/>
    <m/>
    <m/>
    <m/>
    <s v="ETF"/>
    <x v="29"/>
    <s v="South Sea Fleet"/>
    <s v="DDG169 Wuhan, DDG171 Haikou, AOR887 Weishan Hu; unknown, could also be ETF-2"/>
    <m/>
    <m/>
  </r>
  <r>
    <x v="1"/>
    <x v="8"/>
    <s v="Europe and Central Asia"/>
    <s v="No Specific Relationship"/>
    <x v="5"/>
    <s v="EUCOM"/>
    <x v="108"/>
    <x v="18"/>
    <n v="5"/>
    <s v="BL - Abroad"/>
    <s v="Chang Wanquan"/>
    <m/>
    <s v="GAD Director; CMC Member"/>
    <n v="8"/>
    <x v="1"/>
    <m/>
    <x v="0"/>
    <m/>
    <m/>
    <m/>
    <m/>
    <x v="12"/>
    <m/>
    <m/>
    <s v="Defense White Paper Appendix"/>
    <m/>
  </r>
  <r>
    <x v="1"/>
    <x v="8"/>
    <s v="Europe and Central Asia"/>
    <s v="Strategic Partnership [战略伙伴关系]"/>
    <x v="5"/>
    <s v="EUCOM"/>
    <x v="34"/>
    <x v="18"/>
    <n v="5"/>
    <s v="BL - Abroad"/>
    <s v="Chang Wanquan"/>
    <m/>
    <s v="GAD Director; CMC Member"/>
    <n v="8"/>
    <x v="1"/>
    <m/>
    <x v="0"/>
    <m/>
    <m/>
    <m/>
    <m/>
    <x v="12"/>
    <m/>
    <m/>
    <s v="Defense White Paper Appendix"/>
    <m/>
  </r>
  <r>
    <x v="1"/>
    <x v="8"/>
    <s v="Europe and Central Asia"/>
    <s v="No Specific Relationship"/>
    <x v="0"/>
    <s v="EUCOM"/>
    <x v="79"/>
    <x v="18"/>
    <n v="5"/>
    <s v="BL - Abroad"/>
    <s v="Chen Guoling"/>
    <m/>
    <s v="Nanjing MR Political Commissar"/>
    <n v="6"/>
    <x v="1"/>
    <m/>
    <x v="0"/>
    <m/>
    <m/>
    <m/>
    <m/>
    <x v="12"/>
    <m/>
    <m/>
    <s v="Defense White Paper Appendix"/>
    <m/>
  </r>
  <r>
    <x v="1"/>
    <x v="8"/>
    <s v="Europe and Central Asia"/>
    <s v="No Specific Relationship"/>
    <x v="5"/>
    <s v="EUCOM"/>
    <x v="58"/>
    <x v="18"/>
    <n v="5"/>
    <s v="BL - Abroad"/>
    <s v="Deng Changyou"/>
    <m/>
    <s v="PLAAF Political Commissar"/>
    <n v="6"/>
    <x v="1"/>
    <m/>
    <x v="0"/>
    <m/>
    <m/>
    <m/>
    <m/>
    <x v="12"/>
    <m/>
    <m/>
    <s v="Defense White Paper Appendix"/>
    <m/>
  </r>
  <r>
    <x v="1"/>
    <x v="9"/>
    <s v="West Asia and Africa"/>
    <s v="Strategic Cooperative Partnership [战略合作伙伴关系]"/>
    <x v="1"/>
    <s v="CENTCOM"/>
    <x v="24"/>
    <x v="18"/>
    <n v="5"/>
    <s v="BL - Hosted"/>
    <s v="Liang Guanglie"/>
    <m/>
    <s v="Defense Minister; CMC Member"/>
    <n v="8"/>
    <x v="2"/>
    <s v="CinC Armed Forces, Defense Minister and Military Production"/>
    <x v="0"/>
    <m/>
    <m/>
    <m/>
    <m/>
    <x v="12"/>
    <m/>
    <m/>
    <s v="Defense White Paper Appendix"/>
    <m/>
  </r>
  <r>
    <x v="1"/>
    <x v="8"/>
    <s v="Europe and Central Asia"/>
    <s v="No Specific Relationship"/>
    <x v="0"/>
    <s v="EUCOM"/>
    <x v="81"/>
    <x v="18"/>
    <n v="5"/>
    <s v="BL - Abroad"/>
    <s v="Guo Boxiong"/>
    <m/>
    <s v="CMC Vice Chairman"/>
    <n v="10"/>
    <x v="1"/>
    <m/>
    <x v="0"/>
    <m/>
    <m/>
    <m/>
    <m/>
    <x v="12"/>
    <m/>
    <m/>
    <s v="Defense White Paper Appendix"/>
    <m/>
  </r>
  <r>
    <x v="1"/>
    <x v="8"/>
    <s v="Europe and Central Asia"/>
    <s v="No Specific Relationship"/>
    <x v="5"/>
    <s v="EUCOM"/>
    <x v="18"/>
    <x v="18"/>
    <n v="5"/>
    <s v="BL - Abroad"/>
    <s v="Guo Boxiong"/>
    <m/>
    <s v="CMC Vice Chairman"/>
    <n v="10"/>
    <x v="1"/>
    <m/>
    <x v="0"/>
    <m/>
    <m/>
    <m/>
    <m/>
    <x v="12"/>
    <m/>
    <m/>
    <s v="Defense White Paper Appendix"/>
    <m/>
  </r>
  <r>
    <x v="1"/>
    <x v="8"/>
    <s v="Europe and Central Asia"/>
    <s v="No Specific Relationship"/>
    <x v="5"/>
    <s v="EUCOM"/>
    <x v="82"/>
    <x v="18"/>
    <n v="5"/>
    <s v="BL - Abroad"/>
    <s v="Deng Changyou"/>
    <m/>
    <s v="PLAAF Political Commissar"/>
    <n v="6"/>
    <x v="1"/>
    <m/>
    <x v="0"/>
    <m/>
    <m/>
    <m/>
    <m/>
    <x v="12"/>
    <m/>
    <m/>
    <s v="Defense White Paper Appendix"/>
    <m/>
  </r>
  <r>
    <x v="1"/>
    <x v="1"/>
    <s v="Asia"/>
    <s v="No Specific Relationship"/>
    <x v="0"/>
    <s v="INDOPACOM"/>
    <x v="137"/>
    <x v="18"/>
    <n v="5"/>
    <s v="ML - Abroad"/>
    <s v="Ma Xiaotian"/>
    <m/>
    <s v="GSD DCGS"/>
    <n v="6"/>
    <x v="1"/>
    <s v="8th Shangri-La Dialogue"/>
    <x v="0"/>
    <m/>
    <m/>
    <m/>
    <m/>
    <x v="12"/>
    <m/>
    <m/>
    <s v="Defense White Paper Appendix"/>
    <m/>
  </r>
  <r>
    <x v="1"/>
    <x v="7"/>
    <s v="West Asia and Africa"/>
    <s v="No Specific Relationship"/>
    <x v="0"/>
    <s v="AFRICOM"/>
    <x v="47"/>
    <x v="18"/>
    <n v="5"/>
    <s v="BL - Abroad"/>
    <s v="Ma Xiaotian"/>
    <m/>
    <s v="GSD DCGS"/>
    <n v="6"/>
    <x v="1"/>
    <m/>
    <x v="0"/>
    <m/>
    <m/>
    <m/>
    <m/>
    <x v="12"/>
    <m/>
    <m/>
    <s v="Defense White Paper Appendix"/>
    <m/>
  </r>
  <r>
    <x v="1"/>
    <x v="6"/>
    <s v="Europe and Central Asia"/>
    <s v="No Specific Relationship"/>
    <x v="0"/>
    <s v="CENTCOM"/>
    <x v="31"/>
    <x v="18"/>
    <n v="5"/>
    <s v="BL - Hosted"/>
    <s v="Liang Guanglie"/>
    <m/>
    <s v="Defense Minister; CMC Member"/>
    <n v="8"/>
    <x v="2"/>
    <s v="Commander Border Forces"/>
    <x v="0"/>
    <m/>
    <m/>
    <m/>
    <m/>
    <x v="12"/>
    <m/>
    <m/>
    <s v="Defense White Paper Appendix"/>
    <m/>
  </r>
  <r>
    <x v="1"/>
    <x v="7"/>
    <s v="West Asia and Africa"/>
    <s v="No Specific Relationship"/>
    <x v="0"/>
    <s v="AFRICOM"/>
    <x v="115"/>
    <x v="18"/>
    <n v="5"/>
    <s v="BL - Hosted"/>
    <s v="Liang Guanglie"/>
    <m/>
    <s v="Defense Minister; CMC Member"/>
    <n v="8"/>
    <x v="2"/>
    <s v="Defense Minister"/>
    <x v="0"/>
    <m/>
    <m/>
    <m/>
    <m/>
    <x v="12"/>
    <m/>
    <m/>
    <s v="Defense White Paper Appendix"/>
    <m/>
  </r>
  <r>
    <x v="1"/>
    <x v="7"/>
    <s v="West Asia and Africa"/>
    <s v="No Specific Relationship"/>
    <x v="0"/>
    <s v="AFRICOM"/>
    <x v="84"/>
    <x v="18"/>
    <n v="5"/>
    <s v="BL - Hosted"/>
    <s v="Liang Guanglie"/>
    <m/>
    <s v="Defense Minister; CMC Member"/>
    <n v="8"/>
    <x v="2"/>
    <s v="Defense Minister"/>
    <x v="0"/>
    <m/>
    <m/>
    <m/>
    <m/>
    <x v="12"/>
    <m/>
    <m/>
    <s v="Defense White Paper Appendix"/>
    <m/>
  </r>
  <r>
    <x v="1"/>
    <x v="7"/>
    <s v="West Asia and Africa"/>
    <s v="No Specific Relationship"/>
    <x v="0"/>
    <s v="AFRICOM"/>
    <x v="69"/>
    <x v="18"/>
    <n v="5"/>
    <s v="BL - Abroad"/>
    <s v="Ma Xiaotian"/>
    <m/>
    <s v="GSD DCGS"/>
    <n v="6"/>
    <x v="1"/>
    <m/>
    <x v="0"/>
    <m/>
    <m/>
    <m/>
    <m/>
    <x v="12"/>
    <m/>
    <m/>
    <s v="Defense White Paper Appendix"/>
    <m/>
  </r>
  <r>
    <x v="1"/>
    <x v="8"/>
    <s v="Europe and Central Asia"/>
    <s v="Comprehensive Strategic Partnership [全面战略伙伴关系]"/>
    <x v="5"/>
    <s v="EUCOM"/>
    <x v="48"/>
    <x v="18"/>
    <n v="5"/>
    <s v="BL - Abroad"/>
    <s v="Deng Changyou"/>
    <m/>
    <s v="PLAAF Political Commissar"/>
    <n v="6"/>
    <x v="1"/>
    <m/>
    <x v="0"/>
    <m/>
    <m/>
    <m/>
    <m/>
    <x v="12"/>
    <m/>
    <m/>
    <s v="Defense White Paper Appendix"/>
    <m/>
  </r>
  <r>
    <x v="1"/>
    <x v="8"/>
    <s v="Europe and Central Asia"/>
    <s v="Comprehensive Friendly Cooperative Partnership [全面友好合作伙伴关系]"/>
    <x v="5"/>
    <s v="EUCOM"/>
    <x v="33"/>
    <x v="18"/>
    <n v="5"/>
    <s v="BL - Abroad"/>
    <s v="Chen Guoling"/>
    <m/>
    <s v="Nanjing MR Political Commissar"/>
    <n v="6"/>
    <x v="1"/>
    <m/>
    <x v="0"/>
    <m/>
    <m/>
    <m/>
    <m/>
    <x v="12"/>
    <m/>
    <m/>
    <s v="Defense White Paper Appendix"/>
    <m/>
  </r>
  <r>
    <x v="1"/>
    <x v="3"/>
    <s v="Europe and Central Asia"/>
    <s v="Strategic Partnership of Coordination [战略协作伙伴关系]"/>
    <x v="0"/>
    <s v="EUCOM"/>
    <x v="7"/>
    <x v="18"/>
    <n v="5"/>
    <s v="BL - Abroad"/>
    <s v="Chang Wanquan"/>
    <m/>
    <s v="GAD Director; CMC Member"/>
    <n v="8"/>
    <x v="1"/>
    <m/>
    <x v="0"/>
    <m/>
    <m/>
    <m/>
    <m/>
    <x v="12"/>
    <m/>
    <m/>
    <s v="Defense White Paper Appendix"/>
    <m/>
  </r>
  <r>
    <x v="1"/>
    <x v="4"/>
    <s v="Asia"/>
    <s v="Strategic Cooperative Partnership [战略合作伙伴关系]"/>
    <x v="3"/>
    <s v="INDOPACOM"/>
    <x v="25"/>
    <x v="18"/>
    <n v="5"/>
    <s v="BL - Hosted"/>
    <s v="Liang Guanglie"/>
    <m/>
    <s v="Defense Minister; CMC Member"/>
    <n v="8"/>
    <x v="2"/>
    <s v="Defense Minister"/>
    <x v="0"/>
    <m/>
    <m/>
    <m/>
    <m/>
    <x v="12"/>
    <m/>
    <m/>
    <s v="Defense White Paper Appendix"/>
    <m/>
  </r>
  <r>
    <x v="1"/>
    <x v="8"/>
    <s v="Europe and Central Asia"/>
    <s v="Comprehensive Strategic Partnership [全面战略伙伴关系]"/>
    <x v="5"/>
    <s v="EUCOM"/>
    <x v="70"/>
    <x v="18"/>
    <n v="5"/>
    <s v="BL - Abroad"/>
    <s v="Ma Xiaotian"/>
    <m/>
    <s v="GSD DCGS"/>
    <n v="6"/>
    <x v="1"/>
    <m/>
    <x v="0"/>
    <m/>
    <m/>
    <m/>
    <m/>
    <x v="12"/>
    <m/>
    <m/>
    <s v="Defense White Paper Appendix"/>
    <m/>
  </r>
  <r>
    <x v="1"/>
    <x v="1"/>
    <s v="Asia"/>
    <s v="Strategic Partnership [战略伙伴关系]"/>
    <x v="3"/>
    <s v="INDOPACOM"/>
    <x v="5"/>
    <x v="18"/>
    <n v="5"/>
    <s v="BL - Hosted"/>
    <s v="Liang Guanglie"/>
    <m/>
    <s v="Defense Minister; CMC Member"/>
    <n v="8"/>
    <x v="2"/>
    <s v="Chief of Defense Forces"/>
    <x v="0"/>
    <m/>
    <m/>
    <m/>
    <m/>
    <x v="12"/>
    <m/>
    <m/>
    <s v="Defense White Paper Appendix"/>
    <m/>
  </r>
  <r>
    <x v="1"/>
    <x v="8"/>
    <s v="Europe and Central Asia"/>
    <s v="No Specific Relationship"/>
    <x v="5"/>
    <s v="EUCOM"/>
    <x v="38"/>
    <x v="18"/>
    <n v="5"/>
    <s v="BL - Abroad"/>
    <s v="Guo Boxiong"/>
    <m/>
    <s v="CMC Vice Chairman"/>
    <n v="10"/>
    <x v="1"/>
    <m/>
    <x v="0"/>
    <m/>
    <m/>
    <m/>
    <m/>
    <x v="12"/>
    <m/>
    <m/>
    <s v="Defense White Paper Appendix"/>
    <m/>
  </r>
  <r>
    <x v="1"/>
    <x v="2"/>
    <s v="America and Oceania"/>
    <s v="No Specific Relationship"/>
    <x v="2"/>
    <s v="NORTHCOM"/>
    <x v="4"/>
    <x v="18"/>
    <n v="5"/>
    <s v="BL - Abroad"/>
    <s v="Ma Xiaotian"/>
    <m/>
    <s v="GSD DCGS"/>
    <n v="6"/>
    <x v="1"/>
    <s v="Secretary of Defense"/>
    <x v="0"/>
    <m/>
    <m/>
    <m/>
    <m/>
    <x v="12"/>
    <m/>
    <m/>
    <s v="Defense White Paper Appendix"/>
    <m/>
  </r>
  <r>
    <x v="1"/>
    <x v="8"/>
    <s v="Europe and Central Asia"/>
    <s v="No Specific Relationship"/>
    <x v="0"/>
    <s v="EUCOM"/>
    <x v="81"/>
    <x v="18"/>
    <n v="6"/>
    <s v="BL - Abroad"/>
    <s v="Ma Xiaotian"/>
    <m/>
    <s v="GSD DCGS"/>
    <n v="6"/>
    <x v="1"/>
    <m/>
    <x v="0"/>
    <m/>
    <m/>
    <m/>
    <m/>
    <x v="12"/>
    <m/>
    <m/>
    <s v="Defense White Paper Appendix"/>
    <m/>
  </r>
  <r>
    <x v="1"/>
    <x v="7"/>
    <s v="West Asia and Africa"/>
    <s v="No Specific Relationship"/>
    <x v="0"/>
    <s v="AFRICOM"/>
    <x v="67"/>
    <x v="18"/>
    <n v="6"/>
    <s v="BL - Abroad"/>
    <s v="Ma Xiaotian"/>
    <m/>
    <s v="GSD DCGS"/>
    <n v="6"/>
    <x v="1"/>
    <m/>
    <x v="0"/>
    <m/>
    <m/>
    <m/>
    <m/>
    <x v="12"/>
    <m/>
    <m/>
    <s v="Defense White Paper Appendix"/>
    <m/>
  </r>
  <r>
    <x v="2"/>
    <x v="7"/>
    <s v="West Asia and Africa"/>
    <s v="No Specific Relationship"/>
    <x v="0"/>
    <s v="AFRICOM"/>
    <x v="67"/>
    <x v="18"/>
    <n v="6"/>
    <s v="Military Exercise - Bilateral"/>
    <m/>
    <m/>
    <m/>
    <m/>
    <x v="0"/>
    <m/>
    <x v="2"/>
    <s v="Peace Angel 2009"/>
    <s v="Army"/>
    <s v="HADR"/>
    <m/>
    <x v="12"/>
    <m/>
    <m/>
    <s v="Defense White Paper Appendix"/>
    <m/>
  </r>
  <r>
    <x v="2"/>
    <x v="4"/>
    <s v="Asia"/>
    <s v="No Specific Relationship"/>
    <x v="0"/>
    <s v="INDOPACOM"/>
    <x v="53"/>
    <x v="18"/>
    <n v="6"/>
    <s v="Military Exercise - Bilateral"/>
    <m/>
    <m/>
    <m/>
    <m/>
    <x v="0"/>
    <m/>
    <x v="2"/>
    <s v="Peacekeeping Mission"/>
    <s v="Army"/>
    <s v="Peacekeeping"/>
    <m/>
    <x v="12"/>
    <m/>
    <m/>
    <s v="Defense White Paper Appendix"/>
    <m/>
  </r>
  <r>
    <x v="1"/>
    <x v="7"/>
    <s v="West Asia and Africa"/>
    <s v="No Specific Relationship"/>
    <x v="0"/>
    <s v="AFRICOM"/>
    <x v="69"/>
    <x v="18"/>
    <n v="6"/>
    <s v="BL - Hosted"/>
    <s v="Liang Guanglie"/>
    <m/>
    <s v="Defense Minister; CMC Member"/>
    <n v="8"/>
    <x v="2"/>
    <s v="Chief of Defense Force"/>
    <x v="0"/>
    <m/>
    <m/>
    <m/>
    <m/>
    <x v="12"/>
    <m/>
    <m/>
    <s v="Defense White Paper Appendix"/>
    <m/>
  </r>
  <r>
    <x v="1"/>
    <x v="8"/>
    <s v="Europe and Central Asia"/>
    <s v="No Specific Relationship"/>
    <x v="5"/>
    <s v="EUCOM"/>
    <x v="37"/>
    <x v="18"/>
    <n v="6"/>
    <s v="BL - Abroad"/>
    <s v="Sun Dafa"/>
    <m/>
    <s v="GLD Political Commissar"/>
    <n v="6"/>
    <x v="1"/>
    <m/>
    <x v="0"/>
    <m/>
    <m/>
    <m/>
    <m/>
    <x v="12"/>
    <m/>
    <m/>
    <s v="Defense White Paper Appendix"/>
    <m/>
  </r>
  <r>
    <x v="0"/>
    <x v="9"/>
    <s v="West Asia and Africa"/>
    <s v="No Specific Relationship"/>
    <x v="0"/>
    <s v="CENTCOM"/>
    <x v="147"/>
    <x v="18"/>
    <n v="6"/>
    <s v="Port Call - Replenish/Overhaul"/>
    <m/>
    <m/>
    <m/>
    <m/>
    <x v="0"/>
    <m/>
    <x v="0"/>
    <m/>
    <m/>
    <m/>
    <s v="ETF"/>
    <x v="30"/>
    <s v="South Sea Fleet"/>
    <s v="DDG167 Shenzhen, FFG570 Huangshan, AOR887 Weishan Hu; uncertain, could also be ETF-3"/>
    <m/>
    <m/>
  </r>
  <r>
    <x v="1"/>
    <x v="0"/>
    <s v="Asia"/>
    <s v="Strategic Partnership [战略伙伴关系]"/>
    <x v="1"/>
    <s v="CENTCOM"/>
    <x v="2"/>
    <x v="18"/>
    <n v="6"/>
    <s v="BL - Hosted"/>
    <s v="Liang Guanglie"/>
    <m/>
    <s v="Defense Minister; CMC Member"/>
    <n v="8"/>
    <x v="2"/>
    <s v="Air Force Chief of Staff"/>
    <x v="0"/>
    <m/>
    <m/>
    <m/>
    <m/>
    <x v="12"/>
    <m/>
    <m/>
    <s v="Defense White Paper Appendix"/>
    <m/>
  </r>
  <r>
    <x v="1"/>
    <x v="1"/>
    <s v="America and Oceania"/>
    <s v="No Specific Relationship"/>
    <x v="0"/>
    <s v="INDOPACOM"/>
    <x v="122"/>
    <x v="18"/>
    <n v="6"/>
    <s v="BL - Hosted"/>
    <s v="Liang Guanglie"/>
    <m/>
    <s v="Defense Minister; CMC Member"/>
    <n v="8"/>
    <x v="2"/>
    <s v="Chief of Defense Force "/>
    <x v="0"/>
    <m/>
    <m/>
    <m/>
    <m/>
    <x v="12"/>
    <m/>
    <m/>
    <s v="Defense White Paper Appendix"/>
    <m/>
  </r>
  <r>
    <x v="2"/>
    <x v="1"/>
    <s v="Asia"/>
    <s v="No Specific Relationship"/>
    <x v="0"/>
    <s v="INDOPACOM"/>
    <x v="39"/>
    <x v="18"/>
    <n v="6"/>
    <s v="Military Exercise - Bilateral"/>
    <m/>
    <m/>
    <m/>
    <m/>
    <x v="0"/>
    <m/>
    <x v="2"/>
    <s v="Cooperation 2009"/>
    <s v="Army"/>
    <s v="Security training"/>
    <m/>
    <x v="12"/>
    <m/>
    <m/>
    <s v="Defense White Paper Appendix"/>
    <m/>
  </r>
  <r>
    <x v="1"/>
    <x v="8"/>
    <s v="Europe and Central Asia"/>
    <s v="Comprehensive Strategic Partnership [全面战略伙伴关系]"/>
    <x v="5"/>
    <s v="EUCOM"/>
    <x v="70"/>
    <x v="18"/>
    <n v="6"/>
    <s v="BL - Abroad"/>
    <s v="Liu Chengjun"/>
    <m/>
    <s v="AMS President"/>
    <n v="6"/>
    <x v="1"/>
    <m/>
    <x v="0"/>
    <m/>
    <m/>
    <m/>
    <m/>
    <x v="12"/>
    <m/>
    <m/>
    <s v="Defense White Paper Appendix"/>
    <m/>
  </r>
  <r>
    <x v="1"/>
    <x v="10"/>
    <s v="America and Oceania"/>
    <s v="No Specific Relationship"/>
    <x v="0"/>
    <s v="SOUTHCOM"/>
    <x v="91"/>
    <x v="18"/>
    <n v="6"/>
    <s v="BL - Hosted"/>
    <s v="Chen Bingde"/>
    <m/>
    <s v="GSD Commander; CMC Member"/>
    <n v="8"/>
    <x v="2"/>
    <s v="Commander Defense Force"/>
    <x v="0"/>
    <m/>
    <m/>
    <m/>
    <m/>
    <x v="12"/>
    <m/>
    <m/>
    <s v="Defense White Paper Appendix"/>
    <m/>
  </r>
  <r>
    <x v="1"/>
    <x v="8"/>
    <s v="Europe and Central Asia"/>
    <s v="No Specific Relationship"/>
    <x v="0"/>
    <s v="EUCOM"/>
    <x v="92"/>
    <x v="18"/>
    <n v="6"/>
    <s v="BL - Abroad"/>
    <s v="Ma Xiaotian"/>
    <m/>
    <s v="GSD DCGS"/>
    <n v="6"/>
    <x v="1"/>
    <m/>
    <x v="0"/>
    <m/>
    <m/>
    <m/>
    <m/>
    <x v="12"/>
    <m/>
    <m/>
    <s v="Defense White Paper Appendix"/>
    <m/>
  </r>
  <r>
    <x v="1"/>
    <x v="8"/>
    <s v="Europe and Central Asia"/>
    <s v="No Specific Relationship"/>
    <x v="0"/>
    <s v="EUCOM"/>
    <x v="78"/>
    <x v="18"/>
    <n v="6"/>
    <s v="BL - Abroad"/>
    <s v="Sun Dafa"/>
    <m/>
    <s v="GLD Political Commissar"/>
    <n v="6"/>
    <x v="1"/>
    <m/>
    <x v="0"/>
    <m/>
    <m/>
    <m/>
    <m/>
    <x v="12"/>
    <m/>
    <m/>
    <s v="Defense White Paper Appendix"/>
    <m/>
  </r>
  <r>
    <x v="1"/>
    <x v="2"/>
    <s v="America and Oceania"/>
    <s v="No Specific Relationship"/>
    <x v="2"/>
    <s v="NORTHCOM"/>
    <x v="4"/>
    <x v="18"/>
    <n v="6"/>
    <s v="BL - Hosted"/>
    <s v="Liang Guanglie"/>
    <m/>
    <s v="Defense Minister; CMC Member"/>
    <n v="8"/>
    <x v="2"/>
    <s v="USDP"/>
    <x v="0"/>
    <m/>
    <m/>
    <m/>
    <m/>
    <x v="12"/>
    <m/>
    <m/>
    <s v="Defense White Paper Appendix"/>
    <m/>
  </r>
  <r>
    <x v="1"/>
    <x v="10"/>
    <s v="America and Oceania"/>
    <s v="No Specific Relationship"/>
    <x v="0"/>
    <s v="SOUTHCOM"/>
    <x v="51"/>
    <x v="18"/>
    <n v="7"/>
    <s v="BL - Hosted"/>
    <s v="Chen Bingde"/>
    <m/>
    <s v="GSD Commander; CMC Member"/>
    <n v="8"/>
    <x v="2"/>
    <s v="Chief of Joint Command"/>
    <x v="0"/>
    <m/>
    <m/>
    <m/>
    <m/>
    <x v="12"/>
    <m/>
    <m/>
    <s v="Defense White Paper Appendix"/>
    <m/>
  </r>
  <r>
    <x v="1"/>
    <x v="4"/>
    <s v="Asia"/>
    <s v="Mutually Beneficial Strategic Relationship [战略互惠关系]"/>
    <x v="3"/>
    <s v="INDOPACOM"/>
    <x v="83"/>
    <x v="18"/>
    <n v="7"/>
    <s v="BL - Hosted"/>
    <s v="Liang Guanglie"/>
    <m/>
    <s v="Defense Minister; CMC Member"/>
    <n v="8"/>
    <x v="2"/>
    <s v="Chief of Staff Navy"/>
    <x v="0"/>
    <m/>
    <m/>
    <m/>
    <m/>
    <x v="12"/>
    <m/>
    <m/>
    <s v="Defense White Paper Appendix"/>
    <m/>
  </r>
  <r>
    <x v="1"/>
    <x v="7"/>
    <s v="West Asia and Africa"/>
    <s v="No Specific Relationship"/>
    <x v="0"/>
    <s v="AFRICOM"/>
    <x v="47"/>
    <x v="18"/>
    <n v="7"/>
    <s v="BL - Hosted"/>
    <s v="Chen Bingde"/>
    <m/>
    <s v="GSD Commander; CMC Member"/>
    <n v="8"/>
    <x v="2"/>
    <s v="Minister of State for Defense"/>
    <x v="0"/>
    <m/>
    <m/>
    <m/>
    <m/>
    <x v="12"/>
    <m/>
    <m/>
    <s v="Defense White Paper Appendix"/>
    <m/>
  </r>
  <r>
    <x v="1"/>
    <x v="1"/>
    <s v="Asia"/>
    <s v="Strategic Cooperative Partnership [战略合作伙伴关系]"/>
    <x v="0"/>
    <s v="INDOPACOM"/>
    <x v="10"/>
    <x v="18"/>
    <n v="7"/>
    <s v="BL - Hosted"/>
    <s v="Liang Guanglie"/>
    <m/>
    <s v="Defense Minister; CMC Member"/>
    <n v="8"/>
    <x v="2"/>
    <s v="Chief of Armed Forces"/>
    <x v="0"/>
    <m/>
    <m/>
    <m/>
    <m/>
    <x v="12"/>
    <m/>
    <m/>
    <s v="Defense White Paper Appendix"/>
    <m/>
  </r>
  <r>
    <x v="1"/>
    <x v="4"/>
    <s v="Asia"/>
    <s v="No Specific Relationship"/>
    <x v="0"/>
    <s v="INDOPACOM"/>
    <x v="53"/>
    <x v="18"/>
    <n v="7"/>
    <s v="BL - Hosted"/>
    <s v="Liang Guanglie"/>
    <m/>
    <s v="Defense Minister; CMC Member"/>
    <n v="8"/>
    <x v="2"/>
    <s v="State Secretary of Defense Ministry"/>
    <x v="0"/>
    <m/>
    <m/>
    <m/>
    <m/>
    <x v="12"/>
    <m/>
    <m/>
    <s v="Defense White Paper Appendix"/>
    <m/>
  </r>
  <r>
    <x v="1"/>
    <x v="0"/>
    <s v="Asia"/>
    <s v="Strategic Partnership [战略伙伴关系]"/>
    <x v="1"/>
    <s v="CENTCOM"/>
    <x v="2"/>
    <x v="18"/>
    <n v="7"/>
    <s v="BL - Hosted"/>
    <s v="Liang Guanglie"/>
    <m/>
    <s v="Defense Minister; CMC Member"/>
    <n v="8"/>
    <x v="2"/>
    <s v="Chief of Naval Staff"/>
    <x v="0"/>
    <m/>
    <m/>
    <m/>
    <m/>
    <x v="12"/>
    <m/>
    <m/>
    <s v="Defense White Paper Appendix"/>
    <m/>
  </r>
  <r>
    <x v="1"/>
    <x v="3"/>
    <s v="Europe and Central Asia"/>
    <s v="Strategic Partnership of Coordination [战略协作伙伴关系]"/>
    <x v="0"/>
    <s v="EUCOM"/>
    <x v="7"/>
    <x v="18"/>
    <n v="7"/>
    <s v="BL - Hosted"/>
    <s v="Guo Boxiong"/>
    <m/>
    <s v="CMC Vice Chairman"/>
    <n v="10"/>
    <x v="2"/>
    <s v="COGS"/>
    <x v="0"/>
    <m/>
    <m/>
    <m/>
    <m/>
    <x v="12"/>
    <m/>
    <m/>
    <s v="Defense White Paper Appendix"/>
    <m/>
  </r>
  <r>
    <x v="2"/>
    <x v="3"/>
    <s v="Europe and Central Asia"/>
    <s v="Strategic Partnership of Coordination [战略协作伙伴关系]"/>
    <x v="0"/>
    <s v="EUCOM"/>
    <x v="7"/>
    <x v="18"/>
    <n v="7"/>
    <s v="Military Exercise - Bilateral"/>
    <m/>
    <m/>
    <m/>
    <m/>
    <x v="0"/>
    <m/>
    <x v="3"/>
    <s v="Peace Mission 2009"/>
    <s v="Joint"/>
    <s v="Army, Navy, Air Force, SOF; anti-terrorism; Participant: Russia; Observer countries: Kazakhstan, Kyrgyzstan, Tajikistan and Uzbekistan. July 22 to 26"/>
    <m/>
    <x v="12"/>
    <m/>
    <m/>
    <s v="Defense White Paper Appendix"/>
    <s v="Under SCO auspices, but coded as Russia because it is a BL exercise and other SCO states are only observers."/>
  </r>
  <r>
    <x v="1"/>
    <x v="8"/>
    <s v="Europe and Central Asia"/>
    <s v="Strategic Partnership [战略伙伴关系]"/>
    <x v="0"/>
    <s v="EUCOM"/>
    <x v="112"/>
    <x v="18"/>
    <n v="7"/>
    <s v="BL - Hosted"/>
    <s v="Jing Zhiyuan"/>
    <m/>
    <s v="PLASAF Commander; CMC Member"/>
    <n v="8"/>
    <x v="2"/>
    <s v="President of Serbian Parliament"/>
    <x v="0"/>
    <m/>
    <m/>
    <m/>
    <m/>
    <x v="12"/>
    <m/>
    <m/>
    <s v="Defense White Paper Appendix"/>
    <m/>
  </r>
  <r>
    <x v="1"/>
    <x v="7"/>
    <s v="West Asia and Africa"/>
    <s v="No Specific Relationship"/>
    <x v="0"/>
    <s v="AFRICOM"/>
    <x v="74"/>
    <x v="18"/>
    <n v="7"/>
    <s v="BL - Hosted"/>
    <s v="Liang Guanglie"/>
    <m/>
    <s v="Defense Minister; CMC Member"/>
    <n v="8"/>
    <x v="2"/>
    <s v="Defense Minister"/>
    <x v="0"/>
    <m/>
    <m/>
    <m/>
    <m/>
    <x v="12"/>
    <m/>
    <m/>
    <s v="Defense White Paper Appendix"/>
    <m/>
  </r>
  <r>
    <x v="1"/>
    <x v="1"/>
    <s v="Asia"/>
    <s v="Strategic Partnership [战略伙伴关系]"/>
    <x v="3"/>
    <s v="INDOPACOM"/>
    <x v="5"/>
    <x v="18"/>
    <n v="7"/>
    <s v="BL - Hosted"/>
    <s v="Liang Guanglie"/>
    <m/>
    <s v="Defense Minister; CMC Member"/>
    <n v="8"/>
    <x v="2"/>
    <s v="Defense Minister"/>
    <x v="0"/>
    <m/>
    <m/>
    <m/>
    <m/>
    <x v="12"/>
    <m/>
    <m/>
    <s v="https://dlib.eastview.com/browse/doc/20378334"/>
    <m/>
  </r>
  <r>
    <x v="1"/>
    <x v="8"/>
    <s v="Europe and Central Asia"/>
    <s v="No Specific Relationship"/>
    <x v="0"/>
    <s v="EUCOM"/>
    <x v="26"/>
    <x v="18"/>
    <n v="7"/>
    <s v="BL - Abroad"/>
    <s v="Jing Zhiyuan"/>
    <m/>
    <s v="PLASAF Commander; CMC Member"/>
    <n v="8"/>
    <x v="1"/>
    <m/>
    <x v="0"/>
    <m/>
    <m/>
    <m/>
    <m/>
    <x v="12"/>
    <m/>
    <m/>
    <s v="Defense White Paper Appendix"/>
    <m/>
  </r>
  <r>
    <x v="0"/>
    <x v="9"/>
    <s v="West Asia and Africa"/>
    <s v="No Specific Relationship"/>
    <x v="0"/>
    <s v="CENTCOM"/>
    <x v="135"/>
    <x v="18"/>
    <n v="7"/>
    <s v="Port Call - Replenish/Overhaul"/>
    <m/>
    <m/>
    <m/>
    <m/>
    <x v="0"/>
    <m/>
    <x v="0"/>
    <m/>
    <m/>
    <m/>
    <s v="ETF"/>
    <x v="30"/>
    <s v="South Sea Fleet"/>
    <s v="DDG167 Shenzhen, FFG570 Huangshan, AOR887 Weishan Hu; uncertain, could also be ETF-3"/>
    <m/>
    <m/>
  </r>
  <r>
    <x v="1"/>
    <x v="10"/>
    <s v="America and Oceania"/>
    <s v="Comprehensive Strategic Partnership [全面战略伙伴关系]"/>
    <x v="0"/>
    <s v="SOUTHCOM"/>
    <x v="43"/>
    <x v="18"/>
    <n v="8"/>
    <s v="BL - Hosted"/>
    <s v="Chen Bingde"/>
    <m/>
    <s v="GSD Commander; CMC Member"/>
    <n v="8"/>
    <x v="2"/>
    <s v="Army Commander"/>
    <x v="0"/>
    <m/>
    <m/>
    <m/>
    <m/>
    <x v="12"/>
    <m/>
    <m/>
    <s v="Defense White Paper Appendix"/>
    <m/>
  </r>
  <r>
    <x v="1"/>
    <x v="8"/>
    <s v="Europe and Central Asia"/>
    <s v="No Specific Relationship"/>
    <x v="5"/>
    <s v="EUCOM"/>
    <x v="18"/>
    <x v="18"/>
    <n v="8"/>
    <s v="BL - Abroad"/>
    <s v="Wu Shengli"/>
    <m/>
    <s v="PLAN Commander; CMC Member"/>
    <n v="8"/>
    <x v="1"/>
    <m/>
    <x v="0"/>
    <m/>
    <m/>
    <m/>
    <m/>
    <x v="12"/>
    <m/>
    <m/>
    <s v="Defense White Paper Appendix"/>
    <m/>
  </r>
  <r>
    <x v="1"/>
    <x v="8"/>
    <s v="Europe and Central Asia"/>
    <s v="No Specific Relationship"/>
    <x v="5"/>
    <s v="EUCOM"/>
    <x v="82"/>
    <x v="18"/>
    <n v="8"/>
    <s v="BL - Abroad"/>
    <s v="Li Jinai"/>
    <m/>
    <s v="GPD Director; CMC Member"/>
    <n v="8"/>
    <x v="1"/>
    <m/>
    <x v="0"/>
    <m/>
    <m/>
    <m/>
    <m/>
    <x v="12"/>
    <m/>
    <m/>
    <s v="Defense White Paper Appendix"/>
    <m/>
  </r>
  <r>
    <x v="0"/>
    <x v="0"/>
    <s v="Asia"/>
    <s v="Strategic Partnership for Peace and Prosperity [战略伙伴关系]"/>
    <x v="0"/>
    <s v="INDOPACOM"/>
    <x v="6"/>
    <x v="18"/>
    <n v="8"/>
    <s v="Port Call - Friendly Visit"/>
    <m/>
    <m/>
    <m/>
    <m/>
    <x v="0"/>
    <m/>
    <x v="0"/>
    <m/>
    <m/>
    <m/>
    <s v="ETF"/>
    <x v="30"/>
    <s v="South Sea Fleet"/>
    <s v="DDG167 Shenzhen, FFG570 Huangshan, AOR887 Weishan Hu"/>
    <m/>
    <m/>
  </r>
  <r>
    <x v="1"/>
    <x v="8"/>
    <s v="Europe and Central Asia"/>
    <s v="No Specific Relationship"/>
    <x v="5"/>
    <s v="EUCOM"/>
    <x v="37"/>
    <x v="18"/>
    <n v="8"/>
    <s v="BL - Abroad"/>
    <s v="Wu Shengli"/>
    <m/>
    <s v="PLAN Commander; CMC Member"/>
    <n v="8"/>
    <x v="1"/>
    <m/>
    <x v="0"/>
    <m/>
    <m/>
    <m/>
    <m/>
    <x v="12"/>
    <m/>
    <m/>
    <s v="Defense White Paper Appendix"/>
    <m/>
  </r>
  <r>
    <x v="0"/>
    <x v="9"/>
    <s v="West Asia and Africa"/>
    <s v="No Specific Relationship"/>
    <x v="0"/>
    <s v="CENTCOM"/>
    <x v="147"/>
    <x v="18"/>
    <n v="8"/>
    <s v="Port Call - Replenish/Overhaul"/>
    <m/>
    <m/>
    <m/>
    <m/>
    <x v="0"/>
    <m/>
    <x v="0"/>
    <m/>
    <m/>
    <m/>
    <s v="ETF"/>
    <x v="31"/>
    <s v="East Sea Fleet"/>
    <s v="FFG529 Zhoushan, FFG530 Xuzhou, AOR886 Qiandao Hu"/>
    <m/>
    <m/>
  </r>
  <r>
    <x v="0"/>
    <x v="0"/>
    <s v="Asia"/>
    <s v="Strategic Partnership [战略伙伴关系]"/>
    <x v="1"/>
    <s v="CENTCOM"/>
    <x v="2"/>
    <x v="18"/>
    <n v="8"/>
    <s v="Port Call - Friendly Visit and Drills"/>
    <m/>
    <m/>
    <m/>
    <m/>
    <x v="0"/>
    <m/>
    <x v="0"/>
    <m/>
    <m/>
    <m/>
    <s v="ETF"/>
    <x v="30"/>
    <s v="South Sea Fleet"/>
    <s v="DDG167 Shenzhen, FFG570 Huangshan, AOR887 Weishan Hu"/>
    <m/>
    <m/>
  </r>
  <r>
    <x v="2"/>
    <x v="0"/>
    <s v="Asia"/>
    <s v="Strategic Partnership [战略伙伴关系]"/>
    <x v="1"/>
    <s v="CENTCOM"/>
    <x v="2"/>
    <x v="18"/>
    <n v="8"/>
    <s v="Military Exercise - Bilateral"/>
    <m/>
    <m/>
    <m/>
    <m/>
    <x v="0"/>
    <m/>
    <x v="4"/>
    <s v="Unknown Karachi 2009"/>
    <s v="Navy"/>
    <s v="5-8 August 2009, anti-piracy ETF joint drills and friendly visit, Six Years p. 129"/>
    <m/>
    <x v="12"/>
    <m/>
    <m/>
    <s v="Defense White Paper Appendix"/>
    <m/>
  </r>
  <r>
    <x v="1"/>
    <x v="8"/>
    <s v="Europe and Central Asia"/>
    <s v="No Specific Relationship"/>
    <x v="5"/>
    <s v="EUCOM"/>
    <x v="59"/>
    <x v="18"/>
    <n v="8"/>
    <s v="BL - Abroad"/>
    <s v="Li Jinai"/>
    <m/>
    <s v="GPD Director; CMC Member"/>
    <n v="8"/>
    <x v="1"/>
    <m/>
    <x v="0"/>
    <m/>
    <m/>
    <m/>
    <m/>
    <x v="12"/>
    <m/>
    <m/>
    <s v="Defense White Paper Appendix"/>
    <m/>
  </r>
  <r>
    <x v="1"/>
    <x v="8"/>
    <s v="Europe and Central Asia"/>
    <s v="Comprehensive Friendly Cooperative Partnership [全面友好合作伙伴关系]"/>
    <x v="5"/>
    <s v="EUCOM"/>
    <x v="33"/>
    <x v="18"/>
    <n v="8"/>
    <s v="BL - Abroad"/>
    <s v="Li Jinai"/>
    <m/>
    <s v="GPD Director; CMC Member"/>
    <n v="8"/>
    <x v="1"/>
    <m/>
    <x v="0"/>
    <m/>
    <m/>
    <m/>
    <m/>
    <x v="12"/>
    <m/>
    <m/>
    <s v="Defense White Paper Appendix"/>
    <m/>
  </r>
  <r>
    <x v="1"/>
    <x v="9"/>
    <s v="West Asia and Africa"/>
    <s v="No Specific Relationship"/>
    <x v="0"/>
    <s v="CENTCOM"/>
    <x v="142"/>
    <x v="18"/>
    <n v="8"/>
    <s v="BL - Abroad"/>
    <s v="Chi Wanchun"/>
    <m/>
    <s v="GAD Political Commissar"/>
    <n v="6"/>
    <x v="1"/>
    <m/>
    <x v="0"/>
    <m/>
    <m/>
    <m/>
    <m/>
    <x v="12"/>
    <m/>
    <m/>
    <s v="Defense White Paper Appendix"/>
    <m/>
  </r>
  <r>
    <x v="1"/>
    <x v="8"/>
    <s v="Europe and Central Asia"/>
    <s v="No Specific Relationship"/>
    <x v="0"/>
    <s v="EUCOM"/>
    <x v="26"/>
    <x v="18"/>
    <n v="8"/>
    <s v="BL - Abroad"/>
    <s v="Ma Xiaotian"/>
    <m/>
    <s v="GSD DCGS"/>
    <n v="6"/>
    <x v="1"/>
    <m/>
    <x v="0"/>
    <m/>
    <m/>
    <m/>
    <m/>
    <x v="12"/>
    <m/>
    <m/>
    <s v="Defense White Paper Appendix"/>
    <m/>
  </r>
  <r>
    <x v="1"/>
    <x v="8"/>
    <s v="Europe and Central Asia"/>
    <s v="Comprehensive Strategic Partnership [全面战略伙伴关系]"/>
    <x v="5"/>
    <s v="EUCOM"/>
    <x v="21"/>
    <x v="18"/>
    <n v="8"/>
    <s v="BL - Abroad"/>
    <s v="Chi Wanchun"/>
    <m/>
    <s v="GAD Political Commissar"/>
    <n v="6"/>
    <x v="1"/>
    <m/>
    <x v="0"/>
    <m/>
    <m/>
    <m/>
    <m/>
    <x v="12"/>
    <m/>
    <m/>
    <s v="Defense White Paper Appendix"/>
    <m/>
  </r>
  <r>
    <x v="1"/>
    <x v="2"/>
    <s v="America and Oceania"/>
    <s v="No Specific Relationship"/>
    <x v="2"/>
    <s v="NORTHCOM"/>
    <x v="4"/>
    <x v="18"/>
    <n v="8"/>
    <s v="BL - Hosted"/>
    <s v="Chen Bingde"/>
    <m/>
    <s v="GSD Commander; CMC Member"/>
    <n v="8"/>
    <x v="2"/>
    <s v="Chief of Army Staff"/>
    <x v="0"/>
    <m/>
    <m/>
    <m/>
    <m/>
    <x v="12"/>
    <m/>
    <m/>
    <s v="Defense White Paper Appendix"/>
    <m/>
  </r>
  <r>
    <x v="0"/>
    <x v="1"/>
    <s v="Asia"/>
    <s v="Comprehensive Strategic Cooperative Partnership [全面战略合作伙伴关系]"/>
    <x v="0"/>
    <s v="INDOPACOM"/>
    <x v="23"/>
    <x v="18"/>
    <n v="8"/>
    <s v="Port Call - Friendly Visit"/>
    <m/>
    <m/>
    <m/>
    <m/>
    <x v="0"/>
    <m/>
    <x v="0"/>
    <m/>
    <m/>
    <m/>
    <s v="NETF"/>
    <x v="27"/>
    <m/>
    <m/>
    <s v="Southeast Asian Affairs (2010), 397"/>
    <m/>
  </r>
  <r>
    <x v="1"/>
    <x v="8"/>
    <s v="Europe and Central Asia"/>
    <s v="No Specific Relationship"/>
    <x v="5"/>
    <s v="EUCOM"/>
    <x v="79"/>
    <x v="18"/>
    <n v="9"/>
    <s v="BL - Abroad"/>
    <s v="Liang Guanglie"/>
    <m/>
    <s v="Defense Minister; CMC Member"/>
    <n v="8"/>
    <x v="1"/>
    <m/>
    <x v="0"/>
    <m/>
    <m/>
    <m/>
    <m/>
    <x v="12"/>
    <m/>
    <m/>
    <s v="Defense White Paper Appendix"/>
    <m/>
  </r>
  <r>
    <x v="0"/>
    <x v="5"/>
    <s v="America and Oceania"/>
    <s v="No Specific Relationship"/>
    <x v="0"/>
    <s v="INDOPACOM"/>
    <x v="150"/>
    <x v="18"/>
    <n v="9"/>
    <s v="Port Call - Friendly Visit"/>
    <m/>
    <m/>
    <m/>
    <m/>
    <x v="0"/>
    <m/>
    <x v="0"/>
    <m/>
    <m/>
    <m/>
    <s v="NETF"/>
    <x v="27"/>
    <m/>
    <m/>
    <m/>
    <m/>
  </r>
  <r>
    <x v="1"/>
    <x v="8"/>
    <s v="Europe and Central Asia"/>
    <s v="Friendly Cooperative Partnership [友好合作伙伴关系]"/>
    <x v="0"/>
    <s v="EUCOM"/>
    <x v="126"/>
    <x v="18"/>
    <n v="9"/>
    <s v="BL - Hosted"/>
    <s v="Chen Bingde"/>
    <m/>
    <s v="GSD Commander; CMC Member"/>
    <n v="8"/>
    <x v="2"/>
    <s v="COGS"/>
    <x v="0"/>
    <m/>
    <m/>
    <m/>
    <m/>
    <x v="12"/>
    <m/>
    <m/>
    <s v="Defense White Paper Appendix"/>
    <m/>
  </r>
  <r>
    <x v="1"/>
    <x v="4"/>
    <s v="Asia"/>
    <s v="No Specific Relationship"/>
    <x v="0"/>
    <s v="INDOPACOM"/>
    <x v="53"/>
    <x v="18"/>
    <n v="9"/>
    <s v="BL - Hosted"/>
    <s v="Liang Guanglie"/>
    <m/>
    <s v="Defense Minister; CMC Member"/>
    <n v="8"/>
    <x v="2"/>
    <s v="Defense Minister"/>
    <x v="0"/>
    <m/>
    <m/>
    <m/>
    <m/>
    <x v="12"/>
    <m/>
    <m/>
    <s v="Defense White Paper Appendix"/>
    <m/>
  </r>
  <r>
    <x v="1"/>
    <x v="5"/>
    <s v="America and Oceania"/>
    <s v="No Specific Relationship"/>
    <x v="4"/>
    <s v="INDOPACOM"/>
    <x v="13"/>
    <x v="18"/>
    <n v="9"/>
    <s v="BL - Hosted"/>
    <s v="Liang Guanglie"/>
    <m/>
    <s v="Defense Minister; CMC Member"/>
    <n v="8"/>
    <x v="2"/>
    <s v="Defense Minister"/>
    <x v="0"/>
    <m/>
    <m/>
    <m/>
    <m/>
    <x v="12"/>
    <m/>
    <m/>
    <s v="Defense White Paper Appendix"/>
    <m/>
  </r>
  <r>
    <x v="2"/>
    <x v="8"/>
    <s v="Europe and Central Asia"/>
    <s v="Comprehensive Friendly Cooperative Partnership [全面友好合作伙伴关系]"/>
    <x v="5"/>
    <s v="EUCOM"/>
    <x v="33"/>
    <x v="18"/>
    <n v="9"/>
    <s v="Military Exercise - Bilateral"/>
    <m/>
    <m/>
    <m/>
    <m/>
    <x v="0"/>
    <m/>
    <x v="2"/>
    <s v="Friendship Operation 2009"/>
    <s v="Army"/>
    <s v="Mountain troops"/>
    <m/>
    <x v="12"/>
    <m/>
    <m/>
    <s v="Defense White Paper Appendix"/>
    <m/>
  </r>
  <r>
    <x v="2"/>
    <x v="3"/>
    <s v="Europe and Central Asia"/>
    <s v="Strategic Partnership of Coordination [战略协作伙伴关系]"/>
    <x v="0"/>
    <s v="EUCOM"/>
    <x v="7"/>
    <x v="18"/>
    <n v="9"/>
    <s v="Military Exercise - Bilateral"/>
    <m/>
    <m/>
    <m/>
    <m/>
    <x v="0"/>
    <m/>
    <x v="4"/>
    <s v="Peace Shield 2009"/>
    <s v="Navy"/>
    <s v="Maritime manuever in Gulf of Aden, 18 Sept. 2009"/>
    <m/>
    <x v="12"/>
    <m/>
    <m/>
    <s v="https://sputniknews.com/military/20090918156169511/"/>
    <m/>
  </r>
  <r>
    <x v="2"/>
    <x v="3"/>
    <s v="Europe and Central Asia"/>
    <s v="Strategic Partnership of Coordination [战略协作伙伴关系]"/>
    <x v="0"/>
    <s v="EUCOM"/>
    <x v="7"/>
    <x v="18"/>
    <n v="9"/>
    <s v="Military Exercise - Bilateral"/>
    <m/>
    <m/>
    <m/>
    <m/>
    <x v="0"/>
    <m/>
    <x v="2"/>
    <s v="River/port Emergencies Exercises"/>
    <s v="PAP"/>
    <s v="“the first joint border blockading and controlling military exercise” conducted between China and Russia"/>
    <m/>
    <x v="12"/>
    <m/>
    <m/>
    <s v="https://www.jstor.org/stable/pdf/resrep11945.11.pdf?refreqid=excelsior%3A4fac441d45c51d61db50c8bc19c2628f"/>
    <m/>
  </r>
  <r>
    <x v="1"/>
    <x v="8"/>
    <s v="Europe and Central Asia"/>
    <s v="Strategic Partnership [战略伙伴关系]"/>
    <x v="0"/>
    <s v="EUCOM"/>
    <x v="112"/>
    <x v="18"/>
    <n v="9"/>
    <s v="BL - Abroad"/>
    <s v="Liang Guanglie"/>
    <m/>
    <s v="Defense Minister; CMC Member"/>
    <n v="8"/>
    <x v="1"/>
    <m/>
    <x v="0"/>
    <m/>
    <m/>
    <m/>
    <m/>
    <x v="12"/>
    <m/>
    <m/>
    <s v="Defense White Paper Appendix"/>
    <m/>
  </r>
  <r>
    <x v="1"/>
    <x v="8"/>
    <s v="Europe and Central Asia"/>
    <s v="No Specific Relationship"/>
    <x v="5"/>
    <s v="EUCOM"/>
    <x v="40"/>
    <x v="18"/>
    <n v="9"/>
    <s v="BL - Abroad"/>
    <s v="Liang Guanglie"/>
    <m/>
    <s v="Defense Minister; CMC Member"/>
    <n v="8"/>
    <x v="1"/>
    <m/>
    <x v="0"/>
    <m/>
    <m/>
    <m/>
    <m/>
    <x v="12"/>
    <m/>
    <m/>
    <s v="Defense White Paper Appendix"/>
    <m/>
  </r>
  <r>
    <x v="1"/>
    <x v="7"/>
    <s v="West Asia and Africa"/>
    <s v="No Specific Relationship"/>
    <x v="0"/>
    <s v="AFRICOM"/>
    <x v="16"/>
    <x v="18"/>
    <n v="9"/>
    <s v="BL - Hosted"/>
    <s v="Liang Guanglie"/>
    <m/>
    <s v="Defense Minister; CMC Member"/>
    <n v="8"/>
    <x v="2"/>
    <s v="Defense Minister"/>
    <x v="0"/>
    <m/>
    <m/>
    <m/>
    <m/>
    <x v="12"/>
    <m/>
    <m/>
    <s v="Defense White Paper Appendix"/>
    <m/>
  </r>
  <r>
    <x v="1"/>
    <x v="1"/>
    <s v="Asia"/>
    <s v="Comprehensive Strategic Cooperative Partnership [全面战略合作伙伴关系]"/>
    <x v="0"/>
    <s v="INDOPACOM"/>
    <x v="23"/>
    <x v="18"/>
    <n v="9"/>
    <s v="BL - Hosted"/>
    <s v="Liang Guanglie"/>
    <m/>
    <s v="Defense Minister; CMC Member"/>
    <n v="8"/>
    <x v="2"/>
    <s v="DCOGS"/>
    <x v="0"/>
    <m/>
    <m/>
    <m/>
    <m/>
    <x v="12"/>
    <m/>
    <m/>
    <s v="Defense White Paper Appendix"/>
    <m/>
  </r>
  <r>
    <x v="1"/>
    <x v="1"/>
    <s v="Asia"/>
    <s v="Comprehensive Strategic Cooperative Partnership [全面战略合作伙伴关系]"/>
    <x v="0"/>
    <s v="INDOPACOM"/>
    <x v="23"/>
    <x v="18"/>
    <n v="9"/>
    <s v="BL - Hosted"/>
    <s v="Liang Guanglie"/>
    <m/>
    <s v="Defense Minister; CMC Member"/>
    <n v="8"/>
    <x v="2"/>
    <s v="General Director, GPD"/>
    <x v="0"/>
    <m/>
    <m/>
    <m/>
    <m/>
    <x v="12"/>
    <m/>
    <m/>
    <s v="https://dlib.eastview.com/browse/doc/20662675"/>
    <s v="BY position counterpart would be GPD director; Comparative Connections chronology for that quarter is missing"/>
  </r>
  <r>
    <x v="0"/>
    <x v="9"/>
    <s v="West Asia and Africa"/>
    <s v="No Specific Relationship"/>
    <x v="0"/>
    <s v="CENTCOM"/>
    <x v="135"/>
    <x v="18"/>
    <n v="9"/>
    <s v="Port Call - Replenish/Overhaul"/>
    <m/>
    <m/>
    <m/>
    <m/>
    <x v="0"/>
    <m/>
    <x v="0"/>
    <m/>
    <m/>
    <m/>
    <s v="ETF"/>
    <x v="31"/>
    <s v="East Sea Fleet"/>
    <s v="FFG529 Zhoushan, FFG530 Xuzhou, AOR886 Qiandao Hu"/>
    <m/>
    <m/>
  </r>
  <r>
    <x v="1"/>
    <x v="5"/>
    <s v="America and Oceania"/>
    <s v="No Specific Relationship"/>
    <x v="4"/>
    <s v="INDOPACOM"/>
    <x v="12"/>
    <x v="18"/>
    <n v="10"/>
    <s v="BL - Abroad"/>
    <s v="Chen Bingde"/>
    <m/>
    <s v="GSD Commander; CMC Member"/>
    <n v="8"/>
    <x v="1"/>
    <m/>
    <x v="0"/>
    <m/>
    <m/>
    <m/>
    <s v="ETF"/>
    <x v="12"/>
    <m/>
    <m/>
    <s v="Defense White Paper Appendix"/>
    <m/>
  </r>
  <r>
    <x v="1"/>
    <x v="7"/>
    <s v="West Asia and Africa"/>
    <s v="Comprehensive Strategic Partnership [全面战略伙伴关系]"/>
    <x v="0"/>
    <s v="AFRICOM"/>
    <x v="127"/>
    <x v="18"/>
    <n v="10"/>
    <s v="BL - Hosted"/>
    <s v="Liang Guanglie"/>
    <m/>
    <s v="Defense Minister; CMC Member"/>
    <n v="8"/>
    <x v="2"/>
    <s v="Defense Minister"/>
    <x v="0"/>
    <m/>
    <m/>
    <m/>
    <m/>
    <x v="12"/>
    <m/>
    <m/>
    <s v="Defense White Paper Appendix"/>
    <m/>
  </r>
  <r>
    <x v="1"/>
    <x v="8"/>
    <s v="Europe and Central Asia"/>
    <s v="Comprehensive Strategic Partnership [全面战略伙伴关系]"/>
    <x v="5"/>
    <s v="EUCOM"/>
    <x v="29"/>
    <x v="18"/>
    <n v="10"/>
    <s v="BL - Abroad"/>
    <s v="Zhang Yang"/>
    <m/>
    <s v="Guangzhou MR Political Commissar"/>
    <n v="6"/>
    <x v="1"/>
    <m/>
    <x v="0"/>
    <m/>
    <m/>
    <m/>
    <m/>
    <x v="12"/>
    <m/>
    <m/>
    <s v="Defense White Paper Appendix"/>
    <m/>
  </r>
  <r>
    <x v="1"/>
    <x v="8"/>
    <s v="Europe and Central Asia"/>
    <s v="No Specific Relationship"/>
    <x v="5"/>
    <s v="EUCOM"/>
    <x v="82"/>
    <x v="18"/>
    <n v="10"/>
    <s v="BL - Abroad"/>
    <s v="Zhang Yang"/>
    <m/>
    <s v="Guangzhou MR Political Commissar"/>
    <n v="6"/>
    <x v="1"/>
    <m/>
    <x v="0"/>
    <m/>
    <m/>
    <m/>
    <m/>
    <x v="12"/>
    <m/>
    <m/>
    <s v="Defense White Paper Appendix"/>
    <m/>
  </r>
  <r>
    <x v="1"/>
    <x v="1"/>
    <s v="Asia"/>
    <s v="Strategic Partnership [战略伙伴关系]"/>
    <x v="0"/>
    <s v="INDOPACOM"/>
    <x v="8"/>
    <x v="18"/>
    <n v="10"/>
    <s v="BL - Abroad"/>
    <s v="Ma Xiaotian"/>
    <m/>
    <s v="GSD DCGS"/>
    <n v="6"/>
    <x v="1"/>
    <m/>
    <x v="0"/>
    <m/>
    <m/>
    <m/>
    <m/>
    <x v="12"/>
    <m/>
    <m/>
    <s v="Defense White Paper Appendix"/>
    <m/>
  </r>
  <r>
    <x v="1"/>
    <x v="4"/>
    <s v="Asia"/>
    <s v="Mutually Beneficial Strategic Relationship [战略互惠关系]"/>
    <x v="3"/>
    <s v="INDOPACOM"/>
    <x v="83"/>
    <x v="18"/>
    <n v="10"/>
    <s v="BL - Abroad"/>
    <s v="Ma Xiaotian"/>
    <m/>
    <s v="GSD DCGS"/>
    <n v="6"/>
    <x v="1"/>
    <m/>
    <x v="0"/>
    <m/>
    <m/>
    <m/>
    <m/>
    <x v="12"/>
    <m/>
    <m/>
    <s v="Defense White Paper Appendix"/>
    <m/>
  </r>
  <r>
    <x v="1"/>
    <x v="7"/>
    <s v="West Asia and Africa"/>
    <s v="No Specific Relationship"/>
    <x v="0"/>
    <s v="AFRICOM"/>
    <x v="143"/>
    <x v="18"/>
    <n v="10"/>
    <s v="BL - Hosted"/>
    <s v="Liang Guanglie"/>
    <m/>
    <s v="Defense Minister; CMC Member"/>
    <n v="8"/>
    <x v="2"/>
    <s v="Defense Minister"/>
    <x v="0"/>
    <m/>
    <m/>
    <m/>
    <m/>
    <x v="12"/>
    <m/>
    <m/>
    <s v="Defense White Paper Appendix"/>
    <m/>
  </r>
  <r>
    <x v="1"/>
    <x v="4"/>
    <s v="Asia"/>
    <s v="Bilateral Defense Treaty"/>
    <x v="0"/>
    <s v="INDOPACOM"/>
    <x v="9"/>
    <x v="18"/>
    <n v="10"/>
    <s v="BL - Abroad"/>
    <s v="Ma Xiaotian"/>
    <m/>
    <s v="GSD DCGS"/>
    <n v="6"/>
    <x v="1"/>
    <m/>
    <x v="0"/>
    <m/>
    <m/>
    <m/>
    <m/>
    <x v="12"/>
    <m/>
    <m/>
    <s v="Defense White Paper Appendix"/>
    <m/>
  </r>
  <r>
    <x v="1"/>
    <x v="1"/>
    <s v="America and Oceania"/>
    <s v="No Specific Relationship"/>
    <x v="0"/>
    <s v="INDOPACOM"/>
    <x v="122"/>
    <x v="18"/>
    <n v="10"/>
    <s v="BL - Abroad"/>
    <s v="Chen Bingde"/>
    <m/>
    <s v="GSD Commander; CMC Member"/>
    <n v="8"/>
    <x v="1"/>
    <m/>
    <x v="0"/>
    <m/>
    <m/>
    <m/>
    <m/>
    <x v="12"/>
    <m/>
    <m/>
    <s v="Defense White Paper Appendix"/>
    <m/>
  </r>
  <r>
    <x v="1"/>
    <x v="1"/>
    <s v="Asia"/>
    <s v="No Specific Relationship"/>
    <x v="0"/>
    <s v="INDOPACOM"/>
    <x v="39"/>
    <x v="18"/>
    <n v="10"/>
    <s v="BL - Abroad"/>
    <s v="Chen Bingde"/>
    <m/>
    <s v="GSD Commander; CMC Member"/>
    <n v="8"/>
    <x v="1"/>
    <m/>
    <x v="0"/>
    <m/>
    <m/>
    <m/>
    <m/>
    <x v="12"/>
    <m/>
    <m/>
    <s v="Defense White Paper Appendix"/>
    <m/>
  </r>
  <r>
    <x v="1"/>
    <x v="4"/>
    <s v="Asia"/>
    <s v="Strategic Cooperative Partnership [战略合作伙伴关系]"/>
    <x v="3"/>
    <s v="INDOPACOM"/>
    <x v="25"/>
    <x v="18"/>
    <n v="10"/>
    <s v="BL - Abroad"/>
    <s v="Ma Xiaotian"/>
    <m/>
    <s v="GSD DCGS"/>
    <n v="6"/>
    <x v="1"/>
    <m/>
    <x v="0"/>
    <m/>
    <m/>
    <m/>
    <m/>
    <x v="12"/>
    <m/>
    <m/>
    <s v="Defense White Paper Appendix"/>
    <m/>
  </r>
  <r>
    <x v="1"/>
    <x v="2"/>
    <s v="America and Oceania"/>
    <s v="No Specific Relationship"/>
    <x v="2"/>
    <s v="NORTHCOM"/>
    <x v="4"/>
    <x v="18"/>
    <n v="10"/>
    <s v="BL - Abroad"/>
    <s v="Xu Caihou"/>
    <m/>
    <s v="CMC Vice Chairman"/>
    <n v="10"/>
    <x v="1"/>
    <s v="Secretary of Defense"/>
    <x v="0"/>
    <m/>
    <m/>
    <m/>
    <m/>
    <x v="12"/>
    <m/>
    <m/>
    <s v="Defense White Paper Appendix"/>
    <m/>
  </r>
  <r>
    <x v="1"/>
    <x v="6"/>
    <s v="Europe and Central Asia"/>
    <s v="No Specific Relationship"/>
    <x v="0"/>
    <s v="CENTCOM"/>
    <x v="73"/>
    <x v="18"/>
    <n v="10"/>
    <s v="BL - Hosted"/>
    <s v="Liang Guanglie"/>
    <m/>
    <s v="Defense Minister; CMC Member"/>
    <n v="8"/>
    <x v="2"/>
    <s v="Defense Minister"/>
    <x v="0"/>
    <m/>
    <m/>
    <m/>
    <m/>
    <x v="12"/>
    <m/>
    <m/>
    <s v="Defense White Paper Appendix"/>
    <m/>
  </r>
  <r>
    <x v="0"/>
    <x v="9"/>
    <s v="West Asia and Africa"/>
    <s v="No Specific Relationship"/>
    <x v="0"/>
    <s v="CENTCOM"/>
    <x v="135"/>
    <x v="18"/>
    <n v="10"/>
    <s v="Port Call - Replenish/Overhaul"/>
    <m/>
    <m/>
    <m/>
    <m/>
    <x v="0"/>
    <m/>
    <x v="0"/>
    <m/>
    <m/>
    <m/>
    <s v="ETF"/>
    <x v="31"/>
    <s v="East Sea Fleet"/>
    <s v="FFG529 Zhoushan, FFG530 Xuzhou, AOR886 Qiandao Hu"/>
    <m/>
    <m/>
  </r>
  <r>
    <x v="1"/>
    <x v="9"/>
    <s v="West Asia and Africa"/>
    <s v="Friendly Cooperative Partnership [友好合作伙伴关系]"/>
    <x v="1"/>
    <s v="CENTCOM"/>
    <x v="146"/>
    <x v="18"/>
    <n v="11"/>
    <s v="BL - Hosted"/>
    <s v="Liang Guanglie"/>
    <m/>
    <s v="Defense Minister; CMC Member"/>
    <n v="8"/>
    <x v="2"/>
    <s v="Minister of State for Defense"/>
    <x v="0"/>
    <m/>
    <m/>
    <m/>
    <s v="ETF"/>
    <x v="12"/>
    <m/>
    <m/>
    <s v="Defense White Paper Appendix"/>
    <m/>
  </r>
  <r>
    <x v="1"/>
    <x v="0"/>
    <s v="Asia"/>
    <s v="Comprehensive Cooperative Partnership [全面合作伙伴关系]"/>
    <x v="0"/>
    <s v="INDOPACOM"/>
    <x v="0"/>
    <x v="18"/>
    <n v="11"/>
    <s v="BL - Hosted"/>
    <s v="Xu Qiliang"/>
    <m/>
    <s v="PLAAF Commander; CMC Member"/>
    <n v="8"/>
    <x v="2"/>
    <s v="Air Force Commander"/>
    <x v="0"/>
    <m/>
    <m/>
    <m/>
    <m/>
    <x v="12"/>
    <m/>
    <m/>
    <s v="Defense White Paper Appendix"/>
    <m/>
  </r>
  <r>
    <x v="1"/>
    <x v="10"/>
    <s v="America and Oceania"/>
    <s v="Comprehensive Strategic Partnership [全面战略伙伴关系]"/>
    <x v="0"/>
    <s v="SOUTHCOM"/>
    <x v="43"/>
    <x v="18"/>
    <n v="11"/>
    <s v="BL - Hosted"/>
    <s v="Xu Caihou"/>
    <m/>
    <s v="CMC Vice Chairman"/>
    <n v="10"/>
    <x v="2"/>
    <s v="Defense Minister"/>
    <x v="0"/>
    <m/>
    <m/>
    <m/>
    <m/>
    <x v="12"/>
    <m/>
    <m/>
    <s v="Defense White Paper Appendix"/>
    <m/>
  </r>
  <r>
    <x v="1"/>
    <x v="10"/>
    <s v="America and Oceania"/>
    <s v="Comprehensive Partnership [全面伙伴关系]"/>
    <x v="0"/>
    <s v="SOUTHCOM"/>
    <x v="66"/>
    <x v="18"/>
    <n v="11"/>
    <s v="BL - Hosted"/>
    <s v="Xu Qiliang"/>
    <m/>
    <s v="PLAAF Commander; CMC Member"/>
    <n v="8"/>
    <x v="2"/>
    <s v="Air Force Commander"/>
    <x v="0"/>
    <m/>
    <m/>
    <m/>
    <m/>
    <x v="12"/>
    <m/>
    <m/>
    <s v="Defense White Paper Appendix"/>
    <m/>
  </r>
  <r>
    <x v="0"/>
    <x v="10"/>
    <s v="South America"/>
    <s v="Comprehensive Partnership [全面伙伴关系]"/>
    <x v="0"/>
    <s v="SOUTHCOM"/>
    <x v="66"/>
    <x v="18"/>
    <n v="11"/>
    <s v="Port Call - Friendly Visit"/>
    <m/>
    <m/>
    <m/>
    <m/>
    <x v="0"/>
    <m/>
    <x v="0"/>
    <m/>
    <m/>
    <m/>
    <s v="NETF"/>
    <x v="27"/>
    <m/>
    <m/>
    <s v="http://english.chinamil.com.cn/special-reports/2007zgjdgjtm/node_15411.htm"/>
    <m/>
  </r>
  <r>
    <x v="1"/>
    <x v="9"/>
    <s v="West Asia and Africa"/>
    <s v="Strategic Cooperative Partnership [战略合作伙伴关系]"/>
    <x v="1"/>
    <s v="CENTCOM"/>
    <x v="24"/>
    <x v="18"/>
    <n v="11"/>
    <s v="BL - Hosted"/>
    <s v="Xu Qiliang"/>
    <m/>
    <s v="PLAAF Commander; CMC Member"/>
    <n v="8"/>
    <x v="2"/>
    <s v="Air Force Commander"/>
    <x v="0"/>
    <m/>
    <m/>
    <m/>
    <m/>
    <x v="12"/>
    <m/>
    <m/>
    <s v="Defense White Paper Appendix"/>
    <m/>
  </r>
  <r>
    <x v="1"/>
    <x v="8"/>
    <s v="Europe and Central Asia"/>
    <s v="Comprehensive Strategic Partnership [全面战略伙伴关系]"/>
    <x v="5"/>
    <s v="EUCOM"/>
    <x v="29"/>
    <x v="18"/>
    <n v="11"/>
    <s v="BL - Hosted"/>
    <s v="Ma Xiaotian"/>
    <m/>
    <s v="GSD DCGS"/>
    <n v="6"/>
    <x v="2"/>
    <s v="Chief of Staff Army"/>
    <x v="0"/>
    <m/>
    <m/>
    <m/>
    <m/>
    <x v="12"/>
    <m/>
    <m/>
    <s v="Defense White Paper Appendix"/>
    <m/>
  </r>
  <r>
    <x v="1"/>
    <x v="4"/>
    <s v="Asia"/>
    <s v="Mutually Beneficial Strategic Relationship [战略互惠关系]"/>
    <x v="3"/>
    <s v="INDOPACOM"/>
    <x v="83"/>
    <x v="18"/>
    <n v="11"/>
    <s v="BL - Abroad"/>
    <s v="Liang Guanglie"/>
    <m/>
    <s v="Defense Minister; CMC Member"/>
    <n v="8"/>
    <x v="1"/>
    <m/>
    <x v="0"/>
    <m/>
    <m/>
    <m/>
    <m/>
    <x v="12"/>
    <m/>
    <m/>
    <s v="Defense White Paper Appendix"/>
    <m/>
  </r>
  <r>
    <x v="0"/>
    <x v="4"/>
    <s v="Asia"/>
    <s v="Mutually Beneficial Strategic Relationship [战略互惠关系]"/>
    <x v="3"/>
    <s v="INDOPACOM"/>
    <x v="83"/>
    <x v="18"/>
    <n v="11"/>
    <s v="Port Call - Friendly Visit "/>
    <m/>
    <m/>
    <m/>
    <m/>
    <x v="0"/>
    <m/>
    <x v="0"/>
    <m/>
    <m/>
    <m/>
    <s v="NETF"/>
    <x v="32"/>
    <s v="North Sea Fleet"/>
    <s v="Zheng He"/>
    <s v="https://www.japantimes.co.jp/news/2009/11/06/national/china-naval-vessel-makes-port-call/#.Xuz1WHt7nec"/>
    <m/>
  </r>
  <r>
    <x v="1"/>
    <x v="6"/>
    <s v="Europe and Central Asia"/>
    <s v="Strategic Partnership [战略伙伴关系]"/>
    <x v="0"/>
    <s v="CENTCOM"/>
    <x v="30"/>
    <x v="18"/>
    <n v="11"/>
    <s v="BL - Hosted"/>
    <s v="Ma Xiaotian"/>
    <m/>
    <s v="GSD DCGS"/>
    <n v="6"/>
    <x v="1"/>
    <s v="Commander Border Forces"/>
    <x v="0"/>
    <m/>
    <m/>
    <m/>
    <m/>
    <x v="12"/>
    <m/>
    <m/>
    <s v="Defense White Paper Appendix"/>
    <m/>
  </r>
  <r>
    <x v="1"/>
    <x v="8"/>
    <s v="Europe and Central Asia"/>
    <s v="No Specific Relationship"/>
    <x v="0"/>
    <s v="EUCOM"/>
    <x v="99"/>
    <x v="18"/>
    <n v="11"/>
    <s v="BL - Hosted"/>
    <s v="Liang Guanglie"/>
    <m/>
    <s v="Defense Minister; CMC Member"/>
    <n v="8"/>
    <x v="2"/>
    <s v="COGS"/>
    <x v="0"/>
    <m/>
    <m/>
    <m/>
    <m/>
    <x v="12"/>
    <m/>
    <m/>
    <s v="Defense White Paper Appendix"/>
    <m/>
  </r>
  <r>
    <x v="1"/>
    <x v="8"/>
    <s v="Europe and Central Asia"/>
    <s v="Comprehensive Strategic Partnership [全面战略伙伴关系]"/>
    <x v="5"/>
    <s v="EUCOM"/>
    <x v="151"/>
    <x v="18"/>
    <n v="11"/>
    <s v="BL - Hosted"/>
    <m/>
    <m/>
    <m/>
    <m/>
    <x v="2"/>
    <s v="NATO Deputy Secretary General"/>
    <x v="0"/>
    <m/>
    <m/>
    <m/>
    <m/>
    <x v="12"/>
    <m/>
    <m/>
    <s v="https://www.nato.int/cps/en/natohq/news_59191.htm; https://www.nato.int/cps/en/natohq/photos_159906.htm"/>
    <s v="PCS: source lists VFM Zhang Zhijun as counterpart and does not specify PLA involvement.  ADD or not?"/>
  </r>
  <r>
    <x v="1"/>
    <x v="4"/>
    <s v="Asia"/>
    <s v="Bilateral Defense Treaty"/>
    <x v="0"/>
    <s v="INDOPACOM"/>
    <x v="9"/>
    <x v="18"/>
    <n v="11"/>
    <s v="BL - Abroad"/>
    <s v="Liang Guanglie"/>
    <m/>
    <s v="Defense Minister; CMC Member"/>
    <n v="8"/>
    <x v="1"/>
    <m/>
    <x v="0"/>
    <m/>
    <m/>
    <m/>
    <m/>
    <x v="12"/>
    <m/>
    <m/>
    <s v="Defense White Paper Appendix"/>
    <m/>
  </r>
  <r>
    <x v="1"/>
    <x v="0"/>
    <s v="Asia"/>
    <s v="Strategic Partnership [战略伙伴关系]"/>
    <x v="1"/>
    <s v="CENTCOM"/>
    <x v="2"/>
    <x v="18"/>
    <n v="11"/>
    <s v="BL - Hosted"/>
    <s v="Xu Qiliang"/>
    <m/>
    <s v="PLAAF Commander; CMC Member"/>
    <n v="8"/>
    <x v="2"/>
    <s v="Air Force Commander"/>
    <x v="0"/>
    <m/>
    <m/>
    <m/>
    <m/>
    <x v="12"/>
    <m/>
    <m/>
    <s v="Defense White Paper Appendix"/>
    <m/>
  </r>
  <r>
    <x v="1"/>
    <x v="1"/>
    <s v="Asia"/>
    <s v="Strategic Cooperative Partnership [战略合作伙伴关系]"/>
    <x v="3"/>
    <s v="INDOPACOM"/>
    <x v="11"/>
    <x v="18"/>
    <n v="11"/>
    <s v="BL - Hosted"/>
    <s v="Xu Qiliang"/>
    <m/>
    <s v="PLAAF Commander; CMC Member"/>
    <n v="8"/>
    <x v="2"/>
    <s v="Air Force Commander"/>
    <x v="0"/>
    <m/>
    <m/>
    <m/>
    <m/>
    <x v="12"/>
    <m/>
    <m/>
    <s v="Defense White Paper Appendix"/>
    <m/>
  </r>
  <r>
    <x v="1"/>
    <x v="8"/>
    <s v="Europe and Central Asia"/>
    <s v="Comprehensive Friendly Cooperative Partnership [全面友好合作伙伴关系]"/>
    <x v="5"/>
    <s v="EUCOM"/>
    <x v="33"/>
    <x v="18"/>
    <n v="11"/>
    <s v="BL - Abroad"/>
    <s v="Ma Xiaotian"/>
    <m/>
    <s v="GSD DCGS"/>
    <n v="6"/>
    <x v="1"/>
    <m/>
    <x v="0"/>
    <m/>
    <m/>
    <m/>
    <m/>
    <x v="12"/>
    <m/>
    <m/>
    <s v="Defense White Paper Appendix"/>
    <m/>
  </r>
  <r>
    <x v="1"/>
    <x v="3"/>
    <s v="Europe and Central Asia"/>
    <s v="Strategic Partnership of Coordination [战略协作伙伴关系]"/>
    <x v="0"/>
    <s v="EUCOM"/>
    <x v="7"/>
    <x v="18"/>
    <n v="11"/>
    <s v="BL - Abroad"/>
    <s v="Guo Boxiong"/>
    <m/>
    <s v="CMC Vice Chairman"/>
    <n v="10"/>
    <x v="1"/>
    <m/>
    <x v="0"/>
    <m/>
    <m/>
    <m/>
    <m/>
    <x v="12"/>
    <m/>
    <m/>
    <s v="Defense White Paper Appendix"/>
    <m/>
  </r>
  <r>
    <x v="1"/>
    <x v="7"/>
    <s v="West Asia and Africa"/>
    <s v="No Specific Relationship"/>
    <x v="0"/>
    <s v="AFRICOM"/>
    <x v="152"/>
    <x v="18"/>
    <n v="11"/>
    <s v="BL - Hosted"/>
    <s v="Liang Guanglie"/>
    <m/>
    <s v="Defense Minister; CMC Member"/>
    <n v="8"/>
    <x v="2"/>
    <s v="COGS"/>
    <x v="0"/>
    <m/>
    <m/>
    <m/>
    <m/>
    <x v="12"/>
    <m/>
    <m/>
    <s v="Defense White Paper Appendix"/>
    <m/>
  </r>
  <r>
    <x v="1"/>
    <x v="7"/>
    <s v="West Asia and Africa"/>
    <s v="Strategic Partnership [战略伙伴关系]"/>
    <x v="0"/>
    <s v="AFRICOM"/>
    <x v="15"/>
    <x v="18"/>
    <n v="11"/>
    <s v="BL - Abroad"/>
    <s v="Liu Xiaojiang"/>
    <m/>
    <s v="PLAN Political Commissar"/>
    <n v="6"/>
    <x v="1"/>
    <m/>
    <x v="0"/>
    <m/>
    <m/>
    <m/>
    <m/>
    <x v="12"/>
    <m/>
    <m/>
    <s v="Defense White Paper Appendix"/>
    <m/>
  </r>
  <r>
    <x v="1"/>
    <x v="4"/>
    <s v="Asia"/>
    <s v="Strategic Cooperative Partnership [战略合作伙伴关系]"/>
    <x v="3"/>
    <s v="INDOPACOM"/>
    <x v="25"/>
    <x v="18"/>
    <n v="11"/>
    <s v="BL - Hosted"/>
    <s v="Xu Qiliang"/>
    <m/>
    <s v="PLAAF Commander; CMC Member"/>
    <n v="8"/>
    <x v="2"/>
    <s v="Air Force Commander"/>
    <x v="0"/>
    <m/>
    <m/>
    <m/>
    <m/>
    <x v="12"/>
    <m/>
    <m/>
    <s v="Defense White Paper Appendix"/>
    <m/>
  </r>
  <r>
    <x v="1"/>
    <x v="7"/>
    <s v="West Asia and Africa"/>
    <s v="No Specific Relationship"/>
    <x v="0"/>
    <s v="AFRICOM"/>
    <x v="16"/>
    <x v="18"/>
    <n v="11"/>
    <s v="BL - Abroad"/>
    <s v="Liu Xiaojiang"/>
    <m/>
    <s v="PLAN Political Commissar"/>
    <n v="6"/>
    <x v="1"/>
    <m/>
    <x v="0"/>
    <m/>
    <m/>
    <m/>
    <m/>
    <x v="12"/>
    <m/>
    <m/>
    <s v="Defense White Paper Appendix"/>
    <m/>
  </r>
  <r>
    <x v="1"/>
    <x v="1"/>
    <s v="Asia"/>
    <s v="Strategic Partnership [战略伙伴关系]"/>
    <x v="3"/>
    <s v="INDOPACOM"/>
    <x v="5"/>
    <x v="18"/>
    <n v="11"/>
    <s v="BL - Hosted"/>
    <s v="Liang Guanglie"/>
    <m/>
    <s v="Defense Minister; CMC Member"/>
    <n v="8"/>
    <x v="2"/>
    <s v="Navy Commander"/>
    <x v="0"/>
    <m/>
    <m/>
    <m/>
    <m/>
    <x v="12"/>
    <m/>
    <m/>
    <s v="Defense White Paper Appendix"/>
    <m/>
  </r>
  <r>
    <x v="1"/>
    <x v="7"/>
    <s v="West Asia and Africa"/>
    <s v="Comprehensive Strategic Cooperative Partnership [全面战略合作伙伴关系]"/>
    <x v="0"/>
    <s v="AFRICOM"/>
    <x v="96"/>
    <x v="18"/>
    <n v="11"/>
    <s v="BL - Hosted"/>
    <s v="Liang Guanglie"/>
    <m/>
    <s v="Defense Minister; CMC Member"/>
    <n v="8"/>
    <x v="2"/>
    <s v="COGS"/>
    <x v="0"/>
    <m/>
    <m/>
    <m/>
    <m/>
    <x v="12"/>
    <m/>
    <m/>
    <s v="Defense White Paper Appendix"/>
    <m/>
  </r>
  <r>
    <x v="1"/>
    <x v="10"/>
    <s v="America and Oceania"/>
    <s v="No Specific Relationship"/>
    <x v="0"/>
    <s v="SOUTHCOM"/>
    <x v="107"/>
    <x v="18"/>
    <n v="11"/>
    <s v="BL - Hosted"/>
    <s v="Xu Qiliang"/>
    <m/>
    <s v="PLAAF Commander; CMC Member"/>
    <n v="8"/>
    <x v="2"/>
    <s v="Air Force Commander"/>
    <x v="0"/>
    <m/>
    <m/>
    <m/>
    <m/>
    <x v="12"/>
    <m/>
    <m/>
    <s v="Defense White Paper Appendix"/>
    <m/>
  </r>
  <r>
    <x v="1"/>
    <x v="1"/>
    <s v="Asia"/>
    <s v="Comprehensive Strategic Cooperative Partnership [全面战略合作伙伴关系]"/>
    <x v="0"/>
    <s v="INDOPACOM"/>
    <x v="23"/>
    <x v="18"/>
    <n v="11"/>
    <s v="BL - Hosted"/>
    <s v="Xu Qiliang"/>
    <m/>
    <s v="PLAAF Commander; CMC Member"/>
    <n v="8"/>
    <x v="2"/>
    <s v="Air Force Commander"/>
    <x v="0"/>
    <m/>
    <m/>
    <m/>
    <m/>
    <x v="12"/>
    <m/>
    <m/>
    <s v="Defense White Paper Appendix"/>
    <m/>
  </r>
  <r>
    <x v="1"/>
    <x v="8"/>
    <s v="Europe and Central Asia"/>
    <s v="No Specific Relationship"/>
    <x v="0"/>
    <s v="EUCOM"/>
    <x v="63"/>
    <x v="18"/>
    <n v="12"/>
    <s v="BL - Hosted"/>
    <s v="Ma Xiaotian"/>
    <m/>
    <s v="GSD DCGS"/>
    <n v="6"/>
    <x v="1"/>
    <s v="COGS"/>
    <x v="0"/>
    <m/>
    <m/>
    <m/>
    <m/>
    <x v="12"/>
    <m/>
    <m/>
    <s v="Defense White Paper Appendix"/>
    <m/>
  </r>
  <r>
    <x v="0"/>
    <x v="10"/>
    <s v="America and Oceania"/>
    <s v="No Specific Relationship"/>
    <x v="0"/>
    <s v="SOUTHCOM"/>
    <x v="51"/>
    <x v="18"/>
    <n v="12"/>
    <s v="Port Call - Friendly Visit"/>
    <m/>
    <m/>
    <m/>
    <m/>
    <x v="0"/>
    <m/>
    <x v="0"/>
    <m/>
    <m/>
    <m/>
    <s v="NETF"/>
    <x v="27"/>
    <m/>
    <m/>
    <s v="http://english.chinamil.com.cn/special-reports/2007zgjdgjtm/node_15411.htm"/>
    <m/>
  </r>
  <r>
    <x v="1"/>
    <x v="6"/>
    <s v="Europe and Central Asia"/>
    <s v="Strategic Partnership [战略伙伴关系]"/>
    <x v="0"/>
    <s v="CENTCOM"/>
    <x v="30"/>
    <x v="18"/>
    <n v="12"/>
    <s v="BL - Hosted"/>
    <s v="Guo Boxiong"/>
    <m/>
    <s v="CMC Vice Chairman"/>
    <n v="10"/>
    <x v="2"/>
    <s v="Defense Minister"/>
    <x v="0"/>
    <m/>
    <m/>
    <m/>
    <m/>
    <x v="12"/>
    <m/>
    <m/>
    <s v="Defense White Paper Appendix"/>
    <m/>
  </r>
  <r>
    <x v="0"/>
    <x v="1"/>
    <s v="Asia"/>
    <s v="Strategic Cooperative Partnership [战略合作伙伴关系]"/>
    <x v="0"/>
    <s v="INDOPACOM"/>
    <x v="10"/>
    <x v="18"/>
    <n v="12"/>
    <s v="Port Call - Friendly Visit"/>
    <m/>
    <m/>
    <m/>
    <m/>
    <x v="0"/>
    <m/>
    <x v="0"/>
    <m/>
    <m/>
    <m/>
    <s v="ETF"/>
    <x v="31"/>
    <s v="East Sea Fleet"/>
    <s v="FFG529 Zhoushan, FFG530 Xuzhou, AOR886 Qiandao Hu"/>
    <m/>
    <m/>
  </r>
  <r>
    <x v="1"/>
    <x v="0"/>
    <s v="Asia"/>
    <s v="Strategic Partnership [战略伙伴关系]"/>
    <x v="1"/>
    <s v="CENTCOM"/>
    <x v="2"/>
    <x v="18"/>
    <n v="12"/>
    <s v="BL - Hosted"/>
    <s v="Liang Guanglie"/>
    <m/>
    <s v="Defense Minister; CMC Member"/>
    <n v="8"/>
    <x v="2"/>
    <s v="Chief of Naval Staff"/>
    <x v="0"/>
    <m/>
    <m/>
    <m/>
    <s v="ETF"/>
    <x v="12"/>
    <m/>
    <m/>
    <s v="Defense White Paper Appendix"/>
    <m/>
  </r>
  <r>
    <x v="0"/>
    <x v="10"/>
    <s v="America and Oceania"/>
    <s v="Strategic Partnership [战略伙伴关系]"/>
    <x v="0"/>
    <s v="SOUTHCOM"/>
    <x v="54"/>
    <x v="18"/>
    <n v="12"/>
    <s v="Port Call - Friendly Visit"/>
    <m/>
    <m/>
    <m/>
    <m/>
    <x v="0"/>
    <m/>
    <x v="0"/>
    <m/>
    <m/>
    <m/>
    <s v="NETF"/>
    <x v="27"/>
    <m/>
    <m/>
    <s v="http://www.globaltimes.cn/content/489653.shtml"/>
    <m/>
  </r>
  <r>
    <x v="1"/>
    <x v="1"/>
    <s v="Asia"/>
    <s v="Strategic Cooperative Partnership [战略合作伙伴关系]"/>
    <x v="3"/>
    <s v="INDOPACOM"/>
    <x v="11"/>
    <x v="18"/>
    <n v="12"/>
    <s v="BL - Hosted"/>
    <s v="Liang Guanglie"/>
    <m/>
    <s v="Defense Minister; CMC Member"/>
    <n v="8"/>
    <x v="2"/>
    <s v="COGS"/>
    <x v="0"/>
    <m/>
    <m/>
    <m/>
    <m/>
    <x v="12"/>
    <m/>
    <m/>
    <s v="Defense White Paper Appendix"/>
    <m/>
  </r>
  <r>
    <x v="1"/>
    <x v="8"/>
    <s v="Europe and Central Asia"/>
    <s v="No Specific Relationship"/>
    <x v="5"/>
    <s v="EUCOM"/>
    <x v="59"/>
    <x v="18"/>
    <n v="12"/>
    <s v="BL - Hosted"/>
    <s v="Xu Caihou"/>
    <m/>
    <s v="CMC Vice Chairman"/>
    <n v="10"/>
    <x v="2"/>
    <s v="Defense Minister"/>
    <x v="0"/>
    <m/>
    <m/>
    <m/>
    <m/>
    <x v="12"/>
    <m/>
    <m/>
    <s v="Defense White Paper Appendix"/>
    <m/>
  </r>
  <r>
    <x v="1"/>
    <x v="8"/>
    <s v="Europe and Central Asia"/>
    <s v="Comprehensive Friendly Cooperative Partnership [全面友好合作伙伴关系]"/>
    <x v="5"/>
    <s v="EUCOM"/>
    <x v="33"/>
    <x v="18"/>
    <n v="12"/>
    <s v="BL - Hosted"/>
    <s v="Ma Xiaotian"/>
    <m/>
    <s v="GSD DCGS"/>
    <n v="6"/>
    <x v="2"/>
    <s v="Head of Department of International Military Cooperation, Ministry of Defense"/>
    <x v="0"/>
    <m/>
    <m/>
    <m/>
    <m/>
    <x v="12"/>
    <m/>
    <m/>
    <s v="Defense White Paper Appendix"/>
    <m/>
  </r>
  <r>
    <x v="0"/>
    <x v="1"/>
    <s v="Asia"/>
    <s v="No Specific Relationship"/>
    <x v="0"/>
    <s v="INDOPACOM"/>
    <x v="39"/>
    <x v="18"/>
    <n v="12"/>
    <s v="Port Call - Friendly Visit"/>
    <m/>
    <m/>
    <m/>
    <m/>
    <x v="0"/>
    <m/>
    <x v="0"/>
    <m/>
    <m/>
    <m/>
    <s v="ETF"/>
    <x v="31"/>
    <s v="East Sea Fleet"/>
    <s v="FFG529 Zhoushan, FFG530 Xuzhou, AOR886 Qiandao Hu"/>
    <m/>
    <m/>
  </r>
  <r>
    <x v="0"/>
    <x v="1"/>
    <s v="Asia"/>
    <s v="No Specific Relationship"/>
    <x v="0"/>
    <s v="INDOPACOM"/>
    <x v="39"/>
    <x v="18"/>
    <n v="12"/>
    <s v="Port Call - Friendly Visit"/>
    <m/>
    <m/>
    <m/>
    <m/>
    <x v="0"/>
    <m/>
    <x v="0"/>
    <m/>
    <m/>
    <m/>
    <s v="ETF"/>
    <x v="31"/>
    <s v="East Sea Fleet"/>
    <s v="Zhoushan 529 FFG, Xuzhou 530 FFG, Qiandaohu 886"/>
    <s v="Erickson, Six Years at Sea…, p.81"/>
    <m/>
  </r>
  <r>
    <x v="1"/>
    <x v="8"/>
    <s v="Europe and Central Asia"/>
    <s v="No Specific Relationship"/>
    <x v="5"/>
    <s v="EUCOM"/>
    <x v="108"/>
    <x v="19"/>
    <n v="1"/>
    <s v="BL - Hosted"/>
    <s v="Liang Guanglie"/>
    <m/>
    <s v="Defense Minister; CMC Member"/>
    <n v="8"/>
    <x v="2"/>
    <s v="Minister of Defense and Chief of Defense Staff of the Armed Forces"/>
    <x v="0"/>
    <m/>
    <m/>
    <m/>
    <m/>
    <x v="12"/>
    <m/>
    <m/>
    <s v="Defense White Paper Appendix"/>
    <m/>
  </r>
  <r>
    <x v="0"/>
    <x v="9"/>
    <s v="West Asia and Africa"/>
    <s v="No Specific Relationship"/>
    <x v="0"/>
    <s v="CENTCOM"/>
    <x v="119"/>
    <x v="19"/>
    <n v="1"/>
    <s v="Port Call - Replenish/Overhaul"/>
    <m/>
    <m/>
    <m/>
    <m/>
    <x v="0"/>
    <m/>
    <x v="0"/>
    <m/>
    <m/>
    <m/>
    <s v="ETF"/>
    <x v="33"/>
    <s v="East Sea Fleet"/>
    <s v="FFG525 Ma'anshan, FFG526 Wenzhou, AOR886 Qiandao Hu"/>
    <m/>
    <m/>
  </r>
  <r>
    <x v="1"/>
    <x v="0"/>
    <s v="Asia"/>
    <s v="Strategic Partnership for Peace and Prosperity [战略伙伴关系]"/>
    <x v="0"/>
    <s v="INDOPACOM"/>
    <x v="6"/>
    <x v="19"/>
    <n v="1"/>
    <s v="BL - Hosted"/>
    <s v="Liang Guanglie"/>
    <m/>
    <s v="Defense Minister; CMC Member"/>
    <n v="8"/>
    <x v="2"/>
    <s v="Defense Secretary"/>
    <x v="0"/>
    <m/>
    <m/>
    <m/>
    <m/>
    <x v="12"/>
    <m/>
    <m/>
    <s v="Defense White Paper Appendix"/>
    <m/>
  </r>
  <r>
    <x v="1"/>
    <x v="8"/>
    <s v="Europe and Central Asia"/>
    <s v="Comprehensive Strategic Partnership [全面战略伙伴关系]"/>
    <x v="5"/>
    <s v="EUCOM"/>
    <x v="20"/>
    <x v="19"/>
    <n v="1"/>
    <s v="BL - Hosted"/>
    <s v="Guo Boxiong"/>
    <m/>
    <s v="CMC Vice Chairman"/>
    <n v="10"/>
    <x v="2"/>
    <s v="Secretary General of Defense and National Armaments Director"/>
    <x v="0"/>
    <m/>
    <m/>
    <m/>
    <m/>
    <x v="12"/>
    <m/>
    <m/>
    <s v="Defense White Paper Appendix"/>
    <m/>
  </r>
  <r>
    <x v="0"/>
    <x v="9"/>
    <s v="West Asia and Africa"/>
    <s v="No Specific Relationship"/>
    <x v="0"/>
    <s v="CENTCOM"/>
    <x v="147"/>
    <x v="19"/>
    <n v="1"/>
    <s v="Port Call - Replenish/Overhaul"/>
    <m/>
    <m/>
    <m/>
    <m/>
    <x v="0"/>
    <m/>
    <x v="0"/>
    <m/>
    <m/>
    <m/>
    <s v="ETF"/>
    <x v="33"/>
    <s v="East Sea Fleet"/>
    <s v="FFG525 Ma'anshan, FFG526 Wenzhou, AOR886 Qiandao Hu"/>
    <m/>
    <m/>
  </r>
  <r>
    <x v="1"/>
    <x v="0"/>
    <s v="Asia"/>
    <s v="Strategic Partnership [战略伙伴关系]"/>
    <x v="1"/>
    <s v="CENTCOM"/>
    <x v="2"/>
    <x v="19"/>
    <n v="1"/>
    <s v="BL - Abroad"/>
    <s v="Ma Xiaotian"/>
    <m/>
    <s v="GSD DCGS"/>
    <n v="6"/>
    <x v="1"/>
    <m/>
    <x v="0"/>
    <m/>
    <m/>
    <m/>
    <m/>
    <x v="12"/>
    <m/>
    <m/>
    <s v="Defense White Paper Appendix"/>
    <m/>
  </r>
  <r>
    <x v="1"/>
    <x v="8"/>
    <s v="Europe and Central Asia"/>
    <s v="Comprehensive Friendly Cooperative Partnership [全面友好合作伙伴关系]"/>
    <x v="5"/>
    <s v="EUCOM"/>
    <x v="33"/>
    <x v="19"/>
    <n v="1"/>
    <s v="BL - Abroad"/>
    <s v="Ma Xiaotian"/>
    <m/>
    <s v="GSD DCGS"/>
    <n v="6"/>
    <x v="1"/>
    <m/>
    <x v="0"/>
    <m/>
    <m/>
    <m/>
    <m/>
    <x v="12"/>
    <m/>
    <m/>
    <s v="Defense White Paper Appendix"/>
    <m/>
  </r>
  <r>
    <x v="1"/>
    <x v="1"/>
    <s v="Asia"/>
    <s v="No Specific Relationship"/>
    <x v="0"/>
    <s v="INDOPACOM"/>
    <x v="39"/>
    <x v="19"/>
    <n v="1"/>
    <s v="BL - Hosted"/>
    <s v="Liang Guanglie"/>
    <m/>
    <s v="Defense Minister; CMC Member"/>
    <n v="8"/>
    <x v="2"/>
    <s v="Chief of Army"/>
    <x v="0"/>
    <m/>
    <m/>
    <m/>
    <m/>
    <x v="12"/>
    <m/>
    <m/>
    <s v="Defense White Paper Appendix"/>
    <m/>
  </r>
  <r>
    <x v="0"/>
    <x v="0"/>
    <s v="Asia"/>
    <s v="Comprehensive Cooperative Partnership [全面合作伙伴关系]"/>
    <x v="0"/>
    <s v="INDOPACOM"/>
    <x v="3"/>
    <x v="19"/>
    <n v="1"/>
    <s v="Port Call - Friendly Visit"/>
    <m/>
    <m/>
    <m/>
    <m/>
    <x v="0"/>
    <m/>
    <x v="0"/>
    <m/>
    <m/>
    <m/>
    <s v="ETF"/>
    <x v="33"/>
    <s v="East Sea Fleet"/>
    <s v="FFG525 Ma'anshan, FFG526 Wenzhou, AOR886 Qiandao Hu"/>
    <m/>
    <m/>
  </r>
  <r>
    <x v="1"/>
    <x v="8"/>
    <s v="Europe and Central Asia"/>
    <s v="Comprehensive Strategic Partnership [全面战略伙伴关系]"/>
    <x v="5"/>
    <s v="EUCOM"/>
    <x v="21"/>
    <x v="19"/>
    <n v="1"/>
    <s v="BL - Abroad"/>
    <s v="Ma Xiaotian"/>
    <m/>
    <s v="GSD DCGS"/>
    <n v="6"/>
    <x v="1"/>
    <m/>
    <x v="0"/>
    <m/>
    <m/>
    <m/>
    <m/>
    <x v="12"/>
    <m/>
    <m/>
    <s v="Defense White Paper Appendix"/>
    <m/>
  </r>
  <r>
    <x v="1"/>
    <x v="7"/>
    <s v="West Asia and Africa"/>
    <s v="Comprehensive Strategic Partnership [全面战略伙伴关系]"/>
    <x v="0"/>
    <s v="AFRICOM"/>
    <x v="127"/>
    <x v="19"/>
    <n v="2"/>
    <s v="BL - Abroad"/>
    <s v="Ma Xiaotian"/>
    <m/>
    <s v="GSD DCGS"/>
    <n v="6"/>
    <x v="1"/>
    <m/>
    <x v="0"/>
    <m/>
    <m/>
    <m/>
    <m/>
    <x v="12"/>
    <m/>
    <m/>
    <s v="Defense White Paper Appendix"/>
    <m/>
  </r>
  <r>
    <x v="1"/>
    <x v="9"/>
    <s v="West Asia and Africa"/>
    <s v="Strategic Cooperative Partnership [战略合作伙伴关系]"/>
    <x v="1"/>
    <s v="CENTCOM"/>
    <x v="24"/>
    <x v="19"/>
    <n v="2"/>
    <s v="BL - Abroad"/>
    <s v="Ma Xiaotian"/>
    <m/>
    <s v="GSD DCGS"/>
    <n v="6"/>
    <x v="1"/>
    <m/>
    <x v="0"/>
    <m/>
    <m/>
    <m/>
    <m/>
    <x v="12"/>
    <m/>
    <m/>
    <s v="Defense White Paper Appendix"/>
    <m/>
  </r>
  <r>
    <x v="1"/>
    <x v="4"/>
    <s v="Asia"/>
    <s v="Mutually Beneficial Strategic Relationship [战略互惠关系]"/>
    <x v="3"/>
    <s v="INDOPACOM"/>
    <x v="83"/>
    <x v="19"/>
    <n v="2"/>
    <s v="BL - Hosted"/>
    <s v="Liang Guanglie"/>
    <m/>
    <s v="Defense Minister; CMC Member"/>
    <n v="8"/>
    <x v="2"/>
    <s v="Chief of Staff of Ground Self Defense Force (GSDF)"/>
    <x v="0"/>
    <m/>
    <m/>
    <m/>
    <m/>
    <x v="12"/>
    <m/>
    <m/>
    <s v="Defense White Paper Appendix"/>
    <m/>
  </r>
  <r>
    <x v="1"/>
    <x v="7"/>
    <s v="West Asia and Africa"/>
    <s v="No Specific Relationship"/>
    <x v="0"/>
    <s v="AFRICOM"/>
    <x v="47"/>
    <x v="19"/>
    <n v="2"/>
    <s v="BL - Abroad"/>
    <s v="Ma Xiaotian"/>
    <m/>
    <s v="GSD DCGS"/>
    <n v="6"/>
    <x v="1"/>
    <m/>
    <x v="0"/>
    <m/>
    <m/>
    <m/>
    <m/>
    <x v="12"/>
    <m/>
    <m/>
    <s v="Defense White Paper Appendix"/>
    <m/>
  </r>
  <r>
    <x v="1"/>
    <x v="8"/>
    <s v="Europe and Central Asia"/>
    <s v="Comprehensive Strategic Partnership [全面战略伙伴关系]"/>
    <x v="5"/>
    <s v="EUCOM"/>
    <x v="21"/>
    <x v="19"/>
    <n v="2"/>
    <s v="BL - Abroad"/>
    <s v="Ma Xiaotian"/>
    <m/>
    <s v="GSD DCGS"/>
    <n v="6"/>
    <x v="1"/>
    <s v="Chief of Defense Staff"/>
    <x v="0"/>
    <m/>
    <m/>
    <m/>
    <m/>
    <x v="12"/>
    <m/>
    <m/>
    <s v="Defense White Paper Appendix"/>
    <m/>
  </r>
  <r>
    <x v="0"/>
    <x v="9"/>
    <s v="West Asia and Africa"/>
    <s v="No Specific Relationship"/>
    <x v="0"/>
    <s v="CENTCOM"/>
    <x v="135"/>
    <x v="19"/>
    <n v="2"/>
    <s v="Port Call - Replenish/Overhaul"/>
    <m/>
    <m/>
    <m/>
    <m/>
    <x v="0"/>
    <m/>
    <x v="0"/>
    <m/>
    <m/>
    <m/>
    <s v="ETF"/>
    <x v="33"/>
    <s v="East Sea Fleet"/>
    <s v="FFG525 Ma'anshan, FFG526 Wenzhou, AOR886 Qiandao Hu"/>
    <m/>
    <m/>
  </r>
  <r>
    <x v="1"/>
    <x v="0"/>
    <s v="Europe and Central Asia"/>
    <s v="Comprehensive Cooperative Partnership [全面合作伙伴关系]"/>
    <x v="1"/>
    <s v="CENTCOM"/>
    <x v="123"/>
    <x v="19"/>
    <n v="3"/>
    <s v="BL - Hosted"/>
    <s v="Liang Guanglie"/>
    <m/>
    <s v="Defense Minister; CMC Member"/>
    <n v="8"/>
    <x v="2"/>
    <s v="Defense Minister"/>
    <x v="0"/>
    <m/>
    <m/>
    <m/>
    <m/>
    <x v="12"/>
    <m/>
    <m/>
    <s v="Defense White Paper Appendix"/>
    <m/>
  </r>
  <r>
    <x v="1"/>
    <x v="9"/>
    <s v="West Asia and Africa"/>
    <s v="Strategic Cooperative Partnership [战略合作伙伴关系]"/>
    <x v="1"/>
    <s v="CENTCOM"/>
    <x v="24"/>
    <x v="19"/>
    <n v="3"/>
    <s v="BL - Abroad"/>
    <s v="Ma Xiaotian"/>
    <m/>
    <s v="GSD DCGS"/>
    <n v="6"/>
    <x v="1"/>
    <s v="Defense Minister"/>
    <x v="0"/>
    <m/>
    <m/>
    <m/>
    <m/>
    <x v="12"/>
    <m/>
    <m/>
    <s v="Defense White Paper Appendix"/>
    <m/>
  </r>
  <r>
    <x v="1"/>
    <x v="7"/>
    <s v="West Asia and Africa"/>
    <s v="No Specific Relationship"/>
    <x v="0"/>
    <s v="AFRICOM"/>
    <x v="87"/>
    <x v="19"/>
    <n v="3"/>
    <s v="BL - Hosted"/>
    <s v="Liang Guanglie"/>
    <m/>
    <s v="Defense Minister; CMC Member"/>
    <n v="8"/>
    <x v="2"/>
    <s v="Defense Minister"/>
    <x v="0"/>
    <m/>
    <m/>
    <m/>
    <m/>
    <x v="12"/>
    <m/>
    <m/>
    <s v="Defense White Paper Appendix"/>
    <m/>
  </r>
  <r>
    <x v="1"/>
    <x v="0"/>
    <s v="Asia"/>
    <s v="All-Round Strategic Partnership  [全面合作伙伴关系]"/>
    <x v="0"/>
    <s v="INDOPACOM"/>
    <x v="32"/>
    <x v="19"/>
    <n v="3"/>
    <s v="BL - Hosted"/>
    <s v="Liang Guanglie"/>
    <m/>
    <s v="Defense Minister; CMC Member"/>
    <n v="8"/>
    <x v="2"/>
    <s v="Defense Minister"/>
    <x v="0"/>
    <m/>
    <m/>
    <m/>
    <m/>
    <x v="12"/>
    <m/>
    <m/>
    <s v="Defense White Paper Appendix"/>
    <m/>
  </r>
  <r>
    <x v="0"/>
    <x v="0"/>
    <s v="Asia"/>
    <s v="Strategic Partnership [战略伙伴关系]"/>
    <x v="1"/>
    <s v="CENTCOM"/>
    <x v="2"/>
    <x v="19"/>
    <n v="3"/>
    <s v="Port Call - Friendly Visit and Drills"/>
    <m/>
    <m/>
    <m/>
    <m/>
    <x v="0"/>
    <m/>
    <x v="0"/>
    <m/>
    <m/>
    <m/>
    <s v="ETF"/>
    <x v="34"/>
    <s v="South Sea Fleet"/>
    <s v="DDG168 Guangzhou, FFG568 Hengyang, AOR887 Weishan Hu; uncertain, could also be ETF-4"/>
    <m/>
    <m/>
  </r>
  <r>
    <x v="2"/>
    <x v="0"/>
    <s v="Asia"/>
    <s v="Strategic Partnership [战略伙伴关系]"/>
    <x v="1"/>
    <s v="CENTCOM"/>
    <x v="2"/>
    <x v="19"/>
    <n v="3"/>
    <s v="Military Exercise - Bilateral"/>
    <m/>
    <m/>
    <m/>
    <m/>
    <x v="0"/>
    <m/>
    <x v="4"/>
    <s v="Unknown Karachi 2010"/>
    <s v="Navy"/>
    <s v=" 7-13 March 2010, anti-piracy ETF joint drills and friendly visit, Six Years p. 129"/>
    <m/>
    <x v="12"/>
    <m/>
    <m/>
    <s v="Defense White Paper Appendix"/>
    <m/>
  </r>
  <r>
    <x v="1"/>
    <x v="1"/>
    <s v="Asia"/>
    <s v="Strategic Partnership [战略伙伴关系]"/>
    <x v="3"/>
    <s v="INDOPACOM"/>
    <x v="5"/>
    <x v="19"/>
    <n v="3"/>
    <s v="BL - Hosted"/>
    <s v="Liang Guanglie"/>
    <m/>
    <s v="Defense Minister; CMC Member"/>
    <n v="8"/>
    <x v="2"/>
    <s v="CO of National Defense Studies Institute"/>
    <x v="0"/>
    <m/>
    <m/>
    <m/>
    <m/>
    <x v="12"/>
    <m/>
    <m/>
    <s v="Defense White Paper Appendix"/>
    <m/>
  </r>
  <r>
    <x v="0"/>
    <x v="9"/>
    <s v="West Asia and Africa"/>
    <s v="No Specific Relationship"/>
    <x v="0"/>
    <s v="CENTCOM"/>
    <x v="106"/>
    <x v="19"/>
    <n v="3"/>
    <s v="Port Call - Friendly Visit"/>
    <m/>
    <m/>
    <m/>
    <m/>
    <x v="0"/>
    <m/>
    <x v="0"/>
    <m/>
    <m/>
    <m/>
    <s v="ETF"/>
    <x v="33"/>
    <s v="East Sea Fleet"/>
    <s v="FFG525 Ma'anshan, FFG526 Wenzhou, AOR886 Qiandao Hu"/>
    <m/>
    <m/>
  </r>
  <r>
    <x v="1"/>
    <x v="1"/>
    <s v="Asia"/>
    <s v="Comprehensive Strategic Cooperative Partnership [全面战略合作伙伴关系]"/>
    <x v="0"/>
    <s v="INDOPACOM"/>
    <x v="23"/>
    <x v="19"/>
    <n v="3"/>
    <s v="BL - Hosted"/>
    <s v="Chen Bingde"/>
    <m/>
    <s v="GSD Commander; CMC Member"/>
    <n v="8"/>
    <x v="2"/>
    <s v="Deputy Defense Minister"/>
    <x v="0"/>
    <m/>
    <m/>
    <m/>
    <m/>
    <x v="12"/>
    <m/>
    <m/>
    <s v="Defense White Paper Appendix"/>
    <m/>
  </r>
  <r>
    <x v="0"/>
    <x v="9"/>
    <s v="West Asia and Africa"/>
    <s v="No Specific Relationship"/>
    <x v="0"/>
    <s v="CENTCOM"/>
    <x v="135"/>
    <x v="19"/>
    <n v="3"/>
    <s v="Port Call - Replenish/Overhaul"/>
    <m/>
    <m/>
    <m/>
    <m/>
    <x v="0"/>
    <m/>
    <x v="0"/>
    <m/>
    <m/>
    <m/>
    <s v="ETF"/>
    <x v="33"/>
    <s v="East Sea Fleet"/>
    <s v="FFG525 Ma'anshan, FFG526 Wenzhou, AOR886 Qiandao Hu; uncertain, could also be ETF-5"/>
    <m/>
    <m/>
  </r>
  <r>
    <x v="1"/>
    <x v="10"/>
    <s v="America and Oceania"/>
    <s v="Strategic Partnership [战略伙伴关系]"/>
    <x v="1"/>
    <s v="SOUTHCOM"/>
    <x v="62"/>
    <x v="19"/>
    <n v="4"/>
    <s v="BL - Abroad"/>
    <s v="Ma Xiaotian"/>
    <m/>
    <s v="GSD DCGS"/>
    <n v="6"/>
    <x v="1"/>
    <m/>
    <x v="0"/>
    <m/>
    <m/>
    <m/>
    <m/>
    <x v="12"/>
    <m/>
    <m/>
    <s v="Defense White Paper Appendix"/>
    <m/>
  </r>
  <r>
    <x v="1"/>
    <x v="2"/>
    <s v="America and Oceania"/>
    <s v="Strategic Partnership [战略伙伴关系]"/>
    <x v="5"/>
    <s v="NORTHCOM"/>
    <x v="17"/>
    <x v="19"/>
    <n v="4"/>
    <s v="BL - Abroad"/>
    <s v="Ma Xiaotian"/>
    <m/>
    <s v="GSD DCGS"/>
    <n v="6"/>
    <x v="1"/>
    <m/>
    <x v="0"/>
    <m/>
    <m/>
    <m/>
    <m/>
    <x v="12"/>
    <m/>
    <m/>
    <s v="Defense White Paper Appendix"/>
    <m/>
  </r>
  <r>
    <x v="1"/>
    <x v="7"/>
    <s v="West Asia and Africa"/>
    <s v="No Specific Relationship"/>
    <x v="0"/>
    <s v="AFRICOM"/>
    <x v="28"/>
    <x v="19"/>
    <n v="4"/>
    <s v="BL - Hosted"/>
    <s v="Liang Guanglie"/>
    <m/>
    <s v="Defense Minister; CMC Member"/>
    <n v="8"/>
    <x v="2"/>
    <s v="Minister of National Defense"/>
    <x v="0"/>
    <m/>
    <m/>
    <m/>
    <m/>
    <x v="12"/>
    <m/>
    <m/>
    <s v="Defense White Paper Appendix"/>
    <m/>
  </r>
  <r>
    <x v="1"/>
    <x v="10"/>
    <s v="America and Oceania"/>
    <s v="No Specific Relationship"/>
    <x v="0"/>
    <s v="SOUTHCOM"/>
    <x v="49"/>
    <x v="19"/>
    <n v="4"/>
    <s v="BL - Hosted"/>
    <s v="Chen Bingde"/>
    <m/>
    <s v="GSD Commander; CMC Member"/>
    <n v="8"/>
    <x v="2"/>
    <s v="COGS"/>
    <x v="0"/>
    <m/>
    <m/>
    <m/>
    <m/>
    <x v="12"/>
    <m/>
    <m/>
    <s v="Defense White Paper Appendix"/>
    <m/>
  </r>
  <r>
    <x v="1"/>
    <x v="7"/>
    <s v="West Asia and Africa"/>
    <s v="No Specific Relationship"/>
    <x v="0"/>
    <s v="AFRICOM"/>
    <x v="67"/>
    <x v="19"/>
    <n v="4"/>
    <s v="BL - Abroad"/>
    <s v="Ma Xiaotian"/>
    <m/>
    <s v="GSD DCGS"/>
    <n v="6"/>
    <x v="1"/>
    <m/>
    <x v="0"/>
    <m/>
    <m/>
    <m/>
    <m/>
    <x v="12"/>
    <m/>
    <m/>
    <s v="Defense White Paper Appendix"/>
    <m/>
  </r>
  <r>
    <x v="1"/>
    <x v="6"/>
    <s v="Europe and Central Asia"/>
    <s v="Strategic Partnership [战略伙伴关系]"/>
    <x v="0"/>
    <s v="CENTCOM"/>
    <x v="30"/>
    <x v="19"/>
    <n v="4"/>
    <s v="BL - Abroad"/>
    <s v="Ma Xiaotian"/>
    <m/>
    <s v="GSD DCGS"/>
    <n v="6"/>
    <x v="1"/>
    <m/>
    <x v="0"/>
    <m/>
    <m/>
    <m/>
    <m/>
    <x v="12"/>
    <m/>
    <m/>
    <s v="Defense White Paper Appendix"/>
    <m/>
  </r>
  <r>
    <x v="1"/>
    <x v="1"/>
    <s v="Asia"/>
    <s v="Strategic Cooperative Partnership [战略合作伙伴关系]"/>
    <x v="0"/>
    <s v="INDOPACOM"/>
    <x v="10"/>
    <x v="19"/>
    <n v="4"/>
    <s v="BL - Abroad"/>
    <s v="Ma Xiaotian"/>
    <m/>
    <s v="GSD DCGS"/>
    <n v="6"/>
    <x v="1"/>
    <m/>
    <x v="0"/>
    <m/>
    <m/>
    <m/>
    <m/>
    <x v="12"/>
    <m/>
    <m/>
    <s v="Defense White Paper Appendix"/>
    <m/>
  </r>
  <r>
    <x v="1"/>
    <x v="7"/>
    <s v="West Asia and Africa"/>
    <s v="No Specific Relationship"/>
    <x v="0"/>
    <s v="AFRICOM"/>
    <x v="84"/>
    <x v="19"/>
    <n v="4"/>
    <s v="BL - Abroad"/>
    <s v="Ma Xiaotian"/>
    <m/>
    <s v="GSD DCGS"/>
    <n v="6"/>
    <x v="1"/>
    <m/>
    <x v="0"/>
    <m/>
    <m/>
    <m/>
    <m/>
    <x v="12"/>
    <m/>
    <m/>
    <s v="Defense White Paper Appendix"/>
    <m/>
  </r>
  <r>
    <x v="0"/>
    <x v="9"/>
    <s v="West Asia and Africa"/>
    <s v="No Specific Relationship"/>
    <x v="0"/>
    <s v="CENTCOM"/>
    <x v="147"/>
    <x v="19"/>
    <n v="4"/>
    <s v="Port Call - Replenish/Overhaul"/>
    <m/>
    <m/>
    <m/>
    <m/>
    <x v="0"/>
    <m/>
    <x v="0"/>
    <m/>
    <m/>
    <m/>
    <s v="ETF"/>
    <x v="33"/>
    <s v="East Sea Fleet"/>
    <s v="FFG525 Ma'anshan, FFG526 Wenzhou, AOR886 Qiandao Hu; uncertain, could also be ETF-5"/>
    <m/>
    <m/>
  </r>
  <r>
    <x v="1"/>
    <x v="10"/>
    <s v="America and Oceania"/>
    <s v="Strategic Partnership [战略伙伴关系]"/>
    <x v="0"/>
    <s v="SOUTHCOM"/>
    <x v="54"/>
    <x v="19"/>
    <n v="4"/>
    <s v="BL - Hosted"/>
    <s v="Liang Guanglie"/>
    <m/>
    <s v="Defense Minister; CMC Member"/>
    <n v="8"/>
    <x v="2"/>
    <s v="Minister of Defense"/>
    <x v="0"/>
    <m/>
    <m/>
    <m/>
    <m/>
    <x v="12"/>
    <m/>
    <m/>
    <s v="Defense White Paper Appendix"/>
    <m/>
  </r>
  <r>
    <x v="0"/>
    <x v="1"/>
    <s v="Asia"/>
    <s v="Strategic Cooperative Partnership [战略合作伙伴关系]"/>
    <x v="3"/>
    <s v="INDOPACOM"/>
    <x v="11"/>
    <x v="19"/>
    <n v="4"/>
    <s v="Port Call - Friendly Visit"/>
    <m/>
    <m/>
    <m/>
    <m/>
    <x v="0"/>
    <m/>
    <x v="0"/>
    <m/>
    <m/>
    <m/>
    <s v="ETF"/>
    <x v="33"/>
    <s v="East Sea Fleet"/>
    <s v="FFG525 Ma'anshan, FFG526 Wenzhou, AOR886 Qiandao Hu"/>
    <m/>
    <m/>
  </r>
  <r>
    <x v="1"/>
    <x v="1"/>
    <s v="Asia"/>
    <s v="No Specific Relationship"/>
    <x v="0"/>
    <s v="INDOPACOM"/>
    <x v="39"/>
    <x v="19"/>
    <n v="4"/>
    <s v="BL - Hosted"/>
    <s v="Chen Bingde"/>
    <m/>
    <s v="GSD Commander; CMC Member"/>
    <n v="8"/>
    <x v="2"/>
    <s v="Deputy Prime Minister and Defense Minister"/>
    <x v="0"/>
    <m/>
    <m/>
    <m/>
    <m/>
    <x v="12"/>
    <m/>
    <m/>
    <s v="Defense White Paper Appendix"/>
    <m/>
  </r>
  <r>
    <x v="1"/>
    <x v="7"/>
    <s v="West Asia and Africa"/>
    <s v="No Specific Relationship"/>
    <x v="0"/>
    <s v="AFRICOM"/>
    <x v="97"/>
    <x v="19"/>
    <n v="4"/>
    <s v="BL - Hosted"/>
    <s v="Liang Guanglie"/>
    <m/>
    <s v="Defense Minister; CMC Member"/>
    <n v="8"/>
    <x v="2"/>
    <s v="Defense Minister"/>
    <x v="0"/>
    <m/>
    <m/>
    <m/>
    <m/>
    <x v="12"/>
    <m/>
    <m/>
    <s v="Defense White Paper Appendix"/>
    <m/>
  </r>
  <r>
    <x v="1"/>
    <x v="10"/>
    <s v="America and Oceania"/>
    <s v="Strategic Development Partnership [战略发展伙伴关系]"/>
    <x v="0"/>
    <s v="SOUTHCOM"/>
    <x v="56"/>
    <x v="19"/>
    <n v="4"/>
    <s v="BL - Abroad"/>
    <s v="Fang Fenghui"/>
    <m/>
    <s v="Beijing MR Commander"/>
    <n v="6"/>
    <x v="1"/>
    <m/>
    <x v="0"/>
    <m/>
    <m/>
    <m/>
    <m/>
    <x v="12"/>
    <m/>
    <m/>
    <s v="Defense White Paper Appendix"/>
    <m/>
  </r>
  <r>
    <x v="1"/>
    <x v="1"/>
    <s v="Asia"/>
    <s v="Comprehensive Strategic Cooperative Partnership [全面战略合作伙伴关系]"/>
    <x v="0"/>
    <s v="INDOPACOM"/>
    <x v="23"/>
    <x v="19"/>
    <n v="4"/>
    <s v="BL - Hosted"/>
    <s v="Liang Guanglie"/>
    <m/>
    <s v="Defense Minister; CMC Member"/>
    <n v="8"/>
    <x v="2"/>
    <s v="Defense Minister"/>
    <x v="0"/>
    <m/>
    <m/>
    <m/>
    <m/>
    <x v="12"/>
    <m/>
    <m/>
    <s v="Defense White Paper Appendix"/>
    <m/>
  </r>
  <r>
    <x v="1"/>
    <x v="7"/>
    <s v="West Asia and Africa"/>
    <s v="Strategic Partnership [战略伙伴关系]"/>
    <x v="0"/>
    <s v="AFRICOM"/>
    <x v="105"/>
    <x v="19"/>
    <n v="5"/>
    <s v="BL - Abroad"/>
    <s v="Chen Bingde"/>
    <m/>
    <s v="GSD Commander; CMC Member"/>
    <n v="8"/>
    <x v="1"/>
    <m/>
    <x v="0"/>
    <m/>
    <m/>
    <m/>
    <m/>
    <x v="12"/>
    <m/>
    <m/>
    <s v="Defense White Paper Appendix"/>
    <m/>
  </r>
  <r>
    <x v="1"/>
    <x v="5"/>
    <s v="America and Oceania"/>
    <s v="No Specific Relationship"/>
    <x v="4"/>
    <s v="INDOPACOM"/>
    <x v="12"/>
    <x v="19"/>
    <n v="5"/>
    <s v="BL - Abroad"/>
    <s v="Guo Boxiong"/>
    <m/>
    <s v="CMC Vice Chairman"/>
    <n v="10"/>
    <x v="1"/>
    <s v="Chief of ADF Air Force"/>
    <x v="0"/>
    <m/>
    <m/>
    <m/>
    <m/>
    <x v="12"/>
    <m/>
    <m/>
    <s v="Defense White Paper Appendix"/>
    <m/>
  </r>
  <r>
    <x v="1"/>
    <x v="8"/>
    <s v="Europe and Central Asia"/>
    <s v="Strategic Partnership [战略伙伴关系]"/>
    <x v="5"/>
    <s v="EUCOM"/>
    <x v="34"/>
    <x v="19"/>
    <n v="5"/>
    <s v="BL - Hosted"/>
    <s v="Xu Caihou"/>
    <m/>
    <s v="CMC Vice Chairman"/>
    <n v="10"/>
    <x v="2"/>
    <s v="Defense Minister"/>
    <x v="0"/>
    <m/>
    <m/>
    <m/>
    <m/>
    <x v="12"/>
    <m/>
    <m/>
    <s v="Defense White Paper Appendix"/>
    <m/>
  </r>
  <r>
    <x v="1"/>
    <x v="8"/>
    <s v="Europe and Central Asia"/>
    <s v="No Specific Relationship"/>
    <x v="0"/>
    <s v="EUCOM"/>
    <x v="79"/>
    <x v="19"/>
    <n v="5"/>
    <s v="BL - Abroad"/>
    <s v="Du Hengyan"/>
    <m/>
    <s v="Jinan MR Political Commissar"/>
    <n v="6"/>
    <x v="1"/>
    <m/>
    <x v="0"/>
    <m/>
    <m/>
    <m/>
    <m/>
    <x v="12"/>
    <m/>
    <m/>
    <s v="Defense White Paper Appendix"/>
    <m/>
  </r>
  <r>
    <x v="1"/>
    <x v="1"/>
    <s v="Asia"/>
    <s v="Comprehensive Strategic Cooperative Partnership [全面战略合作伙伴关系]"/>
    <x v="0"/>
    <s v="INDOPACOM"/>
    <x v="94"/>
    <x v="19"/>
    <n v="5"/>
    <s v="BL - Hosted"/>
    <s v="Liang Guanglie"/>
    <m/>
    <s v="Defense Minister; CMC Member"/>
    <n v="8"/>
    <x v="2"/>
    <s v="CinC Armed Forces"/>
    <x v="0"/>
    <m/>
    <m/>
    <m/>
    <m/>
    <x v="12"/>
    <m/>
    <m/>
    <s v="Defense White Paper Appendix"/>
    <m/>
  </r>
  <r>
    <x v="0"/>
    <x v="9"/>
    <s v="West Asia and Africa"/>
    <s v="No Specific Relationship"/>
    <x v="0"/>
    <s v="CENTCOM"/>
    <x v="119"/>
    <x v="19"/>
    <n v="5"/>
    <s v="Port Call - Replenish/Overhaul"/>
    <m/>
    <m/>
    <m/>
    <m/>
    <x v="0"/>
    <m/>
    <x v="0"/>
    <m/>
    <m/>
    <m/>
    <s v="ETF"/>
    <x v="34"/>
    <s v="South Sea Fleet"/>
    <s v="DDG168 Guangzhou, FFG568 Hengyang, AOR887 Weishan Hu"/>
    <m/>
    <m/>
  </r>
  <r>
    <x v="1"/>
    <x v="8"/>
    <s v="Europe and Central Asia"/>
    <s v="No Specific Relationship"/>
    <x v="0"/>
    <s v="EUCOM"/>
    <x v="81"/>
    <x v="19"/>
    <n v="5"/>
    <s v="BL - Abroad"/>
    <s v="Du Hengyan"/>
    <m/>
    <s v="Jinan MR Political Commissar"/>
    <n v="6"/>
    <x v="1"/>
    <m/>
    <x v="0"/>
    <m/>
    <m/>
    <m/>
    <m/>
    <x v="12"/>
    <m/>
    <m/>
    <s v="Defense White Paper Appendix"/>
    <m/>
  </r>
  <r>
    <x v="1"/>
    <x v="8"/>
    <s v="Europe and Central Asia"/>
    <s v="Comprehensive Strategic Partnership [全面战略伙伴关系]"/>
    <x v="5"/>
    <s v="EUCOM"/>
    <x v="22"/>
    <x v="19"/>
    <n v="5"/>
    <s v="BL - Abroad"/>
    <s v="Ma Xiaotian"/>
    <m/>
    <s v="GSD DCGS"/>
    <n v="6"/>
    <x v="1"/>
    <m/>
    <x v="0"/>
    <m/>
    <m/>
    <m/>
    <m/>
    <x v="12"/>
    <m/>
    <m/>
    <s v="Defense White Paper Appendix"/>
    <m/>
  </r>
  <r>
    <x v="1"/>
    <x v="8"/>
    <s v="Europe and Central Asia"/>
    <s v="Strategic Partnership [战略伙伴关系]"/>
    <x v="5"/>
    <s v="EUCOM"/>
    <x v="18"/>
    <x v="19"/>
    <n v="5"/>
    <s v="BL - Abroad"/>
    <s v="Liu Yuan"/>
    <m/>
    <s v="AMS Political Commissar"/>
    <n v="6"/>
    <x v="1"/>
    <m/>
    <x v="0"/>
    <m/>
    <m/>
    <m/>
    <m/>
    <x v="12"/>
    <m/>
    <m/>
    <s v="Defense White Paper Appendix"/>
    <m/>
  </r>
  <r>
    <x v="1"/>
    <x v="8"/>
    <s v="Europe and Central Asia"/>
    <s v="Comprehensive Strategic Partnership [全面战略伙伴关系]"/>
    <x v="5"/>
    <s v="EUCOM"/>
    <x v="29"/>
    <x v="19"/>
    <n v="5"/>
    <s v="BL - Abroad"/>
    <s v="Zhang Haiyang"/>
    <m/>
    <s v="PLASAF Political Commissar"/>
    <n v="6"/>
    <x v="1"/>
    <m/>
    <x v="0"/>
    <m/>
    <m/>
    <m/>
    <m/>
    <x v="12"/>
    <m/>
    <m/>
    <s v="Defense White Paper Appendix"/>
    <m/>
  </r>
  <r>
    <x v="1"/>
    <x v="1"/>
    <s v="Asia"/>
    <s v="Strategic Partnership [战略伙伴关系]"/>
    <x v="0"/>
    <s v="INDOPACOM"/>
    <x v="8"/>
    <x v="19"/>
    <n v="5"/>
    <s v="BL - Abroad"/>
    <s v="Guo Boxiong"/>
    <m/>
    <s v="CMC Vice Chairman"/>
    <n v="10"/>
    <x v="1"/>
    <m/>
    <x v="0"/>
    <m/>
    <m/>
    <m/>
    <m/>
    <x v="12"/>
    <m/>
    <m/>
    <s v="Defense White Paper Appendix"/>
    <m/>
  </r>
  <r>
    <x v="1"/>
    <x v="8"/>
    <s v="Europe and Central Asia"/>
    <s v="Comprehensive Strategic Partnership [全面战略伙伴关系]"/>
    <x v="5"/>
    <s v="EUCOM"/>
    <x v="20"/>
    <x v="19"/>
    <n v="5"/>
    <s v="BL - Abroad"/>
    <s v="Chang Wanquan"/>
    <m/>
    <s v="GAD Director; CMC Member"/>
    <n v="8"/>
    <x v="1"/>
    <m/>
    <x v="0"/>
    <m/>
    <m/>
    <m/>
    <m/>
    <x v="12"/>
    <m/>
    <m/>
    <s v="Defense White Paper Appendix"/>
    <m/>
  </r>
  <r>
    <x v="1"/>
    <x v="6"/>
    <s v="Europe and Central Asia"/>
    <s v="Strategic Partnership [战略伙伴关系]"/>
    <x v="0"/>
    <s v="CENTCOM"/>
    <x v="30"/>
    <x v="19"/>
    <n v="5"/>
    <s v="BL - Abroad"/>
    <s v="Liang Guanglie"/>
    <m/>
    <s v="Defense Minister; CMC Member"/>
    <n v="8"/>
    <x v="1"/>
    <m/>
    <x v="0"/>
    <m/>
    <m/>
    <m/>
    <m/>
    <x v="12"/>
    <m/>
    <m/>
    <s v="Defense White Paper Appendix"/>
    <m/>
  </r>
  <r>
    <x v="1"/>
    <x v="1"/>
    <s v="Asia"/>
    <s v="Comprehensive Strategic Cooperative Partnership [全面战略合作伙伴关系]"/>
    <x v="0"/>
    <s v="INDOPACOM"/>
    <x v="52"/>
    <x v="19"/>
    <n v="5"/>
    <s v="BL - Abroad"/>
    <s v="Ma Xiaotian"/>
    <m/>
    <s v="GSD DCGS"/>
    <n v="6"/>
    <x v="1"/>
    <m/>
    <x v="0"/>
    <m/>
    <m/>
    <m/>
    <m/>
    <x v="12"/>
    <m/>
    <m/>
    <s v="Defense White Paper Appendix"/>
    <m/>
  </r>
  <r>
    <x v="1"/>
    <x v="9"/>
    <s v="West Asia and Africa"/>
    <s v="No Specific Relationship"/>
    <x v="0"/>
    <s v="CENTCOM"/>
    <x v="110"/>
    <x v="19"/>
    <n v="5"/>
    <s v="BL - Hosted"/>
    <s v="Chen Bingde"/>
    <m/>
    <s v="GSD Commander; CMC Member"/>
    <n v="8"/>
    <x v="2"/>
    <s v="Army Chief of Staff"/>
    <x v="0"/>
    <m/>
    <m/>
    <m/>
    <m/>
    <x v="12"/>
    <m/>
    <m/>
    <s v="Defense White Paper Appendix"/>
    <m/>
  </r>
  <r>
    <x v="1"/>
    <x v="8"/>
    <s v="Europe and Central Asia"/>
    <s v="No Specific Relationship"/>
    <x v="0"/>
    <s v="EUCOM"/>
    <x v="99"/>
    <x v="19"/>
    <n v="5"/>
    <s v="BL - Hosted"/>
    <s v="Xu Caihou"/>
    <m/>
    <s v="CMC Vice Chairman"/>
    <n v="10"/>
    <x v="2"/>
    <s v="Defense Minister"/>
    <x v="0"/>
    <m/>
    <m/>
    <m/>
    <m/>
    <x v="12"/>
    <m/>
    <m/>
    <s v="Defense White Paper Appendix"/>
    <m/>
  </r>
  <r>
    <x v="1"/>
    <x v="7"/>
    <s v="West Asia and Africa"/>
    <s v="No Specific Relationship"/>
    <x v="0"/>
    <s v="AFRICOM"/>
    <x v="69"/>
    <x v="19"/>
    <n v="5"/>
    <s v="BL - Abroad"/>
    <s v="Chen Bingde"/>
    <m/>
    <s v="GSD Commander; CMC Member"/>
    <n v="8"/>
    <x v="1"/>
    <m/>
    <x v="0"/>
    <m/>
    <m/>
    <m/>
    <m/>
    <x v="12"/>
    <m/>
    <m/>
    <s v="Defense White Paper Appendix"/>
    <m/>
  </r>
  <r>
    <x v="1"/>
    <x v="5"/>
    <s v="America and Oceania"/>
    <s v="No Specific Relationship"/>
    <x v="4"/>
    <s v="INDOPACOM"/>
    <x v="13"/>
    <x v="19"/>
    <n v="5"/>
    <s v="BL - Abroad"/>
    <s v="Guo Boxiong"/>
    <m/>
    <s v="CMC Vice Chairman"/>
    <n v="10"/>
    <x v="1"/>
    <m/>
    <x v="0"/>
    <m/>
    <m/>
    <m/>
    <m/>
    <x v="12"/>
    <m/>
    <m/>
    <s v="Defense White Paper Appendix"/>
    <m/>
  </r>
  <r>
    <x v="1"/>
    <x v="0"/>
    <s v="Asia"/>
    <s v="Strategic Partnership [战略伙伴关系]"/>
    <x v="1"/>
    <s v="CENTCOM"/>
    <x v="2"/>
    <x v="19"/>
    <n v="5"/>
    <s v="BL - Abroad"/>
    <s v="Liang Guanglie"/>
    <m/>
    <s v="Defense Minister; CMC Member"/>
    <n v="8"/>
    <x v="1"/>
    <s v="Defense Minister"/>
    <x v="0"/>
    <m/>
    <m/>
    <m/>
    <m/>
    <x v="12"/>
    <m/>
    <m/>
    <s v="Defense White Paper Appendix"/>
    <m/>
  </r>
  <r>
    <x v="1"/>
    <x v="8"/>
    <s v="Europe and Central Asia"/>
    <s v="No Specific Relationship"/>
    <x v="5"/>
    <s v="EUCOM"/>
    <x v="40"/>
    <x v="19"/>
    <n v="5"/>
    <s v="BL - Abroad"/>
    <s v="Zhang Haiyang"/>
    <m/>
    <s v="PLASAF Political Commissar"/>
    <n v="6"/>
    <x v="1"/>
    <m/>
    <x v="0"/>
    <m/>
    <m/>
    <m/>
    <m/>
    <x v="12"/>
    <m/>
    <m/>
    <s v="Defense White Paper Appendix"/>
    <m/>
  </r>
  <r>
    <x v="1"/>
    <x v="8"/>
    <s v="Europe and Central Asia"/>
    <s v="No Specific Relationship"/>
    <x v="0"/>
    <s v="EUCOM"/>
    <x v="92"/>
    <x v="19"/>
    <n v="5"/>
    <s v="BL - Abroad"/>
    <s v="Liu Yuan"/>
    <m/>
    <s v="AMS Political Commissar"/>
    <n v="6"/>
    <x v="1"/>
    <m/>
    <x v="0"/>
    <m/>
    <m/>
    <m/>
    <m/>
    <x v="12"/>
    <m/>
    <m/>
    <s v="Defense White Paper Appendix"/>
    <m/>
  </r>
  <r>
    <x v="1"/>
    <x v="7"/>
    <s v="West Asia and Africa"/>
    <s v="No Specific Relationship"/>
    <x v="0"/>
    <s v="AFRICOM"/>
    <x v="16"/>
    <x v="19"/>
    <n v="5"/>
    <s v="BL - Abroad"/>
    <s v="Chen Bingde"/>
    <m/>
    <s v="GSD Commander; CMC Member"/>
    <n v="8"/>
    <x v="1"/>
    <m/>
    <x v="0"/>
    <m/>
    <m/>
    <m/>
    <m/>
    <x v="12"/>
    <m/>
    <m/>
    <s v="Defense White Paper Appendix"/>
    <m/>
  </r>
  <r>
    <x v="1"/>
    <x v="8"/>
    <s v="Europe and Central Asia"/>
    <s v="Strategic Cooperative Partnership [战略合作伙伴关系]"/>
    <x v="5"/>
    <s v="EUCOM"/>
    <x v="38"/>
    <x v="19"/>
    <n v="5"/>
    <s v="BL - Hosted"/>
    <s v="Guo Boxiong"/>
    <m/>
    <s v="CMC Vice Chairman"/>
    <n v="10"/>
    <x v="2"/>
    <s v="DCOGS"/>
    <x v="0"/>
    <m/>
    <m/>
    <m/>
    <m/>
    <x v="12"/>
    <m/>
    <m/>
    <s v="Defense White Paper Appendix"/>
    <m/>
  </r>
  <r>
    <x v="1"/>
    <x v="6"/>
    <s v="Europe and Central Asia"/>
    <s v="No Specific Relationship"/>
    <x v="0"/>
    <s v="CENTCOM"/>
    <x v="55"/>
    <x v="19"/>
    <n v="5"/>
    <s v="BL - Abroad"/>
    <s v="Liang Guanglie"/>
    <m/>
    <s v="Defense Minister; CMC Member"/>
    <n v="8"/>
    <x v="1"/>
    <s v="Defense Minister"/>
    <x v="0"/>
    <m/>
    <m/>
    <m/>
    <m/>
    <x v="12"/>
    <m/>
    <m/>
    <s v="Defense White Paper Appendix"/>
    <m/>
  </r>
  <r>
    <x v="1"/>
    <x v="2"/>
    <s v="America and Oceania"/>
    <s v="No Specific Relationship"/>
    <x v="2"/>
    <s v="NORTHCOM"/>
    <x v="4"/>
    <x v="19"/>
    <n v="5"/>
    <s v="BL - Hosted"/>
    <s v="Xu Caihou"/>
    <m/>
    <s v="CMC Vice Chairman"/>
    <n v="10"/>
    <x v="2"/>
    <s v="Former Deputy Chairman JCS and former USAF Chief of Staff"/>
    <x v="0"/>
    <m/>
    <m/>
    <m/>
    <m/>
    <x v="12"/>
    <m/>
    <m/>
    <s v="Defense White Paper Appendix"/>
    <m/>
  </r>
  <r>
    <x v="1"/>
    <x v="1"/>
    <s v="Asia"/>
    <s v="Comprehensive Strategic Cooperative Partnership [全面战略合作伙伴关系]"/>
    <x v="0"/>
    <s v="INDOPACOM"/>
    <x v="23"/>
    <x v="19"/>
    <n v="5"/>
    <s v="BL - Abroad"/>
    <s v="Li Jinai"/>
    <m/>
    <s v="GPD Director; CMC Member"/>
    <n v="8"/>
    <x v="1"/>
    <m/>
    <x v="0"/>
    <m/>
    <m/>
    <m/>
    <m/>
    <x v="12"/>
    <m/>
    <m/>
    <s v="Defense White Paper Appendix"/>
    <m/>
  </r>
  <r>
    <x v="0"/>
    <x v="9"/>
    <s v="West Asia and Africa"/>
    <s v="No Specific Relationship"/>
    <x v="0"/>
    <s v="CENTCOM"/>
    <x v="135"/>
    <x v="19"/>
    <n v="5"/>
    <s v="Port Call - Replenish/Overhaul"/>
    <m/>
    <m/>
    <m/>
    <m/>
    <x v="0"/>
    <m/>
    <x v="0"/>
    <m/>
    <m/>
    <m/>
    <s v="ETF"/>
    <x v="34"/>
    <s v="South Sea Fleet"/>
    <s v="DDG168 Guangzhou, FFG568 Hengyang, AOR887 Weishan Hu"/>
    <m/>
    <m/>
  </r>
  <r>
    <x v="1"/>
    <x v="1"/>
    <s v="Asia"/>
    <s v="Comprehensive Strategic Cooperative Partnership [全面战略合作伙伴关系]"/>
    <x v="0"/>
    <s v="INDOPACOM"/>
    <x v="94"/>
    <x v="19"/>
    <n v="6"/>
    <s v="BL - Abroad"/>
    <s v="Chi Wanchun"/>
    <m/>
    <s v="GAD Political Commissar"/>
    <n v="6"/>
    <x v="1"/>
    <m/>
    <x v="0"/>
    <m/>
    <m/>
    <m/>
    <m/>
    <x v="12"/>
    <m/>
    <m/>
    <s v="Defense White Paper Appendix"/>
    <m/>
  </r>
  <r>
    <x v="1"/>
    <x v="7"/>
    <s v="West Asia and Africa"/>
    <s v="No Specific Relationship"/>
    <x v="0"/>
    <s v="AFRICOM"/>
    <x v="95"/>
    <x v="19"/>
    <n v="6"/>
    <s v="BL - Hosted"/>
    <s v="Xu Caihou"/>
    <m/>
    <s v="CMC Vice Chairman"/>
    <n v="10"/>
    <x v="2"/>
    <s v="Chief of Staff Armed Forces"/>
    <x v="0"/>
    <m/>
    <m/>
    <m/>
    <m/>
    <x v="12"/>
    <m/>
    <m/>
    <s v="Defense White Paper Appendix"/>
    <m/>
  </r>
  <r>
    <x v="1"/>
    <x v="8"/>
    <s v="Europe and Central Asia"/>
    <s v="Comprehensive Strategic Partnership [全面战略伙伴关系]"/>
    <x v="5"/>
    <s v="EUCOM"/>
    <x v="22"/>
    <x v="19"/>
    <n v="6"/>
    <s v="BL - Abroad"/>
    <s v="Ma Xiaotian"/>
    <m/>
    <s v="GSD DCGS"/>
    <n v="6"/>
    <x v="1"/>
    <m/>
    <x v="0"/>
    <m/>
    <m/>
    <m/>
    <m/>
    <x v="12"/>
    <m/>
    <m/>
    <s v="Defense White Paper Appendix"/>
    <m/>
  </r>
  <r>
    <x v="1"/>
    <x v="10"/>
    <s v="America and Oceania"/>
    <s v="No Specific Relationship"/>
    <x v="0"/>
    <s v="SOUTHCOM"/>
    <x v="88"/>
    <x v="19"/>
    <n v="6"/>
    <s v="BL - Hosted"/>
    <s v="Liang Guanglie"/>
    <m/>
    <s v="Defense Minister; CMC Member"/>
    <n v="8"/>
    <x v="2"/>
    <s v="Chief of the Defense Staff"/>
    <x v="0"/>
    <m/>
    <m/>
    <m/>
    <m/>
    <x v="12"/>
    <m/>
    <m/>
    <s v="Defense White Paper Appendix"/>
    <m/>
  </r>
  <r>
    <x v="1"/>
    <x v="1"/>
    <s v="Asia"/>
    <s v="No Specific Relationship"/>
    <x v="0"/>
    <s v="INDOPACOM"/>
    <x v="137"/>
    <x v="19"/>
    <n v="6"/>
    <s v="ML - Abroad"/>
    <s v="Ma Xiaotian"/>
    <m/>
    <s v="GSD DCGS"/>
    <n v="6"/>
    <x v="1"/>
    <s v="9th Shangri-La Dialogue"/>
    <x v="0"/>
    <m/>
    <m/>
    <m/>
    <m/>
    <x v="12"/>
    <m/>
    <m/>
    <s v="Defense White Paper Appendix"/>
    <m/>
  </r>
  <r>
    <x v="1"/>
    <x v="4"/>
    <s v="Asia"/>
    <s v="Mutually Beneficial Strategic Relationship [战略互惠关系]"/>
    <x v="3"/>
    <s v="INDOPACOM"/>
    <x v="83"/>
    <x v="19"/>
    <n v="6"/>
    <s v="BL - Hosted"/>
    <s v="Liang Guanglie"/>
    <m/>
    <s v="Defense Minister; CMC Member"/>
    <n v="8"/>
    <x v="2"/>
    <s v="Sasakawa Japan-China Friendship Fund"/>
    <x v="0"/>
    <m/>
    <m/>
    <m/>
    <m/>
    <x v="12"/>
    <m/>
    <m/>
    <s v="Defense White Paper Appendix"/>
    <m/>
  </r>
  <r>
    <x v="1"/>
    <x v="8"/>
    <s v="Europe and Central Asia"/>
    <s v="No Specific Relationship"/>
    <x v="0"/>
    <s v="EUCOM"/>
    <x v="99"/>
    <x v="19"/>
    <n v="6"/>
    <s v="BL - Abroad"/>
    <s v="Ma Xiaotian"/>
    <m/>
    <s v="GSD DCGS"/>
    <n v="6"/>
    <x v="1"/>
    <s v="Defense Minister"/>
    <x v="0"/>
    <m/>
    <m/>
    <m/>
    <m/>
    <x v="12"/>
    <m/>
    <m/>
    <s v="Defense White Paper Appendix"/>
    <m/>
  </r>
  <r>
    <x v="1"/>
    <x v="1"/>
    <s v="Asia"/>
    <s v="No Specific Relationship"/>
    <x v="0"/>
    <s v="INDOPACOM"/>
    <x v="1"/>
    <x v="19"/>
    <n v="6"/>
    <s v="BL - Abroad"/>
    <s v="Fan Changlong"/>
    <m/>
    <s v="Jinan MR Commander"/>
    <n v="6"/>
    <x v="1"/>
    <m/>
    <x v="0"/>
    <m/>
    <m/>
    <m/>
    <m/>
    <x v="12"/>
    <m/>
    <m/>
    <s v="Defense White Paper Appendix"/>
    <m/>
  </r>
  <r>
    <x v="1"/>
    <x v="8"/>
    <s v="Europe and Central Asia"/>
    <s v="No Specific Relationship"/>
    <x v="5"/>
    <s v="EUCOM"/>
    <x v="37"/>
    <x v="19"/>
    <n v="6"/>
    <s v="BL - Hosted"/>
    <s v="Chen Bingde"/>
    <m/>
    <s v="GSD Commander; CMC Member"/>
    <n v="8"/>
    <x v="2"/>
    <s v="Chief of Navy Staff"/>
    <x v="0"/>
    <m/>
    <m/>
    <m/>
    <m/>
    <x v="12"/>
    <m/>
    <m/>
    <s v="Defense White Paper Appendix"/>
    <m/>
  </r>
  <r>
    <x v="1"/>
    <x v="9"/>
    <s v="West Asia and Africa"/>
    <s v="No Specific Relationship"/>
    <x v="0"/>
    <s v="CENTCOM"/>
    <x v="147"/>
    <x v="19"/>
    <n v="6"/>
    <s v="BL - Hosted"/>
    <s v="Liang Guanglie"/>
    <m/>
    <s v="Defense Minister; CMC Member"/>
    <n v="8"/>
    <x v="2"/>
    <s v="Minister Responsible for Defense Affairs"/>
    <x v="0"/>
    <m/>
    <m/>
    <m/>
    <m/>
    <x v="12"/>
    <m/>
    <m/>
    <s v="Defense White Paper Appendix"/>
    <m/>
  </r>
  <r>
    <x v="0"/>
    <x v="9"/>
    <s v="West Asia and Africa"/>
    <s v="No Specific Relationship"/>
    <x v="0"/>
    <s v="CENTCOM"/>
    <x v="147"/>
    <x v="19"/>
    <n v="6"/>
    <s v="Port Call - Replenish/Overhaul"/>
    <m/>
    <m/>
    <m/>
    <m/>
    <x v="0"/>
    <m/>
    <x v="0"/>
    <m/>
    <m/>
    <m/>
    <s v="ETF"/>
    <x v="34"/>
    <s v="South Sea Fleet"/>
    <s v="DDG168 Guangzhou, FFG568 Hengyang, AOR887 Weishan Hu"/>
    <m/>
    <m/>
  </r>
  <r>
    <x v="1"/>
    <x v="0"/>
    <s v="Asia"/>
    <s v="Strategic Partnership [战略伙伴关系]"/>
    <x v="1"/>
    <s v="CENTCOM"/>
    <x v="2"/>
    <x v="19"/>
    <n v="6"/>
    <s v="BL - Hosted"/>
    <s v="Liang Guanglie"/>
    <m/>
    <s v="Defense Minister; CMC Member"/>
    <n v="8"/>
    <x v="2"/>
    <s v="Chief of Army Staff"/>
    <x v="0"/>
    <m/>
    <m/>
    <m/>
    <m/>
    <x v="12"/>
    <m/>
    <m/>
    <s v="Defense White Paper Appendix"/>
    <m/>
  </r>
  <r>
    <x v="1"/>
    <x v="3"/>
    <s v="Europe and Central Asia"/>
    <s v="Strategic Partnership of Coordination [战略协作伙伴关系]"/>
    <x v="0"/>
    <s v="EUCOM"/>
    <x v="7"/>
    <x v="19"/>
    <n v="6"/>
    <s v="BL - Abroad"/>
    <s v="Ma Xiaotian"/>
    <m/>
    <s v="GSD DCGS"/>
    <n v="6"/>
    <x v="1"/>
    <m/>
    <x v="0"/>
    <m/>
    <m/>
    <m/>
    <m/>
    <x v="12"/>
    <m/>
    <m/>
    <s v="Defense White Paper Appendix"/>
    <m/>
  </r>
  <r>
    <x v="1"/>
    <x v="8"/>
    <s v="Europe and Central Asia"/>
    <s v="Strategic Partnership [战略伙伴关系]"/>
    <x v="0"/>
    <s v="EUCOM"/>
    <x v="112"/>
    <x v="19"/>
    <n v="6"/>
    <s v="BL - Abroad"/>
    <s v="Ma Xiaotian"/>
    <m/>
    <s v="GSD DCGS"/>
    <n v="6"/>
    <x v="1"/>
    <m/>
    <x v="0"/>
    <m/>
    <m/>
    <m/>
    <m/>
    <x v="12"/>
    <m/>
    <m/>
    <s v="Defense White Paper Appendix"/>
    <m/>
  </r>
  <r>
    <x v="1"/>
    <x v="1"/>
    <s v="Asia"/>
    <s v="No Specific Relationship"/>
    <x v="0"/>
    <s v="INDOPACOM"/>
    <x v="39"/>
    <x v="19"/>
    <n v="6"/>
    <s v="BL - Abroad"/>
    <s v="Ma Xiaotian"/>
    <m/>
    <s v="GSD DCGS"/>
    <n v="6"/>
    <x v="1"/>
    <m/>
    <x v="0"/>
    <m/>
    <m/>
    <m/>
    <m/>
    <x v="12"/>
    <m/>
    <m/>
    <s v="Defense White Paper Appendix"/>
    <m/>
  </r>
  <r>
    <x v="1"/>
    <x v="8"/>
    <s v="Europe and Central Asia"/>
    <s v="No Specific Relationship"/>
    <x v="0"/>
    <s v="EUCOM"/>
    <x v="92"/>
    <x v="19"/>
    <n v="6"/>
    <s v="BL - Abroad"/>
    <s v="Wang Xibin"/>
    <m/>
    <s v="PLA NDU President"/>
    <n v="6"/>
    <x v="1"/>
    <m/>
    <x v="0"/>
    <m/>
    <m/>
    <m/>
    <m/>
    <x v="12"/>
    <m/>
    <m/>
    <s v="Defense White Paper Appendix"/>
    <m/>
  </r>
  <r>
    <x v="1"/>
    <x v="8"/>
    <s v="Europe and Central Asia"/>
    <s v="Strategic Cooperative Partnership [战略合作伙伴关系]"/>
    <x v="5"/>
    <s v="EUCOM"/>
    <x v="38"/>
    <x v="19"/>
    <n v="6"/>
    <s v="BL - Abroad"/>
    <s v="Wang Xibin"/>
    <m/>
    <s v="PLA NDU President"/>
    <n v="6"/>
    <x v="1"/>
    <m/>
    <x v="0"/>
    <m/>
    <m/>
    <m/>
    <m/>
    <x v="12"/>
    <m/>
    <m/>
    <s v="Defense White Paper Appendix"/>
    <m/>
  </r>
  <r>
    <x v="1"/>
    <x v="9"/>
    <s v="West Asia and Africa"/>
    <s v="No Specific Relationship"/>
    <x v="0"/>
    <s v="CENTCOM"/>
    <x v="106"/>
    <x v="19"/>
    <n v="6"/>
    <s v="BL - Hosted"/>
    <s v="Liang Guanglie"/>
    <m/>
    <s v="Defense Minister; CMC Member"/>
    <n v="8"/>
    <x v="2"/>
    <s v="COGS"/>
    <x v="0"/>
    <m/>
    <m/>
    <m/>
    <m/>
    <x v="12"/>
    <m/>
    <m/>
    <s v="Defense White Paper Appendix"/>
    <m/>
  </r>
  <r>
    <x v="1"/>
    <x v="8"/>
    <s v="Europe and Central Asia"/>
    <s v="Comprehensive Strategic Partnership [全面战略伙伴关系]"/>
    <x v="5"/>
    <s v="EUCOM"/>
    <x v="21"/>
    <x v="19"/>
    <n v="6"/>
    <s v="BL - Abroad"/>
    <s v="Ma Xiaotian"/>
    <m/>
    <s v="GSD DCGS"/>
    <n v="6"/>
    <x v="1"/>
    <s v="Defense Secretary"/>
    <x v="0"/>
    <m/>
    <m/>
    <m/>
    <m/>
    <x v="12"/>
    <m/>
    <m/>
    <s v="Defense White Paper Appendix"/>
    <m/>
  </r>
  <r>
    <x v="1"/>
    <x v="7"/>
    <s v="West Asia and Africa"/>
    <s v="No Specific Relationship"/>
    <x v="0"/>
    <s v="AFRICOM"/>
    <x v="86"/>
    <x v="19"/>
    <n v="6"/>
    <s v="BL - Hosted"/>
    <s v="Liang Guanglie"/>
    <m/>
    <s v="Defense Minister; CMC Member"/>
    <n v="8"/>
    <x v="2"/>
    <s v="Commander of the Defense Forces"/>
    <x v="0"/>
    <m/>
    <m/>
    <m/>
    <m/>
    <x v="12"/>
    <m/>
    <m/>
    <s v="Defense White Paper Appendix"/>
    <m/>
  </r>
  <r>
    <x v="1"/>
    <x v="7"/>
    <s v="West Asia and Africa"/>
    <s v="Strategic Partnership [战略伙伴关系]"/>
    <x v="0"/>
    <s v="AFRICOM"/>
    <x v="105"/>
    <x v="19"/>
    <n v="7"/>
    <s v="BL - Hosted"/>
    <s v="Liang Guanglie"/>
    <m/>
    <s v="Defense Minister; CMC Member"/>
    <n v="8"/>
    <x v="2"/>
    <s v="Defense Minister"/>
    <x v="0"/>
    <m/>
    <m/>
    <m/>
    <m/>
    <x v="12"/>
    <m/>
    <m/>
    <s v="Defense White Paper Appendix"/>
    <m/>
  </r>
  <r>
    <x v="1"/>
    <x v="8"/>
    <s v="Europe and Central Asia"/>
    <s v="Strategic Partnership [战略伙伴关系]"/>
    <x v="5"/>
    <s v="EUCOM"/>
    <x v="34"/>
    <x v="19"/>
    <n v="7"/>
    <s v="BL - Abroad"/>
    <s v="Jing Zhiyuan"/>
    <m/>
    <s v="PLASAF Commander; CMC Member"/>
    <n v="8"/>
    <x v="1"/>
    <m/>
    <x v="0"/>
    <m/>
    <m/>
    <m/>
    <m/>
    <x v="12"/>
    <m/>
    <m/>
    <s v="Defense White Paper Appendix"/>
    <m/>
  </r>
  <r>
    <x v="0"/>
    <x v="9"/>
    <s v="West Asia and Africa"/>
    <s v="Strategic Cooperative Partnership [战略合作伙伴关系]"/>
    <x v="1"/>
    <s v="CENTCOM"/>
    <x v="24"/>
    <x v="19"/>
    <n v="7"/>
    <s v="Port Call - Friendly Visit"/>
    <m/>
    <m/>
    <m/>
    <m/>
    <x v="0"/>
    <m/>
    <x v="0"/>
    <m/>
    <m/>
    <m/>
    <s v="ETF"/>
    <x v="34"/>
    <s v="South Sea Fleet"/>
    <s v="DDG168 Guangzhou, FFG568 Hengyang, AOR887 Weishan Hu"/>
    <m/>
    <m/>
  </r>
  <r>
    <x v="1"/>
    <x v="8"/>
    <s v="Europe and Central Asia"/>
    <s v="Strategic Partnership [战略伙伴关系]"/>
    <x v="5"/>
    <s v="EUCOM"/>
    <x v="18"/>
    <x v="19"/>
    <n v="7"/>
    <s v="BL - Abroad"/>
    <s v="Xu Qiliang"/>
    <m/>
    <s v="PLAAF Commander; CMC Member"/>
    <n v="8"/>
    <x v="1"/>
    <m/>
    <x v="0"/>
    <m/>
    <m/>
    <m/>
    <m/>
    <x v="12"/>
    <m/>
    <m/>
    <s v="Defense White Paper Appendix"/>
    <m/>
  </r>
  <r>
    <x v="1"/>
    <x v="8"/>
    <s v="Europe and Central Asia"/>
    <s v="No Specific Relationship"/>
    <x v="5"/>
    <s v="EUCOM"/>
    <x v="82"/>
    <x v="19"/>
    <n v="7"/>
    <s v="BL - Abroad"/>
    <s v="Jing Zhiyuan"/>
    <m/>
    <s v="PLASAF Commander; CMC Member"/>
    <n v="8"/>
    <x v="1"/>
    <m/>
    <x v="0"/>
    <m/>
    <m/>
    <m/>
    <m/>
    <x v="12"/>
    <m/>
    <m/>
    <s v="Defense White Paper Appendix"/>
    <m/>
  </r>
  <r>
    <x v="1"/>
    <x v="8"/>
    <s v="Europe and Central Asia"/>
    <s v="Comprehensive Strategic Partnership [全面战略伙伴关系]"/>
    <x v="5"/>
    <s v="EUCOM"/>
    <x v="20"/>
    <x v="19"/>
    <n v="7"/>
    <s v="BL - Hosted"/>
    <s v="Chen Bingde"/>
    <m/>
    <s v="GSD Commander; CMC Member"/>
    <n v="8"/>
    <x v="2"/>
    <s v="Chief of Navy Staff"/>
    <x v="0"/>
    <m/>
    <m/>
    <m/>
    <m/>
    <x v="12"/>
    <m/>
    <m/>
    <s v="Defense White Paper Appendix"/>
    <m/>
  </r>
  <r>
    <x v="1"/>
    <x v="8"/>
    <s v="Europe and Central Asia"/>
    <s v="No Specific Relationship"/>
    <x v="5"/>
    <s v="EUCOM"/>
    <x v="37"/>
    <x v="19"/>
    <n v="7"/>
    <s v="BL - Abroad"/>
    <s v="Ma Xiaotian"/>
    <m/>
    <s v="GSD DCGS"/>
    <n v="6"/>
    <x v="1"/>
    <m/>
    <x v="0"/>
    <m/>
    <m/>
    <m/>
    <m/>
    <x v="12"/>
    <m/>
    <m/>
    <s v="Defense White Paper Appendix"/>
    <m/>
  </r>
  <r>
    <x v="2"/>
    <x v="0"/>
    <s v="Asia"/>
    <s v="Strategic Partnership [战略伙伴关系]"/>
    <x v="1"/>
    <s v="CENTCOM"/>
    <x v="2"/>
    <x v="19"/>
    <n v="7"/>
    <s v="Military Exercise - Bilateral"/>
    <m/>
    <m/>
    <m/>
    <m/>
    <x v="0"/>
    <m/>
    <x v="1"/>
    <s v="Friendship 2010"/>
    <s v="Army"/>
    <s v="Anti-terrorism"/>
    <m/>
    <x v="12"/>
    <m/>
    <m/>
    <s v="Defense White Paper Appendix"/>
    <m/>
  </r>
  <r>
    <x v="1"/>
    <x v="9"/>
    <s v="West Asia and Africa"/>
    <s v="No Specific Relationship"/>
    <x v="0"/>
    <s v="CENTCOM"/>
    <x v="131"/>
    <x v="19"/>
    <n v="7"/>
    <s v="BL - Hosted"/>
    <s v="Chen Bingde"/>
    <m/>
    <s v="GSD Commander; CMC Member"/>
    <n v="8"/>
    <x v="2"/>
    <s v="Chief of the General Staff of the Armed Forces"/>
    <x v="0"/>
    <m/>
    <m/>
    <m/>
    <m/>
    <x v="12"/>
    <m/>
    <m/>
    <s v="Defense White Paper Appendix"/>
    <m/>
  </r>
  <r>
    <x v="1"/>
    <x v="3"/>
    <s v="Europe and Central Asia"/>
    <s v="Strategic Partnership of Coordination [战略协作伙伴关系]"/>
    <x v="0"/>
    <s v="EUCOM"/>
    <x v="7"/>
    <x v="19"/>
    <n v="7"/>
    <s v="BL - Abroad"/>
    <s v="Ma Xiaotian"/>
    <m/>
    <s v="GSD DCGS"/>
    <n v="6"/>
    <x v="1"/>
    <m/>
    <x v="0"/>
    <m/>
    <m/>
    <m/>
    <m/>
    <x v="12"/>
    <m/>
    <m/>
    <s v="Defense White Paper Appendix"/>
    <m/>
  </r>
  <r>
    <x v="1"/>
    <x v="1"/>
    <s v="Asia"/>
    <s v="No Specific Relationship"/>
    <x v="0"/>
    <s v="INDOPACOM"/>
    <x v="39"/>
    <x v="19"/>
    <n v="7"/>
    <s v="BL - Hosted"/>
    <s v="Chen Bingde"/>
    <m/>
    <s v="GSD Commander; CMC Member"/>
    <n v="8"/>
    <x v="2"/>
    <s v="Permanent Secretary of Ministry of Defense"/>
    <x v="0"/>
    <m/>
    <m/>
    <m/>
    <m/>
    <x v="12"/>
    <m/>
    <m/>
    <s v="Defense White Paper Appendix"/>
    <m/>
  </r>
  <r>
    <x v="1"/>
    <x v="5"/>
    <s v="America and Oceania"/>
    <s v="No Specific Relationship"/>
    <x v="0"/>
    <s v="INDOPACOM"/>
    <x v="144"/>
    <x v="19"/>
    <n v="7"/>
    <s v="BL - Hosted"/>
    <s v="Chen Bingde"/>
    <m/>
    <s v="GSD Commander; CMC Member"/>
    <n v="8"/>
    <x v="2"/>
    <s v="Commander of the Defense Services"/>
    <x v="0"/>
    <m/>
    <m/>
    <m/>
    <m/>
    <x v="12"/>
    <m/>
    <m/>
    <s v="Defense White Paper Appendix"/>
    <m/>
  </r>
  <r>
    <x v="0"/>
    <x v="9"/>
    <s v="West Asia and Africa"/>
    <s v="No Specific Relationship"/>
    <x v="0"/>
    <s v="CENTCOM"/>
    <x v="135"/>
    <x v="19"/>
    <n v="7"/>
    <s v="Port Call - Replenish/Overhaul"/>
    <m/>
    <m/>
    <m/>
    <m/>
    <x v="0"/>
    <m/>
    <x v="0"/>
    <m/>
    <m/>
    <m/>
    <s v="ETF"/>
    <x v="35"/>
    <s v="South Sea Fleet"/>
    <s v="LPD998 Kunlun Shan, DDG170 Lanzhou, AOR887 Weishan Hu;uncertain, could be ETF-5"/>
    <m/>
    <m/>
  </r>
  <r>
    <x v="1"/>
    <x v="10"/>
    <s v="America and Oceania"/>
    <s v="Strategic Partnership [战略伙伴关系]"/>
    <x v="1"/>
    <s v="SOUTHCOM"/>
    <x v="62"/>
    <x v="19"/>
    <n v="8"/>
    <s v="BL - Abroad"/>
    <s v="Ma Xiaotian"/>
    <m/>
    <s v="GSD DCGS"/>
    <n v="6"/>
    <x v="1"/>
    <m/>
    <x v="0"/>
    <m/>
    <m/>
    <m/>
    <m/>
    <x v="12"/>
    <m/>
    <m/>
    <s v="Defense White Paper Appendix"/>
    <m/>
  </r>
  <r>
    <x v="1"/>
    <x v="8"/>
    <s v="Europe and Central Asia"/>
    <s v="Strategic Partnership [战略伙伴关系]"/>
    <x v="5"/>
    <s v="EUCOM"/>
    <x v="34"/>
    <x v="19"/>
    <n v="8"/>
    <s v="BL - Abroad"/>
    <s v="Ma Xiaotian"/>
    <m/>
    <s v="GSD DCGS"/>
    <n v="6"/>
    <x v="1"/>
    <m/>
    <x v="0"/>
    <m/>
    <m/>
    <m/>
    <m/>
    <x v="12"/>
    <m/>
    <m/>
    <s v="Defense White Paper Appendix"/>
    <m/>
  </r>
  <r>
    <x v="1"/>
    <x v="10"/>
    <s v="America and Oceania"/>
    <s v="No Specific Relationship"/>
    <x v="0"/>
    <s v="SOUTHCOM"/>
    <x v="42"/>
    <x v="19"/>
    <n v="8"/>
    <s v="BL - Hosted"/>
    <s v="Guo Boxiong"/>
    <m/>
    <s v="CMC Vice Chairman"/>
    <n v="10"/>
    <x v="2"/>
    <s v="Defense Minister"/>
    <x v="0"/>
    <m/>
    <m/>
    <m/>
    <m/>
    <x v="12"/>
    <m/>
    <m/>
    <s v="Defense White Paper Appendix"/>
    <m/>
  </r>
  <r>
    <x v="1"/>
    <x v="10"/>
    <s v="America and Oceania"/>
    <s v="Comprehensive Strategic Partnership [全面战略伙伴关系]"/>
    <x v="0"/>
    <s v="SOUTHCOM"/>
    <x v="43"/>
    <x v="19"/>
    <n v="8"/>
    <s v="BL - Abroad"/>
    <s v="Liang Guanglie"/>
    <m/>
    <s v="Defense Minister; CMC Member"/>
    <n v="8"/>
    <x v="1"/>
    <s v="Defense Minister"/>
    <x v="0"/>
    <m/>
    <m/>
    <m/>
    <m/>
    <x v="12"/>
    <m/>
    <m/>
    <s v="Defense White Paper Appendix"/>
    <m/>
  </r>
  <r>
    <x v="1"/>
    <x v="10"/>
    <s v="America and Oceania"/>
    <s v="Comprehensive Partnership [全面伙伴关系]"/>
    <x v="0"/>
    <s v="SOUTHCOM"/>
    <x v="66"/>
    <x v="19"/>
    <n v="8"/>
    <s v="BL - Abroad"/>
    <s v="Li Jinai"/>
    <m/>
    <s v="GPD Director; CMC Member"/>
    <n v="8"/>
    <x v="1"/>
    <m/>
    <x v="0"/>
    <m/>
    <m/>
    <m/>
    <m/>
    <x v="12"/>
    <m/>
    <m/>
    <s v="Defense White Paper Appendix"/>
    <m/>
  </r>
  <r>
    <x v="1"/>
    <x v="10"/>
    <s v="America and Oceania"/>
    <s v="No Specific Relationship"/>
    <x v="0"/>
    <s v="SOUTHCOM"/>
    <x v="45"/>
    <x v="19"/>
    <n v="8"/>
    <s v="BL - Abroad"/>
    <s v="Liang Guanglie"/>
    <m/>
    <s v="Defense Minister; CMC Member"/>
    <n v="8"/>
    <x v="1"/>
    <m/>
    <x v="0"/>
    <m/>
    <m/>
    <m/>
    <m/>
    <x v="12"/>
    <m/>
    <m/>
    <s v="Defense White Paper Appendix"/>
    <m/>
  </r>
  <r>
    <x v="1"/>
    <x v="8"/>
    <s v="Europe and Central Asia"/>
    <s v="Comprehensive Cooperative Partnership [全面合作伙伴关系]"/>
    <x v="5"/>
    <s v="EUCOM"/>
    <x v="35"/>
    <x v="19"/>
    <n v="8"/>
    <s v="BL - Abroad"/>
    <s v="Ma Xiaotian"/>
    <m/>
    <s v="GSD DCGS"/>
    <n v="6"/>
    <x v="1"/>
    <m/>
    <x v="0"/>
    <m/>
    <m/>
    <m/>
    <m/>
    <x v="12"/>
    <m/>
    <m/>
    <s v="Defense White Paper Appendix"/>
    <m/>
  </r>
  <r>
    <x v="1"/>
    <x v="8"/>
    <s v="Europe and Central Asia"/>
    <s v="Comprehensive Strategic Partnership [全面战略伙伴关系]"/>
    <x v="5"/>
    <s v="EUCOM"/>
    <x v="29"/>
    <x v="19"/>
    <n v="8"/>
    <s v="BL - Hosted"/>
    <s v="Xu Qiliang"/>
    <m/>
    <s v="PLAAF Commander; CMC Member"/>
    <n v="8"/>
    <x v="2"/>
    <s v="Air Force COGS"/>
    <x v="0"/>
    <m/>
    <m/>
    <m/>
    <m/>
    <x v="12"/>
    <m/>
    <m/>
    <s v="Defense White Paper Appendix"/>
    <m/>
  </r>
  <r>
    <x v="0"/>
    <x v="8"/>
    <s v="Europe and Central Asia"/>
    <s v="Comprehensive Strategic Partnership [全面战略伙伴关系]"/>
    <x v="5"/>
    <s v="EUCOM"/>
    <x v="20"/>
    <x v="19"/>
    <n v="8"/>
    <s v="Port Call - Friendly Visit and Drills"/>
    <m/>
    <m/>
    <m/>
    <m/>
    <x v="0"/>
    <m/>
    <x v="0"/>
    <m/>
    <m/>
    <m/>
    <s v="ETF"/>
    <x v="34"/>
    <s v="South Sea Fleet"/>
    <s v="DDG168 Guangzhou, FFG568 Hengyang, AOR887 Weishan Hu"/>
    <m/>
    <m/>
  </r>
  <r>
    <x v="2"/>
    <x v="8"/>
    <s v="Europe and Central Asia"/>
    <s v="Comprehensive Strategic Partnership [全面战略伙伴关系]"/>
    <x v="5"/>
    <s v="EUCOM"/>
    <x v="20"/>
    <x v="19"/>
    <n v="8"/>
    <s v="Military Exercise - Bilateral"/>
    <m/>
    <m/>
    <m/>
    <m/>
    <x v="0"/>
    <m/>
    <x v="5"/>
    <s v="Unknown Taranto 2010"/>
    <s v="Navy"/>
    <s v="Joint drills and friendly port call, Six Years at Sea p. 126"/>
    <m/>
    <x v="12"/>
    <m/>
    <m/>
    <s v="Defense White Paper Appendix"/>
    <m/>
  </r>
  <r>
    <x v="1"/>
    <x v="2"/>
    <s v="America and Oceania"/>
    <s v="Strategic Cooperative Partnership [战略合作伙伴关系]"/>
    <x v="0"/>
    <s v="NORTHCOM"/>
    <x v="77"/>
    <x v="19"/>
    <n v="8"/>
    <s v="BL - Abroad"/>
    <s v="Liang Guanglie"/>
    <m/>
    <s v="Defense Minister; CMC Member"/>
    <n v="8"/>
    <x v="1"/>
    <m/>
    <x v="0"/>
    <m/>
    <m/>
    <m/>
    <m/>
    <x v="12"/>
    <m/>
    <m/>
    <s v="Defense White Paper Appendix"/>
    <m/>
  </r>
  <r>
    <x v="1"/>
    <x v="4"/>
    <s v="Asia"/>
    <s v="No Specific Relationship"/>
    <x v="0"/>
    <s v="INDOPACOM"/>
    <x v="53"/>
    <x v="19"/>
    <n v="8"/>
    <s v="BL - Abroad"/>
    <s v="Ma Xiaotian"/>
    <m/>
    <s v="GSD DCGS"/>
    <n v="6"/>
    <x v="1"/>
    <m/>
    <x v="0"/>
    <m/>
    <m/>
    <m/>
    <m/>
    <x v="12"/>
    <m/>
    <m/>
    <s v="Defense White Paper Appendix"/>
    <m/>
  </r>
  <r>
    <x v="0"/>
    <x v="1"/>
    <s v="Asia"/>
    <s v="No Specific Relationship"/>
    <x v="0"/>
    <s v="INDOPACOM"/>
    <x v="1"/>
    <x v="19"/>
    <n v="8"/>
    <s v="Port Call - Friendly Visit"/>
    <m/>
    <m/>
    <m/>
    <m/>
    <x v="0"/>
    <m/>
    <x v="0"/>
    <m/>
    <m/>
    <m/>
    <s v="ETF"/>
    <x v="34"/>
    <s v="South Sea Fleet"/>
    <s v="DDG168 Guangzhou, FFG568 Hengyang, AOR887 Weishan Hu"/>
    <m/>
    <m/>
  </r>
  <r>
    <x v="1"/>
    <x v="5"/>
    <s v="America and Oceania"/>
    <s v="No Specific Relationship"/>
    <x v="4"/>
    <s v="INDOPACOM"/>
    <x v="13"/>
    <x v="19"/>
    <n v="8"/>
    <s v="BL - Hosted"/>
    <s v="Guo Boxiong"/>
    <m/>
    <s v="CMC Vice Chairman"/>
    <n v="10"/>
    <x v="2"/>
    <s v="Secretary of Defense"/>
    <x v="0"/>
    <m/>
    <m/>
    <m/>
    <m/>
    <x v="12"/>
    <m/>
    <m/>
    <s v="Defense White Paper Appendix"/>
    <m/>
  </r>
  <r>
    <x v="1"/>
    <x v="4"/>
    <s v="Asia"/>
    <s v="Bilateral Defense Treaty"/>
    <x v="0"/>
    <s v="INDOPACOM"/>
    <x v="9"/>
    <x v="19"/>
    <n v="8"/>
    <s v="BL - Abroad"/>
    <s v="Zhang Youxia"/>
    <m/>
    <s v="Shenyang MR Commander"/>
    <n v="6"/>
    <x v="1"/>
    <m/>
    <x v="0"/>
    <m/>
    <m/>
    <m/>
    <m/>
    <x v="12"/>
    <m/>
    <m/>
    <s v="Defense White Paper Appendix"/>
    <m/>
  </r>
  <r>
    <x v="0"/>
    <x v="9"/>
    <s v="West Asia and Africa"/>
    <s v="No Specific Relationship"/>
    <x v="0"/>
    <s v="CENTCOM"/>
    <x v="147"/>
    <x v="19"/>
    <n v="8"/>
    <s v="Port Call - Replenish/Overhaul"/>
    <m/>
    <m/>
    <m/>
    <m/>
    <x v="0"/>
    <m/>
    <x v="0"/>
    <m/>
    <m/>
    <m/>
    <s v="ETF"/>
    <x v="34"/>
    <s v="South Sea Fleet"/>
    <s v="DDG168 Guangzhou, FFG568 Hengyang, AOR887 Weishan Hu; uncertain, could also be ETF-6"/>
    <m/>
    <m/>
  </r>
  <r>
    <x v="1"/>
    <x v="8"/>
    <s v="Europe and Central Asia"/>
    <s v="Strategic Partnership [战略伙伴关系]"/>
    <x v="0"/>
    <s v="EUCOM"/>
    <x v="112"/>
    <x v="19"/>
    <n v="8"/>
    <s v="BL - Hosted"/>
    <s v="Liang Guanglie"/>
    <m/>
    <s v="Defense Minister; CMC Member"/>
    <n v="8"/>
    <x v="2"/>
    <s v="Defense Minister"/>
    <x v="0"/>
    <m/>
    <m/>
    <m/>
    <m/>
    <x v="12"/>
    <m/>
    <m/>
    <s v="Defense White Paper Appendix"/>
    <m/>
  </r>
  <r>
    <x v="1"/>
    <x v="1"/>
    <s v="Asia"/>
    <s v="Strategic Partnership [战略伙伴关系]"/>
    <x v="3"/>
    <s v="INDOPACOM"/>
    <x v="5"/>
    <x v="19"/>
    <n v="8"/>
    <s v="BL - Hosted"/>
    <s v="Ma Xiaotian"/>
    <m/>
    <s v="GSD DCGS"/>
    <n v="6"/>
    <x v="2"/>
    <s v="Permanent Secretary of Ministry of Defense"/>
    <x v="0"/>
    <m/>
    <m/>
    <m/>
    <m/>
    <x v="12"/>
    <m/>
    <m/>
    <s v="Defense White Paper Appendix"/>
    <m/>
  </r>
  <r>
    <x v="2"/>
    <x v="5"/>
    <s v="America and Oceania"/>
    <s v="No Specific Relationship"/>
    <x v="4"/>
    <s v="INDOPACOM"/>
    <x v="12"/>
    <x v="19"/>
    <n v="9"/>
    <s v="Military Exercise - Bilateral"/>
    <m/>
    <m/>
    <m/>
    <m/>
    <x v="0"/>
    <m/>
    <x v="3"/>
    <m/>
    <s v="Navy"/>
    <s v="SAREX in Yellow Sea; Included Live Fire exercise"/>
    <m/>
    <x v="12"/>
    <m/>
    <m/>
    <s v="https://www.voanews.com/a/australia-china-conduct-live-fire-naval-exercise-in-yellow-sea-103780194/126679.html; Defense White Paper Appendix"/>
    <m/>
  </r>
  <r>
    <x v="0"/>
    <x v="5"/>
    <s v="America and Oceania"/>
    <s v="No Specific Relationship"/>
    <x v="4"/>
    <s v="INDOPACOM"/>
    <x v="12"/>
    <x v="19"/>
    <n v="9"/>
    <s v="Port Call - Friendly Visit"/>
    <m/>
    <m/>
    <m/>
    <m/>
    <x v="0"/>
    <m/>
    <x v="0"/>
    <m/>
    <m/>
    <m/>
    <s v="NETF"/>
    <x v="36"/>
    <s v="North Sea Fleet"/>
    <s v=" training ship Zhenghe and frigate Mianyang in Sydney and Darwin"/>
    <s v="https://www.defenceiq.com/naval-maritime-defence/press-releases/people-s-republic-of-china-navy-visit-to-australia"/>
    <m/>
  </r>
  <r>
    <x v="1"/>
    <x v="8"/>
    <s v="Europe and Central Asia"/>
    <s v="Strategic Partnership [战略伙伴关系]"/>
    <x v="5"/>
    <s v="EUCOM"/>
    <x v="34"/>
    <x v="19"/>
    <n v="9"/>
    <s v="BL - Abroad"/>
    <s v="Wang Guosheng"/>
    <m/>
    <s v="Lanzhou MR Commander"/>
    <n v="6"/>
    <x v="1"/>
    <m/>
    <x v="0"/>
    <m/>
    <m/>
    <m/>
    <m/>
    <x v="12"/>
    <m/>
    <m/>
    <s v="Defense White Paper Appendix"/>
    <m/>
  </r>
  <r>
    <x v="1"/>
    <x v="10"/>
    <s v="America and Oceania"/>
    <s v="Comprehensive Strategic Partnership [全面战略伙伴关系]"/>
    <x v="0"/>
    <s v="SOUTHCOM"/>
    <x v="43"/>
    <x v="19"/>
    <n v="9"/>
    <s v="BL - Abroad"/>
    <s v="Liang Guanglie"/>
    <m/>
    <s v="Defense Minister; CMC Member"/>
    <n v="8"/>
    <x v="1"/>
    <s v="Defense Minister"/>
    <x v="0"/>
    <m/>
    <m/>
    <m/>
    <m/>
    <x v="12"/>
    <m/>
    <m/>
    <s v="Defense White Paper Appendix"/>
    <m/>
  </r>
  <r>
    <x v="1"/>
    <x v="1"/>
    <s v="Asia"/>
    <s v="Comprehensive Strategic Cooperative Partnership [全面战略合作伙伴关系]"/>
    <x v="0"/>
    <s v="INDOPACOM"/>
    <x v="94"/>
    <x v="19"/>
    <n v="9"/>
    <s v="BL - Hosted"/>
    <s v="Liang Guanglie"/>
    <m/>
    <s v="Defense Minister; CMC Member"/>
    <n v="8"/>
    <x v="2"/>
    <s v="Deputy Prime Minister and Defense Minister"/>
    <x v="0"/>
    <m/>
    <m/>
    <m/>
    <m/>
    <x v="12"/>
    <m/>
    <m/>
    <s v="Defense White Paper Appendix"/>
    <m/>
  </r>
  <r>
    <x v="1"/>
    <x v="10"/>
    <s v="America and Oceania"/>
    <s v="Comprehensive Partnership [全面伙伴关系]"/>
    <x v="0"/>
    <s v="SOUTHCOM"/>
    <x v="66"/>
    <x v="19"/>
    <n v="9"/>
    <s v="BL - Abroad"/>
    <s v="Li Jinai"/>
    <m/>
    <s v="GPD Director; CMC Member"/>
    <n v="8"/>
    <x v="1"/>
    <m/>
    <x v="0"/>
    <m/>
    <m/>
    <m/>
    <m/>
    <x v="12"/>
    <m/>
    <m/>
    <s v="Defense White Paper Appendix"/>
    <m/>
  </r>
  <r>
    <x v="0"/>
    <x v="9"/>
    <s v="West Asia and Africa"/>
    <s v="No Specific Relationship"/>
    <x v="0"/>
    <s v="CENTCOM"/>
    <x v="119"/>
    <x v="19"/>
    <n v="9"/>
    <s v="Port Call - Replenish/Overhaul"/>
    <m/>
    <m/>
    <m/>
    <m/>
    <x v="0"/>
    <m/>
    <x v="0"/>
    <m/>
    <m/>
    <m/>
    <s v="ETF"/>
    <x v="35"/>
    <s v="South Sea Fleet"/>
    <s v="LPD998 Kunlun Shan, DDG170 Lanzhou, AOR887 Weishan Hu"/>
    <m/>
    <m/>
  </r>
  <r>
    <x v="1"/>
    <x v="9"/>
    <s v="West Asia and Africa"/>
    <s v="Strategic Cooperative Partnership [战略合作伙伴关系]"/>
    <x v="1"/>
    <s v="CENTCOM"/>
    <x v="24"/>
    <x v="19"/>
    <n v="9"/>
    <s v="BL - Abroad"/>
    <s v="Ma Xiaotian"/>
    <m/>
    <s v="GSD DCGS"/>
    <n v="6"/>
    <x v="1"/>
    <m/>
    <x v="0"/>
    <m/>
    <m/>
    <m/>
    <m/>
    <x v="12"/>
    <m/>
    <m/>
    <s v="Defense White Paper Appendix"/>
    <m/>
  </r>
  <r>
    <x v="1"/>
    <x v="9"/>
    <s v="West Asia and Africa"/>
    <s v="No Specific Relationship"/>
    <x v="1"/>
    <s v="CENTCOM"/>
    <x v="101"/>
    <x v="19"/>
    <n v="9"/>
    <s v="BL - Abroad"/>
    <s v="Ma Xiaotian"/>
    <m/>
    <s v="GSD DCGS"/>
    <n v="6"/>
    <x v="1"/>
    <m/>
    <x v="0"/>
    <m/>
    <m/>
    <m/>
    <m/>
    <x v="12"/>
    <m/>
    <m/>
    <s v="Defense White Paper Appendix"/>
    <m/>
  </r>
  <r>
    <x v="1"/>
    <x v="6"/>
    <s v="Europe and Central Asia"/>
    <s v="Strategic Partnership [战略伙伴关系]"/>
    <x v="0"/>
    <s v="CENTCOM"/>
    <x v="30"/>
    <x v="19"/>
    <n v="9"/>
    <s v="BL - Abroad"/>
    <s v="Chen Bingde"/>
    <m/>
    <s v="GSD Commander; CMC Member"/>
    <n v="8"/>
    <x v="1"/>
    <m/>
    <x v="0"/>
    <m/>
    <m/>
    <m/>
    <m/>
    <x v="12"/>
    <m/>
    <m/>
    <s v="Defense White Paper Appendix"/>
    <m/>
  </r>
  <r>
    <x v="1"/>
    <x v="7"/>
    <s v="West Asia and Africa"/>
    <s v="No Specific Relationship"/>
    <x v="0"/>
    <s v="AFRICOM"/>
    <x v="47"/>
    <x v="19"/>
    <n v="9"/>
    <s v="BL - Abroad"/>
    <s v="Sun Dafa"/>
    <m/>
    <s v="GLD Political Commissar"/>
    <n v="6"/>
    <x v="1"/>
    <m/>
    <x v="0"/>
    <m/>
    <m/>
    <m/>
    <m/>
    <x v="12"/>
    <m/>
    <m/>
    <s v="Defense White Paper Appendix"/>
    <m/>
  </r>
  <r>
    <x v="1"/>
    <x v="9"/>
    <s v="West Asia and Africa"/>
    <s v="No Specific Relationship"/>
    <x v="1"/>
    <s v="CENTCOM"/>
    <x v="72"/>
    <x v="19"/>
    <n v="9"/>
    <s v="BL - Hosted"/>
    <s v="Sun Jianguo"/>
    <m/>
    <s v="GSD DCGS"/>
    <n v="6"/>
    <x v="2"/>
    <s v="Assistant to COGS"/>
    <x v="0"/>
    <m/>
    <m/>
    <m/>
    <m/>
    <x v="12"/>
    <m/>
    <m/>
    <s v="Defense White Paper Appendix"/>
    <m/>
  </r>
  <r>
    <x v="1"/>
    <x v="1"/>
    <s v="Asia"/>
    <s v="Strategic Cooperative Partnership [战略合作伙伴关系]"/>
    <x v="0"/>
    <s v="INDOPACOM"/>
    <x v="10"/>
    <x v="19"/>
    <n v="9"/>
    <s v="BL - Abroad"/>
    <s v="Sun Dafa"/>
    <m/>
    <s v="GLD Political Commissar"/>
    <n v="6"/>
    <x v="1"/>
    <m/>
    <x v="0"/>
    <m/>
    <m/>
    <m/>
    <m/>
    <x v="12"/>
    <m/>
    <m/>
    <s v="Defense White Paper Appendix"/>
    <m/>
  </r>
  <r>
    <x v="1"/>
    <x v="5"/>
    <s v="America and Oceania"/>
    <s v="No Specific Relationship"/>
    <x v="4"/>
    <s v="INDOPACOM"/>
    <x v="13"/>
    <x v="19"/>
    <n v="9"/>
    <s v="BL - Abroad"/>
    <s v="Li Jinai"/>
    <m/>
    <s v="GPD Director; CMC Member"/>
    <n v="8"/>
    <x v="1"/>
    <m/>
    <x v="0"/>
    <m/>
    <m/>
    <m/>
    <m/>
    <x v="12"/>
    <m/>
    <m/>
    <s v="Defense White Paper Appendix"/>
    <m/>
  </r>
  <r>
    <x v="0"/>
    <x v="5"/>
    <s v="America and Oceania"/>
    <s v="No Specific Relationship"/>
    <x v="4"/>
    <s v="INDOPACOM"/>
    <x v="13"/>
    <x v="19"/>
    <n v="9"/>
    <s v="Port Call - Friendly Visit"/>
    <m/>
    <m/>
    <m/>
    <m/>
    <x v="0"/>
    <m/>
    <x v="0"/>
    <m/>
    <m/>
    <m/>
    <s v="NETF"/>
    <x v="36"/>
    <s v="North Sea Fleet"/>
    <s v=" training ship Zhenghe and frigate Mianyang in Auckland"/>
    <s v="http://www.china.org.cn/world/2010-09/11/content_20910137.htm"/>
    <m/>
  </r>
  <r>
    <x v="1"/>
    <x v="0"/>
    <s v="Asia"/>
    <s v="Strategic Partnership [战略伙伴关系]"/>
    <x v="1"/>
    <s v="CENTCOM"/>
    <x v="2"/>
    <x v="19"/>
    <n v="9"/>
    <s v="BL - Hosted"/>
    <s v="Ma Xiaotian"/>
    <m/>
    <s v="GSD DCGS"/>
    <n v="6"/>
    <x v="2"/>
    <s v="Chief of Naval Staff"/>
    <x v="0"/>
    <m/>
    <m/>
    <m/>
    <m/>
    <x v="12"/>
    <m/>
    <m/>
    <s v="Defense White Paper Appendix"/>
    <m/>
  </r>
  <r>
    <x v="2"/>
    <x v="6"/>
    <s v="Europe and Central Asia"/>
    <s v="Member"/>
    <x v="0"/>
    <s v="CENTCOM"/>
    <x v="14"/>
    <x v="19"/>
    <n v="9"/>
    <s v="Military Exercise - Multilateral"/>
    <m/>
    <m/>
    <m/>
    <m/>
    <x v="0"/>
    <m/>
    <x v="3"/>
    <s v="Peace Mission 2010"/>
    <s v="Joint"/>
    <s v="Army, Navy, Air Force, SOF; anti-terrorism. Other countries: Kazakhstan, Kyrgyzstan, Russia, Tajikistan. Drills in  Kazakhstan from Sept. 9 to 25 "/>
    <m/>
    <x v="12"/>
    <m/>
    <m/>
    <s v="https://jamestown.org/program/chinas-growing-clout-in-the-sco-peace-mission-2010/"/>
    <m/>
  </r>
  <r>
    <x v="0"/>
    <x v="1"/>
    <s v="Asia"/>
    <s v="No Specific Relationship"/>
    <x v="0"/>
    <s v="INDOPACOM"/>
    <x v="39"/>
    <x v="19"/>
    <n v="9"/>
    <s v="Port Call - Replenish/Overhaul and Drills"/>
    <m/>
    <m/>
    <m/>
    <m/>
    <x v="0"/>
    <m/>
    <x v="0"/>
    <m/>
    <m/>
    <m/>
    <s v="ETF"/>
    <x v="34"/>
    <s v="South Sea Fleet"/>
    <s v="DDG168 Guangzhou, FFG568 Hengyang, AOR887 Weishan Hu"/>
    <m/>
    <m/>
  </r>
  <r>
    <x v="2"/>
    <x v="1"/>
    <s v="Asia"/>
    <s v="No Specific Relationship"/>
    <x v="0"/>
    <s v="INDOPACOM"/>
    <x v="39"/>
    <x v="19"/>
    <n v="9"/>
    <s v="Military Exercise - Bilateral"/>
    <m/>
    <m/>
    <m/>
    <m/>
    <x v="0"/>
    <m/>
    <x v="4"/>
    <s v="Cooperation 2010"/>
    <s v="Navy"/>
    <s v="Changji 5-7 Sept. 2010, anti-piracy ETF joint drills, friendly visit, and replenish/overhaul; Six Years p. 131"/>
    <m/>
    <x v="12"/>
    <m/>
    <m/>
    <s v="Defense White Paper Appendix"/>
    <m/>
  </r>
  <r>
    <x v="1"/>
    <x v="0"/>
    <s v="Asia"/>
    <s v="Comprehensive Cooperative Partnership [全面合作伙伴关系]"/>
    <x v="0"/>
    <s v="INDOPACOM"/>
    <x v="3"/>
    <x v="19"/>
    <n v="9"/>
    <s v="BL - Hosted"/>
    <s v="Chen Bingde"/>
    <m/>
    <s v="GSD Commander; CMC Member"/>
    <n v="8"/>
    <x v="2"/>
    <s v="Permanent Secretary of Ministry of Defense"/>
    <x v="0"/>
    <m/>
    <m/>
    <m/>
    <m/>
    <x v="12"/>
    <m/>
    <m/>
    <s v="Defense White Paper Appendix"/>
    <m/>
  </r>
  <r>
    <x v="1"/>
    <x v="8"/>
    <s v="Europe and Central Asia"/>
    <s v="No Specific Relationship"/>
    <x v="0"/>
    <s v="EUCOM"/>
    <x v="78"/>
    <x v="19"/>
    <n v="9"/>
    <s v="BL - Hosted"/>
    <s v="Chen Bingde"/>
    <m/>
    <s v="GSD Commander; CMC Member"/>
    <n v="8"/>
    <x v="2"/>
    <s v="Chief of the Armed Forces"/>
    <x v="0"/>
    <m/>
    <m/>
    <m/>
    <m/>
    <x v="12"/>
    <m/>
    <m/>
    <s v="Defense White Paper Appendix"/>
    <m/>
  </r>
  <r>
    <x v="1"/>
    <x v="1"/>
    <s v="Asia"/>
    <s v="Strategic Partnership [战略伙伴关系]"/>
    <x v="3"/>
    <s v="INDOPACOM"/>
    <x v="5"/>
    <x v="19"/>
    <n v="9"/>
    <s v="BL - Hosted"/>
    <s v="Liang Guanglie"/>
    <m/>
    <s v="Defense Minister; CMC Member"/>
    <n v="8"/>
    <x v="2"/>
    <s v="CinC Air Force"/>
    <x v="0"/>
    <m/>
    <m/>
    <m/>
    <m/>
    <x v="12"/>
    <m/>
    <m/>
    <s v="Defense White Paper Appendix"/>
    <m/>
  </r>
  <r>
    <x v="2"/>
    <x v="8"/>
    <s v="Europe and Central Asia"/>
    <s v="Strategic Cooperative Partnership [战略合作伙伴关系]"/>
    <x v="5"/>
    <s v="EUCOM"/>
    <x v="38"/>
    <x v="19"/>
    <n v="9"/>
    <s v="Military Exercise - Bilateral"/>
    <m/>
    <m/>
    <m/>
    <m/>
    <x v="0"/>
    <m/>
    <x v="3"/>
    <s v="Anatolian Eagle"/>
    <s v="Air Force"/>
    <s v="Operational aerial maneuvers"/>
    <m/>
    <x v="12"/>
    <m/>
    <m/>
    <s v="Defense White Paper Appendix"/>
    <m/>
  </r>
  <r>
    <x v="1"/>
    <x v="1"/>
    <s v="Asia"/>
    <s v="Strategic Partnership [战略伙伴关系] for Peace and Prosperity"/>
    <x v="0"/>
    <s v="INDOPACOM"/>
    <x v="153"/>
    <x v="19"/>
    <n v="10"/>
    <s v="ML - Abroad"/>
    <s v="Liang Guanglie"/>
    <m/>
    <s v="Defense Minister; CMC Member"/>
    <n v="8"/>
    <x v="1"/>
    <s v="1st ADMM+"/>
    <x v="0"/>
    <m/>
    <m/>
    <m/>
    <m/>
    <x v="12"/>
    <m/>
    <m/>
    <s v="http://www.asean-china-center.org/english/2010-10/13/c_13555726.htm"/>
    <s v="corrected partnership to strategic partnership for peace and prosperity"/>
  </r>
  <r>
    <x v="1"/>
    <x v="8"/>
    <s v="Europe and Central Asia"/>
    <s v="No Specific Relationship"/>
    <x v="5"/>
    <s v="EUCOM"/>
    <x v="108"/>
    <x v="19"/>
    <n v="10"/>
    <s v="BL - Hosted"/>
    <s v="Ma Xiaotian"/>
    <m/>
    <s v="GSD DCGS"/>
    <n v="6"/>
    <x v="2"/>
    <s v="Director Security Policy Directorate"/>
    <x v="0"/>
    <m/>
    <m/>
    <m/>
    <m/>
    <x v="12"/>
    <m/>
    <m/>
    <s v="Defense White Paper Appendix"/>
    <m/>
  </r>
  <r>
    <x v="1"/>
    <x v="8"/>
    <s v="Europe and Central Asia"/>
    <s v="No Specific Relationship"/>
    <x v="0"/>
    <s v="EUCOM"/>
    <x v="57"/>
    <x v="19"/>
    <n v="10"/>
    <s v="BL - Hosted"/>
    <s v="Chen Bingde"/>
    <m/>
    <s v="GSD Commander; CMC Member"/>
    <n v="8"/>
    <x v="2"/>
    <s v="Defense Minister"/>
    <x v="0"/>
    <m/>
    <m/>
    <m/>
    <m/>
    <x v="12"/>
    <m/>
    <m/>
    <s v="Defense White Paper Appendix"/>
    <m/>
  </r>
  <r>
    <x v="1"/>
    <x v="8"/>
    <s v="Europe and Central Asia"/>
    <s v="No Specific Relationship"/>
    <x v="0"/>
    <s v="EUCOM"/>
    <x v="57"/>
    <x v="19"/>
    <n v="10"/>
    <s v="BL - Hosted"/>
    <s v="Xu Caihou"/>
    <m/>
    <s v="CMC Vice Chairman"/>
    <n v="10"/>
    <x v="2"/>
    <s v="Defense Minister"/>
    <x v="0"/>
    <m/>
    <m/>
    <m/>
    <m/>
    <x v="12"/>
    <m/>
    <m/>
    <s v="Defense White Paper Appendix"/>
    <m/>
  </r>
  <r>
    <x v="1"/>
    <x v="8"/>
    <s v="Europe and Central Asia"/>
    <s v="No Specific Relationship"/>
    <x v="0"/>
    <s v="EUCOM"/>
    <x v="79"/>
    <x v="19"/>
    <n v="10"/>
    <s v="BL - Abroad"/>
    <s v="Ma Xiaotian"/>
    <m/>
    <s v="GSD DCGS"/>
    <n v="6"/>
    <x v="1"/>
    <m/>
    <x v="0"/>
    <m/>
    <m/>
    <m/>
    <m/>
    <x v="12"/>
    <m/>
    <m/>
    <s v="Defense White Paper Appendix"/>
    <m/>
  </r>
  <r>
    <x v="1"/>
    <x v="8"/>
    <s v="Europe and Central Asia"/>
    <s v="No Specific Relationship"/>
    <x v="0"/>
    <s v="EUCOM"/>
    <x v="81"/>
    <x v="19"/>
    <n v="10"/>
    <s v="BL - Hosted"/>
    <s v="Ma Xiaotian"/>
    <m/>
    <s v="GSD DCGS"/>
    <n v="6"/>
    <x v="2"/>
    <s v="Director Planning and Policy Bureau, National Defense Staff"/>
    <x v="0"/>
    <m/>
    <m/>
    <m/>
    <m/>
    <x v="12"/>
    <m/>
    <m/>
    <s v="Defense White Paper Appendix"/>
    <m/>
  </r>
  <r>
    <x v="1"/>
    <x v="8"/>
    <s v="Europe and Central Asia"/>
    <s v="Comprehensive Strategic Partnership [全面战略伙伴关系]"/>
    <x v="5"/>
    <s v="EUCOM"/>
    <x v="20"/>
    <x v="19"/>
    <n v="10"/>
    <s v="BL - Hosted"/>
    <s v="Liang Guanglie"/>
    <m/>
    <s v="Defense Minister; CMC Member"/>
    <n v="8"/>
    <x v="2"/>
    <s v="Chief of Defense Staff"/>
    <x v="0"/>
    <m/>
    <m/>
    <m/>
    <m/>
    <x v="12"/>
    <m/>
    <m/>
    <s v="Defense White Paper Appendix"/>
    <m/>
  </r>
  <r>
    <x v="1"/>
    <x v="4"/>
    <s v="Asia"/>
    <s v="Mutually Beneficial Strategic Relationship [战略互惠关系]"/>
    <x v="3"/>
    <s v="INDOPACOM"/>
    <x v="83"/>
    <x v="19"/>
    <n v="10"/>
    <s v="ML - Margins"/>
    <s v="Liang Guanglie"/>
    <m/>
    <s v="Defense Minister; CMC Member"/>
    <n v="8"/>
    <x v="1"/>
    <s v="Defense Minister"/>
    <x v="0"/>
    <m/>
    <m/>
    <m/>
    <m/>
    <x v="12"/>
    <m/>
    <m/>
    <s v="Defense White Paper Appendix"/>
    <s v="On Margins of ADMM+ meeting in Hanoi"/>
  </r>
  <r>
    <x v="0"/>
    <x v="7"/>
    <s v="West Asia and Africa"/>
    <s v="No Specific Relationship"/>
    <x v="0"/>
    <s v="AFRICOM"/>
    <x v="47"/>
    <x v="19"/>
    <n v="10"/>
    <s v="Port Call - HADR/Friendly"/>
    <m/>
    <m/>
    <m/>
    <m/>
    <x v="0"/>
    <m/>
    <x v="0"/>
    <m/>
    <m/>
    <m/>
    <s v="NETF"/>
    <x v="37"/>
    <s v="East Sea Fleet"/>
    <m/>
    <m/>
    <s v="recoded to delete drills"/>
  </r>
  <r>
    <x v="1"/>
    <x v="1"/>
    <s v="Asia"/>
    <s v="Comprehensive Strategic Cooperative Partnership [全面战略合作伙伴关系]"/>
    <x v="0"/>
    <s v="INDOPACOM"/>
    <x v="52"/>
    <x v="19"/>
    <n v="10"/>
    <s v="ML - Margins"/>
    <s v="Liang Guanglie"/>
    <m/>
    <s v="Defense Minister; CMC Member"/>
    <n v="8"/>
    <x v="1"/>
    <s v="Deputy Prime Minister and Defense Minister"/>
    <x v="0"/>
    <m/>
    <m/>
    <m/>
    <m/>
    <x v="12"/>
    <m/>
    <m/>
    <s v="Defense White Paper Appendix"/>
    <s v="On Margins of ADMM+ meeting in Hanoi"/>
  </r>
  <r>
    <x v="1"/>
    <x v="4"/>
    <s v="Asia"/>
    <s v="Bilateral Defense Treaty"/>
    <x v="0"/>
    <s v="INDOPACOM"/>
    <x v="9"/>
    <x v="19"/>
    <n v="10"/>
    <s v="BL - Abroad"/>
    <s v="Guo Boxiong"/>
    <m/>
    <s v="CMC Vice Chairman"/>
    <n v="10"/>
    <x v="1"/>
    <s v="KPA Vice Marshal, Vice Chairman CMC and COGS KPA"/>
    <x v="0"/>
    <m/>
    <m/>
    <m/>
    <m/>
    <x v="12"/>
    <m/>
    <m/>
    <s v="Defense White Paper Appendix"/>
    <m/>
  </r>
  <r>
    <x v="1"/>
    <x v="8"/>
    <s v="Europe and Central Asia"/>
    <s v="No Specific Relationship"/>
    <x v="5"/>
    <s v="EUCOM"/>
    <x v="59"/>
    <x v="19"/>
    <n v="10"/>
    <s v="BL - Hosted"/>
    <s v="Liang Guanglie"/>
    <m/>
    <s v="Defense Minister; CMC Member"/>
    <n v="8"/>
    <x v="2"/>
    <s v="COGS"/>
    <x v="0"/>
    <m/>
    <m/>
    <m/>
    <m/>
    <x v="12"/>
    <m/>
    <m/>
    <s v="Defense White Paper Appendix"/>
    <m/>
  </r>
  <r>
    <x v="1"/>
    <x v="8"/>
    <s v="Europe and Central Asia"/>
    <s v="No Specific Relationship"/>
    <x v="5"/>
    <s v="EUCOM"/>
    <x v="59"/>
    <x v="19"/>
    <n v="10"/>
    <s v="BL - Abroad"/>
    <s v="Ma Xiaotian"/>
    <m/>
    <s v="GSD DCGS"/>
    <n v="6"/>
    <x v="1"/>
    <m/>
    <x v="0"/>
    <m/>
    <m/>
    <m/>
    <m/>
    <x v="12"/>
    <m/>
    <m/>
    <s v="Defense White Paper Appendix"/>
    <m/>
  </r>
  <r>
    <x v="1"/>
    <x v="7"/>
    <s v="West Asia and Africa"/>
    <s v="No Specific Relationship"/>
    <x v="0"/>
    <s v="AFRICOM"/>
    <x v="129"/>
    <x v="19"/>
    <n v="10"/>
    <s v="BL - Hosted"/>
    <s v="Liang Guanglie"/>
    <m/>
    <s v="Defense Minister; CMC Member"/>
    <n v="8"/>
    <x v="2"/>
    <s v="Defense Minister"/>
    <x v="0"/>
    <m/>
    <m/>
    <m/>
    <m/>
    <x v="12"/>
    <m/>
    <m/>
    <s v="Defense White Paper Appendix"/>
    <m/>
  </r>
  <r>
    <x v="0"/>
    <x v="7"/>
    <s v="West Asia and Africa"/>
    <s v="No Specific Relationship"/>
    <x v="0"/>
    <s v="AFRICOM"/>
    <x v="139"/>
    <x v="19"/>
    <n v="10"/>
    <s v="Port Call - HADR/Friendly"/>
    <m/>
    <m/>
    <m/>
    <m/>
    <x v="0"/>
    <m/>
    <x v="0"/>
    <m/>
    <m/>
    <m/>
    <s v="NETF"/>
    <x v="37"/>
    <s v="East Sea Fleet"/>
    <m/>
    <m/>
    <s v="recoded to delete drills"/>
  </r>
  <r>
    <x v="0"/>
    <x v="7"/>
    <s v="West Asia and Africa"/>
    <s v="No Specific Relationship"/>
    <x v="0"/>
    <s v="AFRICOM"/>
    <x v="16"/>
    <x v="19"/>
    <n v="10"/>
    <s v="Port Call - HADR/Friendly"/>
    <m/>
    <m/>
    <m/>
    <m/>
    <x v="0"/>
    <m/>
    <x v="0"/>
    <m/>
    <m/>
    <m/>
    <s v="NETF"/>
    <x v="37"/>
    <s v="East Sea Fleet"/>
    <m/>
    <m/>
    <s v="recoded to delete drills"/>
  </r>
  <r>
    <x v="2"/>
    <x v="1"/>
    <s v="Asia"/>
    <s v="Strategic Partnership [战略伙伴关系]"/>
    <x v="3"/>
    <s v="INDOPACOM"/>
    <x v="5"/>
    <x v="19"/>
    <n v="10"/>
    <s v="Military Exercise - Bilateral"/>
    <m/>
    <m/>
    <m/>
    <m/>
    <x v="0"/>
    <m/>
    <x v="1"/>
    <s v="Strike 2010"/>
    <s v="Army"/>
    <s v="Anti-terrorism"/>
    <m/>
    <x v="12"/>
    <m/>
    <m/>
    <s v="Defense White Paper Appendix"/>
    <m/>
  </r>
  <r>
    <x v="1"/>
    <x v="1"/>
    <s v="Asia"/>
    <s v="Comprehensive Strategic Cooperative Partnership [全面战略合作伙伴关系]"/>
    <x v="0"/>
    <s v="INDOPACOM"/>
    <x v="23"/>
    <x v="19"/>
    <n v="10"/>
    <s v="BL - Abroad"/>
    <s v="Liang Guanglie"/>
    <m/>
    <s v="Defense Minister; CMC Member"/>
    <n v="8"/>
    <x v="1"/>
    <s v="Vietnamese Prime Minister"/>
    <x v="0"/>
    <m/>
    <m/>
    <m/>
    <m/>
    <x v="12"/>
    <m/>
    <m/>
    <s v="http://www.china.org.cn/world/2010-10/11/content_21100579.htm"/>
    <m/>
  </r>
  <r>
    <x v="0"/>
    <x v="9"/>
    <s v="West Asia and Africa"/>
    <s v="No Specific Relationship"/>
    <x v="0"/>
    <s v="CENTCOM"/>
    <x v="135"/>
    <x v="19"/>
    <n v="10"/>
    <s v="Port Call - Replenish/Overhaul"/>
    <m/>
    <m/>
    <m/>
    <m/>
    <x v="0"/>
    <m/>
    <x v="0"/>
    <m/>
    <m/>
    <m/>
    <s v="ETF"/>
    <x v="35"/>
    <s v="South Sea Fleet"/>
    <s v="LPD998 Kunlun Shan, DDG170 Lanzhou, AOR887 Weishan Hu"/>
    <m/>
    <m/>
  </r>
  <r>
    <x v="1"/>
    <x v="7"/>
    <s v="West Asia and Africa"/>
    <s v="No Specific Relationship"/>
    <x v="0"/>
    <s v="AFRICOM"/>
    <x v="61"/>
    <x v="19"/>
    <n v="10"/>
    <s v="BL - Hosted"/>
    <s v="Guo Boxiong"/>
    <m/>
    <s v="CMC Vice Chairman"/>
    <n v="10"/>
    <x v="2"/>
    <s v="Defense Minister"/>
    <x v="0"/>
    <m/>
    <m/>
    <m/>
    <m/>
    <x v="12"/>
    <m/>
    <m/>
    <s v="Defense White Paper Appendix"/>
    <m/>
  </r>
  <r>
    <x v="1"/>
    <x v="5"/>
    <s v="America and Oceania"/>
    <s v="No Specific Relationship"/>
    <x v="4"/>
    <s v="INDOPACOM"/>
    <x v="12"/>
    <x v="19"/>
    <n v="11"/>
    <s v="BL - Abroad"/>
    <s v="Ma Xiaotian"/>
    <m/>
    <s v="GSD DCGS"/>
    <n v="6"/>
    <x v="1"/>
    <m/>
    <x v="0"/>
    <m/>
    <m/>
    <m/>
    <m/>
    <x v="12"/>
    <m/>
    <m/>
    <s v="Defense White Paper Appendix"/>
    <m/>
  </r>
  <r>
    <x v="1"/>
    <x v="0"/>
    <s v="Asia"/>
    <s v="Comprehensive Cooperative Partnership [全面合作伙伴关系]"/>
    <x v="0"/>
    <s v="INDOPACOM"/>
    <x v="0"/>
    <x v="19"/>
    <n v="11"/>
    <s v="BL - Hosted"/>
    <s v="Ma Xiaotian"/>
    <m/>
    <s v="GSD DCGS"/>
    <n v="6"/>
    <x v="2"/>
    <s v="Chief of the Army Staff"/>
    <x v="0"/>
    <m/>
    <m/>
    <m/>
    <m/>
    <x v="12"/>
    <m/>
    <m/>
    <s v="Defense White Paper Appendix"/>
    <m/>
  </r>
  <r>
    <x v="0"/>
    <x v="0"/>
    <s v="Asia"/>
    <s v="Comprehensive Cooperative Partnership [全面合作伙伴关系]"/>
    <x v="0"/>
    <s v="INDOPACOM"/>
    <x v="0"/>
    <x v="19"/>
    <n v="11"/>
    <s v="Port Call - HADR/Friendly"/>
    <m/>
    <m/>
    <m/>
    <m/>
    <x v="0"/>
    <m/>
    <x v="0"/>
    <m/>
    <m/>
    <m/>
    <s v="NETF"/>
    <x v="37"/>
    <s v="East Sea Fleet"/>
    <s v="http://eng.chinamil.com.cn/special-reports/2010-11/15/content_4674260.htm"/>
    <m/>
    <m/>
  </r>
  <r>
    <x v="1"/>
    <x v="10"/>
    <s v="America and Oceania"/>
    <s v="Comprehensive Strategic Partnership [全面战略伙伴关系]"/>
    <x v="0"/>
    <s v="SOUTHCOM"/>
    <x v="43"/>
    <x v="19"/>
    <n v="11"/>
    <s v="BL - Abroad"/>
    <s v="Wu Shengli"/>
    <m/>
    <s v="PLAN Commander; CMC Member"/>
    <n v="8"/>
    <x v="1"/>
    <m/>
    <x v="0"/>
    <m/>
    <m/>
    <m/>
    <m/>
    <x v="12"/>
    <m/>
    <m/>
    <s v="Defense White Paper Appendix"/>
    <m/>
  </r>
  <r>
    <x v="1"/>
    <x v="10"/>
    <s v="America and Oceania"/>
    <s v="Comprehensive Partnership [全面伙伴关系]"/>
    <x v="0"/>
    <s v="SOUTHCOM"/>
    <x v="66"/>
    <x v="19"/>
    <n v="11"/>
    <s v="BL - Abroad"/>
    <s v="Wu Shengli"/>
    <m/>
    <s v="PLAN Commander; CMC Member"/>
    <n v="8"/>
    <x v="1"/>
    <m/>
    <x v="0"/>
    <m/>
    <m/>
    <m/>
    <m/>
    <x v="12"/>
    <m/>
    <m/>
    <s v="Defense White Paper Appendix"/>
    <m/>
  </r>
  <r>
    <x v="1"/>
    <x v="10"/>
    <s v="America and Oceania"/>
    <s v="No Specific Relationship"/>
    <x v="0"/>
    <s v="SOUTHCOM"/>
    <x v="51"/>
    <x v="19"/>
    <n v="11"/>
    <s v="BL - Abroad"/>
    <s v="Chen Bingde"/>
    <m/>
    <s v="GSD Commander; CMC Member"/>
    <n v="8"/>
    <x v="1"/>
    <m/>
    <x v="0"/>
    <m/>
    <m/>
    <m/>
    <m/>
    <x v="12"/>
    <m/>
    <m/>
    <s v="Defense White Paper Appendix"/>
    <m/>
  </r>
  <r>
    <x v="1"/>
    <x v="7"/>
    <s v="West Asia and Africa"/>
    <s v="No Specific Relationship"/>
    <x v="0"/>
    <s v="AFRICOM"/>
    <x v="95"/>
    <x v="19"/>
    <n v="11"/>
    <s v="BL - Abroad"/>
    <s v="Li Changcai"/>
    <m/>
    <s v="Lanzhou MR Political Commissar"/>
    <n v="6"/>
    <x v="1"/>
    <m/>
    <x v="0"/>
    <m/>
    <m/>
    <m/>
    <m/>
    <x v="12"/>
    <m/>
    <m/>
    <s v="Defense White Paper Appendix"/>
    <m/>
  </r>
  <r>
    <x v="1"/>
    <x v="8"/>
    <s v="Europe and Central Asia"/>
    <s v="Strategic Partnership [战略伙伴关系]"/>
    <x v="5"/>
    <s v="EUCOM"/>
    <x v="18"/>
    <x v="19"/>
    <n v="11"/>
    <s v="BL - Hosted"/>
    <s v="Chen Bingde"/>
    <m/>
    <s v="GSD Commander; CMC Member"/>
    <n v="8"/>
    <x v="2"/>
    <s v="Defense Minister"/>
    <x v="0"/>
    <m/>
    <m/>
    <m/>
    <m/>
    <x v="12"/>
    <m/>
    <m/>
    <s v="Defense White Paper Appendix"/>
    <m/>
  </r>
  <r>
    <x v="1"/>
    <x v="1"/>
    <s v="Asia"/>
    <s v="Strategic Partnership [战略伙伴关系]"/>
    <x v="0"/>
    <s v="INDOPACOM"/>
    <x v="8"/>
    <x v="19"/>
    <n v="11"/>
    <s v="BL - Abroad"/>
    <s v="Ma Xiaotian"/>
    <m/>
    <s v="GSD DCGS"/>
    <n v="6"/>
    <x v="1"/>
    <m/>
    <x v="0"/>
    <m/>
    <m/>
    <m/>
    <m/>
    <x v="12"/>
    <m/>
    <m/>
    <s v="Defense White Paper Appendix"/>
    <m/>
  </r>
  <r>
    <x v="1"/>
    <x v="9"/>
    <s v="West Asia and Africa"/>
    <s v="No Specific Relationship"/>
    <x v="1"/>
    <s v="CENTCOM"/>
    <x v="101"/>
    <x v="19"/>
    <n v="11"/>
    <s v="BL - Abroad"/>
    <s v="Xu Caihou"/>
    <m/>
    <s v="CMC Vice Chairman"/>
    <n v="10"/>
    <x v="1"/>
    <s v="Chairman JCS"/>
    <x v="0"/>
    <m/>
    <m/>
    <m/>
    <m/>
    <x v="12"/>
    <m/>
    <m/>
    <s v="Defense White Paper Appendix"/>
    <m/>
  </r>
  <r>
    <x v="1"/>
    <x v="8"/>
    <s v="Europe and Central Asia"/>
    <s v="No Specific Relationship"/>
    <x v="5"/>
    <s v="EUCOM"/>
    <x v="117"/>
    <x v="19"/>
    <n v="11"/>
    <s v="BL - Hosted"/>
    <s v="Liang Guanglie"/>
    <m/>
    <s v="Defense Minister; CMC Member"/>
    <n v="8"/>
    <x v="2"/>
    <s v="Navy Commander"/>
    <x v="0"/>
    <m/>
    <m/>
    <m/>
    <m/>
    <x v="12"/>
    <m/>
    <m/>
    <s v="Defense White Paper Appendix"/>
    <m/>
  </r>
  <r>
    <x v="1"/>
    <x v="5"/>
    <s v="America and Oceania"/>
    <s v="No Specific Relationship"/>
    <x v="4"/>
    <s v="INDOPACOM"/>
    <x v="13"/>
    <x v="19"/>
    <n v="11"/>
    <s v="BL - Abroad"/>
    <s v="Ma Xiaotian"/>
    <m/>
    <s v="GSD DCGS"/>
    <n v="6"/>
    <x v="1"/>
    <m/>
    <x v="0"/>
    <m/>
    <m/>
    <m/>
    <m/>
    <x v="12"/>
    <m/>
    <m/>
    <s v="Defense White Paper Appendix"/>
    <m/>
  </r>
  <r>
    <x v="1"/>
    <x v="7"/>
    <s v="West Asia and Africa"/>
    <s v="Strategic Partnership [战略伙伴关系]"/>
    <x v="0"/>
    <s v="AFRICOM"/>
    <x v="36"/>
    <x v="19"/>
    <n v="11"/>
    <s v="BL - Hosted"/>
    <s v="Xu Qiliang"/>
    <m/>
    <s v="PLAAF Commander; CMC Member"/>
    <n v="8"/>
    <x v="2"/>
    <s v="Chief of Air Staff"/>
    <x v="0"/>
    <m/>
    <m/>
    <m/>
    <m/>
    <x v="12"/>
    <m/>
    <m/>
    <s v="Defense White Paper Appendix"/>
    <m/>
  </r>
  <r>
    <x v="1"/>
    <x v="0"/>
    <s v="Asia"/>
    <s v="Strategic Partnership [战略伙伴关系]"/>
    <x v="1"/>
    <s v="CENTCOM"/>
    <x v="2"/>
    <x v="19"/>
    <n v="11"/>
    <s v="BL - Hosted"/>
    <s v="Xu Qiliang"/>
    <m/>
    <s v="PLAAF Commander; CMC Member"/>
    <n v="8"/>
    <x v="2"/>
    <s v="Chief of the Air Staff"/>
    <x v="0"/>
    <m/>
    <m/>
    <m/>
    <m/>
    <x v="12"/>
    <m/>
    <m/>
    <s v="http://www.china.org.cn/world/2010-11/18/content_21372399.htm; https://tribune.com.pk/story/78515/air-chief-sees-bright-prospects-for-jf-17-in-aviation-market/; http://www.chinavitae.com/vip/index.php?mode=show&amp;id=9444"/>
    <s v="Can't find PLA counterpart; visit is listed in 2010 defense white paper; he attended Zhuhai air show.  PLAAF commander Xu Qiliang was also at Zhuhai and met with foreign delegations (NFI); CMC VC Guo Boxiong was also there "/>
  </r>
  <r>
    <x v="2"/>
    <x v="10"/>
    <s v="America and Oceania"/>
    <s v="Strategic Partnership [战略伙伴关系]"/>
    <x v="0"/>
    <s v="SOUTHCOM"/>
    <x v="54"/>
    <x v="19"/>
    <n v="11"/>
    <s v="Military Exercise - Bilateral"/>
    <m/>
    <m/>
    <m/>
    <m/>
    <x v="0"/>
    <m/>
    <x v="2"/>
    <s v="Peace Angel 2010"/>
    <s v="Army"/>
    <s v=" "/>
    <m/>
    <x v="12"/>
    <m/>
    <s v=" "/>
    <s v="Defense White Paper Appendix; PLA Daily 2010-11-18"/>
    <m/>
  </r>
  <r>
    <x v="1"/>
    <x v="10"/>
    <s v="America and Oceania"/>
    <s v="Strategic Partnership [战略伙伴关系]"/>
    <x v="0"/>
    <s v="SOUTHCOM"/>
    <x v="54"/>
    <x v="19"/>
    <n v="11"/>
    <s v="BL - Abroad"/>
    <s v="Chen Bingde"/>
    <m/>
    <s v="GSD Commander; CMC Member"/>
    <n v="8"/>
    <x v="1"/>
    <m/>
    <x v="0"/>
    <m/>
    <m/>
    <m/>
    <m/>
    <x v="12"/>
    <m/>
    <m/>
    <s v="Defense White Paper Appendix"/>
    <m/>
  </r>
  <r>
    <x v="1"/>
    <x v="1"/>
    <s v="Asia"/>
    <s v="Strategic Cooperative Partnership [战略合作伙伴关系]"/>
    <x v="3"/>
    <s v="INDOPACOM"/>
    <x v="11"/>
    <x v="19"/>
    <n v="11"/>
    <s v="BL - Abroad"/>
    <s v="Ma Xiaotian"/>
    <m/>
    <s v="GSD DCGS"/>
    <n v="6"/>
    <x v="1"/>
    <m/>
    <x v="0"/>
    <m/>
    <m/>
    <m/>
    <m/>
    <x v="12"/>
    <m/>
    <m/>
    <s v="Defense White Paper Appendix"/>
    <m/>
  </r>
  <r>
    <x v="1"/>
    <x v="8"/>
    <s v="Europe and Central Asia"/>
    <s v="Comprehensive Friendly Cooperative Partnership [全面友好合作伙伴关系]"/>
    <x v="5"/>
    <s v="EUCOM"/>
    <x v="33"/>
    <x v="19"/>
    <n v="11"/>
    <s v="BL - Hosted"/>
    <s v="Guo Boxiong"/>
    <m/>
    <s v="CMC Vice Chairman"/>
    <n v="10"/>
    <x v="2"/>
    <s v="Defense Minister"/>
    <x v="0"/>
    <m/>
    <m/>
    <m/>
    <m/>
    <x v="12"/>
    <m/>
    <m/>
    <s v="Defense White Paper Appendix"/>
    <m/>
  </r>
  <r>
    <x v="2"/>
    <x v="8"/>
    <s v="Europe and Central Asia"/>
    <s v="Comprehensive Friendly Cooperative Partnership [全面友好合作伙伴关系]"/>
    <x v="5"/>
    <s v="EUCOM"/>
    <x v="33"/>
    <x v="19"/>
    <n v="11"/>
    <s v="Military Exercise - Bilateral"/>
    <m/>
    <m/>
    <m/>
    <m/>
    <x v="0"/>
    <m/>
    <x v="1"/>
    <s v="Friendship Operation 2010"/>
    <s v="Army"/>
    <s v="Mountain troops"/>
    <m/>
    <x v="12"/>
    <m/>
    <m/>
    <s v="Defense White Paper Appendix"/>
    <m/>
  </r>
  <r>
    <x v="1"/>
    <x v="3"/>
    <s v="Europe and Central Asia"/>
    <s v="Strategic Partnership of Coordination [战略协作伙伴关系]"/>
    <x v="0"/>
    <s v="EUCOM"/>
    <x v="7"/>
    <x v="19"/>
    <n v="11"/>
    <s v="BL - Hosted"/>
    <s v="Liang Guanglie"/>
    <m/>
    <s v="Defense Minister; CMC Member"/>
    <n v="8"/>
    <x v="2"/>
    <s v="Defense Minister"/>
    <x v="0"/>
    <m/>
    <m/>
    <m/>
    <m/>
    <x v="12"/>
    <m/>
    <m/>
    <s v="Defense White Paper Appendix"/>
    <m/>
  </r>
  <r>
    <x v="0"/>
    <x v="9"/>
    <s v="West Asia and Africa"/>
    <s v="No Specific Relationship"/>
    <x v="0"/>
    <s v="CENTCOM"/>
    <x v="142"/>
    <x v="19"/>
    <n v="11"/>
    <s v="Port Call - Friendly Visit"/>
    <m/>
    <m/>
    <m/>
    <m/>
    <x v="0"/>
    <m/>
    <x v="0"/>
    <m/>
    <m/>
    <m/>
    <s v="ETF"/>
    <x v="35"/>
    <s v="South Sea Fleet"/>
    <s v="LPD998 Kunlun Shan, DDG170 Lanzhou, AOR887 Weishan Hu"/>
    <m/>
    <m/>
  </r>
  <r>
    <x v="1"/>
    <x v="7"/>
    <s v="West Asia and Africa"/>
    <s v="No Specific Relationship"/>
    <x v="0"/>
    <s v="AFRICOM"/>
    <x v="90"/>
    <x v="19"/>
    <n v="11"/>
    <s v="BL - Hosted"/>
    <s v="Liang Guanglie"/>
    <m/>
    <s v="Defense Minister; CMC Member"/>
    <n v="8"/>
    <x v="2"/>
    <s v="Defense Minister"/>
    <x v="0"/>
    <m/>
    <m/>
    <m/>
    <m/>
    <x v="12"/>
    <m/>
    <m/>
    <s v="Defense White Paper Appendix"/>
    <m/>
  </r>
  <r>
    <x v="1"/>
    <x v="1"/>
    <s v="Asia"/>
    <s v="No Specific Relationship"/>
    <x v="0"/>
    <s v="INDOPACOM"/>
    <x v="39"/>
    <x v="19"/>
    <n v="11"/>
    <s v="BL - Abroad"/>
    <s v="Ma Xiaotian"/>
    <m/>
    <s v="GSD DCGS"/>
    <n v="6"/>
    <x v="1"/>
    <m/>
    <x v="0"/>
    <m/>
    <m/>
    <m/>
    <m/>
    <x v="12"/>
    <m/>
    <m/>
    <s v="Defense White Paper Appendix"/>
    <m/>
  </r>
  <r>
    <x v="2"/>
    <x v="1"/>
    <s v="Asia"/>
    <s v="No Specific Relationship"/>
    <x v="0"/>
    <s v="INDOPACOM"/>
    <x v="39"/>
    <x v="19"/>
    <n v="11"/>
    <s v="Military Exercise - Bilateral"/>
    <m/>
    <m/>
    <m/>
    <m/>
    <x v="0"/>
    <m/>
    <x v="1"/>
    <s v="Cooperation 2010"/>
    <s v="Army"/>
    <s v="Security training"/>
    <m/>
    <x v="12"/>
    <m/>
    <m/>
    <s v="Defense White Paper Appendix"/>
    <m/>
  </r>
  <r>
    <x v="1"/>
    <x v="7"/>
    <s v="West Asia and Africa"/>
    <s v="Comprehensive Strategic Partnership [全面战略伙伴关系]"/>
    <x v="0"/>
    <s v="AFRICOM"/>
    <x v="15"/>
    <x v="19"/>
    <n v="11"/>
    <s v="BL - Hosted"/>
    <s v="Liang Guanglie"/>
    <m/>
    <s v="Defense Minister; CMC Member"/>
    <n v="8"/>
    <x v="2"/>
    <s v="Secretary of the Ministry of Defense and Commander of the National Defense Force"/>
    <x v="0"/>
    <m/>
    <m/>
    <m/>
    <m/>
    <x v="12"/>
    <m/>
    <m/>
    <s v="Defense White Paper Appendix"/>
    <m/>
  </r>
  <r>
    <x v="1"/>
    <x v="8"/>
    <s v="Europe and Central Asia"/>
    <s v="No Specific Relationship"/>
    <x v="0"/>
    <s v="EUCOM"/>
    <x v="92"/>
    <x v="19"/>
    <n v="11"/>
    <s v="BL - Abroad"/>
    <s v="Li Jinai"/>
    <m/>
    <s v="GPD Director; CMC Member"/>
    <n v="8"/>
    <x v="1"/>
    <m/>
    <x v="0"/>
    <m/>
    <m/>
    <m/>
    <m/>
    <x v="12"/>
    <m/>
    <m/>
    <s v="Defense White Paper Appendix"/>
    <m/>
  </r>
  <r>
    <x v="1"/>
    <x v="9"/>
    <s v="West Asia and Africa"/>
    <s v="No Specific Relationship"/>
    <x v="0"/>
    <s v="CENTCOM"/>
    <x v="102"/>
    <x v="19"/>
    <n v="11"/>
    <s v="BL - Abroad"/>
    <s v="Xu Caihou"/>
    <m/>
    <s v="CMC Vice Chairman"/>
    <n v="10"/>
    <x v="1"/>
    <m/>
    <x v="0"/>
    <m/>
    <m/>
    <m/>
    <m/>
    <x v="12"/>
    <m/>
    <m/>
    <s v="Defense White Paper Appendix"/>
    <m/>
  </r>
  <r>
    <x v="1"/>
    <x v="1"/>
    <s v="Asia"/>
    <s v="Strategic Partnership [战略伙伴关系]"/>
    <x v="3"/>
    <s v="INDOPACOM"/>
    <x v="5"/>
    <x v="19"/>
    <n v="11"/>
    <s v="BL - Abroad"/>
    <s v="Ma Xiaotian"/>
    <m/>
    <s v="GSD DCGS"/>
    <n v="6"/>
    <x v="1"/>
    <s v="Defense Minister"/>
    <x v="0"/>
    <m/>
    <m/>
    <m/>
    <m/>
    <x v="12"/>
    <m/>
    <m/>
    <s v="Defense White Paper Appendix"/>
    <m/>
  </r>
  <r>
    <x v="2"/>
    <x v="1"/>
    <s v="Asia"/>
    <s v="Strategic Partnership [战略伙伴关系]"/>
    <x v="3"/>
    <s v="INDOPACOM"/>
    <x v="5"/>
    <x v="19"/>
    <n v="11"/>
    <s v="Military Exercise - Bilateral"/>
    <m/>
    <m/>
    <m/>
    <m/>
    <x v="0"/>
    <m/>
    <x v="5"/>
    <s v="Blue Strike 2010"/>
    <s v="Navy"/>
    <s v="Amphibious assault; Marines"/>
    <m/>
    <x v="12"/>
    <m/>
    <m/>
    <s v="Defense White Paper Appendix"/>
    <m/>
  </r>
  <r>
    <x v="1"/>
    <x v="7"/>
    <s v="West Asia and Africa"/>
    <s v="No Specific Relationship"/>
    <x v="1"/>
    <s v="AFRICOM"/>
    <x v="85"/>
    <x v="19"/>
    <n v="11"/>
    <s v="BL - Abroad"/>
    <s v="Li Changcai"/>
    <m/>
    <s v="Lanzhou MR Political Commissar"/>
    <n v="6"/>
    <x v="1"/>
    <m/>
    <x v="0"/>
    <m/>
    <m/>
    <m/>
    <m/>
    <x v="12"/>
    <m/>
    <m/>
    <s v="Defense White Paper Appendix"/>
    <m/>
  </r>
  <r>
    <x v="2"/>
    <x v="8"/>
    <s v="Europe and Central Asia"/>
    <s v="Strategic Cooperative Partnership [战略合作伙伴关系]"/>
    <x v="5"/>
    <s v="EUCOM"/>
    <x v="38"/>
    <x v="19"/>
    <n v="11"/>
    <s v="Military Exercise - Bilateral"/>
    <m/>
    <m/>
    <m/>
    <m/>
    <x v="0"/>
    <m/>
    <x v="1"/>
    <m/>
    <s v="Army"/>
    <s v="Special forces in hills of turkey"/>
    <m/>
    <x v="12"/>
    <m/>
    <m/>
    <s v="Defense White Paper Appendix; https://jamestown.org/program/sino-turkish-strategic-partnership-implications-of-anatolian-eagle-2010/"/>
    <m/>
  </r>
  <r>
    <x v="1"/>
    <x v="9"/>
    <s v="West Asia and Africa"/>
    <s v="No Specific Relationship"/>
    <x v="0"/>
    <s v="CENTCOM"/>
    <x v="106"/>
    <x v="19"/>
    <n v="11"/>
    <s v="BL - Abroad"/>
    <s v="Xu Caihou"/>
    <m/>
    <s v="CMC Vice Chairman"/>
    <n v="10"/>
    <x v="1"/>
    <s v="Deputy CinC Armed Forces "/>
    <x v="0"/>
    <m/>
    <m/>
    <m/>
    <m/>
    <x v="12"/>
    <m/>
    <m/>
    <s v="Defense White Paper Appendix"/>
    <m/>
  </r>
  <r>
    <x v="1"/>
    <x v="8"/>
    <s v="Europe and Central Asia"/>
    <s v="Comprehensive Strategic Partnership [全面战略伙伴关系]"/>
    <x v="5"/>
    <s v="EUCOM"/>
    <x v="21"/>
    <x v="19"/>
    <n v="11"/>
    <s v="BL - Hosted"/>
    <s v="Liang Guanglie"/>
    <m/>
    <s v="Defense Minister; CMC Member"/>
    <n v="8"/>
    <x v="2"/>
    <s v="COGS"/>
    <x v="0"/>
    <m/>
    <m/>
    <m/>
    <m/>
    <x v="12"/>
    <m/>
    <m/>
    <s v="Defense White Paper Appendix"/>
    <m/>
  </r>
  <r>
    <x v="1"/>
    <x v="2"/>
    <s v="America and Oceania"/>
    <s v="No Specific Relationship"/>
    <x v="2"/>
    <s v="NORTHCOM"/>
    <x v="4"/>
    <x v="19"/>
    <n v="11"/>
    <s v="BL - Hosted"/>
    <s v="Li Jinai"/>
    <m/>
    <s v="GPD Director; CMC Member"/>
    <n v="8"/>
    <x v="2"/>
    <s v="Retired USN Admiral"/>
    <x v="0"/>
    <m/>
    <m/>
    <m/>
    <m/>
    <x v="12"/>
    <m/>
    <m/>
    <s v="Defense White Paper Appendix"/>
    <m/>
  </r>
  <r>
    <x v="1"/>
    <x v="10"/>
    <s v="America and Oceania"/>
    <s v="Strategic Development Partnership [战略发展伙伴关系]"/>
    <x v="0"/>
    <s v="SOUTHCOM"/>
    <x v="56"/>
    <x v="19"/>
    <n v="11"/>
    <s v="BL - Abroad"/>
    <s v="Chen Bingde"/>
    <m/>
    <s v="GSD Commander; CMC Member"/>
    <n v="8"/>
    <x v="1"/>
    <m/>
    <x v="0"/>
    <m/>
    <m/>
    <m/>
    <m/>
    <x v="12"/>
    <m/>
    <m/>
    <s v="Defense White Paper Appendix"/>
    <m/>
  </r>
  <r>
    <x v="1"/>
    <x v="1"/>
    <s v="Asia"/>
    <s v="Comprehensive Strategic Cooperative Partnership [全面战略合作伙伴关系]"/>
    <x v="0"/>
    <s v="INDOPACOM"/>
    <x v="23"/>
    <x v="19"/>
    <n v="11"/>
    <s v="BL - Hosted"/>
    <s v="Li Jinai"/>
    <m/>
    <s v="GPD Director; CMC Member"/>
    <n v="8"/>
    <x v="2"/>
    <s v="Navy Political Commissar"/>
    <x v="0"/>
    <m/>
    <m/>
    <m/>
    <m/>
    <x v="12"/>
    <m/>
    <m/>
    <s v="Defense White Paper Appendix"/>
    <m/>
  </r>
  <r>
    <x v="1"/>
    <x v="0"/>
    <s v="Europe and Central Asia"/>
    <s v="Comprehensive Cooperative Partnership [全面合作伙伴关系]"/>
    <x v="1"/>
    <s v="CENTCOM"/>
    <x v="123"/>
    <x v="19"/>
    <n v="12"/>
    <s v="BL - Hosted"/>
    <s v="Sun Jianguo"/>
    <m/>
    <s v="GSD DCGS"/>
    <n v="6"/>
    <x v="2"/>
    <s v="Deputy Defense Minister"/>
    <x v="0"/>
    <m/>
    <m/>
    <m/>
    <m/>
    <x v="12"/>
    <m/>
    <m/>
    <s v="Defense White Paper Appendix"/>
    <m/>
  </r>
  <r>
    <x v="1"/>
    <x v="8"/>
    <s v="Europe and Central Asia"/>
    <s v="No Specific Relationship"/>
    <x v="5"/>
    <s v="EUCOM"/>
    <x v="108"/>
    <x v="19"/>
    <n v="12"/>
    <s v="BL - Hosted"/>
    <s v="Chen Bingde"/>
    <m/>
    <s v="GSD Commander; CMC Member"/>
    <n v="8"/>
    <x v="2"/>
    <s v="Chief of Defense Staff of the Armed Forces"/>
    <x v="0"/>
    <m/>
    <m/>
    <m/>
    <m/>
    <x v="12"/>
    <m/>
    <m/>
    <s v="Defense White Paper Appendix"/>
    <m/>
  </r>
  <r>
    <x v="0"/>
    <x v="9"/>
    <s v="West Asia and Africa"/>
    <s v="Friendly Cooperative Partnership [友好合作伙伴关系]"/>
    <x v="1"/>
    <s v="CENTCOM"/>
    <x v="146"/>
    <x v="19"/>
    <n v="12"/>
    <s v="Port Call - Friendly Visit"/>
    <m/>
    <m/>
    <m/>
    <m/>
    <x v="0"/>
    <m/>
    <x v="0"/>
    <m/>
    <m/>
    <m/>
    <s v="ETF"/>
    <x v="35"/>
    <s v="South Sea Fleet"/>
    <s v="LPD998 Kunlun Shan, DDG170 Lanzhou, AOR887 Weishan Hu"/>
    <m/>
    <m/>
  </r>
  <r>
    <x v="1"/>
    <x v="0"/>
    <s v="Asia"/>
    <s v="Comprehensive Cooperative Partnership [全面合作伙伴关系]"/>
    <x v="0"/>
    <s v="INDOPACOM"/>
    <x v="0"/>
    <x v="19"/>
    <n v="12"/>
    <s v="BL - Hosted"/>
    <s v="Ma Xiaotian"/>
    <m/>
    <s v="GSD DCGS"/>
    <n v="6"/>
    <x v="2"/>
    <s v="COGS Army"/>
    <x v="0"/>
    <m/>
    <m/>
    <m/>
    <m/>
    <x v="12"/>
    <m/>
    <m/>
    <s v="Defense White Paper Appendix"/>
    <m/>
  </r>
  <r>
    <x v="1"/>
    <x v="8"/>
    <s v="Europe and Central Asia"/>
    <s v="Strategic Partnership [战略伙伴关系]"/>
    <x v="5"/>
    <s v="EUCOM"/>
    <x v="34"/>
    <x v="19"/>
    <n v="12"/>
    <s v="BL - Hosted"/>
    <s v="Ma Xiaotian"/>
    <m/>
    <s v="GSD DCGS"/>
    <n v="6"/>
    <x v="2"/>
    <s v="Assistant to Defense Minister"/>
    <x v="0"/>
    <m/>
    <m/>
    <m/>
    <m/>
    <x v="12"/>
    <m/>
    <m/>
    <s v="Defense White Paper Appendix"/>
    <m/>
  </r>
  <r>
    <x v="1"/>
    <x v="10"/>
    <s v="America and Oceania"/>
    <s v="No Specific Relationship"/>
    <x v="0"/>
    <s v="SOUTHCOM"/>
    <x v="49"/>
    <x v="19"/>
    <n v="12"/>
    <s v="BL - Abroad"/>
    <s v="Ma Xiaotian"/>
    <m/>
    <s v="GSD DCGS"/>
    <n v="6"/>
    <x v="1"/>
    <m/>
    <x v="0"/>
    <m/>
    <m/>
    <m/>
    <m/>
    <x v="12"/>
    <m/>
    <m/>
    <s v="Defense White Paper Appendix"/>
    <m/>
  </r>
  <r>
    <x v="0"/>
    <x v="9"/>
    <s v="West Asia and Africa"/>
    <s v="No Specific Relationship"/>
    <x v="0"/>
    <s v="CENTCOM"/>
    <x v="119"/>
    <x v="19"/>
    <n v="12"/>
    <s v="Port Call - Replenish/Overhaul"/>
    <m/>
    <m/>
    <m/>
    <m/>
    <x v="0"/>
    <m/>
    <x v="0"/>
    <m/>
    <m/>
    <m/>
    <s v="ETF"/>
    <x v="35"/>
    <s v="South Sea Fleet"/>
    <s v="LPD998 Kunlun Shan, DDG170 Lanzhou, AOR887 Weishan Hu; uncertain, could also be ETF-7"/>
    <m/>
    <m/>
  </r>
  <r>
    <x v="1"/>
    <x v="1"/>
    <s v="Asia"/>
    <s v="Strategic Partnership [战略伙伴关系]"/>
    <x v="0"/>
    <s v="INDOPACOM"/>
    <x v="8"/>
    <x v="19"/>
    <n v="12"/>
    <s v="BL - Hosted"/>
    <s v="Ma Xiaotian"/>
    <m/>
    <s v="GSD DCGS"/>
    <n v="6"/>
    <x v="2"/>
    <s v="Chief of the Army Staff"/>
    <x v="0"/>
    <m/>
    <m/>
    <m/>
    <m/>
    <x v="12"/>
    <m/>
    <m/>
    <s v="Defense White Paper Appendix"/>
    <m/>
  </r>
  <r>
    <x v="0"/>
    <x v="1"/>
    <s v="Asia"/>
    <s v="Strategic Partnership [战略伙伴关系]"/>
    <x v="0"/>
    <s v="INDOPACOM"/>
    <x v="8"/>
    <x v="19"/>
    <n v="12"/>
    <s v="Port Call - Friendly Visit"/>
    <m/>
    <m/>
    <m/>
    <m/>
    <x v="0"/>
    <m/>
    <x v="0"/>
    <m/>
    <m/>
    <m/>
    <s v="ETF"/>
    <x v="35"/>
    <s v="South Sea Fleet"/>
    <s v="LPD998 Kunlun Shan, DDG170 Lanzhou, AOR887 Weishan Hu"/>
    <m/>
    <m/>
  </r>
  <r>
    <x v="1"/>
    <x v="9"/>
    <s v="West Asia and Africa"/>
    <s v="No Specific Relationship"/>
    <x v="1"/>
    <s v="CENTCOM"/>
    <x v="100"/>
    <x v="19"/>
    <n v="12"/>
    <s v="BL - Hosted"/>
    <s v="Liang Guanglie"/>
    <m/>
    <s v="Defense Minister; CMC Member"/>
    <n v="8"/>
    <x v="2"/>
    <s v="Commander of the Navy"/>
    <x v="0"/>
    <m/>
    <m/>
    <m/>
    <m/>
    <x v="12"/>
    <m/>
    <m/>
    <s v="Defense White Paper Appendix"/>
    <m/>
  </r>
  <r>
    <x v="1"/>
    <x v="9"/>
    <s v="West Asia and Africa"/>
    <s v="No Specific Relationship"/>
    <x v="1"/>
    <s v="CENTCOM"/>
    <x v="101"/>
    <x v="19"/>
    <n v="12"/>
    <s v="BL - Hosted"/>
    <s v="Ma Xiaotian"/>
    <m/>
    <s v="GSD DCGS"/>
    <n v="6"/>
    <x v="2"/>
    <s v="Chief of Staff, Strategic Planning"/>
    <x v="0"/>
    <m/>
    <m/>
    <m/>
    <m/>
    <x v="12"/>
    <m/>
    <m/>
    <s v="Defense White Paper Appendix"/>
    <m/>
  </r>
  <r>
    <x v="1"/>
    <x v="4"/>
    <s v="Asia"/>
    <s v="No Specific Relationship"/>
    <x v="0"/>
    <s v="INDOPACOM"/>
    <x v="53"/>
    <x v="19"/>
    <n v="12"/>
    <s v="BL - Hosted"/>
    <s v="Liang Guanglie"/>
    <m/>
    <s v="Defense Minister; CMC Member"/>
    <n v="8"/>
    <x v="2"/>
    <s v="Defense Minister"/>
    <x v="0"/>
    <m/>
    <m/>
    <m/>
    <m/>
    <x v="12"/>
    <m/>
    <m/>
    <s v="Defense White Paper Appendix"/>
    <m/>
  </r>
  <r>
    <x v="1"/>
    <x v="1"/>
    <s v="Asia"/>
    <s v="Strategic Cooperative Partnership [战略合作伙伴关系]"/>
    <x v="3"/>
    <s v="INDOPACOM"/>
    <x v="11"/>
    <x v="19"/>
    <n v="12"/>
    <s v="BL - Hosted"/>
    <s v="Liang Guanglie"/>
    <m/>
    <s v="Defense Minister; CMC Member"/>
    <n v="8"/>
    <x v="2"/>
    <s v="COGS"/>
    <x v="0"/>
    <m/>
    <m/>
    <m/>
    <m/>
    <x v="12"/>
    <m/>
    <m/>
    <s v="Defense White Paper Appendix"/>
    <m/>
  </r>
  <r>
    <x v="1"/>
    <x v="1"/>
    <s v="Asia"/>
    <s v="No Specific Relationship"/>
    <x v="0"/>
    <s v="INDOPACOM"/>
    <x v="39"/>
    <x v="19"/>
    <n v="12"/>
    <s v="BL - Hosted"/>
    <s v="Liang Guanglie"/>
    <m/>
    <s v="Defense Minister; CMC Member"/>
    <n v="8"/>
    <x v="2"/>
    <s v="Chief of the Navy Staff"/>
    <x v="0"/>
    <m/>
    <m/>
    <m/>
    <m/>
    <x v="12"/>
    <m/>
    <m/>
    <s v="Defense White Paper Appendix"/>
    <m/>
  </r>
  <r>
    <x v="0"/>
    <x v="0"/>
    <s v="Asia"/>
    <s v="Comprehensive Cooperative Partnership [全面合作伙伴关系]"/>
    <x v="0"/>
    <s v="INDOPACOM"/>
    <x v="3"/>
    <x v="19"/>
    <n v="12"/>
    <s v="Port Call - Friendly Visit"/>
    <m/>
    <m/>
    <m/>
    <m/>
    <x v="0"/>
    <m/>
    <x v="0"/>
    <m/>
    <m/>
    <m/>
    <s v="ETF"/>
    <x v="35"/>
    <s v="South Sea Fleet"/>
    <s v="LPD998 Kunlun Shan, DDG170 Lanzhou, AOR887 Weishan Hu"/>
    <m/>
    <m/>
  </r>
  <r>
    <x v="1"/>
    <x v="10"/>
    <s v="America and Oceania"/>
    <s v="No Specific Relationship"/>
    <x v="0"/>
    <s v="SOUTHCOM"/>
    <x v="91"/>
    <x v="19"/>
    <n v="12"/>
    <s v="BL - Hosted"/>
    <s v="Liang Guanglie"/>
    <m/>
    <s v="Defense Minister; CMC Member"/>
    <n v="8"/>
    <x v="2"/>
    <s v="Defense Minister"/>
    <x v="0"/>
    <m/>
    <m/>
    <m/>
    <m/>
    <x v="12"/>
    <m/>
    <m/>
    <s v="Defense White Paper Appendix"/>
    <m/>
  </r>
  <r>
    <x v="1"/>
    <x v="2"/>
    <s v="America and Oceania"/>
    <s v="No Specific Relationship"/>
    <x v="2"/>
    <s v="NORTHCOM"/>
    <x v="4"/>
    <x v="19"/>
    <n v="12"/>
    <s v="BL - Abroad"/>
    <s v="Ma Xiaotian"/>
    <m/>
    <s v="GSD DCGS"/>
    <n v="6"/>
    <x v="1"/>
    <m/>
    <x v="0"/>
    <m/>
    <m/>
    <m/>
    <m/>
    <x v="12"/>
    <m/>
    <m/>
    <s v="Defense White Paper Appendix"/>
    <m/>
  </r>
  <r>
    <x v="1"/>
    <x v="6"/>
    <s v="Europe and Central Asia"/>
    <s v="No Specific Relationship"/>
    <x v="0"/>
    <s v="CENTCOM"/>
    <x v="73"/>
    <x v="19"/>
    <n v="12"/>
    <s v="BL - Hosted"/>
    <s v="Liang Guanglie"/>
    <m/>
    <s v="Defense Minister; CMC Member"/>
    <n v="8"/>
    <x v="2"/>
    <s v="Deputy Defense Minister"/>
    <x v="0"/>
    <m/>
    <m/>
    <m/>
    <m/>
    <x v="12"/>
    <m/>
    <m/>
    <s v="Defense White Paper Appendix"/>
    <m/>
  </r>
  <r>
    <x v="1"/>
    <x v="10"/>
    <s v="America and Oceania"/>
    <s v="No Specific Relationship"/>
    <x v="0"/>
    <s v="SOUTHCOM"/>
    <x v="51"/>
    <x v="20"/>
    <n v="1"/>
    <s v="BL - Hosted"/>
    <s v="Qi Jianguo"/>
    <m/>
    <s v="GSD Assistant Commander"/>
    <n v="5"/>
    <x v="2"/>
    <m/>
    <x v="0"/>
    <m/>
    <m/>
    <m/>
    <m/>
    <x v="12"/>
    <m/>
    <m/>
    <m/>
    <m/>
  </r>
  <r>
    <x v="0"/>
    <x v="9"/>
    <s v="West Asia and Africa"/>
    <s v="No Specific Relationship"/>
    <x v="0"/>
    <s v="CENTCOM"/>
    <x v="147"/>
    <x v="20"/>
    <n v="1"/>
    <s v="Port Call - Replenish/Overhaul"/>
    <m/>
    <m/>
    <m/>
    <m/>
    <x v="0"/>
    <m/>
    <x v="0"/>
    <m/>
    <m/>
    <m/>
    <s v="ETF"/>
    <x v="38"/>
    <s v="East Sea Fleet"/>
    <s v="FFG529 Zhoushan, FFG530 Xuzhou, AOR886 Qingdao Hu"/>
    <m/>
    <m/>
  </r>
  <r>
    <x v="0"/>
    <x v="9"/>
    <s v="West Asia and Africa"/>
    <s v="No Specific Relationship"/>
    <x v="0"/>
    <s v="CENTCOM"/>
    <x v="147"/>
    <x v="20"/>
    <n v="1"/>
    <s v="Port Call - Replenish/Overhaul"/>
    <m/>
    <m/>
    <m/>
    <m/>
    <x v="0"/>
    <m/>
    <x v="0"/>
    <m/>
    <m/>
    <m/>
    <s v="ETF"/>
    <x v="38"/>
    <s v="East Sea Fleet"/>
    <s v="FFG529 Zhoushan, FFG530 Xuzhou, AOR886 Qingdao Hu"/>
    <m/>
    <m/>
  </r>
  <r>
    <x v="1"/>
    <x v="4"/>
    <s v="Asia"/>
    <s v="Strategic Cooperative Partnership [战略合作伙伴关系]"/>
    <x v="3"/>
    <s v="INDOPACOM"/>
    <x v="25"/>
    <x v="20"/>
    <n v="1"/>
    <s v="BL - Hosted"/>
    <s v="Ma Xiaotian"/>
    <m/>
    <s v="GSD DCGS"/>
    <n v="6"/>
    <x v="2"/>
    <s v="Director International Policy Bureau of Defense Ministry"/>
    <x v="0"/>
    <m/>
    <m/>
    <m/>
    <m/>
    <x v="12"/>
    <m/>
    <m/>
    <m/>
    <m/>
  </r>
  <r>
    <x v="1"/>
    <x v="6"/>
    <s v="Europe and Central Asia"/>
    <s v="No Specific Relationship"/>
    <x v="0"/>
    <s v="CENTCOM"/>
    <x v="60"/>
    <x v="20"/>
    <n v="1"/>
    <s v="BL - Hosted"/>
    <s v="Liang Guanglie"/>
    <m/>
    <s v="Defense Minister; CMC Member"/>
    <n v="8"/>
    <x v="2"/>
    <s v="Defense Minister"/>
    <x v="0"/>
    <m/>
    <m/>
    <m/>
    <m/>
    <x v="12"/>
    <m/>
    <m/>
    <m/>
    <m/>
  </r>
  <r>
    <x v="1"/>
    <x v="2"/>
    <s v="America and Oceania"/>
    <s v="No Specific Relationship"/>
    <x v="2"/>
    <s v="NORTHCOM"/>
    <x v="4"/>
    <x v="20"/>
    <n v="1"/>
    <s v="BL - Hosted"/>
    <s v="Liang Guanglie"/>
    <m/>
    <s v="Defense Minister; CMC Member"/>
    <n v="8"/>
    <x v="2"/>
    <s v="Secretary of Defense"/>
    <x v="0"/>
    <m/>
    <m/>
    <m/>
    <m/>
    <x v="12"/>
    <m/>
    <m/>
    <m/>
    <m/>
  </r>
  <r>
    <x v="0"/>
    <x v="9"/>
    <s v="West Asia and Africa"/>
    <s v="No Specific Relationship"/>
    <x v="0"/>
    <s v="CENTCOM"/>
    <x v="119"/>
    <x v="20"/>
    <n v="2"/>
    <s v="Port Call - Replenish/Overhaul"/>
    <m/>
    <m/>
    <m/>
    <m/>
    <x v="0"/>
    <m/>
    <x v="0"/>
    <m/>
    <m/>
    <m/>
    <s v="ETF"/>
    <x v="38"/>
    <s v="East Sea Fleet"/>
    <s v="FFG529 Zhoushan, FFG530 Xuzhou, AOR886 Qingdao Hu"/>
    <m/>
    <m/>
  </r>
  <r>
    <x v="1"/>
    <x v="6"/>
    <s v="Europe and Central Asia"/>
    <s v="Comprehensive Strategic Partnership [全面战略伙伴关系]"/>
    <x v="0"/>
    <s v="CENTCOM"/>
    <x v="30"/>
    <x v="20"/>
    <n v="2"/>
    <s v="BL - Hosted"/>
    <s v="Liang Guanglie"/>
    <m/>
    <s v="Defense Minister; CMC Member"/>
    <n v="8"/>
    <x v="2"/>
    <s v="Defense Minister"/>
    <x v="0"/>
    <m/>
    <m/>
    <m/>
    <m/>
    <x v="12"/>
    <m/>
    <m/>
    <m/>
    <m/>
  </r>
  <r>
    <x v="1"/>
    <x v="0"/>
    <s v="Asia"/>
    <s v="Strategic Partnership [战略伙伴关系]"/>
    <x v="1"/>
    <s v="CENTCOM"/>
    <x v="2"/>
    <x v="20"/>
    <n v="2"/>
    <s v="BL - Hosted"/>
    <s v="Chen Bingde"/>
    <m/>
    <s v="GSD Commander; CMC Member"/>
    <n v="8"/>
    <x v="2"/>
    <m/>
    <x v="0"/>
    <m/>
    <m/>
    <m/>
    <m/>
    <x v="12"/>
    <m/>
    <m/>
    <m/>
    <m/>
  </r>
  <r>
    <x v="1"/>
    <x v="8"/>
    <s v="Europe and Central Asia"/>
    <s v="Strategic Partnership [战略伙伴关系]"/>
    <x v="5"/>
    <s v="EUCOM"/>
    <x v="59"/>
    <x v="20"/>
    <n v="2"/>
    <s v="BL - Hosted"/>
    <s v="Ma Xiaotian"/>
    <m/>
    <s v="GSD DCGS"/>
    <n v="6"/>
    <x v="2"/>
    <s v="Director for Military Foreign Affairs"/>
    <x v="0"/>
    <m/>
    <m/>
    <m/>
    <m/>
    <x v="12"/>
    <m/>
    <m/>
    <m/>
    <m/>
  </r>
  <r>
    <x v="1"/>
    <x v="10"/>
    <s v="America and Oceania"/>
    <s v="No Specific Relationship"/>
    <x v="0"/>
    <s v="SOUTHCOM"/>
    <x v="42"/>
    <x v="20"/>
    <n v="3"/>
    <s v="BL - Abroad"/>
    <s v="Ma Xiaotian"/>
    <m/>
    <s v="GSD DCGS"/>
    <n v="6"/>
    <x v="1"/>
    <s v="Defense Minister"/>
    <x v="0"/>
    <m/>
    <m/>
    <m/>
    <m/>
    <x v="12"/>
    <m/>
    <m/>
    <m/>
    <m/>
  </r>
  <r>
    <x v="0"/>
    <x v="8"/>
    <s v="Europe and Central Asia"/>
    <s v="Comprehensive Strategic Partnership [全面战略伙伴关系]"/>
    <x v="5"/>
    <s v="EUCOM"/>
    <x v="29"/>
    <x v="20"/>
    <n v="3"/>
    <s v="Port Call - Replenish/Overhaul"/>
    <m/>
    <m/>
    <m/>
    <m/>
    <x v="0"/>
    <m/>
    <x v="0"/>
    <m/>
    <m/>
    <m/>
    <s v="ETF"/>
    <x v="38"/>
    <s v="East Sea Fleet"/>
    <s v="FFG529 Zhoushan, FFG530 Xuzhou, AOR886 Qingdao Hu; Unknown, could also be ETF-8"/>
    <m/>
    <m/>
  </r>
  <r>
    <x v="1"/>
    <x v="1"/>
    <s v="Asia"/>
    <s v="Strategic Partnership [战略伙伴关系]"/>
    <x v="0"/>
    <s v="INDOPACOM"/>
    <x v="8"/>
    <x v="20"/>
    <n v="3"/>
    <s v="BL - Abroad"/>
    <s v="Ma Xiaotian"/>
    <m/>
    <s v="GSD DCGS"/>
    <n v="6"/>
    <x v="1"/>
    <s v="President"/>
    <x v="0"/>
    <m/>
    <m/>
    <m/>
    <m/>
    <x v="12"/>
    <m/>
    <m/>
    <m/>
    <m/>
  </r>
  <r>
    <x v="1"/>
    <x v="8"/>
    <s v="Europe and Central Asia"/>
    <s v="Comprehensive Strategic Partnership [全面战略伙伴关系]"/>
    <x v="5"/>
    <s v="EUCOM"/>
    <x v="20"/>
    <x v="20"/>
    <n v="3"/>
    <s v="BL - Hosted"/>
    <s v="Liang Guanglie"/>
    <m/>
    <s v="Defense Minister; CMC Member"/>
    <n v="8"/>
    <x v="2"/>
    <s v="Army Chief of Staff"/>
    <x v="0"/>
    <m/>
    <m/>
    <m/>
    <m/>
    <x v="12"/>
    <m/>
    <m/>
    <m/>
    <m/>
  </r>
  <r>
    <x v="1"/>
    <x v="6"/>
    <s v="Europe and Central Asia"/>
    <s v="Comprehensive Strategic Partnership [全面战略伙伴关系]"/>
    <x v="0"/>
    <s v="CENTCOM"/>
    <x v="30"/>
    <x v="20"/>
    <n v="3"/>
    <s v="BL - Abroad"/>
    <s v="Liang Guanglie"/>
    <m/>
    <s v="Defense Minister; CMC Member"/>
    <n v="8"/>
    <x v="1"/>
    <m/>
    <x v="0"/>
    <m/>
    <m/>
    <m/>
    <m/>
    <x v="12"/>
    <m/>
    <m/>
    <m/>
    <m/>
  </r>
  <r>
    <x v="1"/>
    <x v="6"/>
    <s v="Europe and Central Asia"/>
    <s v="No Specific Relationship"/>
    <x v="0"/>
    <s v="CENTCOM"/>
    <x v="31"/>
    <x v="20"/>
    <n v="3"/>
    <s v="ML - Margins"/>
    <s v="Liang Guanglie"/>
    <m/>
    <s v="Defense Minister; CMC Member"/>
    <n v="8"/>
    <x v="1"/>
    <s v="Defense Minister"/>
    <x v="0"/>
    <m/>
    <m/>
    <m/>
    <m/>
    <x v="12"/>
    <m/>
    <m/>
    <m/>
    <m/>
  </r>
  <r>
    <x v="1"/>
    <x v="1"/>
    <s v="Asia"/>
    <s v="Comprehensive Strategic Cooperative Partnership [全面战略合作伙伴关系]"/>
    <x v="0"/>
    <s v="INDOPACOM"/>
    <x v="1"/>
    <x v="20"/>
    <n v="3"/>
    <s v="BL - Abroad"/>
    <s v="Jia Tingan"/>
    <m/>
    <s v="GPD Deputy Director"/>
    <n v="6"/>
    <x v="1"/>
    <m/>
    <x v="0"/>
    <m/>
    <m/>
    <m/>
    <m/>
    <x v="12"/>
    <m/>
    <m/>
    <m/>
    <m/>
  </r>
  <r>
    <x v="1"/>
    <x v="0"/>
    <s v="Asia"/>
    <s v="All-Round Strategic Partnership  [全面合作伙伴关系]"/>
    <x v="0"/>
    <s v="INDOPACOM"/>
    <x v="32"/>
    <x v="20"/>
    <n v="3"/>
    <s v="BL - Abroad"/>
    <s v="Chen Bingde"/>
    <m/>
    <s v="GSD Commander; CMC Member"/>
    <n v="8"/>
    <x v="1"/>
    <s v="Chief of Staff Army"/>
    <x v="0"/>
    <m/>
    <m/>
    <m/>
    <m/>
    <x v="12"/>
    <m/>
    <m/>
    <m/>
    <m/>
  </r>
  <r>
    <x v="0"/>
    <x v="0"/>
    <s v="Asia"/>
    <s v="Strategic Partnership [战略伙伴关系]"/>
    <x v="1"/>
    <s v="CENTCOM"/>
    <x v="2"/>
    <x v="20"/>
    <n v="3"/>
    <s v="Port Call - Friendly Visit and Drills"/>
    <m/>
    <m/>
    <m/>
    <m/>
    <x v="0"/>
    <m/>
    <x v="0"/>
    <m/>
    <m/>
    <m/>
    <s v="ETF"/>
    <x v="39"/>
    <s v="East Sea Fleet"/>
    <s v="FFG525 Ma'anshan, FFG526 Wenzhou, AOR886 Qiandao Hu"/>
    <m/>
    <m/>
  </r>
  <r>
    <x v="2"/>
    <x v="0"/>
    <s v="Asia"/>
    <s v="Strategic Partnership [战略伙伴关系]"/>
    <x v="1"/>
    <s v="CENTCOM"/>
    <x v="2"/>
    <x v="20"/>
    <n v="3"/>
    <s v="Military Exercise - Multilateral"/>
    <m/>
    <m/>
    <m/>
    <m/>
    <x v="0"/>
    <m/>
    <x v="2"/>
    <s v="Aman"/>
    <s v="Navy"/>
    <s v="Special Forces; Pakistan and 13 other countries"/>
    <m/>
    <x v="12"/>
    <m/>
    <m/>
    <m/>
    <m/>
  </r>
  <r>
    <x v="2"/>
    <x v="0"/>
    <s v="Asia"/>
    <s v="Strategic Partnership [战略伙伴关系]"/>
    <x v="1"/>
    <s v="CENTCOM"/>
    <x v="2"/>
    <x v="20"/>
    <n v="3"/>
    <s v="Military Exercise - Bilateral"/>
    <m/>
    <m/>
    <m/>
    <m/>
    <x v="0"/>
    <m/>
    <x v="4"/>
    <s v="Unknown Karachi 2011"/>
    <s v="Navy"/>
    <s v="13 March 2011, joint drills and friendy visit from anti-piracy ETF, Six Years p. 129 - after Aman 2011"/>
    <m/>
    <x v="12"/>
    <m/>
    <m/>
    <m/>
    <m/>
  </r>
  <r>
    <x v="2"/>
    <x v="0"/>
    <s v="Asia"/>
    <s v="Strategic Partnership [战略伙伴关系]"/>
    <x v="1"/>
    <s v="CENTCOM"/>
    <x v="2"/>
    <x v="20"/>
    <n v="3"/>
    <s v="Military Exercise - Bilateral"/>
    <m/>
    <m/>
    <m/>
    <m/>
    <x v="0"/>
    <m/>
    <x v="3"/>
    <s v="Shaheen-1"/>
    <s v="Air Force"/>
    <s v="Operational aerial maneuvers"/>
    <m/>
    <x v="12"/>
    <m/>
    <m/>
    <m/>
    <m/>
  </r>
  <r>
    <x v="1"/>
    <x v="1"/>
    <s v="Asia"/>
    <s v="Strategic Cooperative Partnership [战略合作伙伴关系]"/>
    <x v="3"/>
    <s v="INDOPACOM"/>
    <x v="11"/>
    <x v="20"/>
    <n v="3"/>
    <s v="BL - Abroad"/>
    <s v="Jia Tingan"/>
    <m/>
    <s v="GPD Deputy Director"/>
    <n v="6"/>
    <x v="1"/>
    <m/>
    <x v="0"/>
    <m/>
    <m/>
    <m/>
    <m/>
    <x v="12"/>
    <m/>
    <m/>
    <m/>
    <m/>
  </r>
  <r>
    <x v="1"/>
    <x v="6"/>
    <s v="Europe and Central Asia"/>
    <s v="Member"/>
    <x v="0"/>
    <s v="CENTCOM"/>
    <x v="14"/>
    <x v="20"/>
    <n v="3"/>
    <s v="ML - Abroad"/>
    <s v="Liang Guanglie"/>
    <m/>
    <s v="Defense Minister; CMC Member"/>
    <n v="8"/>
    <x v="1"/>
    <s v="Eighth official meeting of the SCO Ministers' of Defense in Astana; Other countries: Kazakhstan, Kyrgyztan, Russia, Tajikistan, Uzbekistan"/>
    <x v="0"/>
    <m/>
    <m/>
    <m/>
    <m/>
    <x v="12"/>
    <m/>
    <m/>
    <s v="http://eng.sectsco.org/load/199343/"/>
    <m/>
  </r>
  <r>
    <x v="1"/>
    <x v="8"/>
    <s v="Europe and Central Asia"/>
    <s v="Comprehensive Strategic Partnership [全面战略伙伴关系]"/>
    <x v="5"/>
    <s v="EUCOM"/>
    <x v="21"/>
    <x v="20"/>
    <n v="3"/>
    <s v="BL - Hosted"/>
    <s v="Xu Caihou"/>
    <m/>
    <s v="CMC Vice Chairman"/>
    <n v="10"/>
    <x v="2"/>
    <s v="Retired British Generals"/>
    <x v="0"/>
    <m/>
    <m/>
    <m/>
    <m/>
    <x v="12"/>
    <m/>
    <m/>
    <m/>
    <m/>
  </r>
  <r>
    <x v="1"/>
    <x v="10"/>
    <s v="America and Oceania"/>
    <s v="No Specific Relationship"/>
    <x v="0"/>
    <s v="SOUTHCOM"/>
    <x v="107"/>
    <x v="20"/>
    <n v="3"/>
    <s v="BL - Abroad"/>
    <s v="Ma Xiaotian"/>
    <m/>
    <s v="GSD DCGS"/>
    <n v="6"/>
    <x v="1"/>
    <s v="Defense Minister"/>
    <x v="0"/>
    <m/>
    <m/>
    <m/>
    <m/>
    <x v="12"/>
    <m/>
    <m/>
    <m/>
    <m/>
  </r>
  <r>
    <x v="1"/>
    <x v="6"/>
    <s v="Europe and Central Asia"/>
    <s v="No Specific Relationship"/>
    <x v="0"/>
    <s v="CENTCOM"/>
    <x v="73"/>
    <x v="20"/>
    <n v="3"/>
    <s v="BL - Abroad"/>
    <s v="Liang Guanglie"/>
    <m/>
    <s v="Defense Minister; CMC Member"/>
    <n v="8"/>
    <x v="1"/>
    <m/>
    <x v="0"/>
    <m/>
    <m/>
    <m/>
    <m/>
    <x v="12"/>
    <m/>
    <m/>
    <m/>
    <m/>
  </r>
  <r>
    <x v="1"/>
    <x v="7"/>
    <s v="West Asia and Africa"/>
    <s v="Friendly Cooperative Relationship [友好合作关系]"/>
    <x v="0"/>
    <s v="AFRICOM"/>
    <x v="65"/>
    <x v="20"/>
    <n v="4"/>
    <s v="BL - Hosted"/>
    <s v="Guo Boxiong"/>
    <m/>
    <s v="CMC Vice Chairman"/>
    <n v="10"/>
    <x v="2"/>
    <s v="Defense Minister"/>
    <x v="0"/>
    <m/>
    <m/>
    <m/>
    <m/>
    <x v="12"/>
    <m/>
    <m/>
    <m/>
    <m/>
  </r>
  <r>
    <x v="1"/>
    <x v="8"/>
    <s v="Europe and Central Asia"/>
    <s v="No Specific Relationship"/>
    <x v="0"/>
    <s v="EUCOM"/>
    <x v="98"/>
    <x v="20"/>
    <n v="4"/>
    <s v="BL - Abroad"/>
    <s v="Ma Xiaotian"/>
    <m/>
    <s v="GSD DCGS"/>
    <n v="6"/>
    <x v="1"/>
    <s v="President"/>
    <x v="0"/>
    <m/>
    <m/>
    <m/>
    <m/>
    <x v="12"/>
    <m/>
    <m/>
    <m/>
    <m/>
  </r>
  <r>
    <x v="1"/>
    <x v="1"/>
    <s v="Asia"/>
    <s v="Strategic Partnership [战略伙伴关系]"/>
    <x v="0"/>
    <s v="INDOPACOM"/>
    <x v="8"/>
    <x v="20"/>
    <n v="4"/>
    <s v="BL - Hosted"/>
    <s v="Sun Jianguo"/>
    <m/>
    <s v="GSD DCGS"/>
    <n v="6"/>
    <x v="2"/>
    <s v="Deputy Chief of Staff Army"/>
    <x v="0"/>
    <m/>
    <m/>
    <m/>
    <m/>
    <x v="12"/>
    <m/>
    <m/>
    <m/>
    <m/>
  </r>
  <r>
    <x v="1"/>
    <x v="6"/>
    <s v="Europe and Central Asia"/>
    <s v="Comprehensive Strategic Partnership [全面战略伙伴关系]"/>
    <x v="0"/>
    <s v="CENTCOM"/>
    <x v="30"/>
    <x v="20"/>
    <n v="4"/>
    <s v="ML - Margins"/>
    <s v="Chen Bingde"/>
    <m/>
    <s v="GSD Commander; CMC Member"/>
    <n v="8"/>
    <x v="2"/>
    <s v="First Deputy Defense Minister"/>
    <x v="0"/>
    <m/>
    <m/>
    <m/>
    <m/>
    <x v="12"/>
    <m/>
    <m/>
    <m/>
    <m/>
  </r>
  <r>
    <x v="1"/>
    <x v="6"/>
    <s v="Europe and Central Asia"/>
    <s v="No Specific Relationship"/>
    <x v="0"/>
    <s v="CENTCOM"/>
    <x v="31"/>
    <x v="20"/>
    <n v="4"/>
    <s v="ML - Margins"/>
    <s v="Chen Bingde"/>
    <m/>
    <s v="GSD Commander; CMC Member"/>
    <n v="8"/>
    <x v="2"/>
    <s v="Deputy Defense Minister"/>
    <x v="0"/>
    <m/>
    <m/>
    <m/>
    <m/>
    <x v="12"/>
    <m/>
    <m/>
    <m/>
    <m/>
  </r>
  <r>
    <x v="0"/>
    <x v="9"/>
    <s v="West Asia and Africa"/>
    <s v="No Specific Relationship"/>
    <x v="0"/>
    <s v="CENTCOM"/>
    <x v="147"/>
    <x v="20"/>
    <n v="4"/>
    <s v="Port Call - Replenish/Overhaul"/>
    <m/>
    <m/>
    <m/>
    <m/>
    <x v="0"/>
    <m/>
    <x v="0"/>
    <m/>
    <m/>
    <m/>
    <s v="ETF"/>
    <x v="38"/>
    <s v="East Sea Fleet"/>
    <s v="FFG529 Zhoushan, FFG530 Xuzhou, AOR886 Qingdao Hu; Unknown, could also be ETF-8"/>
    <m/>
    <m/>
  </r>
  <r>
    <x v="1"/>
    <x v="8"/>
    <s v="Europe and Central Asia"/>
    <s v="Comprehensive Friendly Cooperative Partnership [全面友好合作伙伴关系]"/>
    <x v="5"/>
    <s v="EUCOM"/>
    <x v="33"/>
    <x v="20"/>
    <n v="4"/>
    <s v="BL - Hosted"/>
    <s v="Li Jinai"/>
    <m/>
    <s v="GPD Director; CMC Member"/>
    <n v="8"/>
    <x v="2"/>
    <s v="State Secretary of Defense Ministry"/>
    <x v="0"/>
    <m/>
    <m/>
    <m/>
    <m/>
    <x v="12"/>
    <m/>
    <m/>
    <m/>
    <m/>
  </r>
  <r>
    <x v="1"/>
    <x v="3"/>
    <s v="Europe and Central Asia"/>
    <s v="Strategic Partnership of Coordination [战略协作伙伴关系]"/>
    <x v="0"/>
    <s v="EUCOM"/>
    <x v="7"/>
    <x v="20"/>
    <n v="4"/>
    <s v="ML - Margins"/>
    <s v="Chen Bingde"/>
    <m/>
    <s v="GSD Commander; CMC Member"/>
    <n v="8"/>
    <x v="2"/>
    <s v="Deputy Defense Minister and COGS"/>
    <x v="0"/>
    <m/>
    <m/>
    <m/>
    <m/>
    <x v="12"/>
    <m/>
    <m/>
    <m/>
    <m/>
  </r>
  <r>
    <x v="1"/>
    <x v="6"/>
    <s v="Europe and Central Asia"/>
    <s v="Member"/>
    <x v="0"/>
    <s v="CENTCOM"/>
    <x v="14"/>
    <x v="20"/>
    <n v="4"/>
    <s v="ML - Hosted"/>
    <s v="Chen Bingde"/>
    <m/>
    <s v="GSD Commander; CMC Member"/>
    <n v="8"/>
    <x v="2"/>
    <s v="First meeting of SCO military chiefs of staff in Shanghai"/>
    <x v="0"/>
    <m/>
    <m/>
    <m/>
    <m/>
    <x v="12"/>
    <m/>
    <m/>
    <s v="http://www.china.org.cn/world/2011-04/26/content_22438509.htm"/>
    <m/>
  </r>
  <r>
    <x v="0"/>
    <x v="7"/>
    <s v="West Asia and Africa"/>
    <s v="No Specific Relationship"/>
    <x v="0"/>
    <s v="AFRICOM"/>
    <x v="139"/>
    <x v="20"/>
    <n v="4"/>
    <s v="Port Call - Friendly Visit"/>
    <m/>
    <m/>
    <m/>
    <m/>
    <x v="0"/>
    <m/>
    <x v="0"/>
    <m/>
    <m/>
    <m/>
    <s v="ETF"/>
    <x v="38"/>
    <s v="East Sea Fleet"/>
    <s v="FFG529 Zhoushan, FFG530 Xuzhou, AOR886 Qingdao Hu"/>
    <m/>
    <m/>
  </r>
  <r>
    <x v="0"/>
    <x v="7"/>
    <s v="West Asia and Africa"/>
    <s v="Comprehensive Strategic Partnership [全面战略伙伴关系]"/>
    <x v="0"/>
    <s v="AFRICOM"/>
    <x v="15"/>
    <x v="20"/>
    <n v="4"/>
    <s v="Port Call - Friendly Visit"/>
    <m/>
    <m/>
    <m/>
    <m/>
    <x v="0"/>
    <m/>
    <x v="0"/>
    <m/>
    <m/>
    <m/>
    <s v="ETF"/>
    <x v="38"/>
    <s v="East Sea Fleet"/>
    <s v="FFG529 Zhoushan, FFG530 Xuzhou, AOR886 Qingdao Hu"/>
    <m/>
    <m/>
  </r>
  <r>
    <x v="1"/>
    <x v="0"/>
    <s v="Asia"/>
    <s v="Comprehensive Cooperative Partnership [全面合作伙伴关系]"/>
    <x v="0"/>
    <s v="INDOPACOM"/>
    <x v="3"/>
    <x v="20"/>
    <n v="4"/>
    <s v="BL - Hosted"/>
    <s v="Chen Yong"/>
    <m/>
    <s v="GSD Assistant Commander"/>
    <n v="5"/>
    <x v="2"/>
    <m/>
    <x v="0"/>
    <m/>
    <m/>
    <m/>
    <m/>
    <x v="12"/>
    <m/>
    <m/>
    <m/>
    <m/>
  </r>
  <r>
    <x v="1"/>
    <x v="6"/>
    <s v="Europe and Central Asia"/>
    <s v="No Specific Relationship"/>
    <x v="0"/>
    <s v="CENTCOM"/>
    <x v="60"/>
    <x v="20"/>
    <n v="4"/>
    <s v="ML - Margins"/>
    <s v="Chen Bingde"/>
    <m/>
    <s v="GSD Commander; CMC Member"/>
    <n v="8"/>
    <x v="2"/>
    <m/>
    <x v="0"/>
    <m/>
    <m/>
    <m/>
    <m/>
    <x v="12"/>
    <m/>
    <m/>
    <m/>
    <m/>
  </r>
  <r>
    <x v="1"/>
    <x v="1"/>
    <s v="Asia"/>
    <s v="Strategic Partnership [战略伙伴关系]"/>
    <x v="3"/>
    <s v="INDOPACOM"/>
    <x v="5"/>
    <x v="20"/>
    <n v="4"/>
    <s v="BL - Hosted"/>
    <s v="Guo Boxiong"/>
    <m/>
    <s v="CMC Vice Chairman"/>
    <n v="10"/>
    <x v="2"/>
    <s v="First Deputy Prime Minister"/>
    <x v="0"/>
    <m/>
    <m/>
    <m/>
    <m/>
    <x v="12"/>
    <m/>
    <m/>
    <m/>
    <m/>
  </r>
  <r>
    <x v="1"/>
    <x v="8"/>
    <s v="Europe and Central Asia"/>
    <s v="Strategic Cooperative Partnership [战略合作伙伴关系]"/>
    <x v="5"/>
    <s v="EUCOM"/>
    <x v="38"/>
    <x v="20"/>
    <n v="4"/>
    <s v="BL - Abroad"/>
    <s v="Ma Xiaotian"/>
    <m/>
    <s v="GSD DCGS"/>
    <n v="6"/>
    <x v="1"/>
    <m/>
    <x v="0"/>
    <m/>
    <m/>
    <m/>
    <m/>
    <x v="12"/>
    <m/>
    <m/>
    <m/>
    <m/>
  </r>
  <r>
    <x v="1"/>
    <x v="8"/>
    <s v="Europe and Central Asia"/>
    <s v="Comprehensive Strategic Partnership [全面战略伙伴关系]"/>
    <x v="5"/>
    <s v="EUCOM"/>
    <x v="21"/>
    <x v="20"/>
    <n v="4"/>
    <s v="BL - Hosted"/>
    <s v="Chen Bingde"/>
    <m/>
    <s v="GSD Commander; CMC Member"/>
    <n v="8"/>
    <x v="2"/>
    <s v="Deputy Chief of Defense Staff"/>
    <x v="0"/>
    <m/>
    <m/>
    <m/>
    <m/>
    <x v="12"/>
    <m/>
    <m/>
    <m/>
    <m/>
  </r>
  <r>
    <x v="1"/>
    <x v="2"/>
    <s v="America and Oceania"/>
    <s v="No Specific Relationship"/>
    <x v="2"/>
    <s v="NORTHCOM"/>
    <x v="4"/>
    <x v="20"/>
    <n v="4"/>
    <s v="BL - Hosted"/>
    <s v="Chen Bingde"/>
    <m/>
    <s v="GSD Commander; CMC Member"/>
    <n v="8"/>
    <x v="2"/>
    <m/>
    <x v="0"/>
    <m/>
    <m/>
    <m/>
    <m/>
    <x v="12"/>
    <m/>
    <m/>
    <m/>
    <m/>
  </r>
  <r>
    <x v="1"/>
    <x v="6"/>
    <s v="Europe and Central Asia"/>
    <s v="No Specific Relationship"/>
    <x v="0"/>
    <s v="CENTCOM"/>
    <x v="73"/>
    <x v="20"/>
    <n v="4"/>
    <s v="ML - Margins"/>
    <s v="Chen Bingde"/>
    <m/>
    <s v="GSD Commander; CMC Member"/>
    <n v="8"/>
    <x v="2"/>
    <s v="Deputy Defense Minister"/>
    <x v="0"/>
    <m/>
    <m/>
    <m/>
    <m/>
    <x v="12"/>
    <m/>
    <m/>
    <m/>
    <m/>
  </r>
  <r>
    <x v="1"/>
    <x v="1"/>
    <s v="Asia"/>
    <s v="Comprehensive Strategic Cooperative Partnership [全面战略合作伙伴关系]"/>
    <x v="0"/>
    <s v="INDOPACOM"/>
    <x v="23"/>
    <x v="20"/>
    <n v="4"/>
    <s v="BL - Abroad"/>
    <s v="Guo Boxiong"/>
    <m/>
    <s v="CMC Vice Chairman"/>
    <n v="10"/>
    <x v="1"/>
    <s v="Defense Minister"/>
    <x v="0"/>
    <m/>
    <m/>
    <m/>
    <m/>
    <x v="12"/>
    <m/>
    <m/>
    <m/>
    <m/>
  </r>
  <r>
    <x v="1"/>
    <x v="7"/>
    <s v="West Asia and Africa"/>
    <s v="No Specific Relationship"/>
    <x v="0"/>
    <s v="AFRICOM"/>
    <x v="61"/>
    <x v="20"/>
    <n v="4"/>
    <s v="BL - Hosted"/>
    <s v="Liang Guanglie"/>
    <m/>
    <s v="Defense Minister; CMC Member"/>
    <n v="8"/>
    <x v="2"/>
    <s v="Army Commander LTG"/>
    <x v="0"/>
    <m/>
    <m/>
    <m/>
    <m/>
    <x v="12"/>
    <m/>
    <m/>
    <m/>
    <m/>
  </r>
  <r>
    <x v="1"/>
    <x v="1"/>
    <s v="Asia"/>
    <s v="Strategic Partnership [战略伙伴关系] for Peace and Prosperity"/>
    <x v="0"/>
    <s v="INDOPACOM"/>
    <x v="153"/>
    <x v="20"/>
    <n v="5"/>
    <s v="ML - Abroad"/>
    <s v="Liang Guanglie"/>
    <m/>
    <s v="Defense Minister; CMC Member"/>
    <n v="8"/>
    <x v="1"/>
    <s v="First China-ASEAN Defense Ministers' Informal Meeting in Indonesia"/>
    <x v="0"/>
    <m/>
    <m/>
    <m/>
    <m/>
    <x v="12"/>
    <m/>
    <m/>
    <s v="https://aidsdatahub.org/sites/default/files/documents/ASEAN_annual_report_2011_7.10.pdf"/>
    <s v="corrected partnership to strategic partnership for peace and prosperity"/>
  </r>
  <r>
    <x v="1"/>
    <x v="8"/>
    <s v="Europe and Central Asia"/>
    <s v="Strategic Partnership [战略伙伴关系]"/>
    <x v="5"/>
    <s v="EUCOM"/>
    <x v="18"/>
    <x v="20"/>
    <n v="5"/>
    <s v="BL - Abroad"/>
    <s v="Zhang Qinsheng"/>
    <m/>
    <s v="GSD DCGS"/>
    <n v="6"/>
    <x v="1"/>
    <m/>
    <x v="0"/>
    <m/>
    <m/>
    <m/>
    <m/>
    <x v="12"/>
    <m/>
    <m/>
    <m/>
    <m/>
  </r>
  <r>
    <x v="1"/>
    <x v="1"/>
    <s v="Asia"/>
    <s v="Strategic Partnership [战略伙伴关系]"/>
    <x v="0"/>
    <s v="INDOPACOM"/>
    <x v="8"/>
    <x v="20"/>
    <n v="5"/>
    <s v="BL - Abroad"/>
    <s v="Liang Guanglie"/>
    <m/>
    <s v="Defense Minister; CMC Member"/>
    <n v="8"/>
    <x v="1"/>
    <m/>
    <x v="0"/>
    <m/>
    <m/>
    <m/>
    <m/>
    <x v="12"/>
    <m/>
    <m/>
    <m/>
    <m/>
  </r>
  <r>
    <x v="1"/>
    <x v="1"/>
    <s v="Asia"/>
    <s v="Comprehensive Strategic Cooperative Partnership [全面战略合作伙伴关系]"/>
    <x v="0"/>
    <s v="INDOPACOM"/>
    <x v="52"/>
    <x v="20"/>
    <n v="5"/>
    <s v="BL - Hosted"/>
    <s v="Chen Yong"/>
    <m/>
    <s v="GSD Assistant Commander"/>
    <n v="5"/>
    <x v="2"/>
    <m/>
    <x v="0"/>
    <m/>
    <m/>
    <m/>
    <m/>
    <x v="12"/>
    <m/>
    <m/>
    <m/>
    <m/>
  </r>
  <r>
    <x v="1"/>
    <x v="1"/>
    <s v="Asia"/>
    <s v="Comprehensive Strategic Cooperative Partnership [全面战略合作伙伴关系]"/>
    <x v="0"/>
    <s v="INDOPACOM"/>
    <x v="1"/>
    <x v="20"/>
    <n v="5"/>
    <s v="BL - Abroad"/>
    <s v="Xu Caihou"/>
    <m/>
    <s v="CMC Vice Chairman"/>
    <n v="10"/>
    <x v="1"/>
    <s v="CinC Armed Forces"/>
    <x v="0"/>
    <m/>
    <m/>
    <m/>
    <m/>
    <x v="12"/>
    <m/>
    <m/>
    <m/>
    <m/>
  </r>
  <r>
    <x v="1"/>
    <x v="4"/>
    <s v="Asia"/>
    <s v="Bilateral Defense Treaty"/>
    <x v="0"/>
    <s v="INDOPACOM"/>
    <x v="9"/>
    <x v="20"/>
    <n v="5"/>
    <s v="BL - Hosted"/>
    <s v="Chen Yong"/>
    <m/>
    <s v="GSD Assistant Commander"/>
    <n v="5"/>
    <x v="2"/>
    <m/>
    <x v="0"/>
    <m/>
    <m/>
    <m/>
    <m/>
    <x v="12"/>
    <m/>
    <m/>
    <m/>
    <m/>
  </r>
  <r>
    <x v="1"/>
    <x v="10"/>
    <s v="America and Oceania"/>
    <s v="Strategic Partnership [战略伙伴关系]"/>
    <x v="0"/>
    <s v="SOUTHCOM"/>
    <x v="54"/>
    <x v="20"/>
    <n v="5"/>
    <s v="BL - Hosted"/>
    <s v="Liang Guanglie"/>
    <m/>
    <s v="Defense Minister; CMC Member"/>
    <n v="8"/>
    <x v="2"/>
    <s v="Defense Minister"/>
    <x v="0"/>
    <m/>
    <m/>
    <m/>
    <m/>
    <x v="12"/>
    <m/>
    <m/>
    <m/>
    <m/>
  </r>
  <r>
    <x v="1"/>
    <x v="1"/>
    <s v="Asia"/>
    <s v="Strategic Cooperative Partnership [战略合作伙伴关系]"/>
    <x v="3"/>
    <s v="INDOPACOM"/>
    <x v="11"/>
    <x v="20"/>
    <n v="5"/>
    <s v="BL - Abroad"/>
    <s v="Liang Guanglie"/>
    <m/>
    <s v="Defense Minister; CMC Member"/>
    <n v="8"/>
    <x v="1"/>
    <m/>
    <x v="0"/>
    <m/>
    <m/>
    <m/>
    <m/>
    <x v="12"/>
    <m/>
    <m/>
    <m/>
    <m/>
  </r>
  <r>
    <x v="2"/>
    <x v="6"/>
    <s v="Europe and Central Asia"/>
    <s v="Member"/>
    <x v="0"/>
    <s v="CENTCOM"/>
    <x v="14"/>
    <x v="20"/>
    <n v="5"/>
    <s v="Military Exercise - Multilateral"/>
    <m/>
    <m/>
    <m/>
    <m/>
    <x v="0"/>
    <m/>
    <x v="1"/>
    <s v="Tianshan-2"/>
    <s v="PAP"/>
    <s v="Countries: Kyrgyzstan, Tajikstan; held in Kashi"/>
    <m/>
    <x v="12"/>
    <m/>
    <m/>
    <s v="http://eng.chinamil.com.cn/news-channels/china-military-news/2011-05/07/content_4431956.htm"/>
    <s v="Page "/>
  </r>
  <r>
    <x v="1"/>
    <x v="8"/>
    <s v="Europe and Central Asia"/>
    <s v="Strategic Partnership [战略伙伴关系]"/>
    <x v="0"/>
    <s v="EUCOM"/>
    <x v="112"/>
    <x v="20"/>
    <n v="5"/>
    <s v="BL - Hosted"/>
    <s v="Chen Bingde"/>
    <m/>
    <s v="GSD Commander; CMC Member"/>
    <n v="8"/>
    <x v="2"/>
    <m/>
    <x v="0"/>
    <m/>
    <m/>
    <m/>
    <m/>
    <x v="12"/>
    <m/>
    <m/>
    <m/>
    <m/>
  </r>
  <r>
    <x v="1"/>
    <x v="1"/>
    <s v="Asia"/>
    <s v="No Specific Relationship"/>
    <x v="0"/>
    <s v="INDOPACOM"/>
    <x v="39"/>
    <x v="20"/>
    <n v="5"/>
    <s v="BL - Abroad"/>
    <s v="Liang Guanglie"/>
    <m/>
    <s v="Defense Minister; CMC Member"/>
    <n v="8"/>
    <x v="1"/>
    <m/>
    <x v="0"/>
    <m/>
    <m/>
    <m/>
    <m/>
    <x v="12"/>
    <m/>
    <m/>
    <m/>
    <m/>
  </r>
  <r>
    <x v="1"/>
    <x v="8"/>
    <s v="Europe and Central Asia"/>
    <s v="No Specific Relationship"/>
    <x v="0"/>
    <s v="EUCOM"/>
    <x v="92"/>
    <x v="20"/>
    <n v="5"/>
    <s v="BL - Abroad"/>
    <s v="Chen Bingde"/>
    <m/>
    <s v="GSD Commander; CMC Member"/>
    <n v="8"/>
    <x v="1"/>
    <s v="Supreme Commander Armed Forces"/>
    <x v="0"/>
    <m/>
    <m/>
    <m/>
    <m/>
    <x v="12"/>
    <m/>
    <m/>
    <m/>
    <m/>
  </r>
  <r>
    <x v="1"/>
    <x v="8"/>
    <s v="Europe and Central Asia"/>
    <s v="Comprehensive Strategic Partnership [全面战略伙伴关系]"/>
    <x v="5"/>
    <s v="EUCOM"/>
    <x v="21"/>
    <x v="20"/>
    <n v="5"/>
    <s v="BL - Abroad"/>
    <s v="Zhang Qinsheng"/>
    <m/>
    <s v="GSD DCGS"/>
    <n v="6"/>
    <x v="1"/>
    <m/>
    <x v="0"/>
    <m/>
    <m/>
    <m/>
    <m/>
    <x v="12"/>
    <m/>
    <m/>
    <m/>
    <m/>
  </r>
  <r>
    <x v="1"/>
    <x v="2"/>
    <s v="America and Oceania"/>
    <s v="No Specific Relationship"/>
    <x v="2"/>
    <s v="NORTHCOM"/>
    <x v="4"/>
    <x v="20"/>
    <n v="5"/>
    <s v="BL - Abroad"/>
    <s v="Chen Bingde"/>
    <m/>
    <s v="GSD Commander; CMC Member"/>
    <n v="8"/>
    <x v="1"/>
    <m/>
    <x v="0"/>
    <m/>
    <m/>
    <m/>
    <m/>
    <x v="12"/>
    <m/>
    <m/>
    <m/>
    <m/>
  </r>
  <r>
    <x v="1"/>
    <x v="5"/>
    <s v="America and Oceania"/>
    <s v="No Specific Relationship"/>
    <x v="4"/>
    <s v="INDOPACOM"/>
    <x v="12"/>
    <x v="20"/>
    <n v="6"/>
    <s v="ML - Margins"/>
    <s v="Liang Guanglie"/>
    <m/>
    <s v="Defense Minister; CMC Member"/>
    <n v="8"/>
    <x v="1"/>
    <s v="Defense Minister"/>
    <x v="0"/>
    <m/>
    <m/>
    <m/>
    <m/>
    <x v="12"/>
    <m/>
    <m/>
    <m/>
    <s v="10th Shangri-La Dialogue"/>
  </r>
  <r>
    <x v="1"/>
    <x v="8"/>
    <s v="Europe and Central Asia"/>
    <s v="Strategic Partnership [战略伙伴关系]"/>
    <x v="5"/>
    <s v="EUCOM"/>
    <x v="34"/>
    <x v="20"/>
    <n v="6"/>
    <s v="BL - Hosted"/>
    <s v="Chen Bingde"/>
    <m/>
    <s v="GSD Commander; CMC Member"/>
    <n v="8"/>
    <x v="2"/>
    <s v="COGS"/>
    <x v="0"/>
    <m/>
    <m/>
    <m/>
    <m/>
    <x v="12"/>
    <m/>
    <m/>
    <m/>
    <m/>
  </r>
  <r>
    <x v="1"/>
    <x v="1"/>
    <s v="Asia"/>
    <s v="Comprehensive Strategic Cooperative Partnership [全面战略合作伙伴关系]"/>
    <x v="0"/>
    <s v="INDOPACOM"/>
    <x v="94"/>
    <x v="20"/>
    <n v="6"/>
    <s v="BL - Hosted"/>
    <s v="Liang Guanglie"/>
    <m/>
    <s v="Defense Minister; CMC Member"/>
    <n v="8"/>
    <x v="2"/>
    <m/>
    <x v="0"/>
    <m/>
    <m/>
    <m/>
    <m/>
    <x v="12"/>
    <m/>
    <m/>
    <m/>
    <m/>
  </r>
  <r>
    <x v="1"/>
    <x v="10"/>
    <s v="America and Oceania"/>
    <s v="Comprehensive Partnership [全面伙伴关系]"/>
    <x v="0"/>
    <s v="SOUTHCOM"/>
    <x v="66"/>
    <x v="20"/>
    <n v="6"/>
    <s v="BL - Hosted"/>
    <s v="Wu Shengli"/>
    <m/>
    <s v="PLAN Commander; CMC Member"/>
    <n v="8"/>
    <x v="2"/>
    <s v="Navy Commander"/>
    <x v="0"/>
    <m/>
    <m/>
    <m/>
    <m/>
    <x v="12"/>
    <m/>
    <m/>
    <m/>
    <m/>
  </r>
  <r>
    <x v="1"/>
    <x v="8"/>
    <s v="Europe and Central Asia"/>
    <s v="Comprehensive Strategic Partnership [全面战略伙伴关系]"/>
    <x v="5"/>
    <s v="EUCOM"/>
    <x v="29"/>
    <x v="20"/>
    <n v="6"/>
    <s v="BL - Hosted"/>
    <s v="Liang Guanglie"/>
    <m/>
    <s v="Defense Minister; CMC Member"/>
    <n v="8"/>
    <x v="2"/>
    <s v="COGS"/>
    <x v="0"/>
    <m/>
    <m/>
    <m/>
    <m/>
    <x v="12"/>
    <m/>
    <m/>
    <m/>
    <m/>
  </r>
  <r>
    <x v="1"/>
    <x v="1"/>
    <s v="Asia"/>
    <s v="No Specific Relationship"/>
    <x v="0"/>
    <s v="INDOPACOM"/>
    <x v="137"/>
    <x v="20"/>
    <n v="6"/>
    <s v="ML - Abroad"/>
    <s v="Liang Guanglie"/>
    <m/>
    <s v="Defense Minister; CMC Member"/>
    <n v="8"/>
    <x v="1"/>
    <s v="10th Shangri-La Dialogue"/>
    <x v="0"/>
    <m/>
    <m/>
    <m/>
    <m/>
    <x v="12"/>
    <m/>
    <m/>
    <m/>
    <m/>
  </r>
  <r>
    <x v="1"/>
    <x v="0"/>
    <s v="Asia"/>
    <s v="Strategic Partnership for Peace and Prosperity [战略伙伴关系]"/>
    <x v="0"/>
    <s v="INDOPACOM"/>
    <x v="6"/>
    <x v="20"/>
    <n v="6"/>
    <s v="ML - Margins"/>
    <s v="Liang Guanglie"/>
    <m/>
    <s v="Defense Minister; CMC Member"/>
    <n v="8"/>
    <x v="1"/>
    <s v="Minister of State for Defense"/>
    <x v="0"/>
    <m/>
    <m/>
    <m/>
    <m/>
    <x v="12"/>
    <m/>
    <m/>
    <m/>
    <s v="10th Shangri-La Dialogue"/>
  </r>
  <r>
    <x v="2"/>
    <x v="1"/>
    <s v="Asia"/>
    <s v="Strategic Partnership [战略伙伴关系]"/>
    <x v="0"/>
    <s v="INDOPACOM"/>
    <x v="8"/>
    <x v="20"/>
    <n v="6"/>
    <s v="Military Exercise - Bilateral"/>
    <m/>
    <m/>
    <m/>
    <m/>
    <x v="0"/>
    <m/>
    <x v="1"/>
    <s v="Sharp Knife 2011"/>
    <s v="Air Force"/>
    <s v="Airborne forces"/>
    <m/>
    <x v="12"/>
    <m/>
    <m/>
    <m/>
    <m/>
  </r>
  <r>
    <x v="1"/>
    <x v="9"/>
    <s v="West Asia and Africa"/>
    <s v="No Specific Relationship"/>
    <x v="1"/>
    <s v="CENTCOM"/>
    <x v="100"/>
    <x v="20"/>
    <n v="6"/>
    <s v="BL - Hosted"/>
    <s v="Chen Bingde"/>
    <m/>
    <s v="GSD Commander; CMC Member"/>
    <n v="8"/>
    <x v="2"/>
    <s v="Deputy Prime Minister and Defense Minister"/>
    <x v="0"/>
    <m/>
    <m/>
    <m/>
    <m/>
    <x v="12"/>
    <m/>
    <m/>
    <m/>
    <m/>
  </r>
  <r>
    <x v="1"/>
    <x v="4"/>
    <s v="Asia"/>
    <s v="Mutually Beneficial Strategic Relationship [战略互惠关系]"/>
    <x v="3"/>
    <s v="INDOPACOM"/>
    <x v="83"/>
    <x v="20"/>
    <n v="6"/>
    <s v="ML - Margins"/>
    <s v="Liang Guanglie"/>
    <m/>
    <s v="Defense Minister; CMC Member"/>
    <n v="8"/>
    <x v="2"/>
    <s v="Former NE Army Region Commander, JGSDF"/>
    <x v="0"/>
    <m/>
    <m/>
    <m/>
    <m/>
    <x v="12"/>
    <m/>
    <m/>
    <m/>
    <s v="10th Shangri-La Dialogue"/>
  </r>
  <r>
    <x v="1"/>
    <x v="5"/>
    <s v="America and Oceania"/>
    <s v="No Specific Relationship"/>
    <x v="4"/>
    <s v="INDOPACOM"/>
    <x v="13"/>
    <x v="20"/>
    <n v="6"/>
    <s v="ML - Margins"/>
    <s v="Liang Guanglie"/>
    <m/>
    <s v="Defense Minister; CMC Member"/>
    <n v="8"/>
    <x v="1"/>
    <s v="Defense Minister"/>
    <x v="0"/>
    <m/>
    <m/>
    <m/>
    <m/>
    <x v="12"/>
    <m/>
    <m/>
    <m/>
    <s v="10th Shangri-La Dialogue"/>
  </r>
  <r>
    <x v="0"/>
    <x v="9"/>
    <s v="West Asia and Africa"/>
    <s v="No Specific Relationship"/>
    <x v="0"/>
    <s v="CENTCOM"/>
    <x v="147"/>
    <x v="20"/>
    <n v="6"/>
    <s v="Port Call - Replenish/Overhaul"/>
    <m/>
    <m/>
    <m/>
    <m/>
    <x v="0"/>
    <m/>
    <x v="0"/>
    <m/>
    <m/>
    <m/>
    <s v="ETF"/>
    <x v="39"/>
    <s v="East Sea Fleet"/>
    <s v="FFG525 Ma'anshan, FFG526 Wenzhou, AOR886 Qiandao Hu"/>
    <m/>
    <m/>
  </r>
  <r>
    <x v="1"/>
    <x v="8"/>
    <s v="Europe and Central Asia"/>
    <s v="Comprehensive Strategic Partnership [全面战略伙伴关系]"/>
    <x v="5"/>
    <s v="EUCOM"/>
    <x v="48"/>
    <x v="20"/>
    <n v="6"/>
    <s v="BL - Hosted"/>
    <s v="Liang Guanglie"/>
    <m/>
    <s v="Defense Minister; CMC Member"/>
    <n v="8"/>
    <x v="2"/>
    <s v="Army Chief of Staff"/>
    <x v="0"/>
    <m/>
    <m/>
    <m/>
    <m/>
    <x v="12"/>
    <m/>
    <m/>
    <m/>
    <m/>
  </r>
  <r>
    <x v="1"/>
    <x v="8"/>
    <s v="Europe and Central Asia"/>
    <s v="Comprehensive Friendly Cooperative Partnership [全面友好合作伙伴关系]"/>
    <x v="5"/>
    <s v="EUCOM"/>
    <x v="33"/>
    <x v="20"/>
    <n v="6"/>
    <s v="BL - Hosted"/>
    <s v="Liang Guanglie"/>
    <m/>
    <s v="Defense Minister; CMC Member"/>
    <n v="8"/>
    <x v="2"/>
    <s v="Naval Chief"/>
    <x v="0"/>
    <m/>
    <m/>
    <m/>
    <m/>
    <x v="12"/>
    <m/>
    <m/>
    <m/>
    <m/>
  </r>
  <r>
    <x v="1"/>
    <x v="3"/>
    <s v="Europe and Central Asia"/>
    <s v="Strategic Partnership of Coordination [战略协作伙伴关系]"/>
    <x v="0"/>
    <s v="EUCOM"/>
    <x v="7"/>
    <x v="20"/>
    <n v="6"/>
    <s v="BL - Abroad"/>
    <s v="Liang Guanglie"/>
    <m/>
    <s v="Defense Minister; CMC Member"/>
    <n v="8"/>
    <x v="1"/>
    <s v="Deputy Prime Minister"/>
    <x v="0"/>
    <m/>
    <m/>
    <m/>
    <m/>
    <x v="12"/>
    <m/>
    <m/>
    <m/>
    <m/>
  </r>
  <r>
    <x v="1"/>
    <x v="1"/>
    <s v="Asia"/>
    <s v="No Specific Relationship"/>
    <x v="0"/>
    <s v="INDOPACOM"/>
    <x v="39"/>
    <x v="20"/>
    <n v="6"/>
    <s v="BL - Abroad"/>
    <s v="Wu Shengli"/>
    <m/>
    <s v="PLAN Commander; CMC Member"/>
    <n v="8"/>
    <x v="1"/>
    <m/>
    <x v="0"/>
    <m/>
    <m/>
    <m/>
    <m/>
    <x v="12"/>
    <m/>
    <m/>
    <m/>
    <m/>
  </r>
  <r>
    <x v="1"/>
    <x v="8"/>
    <s v="Europe and Central Asia"/>
    <s v="No Specific Relationship"/>
    <x v="5"/>
    <s v="EUCOM"/>
    <x v="154"/>
    <x v="20"/>
    <n v="6"/>
    <s v="BL - Hosted"/>
    <s v="Xu Caihou"/>
    <m/>
    <s v="CMC Vice Chairman"/>
    <n v="10"/>
    <x v="2"/>
    <s v="Defense Minister"/>
    <x v="0"/>
    <m/>
    <m/>
    <m/>
    <m/>
    <x v="12"/>
    <m/>
    <m/>
    <m/>
    <m/>
  </r>
  <r>
    <x v="1"/>
    <x v="7"/>
    <s v="West Asia and Africa"/>
    <s v="No Specific Relationship"/>
    <x v="0"/>
    <s v="AFRICOM"/>
    <x v="16"/>
    <x v="20"/>
    <n v="6"/>
    <s v="BL - Hosted"/>
    <s v="Chen Bingde"/>
    <m/>
    <s v="GSD Commander; CMC Member"/>
    <n v="8"/>
    <x v="2"/>
    <s v="Chief of Defense Forces"/>
    <x v="0"/>
    <m/>
    <m/>
    <m/>
    <m/>
    <x v="12"/>
    <m/>
    <m/>
    <m/>
    <m/>
  </r>
  <r>
    <x v="1"/>
    <x v="8"/>
    <s v="Europe and Central Asia"/>
    <s v="Comprehensive Strategic Partnership [全面战略伙伴关系]"/>
    <x v="5"/>
    <s v="EUCOM"/>
    <x v="21"/>
    <x v="20"/>
    <n v="6"/>
    <s v="BL - Hosted"/>
    <s v="Ma Xiaotian"/>
    <m/>
    <s v="GSD DCGS"/>
    <n v="6"/>
    <x v="2"/>
    <s v="Director General of International Security policy of Defense Ministry"/>
    <x v="0"/>
    <m/>
    <m/>
    <m/>
    <m/>
    <x v="12"/>
    <m/>
    <m/>
    <m/>
    <m/>
  </r>
  <r>
    <x v="1"/>
    <x v="2"/>
    <s v="America and Oceania"/>
    <s v="No Specific Relationship"/>
    <x v="2"/>
    <s v="NORTHCOM"/>
    <x v="4"/>
    <x v="20"/>
    <n v="6"/>
    <s v="ML - Margins"/>
    <s v="Liang Guanglie"/>
    <m/>
    <s v="Defense Minister; CMC Member"/>
    <n v="8"/>
    <x v="1"/>
    <s v="Secretary of Defense"/>
    <x v="0"/>
    <m/>
    <m/>
    <m/>
    <m/>
    <x v="12"/>
    <m/>
    <m/>
    <m/>
    <s v="10th Shangri-La Dialogue"/>
  </r>
  <r>
    <x v="1"/>
    <x v="1"/>
    <s v="Asia"/>
    <s v="Comprehensive Strategic Cooperative Partnership [全面战略合作伙伴关系]"/>
    <x v="0"/>
    <s v="INDOPACOM"/>
    <x v="23"/>
    <x v="20"/>
    <n v="6"/>
    <s v="ML - Margins"/>
    <s v="Liang Guanglie"/>
    <m/>
    <s v="Defense Minister; CMC Member"/>
    <n v="8"/>
    <x v="1"/>
    <s v="Defense Minister"/>
    <x v="0"/>
    <m/>
    <m/>
    <m/>
    <m/>
    <x v="12"/>
    <m/>
    <m/>
    <m/>
    <s v="10th Shangri-La Dialogue"/>
  </r>
  <r>
    <x v="1"/>
    <x v="0"/>
    <s v="Asia"/>
    <s v="Comprehensive Cooperative Partnership [全面合作伙伴关系]"/>
    <x v="0"/>
    <s v="INDOPACOM"/>
    <x v="0"/>
    <x v="20"/>
    <n v="7"/>
    <s v="BL - Hosted"/>
    <s v="Ma Xiaotian"/>
    <m/>
    <s v="GSD DCGS"/>
    <n v="6"/>
    <x v="2"/>
    <m/>
    <x v="0"/>
    <m/>
    <m/>
    <m/>
    <m/>
    <x v="12"/>
    <m/>
    <m/>
    <m/>
    <m/>
  </r>
  <r>
    <x v="2"/>
    <x v="8"/>
    <s v="Europe and Central Asia"/>
    <s v="Strategic Partnership [战略伙伴关系]"/>
    <x v="0"/>
    <s v="EUCOM"/>
    <x v="34"/>
    <x v="20"/>
    <n v="7"/>
    <s v="Military Exercise - Bilateral"/>
    <m/>
    <m/>
    <m/>
    <m/>
    <x v="0"/>
    <m/>
    <x v="1"/>
    <s v="Divine Eagle 2011"/>
    <s v="Air Force"/>
    <s v="Airborne forces"/>
    <m/>
    <x v="12"/>
    <m/>
    <m/>
    <s v=" http://usa.chinadaily.com.cn/china/2012-12/06/content_15991982.htm"/>
    <m/>
  </r>
  <r>
    <x v="1"/>
    <x v="9"/>
    <s v="West Asia and Africa"/>
    <s v="No Specific Relationship"/>
    <x v="0"/>
    <s v="CENTCOM"/>
    <x v="119"/>
    <x v="20"/>
    <n v="7"/>
    <s v="BL - Hosted"/>
    <s v="Wu Shengli"/>
    <m/>
    <s v="PLAN Commander; CMC Member"/>
    <n v="8"/>
    <x v="2"/>
    <s v="Navy Commander"/>
    <x v="0"/>
    <m/>
    <m/>
    <m/>
    <m/>
    <x v="12"/>
    <m/>
    <m/>
    <m/>
    <m/>
  </r>
  <r>
    <x v="1"/>
    <x v="4"/>
    <s v="Asia"/>
    <s v="Mutually Beneficial Strategic Relationship [战略互惠关系]"/>
    <x v="3"/>
    <s v="INDOPACOM"/>
    <x v="83"/>
    <x v="20"/>
    <n v="7"/>
    <s v="BL - Abroad"/>
    <s v="Ma Xiaotian"/>
    <m/>
    <s v="GSD DCGS"/>
    <n v="6"/>
    <x v="1"/>
    <s v="Defense Minister"/>
    <x v="0"/>
    <m/>
    <m/>
    <m/>
    <m/>
    <x v="12"/>
    <m/>
    <m/>
    <m/>
    <m/>
  </r>
  <r>
    <x v="1"/>
    <x v="1"/>
    <s v="Asia"/>
    <s v="Comprehensive Strategic Cooperative Partnership [全面战略合作伙伴关系]"/>
    <x v="0"/>
    <s v="INDOPACOM"/>
    <x v="52"/>
    <x v="20"/>
    <n v="7"/>
    <s v="BL - Hosted"/>
    <s v="Guo Boxiong"/>
    <m/>
    <s v="CMC Vice Chairman"/>
    <n v="10"/>
    <x v="2"/>
    <s v="COGS"/>
    <x v="0"/>
    <m/>
    <m/>
    <m/>
    <m/>
    <x v="12"/>
    <m/>
    <m/>
    <m/>
    <m/>
  </r>
  <r>
    <x v="1"/>
    <x v="4"/>
    <s v="Asia"/>
    <s v="Bilateral Defense Treaty"/>
    <x v="0"/>
    <s v="INDOPACOM"/>
    <x v="9"/>
    <x v="20"/>
    <n v="7"/>
    <s v="BL - Hosted"/>
    <s v="Jia Tingan"/>
    <m/>
    <s v="GPD Deputy Director"/>
    <n v="6"/>
    <x v="2"/>
    <m/>
    <x v="0"/>
    <m/>
    <m/>
    <m/>
    <m/>
    <x v="12"/>
    <m/>
    <m/>
    <m/>
    <m/>
  </r>
  <r>
    <x v="1"/>
    <x v="0"/>
    <s v="Asia"/>
    <s v="Strategic Partnership [战略伙伴关系]"/>
    <x v="1"/>
    <s v="CENTCOM"/>
    <x v="2"/>
    <x v="20"/>
    <n v="7"/>
    <s v="BL - Hosted"/>
    <s v="Ma Xiaotian"/>
    <m/>
    <s v="GSD DCGS"/>
    <n v="6"/>
    <x v="2"/>
    <s v="Army COGS"/>
    <x v="0"/>
    <m/>
    <m/>
    <m/>
    <m/>
    <x v="12"/>
    <m/>
    <m/>
    <m/>
    <m/>
  </r>
  <r>
    <x v="1"/>
    <x v="4"/>
    <s v="Asia"/>
    <s v="Strategic Cooperative Partnership [战略合作伙伴关系]"/>
    <x v="3"/>
    <s v="INDOPACOM"/>
    <x v="25"/>
    <x v="20"/>
    <n v="7"/>
    <s v="BL - Hosted"/>
    <s v="Liang Guanglie"/>
    <m/>
    <s v="Defense Minister; CMC Member"/>
    <n v="8"/>
    <x v="2"/>
    <s v="Defense Minister"/>
    <x v="0"/>
    <m/>
    <m/>
    <m/>
    <m/>
    <x v="12"/>
    <m/>
    <m/>
    <m/>
    <m/>
  </r>
  <r>
    <x v="1"/>
    <x v="8"/>
    <s v="Europe and Central Asia"/>
    <s v="No Specific Relationship"/>
    <x v="0"/>
    <s v="EUCOM"/>
    <x v="78"/>
    <x v="20"/>
    <n v="7"/>
    <s v="BL - Hosted"/>
    <s v="Guo Boxiong"/>
    <m/>
    <s v="CMC Vice Chairman"/>
    <n v="10"/>
    <x v="2"/>
    <s v="Defense Minister"/>
    <x v="0"/>
    <m/>
    <m/>
    <m/>
    <m/>
    <x v="12"/>
    <m/>
    <m/>
    <m/>
    <m/>
  </r>
  <r>
    <x v="1"/>
    <x v="1"/>
    <s v="Asia"/>
    <s v="Strategic Partnership [战略伙伴关系]"/>
    <x v="3"/>
    <s v="INDOPACOM"/>
    <x v="5"/>
    <x v="20"/>
    <n v="7"/>
    <s v="BL - Hosted"/>
    <s v="Chen Bingde"/>
    <m/>
    <s v="GSD Commander; CMC Member"/>
    <n v="8"/>
    <x v="2"/>
    <s v="Chief of Defense Forces"/>
    <x v="0"/>
    <m/>
    <m/>
    <m/>
    <m/>
    <x v="12"/>
    <m/>
    <m/>
    <m/>
    <m/>
  </r>
  <r>
    <x v="1"/>
    <x v="8"/>
    <s v="Europe and Central Asia"/>
    <s v="Comprehensive Strategic Partnership [全面战略伙伴关系]"/>
    <x v="5"/>
    <s v="EUCOM"/>
    <x v="21"/>
    <x v="20"/>
    <n v="7"/>
    <s v="BL - Hosted"/>
    <s v="Liang Guanglie"/>
    <m/>
    <s v="Defense Minister; CMC Member"/>
    <n v="8"/>
    <x v="2"/>
    <s v="Chief of Naval Staff"/>
    <x v="0"/>
    <m/>
    <m/>
    <m/>
    <m/>
    <x v="12"/>
    <m/>
    <m/>
    <m/>
    <m/>
  </r>
  <r>
    <x v="1"/>
    <x v="2"/>
    <s v="America and Oceania"/>
    <s v="No Specific Relationship"/>
    <x v="2"/>
    <s v="NORTHCOM"/>
    <x v="4"/>
    <x v="20"/>
    <n v="7"/>
    <s v="BL - Hosted"/>
    <s v="Chen Bingde"/>
    <m/>
    <s v="GSD Commander; CMC Member"/>
    <n v="8"/>
    <x v="2"/>
    <s v="Chairman JCS"/>
    <x v="0"/>
    <m/>
    <m/>
    <m/>
    <m/>
    <x v="12"/>
    <m/>
    <m/>
    <m/>
    <m/>
  </r>
  <r>
    <x v="1"/>
    <x v="10"/>
    <s v="America and Oceania"/>
    <s v="Comprehensive Strategic Partnership [全面战略伙伴关系]"/>
    <x v="0"/>
    <s v="SOUTHCOM"/>
    <x v="43"/>
    <x v="20"/>
    <n v="8"/>
    <s v="BL - Abroad"/>
    <s v="Du Jincai"/>
    <m/>
    <s v="GPD Deputy Director"/>
    <n v="6"/>
    <x v="1"/>
    <m/>
    <x v="0"/>
    <m/>
    <m/>
    <m/>
    <m/>
    <x v="12"/>
    <m/>
    <m/>
    <m/>
    <m/>
  </r>
  <r>
    <x v="1"/>
    <x v="2"/>
    <s v="America and Oceania"/>
    <s v="Strategic Partnership [战略伙伴关系]"/>
    <x v="5"/>
    <s v="NORTHCOM"/>
    <x v="17"/>
    <x v="20"/>
    <n v="8"/>
    <s v="BL - Abroad"/>
    <s v="Du Jincai"/>
    <m/>
    <s v="GPD Deputy Director"/>
    <n v="6"/>
    <x v="1"/>
    <m/>
    <x v="0"/>
    <m/>
    <m/>
    <m/>
    <m/>
    <x v="12"/>
    <m/>
    <m/>
    <m/>
    <m/>
  </r>
  <r>
    <x v="1"/>
    <x v="9"/>
    <s v="West Asia and Africa"/>
    <s v="No Specific Relationship"/>
    <x v="1"/>
    <s v="CENTCOM"/>
    <x v="100"/>
    <x v="20"/>
    <n v="8"/>
    <s v="BL - Abroad"/>
    <s v="Chen Bingde"/>
    <m/>
    <s v="GSD Commander; CMC Member"/>
    <n v="8"/>
    <x v="1"/>
    <m/>
    <x v="0"/>
    <m/>
    <m/>
    <m/>
    <m/>
    <x v="12"/>
    <m/>
    <m/>
    <m/>
    <m/>
  </r>
  <r>
    <x v="0"/>
    <x v="9"/>
    <s v="West Asia and Africa"/>
    <s v="No Specific Relationship"/>
    <x v="0"/>
    <s v="CENTCOM"/>
    <x v="147"/>
    <x v="20"/>
    <n v="8"/>
    <s v="Port Call - Replenish/Overhaul"/>
    <m/>
    <m/>
    <m/>
    <m/>
    <x v="0"/>
    <m/>
    <x v="0"/>
    <m/>
    <m/>
    <m/>
    <s v="ETF"/>
    <x v="39"/>
    <s v="East Sea Fleet"/>
    <s v="FFG525 Ma'anshan, FFG526 Wenzhou, AOR886 Qiandao Hu; Unknown, could also be ETF-9"/>
    <m/>
    <m/>
  </r>
  <r>
    <x v="0"/>
    <x v="9"/>
    <s v="West Asia and Africa"/>
    <s v="No Specific Relationship"/>
    <x v="0"/>
    <s v="CENTCOM"/>
    <x v="131"/>
    <x v="20"/>
    <n v="8"/>
    <s v="Port Call - Friendly Visit"/>
    <m/>
    <m/>
    <m/>
    <m/>
    <x v="0"/>
    <m/>
    <x v="0"/>
    <m/>
    <m/>
    <m/>
    <s v="ETF"/>
    <x v="39"/>
    <s v="East Sea Fleet"/>
    <s v="FFG525 Ma'anshan, FFG526 Wenzhou, AOR886 Qiandao Hu"/>
    <m/>
    <m/>
  </r>
  <r>
    <x v="1"/>
    <x v="3"/>
    <s v="Europe and Central Asia"/>
    <s v="Strategic Partnership of Coordination [战略协作伙伴关系]"/>
    <x v="0"/>
    <s v="EUCOM"/>
    <x v="7"/>
    <x v="20"/>
    <n v="8"/>
    <s v="BL - Abroad"/>
    <s v="Chen Bingde"/>
    <m/>
    <s v="GSD Commander; CMC Member"/>
    <n v="8"/>
    <x v="1"/>
    <s v="First Deputy Defense Minister and COGS"/>
    <x v="0"/>
    <m/>
    <m/>
    <m/>
    <m/>
    <x v="12"/>
    <m/>
    <m/>
    <m/>
    <m/>
  </r>
  <r>
    <x v="0"/>
    <x v="1"/>
    <s v="Asia"/>
    <s v="Strategic Partnership [战略伙伴关系]"/>
    <x v="3"/>
    <s v="INDOPACOM"/>
    <x v="5"/>
    <x v="20"/>
    <n v="8"/>
    <s v="Port Call - Friendly Visit and Drills"/>
    <m/>
    <m/>
    <m/>
    <m/>
    <x v="0"/>
    <m/>
    <x v="0"/>
    <m/>
    <m/>
    <m/>
    <s v="ETF"/>
    <x v="39"/>
    <s v="East Sea Fleet"/>
    <s v="FFG525 Ma'anshan, FFG526 Wenzhou, AOR886 Qiandao Hu"/>
    <m/>
    <m/>
  </r>
  <r>
    <x v="2"/>
    <x v="1"/>
    <s v="Asia"/>
    <s v="Strategic Partnership [战略伙伴关系]"/>
    <x v="3"/>
    <s v="INDOPACOM"/>
    <x v="5"/>
    <x v="20"/>
    <n v="8"/>
    <s v="Military Exercise - Bilateral"/>
    <m/>
    <m/>
    <m/>
    <m/>
    <x v="0"/>
    <m/>
    <x v="4"/>
    <s v="Unknown Sattahip 2011"/>
    <s v="Navy"/>
    <s v="16-21 August 2011, joint drills and friendy visit from anti-piracy ETF, Six Years p. 132 "/>
    <m/>
    <x v="12"/>
    <m/>
    <m/>
    <m/>
    <m/>
  </r>
  <r>
    <x v="1"/>
    <x v="8"/>
    <s v="Europe and Central Asia"/>
    <s v="Strategic Cooperative Partnership [战略合作伙伴关系]"/>
    <x v="0"/>
    <s v="EUCOM"/>
    <x v="26"/>
    <x v="20"/>
    <n v="8"/>
    <s v="BL - Abroad"/>
    <s v="Chen Bingde"/>
    <m/>
    <s v="GSD Commander; CMC Member"/>
    <n v="8"/>
    <x v="1"/>
    <s v="COGS"/>
    <x v="0"/>
    <m/>
    <m/>
    <m/>
    <m/>
    <x v="12"/>
    <m/>
    <m/>
    <m/>
    <m/>
  </r>
  <r>
    <x v="1"/>
    <x v="1"/>
    <s v="Asia"/>
    <s v="Comprehensive Strategic Cooperative Partnership [全面战略合作伙伴关系]"/>
    <x v="0"/>
    <s v="INDOPACOM"/>
    <x v="23"/>
    <x v="20"/>
    <n v="8"/>
    <s v="BL - Hosted"/>
    <s v="Liang Guanglie"/>
    <m/>
    <s v="Defense Minister; CMC Member"/>
    <n v="8"/>
    <x v="2"/>
    <s v="Vice Defense Minister"/>
    <x v="0"/>
    <m/>
    <m/>
    <m/>
    <m/>
    <x v="12"/>
    <m/>
    <m/>
    <m/>
    <m/>
  </r>
  <r>
    <x v="1"/>
    <x v="0"/>
    <s v="Asia"/>
    <s v="Comprehensive Cooperative Partnership [全面合作伙伴关系]"/>
    <x v="0"/>
    <s v="INDOPACOM"/>
    <x v="0"/>
    <x v="20"/>
    <n v="9"/>
    <s v="BL - Hosted"/>
    <s v="Liang Guanglie"/>
    <m/>
    <s v="Defense Minister; CMC Member"/>
    <n v="8"/>
    <x v="2"/>
    <m/>
    <x v="0"/>
    <m/>
    <m/>
    <m/>
    <m/>
    <x v="12"/>
    <m/>
    <m/>
    <m/>
    <m/>
  </r>
  <r>
    <x v="1"/>
    <x v="7"/>
    <s v="West Asia and Africa"/>
    <s v="No Specific Relationship"/>
    <x v="0"/>
    <s v="AFRICOM"/>
    <x v="93"/>
    <x v="20"/>
    <n v="9"/>
    <s v="BL - Abroad"/>
    <s v="Zhao Keshi"/>
    <m/>
    <s v="Nanjing MR Commander"/>
    <n v="6"/>
    <x v="1"/>
    <m/>
    <x v="0"/>
    <m/>
    <m/>
    <m/>
    <m/>
    <x v="12"/>
    <m/>
    <m/>
    <m/>
    <m/>
  </r>
  <r>
    <x v="1"/>
    <x v="7"/>
    <s v="West Asia and Africa"/>
    <s v="No Specific Relationship"/>
    <x v="0"/>
    <s v="AFRICOM"/>
    <x v="28"/>
    <x v="20"/>
    <n v="9"/>
    <s v="BL - Abroad"/>
    <s v="Sun Jianguo"/>
    <m/>
    <s v="GSD DCGS"/>
    <n v="6"/>
    <x v="1"/>
    <m/>
    <x v="0"/>
    <m/>
    <m/>
    <m/>
    <m/>
    <x v="12"/>
    <m/>
    <m/>
    <m/>
    <m/>
  </r>
  <r>
    <x v="1"/>
    <x v="8"/>
    <s v="Europe and Central Asia"/>
    <s v="Comprehensive Cooperative Partnership [全面合作伙伴关系]"/>
    <x v="5"/>
    <s v="EUCOM"/>
    <x v="35"/>
    <x v="20"/>
    <n v="9"/>
    <s v="BL - Abroad"/>
    <s v="Xu Caihou"/>
    <m/>
    <s v="CMC Vice Chairman"/>
    <n v="10"/>
    <x v="1"/>
    <s v="Defense Minister"/>
    <x v="0"/>
    <m/>
    <m/>
    <m/>
    <m/>
    <x v="12"/>
    <m/>
    <m/>
    <m/>
    <m/>
  </r>
  <r>
    <x v="1"/>
    <x v="8"/>
    <s v="Europe and Central Asia"/>
    <s v="Comprehensive Strategic Partnership [全面战略伙伴关系]"/>
    <x v="5"/>
    <s v="EUCOM"/>
    <x v="22"/>
    <x v="20"/>
    <n v="9"/>
    <s v="BL - Abroad"/>
    <s v="Ma Xiaotian"/>
    <m/>
    <s v="GSD DCGS"/>
    <n v="6"/>
    <x v="1"/>
    <m/>
    <x v="0"/>
    <m/>
    <m/>
    <m/>
    <m/>
    <x v="12"/>
    <m/>
    <m/>
    <m/>
    <m/>
  </r>
  <r>
    <x v="1"/>
    <x v="5"/>
    <s v="America and Oceania"/>
    <s v="No Specific Relationship"/>
    <x v="4"/>
    <s v="INDOPACOM"/>
    <x v="13"/>
    <x v="20"/>
    <n v="9"/>
    <s v="BL - Hosted"/>
    <s v="Guo Boxiong"/>
    <m/>
    <s v="CMC Vice Chairman"/>
    <n v="10"/>
    <x v="2"/>
    <s v="Head of Defense Force"/>
    <x v="0"/>
    <m/>
    <m/>
    <m/>
    <m/>
    <x v="12"/>
    <m/>
    <m/>
    <s v="https://johnmenadue.com/nz-and-china-military-meeting-no-news-is-bad-news/"/>
    <s v="PCS: NZ delegation led by General Tim Keating; th strategic defense dialogue; met with Qi Jinguo for office call?"/>
  </r>
  <r>
    <x v="1"/>
    <x v="4"/>
    <s v="Asia"/>
    <s v="Bilateral Defense Treaty"/>
    <x v="0"/>
    <s v="INDOPACOM"/>
    <x v="9"/>
    <x v="20"/>
    <n v="9"/>
    <s v="BL - Hosted"/>
    <s v="Wu Shengli"/>
    <m/>
    <s v="PLAN Commander; CMC Member"/>
    <n v="8"/>
    <x v="2"/>
    <s v="Deputy Commander Navy"/>
    <x v="0"/>
    <m/>
    <m/>
    <m/>
    <m/>
    <x v="12"/>
    <m/>
    <m/>
    <m/>
    <m/>
  </r>
  <r>
    <x v="1"/>
    <x v="3"/>
    <s v="Europe and Central Asia"/>
    <s v="Strategic Partnership of Coordination [战略协作伙伴关系]"/>
    <x v="0"/>
    <s v="EUCOM"/>
    <x v="7"/>
    <x v="20"/>
    <n v="9"/>
    <s v="BL - Abroad"/>
    <s v="Guo Boxiong"/>
    <m/>
    <s v="CMC Vice Chairman"/>
    <n v="10"/>
    <x v="1"/>
    <m/>
    <x v="0"/>
    <m/>
    <m/>
    <m/>
    <m/>
    <x v="12"/>
    <m/>
    <m/>
    <m/>
    <m/>
  </r>
  <r>
    <x v="0"/>
    <x v="9"/>
    <s v="West Asia and Africa"/>
    <s v="No Specific Relationship"/>
    <x v="0"/>
    <s v="CENTCOM"/>
    <x v="142"/>
    <x v="20"/>
    <n v="9"/>
    <s v="Port Call - Replenish/Overhaul"/>
    <m/>
    <m/>
    <m/>
    <m/>
    <x v="0"/>
    <m/>
    <x v="0"/>
    <m/>
    <m/>
    <m/>
    <s v="ETF"/>
    <x v="40"/>
    <s v="South Sea Fleet"/>
    <s v="DDG169 Wuhan, FFG569 Yulin, AOR885 Qinghai Hu"/>
    <m/>
    <m/>
  </r>
  <r>
    <x v="1"/>
    <x v="8"/>
    <s v="Europe and Central Asia"/>
    <s v="Strategic Partnership [战略伙伴关系]"/>
    <x v="0"/>
    <s v="EUCOM"/>
    <x v="112"/>
    <x v="20"/>
    <n v="9"/>
    <s v="BL - Abroad"/>
    <s v="Xu Caihou"/>
    <m/>
    <s v="CMC Vice Chairman"/>
    <n v="10"/>
    <x v="1"/>
    <m/>
    <x v="0"/>
    <m/>
    <m/>
    <m/>
    <m/>
    <x v="12"/>
    <m/>
    <m/>
    <m/>
    <m/>
  </r>
  <r>
    <x v="1"/>
    <x v="7"/>
    <s v="West Asia and Africa"/>
    <s v="No Specific Relationship"/>
    <x v="0"/>
    <s v="AFRICOM"/>
    <x v="16"/>
    <x v="20"/>
    <n v="9"/>
    <s v="BL - Abroad"/>
    <s v="Zhao Keshi"/>
    <m/>
    <s v="Nanjing MR Commander"/>
    <n v="6"/>
    <x v="1"/>
    <m/>
    <x v="0"/>
    <m/>
    <m/>
    <m/>
    <m/>
    <x v="12"/>
    <m/>
    <m/>
    <m/>
    <m/>
  </r>
  <r>
    <x v="1"/>
    <x v="2"/>
    <s v="America and Oceania"/>
    <s v="No Specific Relationship"/>
    <x v="2"/>
    <s v="NORTHCOM"/>
    <x v="4"/>
    <x v="20"/>
    <n v="9"/>
    <s v="BL - Abroad"/>
    <s v="Fan Changlong"/>
    <m/>
    <s v="Jinan MR Commander"/>
    <n v="6"/>
    <x v="1"/>
    <m/>
    <x v="0"/>
    <m/>
    <m/>
    <m/>
    <m/>
    <x v="12"/>
    <m/>
    <m/>
    <m/>
    <m/>
  </r>
  <r>
    <x v="1"/>
    <x v="1"/>
    <s v="Asia"/>
    <s v="Comprehensive Strategic Cooperative Partnership [全面战略合作伙伴关系]"/>
    <x v="0"/>
    <s v="INDOPACOM"/>
    <x v="23"/>
    <x v="20"/>
    <n v="9"/>
    <s v="BL - Hosted"/>
    <s v="Li Jinai"/>
    <m/>
    <s v="GPD Director; CMC Member"/>
    <n v="8"/>
    <x v="2"/>
    <s v="GPD director VPA"/>
    <x v="0"/>
    <m/>
    <m/>
    <m/>
    <m/>
    <x v="12"/>
    <m/>
    <m/>
    <m/>
    <m/>
  </r>
  <r>
    <x v="1"/>
    <x v="7"/>
    <s v="West Asia and Africa"/>
    <s v="No Specific Relationship"/>
    <x v="0"/>
    <s v="AFRICOM"/>
    <x v="130"/>
    <x v="20"/>
    <n v="10"/>
    <s v="BL - Hosted"/>
    <s v="Guo Boxiong"/>
    <m/>
    <s v="CMC Vice Chairman"/>
    <n v="10"/>
    <x v="2"/>
    <s v="Defense Minister"/>
    <x v="0"/>
    <m/>
    <m/>
    <m/>
    <m/>
    <x v="12"/>
    <m/>
    <m/>
    <m/>
    <m/>
  </r>
  <r>
    <x v="1"/>
    <x v="10"/>
    <s v="America and Oceania"/>
    <s v="No Specific Relationship"/>
    <x v="0"/>
    <s v="SOUTHCOM"/>
    <x v="45"/>
    <x v="20"/>
    <n v="10"/>
    <s v="BL - Abroad"/>
    <s v="Guo Boxiong"/>
    <m/>
    <s v="CMC Vice Chairman"/>
    <n v="10"/>
    <x v="1"/>
    <m/>
    <x v="0"/>
    <m/>
    <m/>
    <m/>
    <m/>
    <x v="12"/>
    <m/>
    <m/>
    <m/>
    <m/>
  </r>
  <r>
    <x v="1"/>
    <x v="10"/>
    <s v="America and Oceania"/>
    <s v="No Specific Relationship"/>
    <x v="0"/>
    <s v="SOUTHCOM"/>
    <x v="49"/>
    <x v="20"/>
    <n v="10"/>
    <s v="BL - Abroad"/>
    <s v="Guo Boxiong"/>
    <m/>
    <s v="CMC Vice Chairman"/>
    <n v="10"/>
    <x v="1"/>
    <s v="Defense Minister"/>
    <x v="0"/>
    <m/>
    <m/>
    <m/>
    <m/>
    <x v="12"/>
    <m/>
    <m/>
    <m/>
    <m/>
  </r>
  <r>
    <x v="0"/>
    <x v="10"/>
    <s v="America and Oceania"/>
    <s v="No Specific Relationship"/>
    <x v="0"/>
    <s v="SOUTHCOM"/>
    <x v="49"/>
    <x v="20"/>
    <n v="10"/>
    <s v="Port Call - HADR/Friendly"/>
    <m/>
    <m/>
    <m/>
    <m/>
    <x v="0"/>
    <m/>
    <x v="0"/>
    <m/>
    <m/>
    <m/>
    <s v="NETF"/>
    <x v="41"/>
    <s v="East Sea Fleet"/>
    <s v="http://en.people.cn/90786/7623576.html"/>
    <m/>
    <s v="recoded to delete drills"/>
  </r>
  <r>
    <x v="0"/>
    <x v="9"/>
    <s v="West Asia and Africa"/>
    <s v="No Specific Relationship"/>
    <x v="0"/>
    <s v="CENTCOM"/>
    <x v="119"/>
    <x v="20"/>
    <n v="10"/>
    <s v="Port Call - Replenish/Overhaul"/>
    <m/>
    <m/>
    <m/>
    <m/>
    <x v="0"/>
    <m/>
    <x v="0"/>
    <m/>
    <m/>
    <m/>
    <s v="ETF"/>
    <x v="40"/>
    <s v="South Sea Fleet"/>
    <s v="DDG169 Wuhan, FFG569 Yulin, AOR885 Qinghai Hu"/>
    <m/>
    <m/>
  </r>
  <r>
    <x v="1"/>
    <x v="8"/>
    <s v="Europe and Central Asia"/>
    <s v="Comprehensive Strategic Partnership [全面战略伙伴关系]"/>
    <x v="5"/>
    <s v="EUCOM"/>
    <x v="29"/>
    <x v="20"/>
    <n v="10"/>
    <s v="BL - Abroad"/>
    <s v="Tong Shiping"/>
    <m/>
    <s v="GPD Deputy Director"/>
    <n v="6"/>
    <x v="1"/>
    <m/>
    <x v="0"/>
    <m/>
    <m/>
    <m/>
    <m/>
    <x v="12"/>
    <m/>
    <m/>
    <m/>
    <m/>
  </r>
  <r>
    <x v="1"/>
    <x v="8"/>
    <s v="Europe and Central Asia"/>
    <s v="No Specific Relationship"/>
    <x v="5"/>
    <s v="EUCOM"/>
    <x v="82"/>
    <x v="20"/>
    <n v="10"/>
    <s v="BL - Abroad"/>
    <s v="Tong Shiping"/>
    <m/>
    <s v="GPD Deputy Director"/>
    <n v="6"/>
    <x v="1"/>
    <m/>
    <x v="0"/>
    <m/>
    <m/>
    <m/>
    <m/>
    <x v="12"/>
    <m/>
    <m/>
    <m/>
    <m/>
  </r>
  <r>
    <x v="0"/>
    <x v="10"/>
    <s v="America and Oceania"/>
    <s v="Friendly Partnership [友好伙伴关系)]"/>
    <x v="0"/>
    <s v="SOUTHCOM"/>
    <x v="145"/>
    <x v="20"/>
    <n v="10"/>
    <s v="Port Call - HADR/Friendly"/>
    <m/>
    <m/>
    <m/>
    <m/>
    <x v="0"/>
    <m/>
    <x v="0"/>
    <m/>
    <m/>
    <m/>
    <s v="NETF"/>
    <x v="41"/>
    <s v="East Sea Fleet"/>
    <m/>
    <m/>
    <s v="recoded to delete drills"/>
  </r>
  <r>
    <x v="1"/>
    <x v="1"/>
    <s v="Asia"/>
    <s v="Comprehensive Strategic Cooperative Partnership [全面战略合作伙伴关系]"/>
    <x v="0"/>
    <s v="INDOPACOM"/>
    <x v="52"/>
    <x v="20"/>
    <n v="10"/>
    <s v="BL - Hosted"/>
    <s v="Liang Guanglie"/>
    <m/>
    <s v="Defense Minister; CMC Member"/>
    <n v="8"/>
    <x v="2"/>
    <s v="Defense Minister"/>
    <x v="0"/>
    <m/>
    <m/>
    <m/>
    <m/>
    <x v="12"/>
    <m/>
    <m/>
    <m/>
    <m/>
  </r>
  <r>
    <x v="1"/>
    <x v="8"/>
    <s v="Europe and Central Asia"/>
    <s v="No Specific Relationship"/>
    <x v="0"/>
    <s v="EUCOM"/>
    <x v="155"/>
    <x v="20"/>
    <n v="10"/>
    <s v="BL - Hosted"/>
    <s v="Guo Boxiong"/>
    <m/>
    <s v="CMC Vice Chairman"/>
    <n v="10"/>
    <x v="2"/>
    <s v="Defense Minister"/>
    <x v="0"/>
    <m/>
    <m/>
    <m/>
    <m/>
    <x v="12"/>
    <m/>
    <m/>
    <m/>
    <m/>
  </r>
  <r>
    <x v="1"/>
    <x v="7"/>
    <s v="West Asia and Africa"/>
    <s v="No Specific Relationship"/>
    <x v="0"/>
    <s v="AFRICOM"/>
    <x v="69"/>
    <x v="20"/>
    <n v="10"/>
    <s v="BL - Hosted"/>
    <s v="Xu Caihou"/>
    <m/>
    <s v="CMC Vice Chairman"/>
    <n v="10"/>
    <x v="2"/>
    <s v="Defense Minister"/>
    <x v="0"/>
    <m/>
    <m/>
    <m/>
    <m/>
    <x v="12"/>
    <m/>
    <m/>
    <m/>
    <m/>
  </r>
  <r>
    <x v="1"/>
    <x v="0"/>
    <s v="Asia"/>
    <s v="All-Round Strategic Partnership  [全面合作伙伴关系]"/>
    <x v="0"/>
    <s v="INDOPACOM"/>
    <x v="32"/>
    <x v="20"/>
    <n v="10"/>
    <s v="BL - Hosted"/>
    <s v="Xu Caihou"/>
    <m/>
    <s v="CMC Vice Chairman"/>
    <n v="10"/>
    <x v="2"/>
    <s v="Army Chief of Staff"/>
    <x v="0"/>
    <m/>
    <m/>
    <m/>
    <m/>
    <x v="12"/>
    <m/>
    <m/>
    <m/>
    <s v="Recoded as South Asia"/>
  </r>
  <r>
    <x v="1"/>
    <x v="10"/>
    <s v="America and Oceania"/>
    <s v="Strategic Partnership [战略伙伴关系]"/>
    <x v="0"/>
    <s v="SOUTHCOM"/>
    <x v="54"/>
    <x v="20"/>
    <n v="10"/>
    <s v="BL - Abroad"/>
    <s v="Guo Boxiong"/>
    <m/>
    <s v="CMC Vice Chairman"/>
    <n v="10"/>
    <x v="1"/>
    <m/>
    <x v="0"/>
    <m/>
    <m/>
    <m/>
    <m/>
    <x v="12"/>
    <m/>
    <m/>
    <m/>
    <m/>
  </r>
  <r>
    <x v="1"/>
    <x v="3"/>
    <s v="Europe and Central Asia"/>
    <s v="Strategic Partnership of Coordination [战略协作伙伴关系]"/>
    <x v="0"/>
    <s v="EUCOM"/>
    <x v="7"/>
    <x v="20"/>
    <n v="10"/>
    <s v="BL - Hosted"/>
    <s v="Chen Bingde"/>
    <m/>
    <s v="GSD Commander; CMC Member"/>
    <n v="8"/>
    <x v="2"/>
    <s v="DCOGS"/>
    <x v="0"/>
    <m/>
    <m/>
    <m/>
    <m/>
    <x v="12"/>
    <m/>
    <m/>
    <m/>
    <m/>
  </r>
  <r>
    <x v="1"/>
    <x v="5"/>
    <s v="America and Oceania"/>
    <s v="No Specific Relationship"/>
    <x v="4"/>
    <s v="INDOPACOM"/>
    <x v="12"/>
    <x v="20"/>
    <n v="11"/>
    <s v="BL - Hosted"/>
    <s v="Chen Bingde"/>
    <m/>
    <s v="GSD Commander; CMC Member"/>
    <n v="8"/>
    <x v="2"/>
    <s v="Commander Joint Ops Command"/>
    <x v="0"/>
    <m/>
    <m/>
    <m/>
    <m/>
    <x v="12"/>
    <m/>
    <m/>
    <m/>
    <m/>
  </r>
  <r>
    <x v="2"/>
    <x v="5"/>
    <s v="America and Oceania"/>
    <s v="No Specific Relationship"/>
    <x v="4"/>
    <s v="INDOPACOM"/>
    <x v="12"/>
    <x v="20"/>
    <n v="11"/>
    <s v="Military Exercise - Bilateral"/>
    <m/>
    <m/>
    <m/>
    <m/>
    <x v="0"/>
    <m/>
    <x v="2"/>
    <s v="Cooperation Spirit 2011"/>
    <s v="Army"/>
    <s v="HADR in Dujiangyan Sichuan"/>
    <m/>
    <x v="12"/>
    <m/>
    <m/>
    <s v="2013 Defense White Paper Appendix"/>
    <m/>
  </r>
  <r>
    <x v="1"/>
    <x v="10"/>
    <s v="America and Oceania"/>
    <s v="Comprehensive Partnership [全面伙伴关系]"/>
    <x v="0"/>
    <s v="SOUTHCOM"/>
    <x v="66"/>
    <x v="20"/>
    <n v="11"/>
    <s v="BL - Abroad"/>
    <s v="Chang Wanquan"/>
    <m/>
    <s v="GAD Director; CMC Member"/>
    <n v="8"/>
    <x v="1"/>
    <s v="Acting Commander Army"/>
    <x v="0"/>
    <m/>
    <m/>
    <m/>
    <m/>
    <x v="12"/>
    <m/>
    <m/>
    <m/>
    <m/>
  </r>
  <r>
    <x v="0"/>
    <x v="10"/>
    <s v="America and Oceania"/>
    <s v="No Specific Relationship"/>
    <x v="0"/>
    <s v="SOUTHCOM"/>
    <x v="156"/>
    <x v="20"/>
    <n v="11"/>
    <s v="Port Call - HADR/Friendly"/>
    <m/>
    <m/>
    <m/>
    <m/>
    <x v="0"/>
    <m/>
    <x v="0"/>
    <m/>
    <m/>
    <m/>
    <s v="NETF"/>
    <x v="41"/>
    <s v="East Sea Fleet"/>
    <m/>
    <m/>
    <s v="recoded to delete drills"/>
  </r>
  <r>
    <x v="1"/>
    <x v="8"/>
    <s v="Europe and Central Asia"/>
    <s v="Strategic Partnership [战略伙伴关系]"/>
    <x v="5"/>
    <s v="EUCOM"/>
    <x v="18"/>
    <x v="20"/>
    <n v="11"/>
    <s v="BL - Hosted"/>
    <s v="Zhang Qinsheng"/>
    <m/>
    <s v="GSD DCGS"/>
    <n v="6"/>
    <x v="2"/>
    <s v="Parliament State Secretary to Defense Minister"/>
    <x v="0"/>
    <m/>
    <m/>
    <m/>
    <m/>
    <x v="12"/>
    <m/>
    <m/>
    <m/>
    <m/>
  </r>
  <r>
    <x v="1"/>
    <x v="7"/>
    <s v="West Asia and Africa"/>
    <s v="No Specific Relationship"/>
    <x v="0"/>
    <s v="AFRICOM"/>
    <x v="87"/>
    <x v="20"/>
    <n v="11"/>
    <s v="BL - Abroad"/>
    <s v="Liang Guanglie"/>
    <m/>
    <s v="Defense Minister; CMC Member"/>
    <n v="8"/>
    <x v="1"/>
    <m/>
    <x v="0"/>
    <m/>
    <m/>
    <m/>
    <m/>
    <x v="12"/>
    <m/>
    <m/>
    <m/>
    <m/>
  </r>
  <r>
    <x v="0"/>
    <x v="9"/>
    <s v="West Asia and Africa"/>
    <s v="No Specific Relationship"/>
    <x v="1"/>
    <s v="CENTCOM"/>
    <x v="72"/>
    <x v="20"/>
    <n v="11"/>
    <s v="Port Call - Friendly Visit"/>
    <m/>
    <m/>
    <m/>
    <m/>
    <x v="0"/>
    <m/>
    <x v="0"/>
    <m/>
    <m/>
    <m/>
    <s v="ETF"/>
    <x v="40"/>
    <s v="South Sea Fleet"/>
    <s v="DDG169 Wuhan, FFG569 Yulin, AOR885 Qinghai Hu"/>
    <m/>
    <m/>
  </r>
  <r>
    <x v="1"/>
    <x v="1"/>
    <s v="Asia"/>
    <s v="Comprehensive Strategic Cooperative Partnership [全面战略合作伙伴关系]"/>
    <x v="0"/>
    <s v="INDOPACOM"/>
    <x v="1"/>
    <x v="20"/>
    <n v="11"/>
    <s v="BL - Abroad"/>
    <s v="Chen Bingde"/>
    <m/>
    <s v="GSD Commander; CMC Member"/>
    <n v="8"/>
    <x v="1"/>
    <m/>
    <x v="0"/>
    <m/>
    <m/>
    <m/>
    <m/>
    <x v="12"/>
    <m/>
    <m/>
    <m/>
    <m/>
  </r>
  <r>
    <x v="1"/>
    <x v="4"/>
    <s v="Asia"/>
    <s v="Bilateral Defense Treaty"/>
    <x v="0"/>
    <s v="INDOPACOM"/>
    <x v="9"/>
    <x v="20"/>
    <n v="11"/>
    <s v="BL - Hosted"/>
    <s v="Li Jinai"/>
    <m/>
    <s v="GPD Director; CMC Member"/>
    <n v="8"/>
    <x v="2"/>
    <s v="Commander, Interior Force and First Deputy Minister of People's Security"/>
    <x v="0"/>
    <m/>
    <m/>
    <m/>
    <m/>
    <x v="12"/>
    <m/>
    <m/>
    <m/>
    <m/>
  </r>
  <r>
    <x v="0"/>
    <x v="9"/>
    <s v="West Asia and Africa"/>
    <s v="No Specific Relationship"/>
    <x v="0"/>
    <s v="CENTCOM"/>
    <x v="147"/>
    <x v="20"/>
    <n v="11"/>
    <s v="Port Call - Replenish/Overhaul"/>
    <m/>
    <m/>
    <m/>
    <m/>
    <x v="0"/>
    <m/>
    <x v="0"/>
    <m/>
    <m/>
    <m/>
    <s v="ETF"/>
    <x v="40"/>
    <s v="South Sea Fleet"/>
    <s v="DDG169 Wuhan, FFG569 Yulin, AOR885 Qinghai Hu; unknown, could be ETF-10"/>
    <m/>
    <m/>
  </r>
  <r>
    <x v="2"/>
    <x v="0"/>
    <s v="Asia"/>
    <s v="Strategic Partnership [战略伙伴关系]"/>
    <x v="1"/>
    <s v="CENTCOM"/>
    <x v="2"/>
    <x v="20"/>
    <n v="11"/>
    <s v="Military Exercise - Bilateral"/>
    <m/>
    <m/>
    <m/>
    <m/>
    <x v="0"/>
    <m/>
    <x v="1"/>
    <s v="Friendship 2011"/>
    <s v="Army"/>
    <s v="Anti-terrorism"/>
    <m/>
    <x v="12"/>
    <m/>
    <m/>
    <m/>
    <m/>
  </r>
  <r>
    <x v="1"/>
    <x v="7"/>
    <s v="West Asia and Africa"/>
    <s v="No Specific Relationship"/>
    <x v="0"/>
    <s v="AFRICOM"/>
    <x v="139"/>
    <x v="20"/>
    <n v="11"/>
    <s v="BL - Abroad"/>
    <s v="Liang Guanglie"/>
    <m/>
    <s v="Defense Minister; CMC Member"/>
    <n v="8"/>
    <x v="1"/>
    <m/>
    <x v="0"/>
    <m/>
    <m/>
    <m/>
    <m/>
    <x v="12"/>
    <m/>
    <m/>
    <m/>
    <m/>
  </r>
  <r>
    <x v="1"/>
    <x v="7"/>
    <s v="West Asia and Africa"/>
    <s v="Comprehensive Strategic Partnership [全面战略伙伴关系]"/>
    <x v="0"/>
    <s v="AFRICOM"/>
    <x v="15"/>
    <x v="20"/>
    <n v="11"/>
    <s v="BL - Hosted"/>
    <s v="Chen Yong"/>
    <m/>
    <s v="GSD Assistant Commander"/>
    <n v="5"/>
    <x v="2"/>
    <m/>
    <x v="0"/>
    <m/>
    <m/>
    <m/>
    <m/>
    <x v="12"/>
    <m/>
    <m/>
    <m/>
    <m/>
  </r>
  <r>
    <x v="1"/>
    <x v="7"/>
    <s v="West Asia and Africa"/>
    <s v="No Specific Relationship"/>
    <x v="0"/>
    <s v="AFRICOM"/>
    <x v="74"/>
    <x v="20"/>
    <n v="11"/>
    <s v="BL - Hosted"/>
    <s v="Liang Guanglie"/>
    <m/>
    <s v="Defense Minister; CMC Member"/>
    <n v="8"/>
    <x v="2"/>
    <s v="Defense Minister"/>
    <x v="0"/>
    <m/>
    <m/>
    <m/>
    <m/>
    <x v="12"/>
    <m/>
    <m/>
    <m/>
    <m/>
  </r>
  <r>
    <x v="1"/>
    <x v="8"/>
    <s v="Europe and Central Asia"/>
    <s v="No Specific Relationship"/>
    <x v="0"/>
    <s v="EUCOM"/>
    <x v="92"/>
    <x v="20"/>
    <n v="11"/>
    <s v="BL - Hosted"/>
    <s v="Wu Shengli"/>
    <m/>
    <s v="PLAN Commander; CMC Member"/>
    <n v="8"/>
    <x v="2"/>
    <s v="Navy Inspector General"/>
    <x v="0"/>
    <m/>
    <m/>
    <m/>
    <m/>
    <x v="12"/>
    <m/>
    <m/>
    <m/>
    <m/>
  </r>
  <r>
    <x v="0"/>
    <x v="10"/>
    <s v="America and Oceania"/>
    <s v="No Specific Relationship"/>
    <x v="0"/>
    <s v="SOUTHCOM"/>
    <x v="75"/>
    <x v="20"/>
    <n v="11"/>
    <s v="Port Call - HADR/Friendly"/>
    <m/>
    <m/>
    <m/>
    <m/>
    <x v="0"/>
    <m/>
    <x v="0"/>
    <m/>
    <m/>
    <m/>
    <s v="NETF"/>
    <x v="41"/>
    <s v="East Sea Fleet"/>
    <m/>
    <m/>
    <s v="recoded to delete drills"/>
  </r>
  <r>
    <x v="1"/>
    <x v="7"/>
    <s v="West Asia and Africa"/>
    <s v="No Specific Relationship"/>
    <x v="0"/>
    <s v="AFRICOM"/>
    <x v="97"/>
    <x v="20"/>
    <n v="11"/>
    <s v="BL - Abroad"/>
    <s v="Liang Guanglie"/>
    <m/>
    <s v="Defense Minister; CMC Member"/>
    <n v="8"/>
    <x v="1"/>
    <m/>
    <x v="0"/>
    <m/>
    <m/>
    <m/>
    <m/>
    <x v="12"/>
    <m/>
    <m/>
    <m/>
    <m/>
  </r>
  <r>
    <x v="2"/>
    <x v="10"/>
    <s v="America and Oceania"/>
    <s v="Strategic Development Partnership [战略发展伙伴关系]"/>
    <x v="0"/>
    <s v="SOUTHCOM"/>
    <x v="56"/>
    <x v="20"/>
    <n v="11"/>
    <s v="Military Exercise - Bilateral"/>
    <s v=" "/>
    <m/>
    <s v=" "/>
    <s v=" "/>
    <x v="3"/>
    <m/>
    <x v="3"/>
    <s v="Cooperation 2011"/>
    <s v="Army"/>
    <s v="SOF urban Warfare Exercise in Venezuela"/>
    <m/>
    <x v="12"/>
    <m/>
    <m/>
    <s v="Defense White Paper Appendix"/>
    <m/>
  </r>
  <r>
    <x v="1"/>
    <x v="0"/>
    <s v="Asia"/>
    <s v="Comprehensive Cooperative Partnership [全面合作伙伴关系]"/>
    <x v="0"/>
    <s v="INDOPACOM"/>
    <x v="0"/>
    <x v="20"/>
    <n v="12"/>
    <s v="BL - Abroad"/>
    <s v="Ma Xiaotian"/>
    <m/>
    <s v="GSD DCGS"/>
    <n v="6"/>
    <x v="1"/>
    <s v="Army Chief of Staff"/>
    <x v="0"/>
    <m/>
    <m/>
    <m/>
    <m/>
    <x v="12"/>
    <m/>
    <m/>
    <m/>
    <m/>
  </r>
  <r>
    <x v="1"/>
    <x v="8"/>
    <s v="Europe and Central Asia"/>
    <s v="No Specific Relationship"/>
    <x v="0"/>
    <s v="EUCOM"/>
    <x v="99"/>
    <x v="20"/>
    <n v="12"/>
    <s v="BL - Hosted"/>
    <s v="Guo Boxiong"/>
    <m/>
    <s v="CMC Vice Chairman"/>
    <n v="10"/>
    <x v="2"/>
    <s v="Defense Minister"/>
    <x v="0"/>
    <m/>
    <m/>
    <m/>
    <m/>
    <x v="12"/>
    <m/>
    <m/>
    <m/>
    <m/>
  </r>
  <r>
    <x v="1"/>
    <x v="1"/>
    <s v="Asia"/>
    <s v="Strategic Cooperative Partnership [战略合作伙伴关系]"/>
    <x v="0"/>
    <s v="INDOPACOM"/>
    <x v="10"/>
    <x v="20"/>
    <n v="12"/>
    <s v="BL - Hosted"/>
    <s v="Guo Boxiong"/>
    <m/>
    <s v="CMC Vice Chairman"/>
    <n v="10"/>
    <x v="2"/>
    <s v="Deputy Prime Minister"/>
    <x v="0"/>
    <m/>
    <m/>
    <m/>
    <m/>
    <x v="12"/>
    <m/>
    <m/>
    <m/>
    <m/>
  </r>
  <r>
    <x v="1"/>
    <x v="0"/>
    <s v="Asia"/>
    <s v="All-Round Strategic Partnership  [全面合作伙伴关系]"/>
    <x v="0"/>
    <s v="INDOPACOM"/>
    <x v="32"/>
    <x v="20"/>
    <n v="12"/>
    <s v="BL - Hosted"/>
    <s v="Liang Guanglie"/>
    <m/>
    <s v="Defense Minister; CMC Member"/>
    <n v="8"/>
    <x v="2"/>
    <s v="Deputy Prime Minister"/>
    <x v="0"/>
    <m/>
    <m/>
    <m/>
    <m/>
    <x v="12"/>
    <m/>
    <m/>
    <m/>
    <m/>
  </r>
  <r>
    <x v="0"/>
    <x v="9"/>
    <s v="West Asia and Africa"/>
    <s v="No Specific Relationship"/>
    <x v="0"/>
    <s v="CENTCOM"/>
    <x v="147"/>
    <x v="20"/>
    <n v="12"/>
    <s v="Port Call - Friendly Visit"/>
    <m/>
    <m/>
    <m/>
    <m/>
    <x v="0"/>
    <m/>
    <x v="0"/>
    <m/>
    <m/>
    <m/>
    <s v="ETF"/>
    <x v="40"/>
    <s v="South Sea Fleet"/>
    <s v="DDG169 Wuhan, FFG569 Yulin, AOR885 Qinghai Hu"/>
    <m/>
    <m/>
  </r>
  <r>
    <x v="0"/>
    <x v="1"/>
    <s v="Asia"/>
    <s v="No Specific Relationship"/>
    <x v="0"/>
    <s v="INDOPACOM"/>
    <x v="39"/>
    <x v="20"/>
    <n v="12"/>
    <s v="Port Call - Replenish/Overhaul and Friendly Visit"/>
    <m/>
    <m/>
    <m/>
    <m/>
    <x v="0"/>
    <m/>
    <x v="0"/>
    <m/>
    <m/>
    <m/>
    <s v="ETF"/>
    <x v="42"/>
    <s v="South Sea Fleet"/>
    <s v="DDG171 Haikou, FFG571 Yuncheng, AOR885 Qinghai Hu; unknown, could also be ETF-9"/>
    <m/>
    <m/>
  </r>
  <r>
    <x v="1"/>
    <x v="0"/>
    <s v="Asia"/>
    <s v="Comprehensive Cooperative Partnership [全面合作伙伴关系]"/>
    <x v="0"/>
    <s v="INDOPACOM"/>
    <x v="3"/>
    <x v="20"/>
    <n v="12"/>
    <s v="BL - Abroad"/>
    <s v="Ma Xiaotian"/>
    <m/>
    <s v="GSD DCGS"/>
    <n v="6"/>
    <x v="1"/>
    <s v="Army Commander"/>
    <x v="0"/>
    <m/>
    <m/>
    <m/>
    <m/>
    <x v="12"/>
    <m/>
    <m/>
    <m/>
    <m/>
  </r>
  <r>
    <x v="1"/>
    <x v="8"/>
    <s v="Europe and Central Asia"/>
    <s v="Comprehensive Strategic Partnership [全面战略伙伴关系]"/>
    <x v="5"/>
    <s v="EUCOM"/>
    <x v="21"/>
    <x v="20"/>
    <n v="12"/>
    <s v="BL - Hosted"/>
    <s v="Xu Qiliang"/>
    <m/>
    <s v="PLAAF Commander; CMC Member"/>
    <n v="8"/>
    <x v="2"/>
    <s v="RAF Chief of Staff"/>
    <x v="0"/>
    <m/>
    <m/>
    <m/>
    <m/>
    <x v="12"/>
    <m/>
    <m/>
    <m/>
    <m/>
  </r>
  <r>
    <x v="1"/>
    <x v="2"/>
    <s v="America and Oceania"/>
    <s v="No Specific Relationship"/>
    <x v="2"/>
    <s v="NORTHCOM"/>
    <x v="4"/>
    <x v="20"/>
    <n v="12"/>
    <s v="BL - Hosted"/>
    <s v="Ma Xiaotian"/>
    <m/>
    <s v="GSD DCGS"/>
    <n v="6"/>
    <x v="2"/>
    <m/>
    <x v="0"/>
    <m/>
    <m/>
    <m/>
    <m/>
    <x v="12"/>
    <m/>
    <m/>
    <m/>
    <m/>
  </r>
  <r>
    <x v="1"/>
    <x v="1"/>
    <s v="Asia"/>
    <s v="Strategic Partnership [战略伙伴关系]"/>
    <x v="0"/>
    <s v="INDOPACOM"/>
    <x v="8"/>
    <x v="21"/>
    <n v="1"/>
    <s v="BL - Hosted"/>
    <s v="Liang Guanglie"/>
    <m/>
    <s v="Defense Minister; CMC Member"/>
    <n v="8"/>
    <x v="2"/>
    <s v="Ambassador to China"/>
    <x v="0"/>
    <m/>
    <m/>
    <m/>
    <m/>
    <x v="12"/>
    <m/>
    <m/>
    <m/>
    <m/>
  </r>
  <r>
    <x v="1"/>
    <x v="0"/>
    <s v="Asia"/>
    <s v="Strategic Partnership [战略伙伴关系]"/>
    <x v="1"/>
    <s v="CENTCOM"/>
    <x v="2"/>
    <x v="21"/>
    <n v="1"/>
    <s v="BL - Hosted"/>
    <s v="Chen Bingde"/>
    <m/>
    <s v="GSD Commander; CMC Member"/>
    <n v="8"/>
    <x v="2"/>
    <s v="Army Chief of Staff"/>
    <x v="0"/>
    <m/>
    <m/>
    <m/>
    <m/>
    <x v="12"/>
    <m/>
    <m/>
    <m/>
    <m/>
  </r>
  <r>
    <x v="1"/>
    <x v="8"/>
    <s v="Europe and Central Asia"/>
    <s v="Strategic Partnership [战略伙伴关系]"/>
    <x v="5"/>
    <s v="EUCOM"/>
    <x v="18"/>
    <x v="21"/>
    <n v="2"/>
    <s v="BL - Hosted"/>
    <s v="Ma Xiaotian"/>
    <m/>
    <s v="GSD DCGS"/>
    <n v="6"/>
    <x v="2"/>
    <s v="Deputy Chief Military Policy and Arms Control, Defense Ministry"/>
    <x v="0"/>
    <m/>
    <m/>
    <m/>
    <m/>
    <x v="12"/>
    <m/>
    <m/>
    <m/>
    <m/>
  </r>
  <r>
    <x v="1"/>
    <x v="1"/>
    <s v="Asia"/>
    <s v="Strategic Partnership [战略伙伴关系]"/>
    <x v="0"/>
    <s v="INDOPACOM"/>
    <x v="8"/>
    <x v="21"/>
    <n v="2"/>
    <s v="BL - Hosted"/>
    <s v="Liang Guanglie"/>
    <m/>
    <s v="Defense Minister; CMC Member"/>
    <n v="8"/>
    <x v="2"/>
    <s v="Defense Minister"/>
    <x v="0"/>
    <m/>
    <m/>
    <m/>
    <m/>
    <x v="12"/>
    <m/>
    <m/>
    <m/>
    <m/>
  </r>
  <r>
    <x v="1"/>
    <x v="8"/>
    <s v="Europe and Central Asia"/>
    <s v="Comprehensive Strategic Partnership [全面战略伙伴关系]"/>
    <x v="5"/>
    <s v="EUCOM"/>
    <x v="20"/>
    <x v="21"/>
    <n v="2"/>
    <s v="BL - Hosted"/>
    <s v="Chang Wanquan"/>
    <m/>
    <s v="GAD Director; CMC Member"/>
    <n v="8"/>
    <x v="2"/>
    <s v="Deputy Secretary General of Ministry of Defense"/>
    <x v="0"/>
    <m/>
    <m/>
    <m/>
    <m/>
    <x v="12"/>
    <m/>
    <m/>
    <m/>
    <m/>
  </r>
  <r>
    <x v="1"/>
    <x v="4"/>
    <s v="Asia"/>
    <s v="Mutually Beneficial Strategic Relationship [战略互惠关系]"/>
    <x v="3"/>
    <s v="INDOPACOM"/>
    <x v="83"/>
    <x v="21"/>
    <n v="2"/>
    <s v="BL - Hosted"/>
    <s v="Liang Guanglie"/>
    <m/>
    <s v="Defense Minister; CMC Member"/>
    <n v="8"/>
    <x v="2"/>
    <s v="young military officers"/>
    <x v="0"/>
    <m/>
    <m/>
    <m/>
    <m/>
    <x v="12"/>
    <m/>
    <m/>
    <m/>
    <m/>
  </r>
  <r>
    <x v="1"/>
    <x v="1"/>
    <s v="Asia"/>
    <s v="Comprehensive Strategic Cooperative Partnership [全面战略合作伙伴关系]"/>
    <x v="0"/>
    <s v="INDOPACOM"/>
    <x v="1"/>
    <x v="21"/>
    <n v="2"/>
    <s v="BL - Hosted"/>
    <s v="Chen Bingde"/>
    <m/>
    <s v="GSD Commander; CMC Member"/>
    <n v="8"/>
    <x v="2"/>
    <s v="speaker of house of representatives; former Chief of Staff Armed Forces"/>
    <x v="0"/>
    <m/>
    <m/>
    <m/>
    <m/>
    <x v="12"/>
    <m/>
    <m/>
    <m/>
    <m/>
  </r>
  <r>
    <x v="1"/>
    <x v="8"/>
    <s v="Europe and Central Asia"/>
    <s v="No Specific Relationship"/>
    <x v="5"/>
    <s v="EUCOM"/>
    <x v="151"/>
    <x v="21"/>
    <n v="2"/>
    <s v="BL - Hosted"/>
    <s v="Ma Xiaotian"/>
    <m/>
    <s v="GSD DCGS"/>
    <n v="6"/>
    <x v="2"/>
    <s v="Director, IMS, NATO"/>
    <x v="0"/>
    <m/>
    <m/>
    <m/>
    <m/>
    <x v="12"/>
    <m/>
    <m/>
    <s v="https://www.nato.int/cps/fr/natohq/news_84305.htm?selectedLocale=en"/>
    <s v="PCS: May have been an iteration of the China-NATO staff talks, but the higher rank of the NATO delegation and the PLA counterpart Ma Xiaotian justify inclusion"/>
  </r>
  <r>
    <x v="0"/>
    <x v="9"/>
    <s v="West Asia and Africa"/>
    <s v="No Specific Relationship"/>
    <x v="0"/>
    <s v="CENTCOM"/>
    <x v="147"/>
    <x v="21"/>
    <n v="2"/>
    <s v="Port Call - Replenish/Overhaul"/>
    <m/>
    <m/>
    <m/>
    <m/>
    <x v="0"/>
    <m/>
    <x v="0"/>
    <m/>
    <m/>
    <m/>
    <s v="ETF"/>
    <x v="43"/>
    <s v="South Sea Fleet"/>
    <s v="DDG171 Haikou, FFG571 Yuncheng, AOR885 Qinghai Hu"/>
    <m/>
    <m/>
  </r>
  <r>
    <x v="1"/>
    <x v="3"/>
    <s v="Europe and Central Asia"/>
    <s v="Strategic Partnership of Coordination [战略协作伙伴关系]"/>
    <x v="0"/>
    <s v="EUCOM"/>
    <x v="7"/>
    <x v="21"/>
    <n v="2"/>
    <s v="BL - Hosted"/>
    <s v="Chen Bingde"/>
    <m/>
    <s v="GSD Commander; CMC Member"/>
    <n v="8"/>
    <x v="2"/>
    <s v="DCOGS"/>
    <x v="0"/>
    <m/>
    <m/>
    <m/>
    <m/>
    <x v="12"/>
    <m/>
    <m/>
    <m/>
    <m/>
  </r>
  <r>
    <x v="1"/>
    <x v="0"/>
    <s v="Asia"/>
    <s v="Comprehensive Cooperative Partnership [全面合作伙伴关系]"/>
    <x v="0"/>
    <s v="INDOPACOM"/>
    <x v="3"/>
    <x v="21"/>
    <n v="2"/>
    <s v="BL - Hosted"/>
    <s v="Ma Xiaotian"/>
    <m/>
    <s v="GSD DCGS"/>
    <n v="6"/>
    <x v="2"/>
    <s v="Commander, Eastern Military Command of Navy"/>
    <x v="0"/>
    <m/>
    <m/>
    <m/>
    <m/>
    <x v="12"/>
    <m/>
    <m/>
    <m/>
    <m/>
  </r>
  <r>
    <x v="1"/>
    <x v="1"/>
    <s v="Asia"/>
    <s v="Comprehensive Strategic Cooperative Partnership [全面战略合作伙伴关系]"/>
    <x v="3"/>
    <s v="INDOPACOM"/>
    <x v="5"/>
    <x v="21"/>
    <n v="2"/>
    <s v="BL - Hosted"/>
    <s v="Liang Guanglie"/>
    <m/>
    <s v="Defense Minister; CMC Member"/>
    <n v="8"/>
    <x v="2"/>
    <s v="CinC Army"/>
    <x v="0"/>
    <m/>
    <m/>
    <m/>
    <m/>
    <x v="12"/>
    <m/>
    <m/>
    <m/>
    <m/>
  </r>
  <r>
    <x v="1"/>
    <x v="8"/>
    <s v="Europe and Central Asia"/>
    <s v="Strategic Cooperative Partnership [战略合作伙伴关系]"/>
    <x v="0"/>
    <s v="EUCOM"/>
    <x v="26"/>
    <x v="21"/>
    <n v="2"/>
    <s v="BL - Hosted"/>
    <s v="Wu Shengli"/>
    <m/>
    <s v="PLAN Commander; CMC Member"/>
    <n v="8"/>
    <x v="2"/>
    <s v="Navy Commander"/>
    <x v="0"/>
    <m/>
    <m/>
    <m/>
    <m/>
    <x v="12"/>
    <m/>
    <m/>
    <m/>
    <m/>
  </r>
  <r>
    <x v="1"/>
    <x v="1"/>
    <s v="Asia"/>
    <s v="No Specific Relationship"/>
    <x v="0"/>
    <s v="INDOPACOM"/>
    <x v="44"/>
    <x v="21"/>
    <n v="3"/>
    <s v="BL - Hosted"/>
    <s v="Liang Guanglie"/>
    <m/>
    <s v="Defense Minister; CMC Member"/>
    <n v="8"/>
    <x v="2"/>
    <s v="Deputy Defense Minister"/>
    <x v="0"/>
    <m/>
    <m/>
    <m/>
    <m/>
    <x v="12"/>
    <m/>
    <m/>
    <m/>
    <m/>
  </r>
  <r>
    <x v="1"/>
    <x v="2"/>
    <s v="America and Oceania"/>
    <s v="Strategic Partnership [战略伙伴关系]"/>
    <x v="5"/>
    <s v="NORTHCOM"/>
    <x v="17"/>
    <x v="21"/>
    <n v="3"/>
    <s v="BL - Hosted"/>
    <s v="Guo Boxiong"/>
    <m/>
    <s v="CMC Vice Chairman"/>
    <n v="10"/>
    <x v="2"/>
    <s v="Chief of Staff"/>
    <x v="0"/>
    <m/>
    <m/>
    <m/>
    <m/>
    <x v="12"/>
    <m/>
    <m/>
    <m/>
    <m/>
  </r>
  <r>
    <x v="0"/>
    <x v="9"/>
    <s v="West Asia and Africa"/>
    <s v="No Specific Relationship"/>
    <x v="0"/>
    <s v="CENTCOM"/>
    <x v="119"/>
    <x v="21"/>
    <n v="3"/>
    <s v="Port Call - Replenish/Overhaul"/>
    <m/>
    <m/>
    <m/>
    <m/>
    <x v="0"/>
    <m/>
    <x v="0"/>
    <m/>
    <m/>
    <m/>
    <s v="ETF"/>
    <x v="42"/>
    <s v="South Sea Fleet"/>
    <s v="DDG171 Haikou, FFG571 Yuncheng, AOR885 Qinghai Hu; unknown, could also be ETF-11"/>
    <m/>
    <m/>
  </r>
  <r>
    <x v="1"/>
    <x v="8"/>
    <s v="Europe and Central Asia"/>
    <s v="Comprehensive Strategic Partnership [全面战略伙伴关系]"/>
    <x v="5"/>
    <s v="EUCOM"/>
    <x v="22"/>
    <x v="21"/>
    <n v="3"/>
    <s v="BL - Hosted"/>
    <s v="Ma Xiaotian"/>
    <m/>
    <s v="GSD DCGS"/>
    <n v="6"/>
    <x v="2"/>
    <s v="Army Deputy Chief of Staff"/>
    <x v="0"/>
    <m/>
    <m/>
    <m/>
    <m/>
    <x v="12"/>
    <m/>
    <m/>
    <m/>
    <m/>
  </r>
  <r>
    <x v="1"/>
    <x v="8"/>
    <s v="Europe and Central Asia"/>
    <s v="Strategic Partnership [战略伙伴关系]"/>
    <x v="5"/>
    <s v="EUCOM"/>
    <x v="18"/>
    <x v="21"/>
    <n v="3"/>
    <s v="BL - Hosted"/>
    <s v="Chen Bingde"/>
    <m/>
    <s v="GSD Commander; CMC Member"/>
    <n v="8"/>
    <x v="2"/>
    <s v="Army Inspector"/>
    <x v="0"/>
    <m/>
    <m/>
    <m/>
    <m/>
    <x v="12"/>
    <m/>
    <m/>
    <m/>
    <m/>
  </r>
  <r>
    <x v="1"/>
    <x v="8"/>
    <s v="Europe and Central Asia"/>
    <s v="Comprehensive Strategic Partnership [全面战略伙伴关系]"/>
    <x v="5"/>
    <s v="EUCOM"/>
    <x v="20"/>
    <x v="21"/>
    <n v="3"/>
    <s v="BL - Hosted"/>
    <s v="Ma Xiaotian"/>
    <m/>
    <s v="GSD DCGS"/>
    <n v="6"/>
    <x v="2"/>
    <s v="Deputy Chief 3rd Dept, Plans and Military Policy of Defense General Staff"/>
    <x v="0"/>
    <m/>
    <m/>
    <m/>
    <m/>
    <x v="12"/>
    <m/>
    <m/>
    <m/>
    <m/>
  </r>
  <r>
    <x v="1"/>
    <x v="8"/>
    <s v="Europe and Central Asia"/>
    <s v="No Specific Relationship"/>
    <x v="0"/>
    <s v="EUCOM"/>
    <x v="92"/>
    <x v="21"/>
    <n v="3"/>
    <s v="BL - Hosted"/>
    <s v="Chen Bingde"/>
    <m/>
    <s v="GSD Commander; CMC Member"/>
    <n v="8"/>
    <x v="2"/>
    <s v="Supreme Commander Armed Forces"/>
    <x v="0"/>
    <m/>
    <m/>
    <m/>
    <m/>
    <x v="12"/>
    <m/>
    <m/>
    <m/>
    <m/>
  </r>
  <r>
    <x v="1"/>
    <x v="7"/>
    <s v="West Asia and Africa"/>
    <s v="No Specific Relationship"/>
    <x v="0"/>
    <s v="AFRICOM"/>
    <x v="86"/>
    <x v="21"/>
    <n v="3"/>
    <s v="BL - Abroad"/>
    <s v="Tong Shiping"/>
    <m/>
    <s v="GPD Deputy Director"/>
    <n v="6"/>
    <x v="1"/>
    <m/>
    <x v="0"/>
    <m/>
    <m/>
    <m/>
    <m/>
    <x v="12"/>
    <m/>
    <m/>
    <m/>
    <m/>
  </r>
  <r>
    <x v="1"/>
    <x v="8"/>
    <s v="Europe and Central Asia"/>
    <s v="No Specific Relationship"/>
    <x v="0"/>
    <s v="EUCOM"/>
    <x v="63"/>
    <x v="21"/>
    <n v="4"/>
    <s v="BL - Hosted"/>
    <s v="Ma Xiaotian"/>
    <m/>
    <s v="GSD DCGS"/>
    <n v="6"/>
    <x v="2"/>
    <s v="Director, Defense Policy Bureau of Defense Ministry"/>
    <x v="0"/>
    <m/>
    <m/>
    <m/>
    <m/>
    <x v="12"/>
    <m/>
    <m/>
    <m/>
    <m/>
  </r>
  <r>
    <x v="1"/>
    <x v="8"/>
    <s v="Europe and Central Asia"/>
    <s v="Strategic Partnership [战略伙伴关系]"/>
    <x v="5"/>
    <s v="EUCOM"/>
    <x v="18"/>
    <x v="21"/>
    <n v="4"/>
    <s v="BL - Hosted"/>
    <s v="Guo Boxiong"/>
    <m/>
    <s v="CMC Vice Chairman"/>
    <n v="10"/>
    <x v="2"/>
    <s v="Secretary of State for Defense"/>
    <x v="0"/>
    <m/>
    <m/>
    <m/>
    <m/>
    <x v="12"/>
    <m/>
    <m/>
    <m/>
    <m/>
  </r>
  <r>
    <x v="1"/>
    <x v="6"/>
    <s v="Europe and Central Asia"/>
    <s v="Comprehensive Strategic Partnership [全面战略伙伴关系]"/>
    <x v="0"/>
    <s v="CENTCOM"/>
    <x v="30"/>
    <x v="21"/>
    <n v="4"/>
    <s v="ML - Margins"/>
    <s v="Liang Guanglie"/>
    <m/>
    <s v="Defense Minister; CMC Member"/>
    <n v="8"/>
    <x v="2"/>
    <s v="Defense Minister"/>
    <x v="0"/>
    <m/>
    <m/>
    <m/>
    <m/>
    <x v="12"/>
    <m/>
    <m/>
    <m/>
    <s v="SCO Defense Ministers' Meeting"/>
  </r>
  <r>
    <x v="1"/>
    <x v="7"/>
    <s v="West Asia and Africa"/>
    <s v="No Specific Relationship"/>
    <x v="0"/>
    <s v="AFRICOM"/>
    <x v="143"/>
    <x v="21"/>
    <n v="4"/>
    <s v="BL - Hosted"/>
    <s v="Liang Guanglie"/>
    <m/>
    <s v="Defense Minister; CMC Member"/>
    <n v="8"/>
    <x v="2"/>
    <s v="Permanent Secretary of Ministry of Defense"/>
    <x v="0"/>
    <m/>
    <m/>
    <m/>
    <m/>
    <x v="12"/>
    <m/>
    <m/>
    <m/>
    <m/>
  </r>
  <r>
    <x v="0"/>
    <x v="7"/>
    <s v="West Asia and Africa"/>
    <s v="No Specific Relationship"/>
    <x v="0"/>
    <s v="AFRICOM"/>
    <x v="84"/>
    <x v="21"/>
    <n v="4"/>
    <s v="Port Call - Friendly Visit"/>
    <m/>
    <m/>
    <m/>
    <m/>
    <x v="0"/>
    <m/>
    <x v="0"/>
    <m/>
    <m/>
    <m/>
    <s v="ETF"/>
    <x v="43"/>
    <s v="South Sea Fleet"/>
    <s v="DDG171 Haikou, FFG571 Yuncheng, AOR885 Qinghai Hu"/>
    <m/>
    <m/>
  </r>
  <r>
    <x v="1"/>
    <x v="0"/>
    <s v="Asia"/>
    <s v="Strategic Partnership [战略伙伴关系]"/>
    <x v="1"/>
    <s v="CENTCOM"/>
    <x v="2"/>
    <x v="21"/>
    <n v="4"/>
    <s v="BL - Hosted"/>
    <s v="Liang Guanglie"/>
    <m/>
    <s v="Defense Minister; CMC Member"/>
    <n v="8"/>
    <x v="2"/>
    <s v="Chairman JCS"/>
    <x v="0"/>
    <m/>
    <m/>
    <m/>
    <m/>
    <x v="12"/>
    <m/>
    <m/>
    <m/>
    <m/>
  </r>
  <r>
    <x v="1"/>
    <x v="3"/>
    <s v="Europe and Central Asia"/>
    <s v="Strategic Partnership of Coordination [战略协作伙伴关系]"/>
    <x v="0"/>
    <s v="EUCOM"/>
    <x v="7"/>
    <x v="21"/>
    <n v="4"/>
    <s v="BL - Hosted"/>
    <s v="Guo Boxiong"/>
    <m/>
    <s v="CMC Vice Chairman"/>
    <n v="10"/>
    <x v="2"/>
    <s v="Deputy PM"/>
    <x v="0"/>
    <m/>
    <m/>
    <m/>
    <m/>
    <x v="12"/>
    <m/>
    <m/>
    <m/>
    <m/>
  </r>
  <r>
    <x v="2"/>
    <x v="3"/>
    <s v="Europe and Central Asia"/>
    <s v="Strategic Partnership of Coordination [战略协作伙伴关系]"/>
    <x v="0"/>
    <s v="EUCOM"/>
    <x v="7"/>
    <x v="21"/>
    <n v="4"/>
    <s v="Military Exercise - Bilateral"/>
    <m/>
    <m/>
    <m/>
    <m/>
    <x v="0"/>
    <m/>
    <x v="3"/>
    <s v="Maritime Cooperation 2012 (aka Joint Sea 2012)"/>
    <s v="Navy"/>
    <s v="Maritime; HADR; live-fire drills. April 22 to 27"/>
    <m/>
    <x v="12"/>
    <m/>
    <m/>
    <m/>
    <m/>
  </r>
  <r>
    <x v="1"/>
    <x v="6"/>
    <s v="Europe and Central Asia"/>
    <s v="Member"/>
    <x v="0"/>
    <s v="CENTCOM"/>
    <x v="14"/>
    <x v="21"/>
    <n v="4"/>
    <s v="ML - Hosted"/>
    <s v="Liang Guanglie"/>
    <m/>
    <s v="Defense Minister; CMC Member"/>
    <n v="8"/>
    <x v="1"/>
    <s v="Ninth official meeting of the SCO Ministers' of Defense in Tajikistan; Other countries: Kazakhstan, Kyrgyztan, Russia, Tajikistan, Uzbekistan"/>
    <x v="0"/>
    <m/>
    <m/>
    <m/>
    <m/>
    <x v="12"/>
    <m/>
    <m/>
    <s v="http://nl.china-embassy.org/eng/zgyw/t926911.htm"/>
    <m/>
  </r>
  <r>
    <x v="1"/>
    <x v="6"/>
    <s v="Europe and Central Asia"/>
    <s v="No Specific Relationship"/>
    <x v="0"/>
    <s v="CENTCOM"/>
    <x v="60"/>
    <x v="21"/>
    <n v="4"/>
    <s v="ML - Margins"/>
    <s v="Liang Guanglie"/>
    <m/>
    <s v="Defense Minister; CMC Member"/>
    <n v="8"/>
    <x v="2"/>
    <s v="Defense Minister"/>
    <x v="0"/>
    <m/>
    <m/>
    <m/>
    <m/>
    <x v="12"/>
    <m/>
    <m/>
    <s v="http://news.tj/en/news/sco-s-peace-mission-2012-war-games-start-north-tajikistan"/>
    <s v="SCO Defense Ministers' Meeting"/>
  </r>
  <r>
    <x v="0"/>
    <x v="1"/>
    <s v="Asia"/>
    <s v="Comprehensive Strategic Cooperative Partnership [全面战略合作伙伴关系]"/>
    <x v="3"/>
    <s v="INDOPACOM"/>
    <x v="5"/>
    <x v="21"/>
    <n v="4"/>
    <s v="Port Call - Friendly Visit"/>
    <m/>
    <m/>
    <m/>
    <m/>
    <x v="0"/>
    <m/>
    <x v="0"/>
    <m/>
    <m/>
    <m/>
    <s v="ETF"/>
    <x v="43"/>
    <s v="South Sea Fleet"/>
    <s v="DDG171 Haikou, FFG571 Yuncheng, AOR885 Qinghai Hu"/>
    <m/>
    <m/>
  </r>
  <r>
    <x v="1"/>
    <x v="10"/>
    <s v="America and Oceania"/>
    <s v="No Specific Relationship"/>
    <x v="0"/>
    <s v="SOUTHCOM"/>
    <x v="75"/>
    <x v="21"/>
    <n v="4"/>
    <s v="BL - Hosted"/>
    <s v="Liang Guanglie"/>
    <m/>
    <s v="Defense Minister; CMC Member"/>
    <n v="8"/>
    <x v="2"/>
    <s v="Defense Minister"/>
    <x v="0"/>
    <m/>
    <m/>
    <m/>
    <m/>
    <x v="12"/>
    <m/>
    <m/>
    <m/>
    <m/>
  </r>
  <r>
    <x v="1"/>
    <x v="6"/>
    <s v="Europe and Central Asia"/>
    <s v="Strategic Partnership [战略伙伴关系]"/>
    <x v="0"/>
    <s v="CENTCOM"/>
    <x v="73"/>
    <x v="21"/>
    <n v="4"/>
    <s v="BL - Hosted"/>
    <s v="Xu Caihou"/>
    <m/>
    <s v="CMC Vice Chairman"/>
    <n v="10"/>
    <x v="2"/>
    <s v="Chief of Joint Staff"/>
    <x v="0"/>
    <m/>
    <m/>
    <m/>
    <m/>
    <x v="12"/>
    <m/>
    <m/>
    <m/>
    <m/>
  </r>
  <r>
    <x v="1"/>
    <x v="1"/>
    <s v="Asia"/>
    <s v="Comprehensive Strategic Cooperative Partnership [全面战略合作伙伴关系]"/>
    <x v="0"/>
    <s v="INDOPACOM"/>
    <x v="23"/>
    <x v="21"/>
    <n v="4"/>
    <s v="BL - Hosted"/>
    <s v="Chen Bingde"/>
    <m/>
    <s v="GSD Commander; CMC Member"/>
    <n v="8"/>
    <x v="2"/>
    <s v="COGS Army"/>
    <x v="0"/>
    <m/>
    <m/>
    <m/>
    <m/>
    <x v="12"/>
    <m/>
    <m/>
    <m/>
    <m/>
  </r>
  <r>
    <x v="0"/>
    <x v="9"/>
    <s v="West Asia and Africa"/>
    <s v="No Specific Relationship"/>
    <x v="0"/>
    <s v="CENTCOM"/>
    <x v="119"/>
    <x v="21"/>
    <n v="5"/>
    <s v="Port Call - Replenish/Overhaul"/>
    <m/>
    <m/>
    <m/>
    <m/>
    <x v="0"/>
    <m/>
    <x v="0"/>
    <m/>
    <m/>
    <m/>
    <s v="ETF"/>
    <x v="44"/>
    <s v="North Sea Fleet"/>
    <s v="DDG113 Qingdao, FFG538 Yantai, AOR887 Weishan Hu"/>
    <m/>
    <m/>
  </r>
  <r>
    <x v="1"/>
    <x v="7"/>
    <s v="West Asia and Africa"/>
    <s v="No Specific Relationship"/>
    <x v="0"/>
    <s v="AFRICOM"/>
    <x v="95"/>
    <x v="21"/>
    <n v="5"/>
    <s v="BL - Abroad"/>
    <s v="Wang Guosheng"/>
    <m/>
    <s v="Lanzhou MR Commander"/>
    <n v="6"/>
    <x v="1"/>
    <m/>
    <x v="0"/>
    <m/>
    <m/>
    <m/>
    <m/>
    <x v="12"/>
    <m/>
    <m/>
    <m/>
    <m/>
  </r>
  <r>
    <x v="1"/>
    <x v="8"/>
    <s v="Europe and Central Asia"/>
    <s v="No Specific Relationship"/>
    <x v="0"/>
    <s v="EUCOM"/>
    <x v="81"/>
    <x v="21"/>
    <n v="5"/>
    <s v="BL - Hosted"/>
    <s v="Qi Jianguo"/>
    <m/>
    <s v="GSD Assistant Commander"/>
    <n v="5"/>
    <x v="2"/>
    <s v="DCOGS"/>
    <x v="0"/>
    <m/>
    <m/>
    <m/>
    <m/>
    <x v="12"/>
    <m/>
    <m/>
    <m/>
    <m/>
  </r>
  <r>
    <x v="1"/>
    <x v="9"/>
    <s v="West Asia and Africa"/>
    <s v="No Specific Relationship"/>
    <x v="1"/>
    <s v="CENTCOM"/>
    <x v="100"/>
    <x v="21"/>
    <n v="5"/>
    <s v="BL - Hosted"/>
    <s v="Chen Bingde"/>
    <m/>
    <s v="GSD Commander; CMC Member"/>
    <n v="8"/>
    <x v="2"/>
    <s v="IDF Chief of Staff"/>
    <x v="0"/>
    <m/>
    <m/>
    <m/>
    <m/>
    <x v="12"/>
    <m/>
    <m/>
    <m/>
    <m/>
  </r>
  <r>
    <x v="1"/>
    <x v="8"/>
    <s v="Europe and Central Asia"/>
    <s v="Comprehensive Strategic Partnership [全面战略伙伴关系]"/>
    <x v="5"/>
    <s v="EUCOM"/>
    <x v="20"/>
    <x v="21"/>
    <n v="5"/>
    <s v="BL - Hosted"/>
    <s v="Li Jinai"/>
    <m/>
    <s v="GPD Director; CMC Member"/>
    <n v="8"/>
    <x v="2"/>
    <s v="Air Force Chief of Staff"/>
    <x v="0"/>
    <m/>
    <m/>
    <m/>
    <m/>
    <x v="12"/>
    <m/>
    <m/>
    <m/>
    <m/>
  </r>
  <r>
    <x v="1"/>
    <x v="8"/>
    <s v="Europe and Central Asia"/>
    <s v="Friendly Cooperative Partnership [友好合作伙伴关系]"/>
    <x v="5"/>
    <s v="EUCOM"/>
    <x v="157"/>
    <x v="21"/>
    <n v="5"/>
    <s v="BL - Abroad"/>
    <s v="Liang Guanglie"/>
    <m/>
    <s v="Defense Minister; CMC Member"/>
    <n v="8"/>
    <x v="1"/>
    <m/>
    <x v="0"/>
    <m/>
    <m/>
    <m/>
    <m/>
    <x v="12"/>
    <m/>
    <m/>
    <m/>
    <m/>
  </r>
  <r>
    <x v="1"/>
    <x v="4"/>
    <s v="Asia"/>
    <s v="Strategic Partnership [战略伙伴关系]"/>
    <x v="0"/>
    <s v="INDOPACOM"/>
    <x v="53"/>
    <x v="21"/>
    <n v="5"/>
    <s v="BL - Abroad"/>
    <s v="Xu Caihou"/>
    <m/>
    <s v="CMC Vice Chairman"/>
    <n v="10"/>
    <x v="1"/>
    <m/>
    <x v="0"/>
    <m/>
    <m/>
    <m/>
    <m/>
    <x v="12"/>
    <m/>
    <m/>
    <m/>
    <m/>
  </r>
  <r>
    <x v="1"/>
    <x v="7"/>
    <s v="West Asia and Africa"/>
    <s v="No Specific Relationship"/>
    <x v="0"/>
    <s v="AFRICOM"/>
    <x v="84"/>
    <x v="21"/>
    <n v="5"/>
    <s v="BL - Hosted"/>
    <s v="Liang Guanglie"/>
    <m/>
    <s v="Defense Minister; CMC Member"/>
    <n v="8"/>
    <x v="2"/>
    <s v="Defense Minister"/>
    <x v="0"/>
    <m/>
    <m/>
    <m/>
    <m/>
    <x v="12"/>
    <m/>
    <m/>
    <m/>
    <m/>
  </r>
  <r>
    <x v="1"/>
    <x v="1"/>
    <s v="Asia"/>
    <s v="Comprehensive Strategic Cooperative Partnership [全面战略合作伙伴关系]"/>
    <x v="0"/>
    <s v="INDOPACOM"/>
    <x v="1"/>
    <x v="21"/>
    <n v="5"/>
    <s v="BL - Hosted"/>
    <s v="Qi Jianguo"/>
    <m/>
    <s v="GSD Assistant Commander"/>
    <n v="5"/>
    <x v="2"/>
    <s v="Head of 2nd Special Forces Department"/>
    <x v="0"/>
    <m/>
    <m/>
    <m/>
    <m/>
    <x v="12"/>
    <m/>
    <m/>
    <m/>
    <m/>
  </r>
  <r>
    <x v="1"/>
    <x v="8"/>
    <s v="Europe and Central Asia"/>
    <s v="Strategic Partnership [战略伙伴关系]"/>
    <x v="5"/>
    <s v="EUCOM"/>
    <x v="59"/>
    <x v="21"/>
    <n v="5"/>
    <s v="BL - Hosted"/>
    <s v="Liang Guanglie"/>
    <m/>
    <s v="Defense Minister; CMC Member"/>
    <n v="8"/>
    <x v="2"/>
    <s v="Defense Minister"/>
    <x v="0"/>
    <m/>
    <m/>
    <m/>
    <m/>
    <x v="12"/>
    <m/>
    <m/>
    <m/>
    <m/>
  </r>
  <r>
    <x v="1"/>
    <x v="6"/>
    <s v="Europe and Central Asia"/>
    <s v="Member"/>
    <x v="0"/>
    <s v="CENTCOM"/>
    <x v="14"/>
    <x v="21"/>
    <n v="5"/>
    <s v="ML - Abroad"/>
    <s v="Chen Bingde"/>
    <m/>
    <s v="GSD Commander; CMC Member"/>
    <n v="8"/>
    <x v="1"/>
    <s v="Second meeting of SCO military chiefs of staff in Tajikistan"/>
    <x v="0"/>
    <m/>
    <m/>
    <m/>
    <m/>
    <x v="12"/>
    <m/>
    <m/>
    <s v="http://en.people.cn/90786/7834434.html"/>
    <m/>
  </r>
  <r>
    <x v="1"/>
    <x v="0"/>
    <s v="Asia"/>
    <s v="Comprehensive Cooperative Partnership [全面合作伙伴关系]"/>
    <x v="0"/>
    <s v="INDOPACOM"/>
    <x v="3"/>
    <x v="21"/>
    <n v="5"/>
    <s v="BL - Hosted"/>
    <s v="Liang Guanglie"/>
    <m/>
    <s v="Defense Minister; CMC Member"/>
    <n v="8"/>
    <x v="2"/>
    <s v="Army Commander"/>
    <x v="0"/>
    <m/>
    <m/>
    <m/>
    <m/>
    <x v="12"/>
    <m/>
    <m/>
    <m/>
    <m/>
  </r>
  <r>
    <x v="1"/>
    <x v="6"/>
    <s v="Europe and Central Asia"/>
    <s v="No Specific Relationship"/>
    <x v="0"/>
    <s v="CENTCOM"/>
    <x v="60"/>
    <x v="21"/>
    <n v="5"/>
    <s v="BL - Abroad"/>
    <s v="Chen Bingde"/>
    <m/>
    <s v="GSD Commander; CMC Member"/>
    <n v="8"/>
    <x v="1"/>
    <m/>
    <x v="0"/>
    <m/>
    <m/>
    <m/>
    <m/>
    <x v="12"/>
    <m/>
    <m/>
    <m/>
    <m/>
  </r>
  <r>
    <x v="2"/>
    <x v="1"/>
    <s v="Asia"/>
    <s v="Comprehensive Strategic Cooperative Partnership [全面战略合作伙伴关系]"/>
    <x v="3"/>
    <s v="INDOPACOM"/>
    <x v="5"/>
    <x v="21"/>
    <n v="5"/>
    <s v="Military Exercise - Bilateral"/>
    <m/>
    <m/>
    <m/>
    <m/>
    <x v="0"/>
    <m/>
    <x v="5"/>
    <s v="Blue Strike 2012"/>
    <s v="Navy"/>
    <s v="Amphibious assault; Marines"/>
    <m/>
    <x v="12"/>
    <m/>
    <m/>
    <m/>
    <m/>
  </r>
  <r>
    <x v="1"/>
    <x v="6"/>
    <s v="Europe and Central Asia"/>
    <s v="No Specific Relationship"/>
    <x v="0"/>
    <s v="CENTCOM"/>
    <x v="55"/>
    <x v="21"/>
    <n v="5"/>
    <s v="BL - Abroad"/>
    <s v="Chen Bingde"/>
    <m/>
    <s v="GSD Commander; CMC Member"/>
    <n v="8"/>
    <x v="1"/>
    <m/>
    <x v="0"/>
    <m/>
    <m/>
    <m/>
    <m/>
    <x v="12"/>
    <m/>
    <m/>
    <m/>
    <m/>
  </r>
  <r>
    <x v="1"/>
    <x v="2"/>
    <s v="America and Oceania"/>
    <s v="No Specific Relationship"/>
    <x v="2"/>
    <s v="NORTHCOM"/>
    <x v="4"/>
    <x v="21"/>
    <n v="5"/>
    <s v="BL - Abroad"/>
    <s v="Liang Guanglie"/>
    <m/>
    <s v="Defense Minister; CMC Member"/>
    <n v="8"/>
    <x v="1"/>
    <m/>
    <x v="0"/>
    <m/>
    <m/>
    <m/>
    <m/>
    <x v="12"/>
    <m/>
    <m/>
    <s v="2013 CH Mil Power Report"/>
    <m/>
  </r>
  <r>
    <x v="1"/>
    <x v="6"/>
    <s v="Europe and Central Asia"/>
    <s v="Strategic Partnership [战略伙伴关系]"/>
    <x v="0"/>
    <s v="CENTCOM"/>
    <x v="73"/>
    <x v="21"/>
    <n v="5"/>
    <s v="BL - Abroad"/>
    <s v="Chen Bingde"/>
    <m/>
    <s v="GSD Commander; CMC Member"/>
    <n v="8"/>
    <x v="1"/>
    <m/>
    <x v="0"/>
    <m/>
    <m/>
    <m/>
    <m/>
    <x v="12"/>
    <m/>
    <m/>
    <m/>
    <m/>
  </r>
  <r>
    <x v="1"/>
    <x v="7"/>
    <s v="West Asia and Africa"/>
    <s v="No Specific Relationship"/>
    <x v="0"/>
    <s v="AFRICOM"/>
    <x v="61"/>
    <x v="21"/>
    <n v="5"/>
    <s v="BL - Abroad"/>
    <s v="Wang Guosheng"/>
    <m/>
    <s v="Lanzhou MR Commander"/>
    <n v="6"/>
    <x v="1"/>
    <m/>
    <x v="0"/>
    <m/>
    <m/>
    <m/>
    <m/>
    <x v="12"/>
    <m/>
    <m/>
    <m/>
    <m/>
  </r>
  <r>
    <x v="1"/>
    <x v="10"/>
    <s v="America and Oceania"/>
    <s v="Strategic Partnership [战略伙伴关系]"/>
    <x v="1"/>
    <s v="SOUTHCOM"/>
    <x v="62"/>
    <x v="21"/>
    <n v="6"/>
    <s v="BL - Hosted"/>
    <s v="Guo Boxiong"/>
    <m/>
    <s v="CMC Vice Chairman"/>
    <n v="10"/>
    <x v="2"/>
    <s v="Defense Minister"/>
    <x v="0"/>
    <m/>
    <m/>
    <m/>
    <m/>
    <x v="12"/>
    <m/>
    <m/>
    <m/>
    <m/>
  </r>
  <r>
    <x v="1"/>
    <x v="1"/>
    <s v="Asia"/>
    <s v="No Specific Relationship"/>
    <x v="0"/>
    <s v="INDOPACOM"/>
    <x v="137"/>
    <x v="21"/>
    <n v="6"/>
    <s v="ML - Abroad"/>
    <s v="Ren Haiquan"/>
    <m/>
    <s v="AMS Vice President"/>
    <n v="6"/>
    <x v="1"/>
    <s v="11th Shangri-La Dialogue"/>
    <x v="0"/>
    <m/>
    <m/>
    <m/>
    <m/>
    <x v="12"/>
    <m/>
    <m/>
    <m/>
    <m/>
  </r>
  <r>
    <x v="1"/>
    <x v="1"/>
    <s v="Asia"/>
    <s v="Strategic Partnership [战略伙伴关系]"/>
    <x v="0"/>
    <s v="INDOPACOM"/>
    <x v="8"/>
    <x v="21"/>
    <n v="6"/>
    <s v="BL - Abroad"/>
    <s v="Jing Zhiyuan"/>
    <m/>
    <s v="PLASAF Commander; CMC Member"/>
    <n v="8"/>
    <x v="1"/>
    <s v="Defense Minister"/>
    <x v="0"/>
    <m/>
    <m/>
    <m/>
    <m/>
    <x v="12"/>
    <m/>
    <m/>
    <m/>
    <m/>
  </r>
  <r>
    <x v="0"/>
    <x v="9"/>
    <s v="West Asia and Africa"/>
    <s v="No Specific Relationship"/>
    <x v="0"/>
    <s v="CENTCOM"/>
    <x v="142"/>
    <x v="21"/>
    <n v="6"/>
    <s v="Port Call - Replenish/Overhaul"/>
    <m/>
    <m/>
    <m/>
    <m/>
    <x v="0"/>
    <m/>
    <x v="0"/>
    <m/>
    <m/>
    <m/>
    <s v="ETF"/>
    <x v="44"/>
    <s v="North Sea Fleet"/>
    <s v="DDG113 Qingdao, FFG538 Yantai, AOR887 Weishan Hu"/>
    <m/>
    <m/>
  </r>
  <r>
    <x v="2"/>
    <x v="6"/>
    <s v="Europe and Central Asia"/>
    <s v="Member"/>
    <x v="0"/>
    <s v="CENTCOM"/>
    <x v="14"/>
    <x v="21"/>
    <n v="6"/>
    <s v="Military Exercise - Multilateral"/>
    <m/>
    <m/>
    <m/>
    <m/>
    <x v="0"/>
    <m/>
    <x v="3"/>
    <s v="Peace Mission 2012"/>
    <s v="Joint"/>
    <s v="Army, Navy, Air Force, SOF; anti-terrorism. Other countries: Tajikistan, Russia, Kyrgyzstan, Kazakhstan. Held in  Tajikistan on June 9-14"/>
    <m/>
    <x v="12"/>
    <m/>
    <m/>
    <s v="https://web.archive.org/web/20120609071043/http://news.tj/en/news/sco-s-peace-mission-2012-war-games-start-north-tajikistan"/>
    <m/>
  </r>
  <r>
    <x v="1"/>
    <x v="1"/>
    <s v="Asia"/>
    <s v="No Specific Relationship"/>
    <x v="0"/>
    <s v="INDOPACOM"/>
    <x v="39"/>
    <x v="21"/>
    <n v="6"/>
    <s v="BL - Hosted"/>
    <s v="Xu Caihou"/>
    <m/>
    <s v="CMC Vice Chairman"/>
    <n v="10"/>
    <x v="2"/>
    <s v="Defense Minister"/>
    <x v="0"/>
    <m/>
    <m/>
    <m/>
    <m/>
    <x v="12"/>
    <m/>
    <m/>
    <m/>
    <m/>
  </r>
  <r>
    <x v="1"/>
    <x v="4"/>
    <s v="Asia"/>
    <s v="Strategic Cooperative Partnership [战略合作伙伴关系]"/>
    <x v="3"/>
    <s v="INDOPACOM"/>
    <x v="25"/>
    <x v="21"/>
    <n v="6"/>
    <s v="BL - Hosted"/>
    <s v="Liang Guanglie"/>
    <m/>
    <s v="Defense Minister; CMC Member"/>
    <n v="8"/>
    <x v="2"/>
    <m/>
    <x v="0"/>
    <m/>
    <m/>
    <m/>
    <m/>
    <x v="12"/>
    <m/>
    <m/>
    <m/>
    <m/>
  </r>
  <r>
    <x v="1"/>
    <x v="1"/>
    <s v="Asia"/>
    <s v="Comprehensive Strategic Cooperative Partnership [全面战略合作伙伴关系]"/>
    <x v="3"/>
    <s v="INDOPACOM"/>
    <x v="5"/>
    <x v="21"/>
    <n v="6"/>
    <s v="BL - Abroad"/>
    <s v="Jing Zhiyuan"/>
    <m/>
    <s v="PLASAF Commander; CMC Member"/>
    <n v="8"/>
    <x v="1"/>
    <s v="Defense Minister"/>
    <x v="0"/>
    <m/>
    <m/>
    <m/>
    <m/>
    <x v="12"/>
    <m/>
    <m/>
    <m/>
    <m/>
  </r>
  <r>
    <x v="1"/>
    <x v="2"/>
    <s v="America and Oceania"/>
    <s v="No Specific Relationship"/>
    <x v="2"/>
    <s v="NORTHCOM"/>
    <x v="4"/>
    <x v="21"/>
    <n v="6"/>
    <s v="BL - Hosted"/>
    <s v="Liang Guanglie"/>
    <m/>
    <s v="Defense Minister; CMC Member"/>
    <n v="8"/>
    <x v="2"/>
    <s v="PACOM Commander Locklear"/>
    <x v="0"/>
    <m/>
    <m/>
    <m/>
    <m/>
    <x v="12"/>
    <m/>
    <m/>
    <s v="2013 CH Mil Power Report"/>
    <m/>
  </r>
  <r>
    <x v="1"/>
    <x v="0"/>
    <s v="Europe and Central Asia"/>
    <s v="Strategic Partnership [战略伙伴关系]"/>
    <x v="1"/>
    <s v="CENTCOM"/>
    <x v="123"/>
    <x v="21"/>
    <n v="7"/>
    <s v="BL - Hosted"/>
    <s v="Guo Boxiong"/>
    <m/>
    <s v="CMC Vice Chairman"/>
    <n v="10"/>
    <x v="2"/>
    <s v="Defense Minister"/>
    <x v="0"/>
    <m/>
    <m/>
    <m/>
    <m/>
    <x v="12"/>
    <m/>
    <m/>
    <m/>
    <m/>
  </r>
  <r>
    <x v="1"/>
    <x v="5"/>
    <s v="America and Oceania"/>
    <s v="No Specific Relationship"/>
    <x v="4"/>
    <s v="INDOPACOM"/>
    <x v="12"/>
    <x v="21"/>
    <n v="7"/>
    <s v="BL - Hosted"/>
    <s v="Ma Xiaotian"/>
    <m/>
    <s v="GSD DCGS"/>
    <n v="6"/>
    <x v="2"/>
    <s v="ADF vice Chief"/>
    <x v="0"/>
    <m/>
    <m/>
    <m/>
    <m/>
    <x v="12"/>
    <m/>
    <m/>
    <m/>
    <m/>
  </r>
  <r>
    <x v="1"/>
    <x v="8"/>
    <s v="Europe and Central Asia"/>
    <s v="Comprehensive Cooperative Partnership [全面合作伙伴关系]"/>
    <x v="0"/>
    <s v="EUCOM"/>
    <x v="158"/>
    <x v="21"/>
    <n v="7"/>
    <s v="BL - Hosted"/>
    <s v="Liang Guanglie"/>
    <m/>
    <s v="Defense Minister; CMC Member"/>
    <n v="8"/>
    <x v="2"/>
    <s v="EU Representative for Foreign Affairs and Security Policy"/>
    <x v="0"/>
    <m/>
    <m/>
    <m/>
    <m/>
    <x v="12"/>
    <m/>
    <m/>
    <m/>
    <m/>
  </r>
  <r>
    <x v="2"/>
    <x v="1"/>
    <s v="Asia"/>
    <s v="Strategic Partnership [战略伙伴关系]"/>
    <x v="0"/>
    <s v="INDOPACOM"/>
    <x v="8"/>
    <x v="21"/>
    <n v="7"/>
    <s v="Military Exercise - Bilateral"/>
    <m/>
    <m/>
    <m/>
    <m/>
    <x v="0"/>
    <m/>
    <x v="1"/>
    <s v="Sharp Knife 2012"/>
    <s v="Air Force"/>
    <s v="Airborne forces"/>
    <m/>
    <x v="12"/>
    <m/>
    <m/>
    <m/>
    <m/>
  </r>
  <r>
    <x v="1"/>
    <x v="8"/>
    <s v="Europe and Central Asia"/>
    <s v="Friendly Cooperative Partnership [友好合作伙伴关系]"/>
    <x v="5"/>
    <s v="EUCOM"/>
    <x v="111"/>
    <x v="21"/>
    <n v="7"/>
    <s v="BL - Abroad"/>
    <s v="Xu Caihou"/>
    <m/>
    <s v="CMC Vice Chairman"/>
    <n v="10"/>
    <x v="1"/>
    <m/>
    <x v="0"/>
    <m/>
    <m/>
    <m/>
    <m/>
    <x v="12"/>
    <m/>
    <m/>
    <m/>
    <m/>
  </r>
  <r>
    <x v="0"/>
    <x v="9"/>
    <s v="West Asia and Africa"/>
    <s v="No Specific Relationship"/>
    <x v="0"/>
    <s v="CENTCOM"/>
    <x v="147"/>
    <x v="21"/>
    <n v="7"/>
    <s v="Port Call - Replenish/Overhaul"/>
    <m/>
    <m/>
    <m/>
    <m/>
    <x v="0"/>
    <m/>
    <x v="0"/>
    <m/>
    <m/>
    <m/>
    <s v="ETF"/>
    <x v="44"/>
    <s v="North Sea Fleet"/>
    <s v="DDG113 Qingdao, FFG538 Yantai, AOR887 Weishan Hu"/>
    <m/>
    <m/>
  </r>
  <r>
    <x v="0"/>
    <x v="9"/>
    <s v="West Asia and Africa"/>
    <s v="No Specific Relationship"/>
    <x v="0"/>
    <s v="CENTCOM"/>
    <x v="147"/>
    <x v="21"/>
    <n v="7"/>
    <s v="Port Call - Replenish/Overhaul"/>
    <m/>
    <m/>
    <m/>
    <m/>
    <x v="0"/>
    <m/>
    <x v="0"/>
    <m/>
    <m/>
    <m/>
    <s v="ETF"/>
    <x v="45"/>
    <s v="North Sea Fleet"/>
    <s v="DDG113 Qingdao, FFG538 Yantai, AOR887 Weishan Hu; unknown, could also be ETF-12"/>
    <m/>
    <m/>
  </r>
  <r>
    <x v="1"/>
    <x v="8"/>
    <s v="Europe and Central Asia"/>
    <s v="Comprehensive Friendly Cooperative Partnership [全面友好合作伙伴关系]"/>
    <x v="5"/>
    <s v="EUCOM"/>
    <x v="33"/>
    <x v="21"/>
    <n v="7"/>
    <s v="BL - Hosted"/>
    <s v="Chen Yong"/>
    <m/>
    <s v="GSD Assistant Commander"/>
    <n v="5"/>
    <x v="2"/>
    <s v="Head of NDU"/>
    <x v="0"/>
    <m/>
    <m/>
    <m/>
    <m/>
    <x v="12"/>
    <m/>
    <m/>
    <m/>
    <m/>
  </r>
  <r>
    <x v="1"/>
    <x v="7"/>
    <s v="West Asia and Africa"/>
    <s v="Comprehensive Strategic Partnership [全面战略伙伴关系]"/>
    <x v="0"/>
    <s v="AFRICOM"/>
    <x v="15"/>
    <x v="21"/>
    <n v="7"/>
    <s v="BL - Abroad"/>
    <s v="Ma Xiaotian"/>
    <m/>
    <s v="GSD DCGS"/>
    <n v="6"/>
    <x v="1"/>
    <s v="Defense Minister"/>
    <x v="0"/>
    <m/>
    <m/>
    <m/>
    <m/>
    <x v="12"/>
    <m/>
    <m/>
    <m/>
    <m/>
  </r>
  <r>
    <x v="0"/>
    <x v="8"/>
    <s v="Europe and Central Asia"/>
    <s v="No Specific Relationship"/>
    <x v="5"/>
    <s v="EUCOM"/>
    <x v="79"/>
    <x v="21"/>
    <n v="8"/>
    <s v="Port Call - Friendly Visit"/>
    <m/>
    <m/>
    <m/>
    <m/>
    <x v="0"/>
    <m/>
    <x v="0"/>
    <m/>
    <m/>
    <m/>
    <s v="ETF"/>
    <x v="44"/>
    <s v="North Sea Fleet"/>
    <s v="DDG113 Qingdao, FFG538 Yantai, AOR887 Weishan Hu"/>
    <m/>
    <m/>
  </r>
  <r>
    <x v="1"/>
    <x v="8"/>
    <s v="Europe and Central Asia"/>
    <s v="Comprehensive Cooperative Partnership [全面合作伙伴关系]"/>
    <x v="5"/>
    <s v="EUCOM"/>
    <x v="35"/>
    <x v="21"/>
    <n v="8"/>
    <s v="BL - Hosted"/>
    <s v="Xu Caihou"/>
    <m/>
    <s v="CMC Vice Chairman"/>
    <n v="10"/>
    <x v="2"/>
    <s v="Defense Minister"/>
    <x v="0"/>
    <m/>
    <m/>
    <m/>
    <m/>
    <x v="12"/>
    <m/>
    <m/>
    <m/>
    <m/>
  </r>
  <r>
    <x v="0"/>
    <x v="9"/>
    <s v="West Asia and Africa"/>
    <s v="No Specific Relationship"/>
    <x v="0"/>
    <s v="CENTCOM"/>
    <x v="119"/>
    <x v="21"/>
    <n v="8"/>
    <s v="Port Call - Replenish/Overhaul"/>
    <m/>
    <m/>
    <m/>
    <m/>
    <x v="0"/>
    <m/>
    <x v="0"/>
    <m/>
    <m/>
    <m/>
    <s v="ETF"/>
    <x v="45"/>
    <s v="North Sea Fleet"/>
    <s v="DDG113 Qingdao, FFG538 Yantai, AOR887 Weishan Hu; Unknown, could also be ETF-12"/>
    <m/>
    <m/>
  </r>
  <r>
    <x v="0"/>
    <x v="9"/>
    <s v="West Asia and Africa"/>
    <s v="No Specific Relationship"/>
    <x v="1"/>
    <s v="CENTCOM"/>
    <x v="100"/>
    <x v="21"/>
    <n v="8"/>
    <s v="Port Call - Friendly Visit"/>
    <m/>
    <m/>
    <m/>
    <m/>
    <x v="0"/>
    <m/>
    <x v="0"/>
    <m/>
    <m/>
    <m/>
    <s v="ETF"/>
    <x v="44"/>
    <s v="North Sea Fleet"/>
    <s v="DDG113 Qingdao, FFG538 Yantai, AOR887 Weishan Hu"/>
    <m/>
    <m/>
  </r>
  <r>
    <x v="0"/>
    <x v="8"/>
    <s v="Europe and Central Asia"/>
    <s v="Comprehensive Friendly Cooperative Partnership [全面友好合作伙伴关系]"/>
    <x v="5"/>
    <s v="EUCOM"/>
    <x v="33"/>
    <x v="21"/>
    <n v="8"/>
    <s v="Port Call - Friendly Visit"/>
    <m/>
    <m/>
    <m/>
    <m/>
    <x v="0"/>
    <m/>
    <x v="0"/>
    <m/>
    <m/>
    <m/>
    <s v="ETF"/>
    <x v="44"/>
    <s v="North Sea Fleet"/>
    <s v="DDG113 Qingdao, FFG538 Yantai, AOR887 Weishan Hu"/>
    <m/>
    <m/>
  </r>
  <r>
    <x v="0"/>
    <x v="8"/>
    <s v="Europe and Central Asia"/>
    <s v="Strategic Cooperative Partnership [战略合作伙伴关系]"/>
    <x v="5"/>
    <s v="EUCOM"/>
    <x v="38"/>
    <x v="21"/>
    <n v="8"/>
    <s v="Port Call - Friendly Visit"/>
    <m/>
    <m/>
    <m/>
    <m/>
    <x v="0"/>
    <m/>
    <x v="0"/>
    <m/>
    <m/>
    <m/>
    <s v="ETF"/>
    <x v="44"/>
    <s v="North Sea Fleet"/>
    <s v="DDG113 Qingdao, FFG538 Yantai, AOR887 Weishan Hu"/>
    <m/>
    <m/>
  </r>
  <r>
    <x v="0"/>
    <x v="8"/>
    <s v="Europe and Central Asia"/>
    <s v="Strategic Cooperative Partnership [战略合作伙伴关系]"/>
    <x v="0"/>
    <s v="EUCOM"/>
    <x v="26"/>
    <x v="21"/>
    <n v="8"/>
    <s v="Port Call - Friendly Visit"/>
    <m/>
    <m/>
    <m/>
    <m/>
    <x v="0"/>
    <m/>
    <x v="0"/>
    <m/>
    <m/>
    <m/>
    <s v="ETF"/>
    <x v="44"/>
    <s v="North Sea Fleet"/>
    <s v="DDG113 Qingdao, FFG538 Yantai, AOR887 Weishan Hu"/>
    <m/>
    <m/>
  </r>
  <r>
    <x v="1"/>
    <x v="2"/>
    <s v="America and Oceania"/>
    <s v="No Specific Relationship"/>
    <x v="2"/>
    <s v="NORTHCOM"/>
    <x v="4"/>
    <x v="21"/>
    <n v="8"/>
    <s v="BL - Abroad"/>
    <s v="Cai Yingting"/>
    <m/>
    <s v="GSD DCGS"/>
    <n v="6"/>
    <x v="1"/>
    <s v=" "/>
    <x v="0"/>
    <m/>
    <m/>
    <m/>
    <m/>
    <x v="12"/>
    <m/>
    <s v=" "/>
    <s v="2013 CH Mil Power Report"/>
    <s v="For Strategic Planning Discussions in DC; also visited New York, Fort Hood, TX, and PACOM; position weight corrected to reflect MR grade"/>
  </r>
  <r>
    <x v="1"/>
    <x v="10"/>
    <s v="America and Oceania"/>
    <s v="Strategic Partnership [战略伙伴关系]"/>
    <x v="0"/>
    <s v="SOUTHCOM"/>
    <x v="66"/>
    <x v="21"/>
    <n v="9"/>
    <s v="BL - Hosted"/>
    <s v="Xu Qiliang"/>
    <m/>
    <s v="PLAAF Commander; CMC Member"/>
    <n v="8"/>
    <x v="2"/>
    <s v="Air Force Commander"/>
    <x v="0"/>
    <m/>
    <m/>
    <m/>
    <m/>
    <x v="12"/>
    <m/>
    <m/>
    <m/>
    <m/>
  </r>
  <r>
    <x v="1"/>
    <x v="0"/>
    <s v="Asia"/>
    <s v="Strategic Partnership for Peace and Prosperity [战略伙伴关系]"/>
    <x v="0"/>
    <s v="INDOPACOM"/>
    <x v="6"/>
    <x v="21"/>
    <n v="9"/>
    <s v="BL - Abroad"/>
    <s v="Liang Guanglie"/>
    <m/>
    <s v="Defense Minister; CMC Member"/>
    <n v="8"/>
    <x v="1"/>
    <m/>
    <x v="0"/>
    <m/>
    <m/>
    <m/>
    <m/>
    <x v="12"/>
    <m/>
    <m/>
    <m/>
    <m/>
  </r>
  <r>
    <x v="1"/>
    <x v="1"/>
    <s v="Asia"/>
    <s v="Comprehensive Strategic Cooperative Partnership [全面战略合作伙伴关系]"/>
    <x v="0"/>
    <s v="INDOPACOM"/>
    <x v="52"/>
    <x v="21"/>
    <n v="9"/>
    <s v="BL - Abroad"/>
    <s v="Liang Guanglie"/>
    <m/>
    <s v="Defense Minister; CMC Member"/>
    <n v="8"/>
    <x v="1"/>
    <m/>
    <x v="0"/>
    <m/>
    <m/>
    <m/>
    <m/>
    <x v="12"/>
    <m/>
    <m/>
    <m/>
    <m/>
  </r>
  <r>
    <x v="1"/>
    <x v="1"/>
    <s v="Asia"/>
    <s v="Strategic Cooperative Partnership [战略合作伙伴关系]"/>
    <x v="0"/>
    <s v="INDOPACOM"/>
    <x v="10"/>
    <x v="21"/>
    <n v="9"/>
    <s v="BL - Abroad"/>
    <s v="Ma Xiaotian"/>
    <m/>
    <s v="GSD DCGS"/>
    <n v="6"/>
    <x v="1"/>
    <s v="Secretary General Defense Ministry"/>
    <x v="0"/>
    <m/>
    <m/>
    <m/>
    <m/>
    <x v="12"/>
    <m/>
    <m/>
    <m/>
    <m/>
  </r>
  <r>
    <x v="1"/>
    <x v="1"/>
    <s v="Asia"/>
    <s v="Comprehensive Strategic Cooperative Partnership [全面战略合作伙伴关系]"/>
    <x v="0"/>
    <s v="INDOPACOM"/>
    <x v="1"/>
    <x v="21"/>
    <n v="9"/>
    <s v="BL - Abroad"/>
    <s v="Ma Xiaotian"/>
    <m/>
    <s v="GSD DCGS"/>
    <n v="6"/>
    <x v="1"/>
    <s v="Vice President"/>
    <x v="0"/>
    <m/>
    <m/>
    <m/>
    <m/>
    <x v="12"/>
    <m/>
    <m/>
    <m/>
    <m/>
  </r>
  <r>
    <x v="1"/>
    <x v="0"/>
    <s v="Asia"/>
    <s v="Strategic Partnership [战略伙伴关系]"/>
    <x v="1"/>
    <s v="CENTCOM"/>
    <x v="2"/>
    <x v="21"/>
    <n v="9"/>
    <s v="BL - Abroad"/>
    <s v="Ma Xiaotian"/>
    <m/>
    <s v="GSD DCGS"/>
    <n v="6"/>
    <x v="1"/>
    <s v="Chairman JCS"/>
    <x v="0"/>
    <m/>
    <m/>
    <m/>
    <m/>
    <x v="12"/>
    <m/>
    <m/>
    <m/>
    <m/>
  </r>
  <r>
    <x v="0"/>
    <x v="0"/>
    <s v="Asia"/>
    <s v="Strategic Partnership [战略伙伴关系]"/>
    <x v="1"/>
    <s v="CENTCOM"/>
    <x v="2"/>
    <x v="21"/>
    <n v="9"/>
    <s v="Port Call - Replenish/Overhaul"/>
    <m/>
    <m/>
    <m/>
    <m/>
    <x v="0"/>
    <m/>
    <x v="0"/>
    <m/>
    <m/>
    <m/>
    <s v="ETF"/>
    <x v="44"/>
    <s v="North Sea Fleet"/>
    <s v="DDG113 Qingdao, FFG538 Yantai, AOR887 Weishan Hu"/>
    <m/>
    <m/>
  </r>
  <r>
    <x v="1"/>
    <x v="1"/>
    <s v="Asia"/>
    <s v="No Specific Relationship"/>
    <x v="0"/>
    <s v="INDOPACOM"/>
    <x v="39"/>
    <x v="21"/>
    <n v="9"/>
    <s v="BL - Abroad"/>
    <s v="Ma Xiaotian"/>
    <m/>
    <s v="GSD DCGS"/>
    <n v="6"/>
    <x v="1"/>
    <m/>
    <x v="0"/>
    <m/>
    <m/>
    <m/>
    <m/>
    <x v="12"/>
    <m/>
    <m/>
    <m/>
    <m/>
  </r>
  <r>
    <x v="1"/>
    <x v="0"/>
    <s v="Asia"/>
    <s v="Comprehensive Cooperative Partnership [全面合作伙伴关系]"/>
    <x v="0"/>
    <s v="INDOPACOM"/>
    <x v="3"/>
    <x v="21"/>
    <n v="9"/>
    <s v="BL - Abroad"/>
    <s v="Liang Guanglie"/>
    <m/>
    <s v="Defense Minister; CMC Member"/>
    <n v="8"/>
    <x v="1"/>
    <m/>
    <x v="0"/>
    <m/>
    <m/>
    <m/>
    <m/>
    <x v="12"/>
    <m/>
    <m/>
    <m/>
    <m/>
  </r>
  <r>
    <x v="2"/>
    <x v="0"/>
    <s v="Asia"/>
    <s v="Comprehensive Cooperative Partnership [全面合作伙伴关系]"/>
    <x v="0"/>
    <s v="INDOPACOM"/>
    <x v="3"/>
    <x v="21"/>
    <n v="9"/>
    <s v="Military Exercise - Bilateral"/>
    <m/>
    <m/>
    <m/>
    <m/>
    <x v="0"/>
    <m/>
    <x v="1"/>
    <s v="Cormorant Strike"/>
    <s v="Army"/>
    <s v="Special Forces"/>
    <m/>
    <x v="12"/>
    <m/>
    <m/>
    <m/>
    <m/>
  </r>
  <r>
    <x v="2"/>
    <x v="0"/>
    <s v="Asia"/>
    <s v="Comprehensive Cooperative Partnership [全面合作伙伴关系]"/>
    <x v="0"/>
    <s v="INDOPACOM"/>
    <x v="3"/>
    <x v="21"/>
    <n v="9"/>
    <s v="Military Exercise - Multilateral"/>
    <s v=" "/>
    <m/>
    <s v=" "/>
    <s v=" "/>
    <x v="3"/>
    <m/>
    <x v="3"/>
    <s v="Cormorant Strike 2012"/>
    <s v="Army"/>
    <s v="SOF exercise on eastern coast of Sri Lanka; Eleven officers and twenty-nine Other Ranks from the Armed Forces in China, Pakistan, Bangladesh, Maldives and India"/>
    <m/>
    <x v="12"/>
    <m/>
    <m/>
    <s v="Defense White Paper Appendix; https://www.army.lk/news/cormorant-strike-iii-2012; https://www.army.lk/news/third-%C3%A2%E2%82%AC%CB%9Cexercise-cormorant-strike-iii%C3%A2%E2%82%AC%E2%84%A2-begins"/>
    <s v="Description describes a range of combat acitvities, including ambushes and attacks on high-value targets"/>
  </r>
  <r>
    <x v="1"/>
    <x v="2"/>
    <s v="America and Oceania"/>
    <s v="No Specific Relationship"/>
    <x v="2"/>
    <s v="NORTHCOM"/>
    <x v="4"/>
    <x v="21"/>
    <n v="9"/>
    <s v="BL - Hosted"/>
    <s v="Liang Guanglie"/>
    <m/>
    <s v="Defense Minister; CMC Member"/>
    <n v="8"/>
    <x v="2"/>
    <s v="Secretary of Defense Panetta"/>
    <x v="0"/>
    <m/>
    <m/>
    <m/>
    <m/>
    <x v="12"/>
    <m/>
    <m/>
    <s v="2013 CH Mil Power Report"/>
    <m/>
  </r>
  <r>
    <x v="2"/>
    <x v="2"/>
    <s v="America and Oceania"/>
    <s v="No Specific Relationship"/>
    <x v="2"/>
    <s v="NORTHCOM"/>
    <x v="4"/>
    <x v="21"/>
    <n v="9"/>
    <s v="Military Exercise - Bilateral"/>
    <m/>
    <m/>
    <m/>
    <m/>
    <x v="0"/>
    <m/>
    <x v="4"/>
    <m/>
    <s v="Navy"/>
    <s v="1st US-CH BL counter-piracy exercise in Gulf of Aden"/>
    <m/>
    <x v="12"/>
    <m/>
    <s v="2014 CH Milpower Report"/>
    <s v="2013 CH Mil Power Report"/>
    <m/>
  </r>
  <r>
    <x v="2"/>
    <x v="5"/>
    <s v="America and Oceania"/>
    <s v="No Specific Relationship"/>
    <x v="4"/>
    <s v="INDOPACOM"/>
    <x v="12"/>
    <x v="21"/>
    <n v="10"/>
    <s v="Military Exercise - Multilateral"/>
    <m/>
    <m/>
    <m/>
    <m/>
    <x v="0"/>
    <m/>
    <x v="2"/>
    <s v="Cooperation Spirit 2012"/>
    <s v="Army"/>
    <s v="HADR. Other countries: New Zealand "/>
    <m/>
    <x v="12"/>
    <m/>
    <m/>
    <s v="http://english.cntv.cn/program/newsupdate/20121101/100013.shtml"/>
    <m/>
  </r>
  <r>
    <x v="1"/>
    <x v="8"/>
    <s v="Europe and Central Asia"/>
    <s v="No Specific Relationship"/>
    <x v="0"/>
    <s v="EUCOM"/>
    <x v="81"/>
    <x v="21"/>
    <n v="10"/>
    <s v="BL - Hosted"/>
    <s v="Liang Guanglie"/>
    <m/>
    <s v="Defense Minister; CMC Member"/>
    <n v="8"/>
    <x v="2"/>
    <s v="Permanent Secretary of Ministry of Defense"/>
    <x v="0"/>
    <m/>
    <m/>
    <m/>
    <m/>
    <x v="12"/>
    <m/>
    <m/>
    <m/>
    <m/>
  </r>
  <r>
    <x v="1"/>
    <x v="1"/>
    <s v="Asia"/>
    <s v="Comprehensive Strategic Cooperative Partnership [全面战略合作伙伴关系]"/>
    <x v="0"/>
    <s v="INDOPACOM"/>
    <x v="52"/>
    <x v="21"/>
    <n v="10"/>
    <s v="BL - Hosted"/>
    <s v="Ma Xiaotian"/>
    <m/>
    <s v="GSD DCGS"/>
    <n v="6"/>
    <x v="2"/>
    <s v="President National Defense College"/>
    <x v="0"/>
    <m/>
    <m/>
    <m/>
    <m/>
    <x v="12"/>
    <m/>
    <m/>
    <m/>
    <m/>
  </r>
  <r>
    <x v="1"/>
    <x v="1"/>
    <s v="Asia"/>
    <s v="Strategic Partnership [战略伙伴关系] for Peace and Prosperity"/>
    <x v="0"/>
    <s v="INDOPACOM"/>
    <x v="153"/>
    <x v="21"/>
    <n v="11"/>
    <s v="ML - Abroad"/>
    <s v="Liang Guanglie"/>
    <m/>
    <s v="Defense Minister; CMC Member"/>
    <n v="8"/>
    <x v="1"/>
    <s v="Second China-ASEAN Defense Ministers' Informal Meeting in Cambodia"/>
    <x v="0"/>
    <m/>
    <m/>
    <m/>
    <m/>
    <x v="12"/>
    <m/>
    <m/>
    <s v="https://asean.org/?static_post=overview-asean-china-dialogue-relations"/>
    <s v="corrected partnership to strategic partnership for peace and prosperity"/>
  </r>
  <r>
    <x v="2"/>
    <x v="8"/>
    <s v="Europe and Central Asia"/>
    <s v="Strategic Partnership [战略伙伴关系]"/>
    <x v="5"/>
    <s v="EUCOM"/>
    <x v="34"/>
    <x v="21"/>
    <n v="11"/>
    <s v="Military Exercise - Bilateral"/>
    <s v=" "/>
    <m/>
    <s v=" "/>
    <s v=" "/>
    <x v="3"/>
    <s v=" "/>
    <x v="1"/>
    <s v="Divine Eagle 2012"/>
    <s v="Air Force"/>
    <s v="Chinese and Belarusian airborne troops practiced parachuting, ground penetration, drones, sniping and other combat skills in Hubei"/>
    <m/>
    <x v="12"/>
    <m/>
    <m/>
    <s v="Defense White Paper Appendix; http://usa.chinadaily.com.cn/china/2012-12/06/content_15991982.htm"/>
    <m/>
  </r>
  <r>
    <x v="1"/>
    <x v="1"/>
    <s v="Asia"/>
    <s v="Comprehensive Strategic Cooperative Partnership [全面战略合作伙伴关系]"/>
    <x v="0"/>
    <s v="INDOPACOM"/>
    <x v="94"/>
    <x v="21"/>
    <n v="11"/>
    <s v="BL - Hosted"/>
    <s v="Qi Jianguo"/>
    <m/>
    <s v="GSD DCGS"/>
    <n v="6"/>
    <x v="2"/>
    <m/>
    <x v="0"/>
    <m/>
    <m/>
    <m/>
    <m/>
    <x v="12"/>
    <m/>
    <m/>
    <m/>
    <m/>
  </r>
  <r>
    <x v="1"/>
    <x v="10"/>
    <s v="America and Oceania"/>
    <s v="No Specific Relationship"/>
    <x v="0"/>
    <s v="SOUTHCOM"/>
    <x v="159"/>
    <x v="21"/>
    <n v="11"/>
    <s v="ML - Hosted"/>
    <s v="Liang Guanglie"/>
    <m/>
    <s v="Defense Minister; CMC Member"/>
    <n v="8"/>
    <x v="2"/>
    <s v="First China-Latin America Defense Forum"/>
    <x v="0"/>
    <m/>
    <m/>
    <m/>
    <m/>
    <x v="12"/>
    <m/>
    <m/>
    <s v="https://apa.az/en/asia-news/news_chinese_defense_minister_meets_with_lati_-182886"/>
    <m/>
  </r>
  <r>
    <x v="2"/>
    <x v="10"/>
    <s v="America and Oceania"/>
    <s v="No Specific Relationship"/>
    <x v="0"/>
    <s v="SOUTHCOM"/>
    <x v="45"/>
    <x v="21"/>
    <n v="11"/>
    <s v="Military Exercise - Bilateral"/>
    <m/>
    <m/>
    <m/>
    <m/>
    <x v="0"/>
    <m/>
    <x v="2"/>
    <s v="Cooperation"/>
    <s v="Army"/>
    <s v="HADR"/>
    <m/>
    <x v="12"/>
    <m/>
    <m/>
    <s v="Defense White Paper Appendix"/>
    <m/>
  </r>
  <r>
    <x v="1"/>
    <x v="8"/>
    <s v="Europe and Central Asia"/>
    <s v="No Specific Relationship"/>
    <x v="0"/>
    <s v="EUCOM"/>
    <x v="81"/>
    <x v="21"/>
    <n v="11"/>
    <s v="BL - Hosted"/>
    <s v="Qi Jianguo"/>
    <m/>
    <s v="GSD DCGS"/>
    <n v="6"/>
    <x v="2"/>
    <m/>
    <x v="0"/>
    <m/>
    <m/>
    <m/>
    <m/>
    <x v="12"/>
    <m/>
    <m/>
    <m/>
    <m/>
  </r>
  <r>
    <x v="2"/>
    <x v="9"/>
    <s v="West Asia and Africa"/>
    <s v="No Specific Relationship"/>
    <x v="1"/>
    <s v="CENTCOM"/>
    <x v="101"/>
    <x v="21"/>
    <n v="11"/>
    <s v="Military Exercise - Bilateral"/>
    <s v=" "/>
    <m/>
    <s v=" "/>
    <s v=" "/>
    <x v="3"/>
    <m/>
    <x v="1"/>
    <m/>
    <s v="Army"/>
    <s v="SOF Anti-terrorism exercise in Amman Jordan"/>
    <m/>
    <x v="12"/>
    <m/>
    <m/>
    <s v="Defense White Paper Appendix"/>
    <m/>
  </r>
  <r>
    <x v="1"/>
    <x v="8"/>
    <s v="Europe and Central Asia"/>
    <s v="Friendly Cooperative Partnership [友好合作伙伴关系]"/>
    <x v="5"/>
    <s v="EUCOM"/>
    <x v="157"/>
    <x v="21"/>
    <n v="11"/>
    <s v="BL - Hosted"/>
    <s v="Fan Changlong"/>
    <m/>
    <s v="CMC Vice Chairman"/>
    <n v="10"/>
    <x v="2"/>
    <s v="Defense Minister"/>
    <x v="0"/>
    <m/>
    <m/>
    <m/>
    <m/>
    <x v="12"/>
    <m/>
    <m/>
    <m/>
    <m/>
  </r>
  <r>
    <x v="1"/>
    <x v="1"/>
    <s v="Asia"/>
    <s v="Comprehensive Strategic Cooperative Partnership [全面战略合作伙伴关系]"/>
    <x v="0"/>
    <s v="INDOPACOM"/>
    <x v="1"/>
    <x v="21"/>
    <n v="11"/>
    <s v="BL - Hosted"/>
    <s v="Qi Jianguo"/>
    <m/>
    <s v="GSD DCGS"/>
    <n v="6"/>
    <x v="2"/>
    <s v="Vice Chief of Armed Forces "/>
    <x v="0"/>
    <m/>
    <m/>
    <m/>
    <m/>
    <x v="12"/>
    <m/>
    <m/>
    <m/>
    <m/>
  </r>
  <r>
    <x v="1"/>
    <x v="5"/>
    <s v="America and Oceania"/>
    <s v="No Specific Relationship"/>
    <x v="4"/>
    <s v="INDOPACOM"/>
    <x v="13"/>
    <x v="21"/>
    <n v="11"/>
    <s v="BL - Hosted"/>
    <s v="Ma Xiaotian"/>
    <m/>
    <s v="PLAAF Commander; CMC Member"/>
    <n v="8"/>
    <x v="2"/>
    <s v="Vice Chief of the Defense Forces"/>
    <x v="0"/>
    <m/>
    <m/>
    <m/>
    <m/>
    <x v="12"/>
    <m/>
    <m/>
    <m/>
    <m/>
  </r>
  <r>
    <x v="1"/>
    <x v="3"/>
    <s v="Europe and Central Asia"/>
    <s v="Strategic Partnership of Coordination [战略协作伙伴关系]"/>
    <x v="0"/>
    <s v="EUCOM"/>
    <x v="7"/>
    <x v="21"/>
    <n v="11"/>
    <s v="BL - Hosted"/>
    <s v="Xu Qiliang"/>
    <m/>
    <s v="CMC Vice Chairman"/>
    <n v="10"/>
    <x v="2"/>
    <s v="Air Force Commander"/>
    <x v="0"/>
    <m/>
    <m/>
    <m/>
    <m/>
    <x v="12"/>
    <m/>
    <m/>
    <m/>
    <m/>
  </r>
  <r>
    <x v="1"/>
    <x v="8"/>
    <s v="Europe and Central Asia"/>
    <s v="No Specific Relationship"/>
    <x v="5"/>
    <s v="EUCOM"/>
    <x v="40"/>
    <x v="21"/>
    <n v="11"/>
    <s v="BL - Hosted"/>
    <s v="Fang Fenghui"/>
    <m/>
    <s v="GSD Commander; CMC Member"/>
    <n v="8"/>
    <x v="2"/>
    <s v="COGS"/>
    <x v="0"/>
    <m/>
    <m/>
    <m/>
    <m/>
    <x v="12"/>
    <m/>
    <m/>
    <m/>
    <m/>
  </r>
  <r>
    <x v="1"/>
    <x v="0"/>
    <s v="Asia"/>
    <s v="Comprehensive Cooperative Partnership [全面合作伙伴关系]"/>
    <x v="0"/>
    <s v="INDOPACOM"/>
    <x v="3"/>
    <x v="21"/>
    <n v="11"/>
    <s v="BL - Hosted"/>
    <s v="Liang Guanglie"/>
    <m/>
    <s v="Defense Minister; CMC Member"/>
    <n v="8"/>
    <x v="2"/>
    <s v="Secretary of Defense and Urban Development"/>
    <x v="0"/>
    <m/>
    <m/>
    <m/>
    <m/>
    <x v="12"/>
    <m/>
    <m/>
    <m/>
    <m/>
  </r>
  <r>
    <x v="1"/>
    <x v="2"/>
    <s v="America and Oceania"/>
    <s v="No Specific Relationship"/>
    <x v="2"/>
    <s v="NORTHCOM"/>
    <x v="4"/>
    <x v="21"/>
    <n v="11"/>
    <s v="BL - Hosted"/>
    <s v="Wu Shengli"/>
    <m/>
    <s v="PLAN Commander; CMC Member"/>
    <n v="8"/>
    <x v="2"/>
    <s v="Secretary of the Navy Mabus"/>
    <x v="0"/>
    <m/>
    <m/>
    <m/>
    <m/>
    <x v="12"/>
    <m/>
    <m/>
    <s v="2013 CH Mil Power Report"/>
    <m/>
  </r>
  <r>
    <x v="1"/>
    <x v="5"/>
    <s v="America and Oceania"/>
    <s v="No Specific Relationship"/>
    <x v="4"/>
    <s v="INDOPACOM"/>
    <x v="12"/>
    <x v="21"/>
    <n v="12"/>
    <s v="BL - Hosted"/>
    <s v="Xu Qiliang"/>
    <m/>
    <s v="CMC Vice Chairman"/>
    <n v="10"/>
    <x v="2"/>
    <s v="ADF chief"/>
    <x v="0"/>
    <m/>
    <m/>
    <m/>
    <m/>
    <x v="12"/>
    <m/>
    <m/>
    <m/>
    <m/>
  </r>
  <r>
    <x v="0"/>
    <x v="5"/>
    <s v="America and Oceania"/>
    <s v="No Specific Relationship"/>
    <x v="4"/>
    <s v="INDOPACOM"/>
    <x v="12"/>
    <x v="21"/>
    <n v="12"/>
    <s v="Port Call - Friendly Visit"/>
    <m/>
    <m/>
    <m/>
    <m/>
    <x v="0"/>
    <m/>
    <x v="0"/>
    <m/>
    <m/>
    <m/>
    <s v="ETF"/>
    <x v="46"/>
    <s v="East Sea Fleet"/>
    <s v="FFG548 Yiyang, FFG549 Changzhou, AOR886 Qiandao Hu"/>
    <m/>
    <m/>
  </r>
  <r>
    <x v="1"/>
    <x v="8"/>
    <s v="Europe and Central Asia"/>
    <s v="Strategic Partnership [战略伙伴关系]"/>
    <x v="5"/>
    <s v="EUCOM"/>
    <x v="34"/>
    <x v="21"/>
    <n v="12"/>
    <s v="BL - Hosted"/>
    <s v="Xu Qiliang"/>
    <m/>
    <s v="CMC Vice Chairman"/>
    <n v="10"/>
    <x v="2"/>
    <s v="Defense Minister"/>
    <x v="0"/>
    <m/>
    <m/>
    <m/>
    <m/>
    <x v="12"/>
    <m/>
    <m/>
    <m/>
    <m/>
  </r>
  <r>
    <x v="2"/>
    <x v="8"/>
    <s v="Europe and Central Asia"/>
    <s v="Strategic Partnership [战略伙伴关系]"/>
    <x v="0"/>
    <s v="EUCOM"/>
    <x v="34"/>
    <x v="21"/>
    <n v="12"/>
    <s v="Military Exercise - Bilateral"/>
    <m/>
    <m/>
    <m/>
    <m/>
    <x v="0"/>
    <m/>
    <x v="1"/>
    <s v="Divine Eagle 2012"/>
    <s v="Air Force"/>
    <s v="Airborne forces"/>
    <m/>
    <x v="12"/>
    <m/>
    <m/>
    <m/>
    <m/>
  </r>
  <r>
    <x v="1"/>
    <x v="10"/>
    <s v="America and Oceania"/>
    <s v="No Specific Relationship"/>
    <x v="0"/>
    <s v="SOUTHCOM"/>
    <x v="49"/>
    <x v="21"/>
    <n v="12"/>
    <s v="BL - Abroad"/>
    <s v="Qi Jianguo"/>
    <m/>
    <s v="GSD DCGS"/>
    <n v="6"/>
    <x v="1"/>
    <s v="Fidel Castro"/>
    <x v="0"/>
    <m/>
    <m/>
    <m/>
    <m/>
    <x v="12"/>
    <m/>
    <m/>
    <m/>
    <m/>
  </r>
  <r>
    <x v="0"/>
    <x v="9"/>
    <s v="West Asia and Africa"/>
    <s v="No Specific Relationship"/>
    <x v="0"/>
    <s v="CENTCOM"/>
    <x v="119"/>
    <x v="21"/>
    <n v="12"/>
    <s v="Port Call - Replenish/Overhaul"/>
    <m/>
    <m/>
    <m/>
    <m/>
    <x v="0"/>
    <m/>
    <x v="0"/>
    <m/>
    <m/>
    <m/>
    <s v="ETF"/>
    <x v="47"/>
    <s v="East Sea Fleet"/>
    <s v="FFG548 Yiyang, FFG549 Changzhou, AOR886 Qiandao Hu; unknown, could be ETF-13"/>
    <m/>
    <m/>
  </r>
  <r>
    <x v="1"/>
    <x v="6"/>
    <s v="Europe and Central Asia"/>
    <s v="Comprehensive Strategic Partnership [全面战略伙伴关系]"/>
    <x v="0"/>
    <s v="CENTCOM"/>
    <x v="30"/>
    <x v="21"/>
    <n v="12"/>
    <s v="BL - Hosted"/>
    <s v="Fan Changlong"/>
    <m/>
    <s v="CMC Vice Chairman"/>
    <n v="10"/>
    <x v="2"/>
    <s v="Defense Minister"/>
    <x v="0"/>
    <m/>
    <m/>
    <m/>
    <m/>
    <x v="12"/>
    <m/>
    <m/>
    <m/>
    <m/>
  </r>
  <r>
    <x v="1"/>
    <x v="1"/>
    <s v="Asia"/>
    <s v="Comprehensive Strategic Cooperative Partnership [全面战略合作伙伴关系]"/>
    <x v="0"/>
    <s v="INDOPACOM"/>
    <x v="52"/>
    <x v="21"/>
    <n v="12"/>
    <s v="BL - Hosted"/>
    <s v="Qi Jianguo"/>
    <m/>
    <s v="GSD DCGS"/>
    <n v="6"/>
    <x v="2"/>
    <s v="Head of Foreign Affairs, Ministry of Defense"/>
    <x v="0"/>
    <m/>
    <m/>
    <m/>
    <m/>
    <x v="12"/>
    <m/>
    <m/>
    <m/>
    <m/>
  </r>
  <r>
    <x v="1"/>
    <x v="0"/>
    <s v="West Asia and Africa"/>
    <s v="No Specific Relationship"/>
    <x v="0"/>
    <s v="INDOPACOM"/>
    <x v="149"/>
    <x v="21"/>
    <n v="12"/>
    <s v="BL - Hosted"/>
    <s v="Xu Qiliang"/>
    <m/>
    <s v="CMC Vice Chairman"/>
    <n v="10"/>
    <x v="2"/>
    <s v="Defense Minister"/>
    <x v="0"/>
    <m/>
    <m/>
    <m/>
    <m/>
    <x v="12"/>
    <m/>
    <m/>
    <m/>
    <m/>
  </r>
  <r>
    <x v="1"/>
    <x v="8"/>
    <s v="Europe and Central Asia"/>
    <s v="Strategic Partnership [战略伙伴关系]"/>
    <x v="5"/>
    <s v="EUCOM"/>
    <x v="59"/>
    <x v="21"/>
    <n v="12"/>
    <s v="BL - Hosted"/>
    <s v="Wu Shengli"/>
    <m/>
    <s v="PLAN Commander; CMC Member"/>
    <n v="8"/>
    <x v="2"/>
    <s v="Navy Commander"/>
    <x v="0"/>
    <m/>
    <m/>
    <m/>
    <m/>
    <x v="12"/>
    <m/>
    <m/>
    <m/>
    <m/>
  </r>
  <r>
    <x v="1"/>
    <x v="7"/>
    <s v="West Asia and Africa"/>
    <s v="Comprehensive Strategic Cooperative Partnership [全面战略合作伙伴关系]"/>
    <x v="0"/>
    <s v="AFRICOM"/>
    <x v="96"/>
    <x v="21"/>
    <n v="12"/>
    <s v="BL - Hosted"/>
    <s v="Fang Fenghui"/>
    <m/>
    <s v="GSD Commander; CMC Member"/>
    <n v="8"/>
    <x v="2"/>
    <s v="COGS"/>
    <x v="0"/>
    <m/>
    <m/>
    <m/>
    <m/>
    <x v="12"/>
    <m/>
    <m/>
    <m/>
    <m/>
  </r>
  <r>
    <x v="1"/>
    <x v="2"/>
    <s v="America and Oceania"/>
    <s v="No Specific Relationship"/>
    <x v="2"/>
    <s v="NORTHCOM"/>
    <x v="4"/>
    <x v="21"/>
    <n v="12"/>
    <s v="BL - Abroad"/>
    <s v="Qi Jianguo"/>
    <m/>
    <s v="GSD DCGS"/>
    <n v="6"/>
    <x v="1"/>
    <s v="Deputy Secretary of Defense"/>
    <x v="0"/>
    <m/>
    <m/>
    <m/>
    <m/>
    <x v="12"/>
    <m/>
    <m/>
    <s v="http://us.china-embassy.gov.cn/eng/zmgx/zxxx/201212/t20121203_4908159.htm"/>
    <s v="For Defense Consultative Talks; position weight corrected to reflect MR leader grade"/>
  </r>
  <r>
    <x v="1"/>
    <x v="1"/>
    <s v="Asia"/>
    <s v="Comprehensive Strategic Cooperative Partnership [全面战略合作伙伴关系]"/>
    <x v="0"/>
    <s v="INDOPACOM"/>
    <x v="94"/>
    <x v="22"/>
    <n v="1"/>
    <s v="BL - Abroad"/>
    <s v="Qi Jianguo"/>
    <m/>
    <s v="GSD DCGS"/>
    <n v="6"/>
    <x v="1"/>
    <m/>
    <x v="0"/>
    <m/>
    <m/>
    <m/>
    <m/>
    <x v="12"/>
    <m/>
    <m/>
    <m/>
    <m/>
  </r>
  <r>
    <x v="1"/>
    <x v="8"/>
    <s v="Europe and Central Asia"/>
    <s v="Comprehensive Strategic Partnership [全面战略伙伴关系]"/>
    <x v="5"/>
    <s v="EUCOM"/>
    <x v="22"/>
    <x v="22"/>
    <n v="1"/>
    <s v="BL - Hosted"/>
    <s v="Qi Jianguo"/>
    <m/>
    <s v="GSD DCGS"/>
    <n v="6"/>
    <x v="2"/>
    <s v="Director, General Staff Regional Bureau"/>
    <x v="0"/>
    <m/>
    <m/>
    <m/>
    <m/>
    <x v="12"/>
    <m/>
    <m/>
    <m/>
    <m/>
  </r>
  <r>
    <x v="1"/>
    <x v="0"/>
    <s v="Asia"/>
    <s v="Strategic Partnership for Peace and Prosperity [战略伙伴关系]"/>
    <x v="0"/>
    <s v="INDOPACOM"/>
    <x v="6"/>
    <x v="22"/>
    <n v="1"/>
    <s v="BL - Hosted"/>
    <s v="Xu Qiliang"/>
    <m/>
    <s v="CMC Vice Chairman"/>
    <n v="10"/>
    <x v="2"/>
    <s v="Defense Secretary"/>
    <x v="0"/>
    <m/>
    <m/>
    <m/>
    <m/>
    <x v="12"/>
    <m/>
    <m/>
    <m/>
    <m/>
  </r>
  <r>
    <x v="1"/>
    <x v="1"/>
    <s v="Asia"/>
    <s v="Comprehensive Strategic Partnership [全面战略伙伴关系]"/>
    <x v="0"/>
    <s v="INDOPACOM"/>
    <x v="8"/>
    <x v="22"/>
    <n v="1"/>
    <s v="BL - Hosted"/>
    <s v="Fan Changlong"/>
    <m/>
    <s v="CMC Vice Chairman"/>
    <n v="10"/>
    <x v="2"/>
    <s v="Deputy Defense Minister"/>
    <x v="0"/>
    <m/>
    <m/>
    <m/>
    <m/>
    <x v="12"/>
    <m/>
    <m/>
    <m/>
    <m/>
  </r>
  <r>
    <x v="1"/>
    <x v="9"/>
    <s v="West Asia and Africa"/>
    <s v="No Specific Relationship"/>
    <x v="0"/>
    <s v="CENTCOM"/>
    <x v="147"/>
    <x v="22"/>
    <n v="1"/>
    <s v="BL - Hosted"/>
    <s v="Wu Shengli"/>
    <m/>
    <s v="PLAN Commander; CMC Member"/>
    <n v="8"/>
    <x v="2"/>
    <s v="Navy Commander"/>
    <x v="0"/>
    <m/>
    <m/>
    <m/>
    <m/>
    <x v="12"/>
    <m/>
    <m/>
    <m/>
    <m/>
  </r>
  <r>
    <x v="0"/>
    <x v="9"/>
    <s v="West Asia and Africa"/>
    <s v="No Specific Relationship"/>
    <x v="0"/>
    <s v="CENTCOM"/>
    <x v="142"/>
    <x v="22"/>
    <n v="1"/>
    <s v="Port Call - Replenish/Overhaul"/>
    <m/>
    <m/>
    <m/>
    <m/>
    <x v="0"/>
    <m/>
    <x v="0"/>
    <m/>
    <m/>
    <m/>
    <s v="ETF"/>
    <x v="47"/>
    <s v="East Sea Fleet"/>
    <s v="FFG548 Yiyang, FFG549 Changzhou, AOR886 Qiandao Hu; unknown, could be ETF-13"/>
    <m/>
    <m/>
  </r>
  <r>
    <x v="0"/>
    <x v="1"/>
    <s v="Asia"/>
    <s v="Comprehensive Strategic Cooperative Partnership [全面战略合作伙伴关系]"/>
    <x v="0"/>
    <s v="INDOPACOM"/>
    <x v="23"/>
    <x v="22"/>
    <n v="1"/>
    <s v="Port Call - Friendly Visit"/>
    <m/>
    <m/>
    <m/>
    <m/>
    <x v="0"/>
    <m/>
    <x v="0"/>
    <m/>
    <m/>
    <m/>
    <s v="ETF"/>
    <x v="46"/>
    <s v="East Sea Fleet"/>
    <s v="FFG548 Yiyang, FFG549 Changzhou, AOR886 Qiandao Hu"/>
    <m/>
    <m/>
  </r>
  <r>
    <x v="1"/>
    <x v="5"/>
    <s v="America and Oceania"/>
    <s v="No Specific Relationship"/>
    <x v="4"/>
    <s v="INDOPACOM"/>
    <x v="12"/>
    <x v="22"/>
    <n v="3"/>
    <s v="BL - Hosted"/>
    <s v="Fang Fenghui"/>
    <m/>
    <s v="GSD Commander; CMC Member"/>
    <n v="8"/>
    <x v="2"/>
    <s v="Secretary General of the Department of Defense"/>
    <x v="0"/>
    <m/>
    <m/>
    <m/>
    <m/>
    <x v="12"/>
    <m/>
    <m/>
    <m/>
    <m/>
  </r>
  <r>
    <x v="0"/>
    <x v="8"/>
    <s v="Europe and Central Asia"/>
    <s v="No Specific Relationship"/>
    <x v="0"/>
    <s v="EUCOM"/>
    <x v="148"/>
    <x v="22"/>
    <n v="3"/>
    <s v="Port Call - Friendly Visit"/>
    <m/>
    <m/>
    <m/>
    <m/>
    <x v="0"/>
    <m/>
    <x v="0"/>
    <m/>
    <m/>
    <m/>
    <s v="ETF"/>
    <x v="48"/>
    <s v="South Sea Fleet"/>
    <s v="FFG568 Hengyang, FFG570 Huangshan, AOR885 Qinghai Hu"/>
    <m/>
    <m/>
  </r>
  <r>
    <x v="0"/>
    <x v="9"/>
    <s v="West Asia and Africa"/>
    <s v="No Specific Relationship"/>
    <x v="0"/>
    <s v="CENTCOM"/>
    <x v="147"/>
    <x v="22"/>
    <n v="3"/>
    <s v="Port Call - Replenish/Overhaul"/>
    <m/>
    <m/>
    <m/>
    <m/>
    <x v="0"/>
    <m/>
    <x v="0"/>
    <m/>
    <m/>
    <m/>
    <s v="ETF"/>
    <x v="49"/>
    <s v="South Sea Fleet"/>
    <s v="FFG568 Hengyang, FFG570 Huangshan, AOR885 Qinghai Hu; unknown, could also be ETF-14"/>
    <m/>
    <m/>
  </r>
  <r>
    <x v="1"/>
    <x v="3"/>
    <s v="Europe and Central Asia"/>
    <s v="Comprehensive Collaborative Strategic Partnership [全面战略协作伙伴关系]"/>
    <x v="0"/>
    <s v="EUCOM"/>
    <x v="7"/>
    <x v="22"/>
    <n v="3"/>
    <s v="BL - Abroad"/>
    <s v="Chang Wanquan"/>
    <m/>
    <s v="Defense Minister; CMC Member"/>
    <n v="8"/>
    <x v="1"/>
    <s v="Defense Minister"/>
    <x v="0"/>
    <m/>
    <m/>
    <m/>
    <m/>
    <x v="12"/>
    <m/>
    <m/>
    <m/>
    <m/>
  </r>
  <r>
    <x v="0"/>
    <x v="7"/>
    <s v="West Asia and Africa"/>
    <s v="Strategic Partnership [战略伙伴关系]"/>
    <x v="0"/>
    <s v="AFRICOM"/>
    <x v="76"/>
    <x v="22"/>
    <n v="4"/>
    <s v="Port Call - Friendly Visit"/>
    <m/>
    <m/>
    <m/>
    <m/>
    <x v="0"/>
    <m/>
    <x v="0"/>
    <m/>
    <m/>
    <m/>
    <s v="ETF"/>
    <x v="48"/>
    <s v="South Sea Fleet"/>
    <s v="FFG568 Hengyang, FFG570 Huangshan, AOR885 Qinghai Hu"/>
    <m/>
    <m/>
  </r>
  <r>
    <x v="1"/>
    <x v="10"/>
    <s v="America and Oceania"/>
    <s v="Comprehensive Strategic Partnership [全面战略伙伴关系]"/>
    <x v="0"/>
    <s v="SOUTHCOM"/>
    <x v="43"/>
    <x v="22"/>
    <n v="4"/>
    <s v="BL - Hosted"/>
    <s v="Chang Wanquan"/>
    <m/>
    <s v="Defense Minister; CMC Member"/>
    <n v="8"/>
    <x v="2"/>
    <s v="Director of Strategic Affairs Department under JCS"/>
    <x v="0"/>
    <m/>
    <m/>
    <m/>
    <m/>
    <x v="12"/>
    <m/>
    <m/>
    <m/>
    <m/>
  </r>
  <r>
    <x v="1"/>
    <x v="8"/>
    <s v="Europe and Central Asia"/>
    <s v="No Specific Relationship"/>
    <x v="5"/>
    <s v="EUCOM"/>
    <x v="79"/>
    <x v="22"/>
    <n v="4"/>
    <s v="BL - Hosted"/>
    <s v="Chang Wanquan"/>
    <m/>
    <s v="Defense Minister; CMC Member"/>
    <n v="8"/>
    <x v="2"/>
    <s v="Chief of Defense Staff"/>
    <x v="0"/>
    <m/>
    <m/>
    <m/>
    <m/>
    <x v="12"/>
    <m/>
    <m/>
    <m/>
    <m/>
  </r>
  <r>
    <x v="1"/>
    <x v="1"/>
    <s v="Asia"/>
    <s v="Comprehensive Strategic Cooperative Partnership [全面战略合作伙伴关系]"/>
    <x v="0"/>
    <s v="INDOPACOM"/>
    <x v="94"/>
    <x v="22"/>
    <n v="4"/>
    <s v="BL - Hosted"/>
    <s v="Chang Wanquan"/>
    <m/>
    <s v="Defense Minister; CMC Member"/>
    <n v="8"/>
    <x v="2"/>
    <s v="Deputy Prime Minister and Minister of Defense"/>
    <x v="0"/>
    <m/>
    <m/>
    <m/>
    <m/>
    <x v="12"/>
    <m/>
    <m/>
    <m/>
    <m/>
  </r>
  <r>
    <x v="0"/>
    <x v="8"/>
    <s v="Europe and Central Asia"/>
    <s v="Comprehensive Strategic Partnership [全面战略伙伴关系]"/>
    <x v="5"/>
    <s v="EUCOM"/>
    <x v="22"/>
    <x v="22"/>
    <n v="4"/>
    <s v="Port Call - Friendly Visit"/>
    <m/>
    <m/>
    <m/>
    <m/>
    <x v="0"/>
    <m/>
    <x v="0"/>
    <m/>
    <m/>
    <m/>
    <s v="ETF"/>
    <x v="48"/>
    <s v="South Sea Fleet"/>
    <s v="FFG568 Hengyang, FFG570 Huangshan, AOR885 Qinghai Hu"/>
    <m/>
    <m/>
  </r>
  <r>
    <x v="0"/>
    <x v="0"/>
    <s v="Asia"/>
    <s v="Strategic Partnership for Peace and Prosperity [战略伙伴关系]"/>
    <x v="0"/>
    <s v="INDOPACOM"/>
    <x v="6"/>
    <x v="22"/>
    <n v="4"/>
    <s v="Port Call - Friendly Visit"/>
    <m/>
    <m/>
    <m/>
    <m/>
    <x v="0"/>
    <m/>
    <x v="0"/>
    <m/>
    <m/>
    <m/>
    <s v="NETF"/>
    <x v="50"/>
    <s v="North Sea Fleet"/>
    <s v="PLA FR XJP draft p. 24"/>
    <m/>
    <m/>
  </r>
  <r>
    <x v="0"/>
    <x v="1"/>
    <s v="Asia"/>
    <s v="Comprehensive Strategic Partnership [全面战略伙伴关系]"/>
    <x v="0"/>
    <s v="INDOPACOM"/>
    <x v="8"/>
    <x v="22"/>
    <n v="4"/>
    <s v="Port Call - Friendly Visit"/>
    <m/>
    <m/>
    <m/>
    <m/>
    <x v="0"/>
    <m/>
    <x v="0"/>
    <m/>
    <m/>
    <m/>
    <s v="NETF"/>
    <x v="50"/>
    <s v="North Sea Fleet"/>
    <s v="PLA FR XJP draft p. 24"/>
    <m/>
    <m/>
  </r>
  <r>
    <x v="1"/>
    <x v="9"/>
    <s v="West Asia and Africa"/>
    <s v="No Specific Relationship"/>
    <x v="1"/>
    <s v="CENTCOM"/>
    <x v="101"/>
    <x v="22"/>
    <n v="4"/>
    <s v="BL - Hosted"/>
    <s v="Chen Yong"/>
    <m/>
    <s v="GSD Assistant Commander"/>
    <n v="5"/>
    <x v="2"/>
    <m/>
    <x v="0"/>
    <m/>
    <m/>
    <m/>
    <m/>
    <x v="12"/>
    <m/>
    <m/>
    <m/>
    <m/>
  </r>
  <r>
    <x v="0"/>
    <x v="7"/>
    <s v="West Asia and Africa"/>
    <s v="No Specific Relationship"/>
    <x v="1"/>
    <s v="AFRICOM"/>
    <x v="27"/>
    <x v="22"/>
    <n v="4"/>
    <s v="Port Call - Friendly Visit"/>
    <m/>
    <m/>
    <m/>
    <m/>
    <x v="0"/>
    <m/>
    <x v="0"/>
    <m/>
    <m/>
    <m/>
    <s v="ETF"/>
    <x v="48"/>
    <s v="South Sea Fleet"/>
    <s v="FFG568 Hengyang, FFG570 Huangshan, AOR885 Qinghai Hu"/>
    <m/>
    <m/>
  </r>
  <r>
    <x v="0"/>
    <x v="1"/>
    <s v="Asia"/>
    <s v="Comprehensive Strategic Cooperative Partnership [全面战略合作伙伴关系]"/>
    <x v="0"/>
    <s v="INDOPACOM"/>
    <x v="1"/>
    <x v="22"/>
    <n v="4"/>
    <s v="Port Call - Friendly Visit"/>
    <m/>
    <m/>
    <m/>
    <m/>
    <x v="0"/>
    <m/>
    <x v="0"/>
    <m/>
    <m/>
    <m/>
    <s v="NETF"/>
    <x v="50"/>
    <s v="North Sea Fleet"/>
    <s v="PLA FR XJP draft p. 24"/>
    <m/>
    <m/>
  </r>
  <r>
    <x v="1"/>
    <x v="1"/>
    <s v="Asia"/>
    <s v="Strategic Cooperative Partnership [战略合作伙伴关系]"/>
    <x v="3"/>
    <s v="INDOPACOM"/>
    <x v="11"/>
    <x v="22"/>
    <n v="4"/>
    <s v="BL - Hosted"/>
    <s v="Chang Wanquan"/>
    <m/>
    <s v="Defense Minister; CMC Member"/>
    <n v="8"/>
    <x v="2"/>
    <s v="Defense Undersecretary"/>
    <x v="0"/>
    <m/>
    <m/>
    <m/>
    <m/>
    <x v="12"/>
    <m/>
    <m/>
    <m/>
    <m/>
  </r>
  <r>
    <x v="0"/>
    <x v="8"/>
    <s v="Europe and Central Asia"/>
    <s v="Comprehensive Strategic Partnership [全面战略伙伴关系]"/>
    <x v="5"/>
    <s v="EUCOM"/>
    <x v="48"/>
    <x v="22"/>
    <n v="4"/>
    <s v="Port Call - Friendly Visit"/>
    <m/>
    <m/>
    <m/>
    <m/>
    <x v="0"/>
    <m/>
    <x v="0"/>
    <m/>
    <m/>
    <m/>
    <s v="ETF"/>
    <x v="48"/>
    <s v="South Sea Fleet"/>
    <s v="FFG568 Hengyang, FFG570 Huangshan, AOR885 Qinghai Hu"/>
    <m/>
    <m/>
  </r>
  <r>
    <x v="2"/>
    <x v="3"/>
    <s v="Europe and Central Asia"/>
    <s v="Comprehensive Collaborative Strategic Partnership [全面战略协作伙伴关系]"/>
    <x v="0"/>
    <s v="EUCOM"/>
    <x v="7"/>
    <x v="22"/>
    <n v="4"/>
    <s v="Military Exercise - Bilateral"/>
    <m/>
    <m/>
    <m/>
    <m/>
    <x v="0"/>
    <m/>
    <x v="1"/>
    <s v="Unnamed"/>
    <s v="PAP"/>
    <s v="Response to Manzhouli city security threats; joint border drills"/>
    <m/>
    <x v="12"/>
    <m/>
    <m/>
    <m/>
    <m/>
  </r>
  <r>
    <x v="1"/>
    <x v="9"/>
    <s v="West Asia and Africa"/>
    <s v="No Specific Relationship"/>
    <x v="0"/>
    <s v="CENTCOM"/>
    <x v="142"/>
    <x v="22"/>
    <n v="4"/>
    <s v="BL - Hosted"/>
    <s v="Chang Wanquan"/>
    <m/>
    <s v="Defense Minister; CMC Member"/>
    <n v="8"/>
    <x v="2"/>
    <s v="Deputy Defense Minister"/>
    <x v="0"/>
    <m/>
    <m/>
    <m/>
    <m/>
    <x v="12"/>
    <m/>
    <m/>
    <m/>
    <m/>
  </r>
  <r>
    <x v="0"/>
    <x v="9"/>
    <s v="West Asia and Africa"/>
    <s v="No Specific Relationship"/>
    <x v="0"/>
    <s v="CENTCOM"/>
    <x v="142"/>
    <x v="22"/>
    <n v="4"/>
    <s v="Port Call - Replenish/Overhaul"/>
    <m/>
    <m/>
    <m/>
    <m/>
    <x v="0"/>
    <m/>
    <x v="0"/>
    <m/>
    <m/>
    <m/>
    <s v="ETF"/>
    <x v="51"/>
    <s v="North Sea Fleet"/>
    <s v="DDG112 Harbin, FFG528 Mianyang, AOR887 Weishan Hu; Unknown, could also be ETF-13"/>
    <m/>
    <m/>
  </r>
  <r>
    <x v="1"/>
    <x v="7"/>
    <s v="West Asia and Africa"/>
    <s v="Comprehensive Strategic Partnership [全面战略伙伴关系]"/>
    <x v="0"/>
    <s v="AFRICOM"/>
    <x v="15"/>
    <x v="22"/>
    <n v="4"/>
    <s v="BL - Hosted"/>
    <s v="Jia Tingan"/>
    <m/>
    <s v="GPD Deputy Director"/>
    <n v="6"/>
    <x v="2"/>
    <s v="Department of Defense HR Division Chief"/>
    <x v="0"/>
    <m/>
    <m/>
    <m/>
    <m/>
    <x v="12"/>
    <m/>
    <m/>
    <m/>
    <m/>
  </r>
  <r>
    <x v="1"/>
    <x v="0"/>
    <s v="Asia"/>
    <s v="Strategic Cooperative Partnership [战略合作伙伴关系]"/>
    <x v="0"/>
    <s v="INDOPACOM"/>
    <x v="3"/>
    <x v="22"/>
    <n v="4"/>
    <s v="BL - Hosted"/>
    <s v="Wu Shengli"/>
    <m/>
    <s v="PLAN Commander; CMC Member"/>
    <n v="8"/>
    <x v="2"/>
    <s v="Navy Commander"/>
    <x v="0"/>
    <m/>
    <m/>
    <m/>
    <m/>
    <x v="12"/>
    <m/>
    <m/>
    <m/>
    <m/>
  </r>
  <r>
    <x v="1"/>
    <x v="8"/>
    <s v="Europe and Central Asia"/>
    <s v="No Specific Relationship"/>
    <x v="0"/>
    <s v="EUCOM"/>
    <x v="92"/>
    <x v="22"/>
    <n v="4"/>
    <s v="BL - Hosted"/>
    <s v="Chang Wanquan"/>
    <m/>
    <s v="Defense Minister; CMC Member"/>
    <n v="8"/>
    <x v="2"/>
    <s v="Chief of National Defense General Staff"/>
    <x v="0"/>
    <m/>
    <m/>
    <m/>
    <m/>
    <x v="12"/>
    <m/>
    <m/>
    <m/>
    <m/>
  </r>
  <r>
    <x v="1"/>
    <x v="7"/>
    <s v="West Asia and Africa"/>
    <s v="Comprehensive Cooperative Partnership [全面合作伙伴关系]"/>
    <x v="0"/>
    <s v="AFRICOM"/>
    <x v="16"/>
    <x v="22"/>
    <n v="4"/>
    <s v="BL - Hosted"/>
    <s v="Fan Changlong"/>
    <m/>
    <s v="CMC Vice Chairman"/>
    <n v="10"/>
    <x v="2"/>
    <s v="Defense Minister"/>
    <x v="0"/>
    <m/>
    <m/>
    <m/>
    <m/>
    <x v="12"/>
    <m/>
    <m/>
    <m/>
    <m/>
  </r>
  <r>
    <x v="1"/>
    <x v="2"/>
    <s v="America and Oceania"/>
    <s v="No Specific Relationship"/>
    <x v="2"/>
    <s v="NORTHCOM"/>
    <x v="4"/>
    <x v="22"/>
    <n v="4"/>
    <s v="BL - Hosted"/>
    <s v="Fan Changlong"/>
    <m/>
    <s v="CMC Vice Chairman"/>
    <n v="10"/>
    <x v="2"/>
    <s v="CJCS Dempsey"/>
    <x v="0"/>
    <m/>
    <m/>
    <m/>
    <m/>
    <x v="12"/>
    <m/>
    <m/>
    <s v="2014 CH Mil Power Report"/>
    <m/>
  </r>
  <r>
    <x v="0"/>
    <x v="1"/>
    <s v="Asia"/>
    <s v="Comprehensive Strategic Cooperative Partnership [全面战略合作伙伴关系]"/>
    <x v="0"/>
    <s v="INDOPACOM"/>
    <x v="23"/>
    <x v="22"/>
    <n v="4"/>
    <s v="Port Call - Friendly Visit"/>
    <m/>
    <m/>
    <m/>
    <m/>
    <x v="0"/>
    <m/>
    <x v="0"/>
    <m/>
    <m/>
    <m/>
    <s v="NETF"/>
    <x v="50"/>
    <s v="North Sea Fleet"/>
    <s v="PLA FR XJP draft p. 24"/>
    <m/>
    <m/>
  </r>
  <r>
    <x v="1"/>
    <x v="1"/>
    <s v="Asia"/>
    <s v="Strategic Partnership [战略伙伴关系] for Peace and Prosperity"/>
    <x v="0"/>
    <s v="INDOPACOM"/>
    <x v="153"/>
    <x v="22"/>
    <n v="5"/>
    <s v="ML - Abroad"/>
    <s v="Chang Wanquan"/>
    <m/>
    <s v="Defense Minister; CMC Member"/>
    <n v="8"/>
    <x v="1"/>
    <s v="Third China-ASEAN Defense Ministers' Informal Meeting in Brunei"/>
    <x v="0"/>
    <m/>
    <m/>
    <m/>
    <m/>
    <x v="12"/>
    <m/>
    <m/>
    <s v="https://thediplomat.com/2015/06/china-to-hold-first-meeting-with-asean-defense-ministers-in-beijing/"/>
    <s v="corrected partnership to strategic partnership for peace and prosperity"/>
  </r>
  <r>
    <x v="1"/>
    <x v="8"/>
    <s v="Europe and Central Asia"/>
    <s v="Comprehensive Strategic Partnership [全面战略伙伴关系]"/>
    <x v="0"/>
    <s v="EUCOM"/>
    <x v="34"/>
    <x v="22"/>
    <n v="5"/>
    <s v="BL - Abroad"/>
    <s v="Xu Qiliang"/>
    <m/>
    <s v="CMC Vice Chairman"/>
    <n v="10"/>
    <x v="1"/>
    <m/>
    <x v="0"/>
    <m/>
    <m/>
    <m/>
    <m/>
    <x v="12"/>
    <m/>
    <m/>
    <m/>
    <m/>
  </r>
  <r>
    <x v="1"/>
    <x v="10"/>
    <s v="America and Oceania"/>
    <s v="No Specific Relationship"/>
    <x v="0"/>
    <s v="SOUTHCOM"/>
    <x v="42"/>
    <x v="22"/>
    <n v="5"/>
    <s v="BL - Abroad"/>
    <s v="Wang Guanzhong"/>
    <m/>
    <s v="GSD DCGS"/>
    <n v="6"/>
    <x v="1"/>
    <m/>
    <x v="0"/>
    <m/>
    <m/>
    <m/>
    <m/>
    <x v="12"/>
    <m/>
    <m/>
    <m/>
    <m/>
  </r>
  <r>
    <x v="1"/>
    <x v="1"/>
    <s v="Asia"/>
    <s v="No Specific Relationship"/>
    <x v="0"/>
    <s v="INDOPACOM"/>
    <x v="44"/>
    <x v="22"/>
    <n v="5"/>
    <s v="BL - Abroad"/>
    <s v="Chang Wanquan"/>
    <m/>
    <s v="Defense Minister; CMC Member"/>
    <n v="8"/>
    <x v="1"/>
    <m/>
    <x v="0"/>
    <m/>
    <m/>
    <m/>
    <m/>
    <x v="12"/>
    <m/>
    <m/>
    <m/>
    <m/>
  </r>
  <r>
    <x v="1"/>
    <x v="9"/>
    <s v="West Asia and Africa"/>
    <s v="Strategic Cooperative Partnership [战略合作伙伴关系]"/>
    <x v="1"/>
    <s v="CENTCOM"/>
    <x v="24"/>
    <x v="22"/>
    <n v="5"/>
    <s v="BL - Hosted"/>
    <s v="Ma Xiaotian"/>
    <m/>
    <s v="PLAAF Commander; CMC Member"/>
    <n v="8"/>
    <x v="2"/>
    <s v="Air Force Commander"/>
    <x v="0"/>
    <m/>
    <m/>
    <m/>
    <m/>
    <x v="12"/>
    <m/>
    <m/>
    <m/>
    <m/>
  </r>
  <r>
    <x v="1"/>
    <x v="8"/>
    <s v="Europe and Central Asia"/>
    <s v="No Specific Relationship"/>
    <x v="0"/>
    <s v="EUCOM"/>
    <x v="81"/>
    <x v="22"/>
    <n v="5"/>
    <s v="BL - Hosted"/>
    <s v="Xu Qiliang"/>
    <m/>
    <s v="CMC Vice Chairman"/>
    <n v="10"/>
    <x v="2"/>
    <s v="Chief of Defense Staff"/>
    <x v="0"/>
    <m/>
    <m/>
    <m/>
    <m/>
    <x v="12"/>
    <m/>
    <m/>
    <m/>
    <m/>
  </r>
  <r>
    <x v="1"/>
    <x v="10"/>
    <s v="America and Oceania"/>
    <s v="Friendly Partnership [友好伙伴关系)]"/>
    <x v="0"/>
    <s v="SOUTHCOM"/>
    <x v="145"/>
    <x v="22"/>
    <n v="5"/>
    <s v="BL - Hosted"/>
    <s v="Fang Fenghui"/>
    <m/>
    <s v="GSD Commander; CMC Member"/>
    <n v="8"/>
    <x v="2"/>
    <s v="Chief of Staff of the Defense Forces"/>
    <x v="0"/>
    <m/>
    <m/>
    <m/>
    <m/>
    <x v="12"/>
    <m/>
    <m/>
    <m/>
    <m/>
  </r>
  <r>
    <x v="1"/>
    <x v="6"/>
    <s v="Europe and Central Asia"/>
    <s v="Comprehensive Strategic Partnership [全面战略伙伴关系]"/>
    <x v="0"/>
    <s v="CENTCOM"/>
    <x v="30"/>
    <x v="22"/>
    <n v="5"/>
    <s v="BL - Hosted"/>
    <s v="Fan Changlong"/>
    <m/>
    <s v="CMC Vice Chairman"/>
    <n v="10"/>
    <x v="2"/>
    <s v="COGS"/>
    <x v="0"/>
    <m/>
    <m/>
    <m/>
    <m/>
    <x v="12"/>
    <m/>
    <m/>
    <m/>
    <m/>
  </r>
  <r>
    <x v="1"/>
    <x v="7"/>
    <s v="West Asia and Africa"/>
    <s v="No Specific Relationship"/>
    <x v="0"/>
    <s v="AFRICOM"/>
    <x v="84"/>
    <x v="22"/>
    <n v="5"/>
    <s v="BL - Hosted"/>
    <s v="Chang Wanquan"/>
    <m/>
    <s v="Defense Minister; CMC Member"/>
    <n v="8"/>
    <x v="2"/>
    <s v="COGS"/>
    <x v="0"/>
    <m/>
    <m/>
    <m/>
    <m/>
    <x v="12"/>
    <m/>
    <m/>
    <m/>
    <m/>
  </r>
  <r>
    <x v="1"/>
    <x v="5"/>
    <s v="America and Oceania"/>
    <s v="No Specific Relationship"/>
    <x v="4"/>
    <s v="INDOPACOM"/>
    <x v="13"/>
    <x v="22"/>
    <n v="5"/>
    <s v="BL - Hosted"/>
    <s v="Ma Xiaotian"/>
    <m/>
    <s v="PLAAF Commander; CMC Member"/>
    <n v="8"/>
    <x v="2"/>
    <s v="Air Force Commander"/>
    <x v="0"/>
    <m/>
    <m/>
    <m/>
    <m/>
    <x v="12"/>
    <m/>
    <m/>
    <m/>
    <m/>
  </r>
  <r>
    <x v="1"/>
    <x v="4"/>
    <s v="Asia"/>
    <s v="Bilateral Defense Treaty"/>
    <x v="0"/>
    <s v="INDOPACOM"/>
    <x v="9"/>
    <x v="22"/>
    <n v="5"/>
    <s v="BL - Hosted"/>
    <s v="Fan Changlong"/>
    <m/>
    <s v="CMC Vice Chairman"/>
    <n v="10"/>
    <x v="2"/>
    <s v="Special Envoy"/>
    <x v="0"/>
    <m/>
    <m/>
    <m/>
    <m/>
    <x v="12"/>
    <m/>
    <m/>
    <m/>
    <m/>
  </r>
  <r>
    <x v="1"/>
    <x v="0"/>
    <s v="Asia"/>
    <s v="Strategic Partnership [战略伙伴关系]"/>
    <x v="1"/>
    <s v="CENTCOM"/>
    <x v="2"/>
    <x v="22"/>
    <n v="5"/>
    <s v="BL - Hosted"/>
    <s v="Ma Xiaotian"/>
    <m/>
    <s v="PLAAF Commander; CMC Member"/>
    <n v="8"/>
    <x v="2"/>
    <s v="Air Force First Deputy Chief of Air Staff"/>
    <x v="0"/>
    <m/>
    <m/>
    <m/>
    <m/>
    <x v="12"/>
    <m/>
    <m/>
    <m/>
    <m/>
  </r>
  <r>
    <x v="1"/>
    <x v="8"/>
    <s v="Europe and Central Asia"/>
    <s v="Strategic Partnership [战略伙伴关系]"/>
    <x v="5"/>
    <s v="EUCOM"/>
    <x v="59"/>
    <x v="22"/>
    <n v="5"/>
    <s v="BL - Hosted"/>
    <s v="Fan Changlong"/>
    <m/>
    <s v="CMC Vice Chairman"/>
    <n v="10"/>
    <x v="2"/>
    <s v="Defense Minister"/>
    <x v="0"/>
    <m/>
    <m/>
    <m/>
    <m/>
    <x v="12"/>
    <m/>
    <m/>
    <m/>
    <m/>
  </r>
  <r>
    <x v="1"/>
    <x v="8"/>
    <s v="Europe and Central Asia"/>
    <s v="Comprehensive Strategic Partnership [全面战略伙伴关系]"/>
    <x v="5"/>
    <s v="EUCOM"/>
    <x v="70"/>
    <x v="22"/>
    <n v="5"/>
    <s v="BL - Hosted"/>
    <s v="Fang Fenghui"/>
    <m/>
    <s v="GSD Commander; CMC Member"/>
    <n v="8"/>
    <x v="2"/>
    <s v="Chief Chairman JCS"/>
    <x v="0"/>
    <m/>
    <m/>
    <m/>
    <m/>
    <x v="12"/>
    <m/>
    <m/>
    <m/>
    <m/>
  </r>
  <r>
    <x v="1"/>
    <x v="10"/>
    <s v="America and Oceania"/>
    <s v="No Specific Relationship"/>
    <x v="0"/>
    <s v="SOUTHCOM"/>
    <x v="91"/>
    <x v="22"/>
    <n v="5"/>
    <s v="BL - Hosted"/>
    <s v="Fang Fenghui"/>
    <m/>
    <s v="GSD Commander; CMC Member"/>
    <n v="8"/>
    <x v="2"/>
    <s v="Commander of National Defense Forces"/>
    <x v="0"/>
    <m/>
    <m/>
    <m/>
    <m/>
    <x v="12"/>
    <m/>
    <m/>
    <m/>
    <m/>
  </r>
  <r>
    <x v="1"/>
    <x v="8"/>
    <s v="Europe and Central Asia"/>
    <s v="Strategic Cooperative Partnership [战略合作伙伴关系]"/>
    <x v="5"/>
    <s v="EUCOM"/>
    <x v="38"/>
    <x v="22"/>
    <n v="5"/>
    <s v="BL - Hosted"/>
    <s v="Xu Qiliang"/>
    <m/>
    <s v="CMC Vice Chairman"/>
    <n v="10"/>
    <x v="2"/>
    <s v="DCOGS"/>
    <x v="0"/>
    <m/>
    <m/>
    <m/>
    <m/>
    <x v="12"/>
    <m/>
    <m/>
    <m/>
    <m/>
  </r>
  <r>
    <x v="1"/>
    <x v="8"/>
    <s v="Europe and Central Asia"/>
    <s v="Strategic Cooperative Partnership [战略合作伙伴关系]"/>
    <x v="0"/>
    <s v="EUCOM"/>
    <x v="26"/>
    <x v="22"/>
    <n v="5"/>
    <s v="BL - Hosted"/>
    <s v="Xu Qiliang"/>
    <m/>
    <s v="CMC Vice Chairman"/>
    <n v="10"/>
    <x v="2"/>
    <s v="First Deputy Defense Minister"/>
    <x v="0"/>
    <m/>
    <m/>
    <m/>
    <m/>
    <x v="12"/>
    <m/>
    <m/>
    <m/>
    <m/>
  </r>
  <r>
    <x v="1"/>
    <x v="2"/>
    <s v="America and Oceania"/>
    <s v="No Specific Relationship"/>
    <x v="2"/>
    <s v="NORTHCOM"/>
    <x v="4"/>
    <x v="22"/>
    <n v="5"/>
    <s v="BL - Hosted"/>
    <s v="Wu Shengli"/>
    <m/>
    <s v="PLAN Commander; CMC Member"/>
    <n v="8"/>
    <x v="2"/>
    <s v="Pacific Fleet Commander Haney"/>
    <x v="0"/>
    <m/>
    <m/>
    <m/>
    <m/>
    <x v="12"/>
    <m/>
    <m/>
    <s v="2014 CH Mil Power Report"/>
    <m/>
  </r>
  <r>
    <x v="1"/>
    <x v="7"/>
    <s v="West Asia and Africa"/>
    <s v="No Specific Relationship"/>
    <x v="0"/>
    <s v="AFRICOM"/>
    <x v="61"/>
    <x v="22"/>
    <n v="5"/>
    <s v="BL - Hosted"/>
    <s v="Chang Wanquan"/>
    <m/>
    <s v="Defense Minister; CMC Member"/>
    <n v="8"/>
    <x v="2"/>
    <s v="Army Commander"/>
    <x v="0"/>
    <m/>
    <m/>
    <m/>
    <m/>
    <x v="12"/>
    <m/>
    <m/>
    <m/>
    <m/>
  </r>
  <r>
    <x v="2"/>
    <x v="1"/>
    <s v="Asia"/>
    <s v="Strategic Partnership [战略伙伴关系] for Peace and Prosperity"/>
    <x v="0"/>
    <s v="INDOPACOM"/>
    <x v="153"/>
    <x v="22"/>
    <n v="6"/>
    <s v="Military Exercise - Multilateral"/>
    <s v=" "/>
    <m/>
    <s v=" "/>
    <s v=" "/>
    <x v="3"/>
    <s v=" "/>
    <x v="2"/>
    <s v="ADMM+ HADR exercise"/>
    <s v="Navy"/>
    <s v="ADMM+ HADR exercise; PLAN forces included Peace Ark; US also participated "/>
    <m/>
    <x v="12"/>
    <m/>
    <s v="https://admm.asean.org/index.php/admm-news/40-news/asean-secretariat-news/282-asean-defence-ministers-strengthen-cooperation-ties.html"/>
    <s v="corrected partnership to strategic partnership for peace and prosperity"/>
    <m/>
  </r>
  <r>
    <x v="0"/>
    <x v="1"/>
    <s v="Asia"/>
    <s v="No Specific Relationship"/>
    <x v="0"/>
    <s v="INDOPACOM"/>
    <x v="44"/>
    <x v="22"/>
    <n v="6"/>
    <s v="Port Call - HADR/Friendly"/>
    <m/>
    <m/>
    <m/>
    <m/>
    <x v="0"/>
    <m/>
    <x v="0"/>
    <m/>
    <m/>
    <m/>
    <s v="NETF"/>
    <x v="52"/>
    <s v="East Sea Fleet"/>
    <s v="PLA FR XJP draft p. 26"/>
    <m/>
    <m/>
  </r>
  <r>
    <x v="1"/>
    <x v="2"/>
    <s v="America and Oceania"/>
    <s v="Strategic Partnership [战略伙伴关系]"/>
    <x v="5"/>
    <s v="NORTHCOM"/>
    <x v="17"/>
    <x v="22"/>
    <n v="6"/>
    <s v="BL - Hosted"/>
    <s v="Chang Wanquan"/>
    <m/>
    <s v="Defense Minister; CMC Member"/>
    <n v="8"/>
    <x v="2"/>
    <s v="Defense Minister"/>
    <x v="0"/>
    <m/>
    <m/>
    <m/>
    <m/>
    <x v="12"/>
    <m/>
    <m/>
    <m/>
    <m/>
  </r>
  <r>
    <x v="0"/>
    <x v="9"/>
    <s v="West Asia and Africa"/>
    <s v="No Specific Relationship"/>
    <x v="0"/>
    <s v="CENTCOM"/>
    <x v="119"/>
    <x v="22"/>
    <n v="6"/>
    <s v="Port Call - Replenish/Overhaul"/>
    <m/>
    <m/>
    <m/>
    <m/>
    <x v="0"/>
    <m/>
    <x v="0"/>
    <m/>
    <m/>
    <m/>
    <s v="ETF"/>
    <x v="53"/>
    <s v="North Sea Fleet"/>
    <s v="DDG112 Harbin, FFG528 Mianyang, AOR887 Weishan Hu"/>
    <m/>
    <m/>
  </r>
  <r>
    <x v="1"/>
    <x v="8"/>
    <s v="Europe and Central Asia"/>
    <s v="No Specific Relationship"/>
    <x v="5"/>
    <s v="EUCOM"/>
    <x v="82"/>
    <x v="22"/>
    <n v="6"/>
    <s v="BL - Abroad"/>
    <s v="Jia Tingan"/>
    <m/>
    <s v="GPD Deputy Director"/>
    <n v="6"/>
    <x v="1"/>
    <m/>
    <x v="0"/>
    <m/>
    <m/>
    <m/>
    <m/>
    <x v="12"/>
    <m/>
    <m/>
    <m/>
    <m/>
  </r>
  <r>
    <x v="1"/>
    <x v="1"/>
    <s v="Asia"/>
    <s v="No Specific Relationship"/>
    <x v="0"/>
    <s v="INDOPACOM"/>
    <x v="137"/>
    <x v="22"/>
    <n v="6"/>
    <s v="ML - Abroad"/>
    <s v="Qi Jianguo"/>
    <m/>
    <s v="GSD DCGS"/>
    <n v="6"/>
    <x v="1"/>
    <s v="12th Shangri-La Dialogue"/>
    <x v="0"/>
    <m/>
    <m/>
    <m/>
    <m/>
    <x v="12"/>
    <m/>
    <m/>
    <m/>
    <m/>
  </r>
  <r>
    <x v="1"/>
    <x v="6"/>
    <s v="Europe and Central Asia"/>
    <s v="Strategic Partnership [战略伙伴关系]"/>
    <x v="0"/>
    <s v="CENTCOM"/>
    <x v="31"/>
    <x v="22"/>
    <n v="6"/>
    <s v="BL - Abroad"/>
    <s v="Chang Wanquan"/>
    <m/>
    <s v="Defense Minister; CMC Member"/>
    <n v="8"/>
    <x v="1"/>
    <m/>
    <x v="0"/>
    <m/>
    <m/>
    <m/>
    <m/>
    <x v="12"/>
    <m/>
    <m/>
    <m/>
    <m/>
  </r>
  <r>
    <x v="1"/>
    <x v="9"/>
    <s v="West Asia and Africa"/>
    <s v="No Specific Relationship"/>
    <x v="0"/>
    <s v="CENTCOM"/>
    <x v="110"/>
    <x v="22"/>
    <n v="6"/>
    <s v="BL - Hosted"/>
    <s v="Fang Fenghui"/>
    <m/>
    <s v="GSD Commander; CMC Member"/>
    <n v="8"/>
    <x v="2"/>
    <s v="Chief of Staff of Armed Forces"/>
    <x v="0"/>
    <m/>
    <m/>
    <m/>
    <m/>
    <x v="12"/>
    <m/>
    <m/>
    <m/>
    <m/>
  </r>
  <r>
    <x v="0"/>
    <x v="0"/>
    <s v="West Asia and Africa"/>
    <s v="No Specific Relationship"/>
    <x v="0"/>
    <s v="INDOPACOM"/>
    <x v="149"/>
    <x v="22"/>
    <n v="6"/>
    <s v="Port Call - HADR/Friendly"/>
    <m/>
    <m/>
    <m/>
    <m/>
    <x v="0"/>
    <m/>
    <x v="0"/>
    <m/>
    <m/>
    <m/>
    <s v="NETF"/>
    <x v="52"/>
    <s v="East Sea Fleet"/>
    <s v="PLA FR XJP draft p. 26"/>
    <m/>
    <m/>
  </r>
  <r>
    <x v="0"/>
    <x v="0"/>
    <s v="Asia"/>
    <s v="Strategic Partnership [战略伙伴关系]"/>
    <x v="1"/>
    <s v="CENTCOM"/>
    <x v="2"/>
    <x v="22"/>
    <n v="6"/>
    <s v="Port Call - HADR/Friendly"/>
    <m/>
    <m/>
    <m/>
    <m/>
    <x v="0"/>
    <m/>
    <x v="0"/>
    <m/>
    <m/>
    <m/>
    <s v="NETF"/>
    <x v="52"/>
    <s v="East Sea Fleet"/>
    <s v="PLA FR XJP draft p. 26"/>
    <m/>
    <s v="recoded to delete drills"/>
  </r>
  <r>
    <x v="2"/>
    <x v="3"/>
    <s v="Europe and Central Asia"/>
    <s v="Comprehensive Collaborative Strategic Partnership [全面战略协作伙伴关系]"/>
    <x v="0"/>
    <s v="EUCOM"/>
    <x v="7"/>
    <x v="22"/>
    <n v="6"/>
    <s v="Military Exercise - Bilateral"/>
    <m/>
    <m/>
    <m/>
    <m/>
    <x v="0"/>
    <m/>
    <x v="1"/>
    <s v="Cooperation 2013"/>
    <s v="PAP"/>
    <s v="Snow Leopard commando unit; 10 day joint training exercise in Russia "/>
    <m/>
    <x v="12"/>
    <m/>
    <m/>
    <s v="http://chn.chinamil.com.cn/jwjj/2013-06/11/content_5372267"/>
    <m/>
  </r>
  <r>
    <x v="1"/>
    <x v="6"/>
    <s v="Europe and Central Asia"/>
    <s v="Member"/>
    <x v="0"/>
    <s v="CENTCOM"/>
    <x v="14"/>
    <x v="22"/>
    <n v="6"/>
    <s v="ML - Abroad"/>
    <s v="Chang Wanquan"/>
    <m/>
    <s v="Defense Minister; CMC Member"/>
    <n v="8"/>
    <x v="1"/>
    <s v="10th official meeting of the SCO Ministers' of Defense in Kyrgyzstan; Other countries: Kazakhstan, Kyrgyztan, Russia, Tajikistan, Uzbekistan"/>
    <x v="0"/>
    <m/>
    <m/>
    <m/>
    <m/>
    <x v="12"/>
    <m/>
    <m/>
    <s v="http://www.mfa.kg/index_en.html"/>
    <m/>
  </r>
  <r>
    <x v="0"/>
    <x v="7"/>
    <s v="West Asia and Africa"/>
    <s v="No Specific Relationship"/>
    <x v="0"/>
    <s v="AFRICOM"/>
    <x v="139"/>
    <x v="22"/>
    <n v="6"/>
    <s v="Port Call - Friendly Visit"/>
    <m/>
    <m/>
    <m/>
    <m/>
    <x v="0"/>
    <m/>
    <x v="0"/>
    <m/>
    <m/>
    <m/>
    <s v="ETF"/>
    <x v="53"/>
    <s v="North Sea Fleet"/>
    <s v="DDG112 Harbin, FFG528 Mianyang, AOR887 Weishan Hu"/>
    <m/>
    <m/>
  </r>
  <r>
    <x v="1"/>
    <x v="4"/>
    <s v="Asia"/>
    <s v="Strategic Cooperative Partnership [战略合作伙伴关系]"/>
    <x v="3"/>
    <s v="INDOPACOM"/>
    <x v="25"/>
    <x v="22"/>
    <n v="6"/>
    <s v="BL - Hosted"/>
    <s v="Fan Changlong"/>
    <m/>
    <s v="CMC Vice Chairman"/>
    <n v="10"/>
    <x v="2"/>
    <s v="Chairman JCS"/>
    <x v="0"/>
    <m/>
    <m/>
    <m/>
    <m/>
    <x v="12"/>
    <m/>
    <m/>
    <m/>
    <m/>
  </r>
  <r>
    <x v="1"/>
    <x v="1"/>
    <s v="Asia"/>
    <s v="Comprehensive Strategic Cooperative Partnership [全面战略合作伙伴关系]"/>
    <x v="3"/>
    <s v="INDOPACOM"/>
    <x v="5"/>
    <x v="22"/>
    <n v="6"/>
    <s v="BL - Hosted"/>
    <s v="Fan Changlong"/>
    <m/>
    <s v="CMC Vice Chairman"/>
    <n v="10"/>
    <x v="2"/>
    <s v="Supreme Commander Armed Forces"/>
    <x v="0"/>
    <m/>
    <m/>
    <m/>
    <m/>
    <x v="12"/>
    <m/>
    <m/>
    <m/>
    <m/>
  </r>
  <r>
    <x v="1"/>
    <x v="1"/>
    <s v="Asia"/>
    <s v="Comprehensive Strategic Cooperative Partnership [全面战略合作伙伴关系]"/>
    <x v="0"/>
    <s v="INDOPACOM"/>
    <x v="23"/>
    <x v="22"/>
    <n v="6"/>
    <s v="BL - Hosted"/>
    <s v="Chang Wanquan"/>
    <m/>
    <s v="Defense Minister; CMC Member"/>
    <n v="8"/>
    <x v="2"/>
    <s v="Deputy Defense Minister"/>
    <x v="0"/>
    <m/>
    <m/>
    <m/>
    <m/>
    <x v="12"/>
    <m/>
    <m/>
    <m/>
    <m/>
  </r>
  <r>
    <x v="0"/>
    <x v="9"/>
    <s v="West Asia and Africa"/>
    <s v="No Specific Relationship"/>
    <x v="0"/>
    <s v="CENTCOM"/>
    <x v="119"/>
    <x v="22"/>
    <n v="7"/>
    <s v="Port Call - Replenish/Overhaul"/>
    <m/>
    <m/>
    <m/>
    <m/>
    <x v="0"/>
    <m/>
    <x v="0"/>
    <m/>
    <m/>
    <m/>
    <s v="ETF"/>
    <x v="53"/>
    <s v="North Sea Fleet"/>
    <s v="DDG112 Harbin, FFG528 Mianyang, AOR887 Weishan Hu"/>
    <m/>
    <m/>
  </r>
  <r>
    <x v="1"/>
    <x v="0"/>
    <s v="Asia"/>
    <s v="Strategic Partnership for Peace and Prosperity [战略伙伴关系]"/>
    <x v="0"/>
    <s v="INDOPACOM"/>
    <x v="6"/>
    <x v="22"/>
    <n v="7"/>
    <s v="BL - Hosted"/>
    <s v="Chang Wanquan"/>
    <m/>
    <s v="Defense Minister; CMC Member"/>
    <n v="8"/>
    <x v="2"/>
    <s v="Defense Minister"/>
    <x v="0"/>
    <m/>
    <m/>
    <m/>
    <m/>
    <x v="12"/>
    <m/>
    <m/>
    <m/>
    <m/>
  </r>
  <r>
    <x v="1"/>
    <x v="8"/>
    <s v="Europe and Central Asia"/>
    <s v="Comprehensive Strategic Partnership [全面战略伙伴关系]"/>
    <x v="5"/>
    <s v="EUCOM"/>
    <x v="20"/>
    <x v="22"/>
    <n v="7"/>
    <s v="BL - Abroad"/>
    <s v="Zhang Youxia"/>
    <m/>
    <s v="GAD Director; CMC Member"/>
    <n v="8"/>
    <x v="1"/>
    <m/>
    <x v="0"/>
    <m/>
    <m/>
    <m/>
    <m/>
    <x v="12"/>
    <m/>
    <m/>
    <m/>
    <m/>
  </r>
  <r>
    <x v="1"/>
    <x v="6"/>
    <s v="Europe and Central Asia"/>
    <s v="Comprehensive Strategic Partnership [全面战略伙伴关系]"/>
    <x v="0"/>
    <s v="CENTCOM"/>
    <x v="30"/>
    <x v="22"/>
    <n v="7"/>
    <s v="BL - Abroad"/>
    <s v="Fan Changlong"/>
    <m/>
    <s v="CMC Vice Chairman"/>
    <n v="10"/>
    <x v="1"/>
    <m/>
    <x v="0"/>
    <m/>
    <m/>
    <m/>
    <m/>
    <x v="12"/>
    <m/>
    <m/>
    <m/>
    <m/>
  </r>
  <r>
    <x v="1"/>
    <x v="1"/>
    <s v="Asia"/>
    <s v="Comprehensive Strategic Cooperative Partnership [全面战略合作伙伴关系]"/>
    <x v="0"/>
    <s v="INDOPACOM"/>
    <x v="52"/>
    <x v="22"/>
    <n v="7"/>
    <s v="BL - Hosted"/>
    <s v="Chang Wanquan"/>
    <m/>
    <s v="Defense Minister; CMC Member"/>
    <n v="8"/>
    <x v="2"/>
    <s v="Deputy Prime Minister and Minister of Defense"/>
    <x v="0"/>
    <m/>
    <m/>
    <m/>
    <m/>
    <x v="12"/>
    <m/>
    <m/>
    <m/>
    <m/>
  </r>
  <r>
    <x v="1"/>
    <x v="7"/>
    <s v="West Asia and Africa"/>
    <s v="Strategic Partnership [战略伙伴关系]"/>
    <x v="0"/>
    <s v="AFRICOM"/>
    <x v="36"/>
    <x v="22"/>
    <n v="7"/>
    <s v="BL - Hosted"/>
    <s v="Chang Wanquan"/>
    <m/>
    <s v="Defense Minister; CMC Member"/>
    <n v="8"/>
    <x v="2"/>
    <s v="Acting Defense Minister"/>
    <x v="0"/>
    <m/>
    <m/>
    <m/>
    <m/>
    <x v="12"/>
    <m/>
    <m/>
    <m/>
    <m/>
  </r>
  <r>
    <x v="1"/>
    <x v="3"/>
    <s v="Europe and Central Asia"/>
    <s v="Comprehensive Collaborative Strategic Partnership [全面战略协作伙伴关系]"/>
    <x v="0"/>
    <s v="EUCOM"/>
    <x v="7"/>
    <x v="22"/>
    <n v="7"/>
    <s v="BL - Abroad"/>
    <s v="Fang Fenghui"/>
    <m/>
    <s v="GSD Commander; CMC Member"/>
    <n v="8"/>
    <x v="1"/>
    <s v="COGS"/>
    <x v="0"/>
    <m/>
    <m/>
    <m/>
    <m/>
    <x v="12"/>
    <m/>
    <m/>
    <m/>
    <m/>
  </r>
  <r>
    <x v="2"/>
    <x v="3"/>
    <s v="Europe and Central Asia"/>
    <s v="Comprehensive Collaborative Strategic Partnership [全面战略协作伙伴关系]"/>
    <x v="0"/>
    <s v="EUCOM"/>
    <x v="7"/>
    <x v="22"/>
    <n v="7"/>
    <s v="Military Exercise - Bilateral"/>
    <m/>
    <m/>
    <m/>
    <m/>
    <x v="0"/>
    <m/>
    <x v="3"/>
    <s v="Maritime Cooperation 2013 (aka Joint Sea 2013)"/>
    <s v="Navy"/>
    <s v="Maritime; HADR; live-fire drills. July 5-12"/>
    <m/>
    <x v="12"/>
    <m/>
    <m/>
    <m/>
    <m/>
  </r>
  <r>
    <x v="2"/>
    <x v="3"/>
    <s v="Europe and Central Asia"/>
    <s v="Comprehensive Collaborative Strategic Partnership [全面战略协作伙伴关系]"/>
    <x v="0"/>
    <s v="EUCOM"/>
    <x v="7"/>
    <x v="22"/>
    <n v="7"/>
    <s v="Military Exercise - Bilateral"/>
    <m/>
    <m/>
    <m/>
    <m/>
    <x v="0"/>
    <m/>
    <x v="3"/>
    <s v="Peace Mission 2013"/>
    <s v="Joint"/>
    <s v="Army, Navy, Air Force, SOF; anti-terrorism.  July 27–August 15, 2013"/>
    <m/>
    <x v="12"/>
    <m/>
    <m/>
    <m/>
    <m/>
  </r>
  <r>
    <x v="1"/>
    <x v="1"/>
    <s v="Asia"/>
    <s v="No Specific Relationship"/>
    <x v="0"/>
    <s v="INDOPACOM"/>
    <x v="39"/>
    <x v="22"/>
    <n v="7"/>
    <s v="BL - Hosted"/>
    <s v="Wu Shengli"/>
    <m/>
    <s v="PLAN Commander; CMC Member"/>
    <n v="8"/>
    <x v="2"/>
    <s v="Navy Commander"/>
    <x v="0"/>
    <m/>
    <m/>
    <m/>
    <m/>
    <x v="12"/>
    <m/>
    <m/>
    <m/>
    <m/>
  </r>
  <r>
    <x v="1"/>
    <x v="4"/>
    <s v="Asia"/>
    <s v="Strategic Cooperative Partnership [战略合作伙伴关系]"/>
    <x v="3"/>
    <s v="INDOPACOM"/>
    <x v="25"/>
    <x v="22"/>
    <n v="7"/>
    <s v="BL - Hosted"/>
    <s v="Wu Shengli"/>
    <m/>
    <s v="PLAN Commander; CMC Member"/>
    <n v="8"/>
    <x v="2"/>
    <s v="Chief of Naval Operations"/>
    <x v="0"/>
    <m/>
    <m/>
    <m/>
    <m/>
    <x v="12"/>
    <m/>
    <m/>
    <m/>
    <m/>
  </r>
  <r>
    <x v="1"/>
    <x v="1"/>
    <s v="Asia"/>
    <s v="Comprehensive Strategic Cooperative Partnership [全面战略合作伙伴关系]"/>
    <x v="3"/>
    <s v="INDOPACOM"/>
    <x v="5"/>
    <x v="22"/>
    <n v="7"/>
    <s v="BL - Abroad"/>
    <s v="Fan Changlong"/>
    <m/>
    <s v="CMC Vice Chairman"/>
    <n v="10"/>
    <x v="1"/>
    <m/>
    <x v="0"/>
    <m/>
    <m/>
    <m/>
    <m/>
    <x v="12"/>
    <m/>
    <m/>
    <m/>
    <m/>
  </r>
  <r>
    <x v="2"/>
    <x v="1"/>
    <s v="Asia"/>
    <s v="Comprehensive Strategic Cooperative Partnership [全面战略合作伙伴关系]"/>
    <x v="3"/>
    <s v="INDOPACOM"/>
    <x v="5"/>
    <x v="22"/>
    <n v="7"/>
    <s v="Military Exercise - Bilateral"/>
    <m/>
    <m/>
    <m/>
    <m/>
    <x v="0"/>
    <m/>
    <x v="1"/>
    <s v="Strike 2013"/>
    <s v="Army"/>
    <s v="Anti-terrorism"/>
    <m/>
    <x v="12"/>
    <m/>
    <m/>
    <m/>
    <m/>
  </r>
  <r>
    <x v="1"/>
    <x v="7"/>
    <s v="West Asia and Africa"/>
    <s v="Strategic Partnership [战略伙伴关系]"/>
    <x v="0"/>
    <s v="AFRICOM"/>
    <x v="105"/>
    <x v="22"/>
    <n v="8"/>
    <s v="BL - Hosted"/>
    <s v="Jia Tingan"/>
    <m/>
    <s v="GPD Deputy Director"/>
    <n v="6"/>
    <x v="2"/>
    <s v="Inspector of Military Procurarate"/>
    <x v="0"/>
    <m/>
    <m/>
    <m/>
    <m/>
    <x v="12"/>
    <m/>
    <m/>
    <m/>
    <m/>
  </r>
  <r>
    <x v="1"/>
    <x v="1"/>
    <s v="Asia"/>
    <s v="Strategic Partnership [战略伙伴关系] for Peace and Prosperity"/>
    <x v="0"/>
    <s v="INDOPACOM"/>
    <x v="153"/>
    <x v="22"/>
    <n v="8"/>
    <s v="ML - Abroad"/>
    <s v="Chang Wanquan"/>
    <m/>
    <s v="Defense Minister; CMC Member"/>
    <n v="8"/>
    <x v="1"/>
    <s v="2nd ADMM+"/>
    <x v="0"/>
    <m/>
    <m/>
    <m/>
    <m/>
    <x v="12"/>
    <m/>
    <m/>
    <s v="https://admm.asean.org/index.php/admm-news/40-news/asean-secretariat-news/282-asean-defence-ministers-strengthen-cooperation-ties.html"/>
    <s v="corrected partnership to strategic partnership for peace and prosperity"/>
  </r>
  <r>
    <x v="1"/>
    <x v="5"/>
    <s v="America and Oceania"/>
    <s v="No Specific Relationship"/>
    <x v="4"/>
    <s v="INDOPACOM"/>
    <x v="12"/>
    <x v="22"/>
    <n v="8"/>
    <s v="BL - Hosted"/>
    <s v="Wu Shengli"/>
    <m/>
    <s v="PLAN Commander; CMC Member"/>
    <n v="8"/>
    <x v="2"/>
    <s v="Navy Commander"/>
    <x v="0"/>
    <m/>
    <m/>
    <m/>
    <m/>
    <x v="12"/>
    <m/>
    <m/>
    <m/>
    <m/>
  </r>
  <r>
    <x v="0"/>
    <x v="5"/>
    <s v="America and Oceania"/>
    <s v="No Specific Relationship"/>
    <x v="4"/>
    <s v="INDOPACOM"/>
    <x v="12"/>
    <x v="22"/>
    <n v="8"/>
    <s v="Port Call - Friendly Visit"/>
    <m/>
    <m/>
    <m/>
    <m/>
    <x v="0"/>
    <m/>
    <x v="0"/>
    <m/>
    <m/>
    <m/>
    <s v="NETF"/>
    <x v="54"/>
    <s v="North Sea Fleet"/>
    <s v="PLA FR XJP draft p. 23"/>
    <m/>
    <m/>
  </r>
  <r>
    <x v="0"/>
    <x v="0"/>
    <s v="Asia"/>
    <s v="Comprehensive Cooperative Partnership [全面合作伙伴关系]"/>
    <x v="0"/>
    <s v="INDOPACOM"/>
    <x v="0"/>
    <x v="22"/>
    <n v="8"/>
    <s v="Port Call - HADR/Friendly"/>
    <m/>
    <m/>
    <m/>
    <m/>
    <x v="0"/>
    <m/>
    <x v="0"/>
    <m/>
    <m/>
    <m/>
    <s v="NETF"/>
    <x v="52"/>
    <s v="East Sea Fleet"/>
    <s v="PLA FR XJP draft p. 26"/>
    <m/>
    <m/>
  </r>
  <r>
    <x v="1"/>
    <x v="1"/>
    <s v="Asia"/>
    <s v="No Specific Relationship"/>
    <x v="0"/>
    <s v="INDOPACOM"/>
    <x v="44"/>
    <x v="22"/>
    <n v="8"/>
    <s v="BL - Abroad"/>
    <s v="Chang Wanquan"/>
    <m/>
    <s v="Defense Minister; CMC Member"/>
    <n v="8"/>
    <x v="1"/>
    <s v="Sultan Hassanal Bolkiah"/>
    <x v="0"/>
    <m/>
    <m/>
    <m/>
    <m/>
    <x v="12"/>
    <m/>
    <m/>
    <s v="http://worlddefencenews.blogspot.com/2013/05/brunei-and-china-to-discuss-bilateral.html"/>
    <s v="China and Brunei established a strategic partnership in 2018"/>
  </r>
  <r>
    <x v="1"/>
    <x v="2"/>
    <s v="America and Oceania"/>
    <s v="Strategic Partnership [战略伙伴关系]"/>
    <x v="5"/>
    <s v="NORTHCOM"/>
    <x v="17"/>
    <x v="22"/>
    <n v="8"/>
    <s v="BL - Abroad"/>
    <s v="Chang Wanquan"/>
    <m/>
    <s v="Defense Minister; CMC Member"/>
    <n v="8"/>
    <x v="1"/>
    <s v="Defense Minister"/>
    <x v="0"/>
    <m/>
    <m/>
    <m/>
    <m/>
    <x v="12"/>
    <m/>
    <m/>
    <m/>
    <m/>
  </r>
  <r>
    <x v="0"/>
    <x v="8"/>
    <s v="Europe and Central Asia"/>
    <s v="Comprehensive Strategic Partnership [全面战略伙伴关系]"/>
    <x v="5"/>
    <s v="EUCOM"/>
    <x v="29"/>
    <x v="22"/>
    <n v="8"/>
    <s v="Port Call - Friendly Visit"/>
    <m/>
    <m/>
    <m/>
    <m/>
    <x v="0"/>
    <m/>
    <x v="0"/>
    <m/>
    <m/>
    <m/>
    <s v="ETF"/>
    <x v="51"/>
    <s v="North Sea Fleet"/>
    <s v="DDG112 Harbin, FFG528 Mianyang, AOR887 Weishan Hu; Unknown, could also be ETF-15"/>
    <m/>
    <m/>
  </r>
  <r>
    <x v="0"/>
    <x v="0"/>
    <s v="Asia"/>
    <s v="Strategic Partnership for Peace and Prosperity [战略伙伴关系]"/>
    <x v="0"/>
    <s v="INDOPACOM"/>
    <x v="6"/>
    <x v="22"/>
    <n v="8"/>
    <s v="Port Call - HADR/Friendly"/>
    <m/>
    <m/>
    <m/>
    <m/>
    <x v="0"/>
    <m/>
    <x v="0"/>
    <m/>
    <m/>
    <m/>
    <s v="NETF"/>
    <x v="52"/>
    <s v="East Sea Fleet"/>
    <s v="PLA FR XJP draft p. 26"/>
    <m/>
    <m/>
  </r>
  <r>
    <x v="2"/>
    <x v="6"/>
    <s v="Europe and Central Asia"/>
    <s v="Strategic Partnership [战略伙伴关系]"/>
    <x v="0"/>
    <s v="CENTCOM"/>
    <x v="31"/>
    <x v="22"/>
    <n v="8"/>
    <s v="Military Exercise - Bilateral"/>
    <m/>
    <m/>
    <m/>
    <m/>
    <x v="0"/>
    <m/>
    <x v="1"/>
    <s v="Frontier Defense Joint Determination 2013 "/>
    <s v="PAP"/>
    <s v="Armed police from both sides, "/>
    <m/>
    <x v="12"/>
    <m/>
    <m/>
    <s v="http://english.people.com.cn/90786/8362119.html"/>
    <m/>
  </r>
  <r>
    <x v="0"/>
    <x v="1"/>
    <s v="Asia"/>
    <s v="Comprehensive Strategic Partnership [全面战略伙伴关系]"/>
    <x v="0"/>
    <s v="INDOPACOM"/>
    <x v="10"/>
    <x v="22"/>
    <n v="8"/>
    <s v="Port Call - Friendly Visit"/>
    <m/>
    <m/>
    <m/>
    <m/>
    <x v="0"/>
    <m/>
    <x v="0"/>
    <m/>
    <m/>
    <m/>
    <s v="NETF"/>
    <x v="55"/>
    <s v="North Sea Fleet"/>
    <s v="PLA FR XJP draft p. 24"/>
    <m/>
    <m/>
  </r>
  <r>
    <x v="0"/>
    <x v="1"/>
    <s v="Asia"/>
    <s v="Comprehensive Strategic Cooperative Partnership [全面战略合作伙伴关系]"/>
    <x v="0"/>
    <s v="INDOPACOM"/>
    <x v="1"/>
    <x v="22"/>
    <n v="8"/>
    <s v="Port Call - HADR/Friendly"/>
    <m/>
    <m/>
    <m/>
    <m/>
    <x v="0"/>
    <m/>
    <x v="0"/>
    <m/>
    <m/>
    <m/>
    <s v="NETF"/>
    <x v="52"/>
    <s v="East Sea Fleet"/>
    <s v="PLA FR XJP draft p. 26"/>
    <m/>
    <m/>
  </r>
  <r>
    <x v="1"/>
    <x v="5"/>
    <s v="America and Oceania"/>
    <s v="No Specific Relationship"/>
    <x v="4"/>
    <s v="INDOPACOM"/>
    <x v="13"/>
    <x v="22"/>
    <n v="8"/>
    <s v="BL - Abroad"/>
    <s v="Wu Changde "/>
    <m/>
    <s v="GPD Deputy Director"/>
    <n v="6"/>
    <x v="1"/>
    <m/>
    <x v="0"/>
    <m/>
    <m/>
    <m/>
    <m/>
    <x v="12"/>
    <m/>
    <m/>
    <m/>
    <m/>
  </r>
  <r>
    <x v="0"/>
    <x v="5"/>
    <s v="America and Oceania"/>
    <s v="No Specific Relationship"/>
    <x v="4"/>
    <s v="INDOPACOM"/>
    <x v="13"/>
    <x v="22"/>
    <n v="8"/>
    <s v="Port Call - Friendly Visit"/>
    <m/>
    <m/>
    <m/>
    <m/>
    <x v="0"/>
    <m/>
    <x v="0"/>
    <m/>
    <m/>
    <m/>
    <s v="NETF"/>
    <x v="54"/>
    <s v="North Sea Fleet"/>
    <s v="PLA FR XJP draft p. 23"/>
    <m/>
    <m/>
  </r>
  <r>
    <x v="2"/>
    <x v="5"/>
    <s v="America and Oceania"/>
    <s v="No Specific Relationship"/>
    <x v="4"/>
    <s v="INDOPACOM"/>
    <x v="13"/>
    <x v="22"/>
    <n v="8"/>
    <s v="Military Exercise - Multilateral"/>
    <m/>
    <m/>
    <m/>
    <m/>
    <x v="0"/>
    <m/>
    <x v="2"/>
    <s v="Phoenix Spirit"/>
    <s v="Army"/>
    <s v="Medical; HADR.Other countries: Australia, United States"/>
    <m/>
    <x v="12"/>
    <m/>
    <m/>
    <m/>
    <m/>
  </r>
  <r>
    <x v="2"/>
    <x v="0"/>
    <s v="Asia"/>
    <s v="Strategic Partnership [战略伙伴关系]"/>
    <x v="1"/>
    <s v="CENTCOM"/>
    <x v="2"/>
    <x v="22"/>
    <n v="8"/>
    <s v="Military Exercise - Bilateral"/>
    <m/>
    <m/>
    <m/>
    <m/>
    <x v="0"/>
    <m/>
    <x v="3"/>
    <s v="Shaheen-2"/>
    <s v="Air Force"/>
    <s v="Operational aerial maneuvers"/>
    <m/>
    <x v="12"/>
    <m/>
    <m/>
    <m/>
    <m/>
  </r>
  <r>
    <x v="1"/>
    <x v="0"/>
    <s v="Asia"/>
    <s v="Strategic Partnership [战略伙伴关系]"/>
    <x v="1"/>
    <s v="CENTCOM"/>
    <x v="2"/>
    <x v="22"/>
    <n v="8"/>
    <s v="BL - Hosted"/>
    <s v="Xu Qiliang"/>
    <m/>
    <s v="CMC Vice Chairman"/>
    <n v="10"/>
    <x v="2"/>
    <s v="Chairman JCS"/>
    <x v="0"/>
    <m/>
    <m/>
    <m/>
    <m/>
    <x v="12"/>
    <m/>
    <m/>
    <m/>
    <m/>
  </r>
  <r>
    <x v="1"/>
    <x v="1"/>
    <s v="Asia"/>
    <s v="No Specific Relationship"/>
    <x v="0"/>
    <s v="INDOPACOM"/>
    <x v="39"/>
    <x v="22"/>
    <n v="8"/>
    <s v="ML - Margins"/>
    <s v="Chang Wanquan"/>
    <m/>
    <s v="Defense Minister; CMC Member"/>
    <n v="8"/>
    <x v="1"/>
    <s v="2nd ADMM+; Minister for Defence Dr Ng Eng Hen"/>
    <x v="0"/>
    <m/>
    <m/>
    <m/>
    <m/>
    <x v="12"/>
    <m/>
    <m/>
    <s v="https://www.mindef.gov.sg/web/portal/mindef/news-and-events/latest-releases/article-detail/2013/may/2013May07-News-Releases-02184"/>
    <s v=" "/>
  </r>
  <r>
    <x v="1"/>
    <x v="4"/>
    <s v="Asia"/>
    <s v="Strategic Cooperative Partnership [战略合作伙伴关系]"/>
    <x v="3"/>
    <s v="INDOPACOM"/>
    <x v="25"/>
    <x v="22"/>
    <n v="8"/>
    <s v="ML - Margins"/>
    <s v="Chang Wanquan"/>
    <m/>
    <s v="Defense Minister; CMC Member"/>
    <n v="8"/>
    <x v="1"/>
    <s v="2nd ADMM+; Defense Minister Kim Kwan-jin"/>
    <x v="0"/>
    <m/>
    <m/>
    <m/>
    <m/>
    <x v="12"/>
    <m/>
    <m/>
    <s v="http://en.people.cn/102774/8382947.html"/>
    <s v=" "/>
  </r>
  <r>
    <x v="0"/>
    <x v="4"/>
    <s v="Asia"/>
    <s v="Strategic Cooperative Partnership [战略合作伙伴关系]"/>
    <x v="3"/>
    <s v="INDOPACOM"/>
    <x v="25"/>
    <x v="22"/>
    <n v="8"/>
    <s v="Port Call - Friendly Visit"/>
    <m/>
    <m/>
    <m/>
    <m/>
    <x v="0"/>
    <m/>
    <x v="0"/>
    <m/>
    <m/>
    <m/>
    <s v="NETF"/>
    <x v="55"/>
    <s v="North Sea Fleet"/>
    <s v="PLA FR XJP draft p. 24"/>
    <m/>
    <m/>
  </r>
  <r>
    <x v="1"/>
    <x v="5"/>
    <s v="America and Oceania"/>
    <s v="No Specific Relationship"/>
    <x v="0"/>
    <s v="INDOPACOM"/>
    <x v="144"/>
    <x v="22"/>
    <n v="8"/>
    <s v="BL - Abroad"/>
    <s v="Wu Changde "/>
    <m/>
    <s v="GPD Deputy Director"/>
    <n v="6"/>
    <x v="1"/>
    <m/>
    <x v="0"/>
    <m/>
    <m/>
    <m/>
    <m/>
    <x v="12"/>
    <m/>
    <m/>
    <m/>
    <m/>
  </r>
  <r>
    <x v="1"/>
    <x v="2"/>
    <s v="America and Oceania"/>
    <s v="No Specific Relationship"/>
    <x v="2"/>
    <s v="NORTHCOM"/>
    <x v="4"/>
    <x v="22"/>
    <n v="8"/>
    <s v="BL - Abroad"/>
    <s v="Chang Wanquan"/>
    <m/>
    <s v="Defense Minister; CMC Member"/>
    <n v="8"/>
    <x v="1"/>
    <s v="Secretary of Defense Hagel"/>
    <x v="0"/>
    <m/>
    <m/>
    <m/>
    <m/>
    <x v="12"/>
    <m/>
    <m/>
    <s v="2014 CH Mil Power Report"/>
    <m/>
  </r>
  <r>
    <x v="2"/>
    <x v="2"/>
    <s v="America and Oceania"/>
    <s v="No Specific Relationship"/>
    <x v="2"/>
    <s v="NORTHCOM"/>
    <x v="4"/>
    <x v="22"/>
    <n v="8"/>
    <s v="Military Exercise - Bilateral"/>
    <m/>
    <m/>
    <m/>
    <m/>
    <x v="0"/>
    <m/>
    <x v="4"/>
    <m/>
    <s v="Navy"/>
    <s v="2nd US-CH BL counter-piracy exercise in Gulf of Aden"/>
    <m/>
    <x v="12"/>
    <m/>
    <m/>
    <s v="2014 CH Milpower Report"/>
    <m/>
  </r>
  <r>
    <x v="1"/>
    <x v="7"/>
    <s v="West Asia and Africa"/>
    <s v="No Specific Relationship"/>
    <x v="0"/>
    <s v="AFRICOM"/>
    <x v="61"/>
    <x v="22"/>
    <n v="8"/>
    <s v="BL - Hosted"/>
    <s v="Ma Xiaotian"/>
    <m/>
    <s v="PLAAF Commander; CMC Member"/>
    <n v="8"/>
    <x v="2"/>
    <s v="Air Force Commander"/>
    <x v="0"/>
    <m/>
    <m/>
    <m/>
    <m/>
    <x v="12"/>
    <m/>
    <m/>
    <m/>
    <m/>
  </r>
  <r>
    <x v="0"/>
    <x v="10"/>
    <s v="America and Oceania"/>
    <s v="Strategic Partnership [战略伙伴关系]"/>
    <x v="1"/>
    <s v="SOUTHCOM"/>
    <x v="62"/>
    <x v="22"/>
    <n v="9"/>
    <s v="Port Call - Friendly Visit"/>
    <m/>
    <m/>
    <m/>
    <m/>
    <x v="0"/>
    <m/>
    <x v="0"/>
    <m/>
    <m/>
    <m/>
    <s v="NETF"/>
    <x v="56"/>
    <s v="South Sea Fleet"/>
    <s v="PLA FR XJP draft p. 23"/>
    <m/>
    <m/>
  </r>
  <r>
    <x v="1"/>
    <x v="0"/>
    <s v="Asia"/>
    <s v="Comprehensive Cooperative Partnership [全面合作伙伴关系]"/>
    <x v="0"/>
    <s v="INDOPACOM"/>
    <x v="0"/>
    <x v="22"/>
    <n v="9"/>
    <s v="BL - Hosted"/>
    <s v="Ma Xiaotian"/>
    <m/>
    <s v="PLAAF Commander; CMC Member"/>
    <n v="8"/>
    <x v="2"/>
    <s v="Air Force Chief of Staff"/>
    <x v="0"/>
    <m/>
    <m/>
    <m/>
    <m/>
    <x v="12"/>
    <m/>
    <m/>
    <m/>
    <m/>
  </r>
  <r>
    <x v="1"/>
    <x v="8"/>
    <s v="Europe and Central Asia"/>
    <s v="No Specific Relationship"/>
    <x v="5"/>
    <s v="EUCOM"/>
    <x v="68"/>
    <x v="22"/>
    <n v="9"/>
    <s v="BL - Abroad"/>
    <s v="Du Jincai"/>
    <m/>
    <s v="GPD Deputy Director"/>
    <n v="6"/>
    <x v="1"/>
    <m/>
    <x v="0"/>
    <m/>
    <m/>
    <m/>
    <m/>
    <x v="12"/>
    <m/>
    <m/>
    <m/>
    <m/>
  </r>
  <r>
    <x v="0"/>
    <x v="10"/>
    <s v="America and Oceania"/>
    <s v="Comprehensive Strategic Partnership [全面战略伙伴关系]"/>
    <x v="0"/>
    <s v="SOUTHCOM"/>
    <x v="43"/>
    <x v="22"/>
    <n v="9"/>
    <s v="Port Call - Friendly Visit"/>
    <m/>
    <m/>
    <m/>
    <m/>
    <x v="0"/>
    <m/>
    <x v="0"/>
    <m/>
    <m/>
    <m/>
    <s v="NETF"/>
    <x v="56"/>
    <s v="South Sea Fleet"/>
    <s v="PLA FR XJP draft p. 23"/>
    <m/>
    <m/>
  </r>
  <r>
    <x v="0"/>
    <x v="1"/>
    <s v="Asia"/>
    <s v="Comprehensive Strategic Cooperative Partnership [全面战略合作伙伴关系]"/>
    <x v="0"/>
    <s v="INDOPACOM"/>
    <x v="94"/>
    <x v="22"/>
    <n v="9"/>
    <s v="Port Call - HADR/Friendly"/>
    <m/>
    <m/>
    <m/>
    <m/>
    <x v="0"/>
    <m/>
    <x v="0"/>
    <m/>
    <m/>
    <m/>
    <s v="NETF"/>
    <x v="52"/>
    <s v="East Sea Fleet"/>
    <s v="PLA FR XJP draft p. 26"/>
    <m/>
    <m/>
  </r>
  <r>
    <x v="0"/>
    <x v="10"/>
    <s v="America and Oceania"/>
    <s v="Strategic Partnership [战略伙伴关系]"/>
    <x v="0"/>
    <s v="SOUTHCOM"/>
    <x v="66"/>
    <x v="22"/>
    <n v="9"/>
    <s v="Port Call - Friendly Visit"/>
    <m/>
    <m/>
    <m/>
    <m/>
    <x v="0"/>
    <m/>
    <x v="0"/>
    <m/>
    <m/>
    <m/>
    <s v="NETF"/>
    <x v="56"/>
    <s v="South Sea Fleet"/>
    <s v="PLA FR XJP draft p. 23"/>
    <m/>
    <m/>
  </r>
  <r>
    <x v="1"/>
    <x v="8"/>
    <s v="Europe and Central Asia"/>
    <s v="Comprehensive Cooperative Partnership [全面合作伙伴关系]"/>
    <x v="5"/>
    <s v="EUCOM"/>
    <x v="35"/>
    <x v="22"/>
    <n v="9"/>
    <s v="BL - Abroad"/>
    <s v="Du Jincai"/>
    <m/>
    <s v="GPD Deputy Director"/>
    <n v="6"/>
    <x v="1"/>
    <m/>
    <x v="0"/>
    <m/>
    <m/>
    <m/>
    <m/>
    <x v="12"/>
    <m/>
    <m/>
    <m/>
    <m/>
  </r>
  <r>
    <x v="1"/>
    <x v="8"/>
    <s v="Europe and Central Asia"/>
    <s v="Strategic Partnership [战略伙伴关系]"/>
    <x v="5"/>
    <s v="EUCOM"/>
    <x v="18"/>
    <x v="22"/>
    <n v="9"/>
    <s v="BL - Hosted"/>
    <s v="Sun Jianguo"/>
    <m/>
    <s v="GSD DCGS"/>
    <n v="6"/>
    <x v="2"/>
    <s v="Former Inspector General, Federal Defense Forces "/>
    <x v="0"/>
    <m/>
    <m/>
    <m/>
    <m/>
    <x v="12"/>
    <m/>
    <m/>
    <m/>
    <m/>
  </r>
  <r>
    <x v="1"/>
    <x v="0"/>
    <s v="Asia"/>
    <s v="Strategic Partnership for Peace and Prosperity [战略伙伴关系]"/>
    <x v="0"/>
    <s v="INDOPACOM"/>
    <x v="6"/>
    <x v="22"/>
    <n v="9"/>
    <s v="BL - Hosted"/>
    <s v="Sun Jianguo"/>
    <m/>
    <s v="GSD DCGS"/>
    <n v="6"/>
    <x v="2"/>
    <s v="Delegation for CIISS"/>
    <x v="0"/>
    <m/>
    <m/>
    <m/>
    <m/>
    <x v="12"/>
    <m/>
    <m/>
    <m/>
    <m/>
  </r>
  <r>
    <x v="0"/>
    <x v="1"/>
    <s v="Asia"/>
    <s v="Comprehensive Strategic Partnership [全面战略伙伴关系]"/>
    <x v="0"/>
    <s v="INDOPACOM"/>
    <x v="8"/>
    <x v="22"/>
    <n v="9"/>
    <s v="Port Call - HADR/Friendly"/>
    <m/>
    <m/>
    <m/>
    <m/>
    <x v="0"/>
    <m/>
    <x v="0"/>
    <m/>
    <m/>
    <m/>
    <s v="NETF"/>
    <x v="52"/>
    <s v="East Sea Fleet"/>
    <s v="PLA FR XJP draft p. 26"/>
    <m/>
    <m/>
  </r>
  <r>
    <x v="2"/>
    <x v="4"/>
    <s v="Asia"/>
    <s v="Strategic Partnership [战略伙伴关系]"/>
    <x v="0"/>
    <s v="INDOPACOM"/>
    <x v="53"/>
    <x v="22"/>
    <n v="9"/>
    <s v="Military Exercise - Bilateral"/>
    <m/>
    <m/>
    <m/>
    <m/>
    <x v="0"/>
    <m/>
    <x v="2"/>
    <s v="Prairie Pioneer"/>
    <s v="Army"/>
    <s v="Medical; engineers"/>
    <m/>
    <x v="12"/>
    <m/>
    <m/>
    <s v="http://en.people.cn/90786/8402165.html"/>
    <m/>
  </r>
  <r>
    <x v="2"/>
    <x v="3"/>
    <s v="Europe and Central Asia"/>
    <s v="Comprehensive Collaborative Strategic Partnership [全面战略协作伙伴关系]"/>
    <x v="0"/>
    <s v="EUCOM"/>
    <x v="7"/>
    <x v="22"/>
    <n v="9"/>
    <s v="Military Exercise - Bilateral"/>
    <m/>
    <m/>
    <m/>
    <m/>
    <x v="0"/>
    <m/>
    <x v="2"/>
    <s v="Unnamed"/>
    <s v="PAP"/>
    <s v="Joint drill at Chinese land port; aimed at countering illegal border crossing; likely PAP"/>
    <m/>
    <x v="12"/>
    <m/>
    <m/>
    <s v="http://news.xinhuanet.com/english/china/2013-09/19/c_132734529.htm"/>
    <m/>
  </r>
  <r>
    <x v="0"/>
    <x v="9"/>
    <s v="West Asia and Africa"/>
    <s v="No Specific Relationship"/>
    <x v="0"/>
    <s v="CENTCOM"/>
    <x v="142"/>
    <x v="22"/>
    <n v="9"/>
    <s v="Port Call - Replenish/Overhaul"/>
    <m/>
    <m/>
    <m/>
    <m/>
    <x v="0"/>
    <m/>
    <x v="0"/>
    <m/>
    <m/>
    <m/>
    <s v="ETF"/>
    <x v="57"/>
    <s v="South Sea Fleet"/>
    <s v="LPD999 Jingangshan, FFG572 Hengshui, AOR889 Taihu"/>
    <m/>
    <m/>
  </r>
  <r>
    <x v="0"/>
    <x v="1"/>
    <s v="Asia"/>
    <s v="No Specific Relationship"/>
    <x v="0"/>
    <s v="INDOPACOM"/>
    <x v="39"/>
    <x v="22"/>
    <n v="9"/>
    <s v="Port Call - Friendly Visit"/>
    <m/>
    <m/>
    <m/>
    <m/>
    <x v="0"/>
    <m/>
    <x v="0"/>
    <m/>
    <m/>
    <m/>
    <s v="ETF"/>
    <x v="53"/>
    <s v="North Sea Fleet"/>
    <s v="DDG112 Harbin, FFG528 Mianyang, AOR887 Weishan Hu"/>
    <m/>
    <m/>
  </r>
  <r>
    <x v="1"/>
    <x v="8"/>
    <s v="Europe and Central Asia"/>
    <s v="Comprehensive Strategic Partnership [全面战略伙伴关系]"/>
    <x v="5"/>
    <s v="EUCOM"/>
    <x v="70"/>
    <x v="22"/>
    <n v="9"/>
    <s v="BL - Abroad"/>
    <s v="Wei Fenghe"/>
    <m/>
    <s v="PLASAF Commander; CMC Member"/>
    <n v="8"/>
    <x v="1"/>
    <m/>
    <x v="0"/>
    <m/>
    <m/>
    <m/>
    <m/>
    <x v="12"/>
    <m/>
    <m/>
    <m/>
    <m/>
  </r>
  <r>
    <x v="1"/>
    <x v="0"/>
    <s v="Asia"/>
    <s v="Strategic Cooperative Partnership [战略合作伙伴关系]"/>
    <x v="0"/>
    <s v="INDOPACOM"/>
    <x v="3"/>
    <x v="22"/>
    <n v="9"/>
    <s v="BL - Hosted"/>
    <s v="Ma Xiaotian"/>
    <m/>
    <s v="PLAAF Commander; CMC Member"/>
    <n v="8"/>
    <x v="2"/>
    <s v="Defense Minister and Urban Development Executive Secretary"/>
    <x v="0"/>
    <m/>
    <m/>
    <m/>
    <m/>
    <x v="12"/>
    <m/>
    <m/>
    <m/>
    <m/>
  </r>
  <r>
    <x v="1"/>
    <x v="8"/>
    <s v="Europe and Central Asia"/>
    <s v="No Specific Relationship"/>
    <x v="0"/>
    <s v="EUCOM"/>
    <x v="78"/>
    <x v="22"/>
    <n v="9"/>
    <s v="BL - Abroad"/>
    <s v="Wei Fenghe"/>
    <m/>
    <s v="PLASAF Commander; CMC Member"/>
    <n v="8"/>
    <x v="1"/>
    <m/>
    <x v="0"/>
    <m/>
    <m/>
    <m/>
    <m/>
    <x v="12"/>
    <m/>
    <m/>
    <m/>
    <m/>
  </r>
  <r>
    <x v="0"/>
    <x v="1"/>
    <s v="Asia"/>
    <s v="Comprehensive Strategic Cooperative Partnership [全面战略合作伙伴关系]"/>
    <x v="3"/>
    <s v="INDOPACOM"/>
    <x v="5"/>
    <x v="22"/>
    <n v="9"/>
    <s v="Port Call - Friendly Visit"/>
    <m/>
    <m/>
    <m/>
    <m/>
    <x v="0"/>
    <m/>
    <x v="0"/>
    <m/>
    <m/>
    <m/>
    <s v="ETF"/>
    <x v="53"/>
    <s v="North Sea Fleet"/>
    <s v="DDG112 Harbin, FFG528 Mianyang, AOR887 Weishan Hu"/>
    <m/>
    <m/>
  </r>
  <r>
    <x v="1"/>
    <x v="2"/>
    <s v="America and Oceania"/>
    <s v="No Specific Relationship"/>
    <x v="2"/>
    <s v="NORTHCOM"/>
    <x v="4"/>
    <x v="22"/>
    <n v="9"/>
    <s v="BL - Abroad"/>
    <s v="Wu Shengli"/>
    <m/>
    <s v="PLAN Commander; CMC Member"/>
    <n v="8"/>
    <x v="1"/>
    <s v="CNO Greenert"/>
    <x v="0"/>
    <m/>
    <m/>
    <m/>
    <m/>
    <x v="12"/>
    <m/>
    <m/>
    <s v="2014 CH Milpower Report"/>
    <s v="Visited San Diego and Washington DC"/>
  </r>
  <r>
    <x v="0"/>
    <x v="2"/>
    <s v="America and Oceania"/>
    <s v="No Specific Relationship"/>
    <x v="2"/>
    <s v="NORTHCOM"/>
    <x v="4"/>
    <x v="22"/>
    <n v="9"/>
    <s v="Port Call - Friendly Visit"/>
    <m/>
    <m/>
    <m/>
    <m/>
    <x v="0"/>
    <m/>
    <x v="0"/>
    <m/>
    <m/>
    <m/>
    <s v="NETF"/>
    <x v="54"/>
    <s v="North Sea Fleet"/>
    <s v="Pearl Harbor-- Qingdao DD113, Linyi FF547, Hongzehu AOR881 PLA FR XJP draft p. 23"/>
    <s v="2014 CH Mil Power Report"/>
    <m/>
  </r>
  <r>
    <x v="1"/>
    <x v="2"/>
    <s v="America and Oceania"/>
    <s v="No Specific Relationship"/>
    <x v="2"/>
    <s v="NORTHCOM"/>
    <x v="4"/>
    <x v="22"/>
    <n v="9"/>
    <s v="BL - Hosted"/>
    <s v="Ma Xiaotian"/>
    <m/>
    <s v="PLAAF Commander; CMC Member"/>
    <n v="8"/>
    <x v="2"/>
    <s v="Air Force Chief of Staff Welsh"/>
    <x v="0"/>
    <m/>
    <m/>
    <m/>
    <m/>
    <x v="12"/>
    <m/>
    <m/>
    <s v="2014 CH Mil Power Report"/>
    <m/>
  </r>
  <r>
    <x v="1"/>
    <x v="9"/>
    <s v="West Asia and Africa"/>
    <s v="No Specific Relationship"/>
    <x v="0"/>
    <s v="CENTCOM"/>
    <x v="135"/>
    <x v="22"/>
    <n v="9"/>
    <s v="BL - Hosted"/>
    <s v="Xu Qiliang"/>
    <m/>
    <s v="CMC Vice Chairman"/>
    <n v="10"/>
    <x v="2"/>
    <s v="Defense Minister"/>
    <x v="0"/>
    <m/>
    <m/>
    <m/>
    <m/>
    <x v="12"/>
    <m/>
    <m/>
    <m/>
    <m/>
  </r>
  <r>
    <x v="1"/>
    <x v="7"/>
    <s v="West Asia and Africa"/>
    <s v="Strategic Partnership [战略伙伴关系]"/>
    <x v="0"/>
    <s v="AFRICOM"/>
    <x v="105"/>
    <x v="22"/>
    <n v="10"/>
    <s v="BL - Hosted"/>
    <s v="Fang Fenghui"/>
    <m/>
    <s v="GSD Commander; CMC Member"/>
    <n v="8"/>
    <x v="2"/>
    <s v="COGS"/>
    <x v="0"/>
    <m/>
    <m/>
    <m/>
    <m/>
    <x v="12"/>
    <m/>
    <m/>
    <m/>
    <m/>
  </r>
  <r>
    <x v="1"/>
    <x v="5"/>
    <s v="America and Oceania"/>
    <s v="No Specific Relationship"/>
    <x v="4"/>
    <s v="INDOPACOM"/>
    <x v="12"/>
    <x v="22"/>
    <n v="10"/>
    <s v="BL - Abroad"/>
    <s v="Zhao Keshi"/>
    <m/>
    <s v="GLD Director; CMC Member"/>
    <n v="8"/>
    <x v="1"/>
    <m/>
    <x v="0"/>
    <m/>
    <m/>
    <m/>
    <m/>
    <x v="12"/>
    <m/>
    <m/>
    <m/>
    <m/>
  </r>
  <r>
    <x v="1"/>
    <x v="5"/>
    <s v="Europe and Central Asia"/>
    <s v="No Specific Relationship"/>
    <x v="0"/>
    <s v="EUCOM"/>
    <x v="124"/>
    <x v="22"/>
    <n v="10"/>
    <s v="BL - Hosted"/>
    <s v="Xu Qiliang"/>
    <m/>
    <s v="CMC Vice Chairman"/>
    <n v="10"/>
    <x v="2"/>
    <s v="Defense Minister"/>
    <x v="0"/>
    <m/>
    <m/>
    <m/>
    <m/>
    <x v="12"/>
    <m/>
    <m/>
    <m/>
    <m/>
  </r>
  <r>
    <x v="1"/>
    <x v="5"/>
    <s v="America and Oceania"/>
    <s v="Strategic Partnership [战略伙伴关系]"/>
    <x v="0"/>
    <s v="SOUTHCOM"/>
    <x v="66"/>
    <x v="22"/>
    <n v="10"/>
    <s v="BL - Hosted"/>
    <s v="Hou Shusen"/>
    <m/>
    <s v="GSD DCGS"/>
    <n v="6"/>
    <x v="2"/>
    <s v="CinC Army"/>
    <x v="0"/>
    <m/>
    <m/>
    <m/>
    <m/>
    <x v="12"/>
    <m/>
    <m/>
    <m/>
    <m/>
  </r>
  <r>
    <x v="1"/>
    <x v="5"/>
    <s v="West Asia and Africa"/>
    <s v="No Specific Relationship"/>
    <x v="0"/>
    <s v="AFRICOM"/>
    <x v="28"/>
    <x v="22"/>
    <n v="10"/>
    <s v="BL - Hosted"/>
    <s v="Xu Qiliang"/>
    <m/>
    <s v="CMC Vice Chairman"/>
    <n v="10"/>
    <x v="2"/>
    <s v="Defense Minister"/>
    <x v="0"/>
    <m/>
    <m/>
    <m/>
    <m/>
    <x v="12"/>
    <m/>
    <m/>
    <m/>
    <m/>
  </r>
  <r>
    <x v="0"/>
    <x v="5"/>
    <s v="West Asia and Africa"/>
    <s v="No Specific Relationship"/>
    <x v="0"/>
    <s v="CENTCOM"/>
    <x v="119"/>
    <x v="22"/>
    <n v="10"/>
    <s v="Port Call - Replenish/Overhaul"/>
    <m/>
    <m/>
    <m/>
    <m/>
    <x v="0"/>
    <m/>
    <x v="0"/>
    <m/>
    <m/>
    <m/>
    <s v="ETF"/>
    <x v="57"/>
    <s v="South Sea Fleet"/>
    <s v="LPD999 Jingangshan, FFG572 Hengshui, AOR889 Taihu"/>
    <m/>
    <m/>
  </r>
  <r>
    <x v="1"/>
    <x v="5"/>
    <s v="Europe and Central Asia"/>
    <s v="Comprehensive Strategic Partnership [全面战略伙伴关系]"/>
    <x v="5"/>
    <s v="EUCOM"/>
    <x v="20"/>
    <x v="22"/>
    <n v="10"/>
    <s v="BL - Hosted"/>
    <s v="Sun Jianguo"/>
    <m/>
    <s v="GSD DCGS"/>
    <n v="6"/>
    <x v="2"/>
    <s v="Delegation for CIISS; Security Intelligence Committee"/>
    <x v="0"/>
    <m/>
    <m/>
    <m/>
    <m/>
    <x v="12"/>
    <m/>
    <m/>
    <m/>
    <m/>
  </r>
  <r>
    <x v="1"/>
    <x v="5"/>
    <s v="Asia"/>
    <s v="Comprehensive Strategic Partnership [全面战略伙伴关系]"/>
    <x v="0"/>
    <s v="INDOPACOM"/>
    <x v="10"/>
    <x v="22"/>
    <n v="10"/>
    <s v="BL - Hosted"/>
    <s v="Xu Qiliang"/>
    <m/>
    <s v="CMC Vice Chairman"/>
    <n v="10"/>
    <x v="2"/>
    <s v="Defense Minister"/>
    <x v="0"/>
    <m/>
    <m/>
    <m/>
    <m/>
    <x v="12"/>
    <m/>
    <m/>
    <m/>
    <m/>
  </r>
  <r>
    <x v="1"/>
    <x v="1"/>
    <s v="Asia"/>
    <s v="Comprehensive Strategic Cooperative Partnership [全面战略合作伙伴关系]"/>
    <x v="0"/>
    <s v="INDOPACOM"/>
    <x v="1"/>
    <x v="22"/>
    <n v="10"/>
    <s v="BL - Hosted"/>
    <s v="Fan Changlong"/>
    <m/>
    <s v="CMC Vice Chairman"/>
    <n v="10"/>
    <x v="2"/>
    <s v="CinC Defense Services"/>
    <x v="0"/>
    <m/>
    <m/>
    <m/>
    <m/>
    <x v="12"/>
    <m/>
    <m/>
    <m/>
    <m/>
  </r>
  <r>
    <x v="1"/>
    <x v="5"/>
    <s v="America and Oceania"/>
    <s v="No Specific Relationship"/>
    <x v="4"/>
    <s v="INDOPACOM"/>
    <x v="13"/>
    <x v="22"/>
    <n v="10"/>
    <s v="BL - Abroad"/>
    <s v="Zhao Keshi"/>
    <m/>
    <s v="GLD Director; CMC Member"/>
    <n v="8"/>
    <x v="1"/>
    <m/>
    <x v="0"/>
    <m/>
    <m/>
    <m/>
    <m/>
    <x v="12"/>
    <m/>
    <m/>
    <m/>
    <m/>
  </r>
  <r>
    <x v="1"/>
    <x v="0"/>
    <s v="Asia"/>
    <s v="Strategic Partnership [战略伙伴关系]"/>
    <x v="1"/>
    <s v="CENTCOM"/>
    <x v="2"/>
    <x v="22"/>
    <n v="10"/>
    <s v="BL - Hosted"/>
    <s v="Fan Changlong"/>
    <m/>
    <s v="CMC Vice Chairman"/>
    <n v="10"/>
    <x v="2"/>
    <s v="Chief of Army Staff"/>
    <x v="0"/>
    <m/>
    <m/>
    <m/>
    <m/>
    <x v="12"/>
    <m/>
    <m/>
    <m/>
    <m/>
  </r>
  <r>
    <x v="1"/>
    <x v="3"/>
    <s v="Europe and Central Asia"/>
    <s v="Comprehensive Collaborative Strategic Partnership [全面战略协作伙伴关系]"/>
    <x v="0"/>
    <s v="EUCOM"/>
    <x v="7"/>
    <x v="22"/>
    <n v="10"/>
    <s v="BL - Abroad"/>
    <s v="Xu Qiliang"/>
    <m/>
    <s v="CMC Vice Chairman"/>
    <n v="10"/>
    <x v="1"/>
    <m/>
    <x v="0"/>
    <m/>
    <m/>
    <m/>
    <m/>
    <x v="12"/>
    <m/>
    <m/>
    <m/>
    <m/>
  </r>
  <r>
    <x v="1"/>
    <x v="5"/>
    <s v="America and Oceania"/>
    <s v="No Specific Relationship"/>
    <x v="4"/>
    <s v="INDOPACOM"/>
    <x v="12"/>
    <x v="22"/>
    <n v="11"/>
    <s v="BL - Hosted"/>
    <s v="Zhao Keshi"/>
    <m/>
    <s v="GLD Director; CMC Member"/>
    <n v="8"/>
    <x v="2"/>
    <m/>
    <x v="0"/>
    <m/>
    <m/>
    <m/>
    <m/>
    <x v="12"/>
    <m/>
    <m/>
    <m/>
    <m/>
  </r>
  <r>
    <x v="1"/>
    <x v="5"/>
    <s v="Asia"/>
    <s v="Comprehensive Cooperative Partnership [全面合作伙伴关系]"/>
    <x v="0"/>
    <s v="INDOPACOM"/>
    <x v="0"/>
    <x v="22"/>
    <n v="11"/>
    <s v="BL - Hosted"/>
    <s v="Sun Jianguo"/>
    <m/>
    <s v="GSD DCGS"/>
    <n v="6"/>
    <x v="2"/>
    <s v="Delegation for CIISS"/>
    <x v="0"/>
    <m/>
    <m/>
    <m/>
    <m/>
    <x v="12"/>
    <m/>
    <m/>
    <m/>
    <m/>
  </r>
  <r>
    <x v="1"/>
    <x v="5"/>
    <s v="Europe and Central Asia"/>
    <s v="Comprehensive Friendly Cooperative Partnership [全面友好合作伙伴关系]"/>
    <x v="5"/>
    <s v="EUCOM"/>
    <x v="79"/>
    <x v="22"/>
    <n v="11"/>
    <s v="BL - Abroad"/>
    <s v="Wang Guanzhong"/>
    <m/>
    <s v="GSD DCGS"/>
    <n v="6"/>
    <x v="1"/>
    <m/>
    <x v="0"/>
    <m/>
    <m/>
    <m/>
    <m/>
    <x v="12"/>
    <m/>
    <m/>
    <m/>
    <m/>
  </r>
  <r>
    <x v="1"/>
    <x v="5"/>
    <s v="Asia"/>
    <s v="Comprehensive Strategic Cooperative Partnership [全面战略合作伙伴关系]"/>
    <x v="0"/>
    <s v="INDOPACOM"/>
    <x v="94"/>
    <x v="22"/>
    <n v="11"/>
    <s v="BL - Hosted"/>
    <s v="Chang Wanquan"/>
    <m/>
    <s v="Defense Minister; CMC Member"/>
    <n v="8"/>
    <x v="2"/>
    <s v="Deputy Prime Minister and Concurrent Defense Minister"/>
    <x v="0"/>
    <m/>
    <m/>
    <m/>
    <m/>
    <x v="12"/>
    <m/>
    <m/>
    <m/>
    <m/>
  </r>
  <r>
    <x v="1"/>
    <x v="10"/>
    <s v="America and Oceania"/>
    <s v="No Specific Relationship"/>
    <x v="0"/>
    <s v="SOUTHCOM"/>
    <x v="49"/>
    <x v="22"/>
    <n v="11"/>
    <s v="BL - Hosted"/>
    <s v="Zhao Keshi"/>
    <m/>
    <s v="GLD Director; CMC Member"/>
    <n v="8"/>
    <x v="2"/>
    <s v="Logistics Department Director"/>
    <x v="0"/>
    <m/>
    <m/>
    <m/>
    <m/>
    <x v="12"/>
    <m/>
    <m/>
    <m/>
    <m/>
  </r>
  <r>
    <x v="1"/>
    <x v="5"/>
    <s v="America and Oceania"/>
    <s v="No Specific Relationship"/>
    <x v="0"/>
    <s v="INDOPACOM"/>
    <x v="128"/>
    <x v="22"/>
    <n v="11"/>
    <s v="BL - Hosted"/>
    <s v="Chang Wanquan"/>
    <m/>
    <s v="Defense Minister; CMC Member"/>
    <n v="8"/>
    <x v="2"/>
    <s v="Defense Minister"/>
    <x v="0"/>
    <m/>
    <m/>
    <m/>
    <m/>
    <x v="12"/>
    <m/>
    <m/>
    <m/>
    <s v="Coded as Oceania instead of Southeast Asia"/>
  </r>
  <r>
    <x v="1"/>
    <x v="8"/>
    <s v="Europe and Central Asia"/>
    <s v="Comprehensive Strategic Partnership [全面战略伙伴关系]"/>
    <x v="5"/>
    <s v="EUCOM"/>
    <x v="29"/>
    <x v="22"/>
    <n v="11"/>
    <s v="BL - Hosted"/>
    <s v="Wu Shengli"/>
    <m/>
    <s v="PLAN Commander; CMC Member"/>
    <n v="8"/>
    <x v="2"/>
    <s v="Navy Chief of Staff"/>
    <x v="0"/>
    <m/>
    <m/>
    <m/>
    <m/>
    <x v="12"/>
    <m/>
    <m/>
    <m/>
    <m/>
  </r>
  <r>
    <x v="1"/>
    <x v="8"/>
    <s v="Europe and Central Asia"/>
    <s v="No Specific Relationship"/>
    <x v="5"/>
    <s v="EUCOM"/>
    <x v="82"/>
    <x v="22"/>
    <n v="11"/>
    <s v="BL - Hosted"/>
    <s v="Xu Qiliang"/>
    <m/>
    <s v="CMC Vice Chairman"/>
    <n v="10"/>
    <x v="2"/>
    <s v="Defense Minister"/>
    <x v="0"/>
    <m/>
    <m/>
    <m/>
    <m/>
    <x v="12"/>
    <m/>
    <m/>
    <m/>
    <m/>
  </r>
  <r>
    <x v="2"/>
    <x v="0"/>
    <s v="Asia"/>
    <s v="Strategic Partnership for Peace and Prosperity [战略伙伴关系]"/>
    <x v="0"/>
    <s v="INDOPACOM"/>
    <x v="6"/>
    <x v="22"/>
    <n v="11"/>
    <s v="Military Exercise - Bilateral"/>
    <m/>
    <m/>
    <m/>
    <m/>
    <x v="0"/>
    <m/>
    <x v="1"/>
    <s v="Hand-in-Hand 2013"/>
    <s v="Army"/>
    <s v="Anti-terrorism"/>
    <m/>
    <x v="12"/>
    <m/>
    <m/>
    <m/>
    <m/>
  </r>
  <r>
    <x v="2"/>
    <x v="1"/>
    <s v="Asia"/>
    <s v="Comprehensive Strategic Partnership [全面战略伙伴关系]"/>
    <x v="0"/>
    <s v="INDOPACOM"/>
    <x v="8"/>
    <x v="22"/>
    <n v="11"/>
    <s v="Military Exercise - Bilateral"/>
    <m/>
    <m/>
    <m/>
    <m/>
    <x v="0"/>
    <m/>
    <x v="1"/>
    <s v="Sharp Knife 2013"/>
    <s v="Air Force"/>
    <m/>
    <m/>
    <x v="12"/>
    <m/>
    <m/>
    <s v="http://usa.chinadaily.com.cn/china/2013-11/12/content_17097501.htm"/>
    <m/>
  </r>
  <r>
    <x v="1"/>
    <x v="6"/>
    <s v="Europe and Central Asia"/>
    <s v="Strategic Partnership [战略伙伴关系]"/>
    <x v="0"/>
    <s v="CENTCOM"/>
    <x v="31"/>
    <x v="22"/>
    <n v="11"/>
    <s v="BL - Hosted"/>
    <s v="Chang Wanquan"/>
    <m/>
    <s v="Defense Minister; CMC Member"/>
    <n v="8"/>
    <x v="2"/>
    <s v="First Deputy Prime Minister and concurrent COGS"/>
    <x v="0"/>
    <m/>
    <m/>
    <m/>
    <m/>
    <x v="12"/>
    <m/>
    <m/>
    <m/>
    <m/>
  </r>
  <r>
    <x v="1"/>
    <x v="7"/>
    <s v="West Asia and Africa"/>
    <s v="Friendly Cooperative Relationship [友好合作关系]"/>
    <x v="0"/>
    <s v="AFRICOM"/>
    <x v="160"/>
    <x v="22"/>
    <n v="11"/>
    <s v="BL - Hosted"/>
    <s v="Fang Fenghui"/>
    <m/>
    <s v="GSD Commander; CMC Member"/>
    <n v="8"/>
    <x v="2"/>
    <s v="COGS"/>
    <x v="0"/>
    <m/>
    <m/>
    <m/>
    <m/>
    <x v="12"/>
    <m/>
    <m/>
    <m/>
    <m/>
  </r>
  <r>
    <x v="1"/>
    <x v="8"/>
    <s v="Europe and Central Asia"/>
    <s v="No Specific Relationship"/>
    <x v="5"/>
    <s v="EUCOM"/>
    <x v="117"/>
    <x v="22"/>
    <n v="11"/>
    <s v="BL - Hosted"/>
    <s v="Fang Fenghui"/>
    <m/>
    <s v="GSD Commander; CMC Member"/>
    <n v="8"/>
    <x v="2"/>
    <s v="Chief of Defense Forces"/>
    <x v="0"/>
    <m/>
    <m/>
    <m/>
    <m/>
    <x v="12"/>
    <m/>
    <m/>
    <m/>
    <m/>
  </r>
  <r>
    <x v="1"/>
    <x v="5"/>
    <s v="America and Oceania"/>
    <s v="No Specific Relationship"/>
    <x v="4"/>
    <s v="INDOPACOM"/>
    <x v="13"/>
    <x v="22"/>
    <n v="11"/>
    <s v="BL - Hosted"/>
    <s v="Zhao Keshi"/>
    <m/>
    <s v="GLD Director; CMC Member"/>
    <n v="8"/>
    <x v="2"/>
    <s v="Defense Minister"/>
    <x v="0"/>
    <m/>
    <m/>
    <m/>
    <m/>
    <x v="12"/>
    <m/>
    <m/>
    <m/>
    <m/>
  </r>
  <r>
    <x v="0"/>
    <x v="1"/>
    <s v="Asia"/>
    <s v="Strategic Cooperative Partnership [战略合作伙伴关系]"/>
    <x v="3"/>
    <s v="INDOPACOM"/>
    <x v="11"/>
    <x v="22"/>
    <n v="11"/>
    <s v="Port Call - HADR/Friendly"/>
    <m/>
    <m/>
    <m/>
    <m/>
    <x v="0"/>
    <m/>
    <x v="0"/>
    <m/>
    <m/>
    <m/>
    <s v="NETF"/>
    <x v="58"/>
    <s v="East Sea Fleet"/>
    <s v="post-Haiyan; PLA FR XJP draft p. 26"/>
    <m/>
    <m/>
  </r>
  <r>
    <x v="1"/>
    <x v="3"/>
    <s v="Europe and Central Asia"/>
    <s v="Comprehensive Collaborative Strategic Partnership [全面战略协作伙伴关系]"/>
    <x v="0"/>
    <s v="EUCOM"/>
    <x v="7"/>
    <x v="22"/>
    <n v="11"/>
    <s v="BL - Hosted"/>
    <s v="Fang Fenghui"/>
    <m/>
    <s v="GSD Commander; CMC Member"/>
    <n v="8"/>
    <x v="2"/>
    <s v="DCOGS"/>
    <x v="0"/>
    <m/>
    <m/>
    <m/>
    <m/>
    <x v="12"/>
    <m/>
    <m/>
    <m/>
    <m/>
  </r>
  <r>
    <x v="0"/>
    <x v="9"/>
    <s v="West Asia and Africa"/>
    <s v="No Specific Relationship"/>
    <x v="0"/>
    <s v="CENTCOM"/>
    <x v="142"/>
    <x v="22"/>
    <n v="11"/>
    <s v="Port Call - Replenish/Overhaul"/>
    <m/>
    <m/>
    <m/>
    <m/>
    <x v="0"/>
    <m/>
    <x v="0"/>
    <m/>
    <m/>
    <m/>
    <s v="ETF"/>
    <x v="57"/>
    <s v="South Sea Fleet"/>
    <s v="LPD999 Jingangshan, FFG572 Hengshui, AOR889 Taihu"/>
    <m/>
    <m/>
  </r>
  <r>
    <x v="1"/>
    <x v="4"/>
    <s v="Asia"/>
    <s v="Strategic Cooperative Partnership [战略合作伙伴关系]"/>
    <x v="3"/>
    <s v="INDOPACOM"/>
    <x v="25"/>
    <x v="22"/>
    <n v="11"/>
    <s v="BL - Hosted"/>
    <s v="Ma Xiaotian"/>
    <m/>
    <s v="PLAAF Commander; CMC Member"/>
    <n v="8"/>
    <x v="2"/>
    <s v="Air Force Chief of Staff"/>
    <x v="0"/>
    <m/>
    <m/>
    <m/>
    <m/>
    <x v="12"/>
    <m/>
    <m/>
    <m/>
    <m/>
  </r>
  <r>
    <x v="1"/>
    <x v="0"/>
    <s v="Asia"/>
    <s v="Strategic Cooperative Partnership [战略合作伙伴关系]"/>
    <x v="0"/>
    <s v="INDOPACOM"/>
    <x v="3"/>
    <x v="22"/>
    <n v="11"/>
    <s v="BL - Abroad"/>
    <s v="Wang Guanzhong"/>
    <m/>
    <s v="GSD DCGS"/>
    <n v="6"/>
    <x v="1"/>
    <m/>
    <x v="0"/>
    <m/>
    <m/>
    <m/>
    <m/>
    <x v="12"/>
    <m/>
    <m/>
    <m/>
    <m/>
  </r>
  <r>
    <x v="1"/>
    <x v="1"/>
    <s v="Asia"/>
    <s v="Comprehensive Strategic Cooperative Partnership [全面战略合作伙伴关系]"/>
    <x v="3"/>
    <s v="INDOPACOM"/>
    <x v="5"/>
    <x v="22"/>
    <n v="11"/>
    <s v="BL - Hosted"/>
    <s v="Ma Xiaotian"/>
    <m/>
    <s v="PLAAF Commander; CMC Member"/>
    <n v="8"/>
    <x v="2"/>
    <s v="Air Force CinC"/>
    <x v="0"/>
    <m/>
    <m/>
    <m/>
    <m/>
    <x v="12"/>
    <m/>
    <m/>
    <m/>
    <m/>
  </r>
  <r>
    <x v="1"/>
    <x v="6"/>
    <s v="Europe and Central Asia"/>
    <s v="Strategic Partnership [战略伙伴关系]"/>
    <x v="0"/>
    <s v="CENTCOM"/>
    <x v="55"/>
    <x v="22"/>
    <n v="11"/>
    <s v="BL - Hosted"/>
    <s v="Fan Changlong"/>
    <m/>
    <s v="CMC Vice Chairman"/>
    <n v="10"/>
    <x v="2"/>
    <s v="Defense Minister"/>
    <x v="0"/>
    <m/>
    <m/>
    <m/>
    <m/>
    <x v="12"/>
    <m/>
    <m/>
    <m/>
    <m/>
  </r>
  <r>
    <x v="1"/>
    <x v="2"/>
    <s v="America and Oceania"/>
    <s v="No Specific Relationship"/>
    <x v="2"/>
    <s v="NORTHCOM"/>
    <x v="4"/>
    <x v="22"/>
    <n v="11"/>
    <s v="BL - Abroad"/>
    <s v="Zhang Shibo"/>
    <m/>
    <s v="Beijing MR Commander"/>
    <n v="6"/>
    <x v="1"/>
    <s v=" "/>
    <x v="0"/>
    <m/>
    <m/>
    <m/>
    <m/>
    <x v="12"/>
    <m/>
    <m/>
    <s v="2014 CH Milpower Report"/>
    <s v="Visited New York, Washington, and Colorado Springs"/>
  </r>
  <r>
    <x v="2"/>
    <x v="2"/>
    <s v="America and Oceania"/>
    <s v="No Specific Relationship"/>
    <x v="2"/>
    <s v="NORTHCOM"/>
    <x v="4"/>
    <x v="22"/>
    <n v="11"/>
    <s v="Military Exercise - Bilateral"/>
    <m/>
    <m/>
    <m/>
    <m/>
    <x v="0"/>
    <m/>
    <x v="2"/>
    <s v="9th Disaster Management Exchange"/>
    <s v="Army"/>
    <s v="Hawaii; first DME with field exercise component"/>
    <m/>
    <x v="12"/>
    <m/>
    <m/>
    <s v="https://www.nationalguard.mil/News/Article/575366/us-china-conduct-disaster-management-exchange/"/>
    <s v="First DME to include a field training component; previous iterations were meetings/TTXs and are therefore not included "/>
  </r>
  <r>
    <x v="1"/>
    <x v="8"/>
    <s v="Europe and Central Asia"/>
    <s v="No Specific Relationship"/>
    <x v="0"/>
    <s v="EUCOM"/>
    <x v="63"/>
    <x v="22"/>
    <n v="12"/>
    <s v="BL - Hosted"/>
    <s v="Xu Qiliang"/>
    <m/>
    <s v="CMC Vice Chairman"/>
    <n v="10"/>
    <x v="2"/>
    <s v="Minister of National Defense"/>
    <x v="0"/>
    <m/>
    <m/>
    <m/>
    <m/>
    <x v="12"/>
    <m/>
    <m/>
    <m/>
    <m/>
  </r>
  <r>
    <x v="1"/>
    <x v="9"/>
    <s v="West Asia and Africa"/>
    <s v="No Specific Relationship"/>
    <x v="0"/>
    <s v="CENTCOM"/>
    <x v="119"/>
    <x v="22"/>
    <n v="12"/>
    <s v="BL - Hosted"/>
    <s v="Fan Changlong"/>
    <m/>
    <s v="CMC Vice Chairman"/>
    <n v="10"/>
    <x v="2"/>
    <s v="Defense Minister"/>
    <x v="0"/>
    <m/>
    <m/>
    <m/>
    <m/>
    <x v="12"/>
    <m/>
    <m/>
    <m/>
    <m/>
  </r>
  <r>
    <x v="1"/>
    <x v="1"/>
    <s v="Asia"/>
    <s v="Comprehensive Strategic Partnership [全面战略伙伴关系]"/>
    <x v="0"/>
    <s v="INDOPACOM"/>
    <x v="8"/>
    <x v="22"/>
    <n v="12"/>
    <s v="BL - Abroad"/>
    <s v="Chang Wanquan"/>
    <m/>
    <s v="Defense Minister; CMC Member"/>
    <n v="8"/>
    <x v="1"/>
    <s v="Minister of Defense"/>
    <x v="0"/>
    <m/>
    <m/>
    <m/>
    <m/>
    <x v="12"/>
    <m/>
    <m/>
    <m/>
    <m/>
  </r>
  <r>
    <x v="1"/>
    <x v="1"/>
    <s v="Asia"/>
    <s v="Comprehensive Strategic Partnership [全面战略伙伴关系]"/>
    <x v="0"/>
    <s v="INDOPACOM"/>
    <x v="10"/>
    <x v="22"/>
    <n v="12"/>
    <s v="BL - Hosted"/>
    <s v="Chang Wanquan"/>
    <m/>
    <s v="Defense Minister; CMC Member"/>
    <n v="8"/>
    <x v="2"/>
    <s v="Chief of Armed Forces"/>
    <x v="0"/>
    <m/>
    <m/>
    <m/>
    <m/>
    <x v="12"/>
    <m/>
    <m/>
    <m/>
    <m/>
  </r>
  <r>
    <x v="1"/>
    <x v="8"/>
    <s v="Europe and Central Asia"/>
    <s v="Strategic Partnership [战略伙伴关系]"/>
    <x v="5"/>
    <s v="EUCOM"/>
    <x v="59"/>
    <x v="22"/>
    <n v="12"/>
    <s v="BL - Hosted"/>
    <s v="Wang Guanzhong"/>
    <m/>
    <s v="GSD DCGS"/>
    <n v="6"/>
    <x v="2"/>
    <s v="Ministry of Defense Secretary of State"/>
    <x v="0"/>
    <m/>
    <m/>
    <m/>
    <m/>
    <x v="12"/>
    <m/>
    <m/>
    <m/>
    <m/>
  </r>
  <r>
    <x v="1"/>
    <x v="8"/>
    <s v="Europe and Central Asia"/>
    <s v="Comprehensive Strategic Partnership [全面战略伙伴关系]"/>
    <x v="5"/>
    <s v="EUCOM"/>
    <x v="116"/>
    <x v="23"/>
    <n v="1"/>
    <s v="BL - Hosted"/>
    <s v="Xu Qiliang"/>
    <m/>
    <s v="CMC Vice Chairman"/>
    <n v="10"/>
    <x v="2"/>
    <s v="Defense Minister"/>
    <x v="0"/>
    <m/>
    <m/>
    <m/>
    <m/>
    <x v="12"/>
    <m/>
    <m/>
    <m/>
    <m/>
  </r>
  <r>
    <x v="0"/>
    <x v="7"/>
    <s v="West Asia and Africa"/>
    <s v="Comprehensive Cooperative Partnership [全面合作伙伴关系]"/>
    <x v="0"/>
    <s v="AFRICOM"/>
    <x v="47"/>
    <x v="23"/>
    <n v="1"/>
    <s v="Port Call - Friendly Visit"/>
    <m/>
    <m/>
    <m/>
    <m/>
    <x v="0"/>
    <m/>
    <x v="0"/>
    <m/>
    <m/>
    <m/>
    <s v="ETF"/>
    <x v="57"/>
    <s v="South Sea Fleet"/>
    <s v="LPD999 Jingangshan, FFG572 Hengshui, AOR889 Taihu"/>
    <m/>
    <m/>
  </r>
  <r>
    <x v="2"/>
    <x v="3"/>
    <s v="Europe and Central Asia"/>
    <s v="Comprehensive Collaborative Strategic Partnership [全面战略协作伙伴关系]"/>
    <x v="0"/>
    <s v="EUCOM"/>
    <x v="7"/>
    <x v="23"/>
    <n v="1"/>
    <s v="Military Exercise - Bilateral"/>
    <m/>
    <m/>
    <m/>
    <m/>
    <x v="0"/>
    <m/>
    <x v="3"/>
    <s v="None"/>
    <s v="Navy"/>
    <s v="naval drill in the Mediterranean"/>
    <m/>
    <x v="12"/>
    <m/>
    <m/>
    <m/>
    <m/>
  </r>
  <r>
    <x v="0"/>
    <x v="0"/>
    <s v="Asia"/>
    <s v="Strategic Cooperative Partnership [战略合作伙伴关系]"/>
    <x v="0"/>
    <s v="INDOPACOM"/>
    <x v="3"/>
    <x v="23"/>
    <n v="1"/>
    <s v="Port Call - Friendly Visit"/>
    <m/>
    <m/>
    <m/>
    <m/>
    <x v="0"/>
    <m/>
    <x v="0"/>
    <m/>
    <m/>
    <m/>
    <s v="ETF"/>
    <x v="59"/>
    <s v="North Sea Fleet"/>
    <s v="FFG546 Yancheng, FF527 Luoyang, AOR889 Tai Hu"/>
    <m/>
    <m/>
  </r>
  <r>
    <x v="0"/>
    <x v="7"/>
    <s v="West Asia and Africa"/>
    <s v="Comprehensive Cooperative Partnership [全面合作伙伴关系]"/>
    <x v="0"/>
    <s v="AFRICOM"/>
    <x v="16"/>
    <x v="23"/>
    <n v="1"/>
    <s v="Port Call - Friendly Visit"/>
    <m/>
    <m/>
    <m/>
    <m/>
    <x v="0"/>
    <m/>
    <x v="0"/>
    <m/>
    <m/>
    <m/>
    <s v="ETF"/>
    <x v="57"/>
    <s v="South Sea Fleet"/>
    <s v="LPD999 Jingangshan, FFG572 Hengshui, AOR889 Taihu"/>
    <m/>
    <m/>
  </r>
  <r>
    <x v="1"/>
    <x v="2"/>
    <s v="America and Oceania"/>
    <s v="No Specific Relationship"/>
    <x v="2"/>
    <s v="NORTHCOM"/>
    <x v="4"/>
    <x v="23"/>
    <n v="1"/>
    <s v="BL - Hosted"/>
    <s v="Wang Guanzhong"/>
    <m/>
    <s v="GSD DCGS"/>
    <n v="6"/>
    <x v="2"/>
    <s v="DEP SECSTATE; PACOM J-5"/>
    <x v="0"/>
    <m/>
    <m/>
    <m/>
    <m/>
    <x v="12"/>
    <m/>
    <m/>
    <s v="2015 CH Mil Power Report"/>
    <s v="1st Interim Strategic Security Dialogue"/>
  </r>
  <r>
    <x v="1"/>
    <x v="5"/>
    <s v="America and Oceania"/>
    <s v="Strategic Partnership [战略伙伴关系]"/>
    <x v="0"/>
    <s v="INDOPACOM"/>
    <x v="120"/>
    <x v="23"/>
    <n v="1"/>
    <s v="BL - Abroad"/>
    <s v="Wang Guanzhong"/>
    <m/>
    <s v="GSD DCGS"/>
    <n v="6"/>
    <x v="1"/>
    <m/>
    <x v="0"/>
    <m/>
    <m/>
    <m/>
    <m/>
    <x v="12"/>
    <m/>
    <m/>
    <m/>
    <m/>
  </r>
  <r>
    <x v="1"/>
    <x v="9"/>
    <s v="West Asia and Africa"/>
    <s v="No Specific Relationship"/>
    <x v="0"/>
    <s v="CENTCOM"/>
    <x v="119"/>
    <x v="23"/>
    <n v="2"/>
    <s v="BL - Abroad"/>
    <s v="Chang Wanquan"/>
    <m/>
    <s v="Defense Minister; CMC Member"/>
    <n v="8"/>
    <x v="1"/>
    <s v="Defense Minister"/>
    <x v="0"/>
    <m/>
    <m/>
    <m/>
    <m/>
    <x v="12"/>
    <m/>
    <m/>
    <m/>
    <m/>
  </r>
  <r>
    <x v="0"/>
    <x v="9"/>
    <s v="West Asia and Africa"/>
    <s v="No Specific Relationship"/>
    <x v="0"/>
    <s v="CENTCOM"/>
    <x v="119"/>
    <x v="23"/>
    <n v="2"/>
    <s v="Port Call - Replenish/Overhaul"/>
    <m/>
    <m/>
    <m/>
    <m/>
    <x v="0"/>
    <m/>
    <x v="0"/>
    <m/>
    <m/>
    <m/>
    <s v="ETF"/>
    <x v="59"/>
    <s v="North Sea Fleet"/>
    <s v="FFG546 Yancheng, FF527 Luoyang, AOR889 Tai Hu"/>
    <m/>
    <m/>
  </r>
  <r>
    <x v="1"/>
    <x v="1"/>
    <s v="Asia"/>
    <s v="Comprehensive Strategic Partnership [全面战略伙伴关系]"/>
    <x v="0"/>
    <s v="INDOPACOM"/>
    <x v="8"/>
    <x v="23"/>
    <n v="2"/>
    <s v="BL - Hosted"/>
    <s v="Fang Fenghui"/>
    <m/>
    <s v="GSD Commander; CMC Member"/>
    <n v="8"/>
    <x v="2"/>
    <s v="Commander of Armed Forces"/>
    <x v="0"/>
    <m/>
    <m/>
    <m/>
    <m/>
    <x v="12"/>
    <m/>
    <m/>
    <m/>
    <m/>
  </r>
  <r>
    <x v="1"/>
    <x v="0"/>
    <s v="Asia"/>
    <s v="Strategic Partnership [战略伙伴关系]"/>
    <x v="1"/>
    <s v="CENTCOM"/>
    <x v="2"/>
    <x v="23"/>
    <n v="2"/>
    <s v="BL - Abroad"/>
    <s v="Chang Wanquan"/>
    <m/>
    <s v="Defense Minister; CMC Member"/>
    <n v="8"/>
    <x v="1"/>
    <s v="Defense Minister"/>
    <x v="0"/>
    <m/>
    <m/>
    <m/>
    <m/>
    <x v="12"/>
    <m/>
    <m/>
    <m/>
    <m/>
  </r>
  <r>
    <x v="2"/>
    <x v="1"/>
    <s v="Asia"/>
    <s v="Comprehensive Strategic Cooperative Partnership [全面战略合作伙伴关系]"/>
    <x v="3"/>
    <s v="INDOPACOM"/>
    <x v="5"/>
    <x v="23"/>
    <n v="2"/>
    <s v="Military Exercise - Multilateral"/>
    <m/>
    <m/>
    <m/>
    <m/>
    <x v="0"/>
    <m/>
    <x v="2"/>
    <s v="Cobra Gold 2014"/>
    <s v="Navy"/>
    <s v="Amphibious assault; Navy and Marines; Other countries: United States"/>
    <m/>
    <x v="12"/>
    <m/>
    <m/>
    <s v="https://www.marines.mil/News/News-Display/Article/644293/exercise-cobra-gold-2016-to-begin-february-9/"/>
    <m/>
  </r>
  <r>
    <x v="1"/>
    <x v="2"/>
    <s v="America and Oceania"/>
    <s v="No Specific Relationship"/>
    <x v="2"/>
    <s v="NORTHCOM"/>
    <x v="4"/>
    <x v="23"/>
    <n v="2"/>
    <s v="BL - Hosted"/>
    <s v="Fan Changlong"/>
    <m/>
    <s v="CMC Vice Chairman"/>
    <n v="10"/>
    <x v="2"/>
    <s v="Army Chief of Staff Odierno"/>
    <x v="0"/>
    <m/>
    <m/>
    <m/>
    <m/>
    <x v="12"/>
    <m/>
    <m/>
    <s v="2015 CH Mil Power Report"/>
    <m/>
  </r>
  <r>
    <x v="2"/>
    <x v="1"/>
    <s v="Asia"/>
    <s v="Comprehensive Strategic Partnership [全面战略伙伴关系]"/>
    <x v="0"/>
    <s v="INDOPACOM"/>
    <x v="8"/>
    <x v="23"/>
    <n v="3"/>
    <s v="Military Exercise - Multilateral"/>
    <m/>
    <m/>
    <m/>
    <m/>
    <x v="0"/>
    <m/>
    <x v="5"/>
    <s v="Komodo 2014"/>
    <s v="Navy"/>
    <s v="Navy and Marines. Other countries: refer to source for a complete list of countries"/>
    <m/>
    <x v="12"/>
    <m/>
    <m/>
    <s v="https://sputniknews.com/military/20140402188995765-Komodo-2014-Naval-Exercises-Prove-Beneficial-for-Russia--Russian/"/>
    <m/>
  </r>
  <r>
    <x v="1"/>
    <x v="9"/>
    <s v="West Asia and Africa"/>
    <s v="No Specific Relationship"/>
    <x v="1"/>
    <s v="CENTCOM"/>
    <x v="100"/>
    <x v="23"/>
    <n v="3"/>
    <s v="BL - Hosted"/>
    <s v="Zhao Keshi"/>
    <m/>
    <s v="GLD Director; CMC Member"/>
    <n v="8"/>
    <x v="2"/>
    <s v="Head of Technologies and Logistics Directorate"/>
    <x v="0"/>
    <m/>
    <m/>
    <m/>
    <m/>
    <x v="12"/>
    <m/>
    <m/>
    <m/>
    <m/>
  </r>
  <r>
    <x v="1"/>
    <x v="6"/>
    <s v="Europe and Central Asia"/>
    <s v="Member"/>
    <x v="0"/>
    <s v="CENTCOM"/>
    <x v="14"/>
    <x v="23"/>
    <n v="3"/>
    <s v="ML - Abroad"/>
    <s v="Chang Wanquan"/>
    <m/>
    <s v="Defense Minister; CMC Member"/>
    <n v="8"/>
    <x v="1"/>
    <s v="11th official meeting of the SCO Ministers' of Defense in Beijing; Other countries: Kazakhstan, Kyrgyztan, Russia, Tajikistan, Uzbekistan"/>
    <x v="0"/>
    <m/>
    <m/>
    <m/>
    <m/>
    <x v="12"/>
    <m/>
    <m/>
    <s v="China's Approach to Central Asia: The Shanghai Co-operation Organisation"/>
    <m/>
  </r>
  <r>
    <x v="1"/>
    <x v="4"/>
    <s v="Asia"/>
    <s v="Strategic Cooperative Partnership [战略合作伙伴关系]"/>
    <x v="3"/>
    <s v="INDOPACOM"/>
    <x v="25"/>
    <x v="23"/>
    <n v="3"/>
    <s v="BL - Hosted"/>
    <s v="Wang Guanzhong"/>
    <m/>
    <s v="GSD DCGS"/>
    <n v="6"/>
    <x v="2"/>
    <s v="NDU President"/>
    <x v="0"/>
    <m/>
    <m/>
    <m/>
    <m/>
    <x v="12"/>
    <m/>
    <m/>
    <m/>
    <m/>
  </r>
  <r>
    <x v="1"/>
    <x v="6"/>
    <s v="Europe and Central Asia"/>
    <s v="Strategic Partnership [战略伙伴关系]"/>
    <x v="0"/>
    <s v="CENTCOM"/>
    <x v="60"/>
    <x v="23"/>
    <n v="3"/>
    <s v="BL - Abroad"/>
    <s v="Chang Wanquan"/>
    <m/>
    <s v="Defense Minister; CMC Member"/>
    <n v="8"/>
    <x v="1"/>
    <m/>
    <x v="0"/>
    <m/>
    <m/>
    <m/>
    <m/>
    <x v="12"/>
    <m/>
    <m/>
    <m/>
    <m/>
  </r>
  <r>
    <x v="2"/>
    <x v="1"/>
    <s v="Asia"/>
    <s v="Strategic Partnership [战略伙伴关系] for Peace and Prosperity"/>
    <x v="0"/>
    <s v="INDOPACOM"/>
    <x v="153"/>
    <x v="23"/>
    <n v="4"/>
    <s v="Military Exercise - Multilateral"/>
    <m/>
    <m/>
    <m/>
    <m/>
    <x v="0"/>
    <m/>
    <x v="2"/>
    <s v="AM -Hex"/>
    <s v="Army"/>
    <s v="HADR; Thailand and 12 other countries"/>
    <m/>
    <x v="12"/>
    <m/>
    <m/>
    <m/>
    <s v="corrected partnership to strategic partnership for peace and prosperity"/>
  </r>
  <r>
    <x v="0"/>
    <x v="5"/>
    <s v="America and Oceania"/>
    <s v="Comprehensive Strategic Partnership [全面战略伙伴关系]"/>
    <x v="4"/>
    <s v="INDOPACOM"/>
    <x v="12"/>
    <x v="23"/>
    <n v="4"/>
    <s v="Port Call - Friendly Visit"/>
    <m/>
    <m/>
    <m/>
    <m/>
    <x v="0"/>
    <m/>
    <x v="0"/>
    <m/>
    <m/>
    <m/>
    <s v="NETF"/>
    <x v="60"/>
    <s v="North Sea Fleet"/>
    <s v="PLA FR XJP draft p. 24"/>
    <m/>
    <m/>
  </r>
  <r>
    <x v="0"/>
    <x v="0"/>
    <s v="Asia"/>
    <s v="Comprehensive Cooperative Partnership [全面合作伙伴关系]"/>
    <x v="0"/>
    <s v="INDOPACOM"/>
    <x v="0"/>
    <x v="23"/>
    <n v="4"/>
    <s v="Port Call - Friendly Visit"/>
    <m/>
    <m/>
    <m/>
    <m/>
    <x v="0"/>
    <m/>
    <x v="0"/>
    <m/>
    <m/>
    <m/>
    <s v="NETF"/>
    <x v="60"/>
    <s v="North Sea Fleet"/>
    <s v="PLA FR XJP draft p. 24"/>
    <m/>
    <m/>
  </r>
  <r>
    <x v="1"/>
    <x v="8"/>
    <s v="Europe and Central Asia"/>
    <s v="Comprehensive Strategic Partnership [全面战略伙伴关系]"/>
    <x v="0"/>
    <s v="EUCOM"/>
    <x v="34"/>
    <x v="23"/>
    <n v="4"/>
    <s v="BL - Hosted"/>
    <s v="Xu Qiliang"/>
    <m/>
    <s v="CMC Vice Chairman"/>
    <n v="10"/>
    <x v="2"/>
    <s v="First Deputy Minister of Defense and COGS"/>
    <x v="0"/>
    <m/>
    <m/>
    <m/>
    <m/>
    <x v="12"/>
    <m/>
    <m/>
    <m/>
    <m/>
  </r>
  <r>
    <x v="0"/>
    <x v="9"/>
    <s v="West Asia and Africa"/>
    <s v="No Specific Relationship"/>
    <x v="0"/>
    <s v="CENTCOM"/>
    <x v="119"/>
    <x v="23"/>
    <n v="4"/>
    <s v="Port Call - Replenish/Overhaul"/>
    <m/>
    <m/>
    <m/>
    <m/>
    <x v="0"/>
    <m/>
    <x v="0"/>
    <m/>
    <m/>
    <m/>
    <s v="ETF"/>
    <x v="59"/>
    <s v="North Sea Fleet"/>
    <s v="FFG546 Yancheng, FF527 Luoyang, AOR889 Tai Hu"/>
    <m/>
    <m/>
  </r>
  <r>
    <x v="1"/>
    <x v="8"/>
    <s v="Europe and Central Asia"/>
    <s v="Comprehensive Strategic Partnership [全面战略伙伴关系]"/>
    <x v="5"/>
    <s v="EUCOM"/>
    <x v="22"/>
    <x v="23"/>
    <n v="4"/>
    <s v="BL - Hosted"/>
    <s v="Ma Xiaotian"/>
    <m/>
    <s v="PLAAF Commander; CMC Member"/>
    <n v="8"/>
    <x v="2"/>
    <s v="Air Force Chief of Staff"/>
    <x v="0"/>
    <m/>
    <m/>
    <m/>
    <m/>
    <x v="12"/>
    <m/>
    <m/>
    <m/>
    <m/>
  </r>
  <r>
    <x v="1"/>
    <x v="0"/>
    <s v="Asia"/>
    <s v="Strategic Partnership for Peace and Prosperity [战略伙伴关系]"/>
    <x v="0"/>
    <s v="INDOPACOM"/>
    <x v="6"/>
    <x v="23"/>
    <n v="4"/>
    <s v="BL - Abroad"/>
    <s v="Qi Jianguo"/>
    <m/>
    <s v="GSD DCGS"/>
    <n v="6"/>
    <x v="1"/>
    <m/>
    <x v="0"/>
    <m/>
    <m/>
    <m/>
    <m/>
    <x v="12"/>
    <m/>
    <m/>
    <m/>
    <m/>
  </r>
  <r>
    <x v="1"/>
    <x v="8"/>
    <s v="Europe and Central Asia"/>
    <s v="Comprehensive Cooperative Partnership [全面合作伙伴关系]"/>
    <x v="5"/>
    <s v="EUCOM"/>
    <x v="117"/>
    <x v="23"/>
    <n v="4"/>
    <s v="BL - Hosted"/>
    <s v="Xu Qiliang"/>
    <m/>
    <s v="CMC Vice Chairman"/>
    <n v="10"/>
    <x v="2"/>
    <s v="Defense Minister"/>
    <x v="0"/>
    <m/>
    <m/>
    <m/>
    <m/>
    <x v="12"/>
    <m/>
    <m/>
    <m/>
    <m/>
  </r>
  <r>
    <x v="0"/>
    <x v="5"/>
    <s v="America and Oceania"/>
    <s v="Comprehensive Strategic Partnership [全面战略伙伴关系]"/>
    <x v="4"/>
    <s v="INDOPACOM"/>
    <x v="13"/>
    <x v="23"/>
    <n v="4"/>
    <s v="Port Call - Friendly Visit"/>
    <m/>
    <m/>
    <m/>
    <m/>
    <x v="0"/>
    <m/>
    <x v="0"/>
    <m/>
    <m/>
    <m/>
    <s v="NETF"/>
    <x v="60"/>
    <s v="North Sea Fleet"/>
    <s v="PLA FR XJP draft p. 24"/>
    <m/>
    <m/>
  </r>
  <r>
    <x v="0"/>
    <x v="9"/>
    <s v="West Asia and Africa"/>
    <s v="No Specific Relationship"/>
    <x v="0"/>
    <s v="CENTCOM"/>
    <x v="147"/>
    <x v="23"/>
    <n v="4"/>
    <s v="Port Call - Replenish/Overhaul"/>
    <m/>
    <m/>
    <m/>
    <m/>
    <x v="0"/>
    <m/>
    <x v="0"/>
    <m/>
    <m/>
    <m/>
    <s v="ETF"/>
    <x v="59"/>
    <s v="North Sea Fleet"/>
    <s v="FFG546 Yancheng, FF527 Luoyang, AOR889 Tai Hu"/>
    <m/>
    <m/>
  </r>
  <r>
    <x v="2"/>
    <x v="0"/>
    <s v="Asia"/>
    <s v="Strategic Partnership [战略伙伴关系]"/>
    <x v="1"/>
    <s v="CENTCOM"/>
    <x v="2"/>
    <x v="23"/>
    <n v="4"/>
    <s v="Military Exercise - Bilateral"/>
    <m/>
    <m/>
    <m/>
    <m/>
    <x v="0"/>
    <m/>
    <x v="5"/>
    <s v="Peace Angel 2014"/>
    <s v="Army"/>
    <s v="GLD; Medical and HADR"/>
    <m/>
    <x v="12"/>
    <m/>
    <m/>
    <m/>
    <m/>
  </r>
  <r>
    <x v="1"/>
    <x v="9"/>
    <s v="West Asia and Africa"/>
    <s v="No Specific Relationship"/>
    <x v="0"/>
    <s v="CENTCOM"/>
    <x v="142"/>
    <x v="23"/>
    <n v="4"/>
    <s v="BL - Hosted"/>
    <s v="Wang Guanzhong"/>
    <m/>
    <s v="GSD DCGS"/>
    <n v="6"/>
    <x v="2"/>
    <s v="Military delegation"/>
    <x v="0"/>
    <m/>
    <m/>
    <m/>
    <m/>
    <x v="12"/>
    <m/>
    <m/>
    <m/>
    <m/>
  </r>
  <r>
    <x v="0"/>
    <x v="1"/>
    <s v="Asia"/>
    <s v="No Specific Relationship"/>
    <x v="0"/>
    <s v="INDOPACOM"/>
    <x v="39"/>
    <x v="23"/>
    <n v="4"/>
    <s v="Port Call - Friendly Visit"/>
    <m/>
    <m/>
    <m/>
    <m/>
    <x v="0"/>
    <m/>
    <x v="0"/>
    <m/>
    <m/>
    <m/>
    <s v="NETF"/>
    <x v="60"/>
    <s v="North Sea Fleet"/>
    <s v="PLA FR XJP draft p. 24"/>
    <m/>
    <m/>
  </r>
  <r>
    <x v="1"/>
    <x v="8"/>
    <s v="Europe and Central Asia"/>
    <s v="No Specific Relationship"/>
    <x v="0"/>
    <s v="EUCOM"/>
    <x v="78"/>
    <x v="23"/>
    <n v="4"/>
    <s v="BL - Hosted"/>
    <s v="Sun Jianguo"/>
    <m/>
    <s v="GSD DCGS"/>
    <n v="6"/>
    <x v="2"/>
    <s v="Delegation for CIISS; Geneva Center for Security Policy"/>
    <x v="0"/>
    <m/>
    <m/>
    <m/>
    <m/>
    <x v="12"/>
    <m/>
    <m/>
    <m/>
    <m/>
  </r>
  <r>
    <x v="0"/>
    <x v="1"/>
    <s v="Asia"/>
    <s v="Comprehensive Strategic Cooperative Partnership [全面战略合作伙伴关系]"/>
    <x v="3"/>
    <s v="INDOPACOM"/>
    <x v="5"/>
    <x v="23"/>
    <n v="4"/>
    <s v="Port Call - Friendly Visit"/>
    <m/>
    <m/>
    <m/>
    <m/>
    <x v="0"/>
    <m/>
    <x v="0"/>
    <m/>
    <m/>
    <m/>
    <s v="NETF"/>
    <x v="60"/>
    <s v="North Sea Fleet"/>
    <s v="PLA FR XJP draft p. 24"/>
    <m/>
    <m/>
  </r>
  <r>
    <x v="1"/>
    <x v="2"/>
    <s v="America and Oceania"/>
    <s v="No Specific Relationship"/>
    <x v="2"/>
    <s v="NORTHCOM"/>
    <x v="4"/>
    <x v="23"/>
    <n v="4"/>
    <s v="BL - Hosted"/>
    <s v="Chang Wanquan"/>
    <m/>
    <s v="Defense Minister; CMC Member"/>
    <n v="8"/>
    <x v="2"/>
    <s v="Secretary of Defense Hagel"/>
    <x v="0"/>
    <m/>
    <m/>
    <m/>
    <m/>
    <x v="12"/>
    <m/>
    <m/>
    <s v="2015 CH Mil Power Report"/>
    <m/>
  </r>
  <r>
    <x v="1"/>
    <x v="2"/>
    <s v="America and Oceania"/>
    <s v="No Specific Relationship"/>
    <x v="2"/>
    <s v="NORTHCOM"/>
    <x v="4"/>
    <x v="23"/>
    <n v="4"/>
    <s v="ML - Margins"/>
    <s v="Wu Shengli"/>
    <m/>
    <s v="PLAN Commander; CMC Member"/>
    <n v="8"/>
    <x v="1"/>
    <s v="Chief of Naval Operations"/>
    <x v="0"/>
    <m/>
    <m/>
    <m/>
    <m/>
    <x v="12"/>
    <m/>
    <s v="2015 CH Mil Power Report"/>
    <s v="2015 CH Mil Power Report"/>
    <s v="On margins of WPNS; also met with PACFLEET Commander"/>
  </r>
  <r>
    <x v="1"/>
    <x v="4"/>
    <s v="N/A"/>
    <s v="Member"/>
    <x v="0"/>
    <s v="INDOPACOM"/>
    <x v="136"/>
    <x v="23"/>
    <n v="4"/>
    <s v="ML - Hosted"/>
    <s v="Fan Changlong"/>
    <m/>
    <s v="CMC Vice Chairman"/>
    <n v="10"/>
    <x v="2"/>
    <s v="Western Pacific Naval Symposium; meeting approved CUES"/>
    <x v="0"/>
    <m/>
    <m/>
    <m/>
    <m/>
    <x v="12"/>
    <m/>
    <m/>
    <s v="http://eng.mod.gov.cn/DefenseNews/2014-04/24/content_4505240.htm"/>
    <s v="Recoded as ML"/>
  </r>
  <r>
    <x v="2"/>
    <x v="4"/>
    <s v="N/A"/>
    <s v="Member"/>
    <x v="0"/>
    <s v="INDOPACOM"/>
    <x v="136"/>
    <x v="23"/>
    <n v="4"/>
    <s v="Military Exercise - Multilateral"/>
    <m/>
    <m/>
    <m/>
    <m/>
    <x v="0"/>
    <m/>
    <x v="4"/>
    <s v="WPNS 2014 Maritime Exercise (MMEx)"/>
    <s v="Navy"/>
    <s v="Maritime; HADR; WPNS 2014 attendees +7; Bangladesh, Brunei, China, India, Indonesia, Malaysia, Pakistan and Singapore; CUES; Joint Anti-Hijacking, Search and Rescue (SAR) and small arms firing."/>
    <m/>
    <x v="12"/>
    <m/>
    <m/>
    <s v="http://www.mindef.gov.bn/Lists/News/DispForm.aspx?ID=3002"/>
    <m/>
  </r>
  <r>
    <x v="1"/>
    <x v="7"/>
    <s v="West Asia and Africa"/>
    <s v="Strategic Partnership [战略伙伴关系]"/>
    <x v="0"/>
    <s v="AFRICOM"/>
    <x v="76"/>
    <x v="23"/>
    <n v="5"/>
    <s v="BL - Abroad"/>
    <s v="Hou Shusen"/>
    <m/>
    <s v="GSD DCGS"/>
    <n v="6"/>
    <x v="1"/>
    <m/>
    <x v="0"/>
    <m/>
    <m/>
    <m/>
    <m/>
    <x v="12"/>
    <m/>
    <m/>
    <m/>
    <m/>
  </r>
  <r>
    <x v="1"/>
    <x v="1"/>
    <s v="Asia"/>
    <s v="Strategic Partnership [战略伙伴关系] for Peace and Prosperity"/>
    <x v="0"/>
    <s v="INDOPACOM"/>
    <x v="153"/>
    <x v="23"/>
    <n v="5"/>
    <s v="ML - Abroad"/>
    <s v="Chang Wanquan"/>
    <m/>
    <s v="Defense Minister; CMC Member"/>
    <n v="8"/>
    <x v="1"/>
    <s v="Fourth China-ASEAN Defense Ministers' Informal Meeting in Myanmar"/>
    <x v="0"/>
    <m/>
    <m/>
    <m/>
    <m/>
    <x v="12"/>
    <m/>
    <m/>
    <s v="https://thediplomat.com/2015/06/china-to-hold-first-meeting-with-asean-defense-ministers-in-beijing/"/>
    <s v="corrected partnership to strategic partnership for peace and prosperity"/>
  </r>
  <r>
    <x v="1"/>
    <x v="5"/>
    <s v="America and Oceania"/>
    <s v="Comprehensive Strategic Partnership [全面战略伙伴关系]"/>
    <x v="4"/>
    <s v="INDOPACOM"/>
    <x v="12"/>
    <x v="23"/>
    <n v="5"/>
    <s v="BL - Hosted"/>
    <s v="Chang Wanquan"/>
    <m/>
    <s v="Defense Minister; CMC Member"/>
    <n v="8"/>
    <x v="2"/>
    <s v="Former Prime Minister"/>
    <x v="0"/>
    <m/>
    <m/>
    <m/>
    <m/>
    <x v="12"/>
    <m/>
    <m/>
    <m/>
    <m/>
  </r>
  <r>
    <x v="1"/>
    <x v="0"/>
    <s v="Asia"/>
    <s v="Comprehensive Cooperative Partnership [全面合作伙伴关系]"/>
    <x v="0"/>
    <s v="INDOPACOM"/>
    <x v="0"/>
    <x v="23"/>
    <n v="5"/>
    <s v="BL - Abroad"/>
    <s v="Xu Qiliang"/>
    <m/>
    <s v="CMC Vice Chairman"/>
    <n v="10"/>
    <x v="1"/>
    <m/>
    <x v="0"/>
    <m/>
    <m/>
    <m/>
    <m/>
    <x v="12"/>
    <m/>
    <m/>
    <m/>
    <m/>
  </r>
  <r>
    <x v="1"/>
    <x v="8"/>
    <s v="Europe and Central Asia"/>
    <s v="Comprehensive Strategic Partnership [全面战略伙伴关系]"/>
    <x v="0"/>
    <s v="EUCOM"/>
    <x v="34"/>
    <x v="23"/>
    <n v="5"/>
    <s v="BL - Hosted"/>
    <s v="Chang Wanquan"/>
    <m/>
    <s v="Defense Minister; CMC Member"/>
    <n v="8"/>
    <x v="2"/>
    <s v="Air Force Commander"/>
    <x v="0"/>
    <m/>
    <m/>
    <m/>
    <m/>
    <x v="12"/>
    <m/>
    <m/>
    <m/>
    <m/>
  </r>
  <r>
    <x v="1"/>
    <x v="1"/>
    <s v="Asia"/>
    <s v="Comprehensive Strategic Cooperative Partnership [全面战略合作伙伴关系]"/>
    <x v="0"/>
    <s v="INDOPACOM"/>
    <x v="94"/>
    <x v="23"/>
    <n v="5"/>
    <s v="BL - Abroad"/>
    <s v="Xu Qiliang"/>
    <m/>
    <s v="CMC Vice Chairman"/>
    <n v="10"/>
    <x v="1"/>
    <m/>
    <x v="0"/>
    <m/>
    <m/>
    <m/>
    <m/>
    <x v="12"/>
    <m/>
    <m/>
    <m/>
    <m/>
  </r>
  <r>
    <x v="1"/>
    <x v="10"/>
    <s v="America and Oceania"/>
    <s v="No Specific Relationship"/>
    <x v="0"/>
    <s v="SOUTHCOM"/>
    <x v="49"/>
    <x v="23"/>
    <n v="5"/>
    <s v="BL - Abroad"/>
    <s v="Fang Fenghui"/>
    <m/>
    <s v="GSD Commander; CMC Member"/>
    <n v="8"/>
    <x v="1"/>
    <m/>
    <x v="0"/>
    <m/>
    <m/>
    <m/>
    <m/>
    <x v="12"/>
    <m/>
    <m/>
    <m/>
    <m/>
  </r>
  <r>
    <x v="1"/>
    <x v="8"/>
    <s v="Europe and Central Asia"/>
    <s v="Comprehensive Strategic Partnership [全面战略伙伴关系]"/>
    <x v="5"/>
    <s v="EUCOM"/>
    <x v="18"/>
    <x v="23"/>
    <n v="5"/>
    <s v="BL - Abroad"/>
    <s v="Wang Guanzhong"/>
    <m/>
    <s v="GSD DCGS"/>
    <n v="6"/>
    <x v="1"/>
    <m/>
    <x v="0"/>
    <m/>
    <m/>
    <m/>
    <m/>
    <x v="12"/>
    <m/>
    <m/>
    <m/>
    <m/>
  </r>
  <r>
    <x v="1"/>
    <x v="9"/>
    <s v="West Asia and Africa"/>
    <s v="No Specific Relationship"/>
    <x v="0"/>
    <s v="CENTCOM"/>
    <x v="89"/>
    <x v="23"/>
    <n v="5"/>
    <s v="BL - Hosted"/>
    <s v="Fan Changlong"/>
    <m/>
    <s v="CMC Vice Chairman"/>
    <n v="10"/>
    <x v="2"/>
    <s v="Defense Minister and Minister of Armed Forces Logistics"/>
    <x v="0"/>
    <m/>
    <m/>
    <m/>
    <m/>
    <x v="12"/>
    <m/>
    <m/>
    <m/>
    <m/>
  </r>
  <r>
    <x v="0"/>
    <x v="7"/>
    <s v="West Asia and Africa"/>
    <s v="No Specific Relationship"/>
    <x v="0"/>
    <s v="AFRICOM"/>
    <x v="140"/>
    <x v="23"/>
    <n v="5"/>
    <s v="Port Call - Friendly Visit"/>
    <m/>
    <m/>
    <m/>
    <m/>
    <x v="0"/>
    <m/>
    <x v="0"/>
    <m/>
    <m/>
    <m/>
    <s v="ETF"/>
    <x v="59"/>
    <s v="North Sea Fleet"/>
    <s v="FFG546 Yancheng, FF527 Luoyang, AOR889 Tai Hu"/>
    <m/>
    <m/>
  </r>
  <r>
    <x v="1"/>
    <x v="1"/>
    <s v="Asia"/>
    <s v="Comprehensive Strategic Cooperative Partnership [全面战略合作伙伴关系]"/>
    <x v="0"/>
    <s v="INDOPACOM"/>
    <x v="52"/>
    <x v="23"/>
    <n v="5"/>
    <s v="BL - Abroad"/>
    <s v="Chang Wanquan"/>
    <m/>
    <s v="Defense Minister; CMC Member"/>
    <n v="8"/>
    <x v="1"/>
    <m/>
    <x v="0"/>
    <m/>
    <m/>
    <m/>
    <m/>
    <x v="12"/>
    <m/>
    <m/>
    <m/>
    <m/>
  </r>
  <r>
    <x v="1"/>
    <x v="7"/>
    <s v="West Asia and Africa"/>
    <s v="No Specific Relationship"/>
    <x v="1"/>
    <s v="AFRICOM"/>
    <x v="27"/>
    <x v="23"/>
    <n v="5"/>
    <s v="BL - Abroad"/>
    <s v="Hou Shusen"/>
    <m/>
    <s v="GSD DCGS"/>
    <n v="6"/>
    <x v="1"/>
    <m/>
    <x v="0"/>
    <m/>
    <m/>
    <m/>
    <m/>
    <x v="12"/>
    <m/>
    <m/>
    <m/>
    <m/>
  </r>
  <r>
    <x v="1"/>
    <x v="1"/>
    <s v="Asia"/>
    <s v="Comprehensive Strategic Cooperative Partnership [全面战略合作伙伴关系]"/>
    <x v="0"/>
    <s v="INDOPACOM"/>
    <x v="1"/>
    <x v="23"/>
    <n v="5"/>
    <s v="BL - Hosted"/>
    <s v="Ma Xiaotian"/>
    <m/>
    <s v="PLAAF Commander; CMC Member"/>
    <n v="8"/>
    <x v="2"/>
    <s v="Air Force Commander"/>
    <x v="0"/>
    <m/>
    <m/>
    <m/>
    <m/>
    <x v="12"/>
    <m/>
    <m/>
    <m/>
    <m/>
  </r>
  <r>
    <x v="2"/>
    <x v="7"/>
    <s v="West Asia and Africa"/>
    <s v="Strategic Partnership [战略伙伴关系]"/>
    <x v="0"/>
    <s v="AFRICOM"/>
    <x v="36"/>
    <x v="23"/>
    <n v="5"/>
    <s v="Military Exercise - Bilateral"/>
    <m/>
    <m/>
    <m/>
    <m/>
    <x v="0"/>
    <m/>
    <x v="4"/>
    <s v="None"/>
    <s v="Navy"/>
    <s v="anti-piracy drill"/>
    <m/>
    <x v="12"/>
    <m/>
    <m/>
    <m/>
    <m/>
  </r>
  <r>
    <x v="0"/>
    <x v="7"/>
    <s v="West Asia and Africa"/>
    <s v="Strategic Partnership [战略伙伴关系]"/>
    <x v="0"/>
    <s v="AFRICOM"/>
    <x v="36"/>
    <x v="23"/>
    <n v="5"/>
    <s v="Port Call - Friendly Visit"/>
    <m/>
    <m/>
    <m/>
    <m/>
    <x v="0"/>
    <m/>
    <x v="0"/>
    <m/>
    <m/>
    <m/>
    <s v="ETF"/>
    <x v="59"/>
    <s v="North Sea Fleet"/>
    <s v="FFG546 Yancheng, FF527 Luoyang, AOR889 Tai Hu"/>
    <m/>
    <m/>
  </r>
  <r>
    <x v="0"/>
    <x v="9"/>
    <s v="West Asia and Africa"/>
    <s v="No Specific Relationship"/>
    <x v="0"/>
    <s v="CENTCOM"/>
    <x v="147"/>
    <x v="23"/>
    <n v="5"/>
    <s v="Port Call - Replenish/Overhaul"/>
    <m/>
    <m/>
    <m/>
    <m/>
    <x v="0"/>
    <m/>
    <x v="0"/>
    <m/>
    <m/>
    <m/>
    <s v="ETF"/>
    <x v="61"/>
    <s v="North Sea Fleet"/>
    <s v="FFG546 Yancheng, FF527 Luoyang, AOR889 Tai Hu; unknown, could also be ETF-17"/>
    <m/>
    <m/>
  </r>
  <r>
    <x v="2"/>
    <x v="0"/>
    <s v="Asia"/>
    <s v="Strategic Partnership [战略伙伴关系]"/>
    <x v="1"/>
    <s v="CENTCOM"/>
    <x v="2"/>
    <x v="23"/>
    <n v="5"/>
    <s v="Military Exercise - Bilateral"/>
    <m/>
    <m/>
    <m/>
    <m/>
    <x v="0"/>
    <m/>
    <x v="3"/>
    <s v="Shaheen-3"/>
    <s v="Air Force"/>
    <s v="Operational aerial maneuvers"/>
    <m/>
    <x v="12"/>
    <m/>
    <m/>
    <m/>
    <m/>
  </r>
  <r>
    <x v="1"/>
    <x v="3"/>
    <s v="Europe and Central Asia"/>
    <s v="Comprehensive Collaborative Strategic Partnership [全面战略协作伙伴关系]"/>
    <x v="0"/>
    <s v="EUCOM"/>
    <x v="7"/>
    <x v="23"/>
    <n v="5"/>
    <s v="BL - Hosted"/>
    <s v="Wu Shengli"/>
    <m/>
    <s v="PLAN Commander; CMC Member"/>
    <n v="8"/>
    <x v="2"/>
    <s v="Navy Commander"/>
    <x v="0"/>
    <m/>
    <m/>
    <m/>
    <m/>
    <x v="12"/>
    <m/>
    <m/>
    <m/>
    <m/>
  </r>
  <r>
    <x v="2"/>
    <x v="3"/>
    <s v="Europe and Central Asia"/>
    <s v="Comprehensive Collaborative Strategic Partnership [全面战略协作伙伴关系]"/>
    <x v="0"/>
    <s v="EUCOM"/>
    <x v="7"/>
    <x v="23"/>
    <n v="5"/>
    <s v="Military Exercise - Bilateral"/>
    <m/>
    <m/>
    <m/>
    <m/>
    <x v="0"/>
    <m/>
    <x v="3"/>
    <s v="Maritime Cooperation 2014 (AKA Joint Sea 2014)"/>
    <s v="Navy"/>
    <s v="Maritime; HADR; live-fire drills.  May 20 to 26"/>
    <m/>
    <x v="12"/>
    <m/>
    <m/>
    <m/>
    <m/>
  </r>
  <r>
    <x v="0"/>
    <x v="7"/>
    <s v="West Asia and Africa"/>
    <s v="No Specific Relationship"/>
    <x v="0"/>
    <s v="AFRICOM"/>
    <x v="152"/>
    <x v="23"/>
    <n v="5"/>
    <s v="Port Call - Friendly Visit"/>
    <m/>
    <m/>
    <m/>
    <m/>
    <x v="0"/>
    <m/>
    <x v="0"/>
    <m/>
    <m/>
    <m/>
    <s v="ETF"/>
    <x v="59"/>
    <s v="North Sea Fleet"/>
    <s v="FFG546 Yancheng, FF527 Luoyang, AOR889 Tai Hu"/>
    <m/>
    <m/>
  </r>
  <r>
    <x v="1"/>
    <x v="0"/>
    <s v="Asia"/>
    <s v="Strategic Cooperative Partnership [战略合作伙伴关系]"/>
    <x v="0"/>
    <s v="INDOPACOM"/>
    <x v="3"/>
    <x v="23"/>
    <n v="5"/>
    <s v="BL - Abroad"/>
    <s v="Xu Qiliang"/>
    <m/>
    <s v="CMC Vice Chairman"/>
    <n v="10"/>
    <x v="1"/>
    <m/>
    <x v="0"/>
    <m/>
    <m/>
    <m/>
    <m/>
    <x v="12"/>
    <m/>
    <m/>
    <m/>
    <m/>
  </r>
  <r>
    <x v="1"/>
    <x v="1"/>
    <s v="Asia"/>
    <s v="Comprehensive Strategic Cooperative Partnership [全面战略合作伙伴关系]"/>
    <x v="3"/>
    <s v="INDOPACOM"/>
    <x v="5"/>
    <x v="23"/>
    <n v="5"/>
    <s v="BL - Hosted"/>
    <s v="Wang Guanzhong"/>
    <m/>
    <s v="GSD DCGS"/>
    <n v="6"/>
    <x v="2"/>
    <s v="Chief of Joint Staff"/>
    <x v="0"/>
    <m/>
    <m/>
    <m/>
    <m/>
    <x v="12"/>
    <m/>
    <m/>
    <m/>
    <m/>
  </r>
  <r>
    <x v="0"/>
    <x v="7"/>
    <s v="West Asia and Africa"/>
    <s v="No Specific Relationship"/>
    <x v="1"/>
    <s v="AFRICOM"/>
    <x v="85"/>
    <x v="23"/>
    <n v="5"/>
    <s v="Port Call - Friendly Visit"/>
    <m/>
    <m/>
    <m/>
    <m/>
    <x v="0"/>
    <m/>
    <x v="0"/>
    <m/>
    <m/>
    <m/>
    <s v="ETF"/>
    <x v="59"/>
    <s v="North Sea Fleet"/>
    <s v="FFG546 Yancheng, FF527 Luoyang, AOR889 Tai Hu"/>
    <m/>
    <m/>
  </r>
  <r>
    <x v="1"/>
    <x v="2"/>
    <s v="America and Oceania"/>
    <s v="No Specific Relationship"/>
    <x v="2"/>
    <s v="NORTHCOM"/>
    <x v="4"/>
    <x v="23"/>
    <n v="5"/>
    <s v="BL - Abroad"/>
    <s v="Fang Fenghui"/>
    <m/>
    <s v="GSD Commander; CMC Member"/>
    <n v="8"/>
    <x v="1"/>
    <s v="CJCS Dempsey"/>
    <x v="0"/>
    <m/>
    <m/>
    <m/>
    <m/>
    <x v="12"/>
    <m/>
    <m/>
    <s v="2015 CH Mil Power Report"/>
    <m/>
  </r>
  <r>
    <x v="1"/>
    <x v="1"/>
    <s v="Asia"/>
    <s v="Comprehensive Strategic Cooperative Partnership [全面战略合作伙伴关系]"/>
    <x v="0"/>
    <s v="INDOPACOM"/>
    <x v="23"/>
    <x v="23"/>
    <n v="5"/>
    <s v="BL - Abroad"/>
    <s v="Chang Wanquan"/>
    <m/>
    <s v="Defense Minister; CMC Member"/>
    <n v="8"/>
    <x v="1"/>
    <m/>
    <x v="0"/>
    <m/>
    <m/>
    <m/>
    <m/>
    <x v="12"/>
    <m/>
    <m/>
    <m/>
    <m/>
  </r>
  <r>
    <x v="0"/>
    <x v="7"/>
    <s v="West Asia and Africa"/>
    <s v="Strategic Partnership [战略伙伴关系]"/>
    <x v="0"/>
    <s v="AFRICOM"/>
    <x v="76"/>
    <x v="23"/>
    <n v="6"/>
    <s v="Port Call - Friendly Visit"/>
    <m/>
    <m/>
    <m/>
    <m/>
    <x v="0"/>
    <m/>
    <x v="0"/>
    <m/>
    <m/>
    <m/>
    <s v="ETF"/>
    <x v="59"/>
    <s v="North Sea Fleet"/>
    <s v="FFG546 Yancheng, FF527 Luoyang, AOR889 Tai Hu"/>
    <m/>
    <m/>
  </r>
  <r>
    <x v="0"/>
    <x v="7"/>
    <s v="West Asia and Africa"/>
    <s v="Strategic Partnership [战略伙伴关系]"/>
    <x v="0"/>
    <s v="AFRICOM"/>
    <x v="105"/>
    <x v="23"/>
    <n v="6"/>
    <s v="Port Call - Friendly Visit"/>
    <m/>
    <m/>
    <m/>
    <m/>
    <x v="0"/>
    <m/>
    <x v="0"/>
    <m/>
    <m/>
    <m/>
    <s v="ETF"/>
    <x v="59"/>
    <s v="North Sea Fleet"/>
    <s v="FFG546 Yancheng, FF527 Luoyang, AOR889 Tai Hu"/>
    <m/>
    <m/>
  </r>
  <r>
    <x v="1"/>
    <x v="5"/>
    <s v="America and Oceania"/>
    <s v="Comprehensive Strategic Partnership [全面战略伙伴关系]"/>
    <x v="4"/>
    <s v="INDOPACOM"/>
    <x v="12"/>
    <x v="23"/>
    <n v="6"/>
    <s v="BL - Hosted"/>
    <s v="Xu Qiliang"/>
    <m/>
    <s v="CMC Vice Chairman"/>
    <n v="10"/>
    <x v="2"/>
    <s v="Air Force Chief"/>
    <x v="0"/>
    <m/>
    <m/>
    <m/>
    <m/>
    <x v="12"/>
    <m/>
    <m/>
    <m/>
    <m/>
  </r>
  <r>
    <x v="1"/>
    <x v="1"/>
    <s v="Asia"/>
    <s v="No Specific Relationship"/>
    <x v="0"/>
    <s v="INDOPACOM"/>
    <x v="44"/>
    <x v="23"/>
    <n v="6"/>
    <s v="BL - Abroad"/>
    <s v="Chang Wanquan"/>
    <m/>
    <s v="Defense Minister; CMC Member"/>
    <n v="8"/>
    <x v="1"/>
    <m/>
    <x v="0"/>
    <m/>
    <m/>
    <m/>
    <m/>
    <x v="12"/>
    <m/>
    <m/>
    <m/>
    <m/>
  </r>
  <r>
    <x v="2"/>
    <x v="7"/>
    <s v="West Asia and Africa"/>
    <s v="Friendly Cooperative Relationship [友好合作关系]"/>
    <x v="0"/>
    <s v="AFRICOM"/>
    <x v="65"/>
    <x v="23"/>
    <n v="6"/>
    <s v="Military Exercise - Bilateral"/>
    <m/>
    <m/>
    <m/>
    <m/>
    <x v="0"/>
    <m/>
    <x v="4"/>
    <s v="None"/>
    <s v="Navy"/>
    <s v="anti-piracy drill"/>
    <m/>
    <x v="12"/>
    <m/>
    <m/>
    <m/>
    <m/>
  </r>
  <r>
    <x v="0"/>
    <x v="7"/>
    <s v="West Asia and Africa"/>
    <s v="Friendly Cooperative Relationship [友好合作关系]"/>
    <x v="0"/>
    <s v="AFRICOM"/>
    <x v="65"/>
    <x v="23"/>
    <n v="6"/>
    <s v="Port Call - Friendly Visit"/>
    <m/>
    <m/>
    <m/>
    <m/>
    <x v="0"/>
    <m/>
    <x v="0"/>
    <m/>
    <m/>
    <m/>
    <s v="ETF"/>
    <x v="59"/>
    <s v="North Sea Fleet"/>
    <s v="FFG546 Yancheng, FF527 Luoyang, AOR889 Tai Hu"/>
    <m/>
    <m/>
  </r>
  <r>
    <x v="1"/>
    <x v="7"/>
    <s v="West Asia and Africa"/>
    <s v="Comprehensive Strategic Partnership [全面战略伙伴关系]"/>
    <x v="0"/>
    <s v="AFRICOM"/>
    <x v="127"/>
    <x v="23"/>
    <n v="6"/>
    <s v="BL - Hosted"/>
    <s v="Xu Qiliang"/>
    <m/>
    <s v="CMC Vice Chairman"/>
    <n v="10"/>
    <x v="2"/>
    <s v="Deputy Prime Minister and Concurrent Defense Minister"/>
    <x v="0"/>
    <m/>
    <m/>
    <m/>
    <m/>
    <x v="12"/>
    <m/>
    <m/>
    <m/>
    <m/>
  </r>
  <r>
    <x v="1"/>
    <x v="1"/>
    <s v="Asia"/>
    <s v="No Specific Relationship"/>
    <x v="0"/>
    <s v="INDOPACOM"/>
    <x v="137"/>
    <x v="23"/>
    <n v="6"/>
    <s v="ML - Abroad"/>
    <s v="Wang Guanzhong"/>
    <m/>
    <s v="GSD DCGS"/>
    <n v="6"/>
    <x v="1"/>
    <s v="13th Shangri-La Dialogue"/>
    <x v="0"/>
    <m/>
    <m/>
    <m/>
    <m/>
    <x v="12"/>
    <m/>
    <m/>
    <m/>
    <m/>
  </r>
  <r>
    <x v="2"/>
    <x v="1"/>
    <s v="Asia"/>
    <s v="Comprehensive Strategic Partnership [全面战略伙伴关系]"/>
    <x v="0"/>
    <s v="INDOPACOM"/>
    <x v="8"/>
    <x v="23"/>
    <n v="6"/>
    <s v="Military Exercise - Bilateral"/>
    <m/>
    <m/>
    <m/>
    <m/>
    <x v="0"/>
    <m/>
    <x v="2"/>
    <s v="None"/>
    <s v="Navy"/>
    <s v="CUES drill with Indonesian patrol boat; communications exercise only"/>
    <m/>
    <x v="12"/>
    <m/>
    <m/>
    <m/>
    <m/>
  </r>
  <r>
    <x v="1"/>
    <x v="4"/>
    <s v="Asia"/>
    <s v="Mutually Beneficial Strategic Relationship [战略互惠关系]"/>
    <x v="3"/>
    <s v="INDOPACOM"/>
    <x v="83"/>
    <x v="23"/>
    <n v="6"/>
    <s v="BL - Hosted"/>
    <s v="Zhang Yang"/>
    <m/>
    <s v="GPD Director; CMC Member"/>
    <n v="8"/>
    <x v="2"/>
    <s v="Japan-China Political and Economic Forum "/>
    <x v="0"/>
    <m/>
    <m/>
    <m/>
    <m/>
    <x v="12"/>
    <m/>
    <m/>
    <m/>
    <m/>
  </r>
  <r>
    <x v="1"/>
    <x v="1"/>
    <s v="Asia"/>
    <s v="Comprehensive Strategic Cooperative Partnership [全面战略合作伙伴关系]"/>
    <x v="0"/>
    <s v="INDOPACOM"/>
    <x v="1"/>
    <x v="23"/>
    <n v="6"/>
    <s v="ML - Margins"/>
    <s v="Wang Guanzhong"/>
    <m/>
    <s v="GSD DCGS"/>
    <n v="6"/>
    <x v="1"/>
    <m/>
    <x v="0"/>
    <m/>
    <m/>
    <m/>
    <m/>
    <x v="12"/>
    <m/>
    <m/>
    <m/>
    <m/>
  </r>
  <r>
    <x v="0"/>
    <x v="7"/>
    <s v="West Asia and Africa"/>
    <s v="No Specific Relationship"/>
    <x v="0"/>
    <s v="AFRICOM"/>
    <x v="69"/>
    <x v="23"/>
    <n v="6"/>
    <s v="Port Call - Friendly Visit"/>
    <m/>
    <m/>
    <m/>
    <m/>
    <x v="0"/>
    <m/>
    <x v="0"/>
    <m/>
    <m/>
    <m/>
    <s v="ETF"/>
    <x v="59"/>
    <s v="North Sea Fleet"/>
    <s v="FFG546 Yancheng, FF527 Luoyang, AOR889 Tai Hu"/>
    <m/>
    <m/>
  </r>
  <r>
    <x v="2"/>
    <x v="7"/>
    <s v="West Asia and Africa"/>
    <s v="No Specific Relationship"/>
    <x v="0"/>
    <s v="AFRICOM"/>
    <x v="69"/>
    <x v="23"/>
    <n v="6"/>
    <s v="Military Exercise - Bilateral"/>
    <m/>
    <m/>
    <m/>
    <m/>
    <x v="0"/>
    <m/>
    <x v="2"/>
    <s v="None"/>
    <s v="Navy"/>
    <s v="communication and fleet formation"/>
    <m/>
    <x v="12"/>
    <m/>
    <m/>
    <m/>
    <m/>
  </r>
  <r>
    <x v="1"/>
    <x v="0"/>
    <s v="Asia"/>
    <s v="Strategic Partnership [战略伙伴关系]"/>
    <x v="1"/>
    <s v="CENTCOM"/>
    <x v="2"/>
    <x v="23"/>
    <n v="6"/>
    <s v="BL - Hosted"/>
    <s v="Fan Changlong"/>
    <m/>
    <s v="CMC Vice Chairman"/>
    <n v="10"/>
    <x v="2"/>
    <s v="Chief of Army Staff"/>
    <x v="0"/>
    <m/>
    <m/>
    <m/>
    <m/>
    <x v="12"/>
    <m/>
    <m/>
    <m/>
    <m/>
  </r>
  <r>
    <x v="1"/>
    <x v="3"/>
    <s v="Europe and Central Asia"/>
    <s v="Comprehensive Collaborative Strategic Partnership [全面战略协作伙伴关系]"/>
    <x v="0"/>
    <s v="EUCOM"/>
    <x v="7"/>
    <x v="23"/>
    <n v="6"/>
    <s v="BL - Abroad"/>
    <s v="Zhang Youxia"/>
    <m/>
    <s v="GAD Director; CMC Member"/>
    <n v="8"/>
    <x v="1"/>
    <m/>
    <x v="0"/>
    <m/>
    <m/>
    <m/>
    <m/>
    <x v="12"/>
    <m/>
    <m/>
    <m/>
    <m/>
  </r>
  <r>
    <x v="1"/>
    <x v="1"/>
    <s v="Asia"/>
    <s v="No Specific Relationship"/>
    <x v="0"/>
    <s v="INDOPACOM"/>
    <x v="39"/>
    <x v="23"/>
    <n v="6"/>
    <s v="BL - Abroad"/>
    <s v="Wang Guanzhong"/>
    <m/>
    <s v="GSD DCGS"/>
    <n v="6"/>
    <x v="1"/>
    <m/>
    <x v="0"/>
    <m/>
    <m/>
    <m/>
    <m/>
    <x v="12"/>
    <m/>
    <m/>
    <s v="https://www.mindef.gov.sg/oms/imindef/resourcelibrary/cyberpioneer/topics/articles/news/2015/may/25may15_news.html#.W37d9iAnYdU"/>
    <m/>
  </r>
  <r>
    <x v="0"/>
    <x v="7"/>
    <s v="West Asia and Africa"/>
    <s v="Comprehensive Strategic Partnership [全面战略伙伴关系]"/>
    <x v="0"/>
    <s v="AFRICOM"/>
    <x v="15"/>
    <x v="23"/>
    <n v="6"/>
    <s v="Port Call - Friendly Visit"/>
    <m/>
    <m/>
    <m/>
    <m/>
    <x v="0"/>
    <m/>
    <x v="0"/>
    <m/>
    <m/>
    <m/>
    <s v="ETF"/>
    <x v="59"/>
    <s v="North Sea Fleet"/>
    <s v="FFG546 Yancheng, FF527 Luoyang, AOR889 Tai Hu"/>
    <m/>
    <m/>
  </r>
  <r>
    <x v="1"/>
    <x v="4"/>
    <s v="Asia"/>
    <s v="Strategic Cooperative Partnership [战略合作伙伴关系]"/>
    <x v="3"/>
    <s v="INDOPACOM"/>
    <x v="25"/>
    <x v="23"/>
    <n v="6"/>
    <s v="BL - Hosted"/>
    <s v="Sun Jianguo"/>
    <m/>
    <s v="GSD DCGS"/>
    <n v="6"/>
    <x v="2"/>
    <s v="Delegation for CIISS; Retired Generals and Admirals Association"/>
    <x v="0"/>
    <m/>
    <m/>
    <m/>
    <m/>
    <x v="12"/>
    <m/>
    <m/>
    <m/>
    <m/>
  </r>
  <r>
    <x v="1"/>
    <x v="1"/>
    <s v="Asia"/>
    <s v="Comprehensive Strategic Cooperative Partnership [全面战略合作伙伴关系]"/>
    <x v="3"/>
    <s v="INDOPACOM"/>
    <x v="5"/>
    <x v="23"/>
    <n v="6"/>
    <s v="BL - Hosted"/>
    <s v="Wang Guanzhong"/>
    <m/>
    <s v="GSD DCGS"/>
    <n v="6"/>
    <x v="2"/>
    <m/>
    <x v="0"/>
    <m/>
    <m/>
    <m/>
    <m/>
    <x v="12"/>
    <m/>
    <m/>
    <m/>
    <m/>
  </r>
  <r>
    <x v="1"/>
    <x v="5"/>
    <s v="America and Oceania"/>
    <s v="Comprehensive Strategic Partnership [全面战略伙伴关系]"/>
    <x v="4"/>
    <s v="INDOPACOM"/>
    <x v="12"/>
    <x v="23"/>
    <n v="7"/>
    <s v="BL - Abroad"/>
    <s v="Fan Changlong"/>
    <m/>
    <s v="CMC Vice Chairman"/>
    <n v="10"/>
    <x v="1"/>
    <m/>
    <x v="0"/>
    <m/>
    <m/>
    <m/>
    <m/>
    <x v="12"/>
    <m/>
    <m/>
    <m/>
    <m/>
  </r>
  <r>
    <x v="1"/>
    <x v="10"/>
    <s v="America and Oceania"/>
    <s v="Comprehensive Cooperative Partnership [全面合作伙伴关系]"/>
    <x v="0"/>
    <s v="SOUTHCOM"/>
    <x v="159"/>
    <x v="23"/>
    <n v="7"/>
    <s v="ML - Hosted"/>
    <s v="Wang Guanzhong"/>
    <m/>
    <s v="GSD DCGS"/>
    <n v="6"/>
    <x v="2"/>
    <s v="Second China-Latin America Defense Forum"/>
    <x v="0"/>
    <m/>
    <m/>
    <m/>
    <m/>
    <x v="12"/>
    <m/>
    <m/>
    <s v="http://eng.chinamil.com.cn/news-channels/china-military-news/2014-07/22/content_6058546.htm"/>
    <m/>
  </r>
  <r>
    <x v="0"/>
    <x v="9"/>
    <s v="West Asia and Africa"/>
    <s v="No Specific Relationship"/>
    <x v="0"/>
    <s v="CENTCOM"/>
    <x v="119"/>
    <x v="23"/>
    <n v="7"/>
    <s v="Port Call - Replenish/Overhaul"/>
    <m/>
    <m/>
    <m/>
    <m/>
    <x v="0"/>
    <m/>
    <x v="0"/>
    <m/>
    <m/>
    <m/>
    <s v="ETF"/>
    <x v="61"/>
    <s v="North Sea Fleet"/>
    <s v="FFG546 Yancheng, FF527 Luoyang, AOR889 Tai Hu; unknown, could also be ETF-17"/>
    <m/>
    <m/>
  </r>
  <r>
    <x v="2"/>
    <x v="8"/>
    <s v="Europe and Central Asia"/>
    <s v="Comprehensive Cooperative Partnership [全面合作伙伴关系]"/>
    <x v="0"/>
    <s v="EUCOM"/>
    <x v="158"/>
    <x v="23"/>
    <n v="7"/>
    <s v="Military Exercise - Multilateral"/>
    <m/>
    <m/>
    <m/>
    <m/>
    <x v="0"/>
    <m/>
    <x v="4"/>
    <s v="Venus No. 2"/>
    <s v="Navy"/>
    <s v="anti-piracy drill with EU CTF 465"/>
    <m/>
    <x v="12"/>
    <m/>
    <m/>
    <m/>
    <m/>
  </r>
  <r>
    <x v="0"/>
    <x v="5"/>
    <s v="America and Oceania"/>
    <s v="Strategic Partnership [战略伙伴关系]"/>
    <x v="0"/>
    <s v="INDOPACOM"/>
    <x v="128"/>
    <x v="23"/>
    <n v="7"/>
    <s v="Port Call - HADR/Friendly"/>
    <m/>
    <m/>
    <m/>
    <m/>
    <x v="0"/>
    <m/>
    <x v="0"/>
    <m/>
    <m/>
    <m/>
    <s v="NETF"/>
    <x v="62"/>
    <s v="East Sea Fleet"/>
    <s v="post-RIMPAC 2014; PLA FR XJP draft p. 26"/>
    <m/>
    <s v="Coded as Oceania instead of Southeast Asia"/>
  </r>
  <r>
    <x v="1"/>
    <x v="1"/>
    <s v="Asia"/>
    <s v="Comprehensive Strategic Partnership [全面战略伙伴关系]"/>
    <x v="0"/>
    <s v="INDOPACOM"/>
    <x v="8"/>
    <x v="23"/>
    <n v="7"/>
    <s v="BL - Abroad"/>
    <s v="Fan Changlong"/>
    <m/>
    <s v="CMC Vice Chairman"/>
    <n v="10"/>
    <x v="1"/>
    <m/>
    <x v="0"/>
    <m/>
    <m/>
    <m/>
    <m/>
    <x v="12"/>
    <m/>
    <m/>
    <m/>
    <m/>
  </r>
  <r>
    <x v="1"/>
    <x v="8"/>
    <s v="Europe and Central Asia"/>
    <s v="Comprehensive Strategic Partnership [全面战略伙伴关系]"/>
    <x v="5"/>
    <s v="EUCOM"/>
    <x v="20"/>
    <x v="23"/>
    <n v="7"/>
    <s v="BL - Hosted"/>
    <s v="Xu Qiliang"/>
    <m/>
    <s v="CMC Vice Chairman"/>
    <n v="10"/>
    <x v="2"/>
    <s v="Secretary General of Defense and Director of Armaments"/>
    <x v="0"/>
    <m/>
    <m/>
    <m/>
    <m/>
    <x v="12"/>
    <m/>
    <m/>
    <m/>
    <m/>
  </r>
  <r>
    <x v="1"/>
    <x v="8"/>
    <s v="Europe and Central Asia"/>
    <s v="Comprehensive Cooperative Partnership [全面合作伙伴关系]"/>
    <x v="5"/>
    <s v="EUCOM"/>
    <x v="117"/>
    <x v="23"/>
    <n v="7"/>
    <s v="BL - Abroad"/>
    <s v="Hou Shusen"/>
    <m/>
    <s v="GSD DCGS"/>
    <n v="6"/>
    <x v="1"/>
    <m/>
    <x v="0"/>
    <m/>
    <m/>
    <m/>
    <m/>
    <x v="12"/>
    <m/>
    <m/>
    <m/>
    <m/>
  </r>
  <r>
    <x v="0"/>
    <x v="1"/>
    <s v="America and Oceania"/>
    <s v="Strategic Partnership [战略伙伴关系]"/>
    <x v="0"/>
    <s v="INDOPACOM"/>
    <x v="122"/>
    <x v="23"/>
    <n v="7"/>
    <s v="Port Call - HADR/Friendly"/>
    <m/>
    <m/>
    <m/>
    <m/>
    <x v="0"/>
    <m/>
    <x v="0"/>
    <m/>
    <m/>
    <m/>
    <s v="NETF"/>
    <x v="62"/>
    <s v="East Sea Fleet"/>
    <s v="post-RIMPAC 2014; PLA FR XJP draft p. 26"/>
    <m/>
    <m/>
  </r>
  <r>
    <x v="1"/>
    <x v="8"/>
    <s v="Europe and Central Asia"/>
    <s v="Comprehensive Strategic Partnership [全面战略伙伴关系]"/>
    <x v="5"/>
    <s v="EUCOM"/>
    <x v="48"/>
    <x v="23"/>
    <n v="7"/>
    <s v="BL - Abroad"/>
    <s v="Zhang Yang"/>
    <m/>
    <s v="GPD Director; CMC Member"/>
    <n v="8"/>
    <x v="1"/>
    <m/>
    <x v="0"/>
    <m/>
    <m/>
    <m/>
    <m/>
    <x v="12"/>
    <m/>
    <m/>
    <m/>
    <m/>
  </r>
  <r>
    <x v="1"/>
    <x v="8"/>
    <s v="Europe and Central Asia"/>
    <s v="Comprehensive Friendly Cooperative Partnership [全面友好合作伙伴关系]"/>
    <x v="5"/>
    <s v="EUCOM"/>
    <x v="33"/>
    <x v="23"/>
    <n v="7"/>
    <s v="BL - Abroad"/>
    <s v="Hou Shusen"/>
    <m/>
    <s v="GSD DCGS"/>
    <n v="6"/>
    <x v="1"/>
    <m/>
    <x v="0"/>
    <m/>
    <m/>
    <m/>
    <m/>
    <x v="12"/>
    <m/>
    <m/>
    <m/>
    <m/>
  </r>
  <r>
    <x v="2"/>
    <x v="3"/>
    <s v="Europe and Central Asia"/>
    <s v="Comprehensive Collaborative Strategic Partnership [全面战略协作伙伴关系]"/>
    <x v="0"/>
    <s v="EUCOM"/>
    <x v="7"/>
    <x v="23"/>
    <n v="7"/>
    <s v="Military Exercise - Multilateral"/>
    <m/>
    <m/>
    <m/>
    <m/>
    <x v="0"/>
    <m/>
    <x v="6"/>
    <s v="Aviadarts 2014"/>
    <s v="Air Force"/>
    <s v="Competition. Other countries: Belarus "/>
    <m/>
    <x v="12"/>
    <m/>
    <m/>
    <s v="https://usa.mfa.gov.ua/en/news/22977-zajava-mzs-ukrajini-shhodo-provedennya-rosijsykoju-federacijeju-vijsykovih-navchany-aviadarts-2014"/>
    <m/>
  </r>
  <r>
    <x v="1"/>
    <x v="7"/>
    <s v="West Asia and Africa"/>
    <s v="Comprehensive Strategic Partnership [全面战略伙伴关系]"/>
    <x v="0"/>
    <s v="AFRICOM"/>
    <x v="15"/>
    <x v="23"/>
    <n v="7"/>
    <s v="BL - Abroad"/>
    <s v="Chang Wanquan"/>
    <m/>
    <s v="Defense Minister; CMC Member"/>
    <n v="8"/>
    <x v="1"/>
    <m/>
    <x v="0"/>
    <m/>
    <m/>
    <m/>
    <m/>
    <x v="12"/>
    <m/>
    <m/>
    <m/>
    <m/>
  </r>
  <r>
    <x v="1"/>
    <x v="4"/>
    <s v="Asia"/>
    <s v="Strategic Cooperative Partnership [战略合作伙伴关系]"/>
    <x v="3"/>
    <s v="INDOPACOM"/>
    <x v="25"/>
    <x v="23"/>
    <n v="7"/>
    <s v="BL - Hosted"/>
    <s v="Chang Wanquan"/>
    <m/>
    <s v="Defense Minister; CMC Member"/>
    <n v="8"/>
    <x v="2"/>
    <s v="Vice Defense Minister"/>
    <x v="0"/>
    <m/>
    <m/>
    <m/>
    <m/>
    <x v="12"/>
    <m/>
    <m/>
    <m/>
    <m/>
  </r>
  <r>
    <x v="1"/>
    <x v="8"/>
    <s v="Europe and Central Asia"/>
    <s v="No Specific Relationship"/>
    <x v="0"/>
    <s v="EUCOM"/>
    <x v="78"/>
    <x v="23"/>
    <n v="7"/>
    <s v="BL - Abroad"/>
    <s v="Zhang Yang"/>
    <m/>
    <s v="GPD Director; CMC Member"/>
    <n v="8"/>
    <x v="1"/>
    <m/>
    <x v="0"/>
    <m/>
    <m/>
    <m/>
    <m/>
    <x v="12"/>
    <m/>
    <m/>
    <m/>
    <m/>
  </r>
  <r>
    <x v="1"/>
    <x v="7"/>
    <s v="West Asia and Africa"/>
    <s v="Comprehensive Cooperative Partnership [全面合作伙伴关系]"/>
    <x v="0"/>
    <s v="AFRICOM"/>
    <x v="16"/>
    <x v="23"/>
    <n v="7"/>
    <s v="BL - Abroad"/>
    <s v="Chang Wanquan"/>
    <m/>
    <s v="Defense Minister; CMC Member"/>
    <n v="8"/>
    <x v="1"/>
    <m/>
    <x v="0"/>
    <m/>
    <m/>
    <m/>
    <m/>
    <x v="12"/>
    <m/>
    <m/>
    <m/>
    <m/>
  </r>
  <r>
    <x v="0"/>
    <x v="5"/>
    <s v="America and Oceania"/>
    <s v="Strategic Partnership [战略伙伴关系]"/>
    <x v="0"/>
    <s v="INDOPACOM"/>
    <x v="144"/>
    <x v="23"/>
    <n v="7"/>
    <s v="Port Call - HADR/Friendly"/>
    <m/>
    <m/>
    <m/>
    <m/>
    <x v="0"/>
    <m/>
    <x v="0"/>
    <m/>
    <m/>
    <m/>
    <s v="NETF"/>
    <x v="62"/>
    <s v="East Sea Fleet"/>
    <s v="post-RIMPAC 2014; PLA FR XJP draft p. 26"/>
    <m/>
    <m/>
  </r>
  <r>
    <x v="1"/>
    <x v="8"/>
    <s v="Europe and Central Asia"/>
    <s v="Strategic Cooperative Partnership [战略合作伙伴关系]"/>
    <x v="5"/>
    <s v="EUCOM"/>
    <x v="38"/>
    <x v="23"/>
    <n v="7"/>
    <s v="BL - Hosted"/>
    <s v="Wu Shengli"/>
    <m/>
    <s v="PLAN Commander; CMC Member"/>
    <n v="8"/>
    <x v="2"/>
    <s v="Navy Commander"/>
    <x v="0"/>
    <m/>
    <m/>
    <m/>
    <m/>
    <x v="12"/>
    <m/>
    <m/>
    <m/>
    <m/>
  </r>
  <r>
    <x v="1"/>
    <x v="2"/>
    <s v="America and Oceania"/>
    <s v="No Specific Relationship"/>
    <x v="2"/>
    <s v="NORTHCOM"/>
    <x v="4"/>
    <x v="23"/>
    <n v="7"/>
    <s v="BL - Hosted"/>
    <s v="Wu Shengli"/>
    <m/>
    <s v="PLAN Commander; CMC Member"/>
    <n v="8"/>
    <x v="2"/>
    <s v="Chief of Naval Operations Greenert"/>
    <x v="0"/>
    <m/>
    <m/>
    <m/>
    <m/>
    <x v="12"/>
    <m/>
    <m/>
    <s v="2015 CH Mil Power Report"/>
    <m/>
  </r>
  <r>
    <x v="2"/>
    <x v="2"/>
    <s v="America and Oceania"/>
    <s v="No Specific Relationship"/>
    <x v="2"/>
    <s v="NORTHCOM"/>
    <x v="4"/>
    <x v="23"/>
    <n v="7"/>
    <s v="Military Exercise - Multilateral"/>
    <m/>
    <m/>
    <m/>
    <m/>
    <x v="0"/>
    <m/>
    <x v="3"/>
    <s v="RIMPAC 2014"/>
    <s v="Navy"/>
    <s v="Maritime; HADR; US and other countries' live-fire gunnery"/>
    <m/>
    <x v="12"/>
    <m/>
    <m/>
    <m/>
    <m/>
  </r>
  <r>
    <x v="0"/>
    <x v="5"/>
    <s v="America and Oceania"/>
    <s v="Strategic Partnership [战略伙伴关系]"/>
    <x v="0"/>
    <s v="INDOPACOM"/>
    <x v="120"/>
    <x v="23"/>
    <n v="7"/>
    <s v="Port Call - HADR/Friendly"/>
    <m/>
    <m/>
    <m/>
    <m/>
    <x v="0"/>
    <m/>
    <x v="0"/>
    <m/>
    <m/>
    <m/>
    <s v="NETF"/>
    <x v="62"/>
    <s v="East Sea Fleet"/>
    <s v="post-RIMPAC 2014; PLA FR XJP draft p. 26"/>
    <m/>
    <m/>
  </r>
  <r>
    <x v="1"/>
    <x v="10"/>
    <s v="America and Oceania"/>
    <s v="Comprehensive Strategic Partnership [全面战略伙伴关系]"/>
    <x v="1"/>
    <s v="SOUTHCOM"/>
    <x v="62"/>
    <x v="23"/>
    <n v="8"/>
    <s v="BL - Abroad"/>
    <s v="Zhao Keshi"/>
    <m/>
    <s v="GLD Director; CMC Member"/>
    <n v="8"/>
    <x v="1"/>
    <m/>
    <x v="0"/>
    <m/>
    <m/>
    <m/>
    <m/>
    <x v="12"/>
    <m/>
    <m/>
    <m/>
    <m/>
  </r>
  <r>
    <x v="2"/>
    <x v="5"/>
    <s v="America and Oceania"/>
    <s v="Comprehensive Strategic Partnership [全面战略伙伴关系]"/>
    <x v="4"/>
    <s v="INDOPACOM"/>
    <x v="12"/>
    <x v="23"/>
    <n v="8"/>
    <s v="Military Exercise - Multilateral"/>
    <m/>
    <m/>
    <m/>
    <m/>
    <x v="0"/>
    <m/>
    <x v="5"/>
    <s v="Kakadu 2014"/>
    <s v="Navy"/>
    <s v="PLAN sent observers only. Other countries: Japan, New Zealand, Pakistan, Philippines"/>
    <m/>
    <x v="12"/>
    <m/>
    <m/>
    <m/>
    <m/>
  </r>
  <r>
    <x v="1"/>
    <x v="10"/>
    <s v="America and Oceania"/>
    <s v="Comprehensive Strategic Partnership [全面战略伙伴关系]"/>
    <x v="0"/>
    <s v="SOUTHCOM"/>
    <x v="43"/>
    <x v="23"/>
    <n v="8"/>
    <s v="BL - Abroad"/>
    <s v="Zhao Keshi"/>
    <m/>
    <s v="GLD Director; CMC Member"/>
    <n v="8"/>
    <x v="1"/>
    <m/>
    <x v="0"/>
    <m/>
    <m/>
    <m/>
    <m/>
    <x v="12"/>
    <m/>
    <m/>
    <m/>
    <m/>
  </r>
  <r>
    <x v="1"/>
    <x v="9"/>
    <s v="West Asia and Africa"/>
    <s v="Comprehensive Strategic Partnership [全面战略伙伴关系]"/>
    <x v="1"/>
    <s v="CENTCOM"/>
    <x v="24"/>
    <x v="23"/>
    <n v="8"/>
    <s v="BL - Hosted"/>
    <s v="Chang Wanquan"/>
    <m/>
    <s v="Defense Minister; CMC Member"/>
    <n v="8"/>
    <x v="2"/>
    <s v="Vice Defense Minister"/>
    <x v="0"/>
    <m/>
    <m/>
    <m/>
    <m/>
    <x v="12"/>
    <m/>
    <m/>
    <m/>
    <m/>
  </r>
  <r>
    <x v="1"/>
    <x v="1"/>
    <s v="Asia"/>
    <s v="Comprehensive Strategic Partnership [全面战略伙伴关系]"/>
    <x v="0"/>
    <s v="INDOPACOM"/>
    <x v="8"/>
    <x v="23"/>
    <n v="8"/>
    <s v="BL - Hosted"/>
    <s v="Fan Changlong"/>
    <m/>
    <s v="CMC Vice Chairman"/>
    <n v="10"/>
    <x v="2"/>
    <s v="Deputy Defense Minister"/>
    <x v="0"/>
    <m/>
    <m/>
    <m/>
    <m/>
    <x v="12"/>
    <m/>
    <m/>
    <m/>
    <m/>
  </r>
  <r>
    <x v="1"/>
    <x v="6"/>
    <s v="Europe and Central Asia"/>
    <s v="Comprehensive Strategic Partnership [全面战略伙伴关系]"/>
    <x v="0"/>
    <s v="CENTCOM"/>
    <x v="30"/>
    <x v="23"/>
    <n v="8"/>
    <s v="ML - Margins"/>
    <s v="Fang Fenghui"/>
    <m/>
    <s v="GSD Commander; CMC Member"/>
    <n v="8"/>
    <x v="2"/>
    <s v="First Deputy Minister of Defense and COGS"/>
    <x v="0"/>
    <m/>
    <m/>
    <m/>
    <m/>
    <x v="12"/>
    <m/>
    <m/>
    <m/>
    <m/>
  </r>
  <r>
    <x v="2"/>
    <x v="3"/>
    <s v="Europe and Central Asia"/>
    <s v="Comprehensive Collaborative Strategic Partnership [全面战略协作伙伴关系]"/>
    <x v="0"/>
    <s v="EUCOM"/>
    <x v="7"/>
    <x v="23"/>
    <n v="8"/>
    <s v="Military Exercise - Multilateral"/>
    <m/>
    <m/>
    <m/>
    <m/>
    <x v="0"/>
    <m/>
    <x v="6"/>
    <s v="Tank Biathlon 2014"/>
    <s v="Army"/>
    <s v="Competition; Russia and 11 other countries"/>
    <m/>
    <x v="12"/>
    <m/>
    <m/>
    <m/>
    <m/>
  </r>
  <r>
    <x v="1"/>
    <x v="6"/>
    <s v="Europe and Central Asia"/>
    <s v="Member"/>
    <x v="0"/>
    <s v="CENTCOM"/>
    <x v="14"/>
    <x v="23"/>
    <n v="8"/>
    <s v="ML - Abroad"/>
    <s v="Fang Fenghui"/>
    <m/>
    <s v="GSD Commander; CMC Member"/>
    <n v="8"/>
    <x v="1"/>
    <s v="Third meeting of SCO military chiefs of staff in Beijing"/>
    <x v="0"/>
    <m/>
    <m/>
    <m/>
    <m/>
    <x v="12"/>
    <m/>
    <m/>
    <s v="http://en.sco-russia.ru/news/20140828/1013179153.html  "/>
    <m/>
  </r>
  <r>
    <x v="2"/>
    <x v="6"/>
    <s v="Europe and Central Asia"/>
    <s v="Member"/>
    <x v="0"/>
    <s v="CENTCOM"/>
    <x v="14"/>
    <x v="23"/>
    <n v="8"/>
    <s v="Military Exercise - Multilateral"/>
    <m/>
    <m/>
    <m/>
    <m/>
    <x v="0"/>
    <m/>
    <x v="3"/>
    <s v="Peace Mission 2014"/>
    <s v="Joint"/>
    <s v="Army, Navy, Air Force, SOF; anti-terrorism. Other countries: Russia, Kyrgyzstan, Kazakhstan, Tajikistan. August 24-29"/>
    <m/>
    <x v="12"/>
    <m/>
    <m/>
    <s v="http://eng.mod.gov.cn/DefenseNews/2014-08/28/content_4533185.htm"/>
    <m/>
  </r>
  <r>
    <x v="1"/>
    <x v="7"/>
    <s v="West Asia and Africa"/>
    <s v="Comprehensive Strategic Partnership [全面战略伙伴关系]"/>
    <x v="0"/>
    <s v="AFRICOM"/>
    <x v="15"/>
    <x v="23"/>
    <n v="8"/>
    <s v="BL - Hosted"/>
    <s v="Chang Wanquan"/>
    <m/>
    <s v="Defense Minister; CMC Member"/>
    <n v="8"/>
    <x v="2"/>
    <s v="Chief of the Armed Forces"/>
    <x v="0"/>
    <m/>
    <m/>
    <m/>
    <m/>
    <x v="12"/>
    <m/>
    <m/>
    <m/>
    <m/>
  </r>
  <r>
    <x v="0"/>
    <x v="0"/>
    <s v="Asia"/>
    <s v="Strategic Cooperative Partnership [战略合作伙伴关系]"/>
    <x v="0"/>
    <s v="INDOPACOM"/>
    <x v="3"/>
    <x v="23"/>
    <n v="8"/>
    <s v="Port Call - Replenish/Overhaul"/>
    <m/>
    <m/>
    <m/>
    <m/>
    <x v="0"/>
    <m/>
    <x v="0"/>
    <m/>
    <m/>
    <m/>
    <s v="ETF"/>
    <x v="63"/>
    <s v="East Sea Fleet"/>
    <s v="DDG150 Changchun, FFG549 Changzhou, AOR890 Chao Hu"/>
    <m/>
    <m/>
  </r>
  <r>
    <x v="1"/>
    <x v="6"/>
    <s v="Europe and Central Asia"/>
    <s v="Strategic Partnership [战略伙伴关系]"/>
    <x v="0"/>
    <s v="CENTCOM"/>
    <x v="60"/>
    <x v="23"/>
    <n v="8"/>
    <s v="ML - Margins"/>
    <s v="Fang Fenghui"/>
    <m/>
    <s v="GSD Commander; CMC Member"/>
    <n v="8"/>
    <x v="2"/>
    <s v="First Deputy Minister of Defense and COGS"/>
    <x v="0"/>
    <m/>
    <m/>
    <m/>
    <m/>
    <x v="12"/>
    <m/>
    <m/>
    <m/>
    <m/>
  </r>
  <r>
    <x v="1"/>
    <x v="6"/>
    <s v="Europe and Central Asia"/>
    <s v="Strategic Partnership [战略伙伴关系]"/>
    <x v="0"/>
    <s v="CENTCOM"/>
    <x v="73"/>
    <x v="23"/>
    <n v="8"/>
    <s v="ML - Margins"/>
    <s v="Fang Fenghui"/>
    <m/>
    <s v="GSD Commander; CMC Member"/>
    <n v="8"/>
    <x v="2"/>
    <s v="First Deputy Minister of Defense and COGS"/>
    <x v="0"/>
    <m/>
    <m/>
    <m/>
    <m/>
    <x v="12"/>
    <m/>
    <m/>
    <m/>
    <m/>
  </r>
  <r>
    <x v="1"/>
    <x v="8"/>
    <s v="Europe and Central Asia"/>
    <s v="No Specific Relationship"/>
    <x v="0"/>
    <s v="EUCOM"/>
    <x v="98"/>
    <x v="23"/>
    <n v="9"/>
    <s v="BL - Hosted"/>
    <s v="Xu Qiliang "/>
    <m/>
    <s v="CMC Vice Chairman"/>
    <n v="10"/>
    <x v="2"/>
    <s v="Defense Minister"/>
    <x v="0"/>
    <m/>
    <m/>
    <m/>
    <m/>
    <x v="12"/>
    <m/>
    <m/>
    <m/>
    <m/>
  </r>
  <r>
    <x v="0"/>
    <x v="9"/>
    <s v="West Asia and Africa"/>
    <s v="No Specific Relationship"/>
    <x v="0"/>
    <s v="CENTCOM"/>
    <x v="119"/>
    <x v="23"/>
    <n v="9"/>
    <s v="Port Call - Replenish/Overhaul"/>
    <m/>
    <m/>
    <m/>
    <m/>
    <x v="0"/>
    <m/>
    <x v="0"/>
    <m/>
    <m/>
    <m/>
    <s v="ETF"/>
    <x v="63"/>
    <s v="East Sea Fleet"/>
    <s v="DDG150 Changchun, FFG549 Changzhou, AOR890 Chao Hu"/>
    <m/>
    <m/>
  </r>
  <r>
    <x v="1"/>
    <x v="10"/>
    <s v="America and Oceania"/>
    <s v="No Specific Relationship"/>
    <x v="0"/>
    <s v="SOUTHCOM"/>
    <x v="51"/>
    <x v="23"/>
    <n v="9"/>
    <s v="BL - Hosted"/>
    <s v="Chang Wanquan"/>
    <m/>
    <s v="Defense Minister; CMC Member"/>
    <n v="8"/>
    <x v="2"/>
    <s v="Defense Minister"/>
    <x v="0"/>
    <m/>
    <m/>
    <m/>
    <m/>
    <x v="12"/>
    <m/>
    <m/>
    <m/>
    <m/>
  </r>
  <r>
    <x v="1"/>
    <x v="8"/>
    <s v="Europe and Central Asia"/>
    <s v="Comprehensive Strategic Partnership [全面战略伙伴关系]"/>
    <x v="5"/>
    <s v="EUCOM"/>
    <x v="18"/>
    <x v="23"/>
    <n v="9"/>
    <s v="BL - Hosted"/>
    <s v="Zhao Keshi"/>
    <m/>
    <s v="GLD Director; CMC Member"/>
    <n v="8"/>
    <x v="2"/>
    <s v="Inspector General of Central Medical Service"/>
    <x v="0"/>
    <m/>
    <m/>
    <m/>
    <m/>
    <x v="12"/>
    <m/>
    <m/>
    <m/>
    <m/>
  </r>
  <r>
    <x v="1"/>
    <x v="1"/>
    <s v="Asia"/>
    <s v="Comprehensive Strategic Partnership [全面战略伙伴关系]"/>
    <x v="0"/>
    <s v="INDOPACOM"/>
    <x v="8"/>
    <x v="23"/>
    <n v="9"/>
    <s v="BL - Hosted"/>
    <s v="Fan Changlong"/>
    <m/>
    <s v="CMC Vice Chairman"/>
    <n v="10"/>
    <x v="2"/>
    <s v="Defense Minister"/>
    <x v="0"/>
    <m/>
    <m/>
    <m/>
    <m/>
    <x v="12"/>
    <m/>
    <m/>
    <m/>
    <m/>
  </r>
  <r>
    <x v="0"/>
    <x v="9"/>
    <s v="West Asia and Africa"/>
    <s v="No Specific Relationship"/>
    <x v="0"/>
    <s v="CENTCOM"/>
    <x v="89"/>
    <x v="23"/>
    <n v="9"/>
    <s v="Port Call - Friendly Visit"/>
    <m/>
    <m/>
    <m/>
    <m/>
    <x v="0"/>
    <m/>
    <x v="0"/>
    <m/>
    <m/>
    <m/>
    <s v="ETF"/>
    <x v="63"/>
    <s v="East Sea Fleet"/>
    <s v="DDG150 Changchun, FFG549 Changzhou, AOR890 Chao Hu"/>
    <m/>
    <m/>
  </r>
  <r>
    <x v="0"/>
    <x v="9"/>
    <s v="West Asia and Africa"/>
    <s v="No Specific Relationship"/>
    <x v="1"/>
    <s v="CENTCOM"/>
    <x v="101"/>
    <x v="23"/>
    <n v="9"/>
    <s v="Port Call - Friendly Visit"/>
    <m/>
    <m/>
    <m/>
    <m/>
    <x v="0"/>
    <m/>
    <x v="0"/>
    <m/>
    <m/>
    <m/>
    <s v="ETF"/>
    <x v="63"/>
    <s v="East Sea Fleet"/>
    <s v="DDG150 Changchun, FFG549 Changzhou, AOR890 Chao Hu"/>
    <m/>
    <m/>
  </r>
  <r>
    <x v="1"/>
    <x v="6"/>
    <s v="Europe and Central Asia"/>
    <s v="Comprehensive Strategic Partnership [全面战略伙伴关系]"/>
    <x v="0"/>
    <s v="CENTCOM"/>
    <x v="30"/>
    <x v="23"/>
    <n v="9"/>
    <s v="BL - Hosted"/>
    <s v="Chang Wanquan"/>
    <m/>
    <s v="Defense Minister; CMC Member"/>
    <n v="8"/>
    <x v="2"/>
    <s v="Defense Minister"/>
    <x v="0"/>
    <m/>
    <m/>
    <m/>
    <m/>
    <x v="12"/>
    <m/>
    <m/>
    <m/>
    <m/>
  </r>
  <r>
    <x v="1"/>
    <x v="1"/>
    <s v="Asia"/>
    <s v="Comprehensive Strategic Cooperative Partnership [全面战略合作伙伴关系]"/>
    <x v="0"/>
    <s v="INDOPACOM"/>
    <x v="52"/>
    <x v="23"/>
    <n v="9"/>
    <s v="BL - Hosted"/>
    <s v="Chang Wanquan"/>
    <m/>
    <s v="Defense Minister; CMC Member"/>
    <n v="8"/>
    <x v="2"/>
    <s v="COGS"/>
    <x v="0"/>
    <m/>
    <m/>
    <m/>
    <m/>
    <x v="12"/>
    <m/>
    <m/>
    <m/>
    <m/>
  </r>
  <r>
    <x v="0"/>
    <x v="0"/>
    <s v="Asia"/>
    <s v="Strategic Partnership [战略伙伴关系]"/>
    <x v="1"/>
    <s v="CENTCOM"/>
    <x v="2"/>
    <x v="23"/>
    <n v="9"/>
    <s v="Port Call - Friendly Visit"/>
    <m/>
    <m/>
    <m/>
    <m/>
    <x v="0"/>
    <m/>
    <x v="0"/>
    <m/>
    <m/>
    <m/>
    <s v="ETF"/>
    <x v="63"/>
    <s v="East Sea Fleet"/>
    <s v="DDG150 Changchun, FFG549 Changzhou, AOR890 Chao Hu"/>
    <m/>
    <m/>
  </r>
  <r>
    <x v="1"/>
    <x v="8"/>
    <s v="Europe and Central Asia"/>
    <s v="Strategic Partnership [战略伙伴关系]"/>
    <x v="5"/>
    <s v="EUCOM"/>
    <x v="59"/>
    <x v="23"/>
    <n v="9"/>
    <s v="BL - Abroad"/>
    <s v="Chang Wanquan"/>
    <m/>
    <s v="Defense Minister; CMC Member"/>
    <n v="8"/>
    <x v="1"/>
    <m/>
    <x v="0"/>
    <m/>
    <m/>
    <m/>
    <m/>
    <x v="12"/>
    <m/>
    <m/>
    <m/>
    <m/>
  </r>
  <r>
    <x v="1"/>
    <x v="8"/>
    <s v="Europe and Central Asia"/>
    <s v="Comprehensive Friendly Cooperative Partnership [全面友好合作伙伴关系]"/>
    <x v="5"/>
    <s v="EUCOM"/>
    <x v="33"/>
    <x v="23"/>
    <n v="9"/>
    <s v="BL - Hosted"/>
    <s v="Xu Qiliang "/>
    <m/>
    <s v="CMC Vice Chairman"/>
    <n v="10"/>
    <x v="2"/>
    <s v="Defense Minister"/>
    <x v="0"/>
    <m/>
    <m/>
    <m/>
    <m/>
    <x v="12"/>
    <m/>
    <m/>
    <m/>
    <m/>
  </r>
  <r>
    <x v="1"/>
    <x v="1"/>
    <s v="Asia"/>
    <s v="No Specific Relationship"/>
    <x v="0"/>
    <s v="INDOPACOM"/>
    <x v="39"/>
    <x v="23"/>
    <n v="9"/>
    <s v="BL - Hosted"/>
    <s v="Wang Guanzhong"/>
    <m/>
    <s v="GSD DCGS"/>
    <n v="6"/>
    <x v="2"/>
    <m/>
    <x v="0"/>
    <m/>
    <m/>
    <m/>
    <m/>
    <x v="12"/>
    <m/>
    <m/>
    <m/>
    <m/>
  </r>
  <r>
    <x v="0"/>
    <x v="0"/>
    <s v="Asia"/>
    <s v="Strategic Cooperative Partnership [战略合作伙伴关系]"/>
    <x v="0"/>
    <s v="INDOPACOM"/>
    <x v="3"/>
    <x v="23"/>
    <n v="9"/>
    <s v="Port Call - Replenish/Overhaul"/>
    <m/>
    <m/>
    <m/>
    <m/>
    <x v="0"/>
    <m/>
    <x v="0"/>
    <m/>
    <m/>
    <m/>
    <s v="ETF"/>
    <x v="63"/>
    <s v="East Sea Fleet"/>
    <s v="DDG150 Changchun, FFG549 Changzhou, AOR890 Chao Hu"/>
    <m/>
    <m/>
  </r>
  <r>
    <x v="0"/>
    <x v="0"/>
    <s v="Asia"/>
    <s v="Strategic Cooperative Partnership [战略合作伙伴关系]"/>
    <x v="0"/>
    <s v="INDOPACOM"/>
    <x v="3"/>
    <x v="23"/>
    <n v="9"/>
    <s v="Port Call - Friendly Visit"/>
    <m/>
    <m/>
    <m/>
    <m/>
    <x v="0"/>
    <m/>
    <x v="0"/>
    <m/>
    <m/>
    <m/>
    <s v="NETF"/>
    <x v="64"/>
    <s v="South Sea Fleet"/>
    <s v="PLA FR XJP draft p. 24"/>
    <m/>
    <m/>
  </r>
  <r>
    <x v="1"/>
    <x v="8"/>
    <s v="Europe and Central Asia"/>
    <s v="No Specific Relationship"/>
    <x v="0"/>
    <s v="EUCOM"/>
    <x v="78"/>
    <x v="23"/>
    <n v="9"/>
    <s v="BL - Hosted"/>
    <s v="Chang Wanquan"/>
    <m/>
    <s v="Defense Minister; CMC Member"/>
    <n v="8"/>
    <x v="2"/>
    <s v="Defense Minister"/>
    <x v="0"/>
    <m/>
    <m/>
    <m/>
    <m/>
    <x v="12"/>
    <m/>
    <m/>
    <m/>
    <m/>
  </r>
  <r>
    <x v="0"/>
    <x v="9"/>
    <s v="West Asia and Africa"/>
    <s v="Strategic Partnership [战略伙伴关系]"/>
    <x v="0"/>
    <s v="CENTCOM"/>
    <x v="106"/>
    <x v="23"/>
    <n v="9"/>
    <s v="Port Call - Friendly Visit"/>
    <m/>
    <m/>
    <m/>
    <m/>
    <x v="0"/>
    <m/>
    <x v="0"/>
    <m/>
    <m/>
    <m/>
    <s v="ETF"/>
    <x v="63"/>
    <s v="East Sea Fleet"/>
    <s v="DDG150 Changchun, FFG549 Changzhou, AOR890 Chao Hu"/>
    <m/>
    <m/>
  </r>
  <r>
    <x v="1"/>
    <x v="2"/>
    <s v="America and Oceania"/>
    <s v="No Specific Relationship"/>
    <x v="2"/>
    <s v="NORTHCOM"/>
    <x v="4"/>
    <x v="23"/>
    <n v="9"/>
    <s v="BL - Abroad"/>
    <s v="Huang Guoxian"/>
    <m/>
    <s v="MR Deputy Commander"/>
    <n v="5"/>
    <x v="1"/>
    <s v="PACAF Commander Carlisle"/>
    <x v="0"/>
    <m/>
    <m/>
    <m/>
    <m/>
    <x v="12"/>
    <m/>
    <m/>
    <s v="2015 CH Mil Power Report"/>
    <m/>
  </r>
  <r>
    <x v="1"/>
    <x v="5"/>
    <s v="America and Oceania"/>
    <s v="Comprehensive Strategic Partnership [全面战略伙伴关系]"/>
    <x v="4"/>
    <s v="INDOPACOM"/>
    <x v="12"/>
    <x v="23"/>
    <n v="10"/>
    <s v="BL - Hosted"/>
    <s v="Fan Changlong"/>
    <m/>
    <s v="CMC Vice Chairman"/>
    <n v="10"/>
    <x v="2"/>
    <s v="Defense Minister"/>
    <x v="0"/>
    <m/>
    <m/>
    <m/>
    <m/>
    <x v="12"/>
    <m/>
    <m/>
    <m/>
    <s v="DUPLICATE?"/>
  </r>
  <r>
    <x v="2"/>
    <x v="5"/>
    <s v="America and Oceania"/>
    <s v="Comprehensive Strategic Partnership [全面战略伙伴关系]"/>
    <x v="4"/>
    <s v="INDOPACOM"/>
    <x v="12"/>
    <x v="23"/>
    <n v="10"/>
    <s v="Military Exercise - Multilateral"/>
    <m/>
    <m/>
    <m/>
    <m/>
    <x v="0"/>
    <m/>
    <x v="2"/>
    <s v="Kowari 2014"/>
    <s v="Army"/>
    <s v="Survival skills. Other countries: United States "/>
    <m/>
    <x v="12"/>
    <m/>
    <m/>
    <s v="https://www.army-technology.com/news/newsexercise-kowari-14-concludes-in-australia-4419629/"/>
    <s v="DUPLICATE?"/>
  </r>
  <r>
    <x v="1"/>
    <x v="0"/>
    <s v="Asia"/>
    <s v="Comprehensive Cooperative Partnership [全面合作伙伴关系]"/>
    <x v="0"/>
    <s v="INDOPACOM"/>
    <x v="0"/>
    <x v="23"/>
    <n v="10"/>
    <s v="BL - Hosted"/>
    <s v="Wu Shengli"/>
    <m/>
    <s v="PLAN Commander; CMC Member"/>
    <n v="8"/>
    <x v="2"/>
    <s v="Navy Commander and Chief of Staff"/>
    <x v="0"/>
    <m/>
    <m/>
    <m/>
    <m/>
    <x v="12"/>
    <m/>
    <m/>
    <m/>
    <m/>
  </r>
  <r>
    <x v="1"/>
    <x v="8"/>
    <s v="Europe and Central Asia"/>
    <s v="Comprehensive Cooperative Partnership [全面合作伙伴关系]"/>
    <x v="0"/>
    <s v="EUCOM"/>
    <x v="158"/>
    <x v="23"/>
    <n v="10"/>
    <s v="BL - Hosted"/>
    <s v="Chang Wanquan"/>
    <m/>
    <s v="Defense Minister; CMC Member"/>
    <n v="8"/>
    <x v="2"/>
    <s v="Chairman EU Military Committee"/>
    <x v="0"/>
    <m/>
    <m/>
    <m/>
    <m/>
    <x v="12"/>
    <m/>
    <m/>
    <m/>
    <m/>
  </r>
  <r>
    <x v="1"/>
    <x v="8"/>
    <s v="Europe and Central Asia"/>
    <s v="No Specific Relationship"/>
    <x v="0"/>
    <s v="EUCOM"/>
    <x v="81"/>
    <x v="23"/>
    <n v="10"/>
    <s v="BL - Hosted"/>
    <s v="Xu Qiliang"/>
    <m/>
    <s v="CMC Vice Chairman"/>
    <n v="10"/>
    <x v="2"/>
    <s v="Defense Minister"/>
    <x v="0"/>
    <m/>
    <m/>
    <m/>
    <m/>
    <x v="12"/>
    <m/>
    <m/>
    <m/>
    <m/>
  </r>
  <r>
    <x v="1"/>
    <x v="8"/>
    <s v="Europe and Central Asia"/>
    <s v="Comprehensive Strategic Partnership [全面战略伙伴关系]"/>
    <x v="5"/>
    <s v="EUCOM"/>
    <x v="22"/>
    <x v="23"/>
    <n v="10"/>
    <s v="BL - Hosted"/>
    <s v="Fan Changlong"/>
    <m/>
    <s v="CMC Vice Chairman"/>
    <n v="10"/>
    <x v="2"/>
    <s v="Army Chief of Staff"/>
    <x v="0"/>
    <m/>
    <m/>
    <m/>
    <m/>
    <x v="12"/>
    <m/>
    <m/>
    <m/>
    <m/>
  </r>
  <r>
    <x v="2"/>
    <x v="1"/>
    <s v="Asia"/>
    <s v="Comprehensive Strategic Partnership [全面战略伙伴关系]"/>
    <x v="0"/>
    <s v="INDOPACOM"/>
    <x v="8"/>
    <x v="23"/>
    <n v="10"/>
    <s v="Military Exercise - Bilateral"/>
    <m/>
    <m/>
    <m/>
    <m/>
    <x v="0"/>
    <m/>
    <x v="1"/>
    <s v="Sharp Knife 2014"/>
    <s v="Air Force"/>
    <s v="Airborne forces"/>
    <m/>
    <x v="12"/>
    <m/>
    <m/>
    <m/>
    <m/>
  </r>
  <r>
    <x v="1"/>
    <x v="9"/>
    <s v="West Asia and Africa"/>
    <s v="No Specific Relationship"/>
    <x v="0"/>
    <s v="CENTCOM"/>
    <x v="89"/>
    <x v="23"/>
    <n v="10"/>
    <s v="BL - Hosted"/>
    <s v="Chang Wanquan"/>
    <m/>
    <s v="Defense Minister; CMC Member"/>
    <n v="8"/>
    <x v="2"/>
    <s v="Navy Commander"/>
    <x v="0"/>
    <m/>
    <m/>
    <m/>
    <m/>
    <x v="12"/>
    <m/>
    <m/>
    <m/>
    <m/>
  </r>
  <r>
    <x v="1"/>
    <x v="4"/>
    <s v="Asia"/>
    <s v="Comprehensive Strategic Partnership [全面战略伙伴关系]"/>
    <x v="0"/>
    <s v="INDOPACOM"/>
    <x v="53"/>
    <x v="23"/>
    <n v="10"/>
    <s v="BL - Hosted"/>
    <s v="Sun Jianguo"/>
    <m/>
    <s v="GSD DCGS"/>
    <n v="6"/>
    <x v="2"/>
    <s v="Delegation for CIISS; Retired director of Mongolian Institute of Strategic Studies; former Mongolian Defense Minister"/>
    <x v="0"/>
    <m/>
    <m/>
    <m/>
    <m/>
    <x v="12"/>
    <m/>
    <m/>
    <m/>
    <m/>
  </r>
  <r>
    <x v="0"/>
    <x v="9"/>
    <s v="West Asia and Africa"/>
    <s v="No Specific Relationship"/>
    <x v="0"/>
    <s v="CENTCOM"/>
    <x v="147"/>
    <x v="23"/>
    <n v="10"/>
    <s v="Port Call - Replenish/Overhaul"/>
    <m/>
    <m/>
    <m/>
    <m/>
    <x v="0"/>
    <m/>
    <x v="0"/>
    <m/>
    <m/>
    <m/>
    <s v="ETF"/>
    <x v="63"/>
    <s v="East Sea Fleet"/>
    <s v="DDG150 Changchun, FFG549 Changzhou, AOR890 Chao Hu"/>
    <m/>
    <m/>
  </r>
  <r>
    <x v="2"/>
    <x v="3"/>
    <s v="Europe and Central Asia"/>
    <s v="Comprehensive Collaborative Strategic Partnership [全面战略协作伙伴关系]"/>
    <x v="0"/>
    <s v="EUCOM"/>
    <x v="7"/>
    <x v="23"/>
    <n v="10"/>
    <s v="Military Exercise - Bilateral"/>
    <m/>
    <m/>
    <m/>
    <m/>
    <x v="0"/>
    <m/>
    <x v="1"/>
    <s v="Lijian (Sharp Sword) 2014"/>
    <s v="PAP"/>
    <s v="Manzhouli drill; anti-terror and riot control"/>
    <m/>
    <x v="12"/>
    <m/>
    <m/>
    <s v="http://cc.pacforum.org/2015/01/russias-pride-chinas-power/"/>
    <m/>
  </r>
  <r>
    <x v="1"/>
    <x v="1"/>
    <s v="Asia"/>
    <s v="No Specific Relationship"/>
    <x v="0"/>
    <s v="INDOPACOM"/>
    <x v="39"/>
    <x v="23"/>
    <n v="10"/>
    <s v="BL - Hosted"/>
    <s v="Fan Changlong"/>
    <m/>
    <s v="CMC Vice Chairman"/>
    <n v="10"/>
    <x v="2"/>
    <s v="Deputy Prime Minister and Coordinating Minister for National Security"/>
    <x v="0"/>
    <m/>
    <m/>
    <m/>
    <m/>
    <x v="12"/>
    <m/>
    <m/>
    <m/>
    <m/>
  </r>
  <r>
    <x v="0"/>
    <x v="1"/>
    <s v="Asia"/>
    <s v="No Specific Relationship"/>
    <x v="0"/>
    <s v="INDOPACOM"/>
    <x v="39"/>
    <x v="23"/>
    <n v="10"/>
    <s v="Port Call - Replenish/Overhaul and Friendly Visit"/>
    <m/>
    <m/>
    <m/>
    <m/>
    <x v="0"/>
    <m/>
    <x v="0"/>
    <m/>
    <m/>
    <m/>
    <s v="ETF"/>
    <x v="63"/>
    <s v="East Sea Fleet"/>
    <s v="DDG150 Changchun, FFG549 Changzhou, AOR890 Chao Hu"/>
    <m/>
    <m/>
  </r>
  <r>
    <x v="0"/>
    <x v="0"/>
    <s v="Asia"/>
    <s v="Strategic Cooperative Partnership [战略合作伙伴关系]"/>
    <x v="0"/>
    <s v="INDOPACOM"/>
    <x v="3"/>
    <x v="23"/>
    <n v="10"/>
    <s v="Port Call - Replenish/Overhaul"/>
    <m/>
    <m/>
    <m/>
    <m/>
    <x v="0"/>
    <m/>
    <x v="0"/>
    <m/>
    <m/>
    <m/>
    <s v="ETF"/>
    <x v="63"/>
    <s v="East Sea Fleet"/>
    <s v="DDG150 Changchun, FFG549 Changzhou, AOR890 Chao Hu"/>
    <m/>
    <m/>
  </r>
  <r>
    <x v="1"/>
    <x v="7"/>
    <s v="West Asia and Africa"/>
    <s v="No Specific Relationship"/>
    <x v="0"/>
    <s v="AFRICOM"/>
    <x v="74"/>
    <x v="23"/>
    <n v="10"/>
    <s v="BL - Hosted"/>
    <s v="Xu Qiliang"/>
    <m/>
    <s v="CMC Vice Chairman"/>
    <n v="10"/>
    <x v="2"/>
    <s v="Defense Minister"/>
    <x v="0"/>
    <m/>
    <m/>
    <m/>
    <m/>
    <x v="12"/>
    <m/>
    <m/>
    <m/>
    <m/>
  </r>
  <r>
    <x v="2"/>
    <x v="7"/>
    <s v="West Asia and Africa"/>
    <s v="Comprehensive Cooperative Partnership [全面合作伙伴关系]"/>
    <x v="0"/>
    <s v="AFRICOM"/>
    <x v="16"/>
    <x v="23"/>
    <n v="10"/>
    <s v="Military Exercise - Bilateral"/>
    <m/>
    <m/>
    <m/>
    <m/>
    <x v="0"/>
    <m/>
    <x v="1"/>
    <s v="Beyond 2014"/>
    <s v="Navy"/>
    <s v="marines; counter-terrorism scenario; &quot;marine tactics&quot; plus anti-piracy"/>
    <m/>
    <x v="12"/>
    <m/>
    <m/>
    <s v="http://www.fahamu.org/ep_articles/china-and-tanzania-conclude-historic-naval-exercise/"/>
    <m/>
  </r>
  <r>
    <x v="1"/>
    <x v="10"/>
    <s v="America and Oceania"/>
    <s v="Comprehensive Cooperative Partnership [全面合作伙伴关系]"/>
    <x v="0"/>
    <s v="SOUTHCOM"/>
    <x v="75"/>
    <x v="23"/>
    <n v="10"/>
    <s v="BL - Abroad"/>
    <s v="Wang Guanzhong"/>
    <m/>
    <s v="GSD DCGS"/>
    <n v="6"/>
    <x v="1"/>
    <m/>
    <x v="0"/>
    <m/>
    <m/>
    <m/>
    <m/>
    <x v="12"/>
    <m/>
    <m/>
    <m/>
    <m/>
  </r>
  <r>
    <x v="1"/>
    <x v="2"/>
    <s v="America and Oceania"/>
    <s v="No Specific Relationship"/>
    <x v="2"/>
    <s v="NORTHCOM"/>
    <x v="4"/>
    <x v="23"/>
    <n v="10"/>
    <s v="BL - Abroad"/>
    <s v="Wang Guanzhong"/>
    <m/>
    <s v="GSD DCGS"/>
    <n v="6"/>
    <x v="1"/>
    <s v="USD(P) Wormouth"/>
    <x v="0"/>
    <m/>
    <m/>
    <m/>
    <m/>
    <x v="12"/>
    <m/>
    <m/>
    <s v="2015 CH Mil Power Report"/>
    <s v="15th DCTs; also met with DEP SECDEF and VCJS"/>
  </r>
  <r>
    <x v="1"/>
    <x v="1"/>
    <s v="Asia"/>
    <s v="Comprehensive Strategic Cooperative Partnership [全面战略合作伙伴关系]"/>
    <x v="0"/>
    <s v="INDOPACOM"/>
    <x v="23"/>
    <x v="23"/>
    <n v="10"/>
    <s v="BL - Hosted"/>
    <s v="Chang Wanquan"/>
    <m/>
    <s v="Defense Minister; CMC Member"/>
    <n v="8"/>
    <x v="2"/>
    <s v="Defense Minister"/>
    <x v="0"/>
    <m/>
    <m/>
    <m/>
    <m/>
    <x v="12"/>
    <m/>
    <m/>
    <m/>
    <m/>
  </r>
  <r>
    <x v="1"/>
    <x v="7"/>
    <s v="West Asia and Africa"/>
    <s v="No Specific Relationship"/>
    <x v="0"/>
    <s v="AFRICOM"/>
    <x v="86"/>
    <x v="23"/>
    <n v="10"/>
    <s v="BL - Hosted"/>
    <s v="Chang Wanquan"/>
    <m/>
    <s v="Defense Minister; CMC Member"/>
    <n v="8"/>
    <x v="2"/>
    <s v="Defense Minister"/>
    <x v="0"/>
    <m/>
    <m/>
    <m/>
    <m/>
    <x v="12"/>
    <m/>
    <m/>
    <m/>
    <m/>
  </r>
  <r>
    <x v="1"/>
    <x v="8"/>
    <s v="Europe and Central Asia"/>
    <s v="Comprehensive Strategic Partnership [全面战略伙伴关系]"/>
    <x v="0"/>
    <s v="EUCOM"/>
    <x v="34"/>
    <x v="23"/>
    <n v="11"/>
    <s v="BL - Abroad"/>
    <s v="Wang Guanzhong"/>
    <m/>
    <s v="GSD DCGS"/>
    <n v="6"/>
    <x v="1"/>
    <m/>
    <x v="0"/>
    <m/>
    <m/>
    <m/>
    <m/>
    <x v="12"/>
    <m/>
    <m/>
    <m/>
    <m/>
  </r>
  <r>
    <x v="1"/>
    <x v="10"/>
    <s v="America and Oceania"/>
    <s v="Comprehensive Strategic Partnership [全面战略伙伴关系]"/>
    <x v="0"/>
    <s v="SOUTHCOM"/>
    <x v="43"/>
    <x v="23"/>
    <n v="11"/>
    <s v="BL - Hosted"/>
    <s v="Fan Changlong"/>
    <m/>
    <s v="CMC Vice Chairman"/>
    <n v="10"/>
    <x v="2"/>
    <s v="Chief of the Joint Staff"/>
    <x v="0"/>
    <m/>
    <m/>
    <m/>
    <m/>
    <x v="12"/>
    <m/>
    <m/>
    <m/>
    <m/>
  </r>
  <r>
    <x v="1"/>
    <x v="1"/>
    <s v="Asia"/>
    <s v="Comprehensive Strategic Cooperative Partnership [全面战略合作伙伴关系]"/>
    <x v="0"/>
    <s v="INDOPACOM"/>
    <x v="94"/>
    <x v="23"/>
    <n v="11"/>
    <s v="BL - Hosted"/>
    <s v="Xu Qiliang"/>
    <m/>
    <s v="CMC Vice Chairman"/>
    <n v="10"/>
    <x v="2"/>
    <s v="CinC Armed Forces"/>
    <x v="0"/>
    <m/>
    <m/>
    <m/>
    <m/>
    <x v="12"/>
    <m/>
    <m/>
    <m/>
    <m/>
  </r>
  <r>
    <x v="1"/>
    <x v="2"/>
    <s v="America and Oceania"/>
    <s v="Strategic Partnership [战略伙伴关系]"/>
    <x v="5"/>
    <s v="NORTHCOM"/>
    <x v="17"/>
    <x v="23"/>
    <n v="11"/>
    <s v="BL - Hosted"/>
    <s v="Ma Xiaotian"/>
    <m/>
    <s v="PLAAF Commander; CMC Member"/>
    <n v="8"/>
    <x v="2"/>
    <s v="Air Force Commander"/>
    <x v="0"/>
    <m/>
    <m/>
    <m/>
    <m/>
    <x v="12"/>
    <m/>
    <m/>
    <m/>
    <m/>
  </r>
  <r>
    <x v="0"/>
    <x v="9"/>
    <s v="West Asia and Africa"/>
    <s v="No Specific Relationship"/>
    <x v="0"/>
    <s v="CENTCOM"/>
    <x v="119"/>
    <x v="23"/>
    <n v="11"/>
    <s v="Port Call - Replenish/Overhaul"/>
    <m/>
    <m/>
    <m/>
    <m/>
    <x v="0"/>
    <m/>
    <x v="0"/>
    <m/>
    <m/>
    <m/>
    <s v="ETF"/>
    <x v="65"/>
    <s v="South Sea Fleet"/>
    <s v="LPD989 Changbai Shan, FFG571 Yuncheng, AOR890 Chao Hu"/>
    <m/>
    <m/>
  </r>
  <r>
    <x v="1"/>
    <x v="1"/>
    <s v="Asia"/>
    <s v="Comprehensive Cooperative Partnership [全面合作伙伴关系]"/>
    <x v="0"/>
    <s v="INDOPACOM"/>
    <x v="50"/>
    <x v="23"/>
    <n v="11"/>
    <s v="BL - Hosted"/>
    <s v="Fang Fenghui"/>
    <m/>
    <s v="GSD Commander; CMC Member"/>
    <n v="8"/>
    <x v="2"/>
    <s v="National Defense Force Commander"/>
    <x v="0"/>
    <m/>
    <m/>
    <m/>
    <m/>
    <x v="12"/>
    <m/>
    <m/>
    <m/>
    <m/>
  </r>
  <r>
    <x v="2"/>
    <x v="0"/>
    <s v="Asia"/>
    <s v="Strategic Partnership for Peace and Prosperity [战略伙伴关系]"/>
    <x v="0"/>
    <s v="INDOPACOM"/>
    <x v="6"/>
    <x v="23"/>
    <n v="11"/>
    <s v="Military Exercise - Bilateral"/>
    <m/>
    <m/>
    <m/>
    <m/>
    <x v="0"/>
    <m/>
    <x v="1"/>
    <s v="Hand-in-Hand 2014"/>
    <s v="Army"/>
    <s v="Anti-terrorism"/>
    <m/>
    <x v="12"/>
    <m/>
    <m/>
    <m/>
    <m/>
  </r>
  <r>
    <x v="1"/>
    <x v="6"/>
    <s v="Europe and Central Asia"/>
    <s v="Strategic Partnership [战略伙伴关系]"/>
    <x v="0"/>
    <s v="CENTCOM"/>
    <x v="31"/>
    <x v="23"/>
    <n v="11"/>
    <s v="ML - Margins"/>
    <s v="Chang Wanquan"/>
    <m/>
    <s v="Defense Minister; CMC Member"/>
    <n v="8"/>
    <x v="2"/>
    <s v="Defense Minister"/>
    <x v="0"/>
    <m/>
    <m/>
    <m/>
    <m/>
    <x v="12"/>
    <m/>
    <m/>
    <m/>
    <m/>
  </r>
  <r>
    <x v="1"/>
    <x v="1"/>
    <s v="Asia"/>
    <s v="Comprehensive Strategic Cooperative Partnership [全面战略合作伙伴关系]"/>
    <x v="0"/>
    <s v="INDOPACOM"/>
    <x v="52"/>
    <x v="23"/>
    <n v="11"/>
    <s v="BL - Hosted"/>
    <s v="Zhang Yang"/>
    <m/>
    <s v="GPD Director; CMC Member"/>
    <n v="8"/>
    <x v="2"/>
    <s v="Deputy Director of General Political Department"/>
    <x v="0"/>
    <m/>
    <m/>
    <m/>
    <m/>
    <x v="12"/>
    <m/>
    <m/>
    <m/>
    <m/>
  </r>
  <r>
    <x v="1"/>
    <x v="1"/>
    <s v="Asia"/>
    <s v="Comprehensive Strategic Partnership [全面战略伙伴关系]"/>
    <x v="0"/>
    <s v="INDOPACOM"/>
    <x v="10"/>
    <x v="23"/>
    <n v="11"/>
    <s v="BL - Hosted"/>
    <s v="Fang Fenghui"/>
    <m/>
    <s v="GSD Commander; CMC Member"/>
    <n v="8"/>
    <x v="2"/>
    <s v="Chief of Armed Forces"/>
    <x v="0"/>
    <m/>
    <m/>
    <m/>
    <m/>
    <x v="12"/>
    <m/>
    <m/>
    <m/>
    <m/>
  </r>
  <r>
    <x v="1"/>
    <x v="0"/>
    <s v="West Asia and Africa"/>
    <s v="Comprehensive Friendly Cooperative Partnership [全面友好合作伙伴关系]"/>
    <x v="0"/>
    <s v="INDOPACOM"/>
    <x v="149"/>
    <x v="23"/>
    <n v="11"/>
    <s v="BL - Hosted"/>
    <s v="Chang Wanquan"/>
    <m/>
    <s v="Defense Minister; CMC Member"/>
    <n v="8"/>
    <x v="2"/>
    <s v="Defense Minister"/>
    <x v="0"/>
    <m/>
    <m/>
    <m/>
    <m/>
    <x v="12"/>
    <m/>
    <m/>
    <m/>
    <m/>
  </r>
  <r>
    <x v="1"/>
    <x v="4"/>
    <s v="Asia"/>
    <s v="Comprehensive Strategic Partnership [全面战略伙伴关系]"/>
    <x v="0"/>
    <s v="INDOPACOM"/>
    <x v="53"/>
    <x v="23"/>
    <n v="11"/>
    <s v="BL - Hosted"/>
    <s v="Wang Guanzhong"/>
    <m/>
    <s v="GSD DCGS"/>
    <n v="6"/>
    <x v="2"/>
    <s v="Deputy Secretary of Defense"/>
    <x v="0"/>
    <m/>
    <m/>
    <m/>
    <m/>
    <x v="12"/>
    <m/>
    <m/>
    <m/>
    <m/>
  </r>
  <r>
    <x v="1"/>
    <x v="1"/>
    <s v="Asia"/>
    <s v="Comprehensive Strategic Cooperative Partnership [全面战略合作伙伴关系]"/>
    <x v="0"/>
    <s v="INDOPACOM"/>
    <x v="1"/>
    <x v="23"/>
    <n v="11"/>
    <s v="BL - Hosted"/>
    <s v="Wang Guanzhong"/>
    <m/>
    <s v="GSD DCGS"/>
    <n v="6"/>
    <x v="2"/>
    <s v="Armed Forces Chief of Staff"/>
    <x v="0"/>
    <m/>
    <m/>
    <m/>
    <m/>
    <x v="12"/>
    <m/>
    <m/>
    <m/>
    <m/>
  </r>
  <r>
    <x v="1"/>
    <x v="4"/>
    <s v="Asia"/>
    <s v="N/A"/>
    <x v="0"/>
    <s v="INDOPACOM"/>
    <x v="161"/>
    <x v="23"/>
    <n v="11"/>
    <s v="ML - Hosted"/>
    <s v="Chang Wanquan"/>
    <m/>
    <s v="Defense Minister; CMC Member"/>
    <n v="8"/>
    <x v="2"/>
    <s v="Xiangshan Forum 2014; Defense Minister"/>
    <x v="0"/>
    <m/>
    <m/>
    <m/>
    <m/>
    <x v="12"/>
    <m/>
    <m/>
    <s v="http://eng.mod.gov.cn/SpecialReports/node_46641.htm"/>
    <s v="First Xiangshan Forum to feature foreign government officials"/>
  </r>
  <r>
    <x v="0"/>
    <x v="9"/>
    <s v="West Asia and Africa"/>
    <s v="No Specific Relationship"/>
    <x v="0"/>
    <s v="CENTCOM"/>
    <x v="147"/>
    <x v="23"/>
    <n v="11"/>
    <s v="Port Call - Replenish/Overhaul"/>
    <m/>
    <m/>
    <m/>
    <m/>
    <x v="0"/>
    <m/>
    <x v="0"/>
    <m/>
    <m/>
    <m/>
    <s v="ETF"/>
    <x v="65"/>
    <s v="South Sea Fleet"/>
    <s v="LPD989 Changbai Shan, FFG571 Yuncheng, AOR890 Chao Hu"/>
    <m/>
    <m/>
  </r>
  <r>
    <x v="1"/>
    <x v="0"/>
    <s v="Asia"/>
    <s v="Strategic Partnership [战略伙伴关系]"/>
    <x v="1"/>
    <s v="CENTCOM"/>
    <x v="2"/>
    <x v="23"/>
    <n v="11"/>
    <s v="BL - Hosted"/>
    <s v="Xu Qiliang"/>
    <m/>
    <s v="CMC Vice Chairman"/>
    <n v="10"/>
    <x v="2"/>
    <s v="Chairman JCS"/>
    <x v="0"/>
    <m/>
    <m/>
    <m/>
    <m/>
    <x v="12"/>
    <m/>
    <m/>
    <m/>
    <m/>
  </r>
  <r>
    <x v="1"/>
    <x v="8"/>
    <s v="Europe and Central Asia"/>
    <s v="Strategic Partnership [战略伙伴关系]"/>
    <x v="5"/>
    <s v="EUCOM"/>
    <x v="59"/>
    <x v="23"/>
    <n v="11"/>
    <s v="BL - Hosted"/>
    <s v="Wang Guanzhong"/>
    <m/>
    <s v="GSD DCGS"/>
    <n v="6"/>
    <x v="2"/>
    <s v="Ministry of Defense Undersecretary of State"/>
    <x v="0"/>
    <m/>
    <m/>
    <m/>
    <m/>
    <x v="12"/>
    <m/>
    <m/>
    <m/>
    <m/>
  </r>
  <r>
    <x v="1"/>
    <x v="3"/>
    <s v="Europe and Central Asia"/>
    <s v="Comprehensive Collaborative Strategic Partnership [全面战略协作伙伴关系]"/>
    <x v="0"/>
    <s v="EUCOM"/>
    <x v="7"/>
    <x v="23"/>
    <n v="11"/>
    <s v="BL - Hosted"/>
    <s v="Xu Qiliang"/>
    <m/>
    <s v="CMC Vice Chairman"/>
    <n v="10"/>
    <x v="2"/>
    <s v="Defense Minister"/>
    <x v="0"/>
    <m/>
    <m/>
    <m/>
    <m/>
    <x v="12"/>
    <m/>
    <m/>
    <m/>
    <m/>
  </r>
  <r>
    <x v="1"/>
    <x v="8"/>
    <s v="Europe and Central Asia"/>
    <s v="Strategic Partnership [战略伙伴关系]"/>
    <x v="0"/>
    <s v="EUCOM"/>
    <x v="112"/>
    <x v="23"/>
    <n v="11"/>
    <s v="BL - Hosted"/>
    <s v="Fan Changlong"/>
    <m/>
    <s v="CMC Vice Chairman"/>
    <n v="10"/>
    <x v="2"/>
    <s v="Defense Minister"/>
    <x v="0"/>
    <m/>
    <m/>
    <m/>
    <m/>
    <x v="12"/>
    <m/>
    <m/>
    <m/>
    <m/>
  </r>
  <r>
    <x v="1"/>
    <x v="1"/>
    <s v="Asia"/>
    <s v="No Specific Relationship"/>
    <x v="0"/>
    <s v="INDOPACOM"/>
    <x v="39"/>
    <x v="23"/>
    <n v="11"/>
    <s v="BL - Hosted"/>
    <s v="Xu Qiliang"/>
    <m/>
    <s v="CMC Vice Chairman"/>
    <n v="10"/>
    <x v="2"/>
    <s v="Defense Minister"/>
    <x v="0"/>
    <m/>
    <m/>
    <m/>
    <m/>
    <x v="12"/>
    <m/>
    <m/>
    <m/>
    <m/>
  </r>
  <r>
    <x v="2"/>
    <x v="1"/>
    <s v="Asia"/>
    <s v="No Specific Relationship"/>
    <x v="0"/>
    <s v="INDOPACOM"/>
    <x v="39"/>
    <x v="23"/>
    <n v="11"/>
    <s v="Military Exercise - Bilateral"/>
    <m/>
    <m/>
    <m/>
    <m/>
    <x v="0"/>
    <m/>
    <x v="1"/>
    <s v="Cooperation 2014"/>
    <s v="Army"/>
    <s v="Security training"/>
    <m/>
    <x v="12"/>
    <m/>
    <m/>
    <m/>
    <m/>
  </r>
  <r>
    <x v="1"/>
    <x v="7"/>
    <s v="West Asia and Africa"/>
    <s v="Comprehensive Strategic Partnership [全面战略伙伴关系]"/>
    <x v="0"/>
    <s v="AFRICOM"/>
    <x v="15"/>
    <x v="23"/>
    <n v="11"/>
    <s v="BL - Hosted"/>
    <s v="Zhao Keshi"/>
    <m/>
    <s v="GLD Director; CMC Member"/>
    <n v="8"/>
    <x v="2"/>
    <s v="Logistics Department  Director"/>
    <x v="0"/>
    <m/>
    <m/>
    <m/>
    <m/>
    <x v="12"/>
    <m/>
    <m/>
    <m/>
    <m/>
  </r>
  <r>
    <x v="1"/>
    <x v="6"/>
    <s v="Europe and Central Asia"/>
    <s v="Strategic Partnership [战略伙伴关系]"/>
    <x v="0"/>
    <s v="CENTCOM"/>
    <x v="60"/>
    <x v="23"/>
    <n v="11"/>
    <s v="ML - Margins"/>
    <s v="Chang Wanquan"/>
    <m/>
    <s v="Defense Minister; CMC Member"/>
    <n v="8"/>
    <x v="2"/>
    <s v="Defense Minister"/>
    <x v="0"/>
    <m/>
    <m/>
    <m/>
    <m/>
    <x v="12"/>
    <m/>
    <m/>
    <s v="http://eng.mod.gov.cn/SpecialReports/2014-11/21/content_4553604.htm "/>
    <m/>
  </r>
  <r>
    <x v="1"/>
    <x v="1"/>
    <s v="Asia"/>
    <s v="Comprehensive Strategic Cooperative Partnership [全面战略合作伙伴关系]"/>
    <x v="3"/>
    <s v="INDOPACOM"/>
    <x v="5"/>
    <x v="23"/>
    <n v="11"/>
    <s v="BL - Hosted"/>
    <s v="Chang Wanquan"/>
    <m/>
    <s v="Defense Minister; CMC Member"/>
    <n v="8"/>
    <x v="2"/>
    <s v="Defense Minister"/>
    <x v="0"/>
    <m/>
    <m/>
    <m/>
    <m/>
    <x v="12"/>
    <m/>
    <m/>
    <m/>
    <m/>
  </r>
  <r>
    <x v="1"/>
    <x v="2"/>
    <s v="America and Oceania"/>
    <s v="No Specific Relationship"/>
    <x v="2"/>
    <s v="NORTHCOM"/>
    <x v="4"/>
    <x v="23"/>
    <n v="11"/>
    <s v="BL - Abroad"/>
    <s v="Sun Jianguo"/>
    <m/>
    <s v="GSD DCGS"/>
    <n v="6"/>
    <x v="1"/>
    <s v="DEP SECDEF Work"/>
    <x v="0"/>
    <m/>
    <m/>
    <m/>
    <m/>
    <x v="12"/>
    <m/>
    <m/>
    <s v="2015 CH Mil Power Report"/>
    <s v=" Also traveled to PACOM and Alaska"/>
  </r>
  <r>
    <x v="1"/>
    <x v="5"/>
    <s v="America and Oceania"/>
    <s v="Comprehensive Strategic Partnership [全面战略伙伴关系]"/>
    <x v="4"/>
    <s v="INDOPACOM"/>
    <x v="12"/>
    <x v="23"/>
    <n v="12"/>
    <s v="BL - Hosted"/>
    <s v="Fan Changlong"/>
    <m/>
    <s v="CMC Vice Chairman"/>
    <n v="10"/>
    <x v="2"/>
    <s v="ADF Chief"/>
    <x v="0"/>
    <m/>
    <m/>
    <m/>
    <m/>
    <x v="12"/>
    <m/>
    <m/>
    <m/>
    <m/>
  </r>
  <r>
    <x v="1"/>
    <x v="10"/>
    <s v="America and Oceania"/>
    <s v="No Specific Relationship"/>
    <x v="0"/>
    <s v="SOUTHCOM"/>
    <x v="49"/>
    <x v="23"/>
    <n v="12"/>
    <s v="BL - Hosted"/>
    <s v="Chang Wanquan"/>
    <m/>
    <s v="Defense Minister; CMC Member"/>
    <n v="8"/>
    <x v="2"/>
    <s v="Minister of Armed Forces"/>
    <x v="0"/>
    <m/>
    <m/>
    <m/>
    <m/>
    <x v="12"/>
    <m/>
    <m/>
    <m/>
    <m/>
  </r>
  <r>
    <x v="1"/>
    <x v="8"/>
    <s v="Europe and Central Asia"/>
    <s v="Comprehensive Strategic Partnership [全面战略伙伴关系]"/>
    <x v="5"/>
    <s v="EUCOM"/>
    <x v="18"/>
    <x v="23"/>
    <n v="12"/>
    <s v="BL - Hosted"/>
    <s v="Sun Jianguo"/>
    <m/>
    <s v="GSD DCGS"/>
    <n v="6"/>
    <x v="2"/>
    <s v="Delegation for CIISS; former minister of the interior"/>
    <x v="0"/>
    <m/>
    <m/>
    <m/>
    <m/>
    <x v="12"/>
    <m/>
    <m/>
    <m/>
    <m/>
  </r>
  <r>
    <x v="1"/>
    <x v="8"/>
    <s v="Europe and Central Asia"/>
    <s v="Comprehensive Strategic Partnership [全面战略伙伴关系]"/>
    <x v="5"/>
    <s v="EUCOM"/>
    <x v="29"/>
    <x v="23"/>
    <n v="12"/>
    <s v="BL - Hosted"/>
    <s v="Sun Jianguo"/>
    <m/>
    <s v="GSD DCGS"/>
    <n v="6"/>
    <x v="2"/>
    <s v="Delegation for CIISS; former chief of defense staff"/>
    <x v="0"/>
    <m/>
    <m/>
    <m/>
    <m/>
    <x v="12"/>
    <m/>
    <m/>
    <m/>
    <m/>
  </r>
  <r>
    <x v="1"/>
    <x v="6"/>
    <s v="Europe and Central Asia"/>
    <s v="Comprehensive Strategic Partnership [全面战略伙伴关系]"/>
    <x v="0"/>
    <s v="CENTCOM"/>
    <x v="30"/>
    <x v="23"/>
    <n v="12"/>
    <s v="BL - Hosted"/>
    <s v="Sun Jianguo"/>
    <m/>
    <s v="GSD DCGS"/>
    <n v="6"/>
    <x v="2"/>
    <s v="Delegation for CIISS; Kazakhstan Military Strategic Research Center"/>
    <x v="0"/>
    <m/>
    <m/>
    <m/>
    <m/>
    <x v="12"/>
    <m/>
    <m/>
    <m/>
    <m/>
  </r>
  <r>
    <x v="1"/>
    <x v="8"/>
    <s v="Europe and Central Asia"/>
    <s v="No Specific Relationship"/>
    <x v="0"/>
    <s v="EUCOM"/>
    <x v="99"/>
    <x v="23"/>
    <n v="12"/>
    <s v="BL - Hosted"/>
    <s v="Chang Wanquan"/>
    <m/>
    <s v="Defense Minister; CMC Member"/>
    <n v="8"/>
    <x v="2"/>
    <s v="State Secretary of Defense Ministry"/>
    <x v="0"/>
    <m/>
    <m/>
    <m/>
    <m/>
    <x v="12"/>
    <m/>
    <m/>
    <m/>
    <m/>
  </r>
  <r>
    <x v="2"/>
    <x v="1"/>
    <s v="Asia"/>
    <s v="Comprehensive Strategic Partnership [全面战略伙伴关系]"/>
    <x v="0"/>
    <s v="INDOPACOM"/>
    <x v="10"/>
    <x v="23"/>
    <n v="12"/>
    <s v="Military Exercise - Bilateral"/>
    <m/>
    <m/>
    <m/>
    <m/>
    <x v="0"/>
    <m/>
    <x v="2"/>
    <s v="Peace and Friendship 2014"/>
    <s v="Joint"/>
    <m/>
    <m/>
    <x v="12"/>
    <m/>
    <m/>
    <m/>
    <m/>
  </r>
  <r>
    <x v="1"/>
    <x v="5"/>
    <s v="America and Oceania"/>
    <s v="Comprehensive Strategic Partnership [全面战略伙伴关系]"/>
    <x v="4"/>
    <s v="INDOPACOM"/>
    <x v="13"/>
    <x v="23"/>
    <n v="12"/>
    <s v="BL - Hosted"/>
    <s v="Chang Wanquan "/>
    <m/>
    <s v="Defense Minister; CMC Member"/>
    <n v="8"/>
    <x v="2"/>
    <s v="Deputy Secretary of Defense"/>
    <x v="0"/>
    <m/>
    <m/>
    <m/>
    <m/>
    <x v="12"/>
    <m/>
    <m/>
    <m/>
    <m/>
  </r>
  <r>
    <x v="1"/>
    <x v="8"/>
    <s v="Europe and Central Asia"/>
    <s v="Comprehensive Strategic Partnership [全面战略伙伴关系]"/>
    <x v="5"/>
    <s v="EUCOM"/>
    <x v="48"/>
    <x v="23"/>
    <n v="12"/>
    <s v="BL - Hosted"/>
    <s v="Ma Xiaotian"/>
    <m/>
    <s v="PLAAF Commander; CMC Member"/>
    <n v="8"/>
    <x v="2"/>
    <s v="Air Force Chief of Staff"/>
    <x v="0"/>
    <m/>
    <m/>
    <m/>
    <m/>
    <x v="12"/>
    <m/>
    <m/>
    <m/>
    <m/>
  </r>
  <r>
    <x v="2"/>
    <x v="2"/>
    <s v="America and Oceania"/>
    <s v="No Specific Relationship"/>
    <x v="2"/>
    <s v="NORTHCOM"/>
    <x v="4"/>
    <x v="23"/>
    <n v="12"/>
    <s v="Military Exercise - Bilateral"/>
    <m/>
    <m/>
    <m/>
    <m/>
    <x v="0"/>
    <m/>
    <x v="4"/>
    <s v="None"/>
    <s v="Navy"/>
    <s v="anti-piracy drill, CUES"/>
    <m/>
    <x v="12"/>
    <m/>
    <m/>
    <m/>
    <m/>
  </r>
  <r>
    <x v="1"/>
    <x v="1"/>
    <s v="Asia"/>
    <s v="Comprehensive Strategic Cooperative Partnership [全面战略合作伙伴关系]"/>
    <x v="0"/>
    <s v="INDOPACOM"/>
    <x v="23"/>
    <x v="23"/>
    <n v="12"/>
    <s v="BL - Hosted"/>
    <s v="Jia Tingan"/>
    <m/>
    <s v="GPD Deputy Director"/>
    <n v="6"/>
    <x v="2"/>
    <s v="Political Work delegation"/>
    <x v="0"/>
    <m/>
    <m/>
    <m/>
    <m/>
    <x v="12"/>
    <m/>
    <m/>
    <m/>
    <m/>
  </r>
  <r>
    <x v="0"/>
    <x v="9"/>
    <s v="West Asia and Africa"/>
    <s v="No Specific Relationship"/>
    <x v="0"/>
    <s v="CENTCOM"/>
    <x v="119"/>
    <x v="24"/>
    <n v="1"/>
    <s v="Port Call - Replenish/Overhaul"/>
    <m/>
    <m/>
    <m/>
    <m/>
    <x v="0"/>
    <m/>
    <x v="0"/>
    <m/>
    <m/>
    <m/>
    <s v="ETF"/>
    <x v="66"/>
    <s v="North Sea Fleet"/>
    <s v="FFG547 Linyi, FFG550 Weifang, AOR887 Weishan Hu"/>
    <m/>
    <m/>
  </r>
  <r>
    <x v="0"/>
    <x v="8"/>
    <s v="Europe and Central Asia"/>
    <s v="Comprehensive Strategic Partnership [全面战略伙伴关系]"/>
    <x v="5"/>
    <s v="EUCOM"/>
    <x v="18"/>
    <x v="24"/>
    <n v="1"/>
    <s v="Port Call - Friendly Visit"/>
    <m/>
    <m/>
    <m/>
    <m/>
    <x v="0"/>
    <m/>
    <x v="0"/>
    <m/>
    <m/>
    <m/>
    <s v="ETF"/>
    <x v="65"/>
    <s v="South Sea Fleet"/>
    <s v="LPD989 Changbai Shan, FFG571 Yuncheng, AOR890 Chao Hu"/>
    <m/>
    <m/>
  </r>
  <r>
    <x v="0"/>
    <x v="8"/>
    <s v="Europe and Central Asia"/>
    <s v="Comprehensive Cooperative Partnership [全面合作伙伴关系]"/>
    <x v="5"/>
    <s v="EUCOM"/>
    <x v="117"/>
    <x v="24"/>
    <n v="1"/>
    <s v="Port Call - Friendly Visit"/>
    <m/>
    <m/>
    <m/>
    <m/>
    <x v="0"/>
    <m/>
    <x v="0"/>
    <m/>
    <m/>
    <m/>
    <s v="ETF"/>
    <x v="65"/>
    <s v="South Sea Fleet"/>
    <s v="LPD989 Changbai Shan, FFG571 Yuncheng, AOR890 Chao Hu"/>
    <m/>
    <m/>
  </r>
  <r>
    <x v="0"/>
    <x v="9"/>
    <s v="West Asia and Africa"/>
    <s v="No Specific Relationship"/>
    <x v="0"/>
    <s v="CENTCOM"/>
    <x v="147"/>
    <x v="24"/>
    <n v="1"/>
    <s v="Port Call - Replenish/Overhaul"/>
    <m/>
    <m/>
    <m/>
    <m/>
    <x v="0"/>
    <m/>
    <x v="0"/>
    <m/>
    <m/>
    <m/>
    <s v="ETF"/>
    <x v="66"/>
    <s v="North Sea Fleet"/>
    <s v="FFG547 Linyi, FFG550 Weifang, AOR887 Weishan Hu"/>
    <m/>
    <m/>
  </r>
  <r>
    <x v="0"/>
    <x v="8"/>
    <s v="Europe and Central Asia"/>
    <s v="Comprehensive Strategic Partnership [全面战略伙伴关系]"/>
    <x v="5"/>
    <s v="EUCOM"/>
    <x v="21"/>
    <x v="24"/>
    <n v="1"/>
    <s v="Port Call - Friendly Visit"/>
    <m/>
    <m/>
    <m/>
    <m/>
    <x v="0"/>
    <m/>
    <x v="0"/>
    <m/>
    <m/>
    <m/>
    <s v="ETF"/>
    <x v="66"/>
    <s v="North Sea Fleet"/>
    <s v="FFG547 Linyi, FFG550 Weifang, AOR887 Weishan Hu"/>
    <m/>
    <m/>
  </r>
  <r>
    <x v="2"/>
    <x v="2"/>
    <s v="America and Oceania"/>
    <s v="No Specific Relationship"/>
    <x v="2"/>
    <s v="NORTHCOM"/>
    <x v="4"/>
    <x v="24"/>
    <n v="1"/>
    <s v="Military Exercise - Bilateral"/>
    <m/>
    <m/>
    <m/>
    <m/>
    <x v="0"/>
    <m/>
    <x v="2"/>
    <s v="10th Disaster Management Exchange"/>
    <s v="Army"/>
    <s v="Guangzhou and Haikou; HADR with academic discussion, TTX, and field exchange; planned for 2014"/>
    <m/>
    <x v="12"/>
    <m/>
    <m/>
    <s v="https://www.pacom.mil/Media/News/Article/565021/china-us-disaster-management-exchange/"/>
    <s v=" "/>
  </r>
  <r>
    <x v="2"/>
    <x v="8"/>
    <s v="Europe and Central Asia"/>
    <s v="Comprehensive Strategic Partnership [全面战略伙伴关系]"/>
    <x v="5"/>
    <s v="EUCOM"/>
    <x v="22"/>
    <x v="24"/>
    <n v="2"/>
    <s v="Military Exercise - Bilateral"/>
    <m/>
    <m/>
    <m/>
    <m/>
    <x v="0"/>
    <m/>
    <x v="2"/>
    <s v="None"/>
    <s v="Navy"/>
    <s v="communication and fleet maneuvers; ETF-18"/>
    <m/>
    <x v="12"/>
    <m/>
    <m/>
    <m/>
    <m/>
  </r>
  <r>
    <x v="0"/>
    <x v="8"/>
    <s v="Europe and Central Asia"/>
    <s v="Comprehensive Strategic Partnership [全面战略伙伴关系]"/>
    <x v="5"/>
    <s v="EUCOM"/>
    <x v="22"/>
    <x v="24"/>
    <n v="2"/>
    <s v="Port Call - Friendly Visit"/>
    <m/>
    <m/>
    <m/>
    <m/>
    <x v="0"/>
    <m/>
    <x v="0"/>
    <m/>
    <m/>
    <m/>
    <s v="ETF"/>
    <x v="65"/>
    <s v="South Sea Fleet"/>
    <s v="LPD989 Changbai Shan, FFG571 Yuncheng, AOR890 Chao Hu"/>
    <m/>
    <m/>
  </r>
  <r>
    <x v="2"/>
    <x v="8"/>
    <s v="Europe and Central Asia"/>
    <s v="Comprehensive Strategic Partnership [全面战略伙伴关系]"/>
    <x v="5"/>
    <s v="EUCOM"/>
    <x v="29"/>
    <x v="24"/>
    <n v="2"/>
    <s v="Military Exercise - Bilateral"/>
    <m/>
    <m/>
    <m/>
    <m/>
    <x v="0"/>
    <m/>
    <x v="2"/>
    <s v="None"/>
    <s v="Navy"/>
    <s v="communication and fleet maneuvers; ETF-18"/>
    <m/>
    <x v="12"/>
    <m/>
    <m/>
    <m/>
    <m/>
  </r>
  <r>
    <x v="0"/>
    <x v="8"/>
    <s v="Europe and Central Asia"/>
    <s v="Comprehensive Strategic Partnership [全面战略伙伴关系]"/>
    <x v="5"/>
    <s v="EUCOM"/>
    <x v="29"/>
    <x v="24"/>
    <n v="2"/>
    <s v="Port Call - Friendly Visit"/>
    <m/>
    <m/>
    <m/>
    <m/>
    <x v="0"/>
    <m/>
    <x v="0"/>
    <m/>
    <m/>
    <m/>
    <s v="ETF"/>
    <x v="65"/>
    <s v="South Sea Fleet"/>
    <s v="LPD989 Changbai Shan, FFG571 Yuncheng, AOR890 Chao Hu"/>
    <m/>
    <m/>
  </r>
  <r>
    <x v="1"/>
    <x v="8"/>
    <s v="Europe and Central Asia"/>
    <s v="Strategic Partnership [战略伙伴关系]"/>
    <x v="5"/>
    <s v="EUCOM"/>
    <x v="59"/>
    <x v="24"/>
    <n v="2"/>
    <s v="BL - Hosted"/>
    <s v="Sun Jianguo"/>
    <m/>
    <s v="GSD DCGS"/>
    <n v="6"/>
    <x v="2"/>
    <s v="Commander, Multi-Service Joint GHQ of Armed Forces"/>
    <x v="0"/>
    <m/>
    <m/>
    <m/>
    <m/>
    <x v="12"/>
    <m/>
    <m/>
    <m/>
    <m/>
  </r>
  <r>
    <x v="1"/>
    <x v="4"/>
    <s v="Asia"/>
    <s v="Strategic Cooperative Partnership [战略合作伙伴关系]"/>
    <x v="3"/>
    <s v="INDOPACOM"/>
    <x v="25"/>
    <x v="24"/>
    <n v="2"/>
    <s v="BL - Abroad"/>
    <s v="Chang Wanquan"/>
    <m/>
    <s v="Defense Minister; CMC Member"/>
    <n v="8"/>
    <x v="1"/>
    <m/>
    <x v="0"/>
    <m/>
    <m/>
    <m/>
    <m/>
    <x v="12"/>
    <m/>
    <m/>
    <m/>
    <m/>
  </r>
  <r>
    <x v="1"/>
    <x v="1"/>
    <s v="Asia"/>
    <s v="Comprehensive Strategic Cooperative Partnership [全面战略合作伙伴关系]"/>
    <x v="3"/>
    <s v="INDOPACOM"/>
    <x v="5"/>
    <x v="24"/>
    <n v="2"/>
    <s v="BL - Abroad"/>
    <s v="Chang Wanquan"/>
    <m/>
    <s v="Defense Minister; CMC Member"/>
    <n v="8"/>
    <x v="1"/>
    <m/>
    <x v="0"/>
    <m/>
    <m/>
    <m/>
    <m/>
    <x v="12"/>
    <m/>
    <m/>
    <m/>
    <m/>
  </r>
  <r>
    <x v="2"/>
    <x v="1"/>
    <s v="Asia"/>
    <s v="Comprehensive Strategic Cooperative Partnership [全面战略合作伙伴关系]"/>
    <x v="3"/>
    <s v="INDOPACOM"/>
    <x v="5"/>
    <x v="24"/>
    <n v="2"/>
    <s v="Military Exercise - Multilateral"/>
    <m/>
    <m/>
    <m/>
    <m/>
    <x v="0"/>
    <m/>
    <x v="2"/>
    <s v="Cobra Gold 2015"/>
    <s v="Army"/>
    <s v="HADR"/>
    <m/>
    <x v="12"/>
    <m/>
    <m/>
    <s v="https://th.usembassy.gov/exercise-cobra-gold-2015-to-begin-february-9-2015/"/>
    <m/>
  </r>
  <r>
    <x v="1"/>
    <x v="8"/>
    <s v="Europe and Central Asia"/>
    <s v="No Specific Relationship"/>
    <x v="5"/>
    <s v="EUCOM"/>
    <x v="58"/>
    <x v="24"/>
    <n v="3"/>
    <s v="BL - Abroad"/>
    <s v="Sun Jianguo"/>
    <m/>
    <s v="GSD DCGS"/>
    <n v="6"/>
    <x v="1"/>
    <m/>
    <x v="0"/>
    <m/>
    <m/>
    <m/>
    <m/>
    <x v="12"/>
    <m/>
    <m/>
    <m/>
    <m/>
  </r>
  <r>
    <x v="1"/>
    <x v="8"/>
    <s v="Europe and Central Asia"/>
    <s v="Comprehensive Strategic Partnership [全面战略伙伴关系]"/>
    <x v="5"/>
    <s v="EUCOM"/>
    <x v="22"/>
    <x v="24"/>
    <n v="3"/>
    <s v="BL - Hosted"/>
    <s v="Wu Shengli"/>
    <m/>
    <s v="PLAN Commander; CMC Member"/>
    <n v="8"/>
    <x v="2"/>
    <s v="Navy Chief of Staff"/>
    <x v="0"/>
    <m/>
    <m/>
    <m/>
    <m/>
    <x v="12"/>
    <m/>
    <m/>
    <m/>
    <m/>
  </r>
  <r>
    <x v="1"/>
    <x v="0"/>
    <s v="Asia"/>
    <s v="Strategic Partnership for Peace and Prosperity [战略伙伴关系]"/>
    <x v="0"/>
    <s v="INDOPACOM"/>
    <x v="6"/>
    <x v="24"/>
    <n v="3"/>
    <s v="BL - Hosted"/>
    <s v="Sun Jianguo"/>
    <m/>
    <s v="GSD DCGS"/>
    <n v="6"/>
    <x v="2"/>
    <s v="Military delegation"/>
    <x v="0"/>
    <m/>
    <m/>
    <m/>
    <m/>
    <x v="12"/>
    <m/>
    <m/>
    <m/>
    <m/>
  </r>
  <r>
    <x v="1"/>
    <x v="7"/>
    <s v="West Asia and Africa"/>
    <s v="No Specific Relationship"/>
    <x v="0"/>
    <s v="AFRICOM"/>
    <x v="69"/>
    <x v="24"/>
    <n v="3"/>
    <s v="BL - Abroad"/>
    <s v="Chang Wanquan"/>
    <m/>
    <s v="Defense Minister; CMC Member"/>
    <n v="8"/>
    <x v="1"/>
    <m/>
    <x v="0"/>
    <m/>
    <m/>
    <m/>
    <m/>
    <x v="12"/>
    <m/>
    <m/>
    <m/>
    <m/>
  </r>
  <r>
    <x v="0"/>
    <x v="9"/>
    <s v="West Asia and Africa"/>
    <s v="No Specific Relationship"/>
    <x v="0"/>
    <s v="CENTCOM"/>
    <x v="147"/>
    <x v="24"/>
    <n v="3"/>
    <s v="Port Call - Replenish/Overhaul"/>
    <m/>
    <m/>
    <m/>
    <m/>
    <x v="0"/>
    <m/>
    <x v="0"/>
    <m/>
    <m/>
    <m/>
    <s v="ETF"/>
    <x v="66"/>
    <s v="North Sea Fleet"/>
    <s v="FFG547 Linyi, FFG550 Weifang, AOR887 Weishan Hu"/>
    <m/>
    <m/>
  </r>
  <r>
    <x v="1"/>
    <x v="0"/>
    <s v="Asia"/>
    <s v="All-Weather Strategic Cooperative Partnership [全天候战略合作伙伴关系]"/>
    <x v="1"/>
    <s v="CENTCOM"/>
    <x v="2"/>
    <x v="24"/>
    <n v="3"/>
    <s v="BL - Hosted"/>
    <s v="Fan Changlong"/>
    <m/>
    <s v="CMC Vice Chairman"/>
    <n v="10"/>
    <x v="2"/>
    <s v="Navy Chief of Staff"/>
    <x v="0"/>
    <m/>
    <m/>
    <m/>
    <m/>
    <x v="12"/>
    <m/>
    <m/>
    <m/>
    <m/>
  </r>
  <r>
    <x v="1"/>
    <x v="8"/>
    <s v="Europe and Central Asia"/>
    <s v="Strategic Partnership [战略伙伴关系]"/>
    <x v="5"/>
    <s v="EUCOM"/>
    <x v="59"/>
    <x v="24"/>
    <n v="3"/>
    <s v="BL - Abroad"/>
    <s v="Sun Jianguo"/>
    <m/>
    <s v="GSD DCGS"/>
    <n v="6"/>
    <x v="1"/>
    <m/>
    <x v="0"/>
    <m/>
    <m/>
    <m/>
    <m/>
    <x v="12"/>
    <m/>
    <m/>
    <m/>
    <m/>
  </r>
  <r>
    <x v="1"/>
    <x v="8"/>
    <s v="Europe and Central Asia"/>
    <s v="Comprehensive Friendly Cooperative Partnership [全面友好合作伙伴关系]"/>
    <x v="5"/>
    <s v="EUCOM"/>
    <x v="33"/>
    <x v="24"/>
    <n v="3"/>
    <s v="BL - Abroad"/>
    <s v="Sun Jianguo"/>
    <m/>
    <s v="GSD DCGS"/>
    <n v="6"/>
    <x v="1"/>
    <m/>
    <x v="0"/>
    <m/>
    <m/>
    <m/>
    <m/>
    <x v="12"/>
    <m/>
    <m/>
    <m/>
    <m/>
  </r>
  <r>
    <x v="1"/>
    <x v="3"/>
    <s v="Europe and Central Asia"/>
    <s v="Comprehensive Collaborative Strategic Partnership [全面战略协作伙伴关系]"/>
    <x v="0"/>
    <s v="EUCOM"/>
    <x v="7"/>
    <x v="24"/>
    <n v="3"/>
    <s v="BL - Hosted"/>
    <s v="Qi Jianguo"/>
    <m/>
    <s v="GSD DCGS"/>
    <n v="6"/>
    <x v="2"/>
    <s v="DCOGS and concurrent Chief of Main Communications Directorate"/>
    <x v="0"/>
    <m/>
    <m/>
    <m/>
    <m/>
    <x v="12"/>
    <m/>
    <m/>
    <m/>
    <m/>
  </r>
  <r>
    <x v="0"/>
    <x v="1"/>
    <s v="Asia"/>
    <s v="All-Round Cooperative Partnership [全方合作伙伴关系]"/>
    <x v="0"/>
    <s v="INDOPACOM"/>
    <x v="39"/>
    <x v="24"/>
    <n v="3"/>
    <s v="Port Call - Friendly Visit"/>
    <m/>
    <m/>
    <m/>
    <m/>
    <x v="0"/>
    <m/>
    <x v="0"/>
    <m/>
    <m/>
    <m/>
    <s v="ETF"/>
    <x v="65"/>
    <s v="South Sea Fleet"/>
    <s v="LPD989 Changbai Shan, FFG571 Yuncheng, AOR890 Chao Hu"/>
    <m/>
    <m/>
  </r>
  <r>
    <x v="1"/>
    <x v="1"/>
    <s v="Asia"/>
    <s v="Comprehensive Strategic Cooperative Partnership [全面战略合作伙伴关系]"/>
    <x v="3"/>
    <s v="INDOPACOM"/>
    <x v="5"/>
    <x v="24"/>
    <n v="3"/>
    <s v="BL - Hosted"/>
    <s v="Qi Jianguo"/>
    <m/>
    <s v="GSD DCGS"/>
    <n v="6"/>
    <x v="2"/>
    <s v="Commander, Counter-terrorism Center of Supreme Command HQ"/>
    <x v="0"/>
    <m/>
    <m/>
    <m/>
    <m/>
    <x v="12"/>
    <m/>
    <m/>
    <m/>
    <m/>
  </r>
  <r>
    <x v="1"/>
    <x v="8"/>
    <s v="Europe and Central Asia"/>
    <s v="Comprehensive Strategic Partnership [全面战略伙伴关系]"/>
    <x v="5"/>
    <s v="EUCOM"/>
    <x v="21"/>
    <x v="24"/>
    <n v="3"/>
    <s v="BL - Hosted"/>
    <s v="Xu Qiliang"/>
    <m/>
    <s v="CMC Vice Chairman"/>
    <n v="10"/>
    <x v="2"/>
    <s v="COGS"/>
    <x v="0"/>
    <m/>
    <m/>
    <m/>
    <m/>
    <x v="12"/>
    <m/>
    <m/>
    <m/>
    <m/>
  </r>
  <r>
    <x v="1"/>
    <x v="2"/>
    <s v="America and Oceania"/>
    <s v="No Specific Relationship"/>
    <x v="2"/>
    <s v="NORTHCOM"/>
    <x v="4"/>
    <x v="24"/>
    <n v="3"/>
    <s v="BL - Abroad"/>
    <s v="Sun Jianguo"/>
    <m/>
    <s v="GSD DCGS"/>
    <n v="6"/>
    <x v="1"/>
    <m/>
    <x v="0"/>
    <m/>
    <m/>
    <m/>
    <m/>
    <x v="12"/>
    <m/>
    <m/>
    <m/>
    <m/>
  </r>
  <r>
    <x v="1"/>
    <x v="7"/>
    <s v="West Asia and Africa"/>
    <s v="No Specific Relationship"/>
    <x v="0"/>
    <s v="AFRICOM"/>
    <x v="86"/>
    <x v="24"/>
    <n v="3"/>
    <s v="BL - Abroad"/>
    <s v="Chang Wanquan"/>
    <m/>
    <s v="Defense Minister; CMC Member"/>
    <n v="8"/>
    <x v="1"/>
    <m/>
    <x v="0"/>
    <m/>
    <m/>
    <m/>
    <m/>
    <x v="12"/>
    <m/>
    <m/>
    <m/>
    <m/>
  </r>
  <r>
    <x v="1"/>
    <x v="10"/>
    <s v="America and Oceania"/>
    <s v="Comprehensive Strategic Partnership [全面战略伙伴关系]"/>
    <x v="1"/>
    <s v="SOUTHCOM"/>
    <x v="62"/>
    <x v="24"/>
    <n v="4"/>
    <s v="BL - Abroad"/>
    <s v="Sun Jianguo"/>
    <m/>
    <s v="GSD DCGS"/>
    <n v="6"/>
    <x v="1"/>
    <m/>
    <x v="0"/>
    <m/>
    <m/>
    <m/>
    <m/>
    <x v="12"/>
    <m/>
    <m/>
    <m/>
    <m/>
  </r>
  <r>
    <x v="1"/>
    <x v="8"/>
    <s v="Europe and Central Asia"/>
    <s v="Comprehensive Strategic Partnership [全面战略伙伴关系]"/>
    <x v="0"/>
    <s v="EUCOM"/>
    <x v="34"/>
    <x v="24"/>
    <n v="4"/>
    <s v="BL - Hosted"/>
    <s v="Xu Qiliang"/>
    <m/>
    <s v="CMC Vice Chairman"/>
    <n v="10"/>
    <x v="2"/>
    <s v="Security Council Secretary"/>
    <x v="0"/>
    <m/>
    <m/>
    <m/>
    <m/>
    <x v="12"/>
    <m/>
    <m/>
    <m/>
    <m/>
  </r>
  <r>
    <x v="1"/>
    <x v="10"/>
    <s v="America and Oceania"/>
    <s v="Comprehensive Strategic Partnership [全面战略伙伴关系]"/>
    <x v="0"/>
    <s v="SOUTHCOM"/>
    <x v="43"/>
    <x v="24"/>
    <n v="4"/>
    <s v="BL - Abroad"/>
    <s v="Sun Jianguo"/>
    <m/>
    <s v="GSD DCGS"/>
    <n v="6"/>
    <x v="1"/>
    <m/>
    <x v="0"/>
    <m/>
    <m/>
    <m/>
    <m/>
    <x v="12"/>
    <m/>
    <m/>
    <m/>
    <m/>
  </r>
  <r>
    <x v="1"/>
    <x v="10"/>
    <s v="America and Oceania"/>
    <s v="Strategic Partnership [战略伙伴关系]"/>
    <x v="0"/>
    <s v="SOUTHCOM"/>
    <x v="66"/>
    <x v="24"/>
    <n v="4"/>
    <s v="BL - Hosted"/>
    <s v="Chang Wanquan"/>
    <m/>
    <s v="Defense Minister; CMC Member"/>
    <n v="8"/>
    <x v="2"/>
    <s v="Air Force Commander"/>
    <x v="0"/>
    <m/>
    <m/>
    <m/>
    <m/>
    <x v="12"/>
    <m/>
    <m/>
    <m/>
    <m/>
  </r>
  <r>
    <x v="1"/>
    <x v="9"/>
    <s v="West Asia and Africa"/>
    <s v="Comprehensive Strategic Partnership [全面战略伙伴关系]"/>
    <x v="1"/>
    <s v="CENTCOM"/>
    <x v="24"/>
    <x v="24"/>
    <n v="4"/>
    <s v="BL - Hosted"/>
    <s v="Fan Changlong"/>
    <m/>
    <s v="CMC Vice Chairman"/>
    <n v="10"/>
    <x v="2"/>
    <s v="Defense Minister"/>
    <x v="0"/>
    <m/>
    <m/>
    <m/>
    <m/>
    <x v="12"/>
    <m/>
    <m/>
    <m/>
    <m/>
  </r>
  <r>
    <x v="1"/>
    <x v="8"/>
    <s v="Europe and Central Asia"/>
    <s v="No Specific Relationship"/>
    <x v="0"/>
    <s v="EUCOM"/>
    <x v="81"/>
    <x v="24"/>
    <n v="4"/>
    <s v="BL - Hosted"/>
    <s v="Zhao Keshi"/>
    <m/>
    <s v="GLD Director; CMC Member"/>
    <n v="8"/>
    <x v="2"/>
    <s v="DCOGS"/>
    <x v="0"/>
    <m/>
    <m/>
    <m/>
    <m/>
    <x v="12"/>
    <m/>
    <m/>
    <m/>
    <m/>
  </r>
  <r>
    <x v="1"/>
    <x v="8"/>
    <s v="Europe and Central Asia"/>
    <s v="Comprehensive Strategic Partnership [全面战略伙伴关系]"/>
    <x v="5"/>
    <s v="EUCOM"/>
    <x v="22"/>
    <x v="24"/>
    <n v="4"/>
    <s v="BL - Hosted"/>
    <s v="Fang Fenghui"/>
    <m/>
    <s v="GSD Commander; CMC Member"/>
    <n v="8"/>
    <x v="2"/>
    <s v="Navy Chief of Staff"/>
    <x v="0"/>
    <m/>
    <m/>
    <m/>
    <m/>
    <x v="12"/>
    <m/>
    <m/>
    <m/>
    <m/>
  </r>
  <r>
    <x v="1"/>
    <x v="0"/>
    <s v="Asia"/>
    <s v="Strategic Partnership for Peace and Prosperity [战略伙伴关系]"/>
    <x v="0"/>
    <s v="INDOPACOM"/>
    <x v="6"/>
    <x v="24"/>
    <n v="4"/>
    <s v="BL - Hosted"/>
    <s v="Chang Wanquan"/>
    <m/>
    <s v="Defense Minister; CMC Member"/>
    <n v="8"/>
    <x v="2"/>
    <s v="Defense Secretary"/>
    <x v="0"/>
    <m/>
    <m/>
    <m/>
    <m/>
    <x v="12"/>
    <m/>
    <m/>
    <m/>
    <m/>
  </r>
  <r>
    <x v="1"/>
    <x v="9"/>
    <s v="West Asia and Africa"/>
    <s v="No Specific Relationship"/>
    <x v="0"/>
    <s v="CENTCOM"/>
    <x v="89"/>
    <x v="24"/>
    <n v="4"/>
    <s v="BL - Abroad"/>
    <s v="Chang Wanquan"/>
    <m/>
    <s v="Defense Minister; CMC Member"/>
    <n v="8"/>
    <x v="1"/>
    <s v="Defense Minister"/>
    <x v="0"/>
    <m/>
    <m/>
    <m/>
    <m/>
    <x v="12"/>
    <m/>
    <m/>
    <m/>
    <m/>
  </r>
  <r>
    <x v="1"/>
    <x v="7"/>
    <s v="West Asia and Africa"/>
    <s v="No Specific Relationship"/>
    <x v="0"/>
    <s v="AFRICOM"/>
    <x v="140"/>
    <x v="24"/>
    <n v="4"/>
    <s v="BL - Hosted"/>
    <s v="Chang Wanquan"/>
    <m/>
    <s v="Defense Minister; CMC Member"/>
    <n v="8"/>
    <x v="2"/>
    <s v="Defense Minister"/>
    <x v="0"/>
    <m/>
    <m/>
    <m/>
    <m/>
    <x v="12"/>
    <m/>
    <m/>
    <m/>
    <m/>
  </r>
  <r>
    <x v="0"/>
    <x v="7"/>
    <s v="West Asia and Africa"/>
    <s v="No Specific Relationship"/>
    <x v="0"/>
    <s v="AFRICOM"/>
    <x v="162"/>
    <x v="24"/>
    <n v="4"/>
    <s v="Port Call - Friendly Visit"/>
    <m/>
    <m/>
    <m/>
    <m/>
    <x v="0"/>
    <m/>
    <x v="0"/>
    <m/>
    <m/>
    <m/>
    <s v="NETF"/>
    <x v="67"/>
    <s v="East Sea Fleet"/>
    <s v="survey ship"/>
    <m/>
    <m/>
  </r>
  <r>
    <x v="1"/>
    <x v="4"/>
    <s v="Asia"/>
    <s v="Comprehensive Strategic Partnership [全面战略伙伴关系]"/>
    <x v="0"/>
    <s v="INDOPACOM"/>
    <x v="53"/>
    <x v="24"/>
    <n v="4"/>
    <s v="BL - Hosted"/>
    <s v="Chang Wanquan"/>
    <m/>
    <s v="Defense Minister; CMC Member"/>
    <n v="8"/>
    <x v="2"/>
    <s v="Commander of General Purpose Troops"/>
    <x v="0"/>
    <m/>
    <m/>
    <m/>
    <m/>
    <x v="12"/>
    <m/>
    <m/>
    <m/>
    <m/>
  </r>
  <r>
    <x v="1"/>
    <x v="1"/>
    <s v="Asia"/>
    <s v="Comprehensive Strategic Cooperative Partnership [全面战略合作伙伴关系]"/>
    <x v="0"/>
    <s v="INDOPACOM"/>
    <x v="1"/>
    <x v="24"/>
    <n v="4"/>
    <s v="BL - Hosted"/>
    <s v="Fang Fenghui"/>
    <m/>
    <s v="GSD Commander; CMC Member"/>
    <n v="8"/>
    <x v="2"/>
    <s v="Chief of Second Bureau of Special Operations, Myanmar Army"/>
    <x v="0"/>
    <m/>
    <m/>
    <m/>
    <m/>
    <x v="12"/>
    <m/>
    <m/>
    <m/>
    <m/>
  </r>
  <r>
    <x v="1"/>
    <x v="3"/>
    <s v="Europe and Central Asia"/>
    <s v="Comprehensive Collaborative Strategic Partnership [全面战略协作伙伴关系]"/>
    <x v="0"/>
    <s v="EUCOM"/>
    <x v="7"/>
    <x v="24"/>
    <n v="4"/>
    <s v="BL - Abroad"/>
    <s v="Chang Wanquan"/>
    <m/>
    <s v="Defense Minister; CMC Member"/>
    <n v="8"/>
    <x v="1"/>
    <m/>
    <x v="0"/>
    <m/>
    <m/>
    <m/>
    <m/>
    <x v="12"/>
    <m/>
    <m/>
    <m/>
    <m/>
  </r>
  <r>
    <x v="2"/>
    <x v="6"/>
    <s v="Europe and Central Asia"/>
    <s v="Member"/>
    <x v="0"/>
    <s v="CENTCOM"/>
    <x v="14"/>
    <x v="24"/>
    <n v="4"/>
    <s v="Military Exercise - Multilateral"/>
    <m/>
    <m/>
    <m/>
    <m/>
    <x v="0"/>
    <m/>
    <x v="1"/>
    <s v="None"/>
    <s v="Army"/>
    <s v="SCO anti-terrorism; Kazakhstan, Kyrgyzstan, Tajikistan,Russia"/>
    <m/>
    <x v="12"/>
    <m/>
    <m/>
    <m/>
    <m/>
  </r>
  <r>
    <x v="1"/>
    <x v="1"/>
    <s v="Asia"/>
    <s v="All-Round Cooperative Partnership [全方合作伙伴关系]"/>
    <x v="0"/>
    <s v="INDOPACOM"/>
    <x v="39"/>
    <x v="24"/>
    <n v="4"/>
    <s v="BL - Hosted"/>
    <s v="Chang Wanquan"/>
    <m/>
    <s v="Defense Minister; CMC Member"/>
    <n v="8"/>
    <x v="2"/>
    <s v="Chief of Defense Force"/>
    <x v="0"/>
    <m/>
    <m/>
    <m/>
    <m/>
    <x v="12"/>
    <m/>
    <m/>
    <m/>
    <m/>
  </r>
  <r>
    <x v="0"/>
    <x v="7"/>
    <s v="West Asia and Africa"/>
    <s v="Comprehensive Strategic Partnership [全面战略伙伴关系]"/>
    <x v="0"/>
    <s v="AFRICOM"/>
    <x v="15"/>
    <x v="24"/>
    <n v="4"/>
    <s v="Port Call - Friendly Visit"/>
    <m/>
    <m/>
    <m/>
    <m/>
    <x v="0"/>
    <m/>
    <x v="0"/>
    <m/>
    <m/>
    <m/>
    <s v="NETF"/>
    <x v="67"/>
    <s v="East Sea Fleet"/>
    <s v="survey ship"/>
    <m/>
    <m/>
  </r>
  <r>
    <x v="1"/>
    <x v="1"/>
    <s v="Asia"/>
    <s v="Comprehensive Strategic Cooperative Partnership [全面战略合作伙伴关系]"/>
    <x v="3"/>
    <s v="INDOPACOM"/>
    <x v="5"/>
    <x v="24"/>
    <n v="4"/>
    <s v="BL - Hosted"/>
    <s v="Xu Qiliang"/>
    <m/>
    <s v="CMC Vice Chairman"/>
    <n v="10"/>
    <x v="2"/>
    <s v="Defense Minister"/>
    <x v="0"/>
    <m/>
    <m/>
    <m/>
    <m/>
    <x v="12"/>
    <m/>
    <m/>
    <m/>
    <m/>
  </r>
  <r>
    <x v="0"/>
    <x v="9"/>
    <s v="West Asia and Africa"/>
    <s v="No Specific Relationship"/>
    <x v="0"/>
    <s v="CENTCOM"/>
    <x v="135"/>
    <x v="24"/>
    <n v="4"/>
    <s v="Port Call - NEO"/>
    <m/>
    <m/>
    <m/>
    <m/>
    <x v="0"/>
    <m/>
    <x v="0"/>
    <m/>
    <m/>
    <m/>
    <s v="ETF"/>
    <x v="66"/>
    <s v="North Sea Fleet"/>
    <s v="Linyi FFG, Weifang FFG"/>
    <s v="https://jamestown.org/program/pla-navy-used-for-first-time-in-naval-evacuation-from-yemen-conflict/"/>
    <s v="Yemen NEO"/>
  </r>
  <r>
    <x v="2"/>
    <x v="1"/>
    <s v="Asia"/>
    <s v="Strategic Partnership [战略伙伴关系] for Peace and Prosperity"/>
    <x v="0"/>
    <s v="INDOPACOM"/>
    <x v="153"/>
    <x v="24"/>
    <n v="5"/>
    <s v="Military Exercise - Multilateral"/>
    <m/>
    <m/>
    <m/>
    <m/>
    <x v="0"/>
    <m/>
    <x v="2"/>
    <s v="ARF Disaster Relief - DiRex 2015"/>
    <s v="Navy"/>
    <s v="HADR. Other countries: Malaysia, Brunei, Cambodia, India, Indonesia, Singapore, Thailand, Vietnam"/>
    <m/>
    <x v="12"/>
    <m/>
    <m/>
    <m/>
    <s v="corrected partnership to strategic partnership for peace and prosperity"/>
  </r>
  <r>
    <x v="1"/>
    <x v="5"/>
    <s v="America and Oceania"/>
    <s v="Comprehensive Strategic Partnership [全面战略伙伴关系]"/>
    <x v="4"/>
    <s v="INDOPACOM"/>
    <x v="12"/>
    <x v="24"/>
    <n v="5"/>
    <s v="BL - Hosted"/>
    <s v="Wang Jianping"/>
    <m/>
    <s v="GSD DCGS"/>
    <n v="6"/>
    <x v="2"/>
    <s v="Chief of Joint Operations"/>
    <x v="0"/>
    <m/>
    <m/>
    <m/>
    <m/>
    <x v="12"/>
    <m/>
    <m/>
    <m/>
    <m/>
  </r>
  <r>
    <x v="1"/>
    <x v="8"/>
    <s v="Europe and Central Asia"/>
    <s v="Comprehensive Strategic Partnership [全面战略伙伴关系]"/>
    <x v="0"/>
    <s v="EUCOM"/>
    <x v="34"/>
    <x v="24"/>
    <n v="5"/>
    <s v="BL - Hosted"/>
    <s v="Fan Changlong"/>
    <m/>
    <s v="CMC Vice Chairman"/>
    <n v="10"/>
    <x v="2"/>
    <s v="Defense Minister"/>
    <x v="0"/>
    <m/>
    <m/>
    <m/>
    <m/>
    <x v="12"/>
    <m/>
    <m/>
    <m/>
    <m/>
  </r>
  <r>
    <x v="0"/>
    <x v="10"/>
    <s v="America and Oceania"/>
    <s v="Comprehensive Strategic Partnership [全面战略伙伴关系]"/>
    <x v="0"/>
    <s v="SOUTHCOM"/>
    <x v="43"/>
    <x v="24"/>
    <n v="5"/>
    <s v="Port Call - Friendly Visit"/>
    <m/>
    <m/>
    <m/>
    <m/>
    <x v="0"/>
    <m/>
    <x v="0"/>
    <m/>
    <m/>
    <m/>
    <s v="NETF"/>
    <x v="68"/>
    <s v="East Sea Fleet"/>
    <s v="survey ship"/>
    <m/>
    <m/>
  </r>
  <r>
    <x v="2"/>
    <x v="8"/>
    <s v="Europe and Central Asia"/>
    <s v="Comprehensive Strategic Partnership [全面战略伙伴关系]"/>
    <x v="5"/>
    <s v="EUCOM"/>
    <x v="22"/>
    <x v="24"/>
    <n v="5"/>
    <s v="Military Exercise - Bilateral"/>
    <m/>
    <m/>
    <m/>
    <m/>
    <x v="0"/>
    <m/>
    <x v="2"/>
    <s v="None"/>
    <s v="Navy"/>
    <s v="FFG529 Zhoushan UNREP sailing, boarding"/>
    <m/>
    <x v="12"/>
    <m/>
    <m/>
    <s v="https://www.scmp.com/news/hong-kong/community/article/2135579/pla-garrison-holds-joint-exercise-french-navy-frigate"/>
    <m/>
  </r>
  <r>
    <x v="1"/>
    <x v="1"/>
    <s v="Asia"/>
    <s v="No Specific Relationship"/>
    <x v="0"/>
    <s v="INDOPACOM"/>
    <x v="137"/>
    <x v="24"/>
    <n v="5"/>
    <s v="ML - Abroad"/>
    <s v="Sun Jianguo"/>
    <m/>
    <s v="CMC/JSD DCJS"/>
    <n v="6"/>
    <x v="1"/>
    <s v="Defense Minister; 14th Shangri-la"/>
    <x v="0"/>
    <m/>
    <m/>
    <m/>
    <m/>
    <x v="12"/>
    <m/>
    <m/>
    <m/>
    <m/>
  </r>
  <r>
    <x v="1"/>
    <x v="1"/>
    <s v="Asia"/>
    <s v="Comprehensive Strategic Partnership [全面战略伙伴关系]"/>
    <x v="0"/>
    <s v="INDOPACOM"/>
    <x v="8"/>
    <x v="24"/>
    <n v="5"/>
    <s v="ML - Margins"/>
    <s v="Sun Jianguo"/>
    <m/>
    <s v="GSD DCGS"/>
    <n v="6"/>
    <x v="1"/>
    <s v="Defense Minister; 14th Shangri-la"/>
    <x v="0"/>
    <m/>
    <m/>
    <m/>
    <m/>
    <x v="12"/>
    <m/>
    <m/>
    <m/>
    <m/>
  </r>
  <r>
    <x v="1"/>
    <x v="8"/>
    <s v="Europe and Central Asia"/>
    <s v="Comprehensive Strategic Partnership [全面战略伙伴关系]"/>
    <x v="5"/>
    <s v="EUCOM"/>
    <x v="20"/>
    <x v="24"/>
    <n v="5"/>
    <s v="BL - Hosted"/>
    <s v="Chang Wanquan"/>
    <m/>
    <s v="Defense Minister; CMC Member"/>
    <n v="8"/>
    <x v="2"/>
    <s v="Air Force Chief of Staff"/>
    <x v="0"/>
    <m/>
    <m/>
    <m/>
    <m/>
    <x v="12"/>
    <m/>
    <m/>
    <m/>
    <m/>
  </r>
  <r>
    <x v="1"/>
    <x v="4"/>
    <s v="Asia"/>
    <s v="Mutually Beneficial Strategic Relationship [战略互惠关系]"/>
    <x v="3"/>
    <s v="INDOPACOM"/>
    <x v="83"/>
    <x v="24"/>
    <n v="5"/>
    <s v="ML - Margins"/>
    <s v="Sun Jianguo"/>
    <m/>
    <s v="GSD DCGS"/>
    <n v="6"/>
    <x v="1"/>
    <s v="Director General of Defense Policy Bureau, Ministry of Defense; 14th Shangri-la"/>
    <x v="0"/>
    <m/>
    <m/>
    <m/>
    <m/>
    <x v="12"/>
    <m/>
    <m/>
    <m/>
    <m/>
  </r>
  <r>
    <x v="1"/>
    <x v="1"/>
    <s v="Asia"/>
    <s v="Comprehensive Strategic Cooperative Partnership [全面战略合作伙伴关系]"/>
    <x v="0"/>
    <s v="INDOPACOM"/>
    <x v="52"/>
    <x v="24"/>
    <n v="5"/>
    <s v="BL - Abroad"/>
    <s v="Xu Qiliang"/>
    <m/>
    <s v="CMC Vice Chairman"/>
    <n v="10"/>
    <x v="1"/>
    <m/>
    <x v="0"/>
    <m/>
    <m/>
    <m/>
    <m/>
    <x v="12"/>
    <m/>
    <m/>
    <m/>
    <m/>
  </r>
  <r>
    <x v="1"/>
    <x v="1"/>
    <s v="Asia"/>
    <s v="Comprehensive Strategic Partnership [全面战略伙伴关系]"/>
    <x v="0"/>
    <s v="INDOPACOM"/>
    <x v="10"/>
    <x v="24"/>
    <n v="5"/>
    <s v="BL - Hosted"/>
    <s v="Xu Qiliang"/>
    <m/>
    <s v="CMC Vice Chairman"/>
    <n v="10"/>
    <x v="2"/>
    <s v="Defense Minister"/>
    <x v="0"/>
    <m/>
    <m/>
    <m/>
    <m/>
    <x v="12"/>
    <m/>
    <m/>
    <m/>
    <m/>
  </r>
  <r>
    <x v="1"/>
    <x v="8"/>
    <s v="Europe and Central Asia"/>
    <s v="No Specific Relationship"/>
    <x v="5"/>
    <s v="EUCOM"/>
    <x v="151"/>
    <x v="24"/>
    <n v="5"/>
    <s v="ML - Margins"/>
    <s v="Sun Jianguo"/>
    <m/>
    <s v="GSD DCGS"/>
    <n v="6"/>
    <x v="1"/>
    <s v="Chairman NATO Military Committee ; 14th Shangri-la"/>
    <x v="0"/>
    <m/>
    <m/>
    <m/>
    <m/>
    <x v="12"/>
    <m/>
    <m/>
    <m/>
    <m/>
  </r>
  <r>
    <x v="1"/>
    <x v="5"/>
    <s v="America and Oceania"/>
    <s v="Comprehensive Strategic Partnership [全面战略伙伴关系]"/>
    <x v="4"/>
    <s v="INDOPACOM"/>
    <x v="13"/>
    <x v="24"/>
    <n v="5"/>
    <s v="ML - Margins"/>
    <s v="Sun Jianguo"/>
    <m/>
    <s v="GSD DCGS"/>
    <n v="6"/>
    <x v="1"/>
    <s v="Defense Minister; 14th Shangri-la"/>
    <x v="0"/>
    <m/>
    <m/>
    <m/>
    <m/>
    <x v="12"/>
    <m/>
    <m/>
    <m/>
    <m/>
  </r>
  <r>
    <x v="0"/>
    <x v="9"/>
    <s v="West Asia and Africa"/>
    <s v="No Specific Relationship"/>
    <x v="0"/>
    <s v="CENTCOM"/>
    <x v="147"/>
    <x v="24"/>
    <n v="5"/>
    <s v="Port Call - Replenish/Overhaul"/>
    <m/>
    <m/>
    <m/>
    <m/>
    <x v="0"/>
    <m/>
    <x v="0"/>
    <m/>
    <m/>
    <m/>
    <s v="ETF"/>
    <x v="69"/>
    <s v="East Sea Fleet"/>
    <s v="DDG152 Jinan, FFG548 Yiyang, AOR886 Qiandao Hu "/>
    <m/>
    <m/>
  </r>
  <r>
    <x v="1"/>
    <x v="0"/>
    <s v="Asia"/>
    <s v="All-Weather Strategic Cooperative Partnership [全天候战略合作伙伴关系]"/>
    <x v="1"/>
    <s v="CENTCOM"/>
    <x v="2"/>
    <x v="24"/>
    <n v="5"/>
    <s v="BL - Hosted"/>
    <s v="Qi Jianguo"/>
    <m/>
    <s v="GSD DCGS"/>
    <n v="6"/>
    <x v="2"/>
    <s v="Director General of Armored Corps, Army GHQ"/>
    <x v="0"/>
    <m/>
    <m/>
    <m/>
    <m/>
    <x v="12"/>
    <m/>
    <m/>
    <m/>
    <m/>
  </r>
  <r>
    <x v="1"/>
    <x v="3"/>
    <s v="Europe and Central Asia"/>
    <s v="Comprehensive Collaborative Strategic Partnership [全面战略协作伙伴关系]"/>
    <x v="0"/>
    <s v="EUCOM"/>
    <x v="7"/>
    <x v="24"/>
    <n v="5"/>
    <s v="BL - Abroad"/>
    <s v="Fan Changlong"/>
    <m/>
    <s v="CMC Vice Chairman"/>
    <n v="10"/>
    <x v="1"/>
    <m/>
    <x v="0"/>
    <m/>
    <m/>
    <m/>
    <m/>
    <x v="12"/>
    <m/>
    <m/>
    <m/>
    <m/>
  </r>
  <r>
    <x v="0"/>
    <x v="3"/>
    <s v="Europe and Central Asia"/>
    <s v="Comprehensive Collaborative Strategic Partnership [全面战略协作伙伴关系]"/>
    <x v="0"/>
    <s v="EUCOM"/>
    <x v="7"/>
    <x v="24"/>
    <n v="5"/>
    <s v="Port Call - Friendly Visit"/>
    <m/>
    <m/>
    <m/>
    <m/>
    <x v="0"/>
    <m/>
    <x v="0"/>
    <m/>
    <m/>
    <m/>
    <s v="ETF"/>
    <x v="70"/>
    <s v="North Sea Fleet"/>
    <s v="FFG547 Linyi, FFG550 Weifang, AOR887 Weishan Hu; unknown, could also be ETF-20"/>
    <m/>
    <m/>
  </r>
  <r>
    <x v="2"/>
    <x v="3"/>
    <s v="Europe and Central Asia"/>
    <s v="Comprehensive Collaborative Strategic Partnership [全面战略协作伙伴关系]"/>
    <x v="0"/>
    <s v="EUCOM"/>
    <x v="7"/>
    <x v="24"/>
    <n v="5"/>
    <s v="Military Exercise - Bilateral"/>
    <m/>
    <m/>
    <m/>
    <m/>
    <x v="0"/>
    <m/>
    <x v="3"/>
    <s v="Joint Sea 2015 (I)"/>
    <s v="Navy"/>
    <s v="Maritime naval exercises in Mediterrean Sea.  May 11-21"/>
    <m/>
    <x v="12"/>
    <m/>
    <m/>
    <m/>
    <m/>
  </r>
  <r>
    <x v="1"/>
    <x v="1"/>
    <s v="Asia"/>
    <s v="All-Round Cooperative Partnership [全方合作伙伴关系]"/>
    <x v="0"/>
    <s v="INDOPACOM"/>
    <x v="39"/>
    <x v="24"/>
    <n v="5"/>
    <s v="ML - Margins"/>
    <s v="Sun Jianguo"/>
    <m/>
    <s v="GSD DCGS"/>
    <n v="6"/>
    <x v="1"/>
    <s v="Defense Minister; 14th Shangri-la"/>
    <x v="0"/>
    <m/>
    <m/>
    <m/>
    <m/>
    <x v="12"/>
    <m/>
    <m/>
    <m/>
    <m/>
  </r>
  <r>
    <x v="2"/>
    <x v="1"/>
    <s v="Asia"/>
    <s v="All-Round Cooperative Partnership [全方合作伙伴关系]"/>
    <x v="0"/>
    <s v="INDOPACOM"/>
    <x v="39"/>
    <x v="24"/>
    <n v="5"/>
    <s v="Military Exercise - Bilateral"/>
    <m/>
    <m/>
    <m/>
    <m/>
    <x v="0"/>
    <m/>
    <x v="3"/>
    <s v="Maritime Cooperation 2015"/>
    <s v="Navy"/>
    <s v="maritime naval exercises; gunnery firing and manoeuvring drills; air-defence and other war-fighting drills."/>
    <m/>
    <x v="12"/>
    <m/>
    <m/>
    <s v="https://www.mindef.gov.sg/web/portal/mindef/news-and-events/latest-releases/article-detail/2015/may/2015may25-news-releases-02118"/>
    <m/>
  </r>
  <r>
    <x v="1"/>
    <x v="4"/>
    <s v="Asia"/>
    <s v="Strategic Cooperative Partnership [战略合作伙伴关系]"/>
    <x v="3"/>
    <s v="INDOPACOM"/>
    <x v="25"/>
    <x v="24"/>
    <n v="5"/>
    <s v="ML - Margins"/>
    <s v="Sun Jianguo"/>
    <m/>
    <s v="GSD DCGS"/>
    <n v="6"/>
    <x v="1"/>
    <s v="Defense Minister; 14th Shangri-la"/>
    <x v="0"/>
    <m/>
    <m/>
    <m/>
    <m/>
    <x v="12"/>
    <m/>
    <m/>
    <m/>
    <m/>
  </r>
  <r>
    <x v="1"/>
    <x v="0"/>
    <s v="Asia"/>
    <s v="Strategic Cooperative Partnership [战略合作伙伴关系]"/>
    <x v="0"/>
    <s v="INDOPACOM"/>
    <x v="3"/>
    <x v="24"/>
    <n v="5"/>
    <s v="ML - Margins"/>
    <s v="Sun Jianguo"/>
    <m/>
    <s v="GSD DCGS"/>
    <n v="6"/>
    <x v="1"/>
    <s v="Defense Minister; 14th Shangri-la"/>
    <x v="0"/>
    <m/>
    <m/>
    <m/>
    <m/>
    <x v="12"/>
    <m/>
    <m/>
    <m/>
    <m/>
  </r>
  <r>
    <x v="1"/>
    <x v="8"/>
    <s v="Europe and Central Asia"/>
    <s v="No Specific Relationship"/>
    <x v="0"/>
    <s v="EUCOM"/>
    <x v="78"/>
    <x v="24"/>
    <n v="5"/>
    <s v="BL - Abroad"/>
    <s v="Sun Jianguo"/>
    <m/>
    <s v="GSD DCGS"/>
    <n v="6"/>
    <x v="1"/>
    <s v="Deputy Secretary General of Ministry of Defense; 14th Shangri-la"/>
    <x v="0"/>
    <m/>
    <m/>
    <m/>
    <m/>
    <x v="12"/>
    <m/>
    <m/>
    <m/>
    <m/>
  </r>
  <r>
    <x v="1"/>
    <x v="1"/>
    <s v="Asia"/>
    <s v="Comprehensive Strategic Cooperative Partnership [全面战略合作伙伴关系]"/>
    <x v="3"/>
    <s v="INDOPACOM"/>
    <x v="5"/>
    <x v="24"/>
    <n v="5"/>
    <s v="BL - Abroad"/>
    <s v="Xu Qiliang"/>
    <m/>
    <s v="CMC Vice Chairman"/>
    <n v="10"/>
    <x v="1"/>
    <m/>
    <x v="0"/>
    <m/>
    <m/>
    <m/>
    <m/>
    <x v="12"/>
    <m/>
    <m/>
    <m/>
    <m/>
  </r>
  <r>
    <x v="2"/>
    <x v="8"/>
    <s v="Europe and Central Asia"/>
    <s v="Strategic Cooperative Partnership [战略合作伙伴关系]"/>
    <x v="5"/>
    <s v="EUCOM"/>
    <x v="38"/>
    <x v="24"/>
    <n v="5"/>
    <s v="Military Exercise - Bilateral"/>
    <m/>
    <m/>
    <m/>
    <m/>
    <x v="0"/>
    <m/>
    <x v="2"/>
    <s v="None"/>
    <s v="Navy"/>
    <s v="communication and fleet maneuvers"/>
    <m/>
    <x v="12"/>
    <m/>
    <m/>
    <m/>
    <m/>
  </r>
  <r>
    <x v="0"/>
    <x v="8"/>
    <s v="Europe and Central Asia"/>
    <s v="Strategic Cooperative Partnership [战略合作伙伴关系]"/>
    <x v="5"/>
    <s v="EUCOM"/>
    <x v="38"/>
    <x v="24"/>
    <n v="5"/>
    <s v="Port Call - Friendly Visit"/>
    <m/>
    <m/>
    <m/>
    <m/>
    <x v="0"/>
    <m/>
    <x v="0"/>
    <m/>
    <m/>
    <m/>
    <s v="ETF"/>
    <x v="66"/>
    <s v="North Sea Fleet"/>
    <s v="FFG547 Linyi, FFG550 Weifang, AOR887 Weishan Hu"/>
    <m/>
    <m/>
  </r>
  <r>
    <x v="1"/>
    <x v="2"/>
    <s v="America and Oceania"/>
    <s v="No Specific Relationship"/>
    <x v="2"/>
    <s v="NORTHCOM"/>
    <x v="4"/>
    <x v="24"/>
    <n v="5"/>
    <s v="BL - Abroad"/>
    <s v="Li Zuocheng"/>
    <m/>
    <s v="MR Commander"/>
    <n v="6"/>
    <x v="1"/>
    <s v="PACOM Deputy Commander"/>
    <x v="0"/>
    <m/>
    <m/>
    <m/>
    <m/>
    <x v="12"/>
    <m/>
    <m/>
    <s v="2016 CH Milpower Report"/>
    <m/>
  </r>
  <r>
    <x v="1"/>
    <x v="2"/>
    <s v="America and Oceania"/>
    <s v="No Specific Relationship"/>
    <x v="2"/>
    <s v="NORTHCOM"/>
    <x v="4"/>
    <x v="24"/>
    <n v="5"/>
    <s v="BL - Hosted"/>
    <s v="Huang Guoxian"/>
    <m/>
    <s v="MR Deputy Commander"/>
    <n v="5"/>
    <x v="2"/>
    <s v="PACAF Commander"/>
    <x v="0"/>
    <m/>
    <m/>
    <m/>
    <m/>
    <x v="12"/>
    <m/>
    <m/>
    <s v="2016 CH Milpower Report"/>
    <m/>
  </r>
  <r>
    <x v="1"/>
    <x v="1"/>
    <s v="Asia"/>
    <s v="Comprehensive Strategic Cooperative Partnership [全面战略合作伙伴关系]"/>
    <x v="0"/>
    <s v="INDOPACOM"/>
    <x v="23"/>
    <x v="24"/>
    <n v="5"/>
    <s v="BL - Hosted"/>
    <s v="Chang Wanquan"/>
    <m/>
    <s v="Defense Minister; CMC Member"/>
    <n v="8"/>
    <x v="2"/>
    <s v="Defense Minister"/>
    <x v="0"/>
    <m/>
    <m/>
    <m/>
    <m/>
    <x v="12"/>
    <m/>
    <m/>
    <m/>
    <m/>
  </r>
  <r>
    <x v="2"/>
    <x v="4"/>
    <s v="N/A"/>
    <s v="Member"/>
    <x v="0"/>
    <s v="INDOPACOM"/>
    <x v="136"/>
    <x v="24"/>
    <n v="5"/>
    <s v="Military Exercise - Multilateral"/>
    <m/>
    <m/>
    <m/>
    <m/>
    <x v="0"/>
    <m/>
    <x v="2"/>
    <s v="WPNS 2015"/>
    <s v="Navy"/>
    <s v="maritime surveillance and SAR. Other countries: Singapore, Indonesia, Thailand, United States"/>
    <m/>
    <x v="12"/>
    <m/>
    <m/>
    <m/>
    <m/>
  </r>
  <r>
    <x v="2"/>
    <x v="8"/>
    <s v="Europe and Central Asia"/>
    <s v="Comprehensive Strategic Partnership [全面战略伙伴关系]"/>
    <x v="0"/>
    <s v="EUCOM"/>
    <x v="34"/>
    <x v="24"/>
    <n v="6"/>
    <s v="Military Exercise - Bilateral"/>
    <m/>
    <m/>
    <m/>
    <m/>
    <x v="0"/>
    <m/>
    <x v="1"/>
    <s v="Divine Eagle 2015"/>
    <s v="Air Force"/>
    <s v="Airborne forces"/>
    <m/>
    <x v="12"/>
    <m/>
    <m/>
    <m/>
    <m/>
  </r>
  <r>
    <x v="1"/>
    <x v="10"/>
    <s v="America and Oceania"/>
    <s v="Strategic Partnership [战略伙伴关系]"/>
    <x v="0"/>
    <s v="SOUTHCOM"/>
    <x v="66"/>
    <x v="24"/>
    <n v="6"/>
    <s v="BL - Hosted"/>
    <s v="Chang Wanquan"/>
    <m/>
    <s v="Defense Minister; CMC Member"/>
    <n v="8"/>
    <x v="2"/>
    <s v="Defense Minister"/>
    <x v="0"/>
    <m/>
    <m/>
    <m/>
    <m/>
    <x v="12"/>
    <m/>
    <m/>
    <m/>
    <m/>
  </r>
  <r>
    <x v="0"/>
    <x v="8"/>
    <s v="Europe and Central Asia"/>
    <s v="Comprehensive Cooperative Partnership [全面合作伙伴关系]"/>
    <x v="5"/>
    <s v="EUCOM"/>
    <x v="35"/>
    <x v="24"/>
    <n v="6"/>
    <s v="Port Call - Friendly Visit"/>
    <m/>
    <m/>
    <m/>
    <m/>
    <x v="0"/>
    <m/>
    <x v="0"/>
    <m/>
    <m/>
    <m/>
    <s v="ETF"/>
    <x v="66"/>
    <s v="North Sea Fleet"/>
    <s v="FFG547 Linyi, FFG550 Weifang, AOR887 Weishan Hu"/>
    <m/>
    <m/>
  </r>
  <r>
    <x v="1"/>
    <x v="10"/>
    <s v="America and Oceania"/>
    <s v="No Specific Relationship"/>
    <x v="0"/>
    <s v="SOUTHCOM"/>
    <x v="49"/>
    <x v="24"/>
    <n v="6"/>
    <s v="BL - Abroad"/>
    <s v="Fan Changlong"/>
    <m/>
    <s v="CMC Vice Chairman"/>
    <n v="10"/>
    <x v="1"/>
    <m/>
    <x v="0"/>
    <m/>
    <m/>
    <m/>
    <m/>
    <x v="12"/>
    <m/>
    <m/>
    <m/>
    <m/>
  </r>
  <r>
    <x v="0"/>
    <x v="10"/>
    <s v="America and Oceania"/>
    <s v="Strategic Partnership [战略伙伴关系]"/>
    <x v="0"/>
    <s v="SOUTHCOM"/>
    <x v="51"/>
    <x v="24"/>
    <n v="6"/>
    <s v="Port Call - Friendly Visit"/>
    <m/>
    <m/>
    <m/>
    <m/>
    <x v="0"/>
    <m/>
    <x v="0"/>
    <m/>
    <m/>
    <m/>
    <s v="NETF"/>
    <x v="68"/>
    <s v="East Sea Fleet"/>
    <s v="survey ship"/>
    <m/>
    <m/>
  </r>
  <r>
    <x v="1"/>
    <x v="8"/>
    <s v="Europe and Central Asia"/>
    <s v="Comprehensive Strategic Partnership [全面战略伙伴关系]"/>
    <x v="5"/>
    <s v="EUCOM"/>
    <x v="29"/>
    <x v="24"/>
    <n v="6"/>
    <s v="BL - Hosted"/>
    <s v="Ma Xiaotian"/>
    <m/>
    <s v="PLAAF Commander; CMC Member"/>
    <n v="8"/>
    <x v="2"/>
    <s v="Air Force COGS"/>
    <x v="0"/>
    <m/>
    <m/>
    <m/>
    <m/>
    <x v="12"/>
    <m/>
    <m/>
    <m/>
    <m/>
  </r>
  <r>
    <x v="0"/>
    <x v="8"/>
    <s v="Europe and Central Asia"/>
    <s v="Comprehensive Strategic Partnership [全面战略伙伴关系]"/>
    <x v="5"/>
    <s v="EUCOM"/>
    <x v="20"/>
    <x v="24"/>
    <n v="6"/>
    <s v="Port Call - Friendly Visit"/>
    <m/>
    <m/>
    <m/>
    <m/>
    <x v="0"/>
    <m/>
    <x v="0"/>
    <m/>
    <m/>
    <m/>
    <s v="ETF"/>
    <x v="66"/>
    <s v="North Sea Fleet"/>
    <s v="FFG547 Linyi, FFG550 Weifang, AOR887 Weishan Hu"/>
    <m/>
    <m/>
  </r>
  <r>
    <x v="1"/>
    <x v="6"/>
    <s v="Europe and Central Asia"/>
    <s v="Strategic Partnership [战略伙伴关系]"/>
    <x v="0"/>
    <s v="CENTCOM"/>
    <x v="31"/>
    <x v="24"/>
    <n v="6"/>
    <s v="BL - Hosted"/>
    <s v="Du Jincai"/>
    <m/>
    <s v="GPD Deputy Director"/>
    <n v="6"/>
    <x v="2"/>
    <s v="President of the Military Court"/>
    <x v="0"/>
    <m/>
    <m/>
    <m/>
    <m/>
    <x v="12"/>
    <m/>
    <m/>
    <m/>
    <m/>
  </r>
  <r>
    <x v="0"/>
    <x v="1"/>
    <s v="Asia"/>
    <s v="Comprehensive Strategic Partnership [全面战略伙伴关系]"/>
    <x v="0"/>
    <s v="INDOPACOM"/>
    <x v="10"/>
    <x v="24"/>
    <n v="6"/>
    <s v="Port Call - Replenish/Overhaul and Friendly Visit"/>
    <m/>
    <m/>
    <m/>
    <m/>
    <x v="0"/>
    <m/>
    <x v="0"/>
    <m/>
    <m/>
    <m/>
    <s v="ETF"/>
    <x v="66"/>
    <s v="North Sea Fleet"/>
    <s v="FFG547 Linyi, FFG550 Weifang, AOR887 Weishan Hu"/>
    <m/>
    <m/>
  </r>
  <r>
    <x v="2"/>
    <x v="4"/>
    <s v="Asia"/>
    <s v="Comprehensive Strategic Partnership [全面战略伙伴关系]"/>
    <x v="0"/>
    <s v="INDOPACOM"/>
    <x v="53"/>
    <x v="24"/>
    <n v="6"/>
    <s v="Military Exercise - Multilateral"/>
    <m/>
    <m/>
    <m/>
    <m/>
    <x v="0"/>
    <m/>
    <x v="2"/>
    <s v="Khaan Quest 2015"/>
    <s v="Army"/>
    <s v="Peacekeeping "/>
    <m/>
    <x v="12"/>
    <m/>
    <m/>
    <s v="http://www.pacom.mil/Media/News/Article/600918/exercise-khaan-quest-2015/ "/>
    <m/>
  </r>
  <r>
    <x v="2"/>
    <x v="4"/>
    <s v="Asia"/>
    <s v="Comprehensive Strategic Partnership [全面战略伙伴关系]"/>
    <x v="0"/>
    <s v="INDOPACOM"/>
    <x v="53"/>
    <x v="24"/>
    <n v="6"/>
    <s v="Military Exercise - Multilateral"/>
    <m/>
    <m/>
    <m/>
    <m/>
    <x v="0"/>
    <m/>
    <x v="2"/>
    <s v="Khaan Quest 2015"/>
    <s v="Army"/>
    <s v="PKO and Stability ops. Other countries: refer to source for a complete list of countries "/>
    <m/>
    <x v="12"/>
    <m/>
    <m/>
    <m/>
    <m/>
  </r>
  <r>
    <x v="1"/>
    <x v="5"/>
    <s v="America and Oceania"/>
    <s v="Comprehensive Strategic Partnership [全面战略伙伴关系]"/>
    <x v="4"/>
    <s v="INDOPACOM"/>
    <x v="13"/>
    <x v="24"/>
    <n v="6"/>
    <s v="BL - Hosted"/>
    <s v="Fang Fenghui"/>
    <m/>
    <s v="GSD Commander; CMC Member"/>
    <n v="8"/>
    <x v="2"/>
    <s v="NZDF Chief"/>
    <x v="0"/>
    <m/>
    <m/>
    <m/>
    <m/>
    <x v="12"/>
    <m/>
    <m/>
    <m/>
    <m/>
  </r>
  <r>
    <x v="1"/>
    <x v="0"/>
    <s v="Asia"/>
    <s v="All-Weather Strategic Cooperative Partnership [全天候战略合作伙伴关系]"/>
    <x v="1"/>
    <s v="CENTCOM"/>
    <x v="2"/>
    <x v="24"/>
    <n v="6"/>
    <s v="BL - Hosted"/>
    <s v="Fan Changlong"/>
    <m/>
    <s v="CMC Vice Chairman"/>
    <n v="10"/>
    <x v="2"/>
    <s v="Air Force Chief Marshal"/>
    <x v="0"/>
    <m/>
    <m/>
    <m/>
    <m/>
    <x v="12"/>
    <m/>
    <m/>
    <m/>
    <m/>
  </r>
  <r>
    <x v="1"/>
    <x v="0"/>
    <s v="Asia"/>
    <s v="Strategic Cooperative Partnership [战略合作伙伴关系]"/>
    <x v="0"/>
    <s v="INDOPACOM"/>
    <x v="3"/>
    <x v="24"/>
    <n v="6"/>
    <s v="BL - Hosted"/>
    <s v="Chang Wanquan"/>
    <m/>
    <s v="Defense Minister; CMC Member"/>
    <n v="8"/>
    <x v="2"/>
    <s v="Navy Commander"/>
    <x v="0"/>
    <m/>
    <m/>
    <m/>
    <m/>
    <x v="12"/>
    <m/>
    <m/>
    <m/>
    <m/>
  </r>
  <r>
    <x v="2"/>
    <x v="0"/>
    <s v="Asia"/>
    <s v="Strategic Cooperative Partnership [战略合作伙伴关系]"/>
    <x v="0"/>
    <s v="INDOPACOM"/>
    <x v="3"/>
    <x v="24"/>
    <n v="6"/>
    <s v="Military Exercise - Bilateral"/>
    <m/>
    <m/>
    <m/>
    <m/>
    <x v="0"/>
    <m/>
    <x v="1"/>
    <s v="Silk Road Cooperation 2015"/>
    <s v="PAP"/>
    <s v="joint drill with Guangdong PAP contingent"/>
    <m/>
    <x v="12"/>
    <m/>
    <m/>
    <s v="http://eng.mod.gov.cn/DefenseNews/2015-03/31/content_4577899.htm"/>
    <m/>
  </r>
  <r>
    <x v="1"/>
    <x v="2"/>
    <s v="America and Oceania"/>
    <s v="No Specific Relationship"/>
    <x v="2"/>
    <s v="NORTHCOM"/>
    <x v="4"/>
    <x v="24"/>
    <n v="6"/>
    <s v="BL - Abroad"/>
    <s v="Fan Changlong"/>
    <m/>
    <s v="CMC Vice Chairman"/>
    <n v="10"/>
    <x v="1"/>
    <s v="Secretary of Defense Carter"/>
    <x v="0"/>
    <m/>
    <m/>
    <m/>
    <m/>
    <x v="12"/>
    <m/>
    <m/>
    <s v="2016 CH Milpower Report"/>
    <m/>
  </r>
  <r>
    <x v="1"/>
    <x v="1"/>
    <s v="Asia"/>
    <s v="Comprehensive Strategic Cooperative Partnership [全面战略合作伙伴关系]"/>
    <x v="0"/>
    <s v="INDOPACOM"/>
    <x v="94"/>
    <x v="24"/>
    <n v="7"/>
    <s v="BL - Hosted"/>
    <s v="Xu Qiliang"/>
    <m/>
    <s v="CMC Vice Chairman"/>
    <n v="10"/>
    <x v="2"/>
    <s v="Deputy Prime Minister and Minister of Defense"/>
    <x v="0"/>
    <m/>
    <m/>
    <m/>
    <m/>
    <x v="12"/>
    <m/>
    <m/>
    <m/>
    <m/>
  </r>
  <r>
    <x v="1"/>
    <x v="5"/>
    <s v="America and Oceania"/>
    <s v="Strategic Partnership [战略伙伴关系]"/>
    <x v="0"/>
    <s v="INDOPACOM"/>
    <x v="128"/>
    <x v="24"/>
    <n v="7"/>
    <s v="BL - Hosted"/>
    <s v="Fang Fenghui"/>
    <m/>
    <s v="GSD Commander; CMC Member"/>
    <n v="8"/>
    <x v="2"/>
    <s v="Commander of Armed Forces"/>
    <x v="0"/>
    <m/>
    <m/>
    <m/>
    <m/>
    <x v="12"/>
    <m/>
    <m/>
    <m/>
    <s v="Coded as Oceania instead of Southeast Asia"/>
  </r>
  <r>
    <x v="1"/>
    <x v="8"/>
    <s v="Europe and Central Asia"/>
    <s v="No Specific Relationship"/>
    <x v="0"/>
    <s v="EUCOM"/>
    <x v="81"/>
    <x v="24"/>
    <n v="7"/>
    <s v="BL - Abroad"/>
    <s v="Chang Wanquan"/>
    <m/>
    <s v="Defense Minister; CMC Member"/>
    <n v="8"/>
    <x v="1"/>
    <m/>
    <x v="0"/>
    <m/>
    <m/>
    <m/>
    <m/>
    <x v="12"/>
    <m/>
    <m/>
    <m/>
    <m/>
  </r>
  <r>
    <x v="1"/>
    <x v="8"/>
    <s v="Europe and Central Asia"/>
    <s v="Comprehensive Strategic Partnership [全面战略伙伴关系]"/>
    <x v="5"/>
    <s v="EUCOM"/>
    <x v="20"/>
    <x v="24"/>
    <n v="7"/>
    <s v="BL - Hosted"/>
    <s v="Xu Qiliang"/>
    <m/>
    <s v="CMC Vice Chairman"/>
    <n v="10"/>
    <x v="2"/>
    <s v="Defense Minister"/>
    <x v="0"/>
    <m/>
    <m/>
    <m/>
    <m/>
    <x v="12"/>
    <m/>
    <m/>
    <m/>
    <m/>
  </r>
  <r>
    <x v="1"/>
    <x v="1"/>
    <s v="Asia"/>
    <s v="Comprehensive Strategic Cooperative Partnership [全面战略合作伙伴关系]"/>
    <x v="0"/>
    <s v="INDOPACOM"/>
    <x v="52"/>
    <x v="24"/>
    <n v="7"/>
    <s v="BL - Hosted"/>
    <s v="Xu Qiliang"/>
    <m/>
    <s v="CMC Vice Chairman"/>
    <n v="10"/>
    <x v="2"/>
    <s v="Defense Minister"/>
    <x v="0"/>
    <m/>
    <m/>
    <m/>
    <m/>
    <x v="12"/>
    <m/>
    <m/>
    <m/>
    <m/>
  </r>
  <r>
    <x v="2"/>
    <x v="0"/>
    <s v="Asia"/>
    <s v="All-Weather Strategic Cooperative Partnership [全天候战略合作伙伴关系]"/>
    <x v="1"/>
    <s v="CENTCOM"/>
    <x v="2"/>
    <x v="24"/>
    <n v="7"/>
    <s v="Military Exercise - Bilateral"/>
    <m/>
    <m/>
    <m/>
    <m/>
    <x v="0"/>
    <m/>
    <x v="1"/>
    <s v="Warrior-III"/>
    <s v="Army"/>
    <s v="SSG and PLAA SOF"/>
    <m/>
    <x v="12"/>
    <m/>
    <m/>
    <m/>
    <m/>
  </r>
  <r>
    <x v="1"/>
    <x v="3"/>
    <s v="Europe and Central Asia"/>
    <s v="Comprehensive Collaborative Strategic Partnership [全面战略协作伙伴关系]"/>
    <x v="0"/>
    <s v="EUCOM"/>
    <x v="7"/>
    <x v="24"/>
    <n v="7"/>
    <s v="BL - Abroad"/>
    <s v="Chang Wanquan"/>
    <m/>
    <s v="Defense Minister; CMC Member"/>
    <n v="8"/>
    <x v="1"/>
    <m/>
    <x v="0"/>
    <m/>
    <m/>
    <m/>
    <m/>
    <x v="12"/>
    <m/>
    <m/>
    <m/>
    <m/>
  </r>
  <r>
    <x v="1"/>
    <x v="6"/>
    <s v="Europe and Central Asia"/>
    <s v="Member"/>
    <x v="0"/>
    <s v="CENTCOM"/>
    <x v="14"/>
    <x v="24"/>
    <n v="7"/>
    <s v="ML - Abroad"/>
    <s v="Chang Wanquan"/>
    <m/>
    <s v="Defense Minister; CMC Member"/>
    <n v="8"/>
    <x v="1"/>
    <s v="12th official meeting of the SCO Ministers' of Defense in St Petersburg; Other countries: Kazakhstan, Kyrgyztan, Russia, Tajikistan, Uzbekistan"/>
    <x v="0"/>
    <m/>
    <m/>
    <m/>
    <m/>
    <x v="12"/>
    <m/>
    <m/>
    <s v="https://www.chinadaily.com.cn/world/2015xiatbricssco/2015-07/01/content_21149740.htm"/>
    <m/>
  </r>
  <r>
    <x v="1"/>
    <x v="1"/>
    <s v="Asia"/>
    <s v="All-Round Cooperative Partnership [全方合作伙伴关系]"/>
    <x v="0"/>
    <s v="INDOPACOM"/>
    <x v="39"/>
    <x v="24"/>
    <n v="7"/>
    <s v="BL - Hosted"/>
    <s v="Wu Shengli"/>
    <m/>
    <s v="PLAN Commander; CMC Member"/>
    <n v="8"/>
    <x v="2"/>
    <s v="Navy Commander"/>
    <x v="0"/>
    <m/>
    <m/>
    <m/>
    <m/>
    <x v="12"/>
    <m/>
    <m/>
    <m/>
    <m/>
  </r>
  <r>
    <x v="1"/>
    <x v="7"/>
    <s v="West Asia and Africa"/>
    <s v="Comprehensive Strategic Partnership [全面战略伙伴关系]"/>
    <x v="0"/>
    <s v="AFRICOM"/>
    <x v="15"/>
    <x v="24"/>
    <n v="7"/>
    <s v="BL - Hosted"/>
    <s v="Ma Xiaotian"/>
    <m/>
    <s v="PLAAF Commander; CMC Member"/>
    <n v="8"/>
    <x v="2"/>
    <s v="Air Force Commander"/>
    <x v="0"/>
    <m/>
    <m/>
    <m/>
    <m/>
    <x v="12"/>
    <m/>
    <m/>
    <m/>
    <m/>
  </r>
  <r>
    <x v="1"/>
    <x v="10"/>
    <s v="America and Oceania"/>
    <s v="Comprehensive Strategic Partnership [全面战略伙伴关系]"/>
    <x v="1"/>
    <s v="SOUTHCOM"/>
    <x v="62"/>
    <x v="24"/>
    <n v="8"/>
    <s v="BL - Hosted"/>
    <s v="Fang Fenghui"/>
    <m/>
    <s v="GSD Commander; CMC Member"/>
    <n v="8"/>
    <x v="2"/>
    <s v="Chairman JCS"/>
    <x v="0"/>
    <m/>
    <m/>
    <m/>
    <m/>
    <x v="12"/>
    <m/>
    <m/>
    <m/>
    <m/>
  </r>
  <r>
    <x v="2"/>
    <x v="5"/>
    <s v="America and Oceania"/>
    <s v="Comprehensive Strategic Partnership [全面战略伙伴关系]"/>
    <x v="4"/>
    <s v="INDOPACOM"/>
    <x v="12"/>
    <x v="24"/>
    <n v="8"/>
    <s v="Military Exercise - Multilateral"/>
    <m/>
    <m/>
    <m/>
    <m/>
    <x v="0"/>
    <m/>
    <x v="2"/>
    <s v="Kowari 2015"/>
    <s v="Army"/>
    <s v="Survival skills"/>
    <m/>
    <x v="12"/>
    <m/>
    <m/>
    <s v=" https://www.marines.mil/News/News-Display/Article/617336/exercise-kowari-2015-concludes-in-darwin-australia/"/>
    <m/>
  </r>
  <r>
    <x v="1"/>
    <x v="1"/>
    <s v="Asia"/>
    <s v="Comprehensive Strategic Cooperative Partnership [全面战略合作伙伴关系]"/>
    <x v="0"/>
    <s v="INDOPACOM"/>
    <x v="94"/>
    <x v="24"/>
    <n v="8"/>
    <s v="BL - Hosted"/>
    <s v="Sun Jianguo"/>
    <m/>
    <s v="GSD DCGS"/>
    <n v="6"/>
    <x v="2"/>
    <s v="Deputy CinC Armed Forces "/>
    <x v="0"/>
    <m/>
    <m/>
    <m/>
    <m/>
    <x v="12"/>
    <m/>
    <m/>
    <m/>
    <m/>
  </r>
  <r>
    <x v="2"/>
    <x v="3"/>
    <s v="Europe and Central Asia"/>
    <s v="Comprehensive Collaborative Strategic Partnership [全面战略协作伙伴关系]"/>
    <x v="0"/>
    <s v="EUCOM"/>
    <x v="7"/>
    <x v="24"/>
    <n v="8"/>
    <s v="Military Exercise - Multilateral"/>
    <m/>
    <m/>
    <m/>
    <m/>
    <x v="0"/>
    <m/>
    <x v="6"/>
    <s v="International Army Games 2015"/>
    <s v="Army"/>
    <s v="Competition; Army, AF, Navy"/>
    <m/>
    <x v="12"/>
    <m/>
    <m/>
    <s v="http://mil.ru/files/files/armygames/index_en.html"/>
    <s v="MAIN ENTRY FOR IAG2015--coded as Army despite particiation of other services"/>
  </r>
  <r>
    <x v="2"/>
    <x v="3"/>
    <s v="Europe and Central Asia"/>
    <s v="Comprehensive Collaborative Strategic Partnership [全面战略协作伙伴关系]"/>
    <x v="0"/>
    <s v="EUCOM"/>
    <x v="7"/>
    <x v="24"/>
    <n v="8"/>
    <s v="Military Exercise - Bilateral"/>
    <m/>
    <m/>
    <m/>
    <m/>
    <x v="0"/>
    <m/>
    <x v="3"/>
    <s v="Joint Sea 2015 (II)"/>
    <s v="Navy"/>
    <s v="The drills took place from Aug. 20-28 in the Peter the Great Gulf, waters off the Clerk Cape, and the Sea of Japan."/>
    <m/>
    <x v="12"/>
    <m/>
    <m/>
    <m/>
    <m/>
  </r>
  <r>
    <x v="0"/>
    <x v="7"/>
    <s v="West Asia and Africa"/>
    <s v="Strategic Partnership [战略伙伴关系]"/>
    <x v="0"/>
    <s v="AFRICOM"/>
    <x v="74"/>
    <x v="24"/>
    <n v="8"/>
    <s v="Port Call - Friendly Visit"/>
    <m/>
    <m/>
    <m/>
    <m/>
    <x v="0"/>
    <m/>
    <x v="0"/>
    <m/>
    <m/>
    <m/>
    <s v="ETF"/>
    <x v="69"/>
    <s v="East Sea Fleet"/>
    <s v="DDG152 Jinan, FFG548 Yiyang, AOR886 Qiandao Hu "/>
    <m/>
    <m/>
  </r>
  <r>
    <x v="1"/>
    <x v="1"/>
    <s v="Asia"/>
    <s v="Comprehensive Strategic Cooperative Partnership [全面战略合作伙伴关系]"/>
    <x v="0"/>
    <s v="INDOPACOM"/>
    <x v="23"/>
    <x v="24"/>
    <n v="8"/>
    <s v="BL - Abroad"/>
    <s v="Sun Jianguo"/>
    <m/>
    <s v="GSD DCGS"/>
    <n v="6"/>
    <x v="1"/>
    <m/>
    <x v="0"/>
    <m/>
    <m/>
    <m/>
    <m/>
    <x v="12"/>
    <m/>
    <m/>
    <m/>
    <m/>
  </r>
  <r>
    <x v="1"/>
    <x v="7"/>
    <s v="West Asia and Africa"/>
    <s v="No Specific Relationship"/>
    <x v="0"/>
    <s v="AFRICOM"/>
    <x v="86"/>
    <x v="24"/>
    <n v="8"/>
    <s v="BL - Hosted"/>
    <s v="Ma Xiaotian"/>
    <m/>
    <s v="PLAAF Commander; CMC Member"/>
    <n v="8"/>
    <x v="2"/>
    <s v="Air Force Commander"/>
    <x v="0"/>
    <m/>
    <m/>
    <m/>
    <m/>
    <x v="12"/>
    <m/>
    <m/>
    <m/>
    <m/>
  </r>
  <r>
    <x v="2"/>
    <x v="5"/>
    <s v="America and Oceania"/>
    <s v="Comprehensive Strategic Partnership [全面战略伙伴关系]"/>
    <x v="4"/>
    <s v="INDOPACOM"/>
    <x v="12"/>
    <x v="24"/>
    <n v="9"/>
    <s v="Military Exercise - Bilateral"/>
    <m/>
    <m/>
    <m/>
    <m/>
    <x v="0"/>
    <m/>
    <x v="2"/>
    <s v="Panda-Kangaroo 2015"/>
    <s v="Army"/>
    <s v="Survival skills"/>
    <m/>
    <x v="12"/>
    <m/>
    <m/>
    <m/>
    <m/>
  </r>
  <r>
    <x v="1"/>
    <x v="10"/>
    <s v="America and Oceania"/>
    <s v="Comprehensive Strategic Partnership [全面战略伙伴关系]"/>
    <x v="0"/>
    <s v="SOUTHCOM"/>
    <x v="43"/>
    <x v="24"/>
    <n v="9"/>
    <s v="BL - Hosted"/>
    <s v="Chang Wanquan"/>
    <m/>
    <s v="Defense Minister; CMC Member"/>
    <n v="8"/>
    <x v="2"/>
    <s v="Special Envoy of the President and Defense Minister"/>
    <x v="0"/>
    <m/>
    <m/>
    <m/>
    <m/>
    <x v="12"/>
    <m/>
    <m/>
    <m/>
    <m/>
  </r>
  <r>
    <x v="1"/>
    <x v="10"/>
    <s v="America and Oceania"/>
    <s v="Strategic Partnership [战略伙伴关系]"/>
    <x v="0"/>
    <s v="SOUTHCOM"/>
    <x v="156"/>
    <x v="24"/>
    <n v="9"/>
    <s v="BL - Abroad"/>
    <s v="Wang Guanzhong"/>
    <m/>
    <s v="GSD DCGS"/>
    <n v="6"/>
    <x v="1"/>
    <m/>
    <x v="0"/>
    <m/>
    <m/>
    <m/>
    <m/>
    <x v="12"/>
    <m/>
    <m/>
    <m/>
    <m/>
  </r>
  <r>
    <x v="1"/>
    <x v="10"/>
    <s v="America and Oceania"/>
    <s v="No Specific Relationship"/>
    <x v="0"/>
    <s v="SOUTHCOM"/>
    <x v="49"/>
    <x v="24"/>
    <n v="9"/>
    <s v="BL - Hosted"/>
    <s v="Fan Changlong"/>
    <m/>
    <s v="CMC Vice Chairman"/>
    <n v="10"/>
    <x v="2"/>
    <s v="First Deputy Minister of Defense and COGS"/>
    <x v="0"/>
    <m/>
    <m/>
    <m/>
    <m/>
    <x v="12"/>
    <m/>
    <m/>
    <m/>
    <m/>
  </r>
  <r>
    <x v="0"/>
    <x v="8"/>
    <s v="Europe and Central Asia"/>
    <s v="Comprehensive Strategic Partnership [全面战略伙伴关系]"/>
    <x v="5"/>
    <s v="EUCOM"/>
    <x v="116"/>
    <x v="24"/>
    <n v="9"/>
    <s v="Port Call - Friendly Visit"/>
    <m/>
    <m/>
    <m/>
    <m/>
    <x v="0"/>
    <m/>
    <x v="0"/>
    <m/>
    <m/>
    <m/>
    <s v="ETF"/>
    <x v="69"/>
    <s v="East Sea Fleet"/>
    <s v="DDG152 Jinan, FFG548 Yiyang, AOR886 Qiandao Hu "/>
    <m/>
    <m/>
  </r>
  <r>
    <x v="2"/>
    <x v="8"/>
    <s v="Europe and Central Asia"/>
    <s v="Comprehensive Strategic Partnership [全面战略伙伴关系]"/>
    <x v="5"/>
    <s v="EUCOM"/>
    <x v="116"/>
    <x v="24"/>
    <n v="9"/>
    <s v="Military Exercise - Bilateral"/>
    <m/>
    <m/>
    <m/>
    <m/>
    <x v="0"/>
    <m/>
    <x v="2"/>
    <s v="None"/>
    <s v="Navy"/>
    <s v="communication and fleet maneuvers"/>
    <m/>
    <x v="12"/>
    <m/>
    <m/>
    <m/>
    <m/>
  </r>
  <r>
    <x v="0"/>
    <x v="9"/>
    <s v="West Asia and Africa"/>
    <s v="Comprehensive Strategic Partnership [全面战略伙伴关系]"/>
    <x v="1"/>
    <s v="CENTCOM"/>
    <x v="24"/>
    <x v="24"/>
    <n v="9"/>
    <s v="Port Call - Friendly Visit and Drills"/>
    <m/>
    <m/>
    <m/>
    <m/>
    <x v="0"/>
    <m/>
    <x v="0"/>
    <m/>
    <m/>
    <m/>
    <s v="ETF"/>
    <x v="69"/>
    <s v="East Sea Fleet"/>
    <s v="DDG152 Jinan, FFG548 Yiyang, AOR886 Qiandao Hu "/>
    <m/>
    <m/>
  </r>
  <r>
    <x v="2"/>
    <x v="9"/>
    <s v="West Asia and Africa"/>
    <s v="Comprehensive Strategic Partnership [全面战略伙伴关系]"/>
    <x v="1"/>
    <s v="CENTCOM"/>
    <x v="24"/>
    <x v="24"/>
    <n v="9"/>
    <s v="Military Exercise - Bilateral"/>
    <m/>
    <m/>
    <m/>
    <m/>
    <x v="0"/>
    <m/>
    <x v="2"/>
    <s v="None"/>
    <s v="Navy"/>
    <s v="fleet maneuvers, communications drill, underway replenishment; ETF-20"/>
    <m/>
    <x v="12"/>
    <m/>
    <m/>
    <m/>
    <m/>
  </r>
  <r>
    <x v="0"/>
    <x v="8"/>
    <s v="Europe and Central Asia"/>
    <s v="No Specific Relationship"/>
    <x v="0"/>
    <s v="EUCOM"/>
    <x v="81"/>
    <x v="24"/>
    <n v="9"/>
    <s v="Port Call - Friendly Visit"/>
    <m/>
    <m/>
    <m/>
    <m/>
    <x v="0"/>
    <m/>
    <x v="0"/>
    <m/>
    <m/>
    <m/>
    <s v="ETF"/>
    <x v="69"/>
    <s v="East Sea Fleet"/>
    <s v="DDG152 Jinan, FFG548 Yiyang, AOR886 Qiandao Hu "/>
    <m/>
    <m/>
  </r>
  <r>
    <x v="1"/>
    <x v="8"/>
    <s v="Europe and Central Asia"/>
    <s v="No Specific Relationship"/>
    <x v="5"/>
    <s v="EUCOM"/>
    <x v="82"/>
    <x v="24"/>
    <n v="9"/>
    <s v="BL - Hosted"/>
    <s v="Chang Wanquan"/>
    <m/>
    <s v="Defense Minister; CMC Member"/>
    <n v="8"/>
    <x v="2"/>
    <s v="Deputy State Secretary at the Defense Ministry"/>
    <x v="0"/>
    <m/>
    <m/>
    <m/>
    <m/>
    <x v="12"/>
    <m/>
    <m/>
    <m/>
    <m/>
  </r>
  <r>
    <x v="1"/>
    <x v="8"/>
    <s v="Europe and Central Asia"/>
    <s v="Comprehensive Strategic Partnership [全面战略伙伴关系]"/>
    <x v="5"/>
    <s v="EUCOM"/>
    <x v="20"/>
    <x v="24"/>
    <n v="9"/>
    <s v="BL - Abroad"/>
    <s v="Du Jincai"/>
    <m/>
    <s v="GPD Deputy Director"/>
    <n v="6"/>
    <x v="1"/>
    <m/>
    <x v="0"/>
    <m/>
    <m/>
    <m/>
    <m/>
    <x v="12"/>
    <m/>
    <m/>
    <m/>
    <m/>
  </r>
  <r>
    <x v="2"/>
    <x v="1"/>
    <s v="Asia"/>
    <s v="Comprehensive Strategic Partnership [全面战略伙伴关系]"/>
    <x v="0"/>
    <s v="INDOPACOM"/>
    <x v="10"/>
    <x v="24"/>
    <n v="9"/>
    <s v="Military Exercise - Bilateral"/>
    <m/>
    <m/>
    <m/>
    <m/>
    <x v="0"/>
    <m/>
    <x v="2"/>
    <s v="Peace and Friendship 2015"/>
    <s v="Navy"/>
    <s v="HADR, SAREX, anti-terrorism; &quot;weapons use&quot;"/>
    <m/>
    <x v="12"/>
    <m/>
    <m/>
    <s v="https://wss.apan.org/3574/Shared%20Documents/Day%201/Multilateral%20Health%20Engagement/3%20ASEAN%20REGIONAL%20FORUM%20DISASTER%20%20RELIEF%20EXERCISE%20(ARF%20DIREx)%202015.pdf; http://eng.mod.gov.cn/DefenseNews/2015-09/22/content_4621771.htm; http://usa.chinadaily.com.cn/world/2015-09/23/content_21956625.htm; http://usa.chinadaily.com.cn/world/2015-09/23/content_21956625.htm"/>
    <m/>
  </r>
  <r>
    <x v="1"/>
    <x v="2"/>
    <s v="America and Oceania"/>
    <s v="Comprehensive Strategic Partnership [全面战略伙伴关系]"/>
    <x v="0"/>
    <s v="NORTHCOM"/>
    <x v="77"/>
    <x v="24"/>
    <n v="9"/>
    <s v="BL - Abroad"/>
    <s v="Wang Guanzhong"/>
    <m/>
    <s v="GSD DCGS"/>
    <n v="6"/>
    <x v="1"/>
    <m/>
    <x v="0"/>
    <m/>
    <m/>
    <m/>
    <m/>
    <x v="12"/>
    <m/>
    <m/>
    <m/>
    <m/>
  </r>
  <r>
    <x v="2"/>
    <x v="4"/>
    <s v="Asia"/>
    <s v="Comprehensive Strategic Partnership [全面战略伙伴关系]"/>
    <x v="0"/>
    <s v="INDOPACOM"/>
    <x v="53"/>
    <x v="24"/>
    <n v="9"/>
    <s v="Military Exercise - Bilateral"/>
    <m/>
    <m/>
    <m/>
    <m/>
    <x v="0"/>
    <m/>
    <x v="1"/>
    <s v="Eagle 2015"/>
    <s v="PAP"/>
    <s v="Joint anti-terrorism drill in Mongolia"/>
    <m/>
    <x v="12"/>
    <m/>
    <m/>
    <s v="http://www.gywb.cn/content/2015-09/11/content_3800970_all.htm"/>
    <m/>
  </r>
  <r>
    <x v="1"/>
    <x v="7"/>
    <s v="West Asia and Africa"/>
    <s v="No Specific Relationship"/>
    <x v="0"/>
    <s v="AFRICOM"/>
    <x v="69"/>
    <x v="24"/>
    <n v="9"/>
    <s v="BL - Hosted"/>
    <s v="Xu Qiliang"/>
    <m/>
    <s v="CMC Vice Chairman"/>
    <n v="10"/>
    <x v="2"/>
    <s v="Defense Minister"/>
    <x v="0"/>
    <m/>
    <m/>
    <m/>
    <m/>
    <x v="12"/>
    <m/>
    <m/>
    <m/>
    <m/>
  </r>
  <r>
    <x v="1"/>
    <x v="5"/>
    <s v="America and Oceania"/>
    <s v="Comprehensive Strategic Partnership [全面战略伙伴关系]"/>
    <x v="4"/>
    <s v="INDOPACOM"/>
    <x v="13"/>
    <x v="24"/>
    <n v="9"/>
    <s v="BL - Hosted"/>
    <s v="Fan Changlong"/>
    <m/>
    <s v="CMC Vice Chairman"/>
    <n v="10"/>
    <x v="2"/>
    <s v="Defense Minister"/>
    <x v="0"/>
    <m/>
    <m/>
    <m/>
    <m/>
    <x v="12"/>
    <m/>
    <m/>
    <m/>
    <m/>
  </r>
  <r>
    <x v="2"/>
    <x v="5"/>
    <s v="America and Oceania"/>
    <s v="Comprehensive Strategic Partnership [全面战略伙伴关系]"/>
    <x v="4"/>
    <s v="INDOPACOM"/>
    <x v="13"/>
    <x v="24"/>
    <n v="9"/>
    <s v="Military Exercise - Multilateral"/>
    <m/>
    <m/>
    <m/>
    <m/>
    <x v="0"/>
    <m/>
    <x v="2"/>
    <s v="Tropic Twilight"/>
    <s v="Army"/>
    <s v="Engineering, HADR. Other countries: United Kingdom, United States"/>
    <m/>
    <x v="12"/>
    <m/>
    <m/>
    <s v="https://web.archive.org/web/20170414073944/http://www.nzdf.mil.nz/news/media-releases/2015/20151008-nzdfltghoatci.htm"/>
    <m/>
  </r>
  <r>
    <x v="2"/>
    <x v="0"/>
    <s v="Asia"/>
    <s v="All-Weather Strategic Cooperative Partnership [全天候战略合作伙伴关系]"/>
    <x v="1"/>
    <s v="CENTCOM"/>
    <x v="2"/>
    <x v="24"/>
    <n v="9"/>
    <s v="Military Exercise - Bilateral"/>
    <m/>
    <m/>
    <m/>
    <m/>
    <x v="0"/>
    <m/>
    <x v="3"/>
    <s v="Shaheen-4"/>
    <s v="Air Force"/>
    <s v="Operational aerial maneuvers"/>
    <m/>
    <x v="12"/>
    <m/>
    <m/>
    <m/>
    <m/>
  </r>
  <r>
    <x v="1"/>
    <x v="3"/>
    <s v="Europe and Central Asia"/>
    <s v="Comprehensive Collaborative Strategic Partnership [全面战略协作伙伴关系]"/>
    <x v="0"/>
    <s v="EUCOM"/>
    <x v="7"/>
    <x v="24"/>
    <n v="9"/>
    <s v="BL - Hosted"/>
    <s v="Fan Changlong"/>
    <m/>
    <s v="CMC Vice Chairman"/>
    <n v="10"/>
    <x v="2"/>
    <s v="Defense Minister"/>
    <x v="0"/>
    <m/>
    <m/>
    <m/>
    <m/>
    <x v="12"/>
    <m/>
    <m/>
    <m/>
    <m/>
  </r>
  <r>
    <x v="2"/>
    <x v="6"/>
    <s v="Europe and Central Asia"/>
    <s v="Member"/>
    <x v="0"/>
    <s v="CENTCOM"/>
    <x v="14"/>
    <x v="24"/>
    <n v="9"/>
    <s v="Military Exercise - Multilateral"/>
    <m/>
    <m/>
    <m/>
    <m/>
    <x v="0"/>
    <m/>
    <x v="1"/>
    <s v="None"/>
    <s v="Army"/>
    <s v="SCO anti-terrorism joint-command staff exercise in Kyrgyzstan; Russia, China, Kyrgyzstan, Kazakhstan, Tajikistan, possibly Uzbekistan"/>
    <m/>
    <x v="12"/>
    <m/>
    <m/>
    <s v="de Haas Journal of Slavic Military Studies 29:3 (2016)"/>
    <m/>
  </r>
  <r>
    <x v="1"/>
    <x v="8"/>
    <s v="Europe and Central Asia"/>
    <s v="Comprehensive Strategic Partnership [全面战略伙伴关系]"/>
    <x v="5"/>
    <s v="EUCOM"/>
    <x v="70"/>
    <x v="24"/>
    <n v="9"/>
    <s v="BL - Hosted"/>
    <s v="Ma Xiaotian"/>
    <m/>
    <s v="PLAAF Commander; CMC Member"/>
    <n v="8"/>
    <x v="2"/>
    <s v="Air Force Chief of Staff"/>
    <x v="0"/>
    <m/>
    <m/>
    <m/>
    <m/>
    <x v="12"/>
    <m/>
    <m/>
    <m/>
    <m/>
  </r>
  <r>
    <x v="2"/>
    <x v="0"/>
    <s v="Asia"/>
    <s v="Strategic Cooperative Partnership [战略合作伙伴关系]"/>
    <x v="0"/>
    <s v="INDOPACOM"/>
    <x v="3"/>
    <x v="24"/>
    <n v="9"/>
    <s v="Military Exercise - Multilateral"/>
    <m/>
    <m/>
    <m/>
    <m/>
    <x v="0"/>
    <m/>
    <x v="1"/>
    <s v="Cormorant Strike VI 2015"/>
    <s v="Army"/>
    <s v="SOF; likely observer. Other countries: Bangladesh, India, Indonesia, Malaysia, Nepal, Pakistan, United  States"/>
    <m/>
    <x v="12"/>
    <m/>
    <m/>
    <m/>
    <m/>
  </r>
  <r>
    <x v="1"/>
    <x v="8"/>
    <s v="Europe and Central Asia"/>
    <s v="No Specific Relationship"/>
    <x v="0"/>
    <s v="EUCOM"/>
    <x v="78"/>
    <x v="24"/>
    <n v="9"/>
    <s v="BL - Hosted"/>
    <s v="Chang Wanquan"/>
    <m/>
    <s v="Defense Minister; CMC Member"/>
    <n v="8"/>
    <x v="2"/>
    <s v="Chief of Armed Forces"/>
    <x v="0"/>
    <m/>
    <m/>
    <m/>
    <m/>
    <x v="12"/>
    <m/>
    <m/>
    <m/>
    <m/>
  </r>
  <r>
    <x v="1"/>
    <x v="1"/>
    <s v="Asia"/>
    <s v="Comprehensive Strategic Cooperative Partnership [全面战略合作伙伴关系]"/>
    <x v="3"/>
    <s v="INDOPACOM"/>
    <x v="5"/>
    <x v="24"/>
    <n v="9"/>
    <s v="BL - Hosted"/>
    <s v="Xu Qiliang"/>
    <m/>
    <s v="CMC Vice Chairman"/>
    <n v="10"/>
    <x v="2"/>
    <s v="Deputy Prime Minister and Minister of Defense"/>
    <x v="0"/>
    <m/>
    <m/>
    <m/>
    <m/>
    <x v="12"/>
    <m/>
    <m/>
    <m/>
    <m/>
  </r>
  <r>
    <x v="1"/>
    <x v="7"/>
    <s v="West Asia and Africa"/>
    <s v="No Specific Relationship"/>
    <x v="1"/>
    <s v="AFRICOM"/>
    <x v="85"/>
    <x v="24"/>
    <n v="9"/>
    <s v="BL - Hosted"/>
    <s v="Chang Wanquan"/>
    <m/>
    <s v="Defense Minister; CMC Member"/>
    <n v="8"/>
    <x v="2"/>
    <s v="Defense Minister"/>
    <x v="0"/>
    <m/>
    <m/>
    <m/>
    <m/>
    <x v="12"/>
    <m/>
    <m/>
    <m/>
    <m/>
  </r>
  <r>
    <x v="1"/>
    <x v="8"/>
    <s v="Europe and Central Asia"/>
    <s v="Comprehensive Strategic Partnership [全面战略伙伴关系]"/>
    <x v="5"/>
    <s v="EUCOM"/>
    <x v="21"/>
    <x v="24"/>
    <n v="9"/>
    <s v="BL - Abroad"/>
    <s v="Du Jincai"/>
    <m/>
    <s v="GPD Deputy Director"/>
    <n v="6"/>
    <x v="1"/>
    <m/>
    <x v="0"/>
    <m/>
    <m/>
    <m/>
    <m/>
    <x v="12"/>
    <m/>
    <m/>
    <m/>
    <m/>
  </r>
  <r>
    <x v="1"/>
    <x v="0"/>
    <s v="Europe and Central Asia"/>
    <s v="Strategic Partnership [战略伙伴关系]"/>
    <x v="1"/>
    <s v="CENTCOM"/>
    <x v="123"/>
    <x v="24"/>
    <n v="10"/>
    <s v="BL - Hosted"/>
    <s v="Sun Jianguo"/>
    <m/>
    <s v="GSD DCGS"/>
    <n v="6"/>
    <x v="2"/>
    <s v="Acting Defense Minister"/>
    <x v="0"/>
    <m/>
    <m/>
    <m/>
    <m/>
    <x v="12"/>
    <m/>
    <m/>
    <m/>
    <m/>
  </r>
  <r>
    <x v="1"/>
    <x v="1"/>
    <s v="Asia"/>
    <s v="Strategic Partnership [战略伙伴关系] for Peace and Prosperity"/>
    <x v="0"/>
    <s v="INDOPACOM"/>
    <x v="153"/>
    <x v="24"/>
    <n v="10"/>
    <s v="ML - Hosted"/>
    <s v="Chang Wanquan"/>
    <m/>
    <s v="Defense Minister; CMC Member"/>
    <n v="8"/>
    <x v="2"/>
    <s v="Fifth China-ASEAN Defense Ministers' Informal Meeting in Beijing"/>
    <x v="0"/>
    <m/>
    <m/>
    <m/>
    <m/>
    <x v="12"/>
    <m/>
    <m/>
    <s v="http://asean.chinamission.org.cn/eng/zdjl/t1307777.htm"/>
    <s v="corrected partnership to strategic partnership for peace and prosperity"/>
  </r>
  <r>
    <x v="0"/>
    <x v="5"/>
    <s v="America and Oceania"/>
    <s v="Comprehensive Strategic Partnership [全面战略伙伴关系]"/>
    <x v="4"/>
    <s v="INDOPACOM"/>
    <x v="12"/>
    <x v="24"/>
    <n v="10"/>
    <s v="Port Call - HADR/Friendly"/>
    <m/>
    <m/>
    <m/>
    <m/>
    <x v="0"/>
    <m/>
    <x v="0"/>
    <m/>
    <m/>
    <m/>
    <s v="NETF"/>
    <x v="71"/>
    <s v="East Sea Fleet"/>
    <m/>
    <m/>
    <m/>
  </r>
  <r>
    <x v="1"/>
    <x v="8"/>
    <s v="Europe and Central Asia"/>
    <s v="Comprehensive Strategic Partnership [全面战略伙伴关系]"/>
    <x v="0"/>
    <s v="EUCOM"/>
    <x v="34"/>
    <x v="24"/>
    <n v="10"/>
    <s v="BL - Abroad"/>
    <s v="Sun Jianguo"/>
    <m/>
    <s v="GSD DCGS"/>
    <n v="6"/>
    <x v="1"/>
    <m/>
    <x v="0"/>
    <m/>
    <m/>
    <m/>
    <m/>
    <x v="12"/>
    <m/>
    <m/>
    <m/>
    <m/>
  </r>
  <r>
    <x v="0"/>
    <x v="8"/>
    <s v="Europe and Central Asia"/>
    <s v="Comprehensive Strategic Partnership [全面战略伙伴关系]"/>
    <x v="5"/>
    <s v="EUCOM"/>
    <x v="22"/>
    <x v="24"/>
    <n v="10"/>
    <s v="Port Call - Friendly Visit"/>
    <m/>
    <m/>
    <m/>
    <m/>
    <x v="0"/>
    <m/>
    <x v="0"/>
    <m/>
    <m/>
    <m/>
    <s v="NETF"/>
    <x v="71"/>
    <s v="East Sea Fleet"/>
    <s v="French Polynesia"/>
    <m/>
    <m/>
  </r>
  <r>
    <x v="2"/>
    <x v="8"/>
    <s v="Europe and Central Asia"/>
    <s v="Comprehensive Strategic Partnership [全面战略伙伴关系]"/>
    <x v="5"/>
    <s v="EUCOM"/>
    <x v="22"/>
    <x v="24"/>
    <n v="10"/>
    <s v="Military Exercise - Bilateral"/>
    <m/>
    <m/>
    <m/>
    <m/>
    <x v="0"/>
    <m/>
    <x v="2"/>
    <s v="None"/>
    <s v="Navy"/>
    <s v="communication, formation movement in English Channel"/>
    <m/>
    <x v="12"/>
    <m/>
    <m/>
    <m/>
    <m/>
  </r>
  <r>
    <x v="2"/>
    <x v="8"/>
    <s v="Europe and Central Asia"/>
    <s v="Comprehensive Strategic Partnership [全面战略伙伴关系]"/>
    <x v="5"/>
    <s v="EUCOM"/>
    <x v="22"/>
    <x v="24"/>
    <n v="10"/>
    <s v="Military Exercise - Bilateral"/>
    <m/>
    <m/>
    <m/>
    <m/>
    <x v="0"/>
    <m/>
    <x v="2"/>
    <s v="None"/>
    <s v="Navy"/>
    <s v="Peace Ark, HADR"/>
    <m/>
    <x v="12"/>
    <m/>
    <m/>
    <m/>
    <m/>
  </r>
  <r>
    <x v="2"/>
    <x v="8"/>
    <s v="Europe and Central Asia"/>
    <s v="Comprehensive Strategic Partnership [全面战略伙伴关系]"/>
    <x v="5"/>
    <s v="EUCOM"/>
    <x v="22"/>
    <x v="24"/>
    <n v="10"/>
    <s v="Military Exercise - Bilateral"/>
    <m/>
    <m/>
    <m/>
    <m/>
    <x v="0"/>
    <m/>
    <x v="2"/>
    <s v="Harmonious Mission 2015"/>
    <s v="Navy"/>
    <s v="Communication drills"/>
    <m/>
    <x v="12"/>
    <m/>
    <m/>
    <m/>
    <m/>
  </r>
  <r>
    <x v="2"/>
    <x v="8"/>
    <s v="Europe and Central Asia"/>
    <s v="Comprehensive Strategic Partnership [全面战略伙伴关系]"/>
    <x v="5"/>
    <s v="EUCOM"/>
    <x v="22"/>
    <x v="24"/>
    <n v="10"/>
    <s v="Military Exercise - Bilateral"/>
    <m/>
    <m/>
    <m/>
    <m/>
    <x v="0"/>
    <m/>
    <x v="2"/>
    <s v="None"/>
    <s v="Navy"/>
    <s v="Navigation drills"/>
    <m/>
    <x v="12"/>
    <m/>
    <m/>
    <m/>
    <m/>
  </r>
  <r>
    <x v="2"/>
    <x v="0"/>
    <s v="Asia"/>
    <s v="Strategic Partnership for Peace and Prosperity [战略伙伴关系]"/>
    <x v="0"/>
    <s v="INDOPACOM"/>
    <x v="6"/>
    <x v="24"/>
    <n v="10"/>
    <s v="Military Exercise - Bilateral"/>
    <m/>
    <m/>
    <m/>
    <m/>
    <x v="0"/>
    <m/>
    <x v="1"/>
    <s v="Hand-in-Hand 2015"/>
    <s v="Army"/>
    <s v="Anti-terrorism"/>
    <m/>
    <x v="12"/>
    <m/>
    <m/>
    <m/>
    <m/>
  </r>
  <r>
    <x v="1"/>
    <x v="1"/>
    <s v="Asia"/>
    <s v="Comprehensive Strategic Partnership [全面战略伙伴关系]"/>
    <x v="0"/>
    <s v="INDOPACOM"/>
    <x v="8"/>
    <x v="24"/>
    <n v="10"/>
    <s v="ML - Margins"/>
    <s v="Chang Wanquan"/>
    <m/>
    <s v="Defense Minister; CMC Member"/>
    <n v="8"/>
    <x v="2"/>
    <s v="Defense Minister"/>
    <x v="0"/>
    <m/>
    <m/>
    <m/>
    <m/>
    <x v="12"/>
    <m/>
    <m/>
    <s v="http://eng.mod.gov.cn/SpecialReports/2015-10/15/content_4624530.htm"/>
    <m/>
  </r>
  <r>
    <x v="1"/>
    <x v="9"/>
    <s v="West Asia and Africa"/>
    <s v="No Specific Relationship"/>
    <x v="0"/>
    <s v="CENTCOM"/>
    <x v="89"/>
    <x v="24"/>
    <n v="10"/>
    <s v="BL - Abroad"/>
    <s v="Sun Jianguo"/>
    <m/>
    <s v="GSD DCGS"/>
    <n v="6"/>
    <x v="1"/>
    <m/>
    <x v="0"/>
    <m/>
    <m/>
    <m/>
    <m/>
    <x v="12"/>
    <m/>
    <m/>
    <m/>
    <m/>
  </r>
  <r>
    <x v="1"/>
    <x v="6"/>
    <s v="Europe and Central Asia"/>
    <s v="Comprehensive Strategic Partnership [全面战略伙伴关系]"/>
    <x v="0"/>
    <s v="CENTCOM"/>
    <x v="30"/>
    <x v="24"/>
    <n v="10"/>
    <s v="BL - Abroad"/>
    <s v="Chang Wanquan"/>
    <m/>
    <s v="Defense Minister; CMC Member"/>
    <n v="8"/>
    <x v="1"/>
    <m/>
    <x v="0"/>
    <m/>
    <m/>
    <m/>
    <m/>
    <x v="12"/>
    <m/>
    <m/>
    <m/>
    <m/>
  </r>
  <r>
    <x v="2"/>
    <x v="6"/>
    <s v="Europe and Central Asia"/>
    <s v="Comprehensive Strategic Partnership [全面战略伙伴关系]"/>
    <x v="0"/>
    <s v="CENTCOM"/>
    <x v="30"/>
    <x v="24"/>
    <n v="10"/>
    <s v="Military Exercise - Bilateral"/>
    <m/>
    <m/>
    <m/>
    <m/>
    <x v="0"/>
    <m/>
    <x v="1"/>
    <s v="Fox Hunting 2015"/>
    <s v="Army"/>
    <s v="Anti-terror drills"/>
    <m/>
    <x v="12"/>
    <m/>
    <m/>
    <m/>
    <m/>
  </r>
  <r>
    <x v="1"/>
    <x v="1"/>
    <s v="Asia"/>
    <s v="Comprehensive Strategic Cooperative Partnership [全面战略合作伙伴关系]"/>
    <x v="0"/>
    <s v="INDOPACOM"/>
    <x v="52"/>
    <x v="24"/>
    <n v="10"/>
    <s v="BL - Hosted"/>
    <s v="Sun Jianguo"/>
    <m/>
    <s v="GSD DCGS"/>
    <n v="6"/>
    <x v="2"/>
    <s v="Delegation of senior army officers"/>
    <x v="0"/>
    <m/>
    <m/>
    <m/>
    <m/>
    <x v="12"/>
    <m/>
    <m/>
    <m/>
    <m/>
  </r>
  <r>
    <x v="1"/>
    <x v="8"/>
    <s v="Europe and Central Asia"/>
    <s v="Friendly Cooperative Partnership [友好合作伙伴关系]"/>
    <x v="5"/>
    <s v="EUCOM"/>
    <x v="157"/>
    <x v="24"/>
    <n v="10"/>
    <s v="BL - Hosted"/>
    <s v="Fang Fenghui"/>
    <m/>
    <s v="GSD Commander; CMC Member"/>
    <n v="8"/>
    <x v="2"/>
    <s v="CinC Armed Forces"/>
    <x v="0"/>
    <m/>
    <m/>
    <m/>
    <m/>
    <x v="12"/>
    <m/>
    <m/>
    <m/>
    <m/>
  </r>
  <r>
    <x v="1"/>
    <x v="1"/>
    <s v="Asia"/>
    <s v="Comprehensive Strategic Partnership [全面战略伙伴关系]"/>
    <x v="0"/>
    <s v="INDOPACOM"/>
    <x v="10"/>
    <x v="24"/>
    <n v="10"/>
    <s v="BL - Hosted"/>
    <s v="Fan Changlong"/>
    <m/>
    <s v="CMC Vice Chairman"/>
    <n v="10"/>
    <x v="2"/>
    <s v="Defense Minister"/>
    <x v="0"/>
    <m/>
    <m/>
    <m/>
    <m/>
    <x v="12"/>
    <m/>
    <m/>
    <m/>
    <m/>
  </r>
  <r>
    <x v="1"/>
    <x v="4"/>
    <s v="Asia"/>
    <s v="Comprehensive Strategic Partnership [全面战略伙伴关系]"/>
    <x v="0"/>
    <s v="INDOPACOM"/>
    <x v="53"/>
    <x v="24"/>
    <n v="10"/>
    <s v="BL - Abroad"/>
    <s v="Chang Wanquan"/>
    <m/>
    <s v="Defense Minister; CMC Member"/>
    <n v="8"/>
    <x v="1"/>
    <m/>
    <x v="0"/>
    <m/>
    <m/>
    <m/>
    <m/>
    <x v="12"/>
    <m/>
    <m/>
    <m/>
    <m/>
  </r>
  <r>
    <x v="2"/>
    <x v="4"/>
    <s v="Asia"/>
    <s v="Comprehensive Strategic Partnership [全面战略伙伴关系]"/>
    <x v="0"/>
    <s v="INDOPACOM"/>
    <x v="53"/>
    <x v="24"/>
    <n v="10"/>
    <s v="Military Exercise - Bilateral"/>
    <m/>
    <m/>
    <m/>
    <m/>
    <x v="0"/>
    <m/>
    <x v="1"/>
    <s v="Falcon 2015"/>
    <s v="Army"/>
    <s v="PLAA SOF, anti-terrorism"/>
    <m/>
    <x v="12"/>
    <m/>
    <m/>
    <m/>
    <m/>
  </r>
  <r>
    <x v="1"/>
    <x v="7"/>
    <s v="West Asia and Africa"/>
    <s v="No Specific Relationship"/>
    <x v="0"/>
    <s v="AFRICOM"/>
    <x v="84"/>
    <x v="24"/>
    <n v="10"/>
    <s v="BL - Hosted"/>
    <s v="Fan Changlong"/>
    <m/>
    <s v="CMC Vice Chairman"/>
    <n v="10"/>
    <x v="2"/>
    <s v="Defense Minister"/>
    <x v="0"/>
    <m/>
    <m/>
    <m/>
    <m/>
    <x v="12"/>
    <m/>
    <m/>
    <m/>
    <m/>
  </r>
  <r>
    <x v="1"/>
    <x v="1"/>
    <s v="Asia"/>
    <s v="Comprehensive Strategic Cooperative Partnership [全面战略合作伙伴关系]"/>
    <x v="0"/>
    <s v="INDOPACOM"/>
    <x v="1"/>
    <x v="24"/>
    <n v="10"/>
    <s v="BL - Hosted"/>
    <s v="Chang Wanquan"/>
    <m/>
    <s v="Defense Minister; CMC Member"/>
    <n v="8"/>
    <x v="2"/>
    <s v="Defense Minister"/>
    <x v="0"/>
    <m/>
    <m/>
    <m/>
    <m/>
    <x v="12"/>
    <m/>
    <m/>
    <m/>
    <m/>
  </r>
  <r>
    <x v="1"/>
    <x v="4"/>
    <s v="Asia"/>
    <s v="N/A"/>
    <x v="0"/>
    <s v="INDOPACOM"/>
    <x v="161"/>
    <x v="24"/>
    <n v="10"/>
    <s v="ML - Hosted"/>
    <s v="Chang Wanquan"/>
    <m/>
    <s v="Defense Minister; CMC Member"/>
    <n v="8"/>
    <x v="2"/>
    <s v="Xiangshan Forum 2015; Defense Minister"/>
    <x v="0"/>
    <m/>
    <m/>
    <m/>
    <m/>
    <x v="12"/>
    <m/>
    <m/>
    <s v="http://eng.mod.gov.cn/SpecialReports/node_46641.htm "/>
    <m/>
  </r>
  <r>
    <x v="0"/>
    <x v="8"/>
    <s v="Europe and Central Asia"/>
    <s v="Strategic Partnership [战略伙伴关系]"/>
    <x v="5"/>
    <s v="EUCOM"/>
    <x v="59"/>
    <x v="24"/>
    <n v="10"/>
    <s v="Port Call - Friendly Visit"/>
    <m/>
    <m/>
    <m/>
    <m/>
    <x v="0"/>
    <m/>
    <x v="0"/>
    <m/>
    <m/>
    <m/>
    <s v="ETF"/>
    <x v="69"/>
    <s v="East Sea Fleet"/>
    <s v="DDG152 Jinan, FFG548 Yiyang, AOR886 Qiandao Hu "/>
    <m/>
    <m/>
  </r>
  <r>
    <x v="0"/>
    <x v="8"/>
    <s v="Europe and Central Asia"/>
    <s v="Comprehensive Strategic Partnership [全面战略伙伴关系]"/>
    <x v="5"/>
    <s v="EUCOM"/>
    <x v="48"/>
    <x v="24"/>
    <n v="10"/>
    <s v="Port Call - Friendly Visit"/>
    <m/>
    <m/>
    <m/>
    <m/>
    <x v="0"/>
    <m/>
    <x v="0"/>
    <m/>
    <m/>
    <m/>
    <s v="ETF"/>
    <x v="69"/>
    <s v="East Sea Fleet"/>
    <s v="DDG152 Jinan, FFG548 Yiyang, AOR886 Qiandao Hu "/>
    <m/>
    <m/>
  </r>
  <r>
    <x v="1"/>
    <x v="9"/>
    <s v="West Asia and Africa"/>
    <s v="No Specific Relationship"/>
    <x v="0"/>
    <s v="CENTCOM"/>
    <x v="142"/>
    <x v="24"/>
    <n v="10"/>
    <s v="BL - Hosted"/>
    <s v="Wu Shengli"/>
    <m/>
    <s v="PLAN Commander; CMC Member"/>
    <n v="8"/>
    <x v="2"/>
    <s v="Navy Commander"/>
    <x v="0"/>
    <m/>
    <m/>
    <m/>
    <m/>
    <x v="12"/>
    <m/>
    <m/>
    <m/>
    <m/>
  </r>
  <r>
    <x v="1"/>
    <x v="0"/>
    <s v="Asia"/>
    <s v="Strategic Cooperative Partnership [战略合作伙伴关系]"/>
    <x v="0"/>
    <s v="INDOPACOM"/>
    <x v="3"/>
    <x v="24"/>
    <n v="10"/>
    <s v="BL - Hosted"/>
    <s v="Sun Jianguo"/>
    <m/>
    <s v="GSD DCGS"/>
    <n v="6"/>
    <x v="2"/>
    <s v="Secretary to the Defense Minister"/>
    <x v="0"/>
    <m/>
    <m/>
    <m/>
    <m/>
    <x v="12"/>
    <m/>
    <m/>
    <m/>
    <m/>
  </r>
  <r>
    <x v="0"/>
    <x v="8"/>
    <s v="Europe and Central Asia"/>
    <s v="No Specific Relationship"/>
    <x v="0"/>
    <s v="EUCOM"/>
    <x v="92"/>
    <x v="24"/>
    <n v="10"/>
    <s v="Port Call - Friendly Visit"/>
    <m/>
    <m/>
    <m/>
    <m/>
    <x v="0"/>
    <m/>
    <x v="0"/>
    <m/>
    <m/>
    <m/>
    <s v="ETF"/>
    <x v="69"/>
    <s v="East Sea Fleet"/>
    <s v="DDG152 Jinan, FFG548 Yiyang, AOR886 Qiandao Hu "/>
    <m/>
    <m/>
  </r>
  <r>
    <x v="1"/>
    <x v="6"/>
    <s v="Europe and Central Asia"/>
    <s v="Strategic Partnership [战略伙伴关系]"/>
    <x v="0"/>
    <s v="CENTCOM"/>
    <x v="60"/>
    <x v="24"/>
    <n v="10"/>
    <s v="ML - Margins"/>
    <s v="Chang Wanquan"/>
    <m/>
    <s v="Defense Minister; CMC Member"/>
    <n v="8"/>
    <x v="2"/>
    <s v="Defense Minister"/>
    <x v="0"/>
    <m/>
    <m/>
    <m/>
    <m/>
    <x v="12"/>
    <m/>
    <m/>
    <s v="http://eng.mod.gov.cn/SpecialReports/2015-10/15/content_4624532.htm"/>
    <m/>
  </r>
  <r>
    <x v="0"/>
    <x v="2"/>
    <s v="America and Oceania"/>
    <s v="No Specific Relationship"/>
    <x v="2"/>
    <s v="NORTHCOM"/>
    <x v="4"/>
    <x v="24"/>
    <n v="10"/>
    <s v="Port Call - Friendly Visit"/>
    <m/>
    <m/>
    <m/>
    <m/>
    <x v="0"/>
    <m/>
    <x v="0"/>
    <m/>
    <m/>
    <m/>
    <s v="NETF"/>
    <x v="72"/>
    <s v="East Sea Fleet"/>
    <m/>
    <m/>
    <m/>
  </r>
  <r>
    <x v="2"/>
    <x v="2"/>
    <s v="America and Oceania"/>
    <s v="No Specific Relationship"/>
    <x v="2"/>
    <s v="NORTHCOM"/>
    <x v="4"/>
    <x v="24"/>
    <n v="10"/>
    <s v="Military Exercise - Bilateral"/>
    <m/>
    <m/>
    <m/>
    <m/>
    <x v="0"/>
    <m/>
    <x v="5"/>
    <s v="None"/>
    <s v="Navy"/>
    <s v="Damage control, SAR planning"/>
    <m/>
    <x v="12"/>
    <m/>
    <m/>
    <m/>
    <m/>
  </r>
  <r>
    <x v="1"/>
    <x v="1"/>
    <s v="Asia"/>
    <s v="Strategic Partnership [战略伙伴关系] for Peace and Prosperity"/>
    <x v="0"/>
    <s v="INDOPACOM"/>
    <x v="153"/>
    <x v="24"/>
    <n v="11"/>
    <s v="ML - Abroad"/>
    <s v="Chang Wanquan"/>
    <m/>
    <s v="Defense Minister; CMC Member"/>
    <n v="8"/>
    <x v="1"/>
    <s v="3rd ADMM+ Malaysia"/>
    <x v="0"/>
    <m/>
    <m/>
    <m/>
    <m/>
    <x v="12"/>
    <m/>
    <m/>
    <s v="http://www.chinadaily.com.cn/world/2015liattendsASEAN/2015-11/04/content_22504960.htm"/>
    <s v="corrected partnership to strategic partnership for peace and prosperity"/>
  </r>
  <r>
    <x v="1"/>
    <x v="5"/>
    <s v="America and Oceania"/>
    <s v="Comprehensive Strategic Partnership [全面战略伙伴关系]"/>
    <x v="4"/>
    <s v="INDOPACOM"/>
    <x v="12"/>
    <x v="24"/>
    <n v="11"/>
    <s v="ML - Margins"/>
    <s v="Chang Wanquan"/>
    <m/>
    <s v="Defense Minister; CMC Member"/>
    <n v="8"/>
    <x v="1"/>
    <s v="Defense Minister"/>
    <x v="0"/>
    <m/>
    <m/>
    <m/>
    <m/>
    <x v="12"/>
    <m/>
    <m/>
    <s v="http://english.chinamil.com.cn/news-channels/china-military-news/2015-11/04/content_6754945.htm"/>
    <m/>
  </r>
  <r>
    <x v="2"/>
    <x v="5"/>
    <s v="America and Oceania"/>
    <s v="Comprehensive Strategic Partnership [全面战略伙伴关系]"/>
    <x v="4"/>
    <s v="INDOPACOM"/>
    <x v="12"/>
    <x v="24"/>
    <n v="11"/>
    <s v="Military Exercise - Bilateral"/>
    <m/>
    <m/>
    <m/>
    <m/>
    <x v="0"/>
    <m/>
    <x v="2"/>
    <s v="None"/>
    <s v="Navy"/>
    <s v="Navigation drills"/>
    <m/>
    <x v="12"/>
    <m/>
    <m/>
    <m/>
    <m/>
  </r>
  <r>
    <x v="1"/>
    <x v="8"/>
    <s v="Europe and Central Asia"/>
    <s v="Comprehensive Strategic Partnership [全面战略伙伴关系]"/>
    <x v="0"/>
    <s v="EUCOM"/>
    <x v="34"/>
    <x v="24"/>
    <n v="11"/>
    <s v="BL - Hosted"/>
    <s v="Zhao Keshi"/>
    <m/>
    <s v="GLD Director; CMC Member"/>
    <n v="8"/>
    <x v="2"/>
    <s v="Deputy Minister of Defense for Logistics"/>
    <x v="0"/>
    <m/>
    <m/>
    <m/>
    <m/>
    <x v="12"/>
    <m/>
    <m/>
    <m/>
    <m/>
  </r>
  <r>
    <x v="1"/>
    <x v="1"/>
    <s v="Asia"/>
    <s v="Comprehensive Strategic Cooperative Partnership [全面战略合作伙伴关系]"/>
    <x v="0"/>
    <s v="INDOPACOM"/>
    <x v="94"/>
    <x v="24"/>
    <n v="11"/>
    <s v="BL - Abroad"/>
    <s v="Chang Wanquan"/>
    <m/>
    <s v="Defense Minister; CMC Member"/>
    <n v="8"/>
    <x v="1"/>
    <s v="Defense Minister"/>
    <x v="0"/>
    <m/>
    <m/>
    <m/>
    <m/>
    <x v="12"/>
    <m/>
    <m/>
    <m/>
    <m/>
  </r>
  <r>
    <x v="0"/>
    <x v="10"/>
    <s v="America and Oceania"/>
    <s v="No Specific Relationship"/>
    <x v="0"/>
    <s v="SOUTHCOM"/>
    <x v="49"/>
    <x v="24"/>
    <n v="11"/>
    <s v="Port Call - Friendly Visit"/>
    <m/>
    <m/>
    <m/>
    <m/>
    <x v="0"/>
    <m/>
    <x v="0"/>
    <m/>
    <m/>
    <m/>
    <s v="ETF"/>
    <x v="69"/>
    <s v="East Sea Fleet"/>
    <s v="DDG152 Jinan, FFG548 Yiyang, AOR886 Qiandao Hu "/>
    <m/>
    <m/>
  </r>
  <r>
    <x v="2"/>
    <x v="8"/>
    <s v="Europe and Central Asia"/>
    <s v="Comprehensive Strategic Partnership [全面战略伙伴关系]"/>
    <x v="5"/>
    <s v="EUCOM"/>
    <x v="116"/>
    <x v="24"/>
    <n v="11"/>
    <s v="Military Exercise - Bilateral"/>
    <m/>
    <m/>
    <m/>
    <m/>
    <x v="0"/>
    <m/>
    <x v="4"/>
    <s v="None"/>
    <s v="Navy"/>
    <s v="helicopter landing on each other’s warship, maritime replenishment, visit, board, search and seizure training; UNREP, fleet maneuvers, boarding; ETF-21; anti-piracy"/>
    <m/>
    <x v="12"/>
    <m/>
    <m/>
    <s v="http://eng.chinamil.com.cn/news-channels/2015-11/30/content_6792347.htm"/>
    <m/>
  </r>
  <r>
    <x v="1"/>
    <x v="9"/>
    <s v="West Asia and Africa"/>
    <s v="No Specific Relationship"/>
    <x v="0"/>
    <s v="CENTCOM"/>
    <x v="119"/>
    <x v="24"/>
    <n v="11"/>
    <s v="BL - Abroad"/>
    <s v="Fang Fenghui"/>
    <m/>
    <s v="GSD Commander; CMC Member"/>
    <n v="8"/>
    <x v="1"/>
    <m/>
    <x v="0"/>
    <m/>
    <m/>
    <m/>
    <m/>
    <x v="12"/>
    <m/>
    <m/>
    <m/>
    <m/>
  </r>
  <r>
    <x v="0"/>
    <x v="9"/>
    <s v="West Asia and Africa"/>
    <s v="No Specific Relationship"/>
    <x v="0"/>
    <s v="CENTCOM"/>
    <x v="119"/>
    <x v="24"/>
    <n v="11"/>
    <s v="Port Call - Replenish/Overhaul"/>
    <m/>
    <m/>
    <m/>
    <m/>
    <x v="0"/>
    <m/>
    <x v="0"/>
    <m/>
    <m/>
    <m/>
    <s v="ETF"/>
    <x v="73"/>
    <s v="South Sea Fleet"/>
    <s v="FFG573 Liuzhou, FFG574 Sanya, AOR885 Qinghai Hu"/>
    <m/>
    <m/>
  </r>
  <r>
    <x v="1"/>
    <x v="10"/>
    <s v="America and Oceania"/>
    <s v="Strategic Partnership [战略伙伴关系]"/>
    <x v="0"/>
    <s v="SOUTHCOM"/>
    <x v="51"/>
    <x v="24"/>
    <n v="11"/>
    <s v="BL - Hosted"/>
    <s v="Chang Wanquan"/>
    <m/>
    <s v="Defense Minister; CMC Member"/>
    <n v="8"/>
    <x v="2"/>
    <s v="Defense Minister"/>
    <x v="0"/>
    <m/>
    <m/>
    <m/>
    <m/>
    <x v="12"/>
    <m/>
    <m/>
    <m/>
    <m/>
  </r>
  <r>
    <x v="1"/>
    <x v="7"/>
    <s v="West Asia and Africa"/>
    <s v="No Specific Relationship"/>
    <x v="0"/>
    <s v="AFRICOM"/>
    <x v="87"/>
    <x v="24"/>
    <n v="11"/>
    <s v="BL - Hosted"/>
    <s v="Xu Qiliang"/>
    <m/>
    <s v="CMC Vice Chairman"/>
    <n v="10"/>
    <x v="2"/>
    <s v="Defense Minister"/>
    <x v="0"/>
    <m/>
    <m/>
    <m/>
    <m/>
    <x v="12"/>
    <m/>
    <m/>
    <m/>
    <m/>
  </r>
  <r>
    <x v="1"/>
    <x v="8"/>
    <s v="Europe and Central Asia"/>
    <s v="No Specific Relationship"/>
    <x v="5"/>
    <s v="EUCOM"/>
    <x v="82"/>
    <x v="24"/>
    <n v="11"/>
    <s v="BL - Hosted"/>
    <s v="Wang Guanzhong"/>
    <m/>
    <s v="GSD DCGS"/>
    <n v="6"/>
    <x v="2"/>
    <s v="Deputy Chairman JCS"/>
    <x v="0"/>
    <m/>
    <m/>
    <m/>
    <m/>
    <x v="12"/>
    <m/>
    <m/>
    <m/>
    <m/>
  </r>
  <r>
    <x v="1"/>
    <x v="0"/>
    <s v="Asia"/>
    <s v="Strategic Partnership for Peace and Prosperity [战略伙伴关系]"/>
    <x v="0"/>
    <s v="INDOPACOM"/>
    <x v="6"/>
    <x v="24"/>
    <n v="11"/>
    <s v="BL - Abroad"/>
    <s v="Fan Changlong"/>
    <m/>
    <s v="CMC Vice Chairman"/>
    <n v="10"/>
    <x v="1"/>
    <m/>
    <x v="0"/>
    <m/>
    <m/>
    <m/>
    <m/>
    <x v="12"/>
    <m/>
    <m/>
    <m/>
    <m/>
  </r>
  <r>
    <x v="1"/>
    <x v="1"/>
    <s v="Asia"/>
    <s v="Comprehensive Strategic Partnership [全面战略伙伴关系]"/>
    <x v="0"/>
    <s v="INDOPACOM"/>
    <x v="8"/>
    <x v="24"/>
    <n v="11"/>
    <s v="BL - Abroad"/>
    <s v="Wu Shengli"/>
    <m/>
    <s v="PLAN Commander; CMC Member"/>
    <n v="8"/>
    <x v="1"/>
    <m/>
    <x v="0"/>
    <m/>
    <m/>
    <m/>
    <m/>
    <x v="12"/>
    <m/>
    <m/>
    <m/>
    <m/>
  </r>
  <r>
    <x v="1"/>
    <x v="9"/>
    <s v="West Asia and Africa"/>
    <s v="No Specific Relationship"/>
    <x v="0"/>
    <s v="CENTCOM"/>
    <x v="89"/>
    <x v="24"/>
    <n v="11"/>
    <s v="BL - Hosted"/>
    <s v="Ma Xiaotian"/>
    <m/>
    <s v="PLAAF Commander; CMC Member"/>
    <n v="8"/>
    <x v="2"/>
    <s v="Air Force Commander"/>
    <x v="0"/>
    <m/>
    <m/>
    <m/>
    <m/>
    <x v="12"/>
    <m/>
    <m/>
    <m/>
    <m/>
  </r>
  <r>
    <x v="1"/>
    <x v="1"/>
    <s v="Asia"/>
    <s v="Comprehensive Strategic Partnership [全面战略伙伴关系]"/>
    <x v="0"/>
    <s v="INDOPACOM"/>
    <x v="10"/>
    <x v="24"/>
    <n v="11"/>
    <s v="BL - Abroad"/>
    <s v="Chang Wanquan"/>
    <m/>
    <s v="Defense Minister; CMC Member"/>
    <n v="8"/>
    <x v="1"/>
    <s v="Defense Minister"/>
    <x v="0"/>
    <m/>
    <m/>
    <m/>
    <m/>
    <x v="12"/>
    <m/>
    <m/>
    <s v="http://english.chinamil.com.cn/news-channels/china-military-news/2015-11/05/content_6756726.htm"/>
    <m/>
  </r>
  <r>
    <x v="1"/>
    <x v="1"/>
    <s v="Asia"/>
    <s v="Comprehensive Strategic Partnership [全面战略伙伴关系]"/>
    <x v="0"/>
    <s v="INDOPACOM"/>
    <x v="10"/>
    <x v="24"/>
    <n v="11"/>
    <s v="BL - Abroad"/>
    <s v="Wu Shengli"/>
    <m/>
    <s v="PLAN Commander; CMC Member"/>
    <n v="8"/>
    <x v="1"/>
    <m/>
    <x v="0"/>
    <m/>
    <m/>
    <m/>
    <m/>
    <x v="12"/>
    <m/>
    <m/>
    <m/>
    <m/>
  </r>
  <r>
    <x v="1"/>
    <x v="0"/>
    <s v="West Asia and Africa"/>
    <s v="Comprehensive Friendly Cooperative Partnership [全面友好合作伙伴关系]"/>
    <x v="0"/>
    <s v="INDOPACOM"/>
    <x v="149"/>
    <x v="24"/>
    <n v="11"/>
    <s v="BL - Abroad"/>
    <s v="Wu Shengli"/>
    <m/>
    <s v="PLAN Commander; CMC Member"/>
    <n v="8"/>
    <x v="1"/>
    <m/>
    <x v="0"/>
    <m/>
    <m/>
    <m/>
    <m/>
    <x v="12"/>
    <m/>
    <m/>
    <m/>
    <m/>
  </r>
  <r>
    <x v="1"/>
    <x v="7"/>
    <s v="West Asia and Africa"/>
    <s v="No Specific Relationship"/>
    <x v="0"/>
    <s v="AFRICOM"/>
    <x v="121"/>
    <x v="24"/>
    <n v="11"/>
    <s v="BL - Hosted"/>
    <s v="Fan Changlong"/>
    <m/>
    <s v="CMC Vice Chairman"/>
    <n v="10"/>
    <x v="2"/>
    <s v="Defense Minister"/>
    <x v="0"/>
    <m/>
    <m/>
    <m/>
    <m/>
    <x v="12"/>
    <m/>
    <m/>
    <m/>
    <m/>
  </r>
  <r>
    <x v="0"/>
    <x v="2"/>
    <s v="America and Oceania"/>
    <s v="Comprehensive Strategic Partnership [全面战略伙伴关系]"/>
    <x v="0"/>
    <s v="NORTHCOM"/>
    <x v="77"/>
    <x v="24"/>
    <n v="11"/>
    <s v="Port Call - Friendly Visit"/>
    <m/>
    <m/>
    <m/>
    <m/>
    <x v="0"/>
    <m/>
    <x v="0"/>
    <m/>
    <m/>
    <m/>
    <s v="ETF"/>
    <x v="69"/>
    <s v="East Sea Fleet"/>
    <s v="DDG152 Jinan, FFG548 Yiyang, AOR886 Qiandao Hu "/>
    <m/>
    <m/>
  </r>
  <r>
    <x v="0"/>
    <x v="2"/>
    <s v="America and Oceania"/>
    <s v="Comprehensive Strategic Partnership [全面战略伙伴关系]"/>
    <x v="0"/>
    <s v="NORTHCOM"/>
    <x v="77"/>
    <x v="24"/>
    <n v="11"/>
    <s v="Port Call - HADR/Friendly"/>
    <m/>
    <m/>
    <m/>
    <m/>
    <x v="0"/>
    <m/>
    <x v="0"/>
    <m/>
    <m/>
    <m/>
    <s v="NETF"/>
    <x v="74"/>
    <s v="East Sea Fleet"/>
    <m/>
    <m/>
    <s v="recoded to delete drills"/>
  </r>
  <r>
    <x v="1"/>
    <x v="0"/>
    <s v="Asia"/>
    <s v="All-Weather Strategic Cooperative Partnership [全天候战略合作伙伴关系]"/>
    <x v="1"/>
    <s v="CENTCOM"/>
    <x v="2"/>
    <x v="24"/>
    <n v="11"/>
    <s v="BL - Abroad"/>
    <s v="Fan Changlong"/>
    <m/>
    <s v="CMC Vice Chairman"/>
    <n v="10"/>
    <x v="1"/>
    <m/>
    <x v="0"/>
    <m/>
    <m/>
    <m/>
    <m/>
    <x v="12"/>
    <m/>
    <m/>
    <m/>
    <m/>
  </r>
  <r>
    <x v="1"/>
    <x v="8"/>
    <s v="Europe and Central Asia"/>
    <s v="Comprehensive Strategic Partnership [全面战略伙伴关系]"/>
    <x v="5"/>
    <s v="EUCOM"/>
    <x v="48"/>
    <x v="24"/>
    <n v="11"/>
    <s v="BL - Hosted"/>
    <s v="Chang Wanquan "/>
    <m/>
    <s v="Defense Minister; CMC Member"/>
    <n v="8"/>
    <x v="2"/>
    <s v="COGS"/>
    <x v="0"/>
    <m/>
    <m/>
    <m/>
    <m/>
    <x v="12"/>
    <m/>
    <m/>
    <m/>
    <m/>
  </r>
  <r>
    <x v="1"/>
    <x v="9"/>
    <s v="West Asia and Africa"/>
    <s v="Strategic Partnership [战略伙伴关系]"/>
    <x v="0"/>
    <s v="CENTCOM"/>
    <x v="131"/>
    <x v="24"/>
    <n v="11"/>
    <s v="BL - Hosted"/>
    <s v="Fang Fenghui"/>
    <m/>
    <s v="GSD Commander; CMC Member"/>
    <n v="8"/>
    <x v="2"/>
    <s v="COGS"/>
    <x v="0"/>
    <m/>
    <m/>
    <m/>
    <m/>
    <x v="12"/>
    <m/>
    <m/>
    <m/>
    <m/>
  </r>
  <r>
    <x v="1"/>
    <x v="3"/>
    <s v="Europe and Central Asia"/>
    <s v="Comprehensive Collaborative Strategic Partnership [全面战略协作伙伴关系]"/>
    <x v="0"/>
    <s v="EUCOM"/>
    <x v="7"/>
    <x v="24"/>
    <n v="11"/>
    <s v="BL - Abroad"/>
    <s v="Xu Qiliang"/>
    <m/>
    <s v="CMC Vice Chairman"/>
    <n v="10"/>
    <x v="1"/>
    <m/>
    <x v="0"/>
    <m/>
    <m/>
    <m/>
    <m/>
    <x v="12"/>
    <m/>
    <m/>
    <m/>
    <m/>
  </r>
  <r>
    <x v="1"/>
    <x v="1"/>
    <s v="Asia"/>
    <s v="All-Round Cooperative Partnership [全方合作伙伴关系]"/>
    <x v="0"/>
    <s v="INDOPACOM"/>
    <x v="39"/>
    <x v="24"/>
    <n v="11"/>
    <s v="BL - Hosted"/>
    <s v="Zhao Keshi"/>
    <m/>
    <s v="GLD Director; CMC Member"/>
    <n v="8"/>
    <x v="2"/>
    <s v="Head of Joint Logistics Department"/>
    <x v="0"/>
    <m/>
    <m/>
    <m/>
    <m/>
    <x v="12"/>
    <m/>
    <m/>
    <m/>
    <m/>
  </r>
  <r>
    <x v="1"/>
    <x v="7"/>
    <s v="West Asia and Africa"/>
    <s v="Comprehensive Strategic Partnership [全面战略伙伴关系]"/>
    <x v="0"/>
    <s v="AFRICOM"/>
    <x v="15"/>
    <x v="24"/>
    <n v="11"/>
    <s v="BL - Hosted"/>
    <s v="Wu Shengli"/>
    <m/>
    <s v="PLAN Commander; CMC Member"/>
    <n v="8"/>
    <x v="2"/>
    <s v="Navy Commander"/>
    <x v="0"/>
    <m/>
    <m/>
    <m/>
    <m/>
    <x v="12"/>
    <m/>
    <m/>
    <m/>
    <m/>
  </r>
  <r>
    <x v="1"/>
    <x v="4"/>
    <s v="Asia"/>
    <s v="Strategic Cooperative Partnership [战略合作伙伴关系]"/>
    <x v="3"/>
    <s v="INDOPACOM"/>
    <x v="25"/>
    <x v="24"/>
    <n v="11"/>
    <s v="ML - Margins"/>
    <s v="Chang Wanquan"/>
    <m/>
    <s v="Defense Minister; CMC Member"/>
    <n v="8"/>
    <x v="1"/>
    <s v="Defense Minister"/>
    <x v="0"/>
    <m/>
    <m/>
    <m/>
    <m/>
    <x v="12"/>
    <m/>
    <m/>
    <s v="https://www.upi.com/Top_News/World-News/2015/11/04/South-Korea-agrees-to-military-hotline-with-China/4351446662720/"/>
    <m/>
  </r>
  <r>
    <x v="2"/>
    <x v="4"/>
    <s v="Asia"/>
    <s v="Strategic Cooperative Partnership [战略合作伙伴关系]"/>
    <x v="3"/>
    <s v="INDOPACOM"/>
    <x v="25"/>
    <x v="24"/>
    <n v="11"/>
    <s v="Military Exercise - Bilateral"/>
    <m/>
    <m/>
    <m/>
    <m/>
    <x v="0"/>
    <m/>
    <x v="4"/>
    <s v="None"/>
    <s v="Navy"/>
    <s v="anti-piracy in Gulf of Aden"/>
    <m/>
    <x v="12"/>
    <m/>
    <m/>
    <m/>
    <m/>
  </r>
  <r>
    <x v="2"/>
    <x v="1"/>
    <s v="Asia"/>
    <s v="Comprehensive Strategic Cooperative Partnership [全面战略合作伙伴关系]"/>
    <x v="3"/>
    <s v="INDOPACOM"/>
    <x v="5"/>
    <x v="24"/>
    <n v="11"/>
    <s v="Military Exercise - Bilateral"/>
    <m/>
    <m/>
    <m/>
    <m/>
    <x v="0"/>
    <m/>
    <x v="3"/>
    <s v="Falcon Strike 2015"/>
    <s v="Air Force"/>
    <s v="Aerial maneuvers"/>
    <m/>
    <x v="12"/>
    <m/>
    <m/>
    <s v="https://web.archive.org/web/20150926012801/https://www.news.lk/news/sri-lanka/item/9929-exercise-cormorant-exercise-vi-draws-to-a-close"/>
    <m/>
  </r>
  <r>
    <x v="1"/>
    <x v="2"/>
    <s v="America and Oceania"/>
    <s v="No Specific Relationship"/>
    <x v="2"/>
    <s v="NORTHCOM"/>
    <x v="4"/>
    <x v="24"/>
    <n v="11"/>
    <s v="ML - Margins"/>
    <s v="Chang Wanquan"/>
    <m/>
    <s v="Defense Minister; CMC Member"/>
    <n v="8"/>
    <x v="1"/>
    <s v="Secretary of Defense Carter"/>
    <x v="0"/>
    <m/>
    <m/>
    <m/>
    <m/>
    <x v="12"/>
    <m/>
    <m/>
    <s v="https://www.defense.gov/Newsroom/Releases/Release/Article/627162/readout-of-secretary-of-defense-ash-carters-meeting-with-peoples-republic-of-ch/"/>
    <s v="on margins of ADMM+"/>
  </r>
  <r>
    <x v="1"/>
    <x v="2"/>
    <s v="America and Oceania"/>
    <s v="No Specific Relationship"/>
    <x v="2"/>
    <s v="NORTHCOM"/>
    <x v="4"/>
    <x v="24"/>
    <n v="11"/>
    <s v="BL - Hosted"/>
    <s v="Fan Changlong"/>
    <m/>
    <s v="CMC Vice Chairman"/>
    <n v="10"/>
    <x v="2"/>
    <s v="PACOM Commander Harris"/>
    <x v="0"/>
    <m/>
    <m/>
    <m/>
    <m/>
    <x v="12"/>
    <m/>
    <m/>
    <s v="2016 CH Milpower Report"/>
    <m/>
  </r>
  <r>
    <x v="0"/>
    <x v="2"/>
    <s v="America and Oceania"/>
    <s v="No Specific Relationship"/>
    <x v="2"/>
    <s v="NORTHCOM"/>
    <x v="4"/>
    <x v="24"/>
    <n v="11"/>
    <s v="Port Call - Friendly Visit and Drills"/>
    <m/>
    <m/>
    <m/>
    <m/>
    <x v="0"/>
    <m/>
    <x v="0"/>
    <m/>
    <m/>
    <m/>
    <s v="ETF"/>
    <x v="69"/>
    <s v="East Sea Fleet"/>
    <s v="DDG152 Jinan, FFG548 Yiyang, AOR886 Qiandao Hu; Florida and Hawaii"/>
    <s v="2016 CH Milpower Report"/>
    <m/>
  </r>
  <r>
    <x v="0"/>
    <x v="2"/>
    <s v="America and Oceania"/>
    <s v="No Specific Relationship"/>
    <x v="2"/>
    <s v="NORTHCOM"/>
    <x v="4"/>
    <x v="24"/>
    <n v="11"/>
    <s v="Port Call - HADR/Friendly"/>
    <m/>
    <m/>
    <m/>
    <m/>
    <x v="0"/>
    <m/>
    <x v="0"/>
    <m/>
    <m/>
    <m/>
    <s v="NETF"/>
    <x v="75"/>
    <s v="East Sea Fleet"/>
    <s v="Peace Ark to San Diego"/>
    <m/>
    <s v="recoded to delete drills"/>
  </r>
  <r>
    <x v="2"/>
    <x v="2"/>
    <s v="America and Oceania"/>
    <s v="No Specific Relationship"/>
    <x v="2"/>
    <s v="NORTHCOM"/>
    <x v="4"/>
    <x v="24"/>
    <n v="11"/>
    <s v="Military Exercise - Bilateral"/>
    <m/>
    <m/>
    <m/>
    <m/>
    <x v="0"/>
    <m/>
    <x v="2"/>
    <s v="11th Disaster Management Exchange"/>
    <s v="Army"/>
    <s v="Joint Base Lewis-McChord; HADR with academic discussion, TTX, and field exchange"/>
    <m/>
    <x v="12"/>
    <m/>
    <m/>
    <m/>
    <m/>
  </r>
  <r>
    <x v="2"/>
    <x v="2"/>
    <s v="America and Oceania"/>
    <s v="No Specific Relationship"/>
    <x v="2"/>
    <s v="NORTHCOM"/>
    <x v="4"/>
    <x v="24"/>
    <n v="11"/>
    <s v="Military Exercise - Bilateral"/>
    <m/>
    <m/>
    <m/>
    <m/>
    <x v="0"/>
    <m/>
    <x v="2"/>
    <s v="None"/>
    <s v="Navy"/>
    <s v="Communications and SAR exercise; USS Stethem"/>
    <m/>
    <x v="12"/>
    <m/>
    <m/>
    <s v="https://www.cpf.navy.mil/Newsroom/News/Article/2745342/uss-stethem-joins-with-plan-to-conduct-exercise/"/>
    <m/>
  </r>
  <r>
    <x v="1"/>
    <x v="5"/>
    <s v="America and Oceania"/>
    <s v="Comprehensive Strategic Partnership [全面战略伙伴关系]"/>
    <x v="4"/>
    <s v="INDOPACOM"/>
    <x v="12"/>
    <x v="24"/>
    <n v="12"/>
    <s v="BL - Abroad"/>
    <s v="Fang Fenghui"/>
    <m/>
    <s v="GSD Commander; CMC Member"/>
    <n v="8"/>
    <x v="1"/>
    <m/>
    <x v="0"/>
    <m/>
    <m/>
    <m/>
    <m/>
    <x v="12"/>
    <m/>
    <m/>
    <s v="http://english.chinamil.com.cn/view/2017-11/10/content_7819995.htm"/>
    <m/>
  </r>
  <r>
    <x v="1"/>
    <x v="0"/>
    <s v="Asia"/>
    <s v="Comprehensive Cooperative Partnership [全面合作伙伴关系]"/>
    <x v="0"/>
    <s v="INDOPACOM"/>
    <x v="0"/>
    <x v="24"/>
    <n v="12"/>
    <s v="BL - Hosted"/>
    <s v="Chang Wanquan"/>
    <m/>
    <s v="Defense Minister; CMC Member"/>
    <n v="8"/>
    <x v="2"/>
    <s v="Army Chief of Staff"/>
    <x v="0"/>
    <m/>
    <m/>
    <m/>
    <m/>
    <x v="12"/>
    <m/>
    <m/>
    <s v="http://english.chinamil.com.cn/view/2017-11/02/content_7810455.htm"/>
    <m/>
  </r>
  <r>
    <x v="0"/>
    <x v="10"/>
    <s v="America and Oceania"/>
    <s v="No Specific Relationship"/>
    <x v="0"/>
    <s v="SOUTHCOM"/>
    <x v="103"/>
    <x v="24"/>
    <n v="12"/>
    <s v="Port Call - HADR/Friendly"/>
    <m/>
    <m/>
    <m/>
    <m/>
    <x v="0"/>
    <m/>
    <x v="0"/>
    <m/>
    <m/>
    <m/>
    <s v="NETF"/>
    <x v="76"/>
    <s v="East Sea Fleet"/>
    <m/>
    <m/>
    <s v="recoded to delete drills"/>
  </r>
  <r>
    <x v="1"/>
    <x v="8"/>
    <s v="Europe and Central Asia"/>
    <s v="Comprehensive Strategic Partnership [全面战略伙伴关系]"/>
    <x v="5"/>
    <s v="EUCOM"/>
    <x v="18"/>
    <x v="24"/>
    <n v="12"/>
    <s v="BL - Hosted"/>
    <s v="Sun Jianguo"/>
    <m/>
    <s v="GSD DCGS"/>
    <n v="6"/>
    <x v="2"/>
    <s v="Delegation of senior military officers"/>
    <x v="0"/>
    <m/>
    <m/>
    <m/>
    <m/>
    <x v="12"/>
    <m/>
    <m/>
    <s v="http://english.chinamil.com.cn/view/2017-11/20/content_7833802.htm"/>
    <m/>
  </r>
  <r>
    <x v="0"/>
    <x v="10"/>
    <s v="America and Oceania"/>
    <s v="No Specific Relationship"/>
    <x v="0"/>
    <s v="SOUTHCOM"/>
    <x v="138"/>
    <x v="24"/>
    <n v="12"/>
    <s v="Port Call - HADR/Friendly"/>
    <m/>
    <m/>
    <m/>
    <m/>
    <x v="0"/>
    <m/>
    <x v="0"/>
    <m/>
    <m/>
    <m/>
    <s v="NETF"/>
    <x v="76"/>
    <s v="East Sea Fleet"/>
    <m/>
    <m/>
    <s v="recoded to delete drills"/>
  </r>
  <r>
    <x v="1"/>
    <x v="0"/>
    <s v="Asia"/>
    <s v="Strategic Partnership for Peace and Prosperity [战略伙伴关系]"/>
    <x v="0"/>
    <s v="INDOPACOM"/>
    <x v="6"/>
    <x v="24"/>
    <n v="12"/>
    <s v="BL - Hosted"/>
    <s v="Qi Jianguo"/>
    <m/>
    <s v="GSD DCGS"/>
    <n v="6"/>
    <x v="2"/>
    <s v="CinC Indian Army Northern Command"/>
    <x v="0"/>
    <m/>
    <m/>
    <m/>
    <m/>
    <x v="12"/>
    <m/>
    <m/>
    <s v="http://english.chinamil.com.cn/view/2017-11/30/content_7851222.htm"/>
    <m/>
  </r>
  <r>
    <x v="2"/>
    <x v="0"/>
    <s v="Asia"/>
    <s v="All-Weather Strategic Cooperative Partnership [全天候战略合作伙伴关系]"/>
    <x v="1"/>
    <s v="CENTCOM"/>
    <x v="2"/>
    <x v="24"/>
    <n v="12"/>
    <s v="Military Exercise - Bilateral"/>
    <m/>
    <m/>
    <m/>
    <m/>
    <x v="0"/>
    <m/>
    <x v="3"/>
    <s v="Friends"/>
    <s v="Navy"/>
    <s v="live-fire drills, joint escort, anti-piracy with FFGs Xuzhou, Yangzhou, and Shamsheer; ASW"/>
    <m/>
    <x v="12"/>
    <m/>
    <m/>
    <m/>
    <m/>
  </r>
  <r>
    <x v="2"/>
    <x v="0"/>
    <s v="Asia"/>
    <s v="All-Weather Strategic Cooperative Partnership [全天候战略合作伙伴关系]"/>
    <x v="1"/>
    <s v="CENTCOM"/>
    <x v="2"/>
    <x v="24"/>
    <n v="12"/>
    <s v="Military Exercise - Bilateral"/>
    <m/>
    <m/>
    <m/>
    <m/>
    <x v="0"/>
    <m/>
    <x v="1"/>
    <s v="Friendship 2015"/>
    <s v="Army"/>
    <s v="anti-terrorism"/>
    <m/>
    <x v="12"/>
    <m/>
    <m/>
    <s v="http://eng.chinamil.com.cn/news-channels/2016-01/04/content_6843101_2.htm"/>
    <m/>
  </r>
  <r>
    <x v="0"/>
    <x v="10"/>
    <s v="America and Oceania"/>
    <s v="Comprehensive Strategic Partnership [全面战略伙伴关系]"/>
    <x v="0"/>
    <s v="SOUTHCOM"/>
    <x v="54"/>
    <x v="24"/>
    <n v="12"/>
    <s v="Port Call - HADR/Friendly"/>
    <m/>
    <m/>
    <m/>
    <m/>
    <x v="0"/>
    <m/>
    <x v="0"/>
    <m/>
    <m/>
    <m/>
    <s v="NETF"/>
    <x v="76"/>
    <s v="East Sea Fleet"/>
    <m/>
    <m/>
    <s v="recoded to delete drills"/>
  </r>
  <r>
    <x v="2"/>
    <x v="5"/>
    <s v="America and Oceania"/>
    <s v="Comprehensive Strategic Partnership [全面战略伙伴关系]"/>
    <x v="4"/>
    <s v="INDOPACOM"/>
    <x v="12"/>
    <x v="25"/>
    <n v="1"/>
    <s v="Military Exercise - Bilateral"/>
    <m/>
    <m/>
    <m/>
    <m/>
    <x v="0"/>
    <m/>
    <x v="5"/>
    <s v="None"/>
    <s v="Navy"/>
    <s v="FFG Yiyang and FFG Darwin maritime exercises"/>
    <m/>
    <x v="12"/>
    <m/>
    <m/>
    <m/>
    <m/>
  </r>
  <r>
    <x v="0"/>
    <x v="5"/>
    <s v="America and Oceania"/>
    <s v="Comprehensive Strategic Partnership [全面战略伙伴关系]"/>
    <x v="4"/>
    <s v="INDOPACOM"/>
    <x v="12"/>
    <x v="25"/>
    <n v="1"/>
    <s v="Port Call - Friendly Visit and Drills"/>
    <m/>
    <m/>
    <m/>
    <m/>
    <x v="0"/>
    <m/>
    <x v="0"/>
    <m/>
    <m/>
    <m/>
    <s v="ETF"/>
    <x v="69"/>
    <s v="East Sea Fleet"/>
    <s v="DDG152 Jinan, FFG548 Yiyang, AOR886 Qiandao Hu "/>
    <m/>
    <m/>
  </r>
  <r>
    <x v="2"/>
    <x v="0"/>
    <s v="Asia"/>
    <s v="Comprehensive Cooperative Partnership [全面合作伙伴关系]"/>
    <x v="0"/>
    <s v="INDOPACOM"/>
    <x v="0"/>
    <x v="25"/>
    <n v="1"/>
    <s v="Military Exercise - Bilateral"/>
    <m/>
    <m/>
    <m/>
    <m/>
    <x v="0"/>
    <m/>
    <x v="2"/>
    <s v="None"/>
    <s v="Navy"/>
    <s v="fleet maneuvers, communications drill, SAR, UNREP; ETF-21"/>
    <m/>
    <x v="12"/>
    <m/>
    <m/>
    <m/>
    <m/>
  </r>
  <r>
    <x v="0"/>
    <x v="0"/>
    <s v="Asia"/>
    <s v="Comprehensive Cooperative Partnership [全面合作伙伴关系]"/>
    <x v="0"/>
    <s v="INDOPACOM"/>
    <x v="0"/>
    <x v="25"/>
    <n v="1"/>
    <s v="Port Call - Friendly Visit and Drills"/>
    <m/>
    <m/>
    <m/>
    <m/>
    <x v="0"/>
    <m/>
    <x v="0"/>
    <m/>
    <m/>
    <m/>
    <s v="ETF"/>
    <x v="73"/>
    <s v="South Sea Fleet"/>
    <s v="FFG573 Liuzhou, FFG574 Sanya, AOR885 Qinghai Hu"/>
    <m/>
    <m/>
  </r>
  <r>
    <x v="0"/>
    <x v="1"/>
    <s v="Asia"/>
    <s v="Comprehensive Cooperative Partnership [全面合作伙伴关系]"/>
    <x v="0"/>
    <s v="INDOPACOM"/>
    <x v="50"/>
    <x v="25"/>
    <n v="1"/>
    <s v="Port Call - Friendly Visit"/>
    <m/>
    <m/>
    <m/>
    <m/>
    <x v="0"/>
    <m/>
    <x v="0"/>
    <m/>
    <m/>
    <m/>
    <s v="ETF"/>
    <x v="69"/>
    <s v="East Sea Fleet"/>
    <s v="DDG152 Jinan, FFG548 Yiyang, AOR886 Qiandao Hu "/>
    <m/>
    <m/>
  </r>
  <r>
    <x v="0"/>
    <x v="1"/>
    <s v="Asia"/>
    <s v="Comprehensive Strategic Partnership [全面战略伙伴关系]"/>
    <x v="0"/>
    <s v="INDOPACOM"/>
    <x v="8"/>
    <x v="25"/>
    <n v="1"/>
    <s v="Port Call - Friendly Visit"/>
    <m/>
    <m/>
    <m/>
    <m/>
    <x v="0"/>
    <m/>
    <x v="0"/>
    <m/>
    <m/>
    <m/>
    <s v="ETF"/>
    <x v="69"/>
    <s v="East Sea Fleet"/>
    <s v="DDG152 Jinan, FFG548 Yiyang, AOR886 Qiandao Hu "/>
    <m/>
    <m/>
  </r>
  <r>
    <x v="2"/>
    <x v="0"/>
    <s v="Asia"/>
    <s v="All-Weather Strategic Cooperative Partnership [全天候战略合作伙伴关系]"/>
    <x v="1"/>
    <s v="CENTCOM"/>
    <x v="2"/>
    <x v="25"/>
    <n v="1"/>
    <s v="Military Exercise - Bilateral"/>
    <m/>
    <m/>
    <m/>
    <m/>
    <x v="0"/>
    <m/>
    <x v="5"/>
    <s v="None"/>
    <s v="Navy"/>
    <s v="ETF-21, formation maneuver, replenishment, formation air defense, cross-deck helo landing"/>
    <m/>
    <x v="12"/>
    <m/>
    <m/>
    <m/>
    <m/>
  </r>
  <r>
    <x v="0"/>
    <x v="0"/>
    <s v="Asia"/>
    <s v="All-Weather Strategic Cooperative Partnership [全天候战略合作伙伴关系]"/>
    <x v="1"/>
    <s v="CENTCOM"/>
    <x v="2"/>
    <x v="25"/>
    <n v="1"/>
    <s v="Port Call - Friendly Visit and Drills"/>
    <m/>
    <m/>
    <m/>
    <m/>
    <x v="0"/>
    <m/>
    <x v="0"/>
    <m/>
    <m/>
    <m/>
    <s v="ETF"/>
    <x v="73"/>
    <s v="South Sea Fleet"/>
    <s v="FFG573 Liuzhou, FFG574 Sanya, AOR885 Qinghai Hu; communications drills"/>
    <s v="http://eng.chinamil.com.cn/news-channels/2016-01/04/content_6843101_2.htm"/>
    <m/>
  </r>
  <r>
    <x v="2"/>
    <x v="0"/>
    <s v="Asia"/>
    <s v="Strategic Cooperative Partnership [战略合作伙伴关系]"/>
    <x v="0"/>
    <s v="INDOPACOM"/>
    <x v="3"/>
    <x v="25"/>
    <n v="1"/>
    <s v="Military Exercise - Bilateral"/>
    <m/>
    <m/>
    <m/>
    <m/>
    <x v="0"/>
    <m/>
    <x v="2"/>
    <s v="None"/>
    <s v="Navy"/>
    <s v="fleet maneuvers, communications drill, SAR,ETF-21"/>
    <m/>
    <x v="12"/>
    <m/>
    <m/>
    <m/>
    <m/>
  </r>
  <r>
    <x v="0"/>
    <x v="0"/>
    <s v="Asia"/>
    <s v="Strategic Cooperative Partnership [战略合作伙伴关系]"/>
    <x v="0"/>
    <s v="INDOPACOM"/>
    <x v="3"/>
    <x v="25"/>
    <n v="1"/>
    <s v="Port Call - Friendly Visit and Drills"/>
    <m/>
    <m/>
    <m/>
    <m/>
    <x v="0"/>
    <m/>
    <x v="0"/>
    <m/>
    <m/>
    <m/>
    <s v="ETF"/>
    <x v="73"/>
    <s v="South Sea Fleet"/>
    <s v="FFG573 Liuzhou, FFG574 Sanya, AOR885 Qinghai Hu"/>
    <m/>
    <m/>
  </r>
  <r>
    <x v="1"/>
    <x v="1"/>
    <s v="Asia"/>
    <s v="Comprehensive Strategic Cooperative Partnership [全面战略合作伙伴关系]"/>
    <x v="3"/>
    <s v="INDOPACOM"/>
    <x v="5"/>
    <x v="25"/>
    <n v="1"/>
    <s v="BL - Hosted"/>
    <s v="Chang Wanquan"/>
    <m/>
    <s v="Defense Minister; CMC Member"/>
    <n v="8"/>
    <x v="2"/>
    <s v="Chief of Army"/>
    <x v="0"/>
    <m/>
    <m/>
    <m/>
    <m/>
    <x v="12"/>
    <m/>
    <m/>
    <m/>
    <m/>
  </r>
  <r>
    <x v="1"/>
    <x v="1"/>
    <s v="Asia"/>
    <s v="Comprehensive Strategic Cooperative Partnership [全面战略合作伙伴关系]"/>
    <x v="0"/>
    <s v="INDOPACOM"/>
    <x v="23"/>
    <x v="25"/>
    <n v="1"/>
    <s v="BL - Hosted"/>
    <s v="Sun Jianguo"/>
    <m/>
    <s v="CMC/JSD DCJS"/>
    <n v="6"/>
    <x v="2"/>
    <s v="Vice Defense Minister"/>
    <x v="0"/>
    <m/>
    <m/>
    <m/>
    <m/>
    <x v="12"/>
    <m/>
    <m/>
    <m/>
    <m/>
  </r>
  <r>
    <x v="1"/>
    <x v="0"/>
    <s v="Europe and Central Asia"/>
    <s v="Strategic Partnership [战略伙伴关系]"/>
    <x v="1"/>
    <s v="CENTCOM"/>
    <x v="123"/>
    <x v="25"/>
    <n v="2"/>
    <s v="BL - Abroad"/>
    <s v="Fang Fenghui"/>
    <m/>
    <s v="CMC/JSD Commander; CMC Member"/>
    <n v="8"/>
    <x v="1"/>
    <m/>
    <x v="0"/>
    <m/>
    <m/>
    <m/>
    <m/>
    <x v="12"/>
    <m/>
    <m/>
    <m/>
    <m/>
  </r>
  <r>
    <x v="0"/>
    <x v="1"/>
    <s v="Asia"/>
    <s v="Comprehensive Strategic Cooperative Partnership [全面战略合作伙伴关系]"/>
    <x v="0"/>
    <s v="INDOPACOM"/>
    <x v="94"/>
    <x v="25"/>
    <n v="2"/>
    <s v="Port Call - Friendly Visit"/>
    <m/>
    <m/>
    <m/>
    <m/>
    <x v="0"/>
    <m/>
    <x v="0"/>
    <m/>
    <m/>
    <m/>
    <s v="ETF"/>
    <x v="73"/>
    <s v="South Sea Fleet"/>
    <s v="FFG573 Liuzhou, FFG574 Sanya, AOR885 Qinghai Hu"/>
    <m/>
    <m/>
  </r>
  <r>
    <x v="2"/>
    <x v="8"/>
    <s v="Europe and Central Asia"/>
    <s v="Comprehensive Cooperative Partnership [全面合作伙伴关系]"/>
    <x v="0"/>
    <s v="EUCOM"/>
    <x v="158"/>
    <x v="25"/>
    <n v="2"/>
    <s v="Military Exercise - Multilateral"/>
    <m/>
    <m/>
    <m/>
    <m/>
    <x v="0"/>
    <m/>
    <x v="4"/>
    <s v="None"/>
    <s v="Navy"/>
    <s v="ETF-22 anti-piracy drills with EU Combined Task Force 465"/>
    <m/>
    <x v="12"/>
    <m/>
    <m/>
    <m/>
    <m/>
  </r>
  <r>
    <x v="2"/>
    <x v="0"/>
    <s v="Asia"/>
    <s v="Strategic Partnership for Peace and Prosperity [战略伙伴关系]"/>
    <x v="0"/>
    <s v="INDOPACOM"/>
    <x v="6"/>
    <x v="25"/>
    <n v="2"/>
    <s v="Military Exercise - Multilateral"/>
    <m/>
    <m/>
    <m/>
    <m/>
    <x v="0"/>
    <m/>
    <x v="2"/>
    <s v="Indian Fleet Review 2016"/>
    <s v="Navy"/>
    <s v="navigation and formation maneuvers; ETF-21. Other countries: refer to source for a complete list of countries"/>
    <m/>
    <x v="12"/>
    <m/>
    <m/>
    <s v="http://english.chinamil.com.cn/news-channels/china-military-news/2016-02/15/content_6908979.htm;  https://www.indiannavy.nic.in/content/international-fleet-review-2016-1l https://www.indiannavy.nic.in/content/international-fleet-review-2016-1; "/>
    <m/>
  </r>
  <r>
    <x v="1"/>
    <x v="6"/>
    <s v="Europe and Central Asia"/>
    <s v="Strategic Partnership [战略伙伴关系]"/>
    <x v="0"/>
    <s v="CENTCOM"/>
    <x v="60"/>
    <x v="25"/>
    <n v="2"/>
    <s v="BL - Abroad"/>
    <s v="Fang Fenghui"/>
    <m/>
    <s v="CMC/JSD Commander; CMC Member"/>
    <n v="8"/>
    <x v="1"/>
    <s v="Defense Minister"/>
    <x v="0"/>
    <m/>
    <m/>
    <m/>
    <m/>
    <x v="12"/>
    <m/>
    <m/>
    <m/>
    <m/>
  </r>
  <r>
    <x v="2"/>
    <x v="1"/>
    <s v="Asia"/>
    <s v="Comprehensive Strategic Cooperative Partnership [全面战略合作伙伴关系]"/>
    <x v="3"/>
    <s v="INDOPACOM"/>
    <x v="5"/>
    <x v="25"/>
    <n v="2"/>
    <s v="Military Exercise - Multilateral"/>
    <m/>
    <m/>
    <m/>
    <m/>
    <x v="0"/>
    <m/>
    <x v="2"/>
    <s v="Cobra Gold 2016"/>
    <s v="Army"/>
    <s v="HADR"/>
    <m/>
    <x v="12"/>
    <m/>
    <m/>
    <s v="https://www.marines.mil/News/News-Display/Article/644293/exercise-cobra-gold-2016-to-begin-february-9/"/>
    <m/>
  </r>
  <r>
    <x v="0"/>
    <x v="1"/>
    <s v="Asia"/>
    <s v="Comprehensive Strategic Cooperative Partnership [全面战略合作伙伴关系]"/>
    <x v="3"/>
    <s v="INDOPACOM"/>
    <x v="5"/>
    <x v="25"/>
    <n v="2"/>
    <s v="Port Call - Friendly Visit and Drills"/>
    <m/>
    <m/>
    <m/>
    <m/>
    <x v="0"/>
    <m/>
    <x v="0"/>
    <m/>
    <m/>
    <m/>
    <s v="ETF"/>
    <x v="73"/>
    <s v="South Sea Fleet"/>
    <s v="FFG573 Liuzhou, FFG574 Sanya, AOR885 Qinghai Hu"/>
    <m/>
    <m/>
  </r>
  <r>
    <x v="2"/>
    <x v="1"/>
    <s v="Asia"/>
    <s v="Strategic Partnership [战略伙伴关系] for Peace and Prosperity"/>
    <x v="0"/>
    <s v="INDOPACOM"/>
    <x v="153"/>
    <x v="25"/>
    <n v="3"/>
    <s v="Military Exercise - Multilateral"/>
    <m/>
    <m/>
    <m/>
    <m/>
    <x v="0"/>
    <m/>
    <x v="2"/>
    <s v="Force 18"/>
    <s v="Army"/>
    <s v="ADMM-Plus Humanitarian Mine Action and Peacekeeping Operations: Hosted by India with ASEAN and 8 dialogue partners"/>
    <m/>
    <x v="12"/>
    <m/>
    <m/>
    <s v="https://thediplomat.com/2016/03/india-concludes-watershed-military-exercise-with-asean-plus-nations/"/>
    <s v="corrected partnership to strategic partnership for peace and prosperity"/>
  </r>
  <r>
    <x v="1"/>
    <x v="9"/>
    <s v="West Asia and Africa"/>
    <s v="All-Round Partnership for Innovation [创新全面伙伴关系]"/>
    <x v="1"/>
    <s v="CENTCOM"/>
    <x v="100"/>
    <x v="25"/>
    <n v="3"/>
    <s v="BL - Hosted"/>
    <s v="Zhao Keshi"/>
    <m/>
    <s v="CMC/LSD Director; CMC Member"/>
    <n v="8"/>
    <x v="2"/>
    <m/>
    <x v="0"/>
    <m/>
    <m/>
    <m/>
    <m/>
    <x v="12"/>
    <m/>
    <m/>
    <m/>
    <m/>
  </r>
  <r>
    <x v="1"/>
    <x v="0"/>
    <s v="Asia"/>
    <s v="All-Round Strategic Partnership [全方位战略伙伴关系]"/>
    <x v="0"/>
    <s v="INDOPACOM"/>
    <x v="32"/>
    <x v="25"/>
    <n v="3"/>
    <s v="BL - Hosted"/>
    <s v="Xu Qiliang"/>
    <m/>
    <s v="CMC Vice Chairman"/>
    <n v="10"/>
    <x v="2"/>
    <s v="Chief of Army Staff"/>
    <x v="0"/>
    <m/>
    <m/>
    <m/>
    <m/>
    <x v="12"/>
    <m/>
    <m/>
    <m/>
    <m/>
  </r>
  <r>
    <x v="2"/>
    <x v="8"/>
    <s v="Europe and Central Asia"/>
    <s v="Comprehensive Strategic Partnership [全面战略伙伴关系]"/>
    <x v="5"/>
    <s v="EUCOM"/>
    <x v="21"/>
    <x v="25"/>
    <n v="3"/>
    <s v="Military Exercise - Bilateral"/>
    <m/>
    <m/>
    <m/>
    <m/>
    <x v="0"/>
    <m/>
    <x v="2"/>
    <s v="Joint Evacuation 2016"/>
    <s v="Navy"/>
    <s v="TTX; NEO"/>
    <m/>
    <x v="12"/>
    <m/>
    <m/>
    <m/>
    <m/>
  </r>
  <r>
    <x v="1"/>
    <x v="1"/>
    <s v="Asia"/>
    <s v="Comprehensive Strategic Cooperative Partnership [全面战略合作伙伴关系]"/>
    <x v="0"/>
    <s v="INDOPACOM"/>
    <x v="23"/>
    <x v="25"/>
    <n v="3"/>
    <s v="BL - Abroad"/>
    <s v="Chang Wanquan"/>
    <m/>
    <s v="Defense Minister; CMC Member"/>
    <n v="8"/>
    <x v="1"/>
    <s v="Defense Minister"/>
    <x v="0"/>
    <m/>
    <m/>
    <m/>
    <m/>
    <x v="12"/>
    <m/>
    <m/>
    <m/>
    <m/>
  </r>
  <r>
    <x v="1"/>
    <x v="0"/>
    <s v="Europe and Central Asia"/>
    <s v="Strategic Partnership [战略伙伴关系]"/>
    <x v="1"/>
    <s v="CENTCOM"/>
    <x v="123"/>
    <x v="25"/>
    <n v="4"/>
    <s v="BL - Hosted"/>
    <s v="Fang Fenghui"/>
    <m/>
    <s v="CMC/JSD Commander; CMC Member"/>
    <n v="8"/>
    <x v="2"/>
    <s v="National Security Advisor"/>
    <x v="0"/>
    <m/>
    <m/>
    <m/>
    <m/>
    <x v="12"/>
    <m/>
    <m/>
    <m/>
    <m/>
  </r>
  <r>
    <x v="1"/>
    <x v="0"/>
    <s v="Asia"/>
    <s v="Strategic Partnership for Peace and Prosperity [战略伙伴关系]"/>
    <x v="0"/>
    <s v="INDOPACOM"/>
    <x v="6"/>
    <x v="25"/>
    <n v="4"/>
    <s v="BL - Hosted"/>
    <s v="Chang Wanquan"/>
    <m/>
    <s v="Defense Minister; CMC Member"/>
    <n v="8"/>
    <x v="2"/>
    <s v="Defense Minister"/>
    <x v="0"/>
    <m/>
    <m/>
    <m/>
    <m/>
    <x v="12"/>
    <m/>
    <m/>
    <m/>
    <m/>
  </r>
  <r>
    <x v="2"/>
    <x v="1"/>
    <s v="Asia"/>
    <s v="Comprehensive Strategic Partnership [全面战略伙伴关系]"/>
    <x v="0"/>
    <s v="INDOPACOM"/>
    <x v="8"/>
    <x v="25"/>
    <n v="4"/>
    <s v="Military Exercise - Multilateral"/>
    <m/>
    <m/>
    <m/>
    <m/>
    <x v="0"/>
    <m/>
    <x v="5"/>
    <s v="None"/>
    <s v="Navy"/>
    <s v="port-and-shore activities, maritime drills, engineering and rescue ashore; Russia; France; US"/>
    <m/>
    <x v="12"/>
    <m/>
    <m/>
    <m/>
    <m/>
  </r>
  <r>
    <x v="2"/>
    <x v="1"/>
    <s v="Asia"/>
    <s v="Comprehensive Strategic Partnership [全面战略伙伴关系]"/>
    <x v="0"/>
    <s v="INDOPACOM"/>
    <x v="8"/>
    <x v="25"/>
    <n v="4"/>
    <s v="Military Exercise - Multilateral"/>
    <m/>
    <m/>
    <m/>
    <m/>
    <x v="0"/>
    <m/>
    <x v="2"/>
    <s v="Komodo 2016"/>
    <s v="Navy"/>
    <s v="HADR TTX; formation maneuvers, communication drills. Other countries: refer to source for a complete list of countries "/>
    <m/>
    <x v="12"/>
    <m/>
    <m/>
    <s v="http://www.navy.mil/submit/display.asp?story_id=94132"/>
    <m/>
  </r>
  <r>
    <x v="2"/>
    <x v="0"/>
    <s v="Asia"/>
    <s v="All-Weather Strategic Cooperative Partnership [全天候战略合作伙伴关系]"/>
    <x v="1"/>
    <s v="CENTCOM"/>
    <x v="2"/>
    <x v="25"/>
    <n v="4"/>
    <s v="Military Exercise - Bilateral"/>
    <m/>
    <m/>
    <m/>
    <m/>
    <x v="0"/>
    <m/>
    <x v="3"/>
    <s v="Shaheen 5"/>
    <s v="Air Force"/>
    <s v="combat exercises"/>
    <m/>
    <x v="12"/>
    <m/>
    <m/>
    <m/>
    <m/>
  </r>
  <r>
    <x v="1"/>
    <x v="3"/>
    <s v="Europe and Central Asia"/>
    <s v="Comprehensive Collaborative Strategic Partnership [全面战略协作伙伴关系]"/>
    <x v="0"/>
    <s v="EUCOM"/>
    <x v="7"/>
    <x v="25"/>
    <n v="4"/>
    <s v="BL - Abroad"/>
    <s v="Chang Wanquan"/>
    <m/>
    <s v="Defense Minister; CMC Member"/>
    <n v="8"/>
    <x v="1"/>
    <s v="Defense Minister"/>
    <x v="0"/>
    <m/>
    <m/>
    <m/>
    <m/>
    <x v="12"/>
    <m/>
    <m/>
    <m/>
    <m/>
  </r>
  <r>
    <x v="1"/>
    <x v="8"/>
    <s v="Europe and Central Asia"/>
    <s v="Comprehensive Strategic Partnership [全面战略伙伴关系]"/>
    <x v="5"/>
    <s v="EUCOM"/>
    <x v="21"/>
    <x v="25"/>
    <n v="4"/>
    <s v="BL - Hosted"/>
    <s v="Ma Xiaotian"/>
    <m/>
    <s v="PLAAF Commander; CMC Member"/>
    <n v="8"/>
    <x v="2"/>
    <s v="Air Chief Marshal"/>
    <x v="0"/>
    <m/>
    <m/>
    <m/>
    <m/>
    <x v="12"/>
    <m/>
    <m/>
    <m/>
    <m/>
  </r>
  <r>
    <x v="1"/>
    <x v="1"/>
    <s v="Asia"/>
    <s v="Strategic Partnership [战略伙伴关系] for Peace and Prosperity"/>
    <x v="0"/>
    <s v="INDOPACOM"/>
    <x v="153"/>
    <x v="25"/>
    <n v="5"/>
    <s v="ML - Abroad"/>
    <s v="Chang Wanquan"/>
    <m/>
    <s v="Defense Minister; CMC Member"/>
    <n v="8"/>
    <x v="1"/>
    <s v="Sixth China-ASEAN Defense Ministers' Informal Meeting in Laos"/>
    <x v="0"/>
    <m/>
    <m/>
    <m/>
    <m/>
    <x v="12"/>
    <m/>
    <m/>
    <s v="http://en.people.cn/n3/2016/0526/c90883-9063888.html"/>
    <s v="corrected partnership to strategic partnership for peace and prosperity"/>
  </r>
  <r>
    <x v="2"/>
    <x v="1"/>
    <s v="Asia"/>
    <s v="Strategic Partnership [战略伙伴关系] for Peace and Prosperity"/>
    <x v="0"/>
    <s v="INDOPACOM"/>
    <x v="153"/>
    <x v="25"/>
    <n v="5"/>
    <s v="Military Exercise - Multilateral"/>
    <m/>
    <m/>
    <m/>
    <m/>
    <x v="0"/>
    <m/>
    <x v="1"/>
    <s v="ADMM-Plus Maritime Security and Counter Terrorism Exercise"/>
    <s v="Army"/>
    <s v="ADMM-Plus Maritime Security and Counter Terrorism Exercise; Brunei and Singapore hosted"/>
    <m/>
    <x v="12"/>
    <m/>
    <m/>
    <m/>
    <s v="corrected partnership to strategic partnership for peace and prosperity"/>
  </r>
  <r>
    <x v="1"/>
    <x v="5"/>
    <s v="America and Oceania"/>
    <s v="Comprehensive Strategic Partnership [全面战略伙伴关系]"/>
    <x v="4"/>
    <s v="INDOPACOM"/>
    <x v="12"/>
    <x v="25"/>
    <n v="5"/>
    <s v="BL - Hosted"/>
    <s v="Sun Jianguo"/>
    <m/>
    <s v="CMC/JSD DCJS"/>
    <n v="6"/>
    <x v="2"/>
    <s v="Vice Chief ADF"/>
    <x v="0"/>
    <m/>
    <m/>
    <m/>
    <m/>
    <x v="12"/>
    <m/>
    <m/>
    <m/>
    <m/>
  </r>
  <r>
    <x v="2"/>
    <x v="5"/>
    <s v="America and Oceania"/>
    <s v="Comprehensive Strategic Partnership [全面战略伙伴关系]"/>
    <x v="4"/>
    <s v="INDOPACOM"/>
    <x v="12"/>
    <x v="25"/>
    <n v="5"/>
    <s v="Military Exercise - Multilateral"/>
    <m/>
    <m/>
    <m/>
    <m/>
    <x v="0"/>
    <m/>
    <x v="6"/>
    <s v="Australian Army Skill At Arms Meeting (AASAM)"/>
    <s v="Army"/>
    <s v="27th Combined Corps Chinese Central TC; sharpshooting competition. Other countries: Canada, France, Indonesia, Malaysia, Philippines, South Korea, United Kingdom, United States"/>
    <m/>
    <x v="12"/>
    <m/>
    <m/>
    <m/>
    <m/>
  </r>
  <r>
    <x v="1"/>
    <x v="0"/>
    <s v="Asia"/>
    <s v="Comprehensive Cooperative Partnership [全面合作伙伴关系]"/>
    <x v="0"/>
    <s v="INDOPACOM"/>
    <x v="0"/>
    <x v="25"/>
    <n v="5"/>
    <s v="BL - Abroad"/>
    <s v="Chang Wanquan"/>
    <m/>
    <s v="Defense Minister; CMC Member"/>
    <n v="8"/>
    <x v="1"/>
    <m/>
    <x v="0"/>
    <m/>
    <m/>
    <m/>
    <m/>
    <x v="12"/>
    <m/>
    <m/>
    <m/>
    <m/>
  </r>
  <r>
    <x v="0"/>
    <x v="9"/>
    <s v="West Asia and Africa"/>
    <s v="No Specific Relationship"/>
    <x v="0"/>
    <s v="CENTCOM"/>
    <x v="119"/>
    <x v="25"/>
    <n v="5"/>
    <s v="Port Call - Replenish/Overhaul"/>
    <m/>
    <m/>
    <m/>
    <m/>
    <x v="0"/>
    <m/>
    <x v="0"/>
    <m/>
    <m/>
    <m/>
    <s v="ETF"/>
    <x v="77"/>
    <s v="North Sea Fleet"/>
    <s v="DDG113 Qingdao, FFG576 Daqing, AOR889 Tai Hu "/>
    <m/>
    <m/>
  </r>
  <r>
    <x v="1"/>
    <x v="9"/>
    <s v="West Asia and Africa"/>
    <s v="Comprehensive Strategic Partnership [全面战略伙伴关系]"/>
    <x v="1"/>
    <s v="CENTCOM"/>
    <x v="24"/>
    <x v="25"/>
    <n v="5"/>
    <s v="BL - Abroad"/>
    <s v="Wu Shengli"/>
    <m/>
    <s v="PLAN Commander; CMC Member"/>
    <n v="8"/>
    <x v="1"/>
    <m/>
    <x v="0"/>
    <m/>
    <m/>
    <m/>
    <m/>
    <x v="12"/>
    <m/>
    <m/>
    <m/>
    <m/>
  </r>
  <r>
    <x v="1"/>
    <x v="1"/>
    <s v="Asia"/>
    <s v="Comprehensive Strategic Partnership [全面战略伙伴关系]"/>
    <x v="0"/>
    <s v="INDOPACOM"/>
    <x v="8"/>
    <x v="25"/>
    <n v="5"/>
    <s v="BL - Abroad"/>
    <s v="Chang Wanquan"/>
    <m/>
    <s v="Defense Minister; CMC Member"/>
    <n v="8"/>
    <x v="1"/>
    <s v="Defense Minister"/>
    <x v="0"/>
    <m/>
    <m/>
    <m/>
    <m/>
    <x v="12"/>
    <m/>
    <m/>
    <m/>
    <m/>
  </r>
  <r>
    <x v="1"/>
    <x v="8"/>
    <s v="Europe and Central Asia"/>
    <s v="Comprehensive Strategic Partnership [全面战略伙伴关系]"/>
    <x v="5"/>
    <s v="EUCOM"/>
    <x v="20"/>
    <x v="25"/>
    <n v="5"/>
    <s v="BL - Abroad"/>
    <s v="Zhang Youxia"/>
    <m/>
    <s v="CMC/EDD Director; CMC Member"/>
    <n v="8"/>
    <x v="1"/>
    <s v="Secretary General of Defense and National Armaments Director"/>
    <x v="0"/>
    <m/>
    <m/>
    <m/>
    <m/>
    <x v="12"/>
    <m/>
    <m/>
    <m/>
    <m/>
  </r>
  <r>
    <x v="1"/>
    <x v="1"/>
    <s v="Asia"/>
    <s v="Comprehensive Strategic Cooperative Partnership [全面战略合作伙伴关系]"/>
    <x v="0"/>
    <s v="INDOPACOM"/>
    <x v="52"/>
    <x v="25"/>
    <n v="5"/>
    <s v="BL - Abroad"/>
    <s v="Chang Wanquan"/>
    <m/>
    <s v="Defense Minister; CMC Member"/>
    <n v="8"/>
    <x v="1"/>
    <s v="Defense Minister"/>
    <x v="0"/>
    <m/>
    <m/>
    <m/>
    <m/>
    <x v="12"/>
    <m/>
    <m/>
    <m/>
    <m/>
  </r>
  <r>
    <x v="1"/>
    <x v="1"/>
    <s v="Asia"/>
    <s v="Comprehensive Strategic Partnership [全面战略伙伴关系]"/>
    <x v="0"/>
    <s v="INDOPACOM"/>
    <x v="10"/>
    <x v="25"/>
    <n v="5"/>
    <s v="BL - Hosted"/>
    <s v="Xu Qiliang"/>
    <m/>
    <s v="CMC Vice Chairman"/>
    <n v="10"/>
    <x v="2"/>
    <s v="Navy Chief"/>
    <x v="0"/>
    <m/>
    <m/>
    <m/>
    <m/>
    <x v="12"/>
    <m/>
    <m/>
    <m/>
    <m/>
  </r>
  <r>
    <x v="1"/>
    <x v="0"/>
    <s v="Asia"/>
    <s v="All-Weather Strategic Cooperative Partnership [全天候战略合作伙伴关系]"/>
    <x v="1"/>
    <s v="CENTCOM"/>
    <x v="2"/>
    <x v="25"/>
    <n v="5"/>
    <s v="BL - Hosted"/>
    <s v="Fan Changlong"/>
    <m/>
    <s v="CMC Vice Chairman"/>
    <n v="10"/>
    <x v="2"/>
    <s v="Chief of Army Staff"/>
    <x v="0"/>
    <m/>
    <m/>
    <m/>
    <m/>
    <x v="12"/>
    <m/>
    <m/>
    <m/>
    <m/>
  </r>
  <r>
    <x v="1"/>
    <x v="3"/>
    <s v="Europe and Central Asia"/>
    <s v="Comprehensive Collaborative Strategic Partnership [全面战略协作伙伴关系]"/>
    <x v="0"/>
    <s v="EUCOM"/>
    <x v="7"/>
    <x v="25"/>
    <n v="5"/>
    <s v="BL - Abroad"/>
    <s v="Sun Jianguo"/>
    <m/>
    <s v="CMC/JSD DCJS"/>
    <n v="6"/>
    <x v="1"/>
    <s v="DCOGS"/>
    <x v="0"/>
    <m/>
    <m/>
    <m/>
    <m/>
    <x v="12"/>
    <m/>
    <m/>
    <m/>
    <m/>
  </r>
  <r>
    <x v="2"/>
    <x v="3"/>
    <s v="Europe and Central Asia"/>
    <s v="Comprehensive Collaborative Strategic Partnership [全面战略协作伙伴关系]"/>
    <x v="0"/>
    <s v="EUCOM"/>
    <x v="7"/>
    <x v="25"/>
    <n v="5"/>
    <s v="Military Exercise - Bilateral"/>
    <m/>
    <m/>
    <m/>
    <m/>
    <x v="0"/>
    <m/>
    <x v="1"/>
    <s v="Cooperation 2016"/>
    <s v="PAP"/>
    <s v="&quot;fighting, tactical shooting, helicopter fast-roping, fast evacuation, building climbing and units tactical comprehensive exercises and other subjects&quot;; Falcon Commando Unit, Snow Leopard Commando Unit"/>
    <m/>
    <x v="12"/>
    <m/>
    <m/>
    <s v="https://web.archive.org/web/20180821103143/http://news.ifeng.com/a/20160519/48800334_0.shtml"/>
    <m/>
  </r>
  <r>
    <x v="2"/>
    <x v="3"/>
    <s v="Europe and Central Asia"/>
    <s v="Comprehensive Collaborative Strategic Partnership [全面战略协作伙伴关系]"/>
    <x v="0"/>
    <s v="EUCOM"/>
    <x v="7"/>
    <x v="25"/>
    <n v="5"/>
    <s v="Military Exercise - Bilateral"/>
    <m/>
    <m/>
    <m/>
    <m/>
    <x v="0"/>
    <m/>
    <x v="7"/>
    <s v="Aerospace Security 2016"/>
    <s v="Air Force"/>
    <s v="Computer-enabled missile defense exercise (TTX)"/>
    <m/>
    <x v="12"/>
    <m/>
    <m/>
    <m/>
    <s v="Included even though it is a CPX due to the strategic significance of the exercise subject"/>
  </r>
  <r>
    <x v="1"/>
    <x v="7"/>
    <s v="West Asia and Africa"/>
    <s v="Comprehensive Strategic Partnership [全面战略伙伴关系]"/>
    <x v="0"/>
    <s v="AFRICOM"/>
    <x v="15"/>
    <x v="25"/>
    <n v="5"/>
    <s v="BL - Abroad"/>
    <s v="Wu Shengli"/>
    <m/>
    <s v="PLAN Commander; CMC Member"/>
    <n v="8"/>
    <x v="1"/>
    <m/>
    <x v="0"/>
    <m/>
    <m/>
    <m/>
    <m/>
    <x v="12"/>
    <m/>
    <m/>
    <m/>
    <m/>
  </r>
  <r>
    <x v="2"/>
    <x v="7"/>
    <s v="West Asia and Africa"/>
    <s v="Comprehensive Strategic Partnership [全面战略伙伴关系]"/>
    <x v="0"/>
    <s v="AFRICOM"/>
    <x v="15"/>
    <x v="25"/>
    <n v="5"/>
    <s v="Military Exercise - Bilateral"/>
    <m/>
    <m/>
    <m/>
    <m/>
    <x v="0"/>
    <m/>
    <x v="2"/>
    <s v="None"/>
    <s v="Navy"/>
    <s v="unspecified communications and maneuvers drills with South African Navy; ETF-22"/>
    <m/>
    <x v="12"/>
    <m/>
    <m/>
    <m/>
    <m/>
  </r>
  <r>
    <x v="0"/>
    <x v="7"/>
    <s v="West Asia and Africa"/>
    <s v="Comprehensive Strategic Partnership [全面战略伙伴关系]"/>
    <x v="0"/>
    <s v="AFRICOM"/>
    <x v="15"/>
    <x v="25"/>
    <n v="5"/>
    <s v="Port Call - Friendly Visit and Drills"/>
    <m/>
    <m/>
    <m/>
    <m/>
    <x v="0"/>
    <m/>
    <x v="0"/>
    <m/>
    <m/>
    <m/>
    <s v="ETF"/>
    <x v="77"/>
    <s v="North Sea Fleet"/>
    <s v="DDG113 Qingdao, FFG576 Daqing, AOR889 Tai Hu "/>
    <m/>
    <m/>
  </r>
  <r>
    <x v="1"/>
    <x v="6"/>
    <s v="Europe and Central Asia"/>
    <s v="Strategic Partnership [战略伙伴关系]"/>
    <x v="0"/>
    <s v="CENTCOM"/>
    <x v="60"/>
    <x v="25"/>
    <n v="5"/>
    <s v="BL - Abroad"/>
    <s v="Xu Fenlin"/>
    <m/>
    <s v="CMC/JSD DCJS"/>
    <n v="6"/>
    <x v="1"/>
    <s v="Defense Minister"/>
    <x v="0"/>
    <m/>
    <m/>
    <m/>
    <m/>
    <x v="12"/>
    <m/>
    <m/>
    <m/>
    <m/>
  </r>
  <r>
    <x v="1"/>
    <x v="1"/>
    <s v="Asia"/>
    <s v="Comprehensive Strategic Cooperative Partnership [全面战略合作伙伴关系]"/>
    <x v="3"/>
    <s v="INDOPACOM"/>
    <x v="5"/>
    <x v="25"/>
    <n v="5"/>
    <s v="BL - Abroad"/>
    <s v="Chang Wanquan"/>
    <m/>
    <s v="Defense Minister; CMC Member"/>
    <n v="8"/>
    <x v="1"/>
    <s v="Defense Minister"/>
    <x v="0"/>
    <m/>
    <m/>
    <m/>
    <m/>
    <x v="12"/>
    <m/>
    <m/>
    <m/>
    <m/>
  </r>
  <r>
    <x v="1"/>
    <x v="2"/>
    <s v="America and Oceania"/>
    <s v="No Specific Relationship"/>
    <x v="2"/>
    <s v="NORTHCOM"/>
    <x v="4"/>
    <x v="25"/>
    <n v="5"/>
    <s v="BL - Abroad"/>
    <s v="Ma Yiming"/>
    <m/>
    <s v="CMC/JSD Assistant Commander"/>
    <n v="5"/>
    <x v="1"/>
    <s v="ASD Christine Wormuth"/>
    <x v="0"/>
    <m/>
    <m/>
    <m/>
    <m/>
    <x v="12"/>
    <m/>
    <m/>
    <s v="2017 CH Mil Power Report "/>
    <m/>
  </r>
  <r>
    <x v="1"/>
    <x v="5"/>
    <s v="America and Oceania"/>
    <s v="Comprehensive Strategic Partnership [全面战略伙伴关系]"/>
    <x v="4"/>
    <s v="INDOPACOM"/>
    <x v="12"/>
    <x v="25"/>
    <n v="6"/>
    <s v="ML - Margins"/>
    <s v="Sun Jianguo"/>
    <m/>
    <s v="CMC/JSD DCJS"/>
    <n v="6"/>
    <x v="1"/>
    <s v="Chief ADF"/>
    <x v="0"/>
    <m/>
    <m/>
    <m/>
    <m/>
    <x v="12"/>
    <m/>
    <m/>
    <m/>
    <s v="15th Shangri-La Dialogue"/>
  </r>
  <r>
    <x v="1"/>
    <x v="10"/>
    <s v="America and Oceania"/>
    <s v="No Specific Relationship"/>
    <x v="0"/>
    <s v="SOUTHCOM"/>
    <x v="49"/>
    <x v="25"/>
    <n v="6"/>
    <s v="BL - Hosted"/>
    <s v="Fan Changlong"/>
    <m/>
    <s v="CMC Vice Chairman"/>
    <n v="10"/>
    <x v="2"/>
    <s v="Deputy Defense Minister"/>
    <x v="0"/>
    <m/>
    <m/>
    <m/>
    <m/>
    <x v="12"/>
    <m/>
    <m/>
    <m/>
    <m/>
  </r>
  <r>
    <x v="0"/>
    <x v="8"/>
    <s v="Europe and Central Asia"/>
    <s v="Comprehensive Strategic Partnership [全面战略伙伴关系]"/>
    <x v="5"/>
    <s v="EUCOM"/>
    <x v="18"/>
    <x v="25"/>
    <n v="6"/>
    <s v="Port Call - Friendly Visit"/>
    <m/>
    <m/>
    <m/>
    <m/>
    <x v="0"/>
    <m/>
    <x v="0"/>
    <m/>
    <m/>
    <m/>
    <s v="ETF"/>
    <x v="78"/>
    <s v="East Sea Fleet"/>
    <s v="FFG531 Xiangtan, FFG529 Zhoushan, AOR890 Chao Hu"/>
    <m/>
    <m/>
  </r>
  <r>
    <x v="1"/>
    <x v="1"/>
    <s v="Asia"/>
    <s v="No Specific Relationship"/>
    <x v="0"/>
    <s v="INDOPACOM"/>
    <x v="137"/>
    <x v="25"/>
    <n v="6"/>
    <s v="ML - Abroad"/>
    <s v="Sun Jianguo"/>
    <m/>
    <s v="CMC/JSD DCJS"/>
    <n v="6"/>
    <x v="1"/>
    <s v="Defense Minister; 15th Shangri-la"/>
    <x v="0"/>
    <m/>
    <m/>
    <m/>
    <m/>
    <x v="12"/>
    <m/>
    <m/>
    <m/>
    <m/>
  </r>
  <r>
    <x v="1"/>
    <x v="4"/>
    <s v="Asia"/>
    <s v="Mutually Beneficial Strategic Relationship [战略互惠关系]"/>
    <x v="3"/>
    <s v="INDOPACOM"/>
    <x v="83"/>
    <x v="25"/>
    <n v="6"/>
    <s v="BL - Hosted"/>
    <s v="Chang Wanquan"/>
    <m/>
    <s v="Defense Minister; CMC Member"/>
    <n v="8"/>
    <x v="2"/>
    <s v="Former Chief of Staff Army"/>
    <x v="0"/>
    <m/>
    <m/>
    <m/>
    <m/>
    <x v="12"/>
    <m/>
    <m/>
    <m/>
    <m/>
  </r>
  <r>
    <x v="1"/>
    <x v="6"/>
    <s v="Europe and Central Asia"/>
    <s v="Comprehensive Strategic Partnership [全面战略伙伴关系]"/>
    <x v="0"/>
    <s v="CENTCOM"/>
    <x v="30"/>
    <x v="25"/>
    <n v="6"/>
    <s v="BL - Abroad"/>
    <s v="Chang Wanquan"/>
    <m/>
    <s v="Defense Minister; CMC Member"/>
    <n v="8"/>
    <x v="1"/>
    <s v="Defense Minister"/>
    <x v="0"/>
    <m/>
    <m/>
    <m/>
    <m/>
    <x v="12"/>
    <m/>
    <m/>
    <m/>
    <m/>
  </r>
  <r>
    <x v="1"/>
    <x v="6"/>
    <s v="Europe and Central Asia"/>
    <s v="Strategic Partnership [战略伙伴关系]"/>
    <x v="0"/>
    <s v="CENTCOM"/>
    <x v="31"/>
    <x v="25"/>
    <n v="6"/>
    <s v="ML - Margins"/>
    <s v="Chang Wanquan"/>
    <m/>
    <s v="Defense Minister; CMC Member"/>
    <n v="8"/>
    <x v="1"/>
    <s v="Defense Minister"/>
    <x v="0"/>
    <m/>
    <m/>
    <m/>
    <m/>
    <x v="12"/>
    <m/>
    <m/>
    <m/>
    <m/>
  </r>
  <r>
    <x v="1"/>
    <x v="1"/>
    <s v="Asia"/>
    <s v="Comprehensive Strategic Cooperative Partnership [全面战略合作伙伴关系]"/>
    <x v="0"/>
    <s v="INDOPACOM"/>
    <x v="52"/>
    <x v="25"/>
    <n v="6"/>
    <s v="ML - Margins"/>
    <s v="Sun Jianguo"/>
    <m/>
    <s v="CMC/JSD DCJS"/>
    <n v="6"/>
    <x v="1"/>
    <s v="Deputy Defense Minister"/>
    <x v="0"/>
    <m/>
    <m/>
    <m/>
    <m/>
    <x v="12"/>
    <m/>
    <m/>
    <m/>
    <s v="15th Shangri-La Dialogue"/>
  </r>
  <r>
    <x v="1"/>
    <x v="8"/>
    <s v="Europe and Central Asia"/>
    <s v="No Specific Relationship"/>
    <x v="5"/>
    <s v="EUCOM"/>
    <x v="151"/>
    <x v="25"/>
    <n v="6"/>
    <s v="ML - Margins"/>
    <s v="Sun Jianguo"/>
    <m/>
    <s v="CMC/JSD DCJS"/>
    <n v="6"/>
    <x v="1"/>
    <s v="Chairman NATO Military Committee"/>
    <x v="0"/>
    <m/>
    <m/>
    <m/>
    <m/>
    <x v="12"/>
    <m/>
    <m/>
    <m/>
    <s v="15th Shangri-La Dialogue"/>
  </r>
  <r>
    <x v="1"/>
    <x v="0"/>
    <s v="Asia"/>
    <s v="All-Round Strategic Partnership [全方位战略伙伴关系]"/>
    <x v="0"/>
    <s v="INDOPACOM"/>
    <x v="32"/>
    <x v="25"/>
    <n v="6"/>
    <s v="ML - Margins"/>
    <s v="Sun Jianguo"/>
    <m/>
    <s v="CMC/JSD DCJS"/>
    <n v="6"/>
    <x v="1"/>
    <s v="Chief of Army Staff"/>
    <x v="0"/>
    <m/>
    <m/>
    <m/>
    <m/>
    <x v="12"/>
    <m/>
    <m/>
    <m/>
    <s v="15th Shangri-La Dialogue"/>
  </r>
  <r>
    <x v="1"/>
    <x v="5"/>
    <s v="America and Oceania"/>
    <s v="Comprehensive Strategic Partnership [全面战略伙伴关系]"/>
    <x v="4"/>
    <s v="INDOPACOM"/>
    <x v="13"/>
    <x v="25"/>
    <n v="6"/>
    <s v="ML - Margins"/>
    <s v="Sun Jianguo"/>
    <m/>
    <s v="CMC/JSD DCJS"/>
    <n v="6"/>
    <x v="2"/>
    <s v="National Defense Secretary"/>
    <x v="0"/>
    <m/>
    <m/>
    <m/>
    <m/>
    <x v="12"/>
    <m/>
    <m/>
    <m/>
    <s v="15th Shangri-La Dialogue"/>
  </r>
  <r>
    <x v="1"/>
    <x v="3"/>
    <s v="Europe and Central Asia"/>
    <s v="Comprehensive Collaborative Strategic Partnership [全面战略协作伙伴关系]"/>
    <x v="0"/>
    <s v="EUCOM"/>
    <x v="7"/>
    <x v="25"/>
    <n v="6"/>
    <s v="ML - Margins"/>
    <s v="Chang Wanquan"/>
    <m/>
    <s v="Defense Minister; CMC Member"/>
    <n v="8"/>
    <x v="1"/>
    <s v="Defense Minister"/>
    <x v="0"/>
    <m/>
    <m/>
    <m/>
    <m/>
    <x v="12"/>
    <m/>
    <m/>
    <m/>
    <m/>
  </r>
  <r>
    <x v="1"/>
    <x v="6"/>
    <s v="Europe and Central Asia"/>
    <s v="Member"/>
    <x v="0"/>
    <s v="CENTCOM"/>
    <x v="14"/>
    <x v="25"/>
    <n v="6"/>
    <s v="ML - Abroad"/>
    <s v="Chang Wanquan"/>
    <m/>
    <s v="Defense Minister; CMC Member"/>
    <n v="8"/>
    <x v="1"/>
    <s v="13th official meeting of the SCO Ministers' of Defense in Astana; Other countries: Kazakhstan, Kyrgyztan, Russia, Tajikistan, Uzbekistan"/>
    <x v="0"/>
    <m/>
    <m/>
    <m/>
    <m/>
    <x v="12"/>
    <m/>
    <m/>
    <m/>
    <m/>
  </r>
  <r>
    <x v="1"/>
    <x v="8"/>
    <s v="Europe and Central Asia"/>
    <s v="Comprehensive Strategic Partnership [全面战略伙伴关系]"/>
    <x v="0"/>
    <s v="EUCOM"/>
    <x v="112"/>
    <x v="25"/>
    <n v="6"/>
    <s v="BL - Hosted"/>
    <s v="Fan Changlong"/>
    <m/>
    <s v="CMC Vice Chairman"/>
    <n v="10"/>
    <x v="2"/>
    <s v="Chief Armed Forces"/>
    <x v="0"/>
    <m/>
    <m/>
    <m/>
    <m/>
    <x v="12"/>
    <m/>
    <m/>
    <m/>
    <m/>
  </r>
  <r>
    <x v="1"/>
    <x v="1"/>
    <s v="Asia"/>
    <s v="All-Round Cooperative Partnership [全方合作伙伴关系]"/>
    <x v="0"/>
    <s v="INDOPACOM"/>
    <x v="39"/>
    <x v="25"/>
    <n v="6"/>
    <s v="BL - Abroad"/>
    <s v="Sun Jianguo"/>
    <m/>
    <s v="CMC/JSD DCJS"/>
    <n v="6"/>
    <x v="1"/>
    <s v="Defense Minister"/>
    <x v="0"/>
    <m/>
    <m/>
    <m/>
    <m/>
    <x v="12"/>
    <m/>
    <m/>
    <m/>
    <m/>
  </r>
  <r>
    <x v="0"/>
    <x v="4"/>
    <s v="Asia"/>
    <s v="Strategic Cooperative Partnership [战略合作伙伴关系]"/>
    <x v="3"/>
    <s v="INDOPACOM"/>
    <x v="25"/>
    <x v="25"/>
    <n v="6"/>
    <s v="Port Call - Friendly Visit"/>
    <m/>
    <m/>
    <m/>
    <m/>
    <x v="0"/>
    <m/>
    <x v="0"/>
    <m/>
    <m/>
    <m/>
    <s v="ETF"/>
    <x v="77"/>
    <s v="North Sea Fleet"/>
    <s v="DDG113 Qingdao, FFG576 Daqing, AOR889 Tai Hu "/>
    <m/>
    <m/>
  </r>
  <r>
    <x v="2"/>
    <x v="1"/>
    <s v="Asia"/>
    <s v="Comprehensive Strategic Cooperative Partnership [全面战略合作伙伴关系]"/>
    <x v="3"/>
    <s v="INDOPACOM"/>
    <x v="5"/>
    <x v="25"/>
    <n v="6"/>
    <s v="Military Exercise - Bilateral"/>
    <m/>
    <m/>
    <m/>
    <m/>
    <x v="0"/>
    <m/>
    <x v="5"/>
    <s v="Blue Strike 2016"/>
    <s v="Navy"/>
    <s v="Marines"/>
    <m/>
    <x v="12"/>
    <m/>
    <m/>
    <m/>
    <m/>
  </r>
  <r>
    <x v="1"/>
    <x v="8"/>
    <s v="Europe and Central Asia"/>
    <s v="Comprehensive Strategic Partnership [全面战略伙伴关系]"/>
    <x v="5"/>
    <s v="EUCOM"/>
    <x v="21"/>
    <x v="25"/>
    <n v="6"/>
    <s v="ML - Margins"/>
    <s v="Sun Jianguo"/>
    <m/>
    <s v="CMC/JSD DCJS"/>
    <n v="6"/>
    <x v="1"/>
    <s v="COGS"/>
    <x v="0"/>
    <m/>
    <m/>
    <m/>
    <m/>
    <x v="12"/>
    <m/>
    <m/>
    <m/>
    <s v="15th Shangri-La Dialogue"/>
  </r>
  <r>
    <x v="1"/>
    <x v="11"/>
    <s v="N/A"/>
    <s v="Member"/>
    <x v="2"/>
    <s v="N/A"/>
    <x v="163"/>
    <x v="25"/>
    <n v="6"/>
    <s v="BL - Hosted"/>
    <s v="Yi Xiaoguang"/>
    <m/>
    <s v="CMC/JSD DCJS"/>
    <n v="6"/>
    <x v="2"/>
    <s v="Deputy General Secretary"/>
    <x v="0"/>
    <m/>
    <m/>
    <m/>
    <m/>
    <x v="12"/>
    <m/>
    <m/>
    <m/>
    <m/>
  </r>
  <r>
    <x v="1"/>
    <x v="6"/>
    <s v="Europe and Central Asia"/>
    <s v="Comprehensive Strategic Partnership [全面战略伙伴关系]"/>
    <x v="0"/>
    <s v="CENTCOM"/>
    <x v="73"/>
    <x v="25"/>
    <n v="6"/>
    <s v="ML - Margins"/>
    <s v="Chang Wanquan"/>
    <m/>
    <s v="Defense Minister; CMC Member"/>
    <n v="8"/>
    <x v="1"/>
    <s v="Army Chief"/>
    <x v="0"/>
    <m/>
    <m/>
    <m/>
    <m/>
    <x v="12"/>
    <m/>
    <m/>
    <m/>
    <m/>
  </r>
  <r>
    <x v="1"/>
    <x v="1"/>
    <s v="Asia"/>
    <s v="Comprehensive Strategic Cooperative Partnership [全面战略合作伙伴关系]"/>
    <x v="0"/>
    <s v="INDOPACOM"/>
    <x v="94"/>
    <x v="25"/>
    <n v="7"/>
    <s v="BL - Hosted"/>
    <s v="Sun Jianguo"/>
    <m/>
    <s v="CMC/JSD DCJS"/>
    <n v="6"/>
    <x v="2"/>
    <s v="Director General MoD Policy and Foreign Affairs"/>
    <x v="0"/>
    <m/>
    <m/>
    <m/>
    <m/>
    <x v="12"/>
    <m/>
    <m/>
    <m/>
    <m/>
  </r>
  <r>
    <x v="1"/>
    <x v="10"/>
    <s v="America and Oceania"/>
    <s v="Comprehensive Cooperative Partnership [全面合作伙伴关系]"/>
    <x v="0"/>
    <s v="SOUTHCOM"/>
    <x v="159"/>
    <x v="25"/>
    <n v="7"/>
    <s v="ML - Hosted"/>
    <s v="Chang Wanquan"/>
    <m/>
    <s v="Defense Minister; CMC Member"/>
    <n v="8"/>
    <x v="2"/>
    <s v="Third China-Latin America Defense Forum"/>
    <x v="0"/>
    <m/>
    <m/>
    <m/>
    <m/>
    <x v="12"/>
    <m/>
    <m/>
    <s v="http://www.cdsndu.org/html_en/to_articleContent_article.id=40288a8556065bc90156d938284d0134.html"/>
    <m/>
  </r>
  <r>
    <x v="1"/>
    <x v="8"/>
    <s v="Europe and Central Asia"/>
    <s v="Comprehensive Cooperative Partnership [全面合作伙伴关系]"/>
    <x v="0"/>
    <s v="EUCOM"/>
    <x v="158"/>
    <x v="25"/>
    <n v="7"/>
    <s v="BL - Hosted"/>
    <s v="Chang Wanquan"/>
    <m/>
    <s v="Defense Minister; CMC Member"/>
    <n v="8"/>
    <x v="2"/>
    <s v="High Representative for Foreign Affairs and Security Policy"/>
    <x v="0"/>
    <m/>
    <m/>
    <m/>
    <m/>
    <x v="12"/>
    <m/>
    <m/>
    <m/>
    <m/>
  </r>
  <r>
    <x v="1"/>
    <x v="5"/>
    <s v="America and Oceania"/>
    <s v="Comprehensive Strategic Partnership [全面战略伙伴关系]"/>
    <x v="4"/>
    <s v="INDOPACOM"/>
    <x v="13"/>
    <x v="25"/>
    <n v="7"/>
    <s v="BL - Hosted"/>
    <s v="Zhao Keshi"/>
    <m/>
    <s v="CMC/LSD Director; CMC Member"/>
    <n v="8"/>
    <x v="2"/>
    <s v="Logistics Commander"/>
    <x v="0"/>
    <m/>
    <m/>
    <m/>
    <m/>
    <x v="12"/>
    <m/>
    <m/>
    <m/>
    <m/>
  </r>
  <r>
    <x v="1"/>
    <x v="8"/>
    <s v="Europe and Central Asia"/>
    <s v="No Specific Relationship"/>
    <x v="0"/>
    <s v="EUCOM"/>
    <x v="92"/>
    <x v="25"/>
    <n v="7"/>
    <s v="BL - Hosted"/>
    <s v="Sun Jianguo"/>
    <m/>
    <s v="CMC/JSD DCJS"/>
    <n v="6"/>
    <x v="2"/>
    <s v="Chief of Staff"/>
    <x v="0"/>
    <m/>
    <m/>
    <m/>
    <m/>
    <x v="12"/>
    <m/>
    <m/>
    <m/>
    <m/>
  </r>
  <r>
    <x v="1"/>
    <x v="1"/>
    <s v="Asia"/>
    <s v="Comprehensive Strategic Cooperative Partnership [全面战略合作伙伴关系]"/>
    <x v="3"/>
    <s v="INDOPACOM"/>
    <x v="5"/>
    <x v="25"/>
    <n v="7"/>
    <s v="BL - Hosted"/>
    <s v="Fang Fenghui"/>
    <m/>
    <s v="CMC/JSD Commander; CMC Member"/>
    <n v="8"/>
    <x v="2"/>
    <s v="Chief of Joint Staff"/>
    <x v="0"/>
    <m/>
    <m/>
    <m/>
    <m/>
    <x v="12"/>
    <m/>
    <m/>
    <m/>
    <m/>
  </r>
  <r>
    <x v="1"/>
    <x v="2"/>
    <s v="America and Oceania"/>
    <s v="No Specific Relationship"/>
    <x v="2"/>
    <s v="NORTHCOM"/>
    <x v="4"/>
    <x v="25"/>
    <n v="7"/>
    <s v="BL - Hosted"/>
    <s v="Wu Shengli"/>
    <m/>
    <s v="PLAN Commander; CMC Member"/>
    <n v="8"/>
    <x v="2"/>
    <s v="CNO Richardson"/>
    <x v="0"/>
    <m/>
    <m/>
    <m/>
    <m/>
    <x v="12"/>
    <m/>
    <m/>
    <s v="2017 CH Mil Power Report "/>
    <m/>
  </r>
  <r>
    <x v="1"/>
    <x v="0"/>
    <s v="Europe and Central Asia"/>
    <s v="Strategic Partnership [战略伙伴关系]"/>
    <x v="1"/>
    <s v="CENTCOM"/>
    <x v="123"/>
    <x v="25"/>
    <n v="8"/>
    <s v="BL - Hosted"/>
    <s v="Chang Wanquan"/>
    <m/>
    <s v="Defense Minister; CMC Member"/>
    <n v="8"/>
    <x v="2"/>
    <s v="COGS Army"/>
    <x v="0"/>
    <m/>
    <m/>
    <m/>
    <m/>
    <x v="12"/>
    <m/>
    <m/>
    <m/>
    <m/>
  </r>
  <r>
    <x v="2"/>
    <x v="5"/>
    <s v="America and Oceania"/>
    <s v="Comprehensive Strategic Partnership [全面战略伙伴关系]"/>
    <x v="4"/>
    <s v="INDOPACOM"/>
    <x v="12"/>
    <x v="25"/>
    <n v="8"/>
    <s v="Military Exercise - Multilateral"/>
    <m/>
    <m/>
    <m/>
    <m/>
    <x v="0"/>
    <m/>
    <x v="2"/>
    <s v="Kowari 2016"/>
    <s v="Army"/>
    <s v="Army field survival training"/>
    <m/>
    <x v="12"/>
    <m/>
    <m/>
    <s v="https://www.pacom.mil/Media/News/News-Article-View/Article/929481/exercise-kowari-us-australia-china-set-to-survive-inside-the-outback/"/>
    <m/>
  </r>
  <r>
    <x v="2"/>
    <x v="10"/>
    <s v="America and Oceania"/>
    <s v="Comprehensive Strategic Partnership [全面战略伙伴关系]"/>
    <x v="0"/>
    <s v="SOUTHCOM"/>
    <x v="43"/>
    <x v="25"/>
    <n v="8"/>
    <s v="Military Exercise - Multilateral"/>
    <m/>
    <m/>
    <m/>
    <m/>
    <x v="0"/>
    <m/>
    <x v="6"/>
    <s v="Jungle Patrol Competition"/>
    <s v="Army"/>
    <s v="PLAA team from &quot;14th Combined Corps&quot;. Other countries: Colombia, France, Germany "/>
    <m/>
    <x v="12"/>
    <m/>
    <m/>
    <s v="http://english.chinamil.com.cn/news-channels/china-military-news/2016-08/11/content_7202787.htm"/>
    <m/>
  </r>
  <r>
    <x v="1"/>
    <x v="8"/>
    <s v="Europe and Central Asia"/>
    <s v="Comprehensive Strategic Partnership [全面战略伙伴关系]"/>
    <x v="5"/>
    <s v="EUCOM"/>
    <x v="18"/>
    <x v="25"/>
    <n v="8"/>
    <s v="BL - Hosted"/>
    <s v="Wu Shengli"/>
    <m/>
    <s v="PLAN Commander; CMC Member"/>
    <n v="8"/>
    <x v="2"/>
    <s v="Navy Inspector General"/>
    <x v="0"/>
    <m/>
    <m/>
    <m/>
    <m/>
    <x v="12"/>
    <m/>
    <m/>
    <m/>
    <m/>
  </r>
  <r>
    <x v="1"/>
    <x v="4"/>
    <s v="Asia"/>
    <s v="Comprehensive Strategic Partnership [全面战略伙伴关系]"/>
    <x v="0"/>
    <s v="INDOPACOM"/>
    <x v="53"/>
    <x v="25"/>
    <n v="8"/>
    <s v="BL - Abroad"/>
    <s v="Sun Jianguo"/>
    <m/>
    <s v="CMC/JSD DCJS"/>
    <n v="6"/>
    <x v="1"/>
    <s v="COGS"/>
    <x v="0"/>
    <m/>
    <m/>
    <m/>
    <m/>
    <x v="12"/>
    <m/>
    <m/>
    <m/>
    <m/>
  </r>
  <r>
    <x v="1"/>
    <x v="0"/>
    <s v="Asia"/>
    <s v="All-Weather Strategic Cooperative Partnership [全天候战略合作伙伴关系]"/>
    <x v="1"/>
    <s v="CENTCOM"/>
    <x v="2"/>
    <x v="25"/>
    <n v="8"/>
    <s v="BL - Hosted"/>
    <s v="Zhao Keshi"/>
    <m/>
    <s v="CMC/LSD Director; CMC Member"/>
    <n v="8"/>
    <x v="2"/>
    <s v="Army Logistics Chief"/>
    <x v="0"/>
    <m/>
    <m/>
    <m/>
    <m/>
    <x v="12"/>
    <m/>
    <m/>
    <m/>
    <m/>
  </r>
  <r>
    <x v="2"/>
    <x v="3"/>
    <s v="Europe and Central Asia"/>
    <s v="Comprehensive Collaborative Strategic Partnership [全面战略协作伙伴关系]"/>
    <x v="0"/>
    <s v="EUCOM"/>
    <x v="7"/>
    <x v="25"/>
    <n v="8"/>
    <s v="Military Exercise - Multilateral"/>
    <m/>
    <m/>
    <m/>
    <m/>
    <x v="0"/>
    <m/>
    <x v="6"/>
    <s v="International Army Games 2016"/>
    <s v="Army"/>
    <s v="Competition. Other countries: refer to source for a complete list of countries "/>
    <m/>
    <x v="12"/>
    <m/>
    <m/>
    <s v="https://sputniknews.com/military/201606291042146258-airborne-platoon-2016/"/>
    <m/>
  </r>
  <r>
    <x v="1"/>
    <x v="9"/>
    <s v="West Asia and Africa"/>
    <s v="Comprehensive Strategic Partnership [全面战略伙伴关系]"/>
    <x v="0"/>
    <s v="CENTCOM"/>
    <x v="142"/>
    <x v="25"/>
    <n v="8"/>
    <s v="BL - Hosted"/>
    <s v="Chang Wanquan"/>
    <m/>
    <s v="Defense Minister; CMC Member"/>
    <n v="8"/>
    <x v="2"/>
    <s v="2nd Prime Minister; Defense Minister"/>
    <x v="0"/>
    <m/>
    <m/>
    <m/>
    <m/>
    <x v="12"/>
    <m/>
    <m/>
    <m/>
    <m/>
  </r>
  <r>
    <x v="1"/>
    <x v="6"/>
    <s v="Europe and Central Asia"/>
    <s v="Strategic Partnership [战略伙伴关系]"/>
    <x v="0"/>
    <s v="CENTCOM"/>
    <x v="60"/>
    <x v="25"/>
    <n v="8"/>
    <s v="BL - Hosted"/>
    <s v="Fang Fenghui"/>
    <m/>
    <s v="CMC/JSD Commander; CMC Member"/>
    <n v="8"/>
    <x v="2"/>
    <s v="Deputy Defense Minister"/>
    <x v="0"/>
    <m/>
    <m/>
    <m/>
    <m/>
    <x v="12"/>
    <m/>
    <m/>
    <m/>
    <m/>
  </r>
  <r>
    <x v="1"/>
    <x v="2"/>
    <s v="America and Oceania"/>
    <s v="No Specific Relationship"/>
    <x v="2"/>
    <s v="NORTHCOM"/>
    <x v="4"/>
    <x v="25"/>
    <n v="8"/>
    <s v="BL - Hosted"/>
    <s v="Li Zuocheng"/>
    <m/>
    <s v="PLAA Commander"/>
    <n v="6"/>
    <x v="2"/>
    <s v="Army Chief of Staff Milley"/>
    <x v="0"/>
    <m/>
    <m/>
    <m/>
    <m/>
    <x v="12"/>
    <m/>
    <m/>
    <s v="2017 CH Mil Power Report "/>
    <m/>
  </r>
  <r>
    <x v="2"/>
    <x v="2"/>
    <s v="America and Oceania"/>
    <s v="No Specific Relationship"/>
    <x v="2"/>
    <s v="NORTHCOM"/>
    <x v="4"/>
    <x v="25"/>
    <n v="8"/>
    <s v="Military Exercise - Multilateral"/>
    <m/>
    <m/>
    <m/>
    <m/>
    <x v="0"/>
    <m/>
    <x v="3"/>
    <s v="RIMPAC 2016"/>
    <s v="Navy"/>
    <s v="Maritime docking; Combined Task Force 175; PLAN flotilla is FFG572 Hengshui (ESF), DDG153 Xi'an (ESF), AOR966 Gaoyou Hu, AS867 Changdao (NSF), 866 Peace Ark. Other countries: refer to source for a complete list of countries "/>
    <m/>
    <x v="12"/>
    <m/>
    <m/>
    <s v="https://navaltoday.com/2016/06/01/record-number-of-countries-to-take-part-in-rimpac-2016/"/>
    <m/>
  </r>
  <r>
    <x v="1"/>
    <x v="1"/>
    <s v="Asia"/>
    <s v="Comprehensive Strategic Cooperative Partnership [全面战略合作伙伴关系]"/>
    <x v="0"/>
    <s v="INDOPACOM"/>
    <x v="23"/>
    <x v="25"/>
    <n v="8"/>
    <s v="BL - Hosted"/>
    <s v="Fan Changlong"/>
    <m/>
    <s v="CMC Vice Chairman"/>
    <n v="10"/>
    <x v="2"/>
    <s v="Defense Minister"/>
    <x v="0"/>
    <m/>
    <m/>
    <m/>
    <m/>
    <x v="12"/>
    <m/>
    <m/>
    <m/>
    <m/>
  </r>
  <r>
    <x v="2"/>
    <x v="1"/>
    <s v="Asia"/>
    <s v="Strategic Partnership [战略伙伴关系] for Peace and Prosperity"/>
    <x v="0"/>
    <s v="INDOPACOM"/>
    <x v="153"/>
    <x v="25"/>
    <n v="9"/>
    <s v="Military Exercise - Multilateral"/>
    <m/>
    <m/>
    <m/>
    <m/>
    <x v="0"/>
    <m/>
    <x v="2"/>
    <s v="AMHex 2016"/>
    <s v="Joint"/>
    <s v="HADR, rescue operations. Other countries: Refer to source of a complete list of countries; hosted by Thailand"/>
    <m/>
    <x v="12"/>
    <m/>
    <m/>
    <m/>
    <s v="corrected partnership to strategic partnership for peace and prosperity"/>
  </r>
  <r>
    <x v="2"/>
    <x v="5"/>
    <s v="America and Oceania"/>
    <s v="Comprehensive Strategic Partnership [全面战略伙伴关系]"/>
    <x v="4"/>
    <s v="INDOPACOM"/>
    <x v="12"/>
    <x v="25"/>
    <n v="9"/>
    <s v="Military Exercise - Bilateral"/>
    <m/>
    <m/>
    <m/>
    <m/>
    <x v="0"/>
    <m/>
    <x v="2"/>
    <s v="Pandaroo-2016"/>
    <s v="Army"/>
    <s v="Canoeing and abseiling"/>
    <m/>
    <x v="12"/>
    <m/>
    <m/>
    <m/>
    <m/>
  </r>
  <r>
    <x v="1"/>
    <x v="0"/>
    <s v="Asia"/>
    <s v="Comprehensive Cooperative Partnership [全面合作伙伴关系]"/>
    <x v="0"/>
    <s v="INDOPACOM"/>
    <x v="0"/>
    <x v="25"/>
    <n v="9"/>
    <s v="BL - Hosted"/>
    <s v="Ma Xiaotian"/>
    <m/>
    <s v="PLAAF Commander; CMC Member"/>
    <n v="8"/>
    <x v="2"/>
    <s v="Air Force Chief of Staff"/>
    <x v="0"/>
    <m/>
    <m/>
    <m/>
    <m/>
    <x v="12"/>
    <m/>
    <m/>
    <m/>
    <m/>
  </r>
  <r>
    <x v="1"/>
    <x v="10"/>
    <s v="America and Oceania"/>
    <s v="Comprehensive Strategic Cooperative Partnership [全面战略合作伙伴关系]"/>
    <x v="0"/>
    <s v="SOUTHCOM"/>
    <x v="66"/>
    <x v="25"/>
    <n v="9"/>
    <s v="BL - Hosted"/>
    <s v="Wu Shengli"/>
    <m/>
    <s v="PLAN Commander; CMC Member"/>
    <n v="8"/>
    <x v="2"/>
    <s v="Navy Commander"/>
    <x v="0"/>
    <m/>
    <m/>
    <m/>
    <m/>
    <x v="12"/>
    <m/>
    <m/>
    <m/>
    <m/>
  </r>
  <r>
    <x v="1"/>
    <x v="8"/>
    <s v="Europe and Central Asia"/>
    <s v="No Specific Relationship"/>
    <x v="0"/>
    <s v="EUCOM"/>
    <x v="81"/>
    <x v="25"/>
    <n v="9"/>
    <s v="BL - Hosted"/>
    <s v="Chang Wanquan"/>
    <m/>
    <s v="Defense Minister; CMC Member"/>
    <n v="8"/>
    <x v="2"/>
    <s v="Defense Minister"/>
    <x v="0"/>
    <m/>
    <m/>
    <m/>
    <m/>
    <x v="12"/>
    <m/>
    <m/>
    <m/>
    <m/>
  </r>
  <r>
    <x v="0"/>
    <x v="9"/>
    <s v="West Asia and Africa"/>
    <s v="No Specific Relationship"/>
    <x v="0"/>
    <s v="CENTCOM"/>
    <x v="147"/>
    <x v="25"/>
    <n v="9"/>
    <s v="Port Call - Replenish/Overhaul"/>
    <m/>
    <m/>
    <m/>
    <m/>
    <x v="0"/>
    <m/>
    <x v="0"/>
    <m/>
    <m/>
    <m/>
    <s v="ETF"/>
    <x v="79"/>
    <s v="North Sea Fleet"/>
    <s v="DDG112 Harbin, FFG579 Handan, AOR960 Dongping Hu"/>
    <m/>
    <m/>
  </r>
  <r>
    <x v="1"/>
    <x v="1"/>
    <s v="Asia"/>
    <s v="Strategic Cooperative Partnership [战略合作伙伴关系]"/>
    <x v="3"/>
    <s v="INDOPACOM"/>
    <x v="11"/>
    <x v="25"/>
    <n v="9"/>
    <s v="BL - Abroad"/>
    <s v="Sun Jianguo"/>
    <m/>
    <s v="CMC/JSD DCJS"/>
    <n v="6"/>
    <x v="1"/>
    <m/>
    <x v="0"/>
    <m/>
    <m/>
    <m/>
    <m/>
    <x v="12"/>
    <m/>
    <m/>
    <m/>
    <m/>
  </r>
  <r>
    <x v="2"/>
    <x v="3"/>
    <s v="Europe and Central Asia"/>
    <s v="Comprehensive Collaborative Strategic Partnership [全面战略协作伙伴关系]"/>
    <x v="0"/>
    <s v="EUCOM"/>
    <x v="7"/>
    <x v="25"/>
    <n v="9"/>
    <s v="Military Exercise - Bilateral"/>
    <m/>
    <m/>
    <m/>
    <m/>
    <x v="0"/>
    <m/>
    <x v="3"/>
    <s v="Joint Sea 2016"/>
    <s v="Navy"/>
    <s v="Amphibious operations, island seizure; occurred in South China Sea. September 12-19"/>
    <m/>
    <x v="12"/>
    <m/>
    <m/>
    <m/>
    <m/>
  </r>
  <r>
    <x v="1"/>
    <x v="3"/>
    <s v="Europe and Central Asia"/>
    <s v="Comprehensive Collaborative Strategic Partnership [全面战略协作伙伴关系]"/>
    <x v="0"/>
    <s v="EUCOM"/>
    <x v="7"/>
    <x v="25"/>
    <n v="9"/>
    <s v="ML - Margins"/>
    <s v="Xu Fenlin"/>
    <m/>
    <s v="CMC/JSD DCJS"/>
    <n v="6"/>
    <x v="1"/>
    <s v="DCOGS"/>
    <x v="0"/>
    <m/>
    <m/>
    <m/>
    <m/>
    <x v="12"/>
    <m/>
    <m/>
    <m/>
    <m/>
  </r>
  <r>
    <x v="1"/>
    <x v="6"/>
    <s v="Europe and Central Asia"/>
    <s v="Member"/>
    <x v="0"/>
    <s v="CENTCOM"/>
    <x v="14"/>
    <x v="25"/>
    <n v="9"/>
    <s v="ML - Abroad"/>
    <s v="Xu Fenlin"/>
    <m/>
    <s v="CMC/JSD DCJS"/>
    <n v="6"/>
    <x v="1"/>
    <s v="Fourth meeting of SCO military chiefs of staff in Kyrgyzstan"/>
    <x v="0"/>
    <m/>
    <m/>
    <m/>
    <m/>
    <x v="12"/>
    <m/>
    <m/>
    <s v="http://eng.chinamil.com.cn/view/2016-09/22/content_7271778.htm"/>
    <m/>
  </r>
  <r>
    <x v="2"/>
    <x v="6"/>
    <s v="Europe and Central Asia"/>
    <s v="Member"/>
    <x v="0"/>
    <s v="CENTCOM"/>
    <x v="14"/>
    <x v="25"/>
    <n v="9"/>
    <s v="Military Exercise - Multilateral"/>
    <m/>
    <m/>
    <m/>
    <m/>
    <x v="0"/>
    <m/>
    <x v="3"/>
    <s v="Peace Mission 2016"/>
    <s v="Joint"/>
    <s v="Held at the Edelweiss range located in Kyrgyzstan’s Issyk-Kul region.  September 15-21"/>
    <m/>
    <x v="12"/>
    <m/>
    <m/>
    <s v="http://english.chinamil.com.cn/view/2016-09/18/content_7263185.htm"/>
    <m/>
  </r>
  <r>
    <x v="1"/>
    <x v="6"/>
    <s v="Europe and Central Asia"/>
    <s v="Strategic Partnership [战略伙伴关系]"/>
    <x v="0"/>
    <s v="CENTCOM"/>
    <x v="60"/>
    <x v="25"/>
    <n v="9"/>
    <s v="ML - Margins"/>
    <s v="Xu Fenlin"/>
    <m/>
    <s v="CMC/JSD DCJS"/>
    <n v="6"/>
    <x v="1"/>
    <s v="COGS"/>
    <x v="0"/>
    <m/>
    <m/>
    <m/>
    <m/>
    <x v="12"/>
    <m/>
    <m/>
    <m/>
    <m/>
  </r>
  <r>
    <x v="1"/>
    <x v="8"/>
    <s v="Europe and Central Asia"/>
    <s v="Comprehensive Strategic Partnership [全面战略伙伴关系]"/>
    <x v="5"/>
    <s v="EUCOM"/>
    <x v="21"/>
    <x v="25"/>
    <n v="9"/>
    <s v="BL - Abroad"/>
    <s v="Chang Wanquan"/>
    <m/>
    <s v="Defense Minister; CMC Member"/>
    <n v="8"/>
    <x v="1"/>
    <s v="Secretary of State for Defense"/>
    <x v="0"/>
    <m/>
    <m/>
    <m/>
    <m/>
    <x v="12"/>
    <m/>
    <m/>
    <m/>
    <m/>
  </r>
  <r>
    <x v="1"/>
    <x v="2"/>
    <s v="America and Oceania"/>
    <s v="No Specific Relationship"/>
    <x v="2"/>
    <s v="NORTHCOM"/>
    <x v="4"/>
    <x v="25"/>
    <n v="9"/>
    <s v="BL - Abroad"/>
    <s v="Sun Jianguo"/>
    <m/>
    <s v="CMC/JSD DCJS"/>
    <n v="6"/>
    <x v="1"/>
    <s v="PACOM Commander Harris"/>
    <x v="0"/>
    <m/>
    <m/>
    <m/>
    <m/>
    <x v="12"/>
    <m/>
    <m/>
    <s v="2017 CH Mil Power Report "/>
    <s v="2016 PACOM CHOD conference in Manila; Sun attended and met with Harris on the margins"/>
  </r>
  <r>
    <x v="1"/>
    <x v="1"/>
    <s v="Asia"/>
    <s v="Comprehensive Strategic Cooperative Partnership [全面战略合作伙伴关系]"/>
    <x v="0"/>
    <s v="INDOPACOM"/>
    <x v="23"/>
    <x v="25"/>
    <n v="9"/>
    <s v="BL - Hosted"/>
    <s v="Qi Jianguo"/>
    <m/>
    <s v="CMC/JSD DCJS"/>
    <n v="6"/>
    <x v="2"/>
    <s v="Deputy Defense Minister"/>
    <x v="0"/>
    <m/>
    <m/>
    <m/>
    <m/>
    <x v="12"/>
    <m/>
    <m/>
    <m/>
    <m/>
  </r>
  <r>
    <x v="1"/>
    <x v="0"/>
    <s v="Europe and Central Asia"/>
    <s v="Strategic Partnership [战略伙伴关系]"/>
    <x v="1"/>
    <s v="CENTCOM"/>
    <x v="123"/>
    <x v="25"/>
    <n v="10"/>
    <s v="BL - Hosted"/>
    <s v="Sun Jianguo"/>
    <m/>
    <s v="CMC/JSD DCJS"/>
    <n v="6"/>
    <x v="2"/>
    <s v="Deputy Defense Minister"/>
    <x v="0"/>
    <m/>
    <m/>
    <m/>
    <m/>
    <x v="12"/>
    <m/>
    <m/>
    <m/>
    <m/>
  </r>
  <r>
    <x v="1"/>
    <x v="8"/>
    <s v="Europe and Central Asia"/>
    <s v="Comprehensive Strategic Partnership [全面战略伙伴关系]"/>
    <x v="0"/>
    <s v="EUCOM"/>
    <x v="34"/>
    <x v="25"/>
    <n v="10"/>
    <s v="BL - Hosted"/>
    <s v="Fang Fenghui"/>
    <m/>
    <s v="CMC/JSD Commander; CMC Member"/>
    <n v="8"/>
    <x v="2"/>
    <s v="Deputy Defense Minister and COGS"/>
    <x v="0"/>
    <m/>
    <m/>
    <m/>
    <m/>
    <x v="12"/>
    <m/>
    <m/>
    <m/>
    <m/>
  </r>
  <r>
    <x v="1"/>
    <x v="1"/>
    <s v="Asia"/>
    <s v="No Specific Relationship"/>
    <x v="0"/>
    <s v="INDOPACOM"/>
    <x v="44"/>
    <x v="25"/>
    <n v="10"/>
    <s v="BL - Hosted"/>
    <s v="Xu Qiliang"/>
    <m/>
    <s v="CMC Vice Chairman"/>
    <n v="10"/>
    <x v="2"/>
    <s v="Deputy Defense Minister"/>
    <x v="0"/>
    <m/>
    <m/>
    <m/>
    <m/>
    <x v="12"/>
    <m/>
    <m/>
    <m/>
    <m/>
  </r>
  <r>
    <x v="1"/>
    <x v="1"/>
    <s v="Asia"/>
    <s v="Comprehensive Strategic Cooperative Partnership [全面战略合作伙伴关系]"/>
    <x v="0"/>
    <s v="INDOPACOM"/>
    <x v="94"/>
    <x v="25"/>
    <n v="10"/>
    <s v="BL - Hosted"/>
    <s v="Fan Changlong"/>
    <m/>
    <s v="CMC Vice Chairman"/>
    <n v="10"/>
    <x v="2"/>
    <s v="Defense Minister"/>
    <x v="0"/>
    <m/>
    <m/>
    <m/>
    <m/>
    <x v="12"/>
    <m/>
    <m/>
    <m/>
    <m/>
  </r>
  <r>
    <x v="0"/>
    <x v="1"/>
    <s v="Asia"/>
    <s v="Comprehensive Strategic Cooperative Partnership [全面战略合作伙伴关系]"/>
    <x v="0"/>
    <s v="INDOPACOM"/>
    <x v="94"/>
    <x v="25"/>
    <n v="10"/>
    <s v="Port Call - Friendly Visit"/>
    <m/>
    <m/>
    <m/>
    <m/>
    <x v="0"/>
    <m/>
    <x v="0"/>
    <m/>
    <m/>
    <m/>
    <s v="ETF"/>
    <x v="78"/>
    <s v="East Sea Fleet"/>
    <s v="FFG531 Xiangtan, FFG529 Zhoushan, AOR890 Chao Hu"/>
    <m/>
    <m/>
  </r>
  <r>
    <x v="1"/>
    <x v="8"/>
    <s v="Europe and Central Asia"/>
    <s v="Strategic Partnership [战略伙伴关系]"/>
    <x v="5"/>
    <s v="EUCOM"/>
    <x v="58"/>
    <x v="25"/>
    <n v="10"/>
    <s v="BL - Hosted"/>
    <s v="Sun Jianguo"/>
    <m/>
    <s v="CMC/JSD DCJS"/>
    <n v="6"/>
    <x v="2"/>
    <s v="DCOGS"/>
    <x v="0"/>
    <m/>
    <m/>
    <m/>
    <m/>
    <x v="12"/>
    <m/>
    <m/>
    <m/>
    <m/>
  </r>
  <r>
    <x v="1"/>
    <x v="9"/>
    <s v="West Asia and Africa"/>
    <s v="Comprehensive Strategic Partnership [全面战略伙伴关系]"/>
    <x v="1"/>
    <s v="CENTCOM"/>
    <x v="24"/>
    <x v="25"/>
    <n v="10"/>
    <s v="BL - Hosted"/>
    <s v="Sun Jianguo"/>
    <m/>
    <s v="CMC/JSD DCJS"/>
    <n v="6"/>
    <x v="2"/>
    <s v="Deputy Defense Minister"/>
    <x v="0"/>
    <m/>
    <m/>
    <m/>
    <m/>
    <x v="12"/>
    <m/>
    <m/>
    <m/>
    <m/>
  </r>
  <r>
    <x v="2"/>
    <x v="8"/>
    <s v="Europe and Central Asia"/>
    <s v="Comprehensive Strategic Partnership [全面战略伙伴关系]"/>
    <x v="5"/>
    <s v="EUCOM"/>
    <x v="18"/>
    <x v="25"/>
    <n v="10"/>
    <s v="Military Exercise - Bilateral"/>
    <m/>
    <m/>
    <m/>
    <m/>
    <x v="0"/>
    <m/>
    <x v="2"/>
    <s v="Combined Aid 2016"/>
    <s v="Army"/>
    <s v="HADR"/>
    <m/>
    <x v="12"/>
    <m/>
    <m/>
    <m/>
    <m/>
  </r>
  <r>
    <x v="2"/>
    <x v="0"/>
    <s v="Asia"/>
    <s v="Strategic Partnership for Peace and Prosperity [战略伙伴关系]"/>
    <x v="0"/>
    <s v="INDOPACOM"/>
    <x v="6"/>
    <x v="25"/>
    <n v="10"/>
    <s v="Military Exercise - Bilateral"/>
    <m/>
    <m/>
    <m/>
    <m/>
    <x v="0"/>
    <m/>
    <x v="2"/>
    <s v="None"/>
    <s v="Army"/>
    <s v="HADR"/>
    <m/>
    <x v="12"/>
    <m/>
    <m/>
    <m/>
    <m/>
  </r>
  <r>
    <x v="0"/>
    <x v="1"/>
    <s v="Asia"/>
    <s v="Comprehensive Strategic Partnership [全面战略伙伴关系]"/>
    <x v="0"/>
    <s v="INDOPACOM"/>
    <x v="8"/>
    <x v="25"/>
    <n v="10"/>
    <s v="Port Call - Friendly Visit"/>
    <m/>
    <m/>
    <m/>
    <m/>
    <x v="0"/>
    <m/>
    <x v="0"/>
    <m/>
    <m/>
    <m/>
    <s v="NETF"/>
    <x v="80"/>
    <s v="North Sea Fleet"/>
    <m/>
    <m/>
    <m/>
  </r>
  <r>
    <x v="1"/>
    <x v="9"/>
    <s v="West Asia and Africa"/>
    <s v="Comprehensive Strategic Partnership [全面战略伙伴关系]"/>
    <x v="0"/>
    <s v="CENTCOM"/>
    <x v="89"/>
    <x v="25"/>
    <n v="10"/>
    <s v="BL - Hosted"/>
    <s v="Sun Jianguo"/>
    <m/>
    <s v="CMC/JSD DCJS"/>
    <n v="6"/>
    <x v="2"/>
    <s v="Director Foreign Affairs, General Staff Office Iran Armed Forces"/>
    <x v="0"/>
    <m/>
    <m/>
    <m/>
    <m/>
    <x v="12"/>
    <m/>
    <m/>
    <m/>
    <m/>
  </r>
  <r>
    <x v="1"/>
    <x v="1"/>
    <s v="Asia"/>
    <s v="Comprehensive Strategic Partnership [全面战略伙伴关系]"/>
    <x v="0"/>
    <s v="INDOPACOM"/>
    <x v="10"/>
    <x v="25"/>
    <n v="10"/>
    <s v="BL - Hosted"/>
    <s v="Fang Fenghui"/>
    <m/>
    <s v="CMC/JSD Commander; CMC Member"/>
    <n v="8"/>
    <x v="2"/>
    <s v="Chief of Defense Forces"/>
    <x v="0"/>
    <m/>
    <m/>
    <m/>
    <m/>
    <x v="12"/>
    <m/>
    <m/>
    <m/>
    <m/>
  </r>
  <r>
    <x v="0"/>
    <x v="1"/>
    <s v="Asia"/>
    <s v="Comprehensive Strategic Partnership [全面战略伙伴关系]"/>
    <x v="0"/>
    <s v="INDOPACOM"/>
    <x v="10"/>
    <x v="25"/>
    <n v="10"/>
    <s v="Port Call - Friendly Visit"/>
    <m/>
    <m/>
    <m/>
    <m/>
    <x v="0"/>
    <m/>
    <x v="0"/>
    <m/>
    <m/>
    <m/>
    <s v="ETF"/>
    <x v="78"/>
    <s v="East Sea Fleet"/>
    <s v="FFG531 Xiangtan, FFG529 Zhoushan, AOR890 Chao Hu"/>
    <m/>
    <m/>
  </r>
  <r>
    <x v="1"/>
    <x v="2"/>
    <s v="America and Oceania"/>
    <s v="Comprehensive Strategic Partnership [全面战略伙伴关系]"/>
    <x v="0"/>
    <s v="NORTHCOM"/>
    <x v="77"/>
    <x v="25"/>
    <n v="10"/>
    <s v="BL - Hosted"/>
    <s v="Fan Changlong"/>
    <m/>
    <s v="CMC Vice Chairman"/>
    <n v="10"/>
    <x v="2"/>
    <s v="Navy Minister"/>
    <x v="0"/>
    <m/>
    <m/>
    <m/>
    <m/>
    <x v="12"/>
    <m/>
    <m/>
    <m/>
    <m/>
  </r>
  <r>
    <x v="1"/>
    <x v="4"/>
    <s v="Asia"/>
    <s v="Comprehensive Strategic Partnership [全面战略伙伴关系]"/>
    <x v="0"/>
    <s v="INDOPACOM"/>
    <x v="53"/>
    <x v="25"/>
    <n v="10"/>
    <s v="BL - Hosted"/>
    <s v="Xu Qiliang"/>
    <m/>
    <s v="CMC Vice Chairman"/>
    <n v="10"/>
    <x v="2"/>
    <s v="COGS"/>
    <x v="0"/>
    <m/>
    <m/>
    <m/>
    <m/>
    <x v="12"/>
    <m/>
    <m/>
    <m/>
    <m/>
  </r>
  <r>
    <x v="1"/>
    <x v="4"/>
    <s v="Asia"/>
    <s v="N/A"/>
    <x v="0"/>
    <s v="INDOPACOM"/>
    <x v="161"/>
    <x v="25"/>
    <n v="10"/>
    <s v="ML - Hosted"/>
    <s v="Chang Wanquan"/>
    <m/>
    <s v="Defense Minister; CMC Member"/>
    <n v="8"/>
    <x v="2"/>
    <s v="Xiangshan Forum 2016; Defense Minister"/>
    <x v="0"/>
    <m/>
    <m/>
    <m/>
    <m/>
    <x v="12"/>
    <m/>
    <m/>
    <s v="http://en.people.cn/n3/2016/1012/c90883-9125693.html"/>
    <m/>
  </r>
  <r>
    <x v="1"/>
    <x v="5"/>
    <s v="America and Oceania"/>
    <s v="Comprehensive Strategic Partnership [全面战略伙伴关系]"/>
    <x v="4"/>
    <s v="INDOPACOM"/>
    <x v="13"/>
    <x v="25"/>
    <n v="10"/>
    <s v="BL - Hosted"/>
    <s v="Sun Jianguo"/>
    <m/>
    <s v="CMC/JSD DCJS"/>
    <n v="6"/>
    <x v="2"/>
    <s v="Defense Minister"/>
    <x v="0"/>
    <m/>
    <m/>
    <m/>
    <m/>
    <x v="12"/>
    <m/>
    <m/>
    <m/>
    <m/>
  </r>
  <r>
    <x v="1"/>
    <x v="0"/>
    <s v="Asia"/>
    <s v="All-Weather Strategic Cooperative Partnership [全天候战略合作伙伴关系]"/>
    <x v="1"/>
    <s v="CENTCOM"/>
    <x v="2"/>
    <x v="25"/>
    <n v="10"/>
    <s v="BL - Hosted"/>
    <s v="Fang Fenghui"/>
    <m/>
    <s v="CMC/JSD Commander; CMC Member"/>
    <n v="8"/>
    <x v="2"/>
    <s v="Army Chief of Staff"/>
    <x v="0"/>
    <m/>
    <m/>
    <m/>
    <m/>
    <x v="12"/>
    <m/>
    <m/>
    <m/>
    <m/>
  </r>
  <r>
    <x v="2"/>
    <x v="0"/>
    <s v="Asia"/>
    <s v="All-Weather Strategic Cooperative Partnership [全天候战略合作伙伴关系]"/>
    <x v="1"/>
    <s v="CENTCOM"/>
    <x v="2"/>
    <x v="25"/>
    <n v="10"/>
    <s v="Military Exercise - Multilateral"/>
    <m/>
    <m/>
    <m/>
    <m/>
    <x v="0"/>
    <m/>
    <x v="6"/>
    <s v="International Physical Agility and Combat Efficiency System (PACES)"/>
    <s v="Army"/>
    <s v="PLAA team from 14th GA. Other countries: Nepal, Saudi Arabia "/>
    <m/>
    <x v="12"/>
    <m/>
    <m/>
    <m/>
    <m/>
  </r>
  <r>
    <x v="2"/>
    <x v="0"/>
    <s v="Asia"/>
    <s v="All-Weather Strategic Cooperative Partnership [全天候战略合作伙伴关系]"/>
    <x v="1"/>
    <s v="CENTCOM"/>
    <x v="2"/>
    <x v="25"/>
    <n v="10"/>
    <s v="Military Exercise - Bilateral"/>
    <m/>
    <m/>
    <m/>
    <m/>
    <x v="0"/>
    <m/>
    <x v="1"/>
    <s v="Friendship 2016"/>
    <s v="Army"/>
    <s v="21st GA SOF brigade and SSG commandos; CQB, recon, maneuver and penetration, search and capture, ambush/anti-ambush"/>
    <m/>
    <x v="12"/>
    <m/>
    <m/>
    <m/>
    <m/>
  </r>
  <r>
    <x v="1"/>
    <x v="1"/>
    <s v="America and Oceania"/>
    <s v="Strategic Partnership [战略伙伴关系]"/>
    <x v="0"/>
    <s v="INDOPACOM"/>
    <x v="122"/>
    <x v="25"/>
    <n v="10"/>
    <s v="BL - Hosted"/>
    <s v="Fang Fenghui"/>
    <m/>
    <s v="CMC/JSD Commander; CMC Member"/>
    <n v="8"/>
    <x v="2"/>
    <s v="Commander Armed Forces"/>
    <x v="0"/>
    <m/>
    <m/>
    <m/>
    <m/>
    <x v="12"/>
    <m/>
    <m/>
    <m/>
    <m/>
  </r>
  <r>
    <x v="1"/>
    <x v="1"/>
    <s v="Asia"/>
    <s v="Strategic Cooperative Partnership [战略合作伙伴关系]"/>
    <x v="3"/>
    <s v="INDOPACOM"/>
    <x v="11"/>
    <x v="25"/>
    <n v="10"/>
    <s v="BL - Hosted"/>
    <s v="Chang Wanquan"/>
    <m/>
    <s v="Defense Minister; CMC Member"/>
    <n v="8"/>
    <x v="2"/>
    <s v="Defense Minister"/>
    <x v="0"/>
    <m/>
    <m/>
    <m/>
    <m/>
    <x v="12"/>
    <m/>
    <m/>
    <m/>
    <m/>
  </r>
  <r>
    <x v="2"/>
    <x v="9"/>
    <s v="West Asia and Africa"/>
    <s v="Comprehensive Strategic Partnership [全面战略伙伴关系]"/>
    <x v="0"/>
    <s v="CENTCOM"/>
    <x v="142"/>
    <x v="25"/>
    <n v="10"/>
    <s v="Military Exercise - Bilateral"/>
    <m/>
    <m/>
    <m/>
    <m/>
    <x v="0"/>
    <m/>
    <x v="1"/>
    <s v="None"/>
    <s v="Army"/>
    <s v="anti-terrorism drills"/>
    <m/>
    <x v="12"/>
    <m/>
    <m/>
    <m/>
    <m/>
  </r>
  <r>
    <x v="1"/>
    <x v="1"/>
    <s v="Asia"/>
    <s v="All-Round Cooperative Partnership [全方合作伙伴关系]"/>
    <x v="0"/>
    <s v="INDOPACOM"/>
    <x v="39"/>
    <x v="25"/>
    <n v="10"/>
    <s v="BL - Hosted"/>
    <s v="Sun Jianguo"/>
    <m/>
    <s v="CMC/JSD DCJS"/>
    <n v="6"/>
    <x v="2"/>
    <s v="Senior Minister of State for MoD"/>
    <x v="0"/>
    <m/>
    <m/>
    <m/>
    <m/>
    <x v="12"/>
    <m/>
    <m/>
    <m/>
    <m/>
  </r>
  <r>
    <x v="2"/>
    <x v="6"/>
    <s v="Europe and Central Asia"/>
    <s v="Strategic Partnership [战略伙伴关系]"/>
    <x v="0"/>
    <s v="CENTCOM"/>
    <x v="60"/>
    <x v="25"/>
    <n v="10"/>
    <s v="Military Exercise - Bilateral"/>
    <m/>
    <m/>
    <m/>
    <m/>
    <x v="0"/>
    <m/>
    <x v="1"/>
    <s v="Cooperation-2016 Joint Anti-Terrorism Exercise "/>
    <s v="Army"/>
    <s v="anti-terrorism drills"/>
    <m/>
    <x v="12"/>
    <m/>
    <m/>
    <s v="2019 PRC Defense White Paper"/>
    <m/>
  </r>
  <r>
    <x v="1"/>
    <x v="2"/>
    <s v="America and Oceania"/>
    <s v="No Specific Relationship"/>
    <x v="2"/>
    <s v="NORTHCOM"/>
    <x v="4"/>
    <x v="25"/>
    <n v="10"/>
    <s v="ML - Margins"/>
    <s v="Sun Jianguo"/>
    <m/>
    <s v="CMC/JSD DCJS"/>
    <n v="6"/>
    <x v="2"/>
    <s v="NDU President MajGen Padilla"/>
    <x v="0"/>
    <m/>
    <m/>
    <m/>
    <m/>
    <x v="12"/>
    <m/>
    <m/>
    <m/>
    <s v="On margins of Xiangshan Forum"/>
  </r>
  <r>
    <x v="0"/>
    <x v="1"/>
    <s v="Asia"/>
    <s v="Comprehensive Strategic Cooperative Partnership [全面战略合作伙伴关系]"/>
    <x v="0"/>
    <s v="INDOPACOM"/>
    <x v="23"/>
    <x v="25"/>
    <n v="10"/>
    <s v="Port Call - Friendly Visit"/>
    <m/>
    <m/>
    <m/>
    <m/>
    <x v="0"/>
    <m/>
    <x v="0"/>
    <m/>
    <m/>
    <m/>
    <s v="ETF"/>
    <x v="78"/>
    <s v="East Sea Fleet"/>
    <s v="FFG531 Xiangtan, FFG529 Zhoushan, AOR890 Chao Hu"/>
    <m/>
    <m/>
  </r>
  <r>
    <x v="2"/>
    <x v="1"/>
    <s v="Asia"/>
    <s v="Strategic Partnership [战略伙伴关系] for Peace and Prosperity"/>
    <x v="0"/>
    <s v="INDOPACOM"/>
    <x v="153"/>
    <x v="25"/>
    <n v="11"/>
    <s v="Military Exercise - Multilateral"/>
    <m/>
    <m/>
    <m/>
    <m/>
    <x v="0"/>
    <m/>
    <x v="5"/>
    <s v="ADMM-Plus Maritime Security Exercise 2016"/>
    <s v="Navy"/>
    <s v="likely formation maneuvers, SAR, other combat support. Other countries: Indonesia, New Zealand ;boarding operations, manoeuvring serials and maritime security patrols"/>
    <m/>
    <x v="12"/>
    <m/>
    <m/>
    <m/>
    <s v="corrected partnership to strategic partnership for peace and prosperity"/>
  </r>
  <r>
    <x v="0"/>
    <x v="5"/>
    <s v="America and Oceania"/>
    <s v="Comprehensive Strategic Partnership [全面战略伙伴关系]"/>
    <x v="4"/>
    <s v="INDOPACOM"/>
    <x v="12"/>
    <x v="25"/>
    <n v="11"/>
    <s v="Port Call - Friendly Visit"/>
    <m/>
    <m/>
    <m/>
    <m/>
    <x v="0"/>
    <m/>
    <x v="0"/>
    <m/>
    <m/>
    <m/>
    <s v="NETF"/>
    <x v="81"/>
    <s v="North Sea Fleet"/>
    <m/>
    <m/>
    <m/>
  </r>
  <r>
    <x v="1"/>
    <x v="0"/>
    <s v="Asia"/>
    <s v="Comprehensive Cooperative Partnership [全面合作伙伴关系]"/>
    <x v="0"/>
    <s v="INDOPACOM"/>
    <x v="0"/>
    <x v="25"/>
    <n v="11"/>
    <s v="BL - Hosted"/>
    <s v="Xu Qiliang"/>
    <m/>
    <s v="CMC Vice Chairman"/>
    <n v="10"/>
    <x v="2"/>
    <s v="Chief of Navy Staff"/>
    <x v="0"/>
    <m/>
    <m/>
    <m/>
    <m/>
    <x v="12"/>
    <m/>
    <m/>
    <m/>
    <m/>
  </r>
  <r>
    <x v="1"/>
    <x v="10"/>
    <s v="America and Oceania"/>
    <s v="Comprehensive Strategic Partnership [全面战略伙伴关系]"/>
    <x v="0"/>
    <s v="SOUTHCOM"/>
    <x v="43"/>
    <x v="25"/>
    <n v="11"/>
    <s v="BL - Hosted"/>
    <s v="Sun Jianguo"/>
    <m/>
    <s v="CMC/JSD DCJS"/>
    <n v="6"/>
    <x v="2"/>
    <s v="Secretary of Strategy and International Affairs MoD"/>
    <x v="0"/>
    <m/>
    <m/>
    <m/>
    <m/>
    <x v="12"/>
    <m/>
    <m/>
    <m/>
    <m/>
  </r>
  <r>
    <x v="1"/>
    <x v="9"/>
    <s v="West Asia and Africa"/>
    <s v="No Specific Relationship"/>
    <x v="0"/>
    <s v="CENTCOM"/>
    <x v="119"/>
    <x v="25"/>
    <n v="11"/>
    <s v="BL - Abroad"/>
    <s v="Fan Changlong"/>
    <m/>
    <s v="CMC Vice Chairman"/>
    <n v="10"/>
    <x v="1"/>
    <m/>
    <x v="0"/>
    <m/>
    <m/>
    <m/>
    <m/>
    <x v="12"/>
    <m/>
    <m/>
    <m/>
    <m/>
  </r>
  <r>
    <x v="1"/>
    <x v="7"/>
    <s v="West Asia and Africa"/>
    <s v="Comprehensive Cooperative Partnership [全面合作伙伴关系]"/>
    <x v="0"/>
    <s v="AFRICOM"/>
    <x v="95"/>
    <x v="25"/>
    <n v="11"/>
    <s v="BL - Abroad"/>
    <s v="Fan Changlong"/>
    <m/>
    <s v="CMC Vice Chairman"/>
    <n v="10"/>
    <x v="1"/>
    <s v="Defense Minister"/>
    <x v="0"/>
    <m/>
    <m/>
    <m/>
    <m/>
    <x v="12"/>
    <m/>
    <m/>
    <m/>
    <m/>
  </r>
  <r>
    <x v="1"/>
    <x v="0"/>
    <s v="Asia"/>
    <s v="Strategic Partnership for Peace and Prosperity [战略伙伴关系]"/>
    <x v="0"/>
    <s v="INDOPACOM"/>
    <x v="6"/>
    <x v="25"/>
    <n v="11"/>
    <s v="BL - Hosted"/>
    <s v="Xu Qiliang"/>
    <m/>
    <s v="CMC Vice Chairman"/>
    <n v="10"/>
    <x v="2"/>
    <s v="Chief of Army Staff"/>
    <x v="0"/>
    <m/>
    <m/>
    <m/>
    <m/>
    <x v="12"/>
    <m/>
    <m/>
    <m/>
    <m/>
  </r>
  <r>
    <x v="2"/>
    <x v="0"/>
    <s v="Asia"/>
    <s v="Strategic Partnership for Peace and Prosperity [战略伙伴关系]"/>
    <x v="0"/>
    <s v="INDOPACOM"/>
    <x v="6"/>
    <x v="25"/>
    <n v="11"/>
    <s v="Military Exercise - Bilateral"/>
    <m/>
    <m/>
    <m/>
    <m/>
    <x v="0"/>
    <m/>
    <x v="1"/>
    <s v="Hand-in-Hand 2016"/>
    <s v="Army"/>
    <s v="anti-terrorism drills"/>
    <m/>
    <x v="12"/>
    <m/>
    <m/>
    <m/>
    <m/>
  </r>
  <r>
    <x v="1"/>
    <x v="9"/>
    <s v="West Asia and Africa"/>
    <s v="Comprehensive Strategic Partnership [全面战略伙伴关系]"/>
    <x v="0"/>
    <s v="CENTCOM"/>
    <x v="89"/>
    <x v="25"/>
    <n v="11"/>
    <s v="BL - Abroad"/>
    <s v="Chang Wanquan"/>
    <m/>
    <s v="Defense Minister; CMC Member"/>
    <n v="8"/>
    <x v="1"/>
    <s v="Defense Minister"/>
    <x v="0"/>
    <m/>
    <m/>
    <m/>
    <m/>
    <x v="12"/>
    <m/>
    <m/>
    <m/>
    <m/>
  </r>
  <r>
    <x v="1"/>
    <x v="8"/>
    <s v="Europe and Central Asia"/>
    <s v="Comprehensive Strategic Partnership [全面战略伙伴关系]"/>
    <x v="5"/>
    <s v="EUCOM"/>
    <x v="20"/>
    <x v="25"/>
    <n v="11"/>
    <s v="BL - Hosted"/>
    <s v="Li Zuocheng"/>
    <m/>
    <s v="PLAA Commander"/>
    <n v="6"/>
    <x v="2"/>
    <s v="Army Chief of Staff"/>
    <x v="0"/>
    <m/>
    <m/>
    <m/>
    <m/>
    <x v="12"/>
    <m/>
    <m/>
    <m/>
    <m/>
  </r>
  <r>
    <x v="1"/>
    <x v="9"/>
    <s v="West Asia and Africa"/>
    <s v="No Specific Relationship"/>
    <x v="0"/>
    <s v="CENTCOM"/>
    <x v="110"/>
    <x v="25"/>
    <n v="11"/>
    <s v="BL - Abroad"/>
    <s v="Fan Changlong"/>
    <m/>
    <s v="CMC Vice Chairman"/>
    <n v="10"/>
    <x v="1"/>
    <s v="Army Chief"/>
    <x v="0"/>
    <m/>
    <m/>
    <m/>
    <m/>
    <x v="12"/>
    <m/>
    <m/>
    <m/>
    <m/>
  </r>
  <r>
    <x v="1"/>
    <x v="1"/>
    <s v="Asia"/>
    <s v="Comprehensive Strategic Partnership [全面战略伙伴关系]"/>
    <x v="0"/>
    <s v="INDOPACOM"/>
    <x v="10"/>
    <x v="25"/>
    <n v="11"/>
    <s v="BL - Hosted"/>
    <s v="Chang Wanquan"/>
    <m/>
    <s v="Defense Minister; CMC Member"/>
    <n v="8"/>
    <x v="2"/>
    <s v="Defense Minister"/>
    <x v="0"/>
    <m/>
    <m/>
    <m/>
    <m/>
    <x v="12"/>
    <m/>
    <m/>
    <m/>
    <m/>
  </r>
  <r>
    <x v="2"/>
    <x v="1"/>
    <s v="Asia"/>
    <s v="Comprehensive Strategic Partnership [全面战略伙伴关系]"/>
    <x v="0"/>
    <s v="INDOPACOM"/>
    <x v="10"/>
    <x v="25"/>
    <n v="11"/>
    <s v="Military Exercise - Bilateral"/>
    <m/>
    <m/>
    <m/>
    <m/>
    <x v="0"/>
    <m/>
    <x v="2"/>
    <s v="Peace and Friendship 2016"/>
    <s v="Army"/>
    <m/>
    <m/>
    <x v="12"/>
    <m/>
    <m/>
    <s v="http://eng.mod.gov.cn/news/2016-11/18/content_4778131.htm"/>
    <m/>
  </r>
  <r>
    <x v="1"/>
    <x v="1"/>
    <s v="Asia"/>
    <s v="Comprehensive Strategic Cooperative Partnership [全面战略合作伙伴关系]"/>
    <x v="0"/>
    <s v="INDOPACOM"/>
    <x v="1"/>
    <x v="25"/>
    <n v="11"/>
    <s v="BL - Hosted"/>
    <s v="Xu Qiliang"/>
    <m/>
    <s v="CMC Vice Chairman"/>
    <n v="10"/>
    <x v="2"/>
    <s v="CinC Armed Forces"/>
    <x v="0"/>
    <m/>
    <m/>
    <m/>
    <m/>
    <x v="12"/>
    <m/>
    <m/>
    <m/>
    <m/>
  </r>
  <r>
    <x v="1"/>
    <x v="5"/>
    <s v="America and Oceania"/>
    <s v="Comprehensive Strategic Partnership [全面战略伙伴关系]"/>
    <x v="4"/>
    <s v="INDOPACOM"/>
    <x v="13"/>
    <x v="25"/>
    <n v="11"/>
    <s v="BL - Hosted"/>
    <s v="Ma Xiaotian"/>
    <m/>
    <s v="PLAAF Commander; CMC Member"/>
    <n v="8"/>
    <x v="2"/>
    <s v="Air Force Commander"/>
    <x v="0"/>
    <m/>
    <m/>
    <m/>
    <m/>
    <x v="12"/>
    <m/>
    <m/>
    <m/>
    <m/>
  </r>
  <r>
    <x v="0"/>
    <x v="5"/>
    <s v="America and Oceania"/>
    <s v="Comprehensive Strategic Partnership [全面战略伙伴关系]"/>
    <x v="4"/>
    <s v="INDOPACOM"/>
    <x v="13"/>
    <x v="25"/>
    <n v="11"/>
    <s v="Port Call - Friendly Visit"/>
    <m/>
    <m/>
    <m/>
    <m/>
    <x v="0"/>
    <m/>
    <x v="0"/>
    <m/>
    <m/>
    <m/>
    <s v="NETF"/>
    <x v="82"/>
    <s v="North Sea Fleet"/>
    <s v="unknown if other PLAN ships present"/>
    <m/>
    <m/>
  </r>
  <r>
    <x v="1"/>
    <x v="0"/>
    <s v="Asia"/>
    <s v="All-Weather Strategic Cooperative Partnership [全天候战略合作伙伴关系]"/>
    <x v="1"/>
    <s v="CENTCOM"/>
    <x v="2"/>
    <x v="25"/>
    <n v="11"/>
    <s v="BL - Hosted"/>
    <s v="Chang Wanquan"/>
    <m/>
    <s v="Defense Minister; CMC Member"/>
    <n v="8"/>
    <x v="2"/>
    <s v="Chief of Air Staff"/>
    <x v="0"/>
    <m/>
    <m/>
    <m/>
    <m/>
    <x v="12"/>
    <m/>
    <m/>
    <m/>
    <m/>
  </r>
  <r>
    <x v="0"/>
    <x v="0"/>
    <s v="Asia"/>
    <s v="All-Weather Strategic Cooperative Partnership [全天候战略合作伙伴关系]"/>
    <x v="1"/>
    <s v="CENTCOM"/>
    <x v="2"/>
    <x v="25"/>
    <n v="11"/>
    <s v="Port Call - Friendly Visit and Drills"/>
    <m/>
    <m/>
    <m/>
    <m/>
    <x v="0"/>
    <m/>
    <x v="0"/>
    <m/>
    <m/>
    <m/>
    <s v="ETF"/>
    <x v="79"/>
    <s v="North Sea Fleet"/>
    <s v="DDG112 Harbin, FFG579 Handan, AOR960 Dongping Hu"/>
    <m/>
    <m/>
  </r>
  <r>
    <x v="2"/>
    <x v="0"/>
    <s v="Asia"/>
    <s v="All-Weather Strategic Cooperative Partnership [全天候战略合作伙伴关系]"/>
    <x v="1"/>
    <s v="CENTCOM"/>
    <x v="2"/>
    <x v="25"/>
    <n v="11"/>
    <s v="Military Exercise - Bilateral"/>
    <m/>
    <m/>
    <m/>
    <m/>
    <x v="0"/>
    <m/>
    <x v="4"/>
    <s v="None"/>
    <s v="Navy"/>
    <s v="ETF-24; Marines; anti-piracy drills, special operations"/>
    <m/>
    <x v="12"/>
    <m/>
    <m/>
    <m/>
    <m/>
  </r>
  <r>
    <x v="1"/>
    <x v="9"/>
    <s v="West Asia and Africa"/>
    <s v="Strategic Partnership [战略伙伴关系]"/>
    <x v="0"/>
    <s v="CENTCOM"/>
    <x v="131"/>
    <x v="25"/>
    <n v="11"/>
    <s v="BL - Hosted"/>
    <s v="Chang Wanquan"/>
    <m/>
    <s v="Defense Minister; CMC Member"/>
    <n v="8"/>
    <x v="2"/>
    <s v="Defense Minister"/>
    <x v="0"/>
    <m/>
    <m/>
    <m/>
    <m/>
    <x v="12"/>
    <m/>
    <m/>
    <m/>
    <m/>
  </r>
  <r>
    <x v="1"/>
    <x v="3"/>
    <s v="Europe and Central Asia"/>
    <s v="Comprehensive Collaborative Strategic Partnership [全面战略协作伙伴关系]"/>
    <x v="0"/>
    <s v="EUCOM"/>
    <x v="7"/>
    <x v="25"/>
    <n v="11"/>
    <s v="BL - Hosted"/>
    <s v="Xu Qiliang"/>
    <m/>
    <s v="CMC Vice Chairman"/>
    <n v="10"/>
    <x v="2"/>
    <s v="Defense Minister"/>
    <x v="0"/>
    <m/>
    <m/>
    <m/>
    <m/>
    <x v="12"/>
    <m/>
    <m/>
    <m/>
    <m/>
  </r>
  <r>
    <x v="2"/>
    <x v="6"/>
    <s v="Europe and Central Asia"/>
    <s v="Member"/>
    <x v="0"/>
    <s v="CENTCOM"/>
    <x v="14"/>
    <x v="25"/>
    <n v="11"/>
    <s v="Military Exercise - Multilateral"/>
    <m/>
    <m/>
    <m/>
    <m/>
    <x v="0"/>
    <m/>
    <x v="3"/>
    <s v="None"/>
    <s v="Army"/>
    <s v="mountain infantry troops; actual combat abilities but few details;SCO; Counries: Kazakhstan, Kyrgyzstan, Tajikistan, Uzbekistan, Russia"/>
    <m/>
    <x v="12"/>
    <m/>
    <m/>
    <m/>
    <m/>
  </r>
  <r>
    <x v="1"/>
    <x v="7"/>
    <s v="West Asia and Africa"/>
    <s v="No Specific Relationship"/>
    <x v="0"/>
    <s v="AFRICOM"/>
    <x v="139"/>
    <x v="25"/>
    <n v="11"/>
    <s v="BL - Hosted"/>
    <s v="Wang Guanzhong"/>
    <m/>
    <s v="CMC/JSD DCJS"/>
    <n v="6"/>
    <x v="2"/>
    <s v="President"/>
    <x v="0"/>
    <m/>
    <m/>
    <m/>
    <m/>
    <x v="12"/>
    <m/>
    <m/>
    <m/>
    <m/>
  </r>
  <r>
    <x v="1"/>
    <x v="7"/>
    <s v="West Asia and Africa"/>
    <s v="Comprehensive Cooperative Partnership [全面合作伙伴关系]"/>
    <x v="0"/>
    <s v="AFRICOM"/>
    <x v="16"/>
    <x v="25"/>
    <n v="11"/>
    <s v="BL - Abroad"/>
    <s v="Fan Changlong"/>
    <m/>
    <s v="CMC Vice Chairman"/>
    <n v="10"/>
    <x v="1"/>
    <s v="Defense Minister"/>
    <x v="0"/>
    <m/>
    <m/>
    <m/>
    <m/>
    <x v="12"/>
    <m/>
    <m/>
    <m/>
    <m/>
  </r>
  <r>
    <x v="1"/>
    <x v="2"/>
    <s v="America and Oceania"/>
    <s v="No Specific Relationship"/>
    <x v="2"/>
    <s v="NORTHCOM"/>
    <x v="4"/>
    <x v="25"/>
    <n v="11"/>
    <s v="BL - Abroad"/>
    <s v="Zhao Zongqi"/>
    <m/>
    <s v="Western TC Commander"/>
    <n v="6"/>
    <x v="1"/>
    <s v="PACOM Commander Harris"/>
    <x v="0"/>
    <m/>
    <m/>
    <m/>
    <m/>
    <x v="12"/>
    <m/>
    <s v="2017 CH Mil Power Report "/>
    <s v="2017 CH Mil Power Report "/>
    <s v="Also visited JB Lewis-McChord"/>
  </r>
  <r>
    <x v="2"/>
    <x v="2"/>
    <s v="America and Oceania"/>
    <s v="No Specific Relationship"/>
    <x v="2"/>
    <s v="NORTHCOM"/>
    <x v="4"/>
    <x v="25"/>
    <n v="11"/>
    <s v="Military Exercise - Bilateral"/>
    <m/>
    <m/>
    <m/>
    <m/>
    <x v="0"/>
    <m/>
    <x v="2"/>
    <s v="12th Disaster Management Exchange TTX"/>
    <s v="Army"/>
    <s v="Kunming; HADR academic discussion; TTX; and field exchange"/>
    <m/>
    <x v="12"/>
    <m/>
    <m/>
    <m/>
    <m/>
  </r>
  <r>
    <x v="1"/>
    <x v="1"/>
    <s v="Asia"/>
    <s v="Comprehensive Strategic Cooperative Partnership [全面战略合作伙伴关系]"/>
    <x v="0"/>
    <s v="INDOPACOM"/>
    <x v="23"/>
    <x v="25"/>
    <n v="11"/>
    <s v="BL - Hosted"/>
    <s v="Chang Wanquan"/>
    <m/>
    <s v="Defense Minister; CMC Member"/>
    <n v="8"/>
    <x v="2"/>
    <s v="Deputy Defense Minister"/>
    <x v="0"/>
    <m/>
    <m/>
    <m/>
    <m/>
    <x v="12"/>
    <m/>
    <m/>
    <m/>
    <m/>
  </r>
  <r>
    <x v="1"/>
    <x v="9"/>
    <s v="West Asia and Africa"/>
    <s v="No Specific Relationship"/>
    <x v="0"/>
    <s v="CENTCOM"/>
    <x v="119"/>
    <x v="25"/>
    <n v="12"/>
    <s v="BL - Hosted"/>
    <s v="Fan Changlong"/>
    <m/>
    <s v="CMC Vice Chairman"/>
    <n v="10"/>
    <x v="2"/>
    <s v="COGS"/>
    <x v="0"/>
    <m/>
    <m/>
    <m/>
    <m/>
    <x v="12"/>
    <m/>
    <m/>
    <m/>
    <m/>
  </r>
  <r>
    <x v="0"/>
    <x v="5"/>
    <s v="America and Oceania"/>
    <s v="Strategic Partnership [战略伙伴关系]"/>
    <x v="0"/>
    <s v="INDOPACOM"/>
    <x v="128"/>
    <x v="25"/>
    <n v="12"/>
    <s v="Port Call - Friendly Visit"/>
    <m/>
    <m/>
    <m/>
    <m/>
    <x v="0"/>
    <m/>
    <x v="0"/>
    <m/>
    <m/>
    <m/>
    <s v="NETF"/>
    <x v="83"/>
    <s v="North Sea Fleet"/>
    <m/>
    <m/>
    <s v="Coded as Oceania instead of Southeast Asia"/>
  </r>
  <r>
    <x v="0"/>
    <x v="5"/>
    <s v="America and Oceania"/>
    <s v="Comprehensive Strategic Partnership [全面战略伙伴关系]"/>
    <x v="4"/>
    <s v="INDOPACOM"/>
    <x v="13"/>
    <x v="25"/>
    <n v="12"/>
    <s v="Port Call - Friendly Visit"/>
    <m/>
    <m/>
    <m/>
    <m/>
    <x v="0"/>
    <m/>
    <x v="0"/>
    <m/>
    <m/>
    <m/>
    <s v="NETF"/>
    <x v="83"/>
    <s v="North Sea Fleet"/>
    <m/>
    <m/>
    <m/>
  </r>
  <r>
    <x v="1"/>
    <x v="0"/>
    <s v="Asia"/>
    <s v="All-Weather Strategic Cooperative Partnership [全天候战略合作伙伴关系]"/>
    <x v="1"/>
    <s v="CENTCOM"/>
    <x v="2"/>
    <x v="25"/>
    <n v="12"/>
    <s v="BL - Abroad"/>
    <s v="Zhao Zongqi"/>
    <m/>
    <s v="Western TC Commander"/>
    <n v="6"/>
    <x v="1"/>
    <s v="Army Chief of Staff"/>
    <x v="0"/>
    <m/>
    <m/>
    <m/>
    <m/>
    <x v="12"/>
    <m/>
    <m/>
    <m/>
    <m/>
  </r>
  <r>
    <x v="0"/>
    <x v="2"/>
    <s v="America and Oceania"/>
    <s v="No Specific Relationship"/>
    <x v="2"/>
    <s v="NORTHCOM"/>
    <x v="4"/>
    <x v="25"/>
    <n v="12"/>
    <s v="Port Call - Friendly Visit"/>
    <m/>
    <m/>
    <m/>
    <m/>
    <x v="0"/>
    <m/>
    <x v="8"/>
    <s v=" "/>
    <s v=" "/>
    <s v=" "/>
    <s v="NETF"/>
    <x v="84"/>
    <s v="North Sea Fleet"/>
    <s v="Yancheng FFG, Daqing, FFG, Tai Hu oiler visited San Diego"/>
    <s v="https://thaimilitaryandasianregion.blogspot.com/2016/12/chinese-naval-ships-visit-san-diego.html"/>
    <m/>
  </r>
  <r>
    <x v="0"/>
    <x v="9"/>
    <s v="West Asia and Africa"/>
    <s v="Strategic Partnership [战略伙伴关系]"/>
    <x v="0"/>
    <s v="CENTCOM"/>
    <x v="131"/>
    <x v="26"/>
    <n v="1"/>
    <s v="Port Call - Friendly Visit"/>
    <m/>
    <m/>
    <m/>
    <m/>
    <x v="0"/>
    <m/>
    <x v="0"/>
    <m/>
    <m/>
    <m/>
    <s v="ETF"/>
    <x v="79"/>
    <s v="North Sea Fleet"/>
    <s v="DDG112 Harbin, FFG579 Handan"/>
    <s v="http://eng.mod.gov.cn/DefenseNews/2017-01/23/content_4770731.htm"/>
    <m/>
  </r>
  <r>
    <x v="2"/>
    <x v="9"/>
    <s v="West Asia and Africa"/>
    <s v="Strategic Partnership [战略伙伴关系]"/>
    <x v="0"/>
    <s v="CENTCOM"/>
    <x v="106"/>
    <x v="26"/>
    <n v="1"/>
    <s v="Military Exercise - Bilateral"/>
    <m/>
    <m/>
    <m/>
    <m/>
    <x v="0"/>
    <m/>
    <x v="2"/>
    <s v="Unnamed "/>
    <s v="Navy"/>
    <s v="Maritime "/>
    <m/>
    <x v="12"/>
    <m/>
    <m/>
    <m/>
    <m/>
  </r>
  <r>
    <x v="1"/>
    <x v="1"/>
    <s v="Asia"/>
    <s v="Comprehensive Strategic Cooperative Partnership [全面战略合作伙伴关系]"/>
    <x v="0"/>
    <s v="INDOPACOM"/>
    <x v="23"/>
    <x v="26"/>
    <n v="1"/>
    <s v="BL - Hosted"/>
    <s v="Fan Changlong"/>
    <m/>
    <s v="CMC Vice Chairman"/>
    <n v="10"/>
    <x v="2"/>
    <s v="Defense Minister"/>
    <x v="0"/>
    <m/>
    <m/>
    <m/>
    <m/>
    <x v="12"/>
    <m/>
    <m/>
    <m/>
    <m/>
  </r>
  <r>
    <x v="1"/>
    <x v="7"/>
    <s v="West Asia and Africa"/>
    <s v="Comprehensive Cooperative Partnership [全面合作伙伴关系]"/>
    <x v="0"/>
    <s v="AFRICOM"/>
    <x v="95"/>
    <x v="26"/>
    <n v="2"/>
    <s v="BL - Hosted"/>
    <s v="Chang Wanquan"/>
    <m/>
    <s v="Defense Minister; CMC Member"/>
    <n v="8"/>
    <x v="2"/>
    <s v="Defense Minister"/>
    <x v="0"/>
    <m/>
    <m/>
    <m/>
    <m/>
    <x v="12"/>
    <m/>
    <m/>
    <s v="http://eng.mod.gov.cn/DefenseNews/2017-02/24/content_4773595.htm"/>
    <m/>
  </r>
  <r>
    <x v="1"/>
    <x v="9"/>
    <s v="West Asia and Africa"/>
    <s v="All-Round Partnership for Innovation [创新全面伙伴关系]"/>
    <x v="1"/>
    <s v="CENTCOM"/>
    <x v="100"/>
    <x v="26"/>
    <n v="2"/>
    <s v="BL - Hosted"/>
    <s v="Zhao Keshi"/>
    <m/>
    <s v="CMC/LSD Director; CMC Member"/>
    <n v="8"/>
    <x v="2"/>
    <s v="Major General"/>
    <x v="0"/>
    <m/>
    <m/>
    <m/>
    <m/>
    <x v="12"/>
    <m/>
    <m/>
    <s v="http://eng.mod.gov.cn/DefenseNews/2017-02/21/content_4773208.htm"/>
    <m/>
  </r>
  <r>
    <x v="2"/>
    <x v="9"/>
    <s v="West Asia and Africa"/>
    <s v="No Specific Relationship"/>
    <x v="1"/>
    <s v="CENTCOM"/>
    <x v="72"/>
    <x v="26"/>
    <n v="2"/>
    <s v="Military Exercise - Bilateral"/>
    <m/>
    <m/>
    <m/>
    <m/>
    <x v="0"/>
    <m/>
    <x v="2"/>
    <s v="Unnamed"/>
    <s v="Navy"/>
    <s v="Maritime"/>
    <m/>
    <x v="12"/>
    <m/>
    <m/>
    <m/>
    <m/>
  </r>
  <r>
    <x v="0"/>
    <x v="9"/>
    <s v="West Asia and Africa"/>
    <s v="No Specific Relationship"/>
    <x v="1"/>
    <s v="CENTCOM"/>
    <x v="72"/>
    <x v="26"/>
    <n v="2"/>
    <s v="Port Call - Friendly Visit"/>
    <m/>
    <m/>
    <s v=" "/>
    <m/>
    <x v="0"/>
    <m/>
    <x v="0"/>
    <m/>
    <m/>
    <m/>
    <s v="ETF"/>
    <x v="79"/>
    <s v="North Sea Fleet"/>
    <s v="DDG112 Harbin, FFG579 Handan"/>
    <s v="http://eng.mod.gov.cn/DefenseNews/2017-02/03/content_4771399.htm"/>
    <m/>
  </r>
  <r>
    <x v="1"/>
    <x v="0"/>
    <s v="Asia"/>
    <s v="All-Round Strategic Partnership [全方位战略伙伴关系]"/>
    <x v="0"/>
    <s v="INDOPACOM"/>
    <x v="32"/>
    <x v="26"/>
    <n v="2"/>
    <s v="BL - Abroad"/>
    <s v="Zhao Jinsong"/>
    <m/>
    <s v="Western TC Deputy Commander"/>
    <n v="8"/>
    <x v="1"/>
    <s v="Chief of the Army Staff"/>
    <x v="0"/>
    <m/>
    <m/>
    <m/>
    <m/>
    <x v="12"/>
    <m/>
    <m/>
    <s v="http://eng.mod.gov.cn/DefenseNews/2017-02/20/content_4773000.htm"/>
    <s v="Recoded as South Asia"/>
  </r>
  <r>
    <x v="2"/>
    <x v="0"/>
    <s v="Asia"/>
    <s v="All-Weather Strategic Cooperative Partnership [全天候战略合作伙伴关系]"/>
    <x v="1"/>
    <s v="CENTCOM"/>
    <x v="2"/>
    <x v="26"/>
    <n v="2"/>
    <s v="Military Exercise - Multilateral"/>
    <m/>
    <m/>
    <m/>
    <m/>
    <x v="0"/>
    <m/>
    <x v="2"/>
    <s v="Aman-17"/>
    <s v="Navy"/>
    <s v="Maritime "/>
    <m/>
    <x v="12"/>
    <m/>
    <m/>
    <m/>
    <m/>
  </r>
  <r>
    <x v="2"/>
    <x v="1"/>
    <s v="Asia"/>
    <s v="Comprehensive Strategic Cooperative Partnership [全面战略合作伙伴关系]"/>
    <x v="3"/>
    <s v="INDOPACOM"/>
    <x v="5"/>
    <x v="26"/>
    <n v="2"/>
    <s v="Military Exercise - Multilateral"/>
    <m/>
    <m/>
    <m/>
    <m/>
    <x v="0"/>
    <m/>
    <x v="2"/>
    <s v="Cobra Gold 2017"/>
    <s v="Army"/>
    <s v="Humanitarian assistance and disaster relief"/>
    <m/>
    <x v="12"/>
    <m/>
    <m/>
    <m/>
    <m/>
  </r>
  <r>
    <x v="0"/>
    <x v="9"/>
    <s v="West Asia and Africa"/>
    <s v="Strategic Partnership [战略伙伴关系]"/>
    <x v="0"/>
    <s v="CENTCOM"/>
    <x v="106"/>
    <x v="26"/>
    <n v="2"/>
    <s v="Port Call - Friendly Visit"/>
    <m/>
    <m/>
    <m/>
    <m/>
    <x v="0"/>
    <m/>
    <x v="0"/>
    <m/>
    <m/>
    <m/>
    <s v="ETF"/>
    <x v="79"/>
    <s v="North Sea Fleet"/>
    <s v="DDG112 Harbin, FFG579 Handan"/>
    <s v="http://eng.mod.gov.cn/DefenseNews/2017-02/03/content_4771404.htm"/>
    <m/>
  </r>
  <r>
    <x v="1"/>
    <x v="10"/>
    <s v="America and Oceania"/>
    <s v="No Specific Relationship"/>
    <x v="0"/>
    <s v="SOUTHCOM"/>
    <x v="49"/>
    <x v="26"/>
    <n v="3"/>
    <s v="BL - Hosted"/>
    <s v="Chang Wanquan"/>
    <m/>
    <s v="Defense Minister; CMC Member"/>
    <n v="8"/>
    <x v="2"/>
    <s v="Defense Minister "/>
    <x v="0"/>
    <m/>
    <m/>
    <m/>
    <m/>
    <x v="12"/>
    <m/>
    <m/>
    <m/>
    <m/>
  </r>
  <r>
    <x v="1"/>
    <x v="6"/>
    <s v="Europe and Central Asia"/>
    <s v="Strategic Partnership [战略伙伴关系]"/>
    <x v="0"/>
    <s v="CENTCOM"/>
    <x v="31"/>
    <x v="26"/>
    <n v="3"/>
    <s v="BL - Hosted"/>
    <s v="Chang Wanquan"/>
    <m/>
    <s v="Defense Minister; CMC Member"/>
    <n v="8"/>
    <x v="2"/>
    <s v="Chief of Staff"/>
    <x v="0"/>
    <m/>
    <m/>
    <m/>
    <m/>
    <x v="12"/>
    <m/>
    <m/>
    <s v="http://english.chinamil.com.cn/view/2017-03/17/content_7529919.htm"/>
    <m/>
  </r>
  <r>
    <x v="1"/>
    <x v="1"/>
    <s v="Asia"/>
    <s v="Comprehensive Strategic Partnership [全面战略伙伴关系]"/>
    <x v="0"/>
    <s v="INDOPACOM"/>
    <x v="10"/>
    <x v="26"/>
    <n v="3"/>
    <s v="BL - Abroad"/>
    <s v="Xu Qiliang"/>
    <m/>
    <s v="CMC Vice Chairman"/>
    <n v="10"/>
    <x v="1"/>
    <s v="Defense Minister"/>
    <x v="0"/>
    <m/>
    <m/>
    <m/>
    <m/>
    <x v="12"/>
    <m/>
    <m/>
    <s v="http://eng.mod.gov.cn/DefenseNews/2017-03/28/content_4776738.htm; http://eng.mod.gov.cn/DefenseNews/2017-03/29/content_4776836.htm"/>
    <m/>
  </r>
  <r>
    <x v="1"/>
    <x v="0"/>
    <s v="Asia"/>
    <s v="All-Round Strategic Partnership [全方位战略伙伴关系]"/>
    <x v="0"/>
    <s v="INDOPACOM"/>
    <x v="32"/>
    <x v="26"/>
    <n v="3"/>
    <s v="BL - Abroad"/>
    <s v="Chang Wanquan"/>
    <m/>
    <s v="Defense Minister; CMC Member"/>
    <n v="8"/>
    <x v="2"/>
    <s v="President "/>
    <x v="0"/>
    <m/>
    <m/>
    <m/>
    <m/>
    <x v="12"/>
    <m/>
    <m/>
    <m/>
    <s v="Recoded as South Asia"/>
  </r>
  <r>
    <x v="1"/>
    <x v="0"/>
    <s v="Asia"/>
    <s v="All-Weather Strategic Cooperative Partnership [全天候战略合作伙伴关系]"/>
    <x v="1"/>
    <s v="CENTCOM"/>
    <x v="2"/>
    <x v="26"/>
    <n v="3"/>
    <s v="BL - Hosted"/>
    <s v="Fan Changlong"/>
    <m/>
    <s v="CMC Vice Chairman"/>
    <n v="10"/>
    <x v="2"/>
    <s v="Chief General"/>
    <x v="0"/>
    <m/>
    <m/>
    <m/>
    <m/>
    <x v="12"/>
    <m/>
    <m/>
    <s v="http://www.xinhuanet.com/english/2017-03/16/c_136134589.htm"/>
    <m/>
  </r>
  <r>
    <x v="1"/>
    <x v="9"/>
    <s v="West Asia and Africa"/>
    <s v="Comprehensive Strategic Partnership [全面战略伙伴关系]"/>
    <x v="0"/>
    <s v="CENTCOM"/>
    <x v="142"/>
    <x v="26"/>
    <n v="3"/>
    <s v="BL - Abroad"/>
    <s v="Xu Qiliang"/>
    <m/>
    <s v="CMC Vice Chairman"/>
    <n v="10"/>
    <x v="1"/>
    <s v="Defense Minister"/>
    <x v="0"/>
    <m/>
    <m/>
    <m/>
    <m/>
    <x v="12"/>
    <m/>
    <m/>
    <s v="http://eng.mod.gov.cn/DefenseNews/2017-03/28/content_4776738.htm"/>
    <m/>
  </r>
  <r>
    <x v="2"/>
    <x v="8"/>
    <s v="Europe and Central Asia"/>
    <s v="Comprehensive Strategic Partnership [全面战略伙伴关系]"/>
    <x v="5"/>
    <s v="EUCOM"/>
    <x v="21"/>
    <x v="26"/>
    <n v="3"/>
    <s v="Military Exercise - Bilateral"/>
    <m/>
    <m/>
    <m/>
    <m/>
    <x v="0"/>
    <m/>
    <x v="2"/>
    <s v="Joint Evacuation 2017"/>
    <s v="Navy"/>
    <m/>
    <m/>
    <x v="12"/>
    <m/>
    <m/>
    <m/>
    <m/>
  </r>
  <r>
    <x v="1"/>
    <x v="8"/>
    <s v="Europe and Central Asia"/>
    <s v="Friendly Cooperative Partnership [友好合作伙伴关系]"/>
    <x v="0"/>
    <s v="EUCOM"/>
    <x v="63"/>
    <x v="26"/>
    <n v="4"/>
    <s v="BL - Abroad"/>
    <s v="Guan Youfei"/>
    <m/>
    <s v="CMC/OIMC Director"/>
    <n v="5"/>
    <x v="1"/>
    <s v="Defense Minister "/>
    <x v="0"/>
    <m/>
    <m/>
    <m/>
    <m/>
    <x v="12"/>
    <m/>
    <m/>
    <s v="http://english.chinamil.com.cn/view/2017-04/12/content_7559734.htm"/>
    <s v="Head of CMC/OIMC is not senior enough, but is meeting with Armenian MINDEF.  KEEP?"/>
  </r>
  <r>
    <x v="1"/>
    <x v="5"/>
    <s v="America and Oceania"/>
    <s v="Comprehensive Strategic Partnership [全面战略伙伴关系]"/>
    <x v="4"/>
    <s v="INDOPACOM"/>
    <x v="12"/>
    <x v="26"/>
    <n v="4"/>
    <s v="BL - Hosted"/>
    <s v="Li Zuocheng"/>
    <m/>
    <s v="PLAA Commander"/>
    <n v="6"/>
    <x v="2"/>
    <s v="Army Lieutenant General "/>
    <x v="0"/>
    <m/>
    <m/>
    <m/>
    <m/>
    <x v="12"/>
    <m/>
    <m/>
    <s v="http://eng.mod.gov.cn/DefenseNews/2017-04/06/content_4777529.htm"/>
    <m/>
  </r>
  <r>
    <x v="2"/>
    <x v="5"/>
    <s v="America and Oceania"/>
    <s v="Comprehensive Strategic Partnership [全面战略伙伴关系]"/>
    <x v="4"/>
    <s v="INDOPACOM"/>
    <x v="12"/>
    <x v="26"/>
    <n v="4"/>
    <s v="Military Exercise - Bilateral"/>
    <m/>
    <m/>
    <m/>
    <m/>
    <x v="0"/>
    <m/>
    <x v="2"/>
    <s v="Unnamed"/>
    <s v="Navy"/>
    <s v="Maritime "/>
    <m/>
    <x v="12"/>
    <m/>
    <m/>
    <m/>
    <m/>
  </r>
  <r>
    <x v="1"/>
    <x v="8"/>
    <s v="Europe and Central Asia"/>
    <s v="Comprehensive Strategic Partnership [全面战略伙伴关系]"/>
    <x v="0"/>
    <s v="EUCOM"/>
    <x v="34"/>
    <x v="26"/>
    <n v="4"/>
    <s v="BL - Hosted"/>
    <s v="Chang Wanquan"/>
    <m/>
    <s v="Defense Minister; CMC Member"/>
    <n v="8"/>
    <x v="2"/>
    <s v="Chairman of State Border Committee "/>
    <x v="0"/>
    <m/>
    <m/>
    <m/>
    <m/>
    <x v="12"/>
    <m/>
    <m/>
    <m/>
    <m/>
  </r>
  <r>
    <x v="1"/>
    <x v="8"/>
    <s v="Europe and Central Asia"/>
    <s v="Comprehensive Strategic Partnership [全面战略伙伴关系]"/>
    <x v="5"/>
    <s v="EUCOM"/>
    <x v="22"/>
    <x v="26"/>
    <n v="4"/>
    <s v="BL - Hosted"/>
    <s v="Chang Wanquan"/>
    <m/>
    <s v="Defense Minister; CMC Member"/>
    <n v="8"/>
    <x v="2"/>
    <s v="Vice Admiral "/>
    <x v="0"/>
    <m/>
    <m/>
    <m/>
    <m/>
    <x v="12"/>
    <m/>
    <m/>
    <m/>
    <m/>
  </r>
  <r>
    <x v="1"/>
    <x v="7"/>
    <s v="West Asia and Africa"/>
    <s v="Comprehensive Cooperative Partnership [全面合作伙伴关系]"/>
    <x v="0"/>
    <s v="AFRICOM"/>
    <x v="47"/>
    <x v="26"/>
    <n v="4"/>
    <s v="BL - Hosted"/>
    <s v="Xu Qiliang"/>
    <m/>
    <s v="CMC Vice Chairman"/>
    <n v="10"/>
    <x v="2"/>
    <s v="Secretary for Defense"/>
    <x v="0"/>
    <m/>
    <m/>
    <m/>
    <m/>
    <x v="12"/>
    <m/>
    <m/>
    <m/>
    <m/>
  </r>
  <r>
    <x v="1"/>
    <x v="1"/>
    <s v="Asia"/>
    <s v="Comprehensive Strategic Partnership [全面战略伙伴关系]"/>
    <x v="0"/>
    <s v="INDOPACOM"/>
    <x v="10"/>
    <x v="26"/>
    <n v="4"/>
    <s v="BL - Hosted"/>
    <s v="Xu Qiliang"/>
    <m/>
    <s v="CMC Vice Chairman"/>
    <n v="10"/>
    <x v="2"/>
    <s v="Defense Minister"/>
    <x v="0"/>
    <m/>
    <m/>
    <m/>
    <m/>
    <x v="12"/>
    <m/>
    <m/>
    <s v="http://english.chinamil.com.cn/view/2017-04/21/content_7571498.htm"/>
    <m/>
  </r>
  <r>
    <x v="2"/>
    <x v="0"/>
    <s v="Asia"/>
    <s v="All-Round Strategic Partnership [全方位战略伙伴关系]"/>
    <x v="0"/>
    <s v="INDOPACOM"/>
    <x v="32"/>
    <x v="26"/>
    <n v="4"/>
    <s v="Military Exercise - Bilateral"/>
    <m/>
    <m/>
    <m/>
    <m/>
    <x v="0"/>
    <m/>
    <x v="1"/>
    <s v="Sagarmatha Friendship 2017"/>
    <s v="Army"/>
    <s v="Competition "/>
    <m/>
    <x v="12"/>
    <m/>
    <m/>
    <s v="http://eng.mod.gov.cn/DefenseNews/2017-04/17/content_4778533.htm"/>
    <m/>
  </r>
  <r>
    <x v="2"/>
    <x v="0"/>
    <s v="Asia"/>
    <s v="All-Weather Strategic Cooperative Partnership [全天候战略合作伙伴关系]"/>
    <x v="1"/>
    <s v="CENTCOM"/>
    <x v="2"/>
    <x v="26"/>
    <n v="4"/>
    <s v="Military Exercise - Bilateral"/>
    <m/>
    <m/>
    <m/>
    <m/>
    <x v="0"/>
    <m/>
    <x v="1"/>
    <s v="Pakistan Army Team  Spirit"/>
    <s v="Army"/>
    <s v="Competition "/>
    <m/>
    <x v="12"/>
    <m/>
    <m/>
    <s v="http://eng.mod.gov.cn/DefenseNews/2017-04/05/content_4777417.htm"/>
    <m/>
  </r>
  <r>
    <x v="2"/>
    <x v="1"/>
    <s v="Asia"/>
    <s v="All-Round Cooperative Partnership [全方合作伙伴关系]"/>
    <x v="0"/>
    <s v="INDOPACOM"/>
    <x v="39"/>
    <x v="26"/>
    <n v="4"/>
    <s v="Military Exercise - Bilateral"/>
    <m/>
    <m/>
    <m/>
    <m/>
    <x v="0"/>
    <m/>
    <x v="2"/>
    <s v="Unnamed"/>
    <s v="Navy"/>
    <s v="Maritime "/>
    <m/>
    <x v="12"/>
    <m/>
    <m/>
    <s v="http://english.chinamil.com.cn/view/2017-05/09/content_7594109.htm; https://navaltoday.com/2017/05/15/singapore-navy-hosts-its-first-international-maritime-review/"/>
    <m/>
  </r>
  <r>
    <x v="1"/>
    <x v="8"/>
    <s v="Europe and Central Asia"/>
    <s v="Strategic Partnership [战略伙伴关系]"/>
    <x v="0"/>
    <s v="EUCOM"/>
    <x v="78"/>
    <x v="26"/>
    <n v="4"/>
    <s v="BL - Hosted"/>
    <s v="Fan Changlong"/>
    <m/>
    <s v="CMC Vice Chairman"/>
    <n v="10"/>
    <x v="2"/>
    <s v="Head of Department of Defense "/>
    <x v="0"/>
    <m/>
    <m/>
    <m/>
    <m/>
    <x v="12"/>
    <m/>
    <m/>
    <m/>
    <m/>
  </r>
  <r>
    <x v="1"/>
    <x v="7"/>
    <s v="West Asia and Africa"/>
    <s v="Comprehensive Cooperative Partnership [全面合作伙伴关系]"/>
    <x v="0"/>
    <s v="AFRICOM"/>
    <x v="16"/>
    <x v="26"/>
    <n v="4"/>
    <s v="BL - Hosted"/>
    <s v="Ma Xiaotian"/>
    <m/>
    <s v="PLAAF Commander; CMC Member"/>
    <n v="8"/>
    <x v="2"/>
    <s v="Commander of Air Force "/>
    <x v="0"/>
    <m/>
    <m/>
    <m/>
    <m/>
    <x v="12"/>
    <m/>
    <m/>
    <s v="http://english.chinamil.com.cn/view/2017-04/25/content_7577039.htm"/>
    <m/>
  </r>
  <r>
    <x v="1"/>
    <x v="7"/>
    <s v="West Asia and Africa"/>
    <s v="Strategic Partnership [战略伙伴关系]"/>
    <x v="0"/>
    <s v="AFRICOM"/>
    <x v="105"/>
    <x v="26"/>
    <n v="5"/>
    <s v="BL - Hosted"/>
    <s v="Zhang Yang"/>
    <m/>
    <s v="GPD Director; CMC Member"/>
    <n v="8"/>
    <x v="2"/>
    <s v="Deputy Chief of General Staff"/>
    <x v="0"/>
    <m/>
    <m/>
    <m/>
    <m/>
    <x v="12"/>
    <m/>
    <m/>
    <s v="https://web.archive.org/web/20170522140635/http://english.chinamil.com.cn/view/2017-05/22/content_7612829.htm"/>
    <m/>
  </r>
  <r>
    <x v="0"/>
    <x v="0"/>
    <s v="Asia"/>
    <s v="Strategic Cooperative Partnership [战略合作伙伴关系]"/>
    <x v="0"/>
    <s v="INDOPACOM"/>
    <x v="0"/>
    <x v="26"/>
    <n v="5"/>
    <s v="Port Call - Friendly Visit"/>
    <m/>
    <m/>
    <m/>
    <m/>
    <x v="0"/>
    <m/>
    <x v="0"/>
    <m/>
    <m/>
    <m/>
    <s v="NETF"/>
    <x v="85"/>
    <s v="East Sea Fleet"/>
    <s v="DDG150 Changchun, FFG532 Jingzhou"/>
    <s v="http://english.chinamil.com.cn/view/2017-05/24/content_7616128.htm"/>
    <m/>
  </r>
  <r>
    <x v="2"/>
    <x v="0"/>
    <s v="Asia"/>
    <s v="Strategic Cooperative Partnership [战略合作伙伴关系]"/>
    <x v="0"/>
    <s v="INDOPACOM"/>
    <x v="0"/>
    <x v="26"/>
    <n v="5"/>
    <s v="Military Exercise - Bilateral"/>
    <m/>
    <m/>
    <m/>
    <m/>
    <x v="0"/>
    <m/>
    <x v="2"/>
    <s v="Unnamed "/>
    <s v="Navy"/>
    <s v="Maritime "/>
    <m/>
    <x v="12"/>
    <m/>
    <m/>
    <s v="http://english.chinamil.com.cn/view/2017-05/27/content_7620906.htm"/>
    <m/>
  </r>
  <r>
    <x v="1"/>
    <x v="8"/>
    <s v="Europe and Central Asia"/>
    <s v="Comprehensive Strategic Partnership [全面战略伙伴关系]"/>
    <x v="0"/>
    <s v="EUCOM"/>
    <x v="34"/>
    <x v="26"/>
    <n v="5"/>
    <s v="BL - Hosted"/>
    <s v="Zhang Youxia"/>
    <m/>
    <s v="CMC/EDD Director; CMC Member"/>
    <n v="8"/>
    <x v="1"/>
    <s v="Defense Minister"/>
    <x v="0"/>
    <m/>
    <m/>
    <m/>
    <m/>
    <x v="12"/>
    <m/>
    <m/>
    <s v="http://english.chinamil.com.cn/view/2017-05/18/content_7607981.htm"/>
    <m/>
  </r>
  <r>
    <x v="1"/>
    <x v="8"/>
    <s v="Europe and Central Asia"/>
    <s v="No Specific Relationship"/>
    <x v="0"/>
    <s v="EUCOM"/>
    <x v="124"/>
    <x v="26"/>
    <n v="5"/>
    <s v="BL - Hosted"/>
    <s v="Chang Wanquan"/>
    <m/>
    <s v="Defense Minister; CMC Member"/>
    <n v="8"/>
    <x v="2"/>
    <s v="Defense Minister"/>
    <x v="0"/>
    <m/>
    <m/>
    <m/>
    <m/>
    <x v="12"/>
    <m/>
    <m/>
    <s v="http://english.chinamil.com.cn/view/2017-05/17/content_7606327.htm"/>
    <m/>
  </r>
  <r>
    <x v="2"/>
    <x v="8"/>
    <s v="Europe and Central Asia"/>
    <s v="Comprehensive Strategic Partnership [全面战略伙伴关系]"/>
    <x v="5"/>
    <s v="EUCOM"/>
    <x v="22"/>
    <x v="26"/>
    <n v="5"/>
    <s v="Military Exercise - Bilateral"/>
    <m/>
    <m/>
    <m/>
    <m/>
    <x v="0"/>
    <m/>
    <x v="2"/>
    <s v="Unnamed"/>
    <s v="Navy"/>
    <s v="VBSS "/>
    <m/>
    <x v="12"/>
    <m/>
    <m/>
    <s v="http://english.chinamil.com.cn/view/2017-05/08/content_7592399.htm"/>
    <m/>
  </r>
  <r>
    <x v="1"/>
    <x v="8"/>
    <s v="Europe and Central Asia"/>
    <s v="Comprehensive Strategic Partnership [全面战略伙伴关系]"/>
    <x v="5"/>
    <s v="EUCOM"/>
    <x v="82"/>
    <x v="26"/>
    <n v="5"/>
    <s v="BL - Abroad"/>
    <s v="Zhang Youxia"/>
    <m/>
    <s v="CMC/EDD Director; CMC Member"/>
    <n v="8"/>
    <x v="1"/>
    <s v="Defense Minister"/>
    <x v="0"/>
    <m/>
    <m/>
    <m/>
    <m/>
    <x v="12"/>
    <m/>
    <m/>
    <s v="http://english.chinamil.com.cn/view/2017-05/18/content_7607981.htm"/>
    <m/>
  </r>
  <r>
    <x v="0"/>
    <x v="7"/>
    <s v="West Asia and Africa"/>
    <s v="Comprehensive Partnership [全面伙伴关系]"/>
    <x v="0"/>
    <s v="AFRICOM"/>
    <x v="141"/>
    <x v="26"/>
    <n v="5"/>
    <s v="Port Call - Friendly Visit"/>
    <m/>
    <m/>
    <m/>
    <m/>
    <x v="0"/>
    <m/>
    <x v="0"/>
    <m/>
    <m/>
    <m/>
    <s v="ETF"/>
    <x v="86"/>
    <s v="South Sea Fleet"/>
    <s v="FFG568 Hengyang, FFG569 Yulin, AOR 963 Honghu "/>
    <s v="http://english.chinamil.com.cn/view/2017-05/14/content_7600876.htm"/>
    <m/>
  </r>
  <r>
    <x v="0"/>
    <x v="1"/>
    <s v="Asia"/>
    <s v="Comprehensive Strategic Partnership [全面战略伙伴关系]"/>
    <x v="0"/>
    <s v="INDOPACOM"/>
    <x v="10"/>
    <x v="26"/>
    <n v="5"/>
    <s v="Port Call - Friendly Visit"/>
    <m/>
    <m/>
    <m/>
    <m/>
    <x v="0"/>
    <m/>
    <x v="0"/>
    <m/>
    <m/>
    <m/>
    <s v="NETF"/>
    <x v="85"/>
    <s v="East Sea Fleet"/>
    <s v="DDG150 Changchun, FFG532 Jingzhou"/>
    <s v="http://english.chinamil.com.cn/view/2017-05/16/content_7604554.htm"/>
    <m/>
  </r>
  <r>
    <x v="2"/>
    <x v="1"/>
    <s v="Asia"/>
    <s v="Comprehensive Strategic Cooperative Partnership [全面战略合作伙伴关系]"/>
    <x v="0"/>
    <s v="INDOPACOM"/>
    <x v="1"/>
    <x v="26"/>
    <n v="5"/>
    <s v="Military Exercise - Bilateral"/>
    <m/>
    <m/>
    <m/>
    <m/>
    <x v="0"/>
    <m/>
    <x v="2"/>
    <s v="Unnamed"/>
    <s v="Navy"/>
    <s v="Maritime"/>
    <m/>
    <x v="12"/>
    <m/>
    <m/>
    <s v="http://english.chinamil.com.cn/view/2017-05/22/content_7612831.htm"/>
    <s v="DUPLICATE?"/>
  </r>
  <r>
    <x v="2"/>
    <x v="1"/>
    <s v="Asia"/>
    <s v="Comprehensive Strategic Cooperative Partnership [全面战略合作伙伴关系]"/>
    <x v="0"/>
    <s v="INDOPACOM"/>
    <x v="1"/>
    <x v="26"/>
    <n v="5"/>
    <s v="Military Exercise - Bilateral"/>
    <m/>
    <m/>
    <m/>
    <m/>
    <x v="0"/>
    <m/>
    <x v="2"/>
    <s v="Unnamed "/>
    <s v="Navy"/>
    <s v="Maritime "/>
    <m/>
    <x v="12"/>
    <m/>
    <m/>
    <m/>
    <s v="DUPLICATE?"/>
  </r>
  <r>
    <x v="0"/>
    <x v="1"/>
    <s v="Asia"/>
    <s v="Comprehensive Strategic Cooperative Partnership [全面战略合作伙伴关系]"/>
    <x v="0"/>
    <s v="INDOPACOM"/>
    <x v="1"/>
    <x v="26"/>
    <n v="5"/>
    <s v="Port Call - Friendly Visit"/>
    <m/>
    <m/>
    <m/>
    <m/>
    <x v="0"/>
    <m/>
    <x v="0"/>
    <m/>
    <m/>
    <m/>
    <s v="NETF"/>
    <x v="85"/>
    <s v="East Sea Fleet"/>
    <s v="DDG150 Changchun, FFG532 Jingzhou"/>
    <m/>
    <m/>
  </r>
  <r>
    <x v="1"/>
    <x v="0"/>
    <s v="Asia"/>
    <s v="All-Weather Strategic Cooperative Partnership [全天候战略合作伙伴关系]"/>
    <x v="1"/>
    <s v="CENTCOM"/>
    <x v="2"/>
    <x v="26"/>
    <n v="5"/>
    <s v="BL - Hosted"/>
    <s v="Shen Jinlong"/>
    <m/>
    <s v="PLAN Commander "/>
    <n v="6"/>
    <x v="2"/>
    <s v="Chief of the Naval Staff"/>
    <x v="0"/>
    <m/>
    <m/>
    <m/>
    <m/>
    <x v="12"/>
    <m/>
    <m/>
    <m/>
    <m/>
  </r>
  <r>
    <x v="0"/>
    <x v="1"/>
    <s v="Asia"/>
    <s v="Strategic Cooperative Partnership [战略合作伙伴关系]"/>
    <x v="3"/>
    <s v="INDOPACOM"/>
    <x v="11"/>
    <x v="26"/>
    <n v="5"/>
    <s v="Port Call - Friendly Visit"/>
    <m/>
    <m/>
    <m/>
    <m/>
    <x v="0"/>
    <m/>
    <x v="0"/>
    <m/>
    <m/>
    <m/>
    <s v="NETF"/>
    <x v="85"/>
    <s v="East Sea Fleet"/>
    <s v="DDG150 Changchun, FFG532 Jingzhou"/>
    <s v="http://www.xinhuanet.com/english/2017-05/02/c_136251579.htm"/>
    <s v="First stop on 20 country, six month series of port calls"/>
  </r>
  <r>
    <x v="1"/>
    <x v="1"/>
    <s v="Asia"/>
    <s v="Comprehensive Strategic Cooperative Partnership [全面战略合作伙伴关系]"/>
    <x v="3"/>
    <s v="INDOPACOM"/>
    <x v="5"/>
    <x v="26"/>
    <n v="5"/>
    <s v="BL - Hosted"/>
    <s v="Fang Fenghui"/>
    <m/>
    <s v="CMC/JSD Commander; CMC Member"/>
    <n v="8"/>
    <x v="2"/>
    <s v="Prime Minister "/>
    <x v="0"/>
    <m/>
    <m/>
    <m/>
    <m/>
    <x v="12"/>
    <m/>
    <m/>
    <m/>
    <m/>
  </r>
  <r>
    <x v="1"/>
    <x v="8"/>
    <s v="Europe and Central Asia"/>
    <s v="Strategic Cooperative Partnership [战略合作伙伴关系]"/>
    <x v="5"/>
    <s v="EUCOM"/>
    <x v="38"/>
    <x v="26"/>
    <n v="5"/>
    <s v="BL - Hosted"/>
    <s v="Fang Fenghui"/>
    <m/>
    <s v="CMC/JSD Commander; CMC Member"/>
    <n v="8"/>
    <x v="2"/>
    <s v="Chief of General Staff"/>
    <x v="0"/>
    <m/>
    <m/>
    <m/>
    <m/>
    <x v="12"/>
    <m/>
    <m/>
    <m/>
    <m/>
  </r>
  <r>
    <x v="1"/>
    <x v="9"/>
    <s v="West Asia and Africa"/>
    <s v="Strategic Partnership [战略伙伴关系]"/>
    <x v="0"/>
    <s v="CENTCOM"/>
    <x v="106"/>
    <x v="26"/>
    <n v="5"/>
    <s v="BL - Hosted"/>
    <s v="Fan Changlong"/>
    <m/>
    <s v="CMC Vice Chairman"/>
    <n v="10"/>
    <x v="2"/>
    <s v="Visiting Minister of State"/>
    <x v="0"/>
    <m/>
    <m/>
    <m/>
    <m/>
    <x v="12"/>
    <m/>
    <m/>
    <m/>
    <m/>
  </r>
  <r>
    <x v="1"/>
    <x v="1"/>
    <s v="Asia"/>
    <s v="Comprehensive Strategic Cooperative Partnership [全面战略合作伙伴关系]"/>
    <x v="0"/>
    <s v="INDOPACOM"/>
    <x v="23"/>
    <x v="26"/>
    <n v="5"/>
    <s v="BL - Hosted"/>
    <s v="Fan Changlong"/>
    <m/>
    <s v="CMC Vice Chairman"/>
    <n v="10"/>
    <x v="2"/>
    <s v="Defense Minister "/>
    <x v="0"/>
    <m/>
    <m/>
    <m/>
    <m/>
    <x v="12"/>
    <m/>
    <m/>
    <s v="http://english.chinamil.com.cn/view/2017-05/12/content_7599711.htm"/>
    <m/>
  </r>
  <r>
    <x v="0"/>
    <x v="1"/>
    <s v="Asia"/>
    <s v="Comprehensive Strategic Cooperative Partnership [全面战略合作伙伴关系]"/>
    <x v="0"/>
    <s v="INDOPACOM"/>
    <x v="23"/>
    <x v="26"/>
    <n v="5"/>
    <s v="Port Call - Friendly Visit"/>
    <m/>
    <m/>
    <m/>
    <m/>
    <x v="0"/>
    <m/>
    <x v="0"/>
    <m/>
    <m/>
    <m/>
    <s v="NETF"/>
    <x v="85"/>
    <s v="East Sea Fleet"/>
    <s v="DDG150 Changchun, FFG532 Jingzhou"/>
    <s v="http://english.chinamil.com.cn/view/2017-05/10/content_7596291.htm; http://english.chinamil.com.cn/view/2017-05/18/content_7607843.htm"/>
    <s v="Second stop on 20 country series of port calls"/>
  </r>
  <r>
    <x v="2"/>
    <x v="4"/>
    <s v="N/A"/>
    <s v="Member"/>
    <x v="0"/>
    <s v="INDOPACOM"/>
    <x v="136"/>
    <x v="26"/>
    <n v="5"/>
    <s v="Military Exercise - Multilateral"/>
    <m/>
    <m/>
    <m/>
    <m/>
    <x v="0"/>
    <m/>
    <x v="2"/>
    <s v="WPNS 2017"/>
    <s v="Navy"/>
    <s v="Second Multilateral held off of Guam; Countries: Australia, Canada, Chile, Indonesia, Japan, Republic of Korea, Singapore, United Kingdom, and the United States."/>
    <m/>
    <x v="12"/>
    <m/>
    <m/>
    <s v="https://www.navy.mil/submit/display.asp?story_id=100979#:~:text=Western%20Pacific%20Naval%20Symposium%20Diving%20Exercise%202017%20is%20a%20biennial,held%20in%20Singapore%20in%202015."/>
    <m/>
  </r>
  <r>
    <x v="0"/>
    <x v="5"/>
    <s v="America and Oceania"/>
    <s v="Comprehensive Strategic Partnership [全面战略伙伴关系]"/>
    <x v="4"/>
    <s v="INDOPACOM"/>
    <x v="12"/>
    <x v="26"/>
    <n v="6"/>
    <s v="Port Call - Friendly Visit"/>
    <m/>
    <m/>
    <m/>
    <m/>
    <x v="0"/>
    <m/>
    <x v="0"/>
    <m/>
    <m/>
    <m/>
    <s v="ETF"/>
    <x v="87"/>
    <s v="South Sea Fleet"/>
    <s v="FFG568 Hengyang, FFG569 Yulin, AOR 963 Honghu  "/>
    <s v="http://english.chinamil.com.cn/view/2017-06/09/content_7633894.htm"/>
    <m/>
  </r>
  <r>
    <x v="2"/>
    <x v="2"/>
    <s v="America and Oceania"/>
    <s v="Strategic Partnership [战略伙伴关系]"/>
    <x v="5"/>
    <s v="NORTHCOM"/>
    <x v="17"/>
    <x v="26"/>
    <n v="6"/>
    <s v="Military Exercise - Bilateral"/>
    <m/>
    <m/>
    <m/>
    <m/>
    <x v="0"/>
    <m/>
    <x v="2"/>
    <s v="Unnamed"/>
    <s v="Navy"/>
    <s v="Maritime "/>
    <m/>
    <x v="12"/>
    <m/>
    <m/>
    <m/>
    <m/>
  </r>
  <r>
    <x v="0"/>
    <x v="9"/>
    <s v="West Asia and Africa"/>
    <s v="Strategic Partnership [战略伙伴关系]"/>
    <x v="0"/>
    <s v="CENTCOM"/>
    <x v="119"/>
    <x v="26"/>
    <n v="6"/>
    <s v="Port Call - Friendly Visit"/>
    <m/>
    <m/>
    <m/>
    <m/>
    <x v="0"/>
    <m/>
    <x v="0"/>
    <m/>
    <m/>
    <m/>
    <s v="NETF"/>
    <x v="85"/>
    <s v="East Sea Fleet"/>
    <s v="DDG150 Changchun, FFG532 Jingzhou"/>
    <s v="http://english.chinamil.com.cn/view/2017-06/30/content_7658357.htm"/>
    <m/>
  </r>
  <r>
    <x v="1"/>
    <x v="8"/>
    <s v="Europe and Central Asia"/>
    <s v="New Type of Cooperative Partnership [新型合作伙伴关系]"/>
    <x v="0"/>
    <s v="EUCOM"/>
    <x v="81"/>
    <x v="26"/>
    <n v="6"/>
    <s v="BL - Abroad"/>
    <s v="Fan Changlong"/>
    <m/>
    <s v="CMC Vice Chairman"/>
    <n v="10"/>
    <x v="1"/>
    <s v="Defense Minister"/>
    <x v="0"/>
    <m/>
    <m/>
    <m/>
    <m/>
    <x v="12"/>
    <m/>
    <m/>
    <m/>
    <m/>
  </r>
  <r>
    <x v="1"/>
    <x v="1"/>
    <s v="Asia"/>
    <s v="No Specific Relationship"/>
    <x v="0"/>
    <s v="INDOPACOM"/>
    <x v="137"/>
    <x v="26"/>
    <n v="6"/>
    <s v="ML - Abroad"/>
    <s v="He Lei "/>
    <m/>
    <s v="AMS Vice President"/>
    <n v="6"/>
    <x v="1"/>
    <s v="16th Shangri-La"/>
    <x v="0"/>
    <m/>
    <m/>
    <m/>
    <m/>
    <x v="12"/>
    <m/>
    <m/>
    <m/>
    <m/>
  </r>
  <r>
    <x v="0"/>
    <x v="9"/>
    <s v="West Asia and Africa"/>
    <s v="Comprehensive Strategic Partnership [全面战略伙伴关系]"/>
    <x v="0"/>
    <s v="CENTCOM"/>
    <x v="89"/>
    <x v="26"/>
    <n v="6"/>
    <s v="Port Call - Friendly Visit"/>
    <m/>
    <m/>
    <m/>
    <m/>
    <x v="0"/>
    <m/>
    <x v="0"/>
    <m/>
    <m/>
    <m/>
    <s v="NETF"/>
    <x v="85"/>
    <s v="East Sea Fleet"/>
    <s v="DDG150 Changchun, FFG532 Jingzhou"/>
    <s v="http://english.chinamil.com.cn/view/2017-06/16/content_7642344.htm"/>
    <m/>
  </r>
  <r>
    <x v="2"/>
    <x v="9"/>
    <s v="West Asia and Africa"/>
    <s v="Comprehensive Strategic Partnership [全面战略伙伴关系]"/>
    <x v="0"/>
    <s v="CENTCOM"/>
    <x v="89"/>
    <x v="26"/>
    <n v="6"/>
    <s v="Military Exercise - Bilateral"/>
    <m/>
    <m/>
    <m/>
    <m/>
    <x v="0"/>
    <m/>
    <x v="2"/>
    <s v="Unnamed"/>
    <s v="Navy"/>
    <s v="Maritime "/>
    <m/>
    <x v="12"/>
    <m/>
    <m/>
    <m/>
    <m/>
  </r>
  <r>
    <x v="1"/>
    <x v="6"/>
    <s v="Europe and Central Asia"/>
    <s v="Strategic Partnership [战略伙伴关系]"/>
    <x v="0"/>
    <s v="CENTCOM"/>
    <x v="31"/>
    <x v="26"/>
    <n v="6"/>
    <s v="BL - Hosted"/>
    <s v="Chang Wanquan"/>
    <m/>
    <s v="Defense Minister; CMC Member"/>
    <n v="8"/>
    <x v="2"/>
    <s v="Deputy Chief of General Staff"/>
    <x v="0"/>
    <m/>
    <m/>
    <m/>
    <m/>
    <x v="12"/>
    <m/>
    <m/>
    <s v="http://english.chinamil.com.cn/view/2017-06/30/content_7658542.htm"/>
    <m/>
  </r>
  <r>
    <x v="1"/>
    <x v="5"/>
    <s v="America and Oceania"/>
    <s v="Comprehensive Strategic Partnership [全面战略伙伴关系]"/>
    <x v="4"/>
    <s v="INDOPACOM"/>
    <x v="13"/>
    <x v="26"/>
    <n v="6"/>
    <s v="BL - Hosted"/>
    <s v="Shen Jinlong"/>
    <m/>
    <s v="PLAN Commander "/>
    <n v="6"/>
    <x v="2"/>
    <s v="Chief of the Navy "/>
    <x v="0"/>
    <m/>
    <m/>
    <m/>
    <m/>
    <x v="12"/>
    <m/>
    <m/>
    <m/>
    <m/>
  </r>
  <r>
    <x v="2"/>
    <x v="5"/>
    <s v="America and Oceania"/>
    <s v="Comprehensive Strategic Partnership [全面战略伙伴关系]"/>
    <x v="4"/>
    <s v="INDOPACOM"/>
    <x v="13"/>
    <x v="26"/>
    <n v="6"/>
    <s v="Military Exercise - Bilateral"/>
    <m/>
    <m/>
    <m/>
    <m/>
    <x v="0"/>
    <m/>
    <x v="2"/>
    <s v="Unnamed"/>
    <s v="Navy"/>
    <s v="Maritime "/>
    <m/>
    <x v="12"/>
    <m/>
    <m/>
    <m/>
    <m/>
  </r>
  <r>
    <x v="0"/>
    <x v="5"/>
    <s v="America and Oceania"/>
    <s v="Comprehensive Strategic Partnership [全面战略伙伴关系]"/>
    <x v="4"/>
    <s v="INDOPACOM"/>
    <x v="13"/>
    <x v="26"/>
    <n v="6"/>
    <s v="Port Call - Friendly Visit"/>
    <m/>
    <m/>
    <m/>
    <m/>
    <x v="0"/>
    <m/>
    <x v="0"/>
    <m/>
    <m/>
    <m/>
    <s v="ETF"/>
    <x v="86"/>
    <s v="South Sea Fleet"/>
    <s v="FFG568 Hengyang, FFG569 Yulin, AOR 963 Honghu  "/>
    <s v="http://english.chinamil.com.cn/view/2017-06/16/content_7642495.htm"/>
    <m/>
  </r>
  <r>
    <x v="2"/>
    <x v="9"/>
    <s v="West Asia and Africa"/>
    <s v="No Specific Relationship"/>
    <x v="0"/>
    <s v="CENTCOM"/>
    <x v="147"/>
    <x v="26"/>
    <n v="6"/>
    <s v="Military Exercise - Bilateral"/>
    <m/>
    <m/>
    <m/>
    <m/>
    <x v="0"/>
    <m/>
    <x v="2"/>
    <s v="Unnamed"/>
    <s v="Navy"/>
    <s v="Maritime "/>
    <m/>
    <x v="12"/>
    <m/>
    <m/>
    <m/>
    <m/>
  </r>
  <r>
    <x v="0"/>
    <x v="9"/>
    <s v="West Asia and Africa"/>
    <s v="No Specific Relationship"/>
    <x v="0"/>
    <s v="CENTCOM"/>
    <x v="147"/>
    <x v="26"/>
    <n v="6"/>
    <s v="Port Call - Friendly Visit"/>
    <m/>
    <m/>
    <m/>
    <m/>
    <x v="0"/>
    <m/>
    <x v="0"/>
    <m/>
    <m/>
    <m/>
    <s v="NETF"/>
    <x v="85"/>
    <s v="East Sea Fleet"/>
    <s v="DDG150 Changchun, FFG532 Jingzhou"/>
    <s v="http://english.chinamil.com.cn/view/2017-06/20/content_7646396.htm"/>
    <m/>
  </r>
  <r>
    <x v="1"/>
    <x v="0"/>
    <s v="Asia"/>
    <s v="All-Weather Strategic Cooperative Partnership [全天候战略合作伙伴关系]"/>
    <x v="1"/>
    <s v="CENTCOM"/>
    <x v="2"/>
    <x v="26"/>
    <n v="6"/>
    <s v="BL - Hosted"/>
    <s v="Xu Qiliang"/>
    <m/>
    <s v="CMC Vice Chairman"/>
    <n v="10"/>
    <x v="2"/>
    <s v="Chairman of Joint Chiefs of Staff Committee"/>
    <x v="0"/>
    <m/>
    <m/>
    <m/>
    <m/>
    <x v="12"/>
    <m/>
    <m/>
    <s v="http://english.chinamil.com.cn/view/2017-06/19/content_7644422.htm"/>
    <m/>
  </r>
  <r>
    <x v="2"/>
    <x v="0"/>
    <s v="Asia"/>
    <s v="All-Weather Strategic Cooperative Partnership [全天候战略合作伙伴关系]"/>
    <x v="1"/>
    <s v="CENTCOM"/>
    <x v="2"/>
    <x v="26"/>
    <n v="6"/>
    <s v="Military Exercise - Bilateral"/>
    <m/>
    <m/>
    <m/>
    <m/>
    <x v="0"/>
    <m/>
    <x v="2"/>
    <s v="Unnamed "/>
    <s v="Navy"/>
    <s v="Maritime"/>
    <m/>
    <x v="12"/>
    <m/>
    <m/>
    <s v="http://english.chinamil.com.cn/view/2017-06/13/content_7637523.htm"/>
    <m/>
  </r>
  <r>
    <x v="0"/>
    <x v="0"/>
    <s v="Asia"/>
    <s v="All-Weather Strategic Cooperative Partnership [全天候战略合作伙伴关系]"/>
    <x v="1"/>
    <s v="CENTCOM"/>
    <x v="2"/>
    <x v="26"/>
    <n v="6"/>
    <s v="Port Call - Friendly Visit and Drills"/>
    <m/>
    <m/>
    <m/>
    <m/>
    <x v="0"/>
    <m/>
    <x v="0"/>
    <m/>
    <m/>
    <m/>
    <s v="NETF"/>
    <x v="85"/>
    <s v="East Sea Fleet"/>
    <s v="DDG150 Changchun, FFG532 Jingzhou"/>
    <s v="http://english.chinamil.com.cn/view/2017-06/14/content_7639359.htm"/>
    <m/>
  </r>
  <r>
    <x v="1"/>
    <x v="1"/>
    <s v="Asia"/>
    <s v="Strategic Cooperative Partnership [战略合作伙伴关系]"/>
    <x v="3"/>
    <s v="INDOPACOM"/>
    <x v="11"/>
    <x v="26"/>
    <n v="6"/>
    <s v="BL - Hosted"/>
    <s v="Chang Wanquan"/>
    <m/>
    <s v="Defense Minister; CMC Member"/>
    <n v="8"/>
    <x v="2"/>
    <s v="Secretary of Foreign Affairs "/>
    <x v="0"/>
    <m/>
    <m/>
    <m/>
    <m/>
    <x v="12"/>
    <m/>
    <m/>
    <s v="http://english.chinamil.com.cn/view/2017-06/30/content_7658903.htm"/>
    <m/>
  </r>
  <r>
    <x v="1"/>
    <x v="3"/>
    <s v="Europe and Central Asia"/>
    <s v="Comprehensive Collaborative Strategic Partnership [全面战略协作伙伴关系]"/>
    <x v="0"/>
    <s v="EUCOM"/>
    <x v="7"/>
    <x v="26"/>
    <n v="6"/>
    <s v="BL - Abroad"/>
    <s v="He Lei "/>
    <m/>
    <s v="AMS Vice President"/>
    <n v="6"/>
    <x v="1"/>
    <s v="Deputy Minister"/>
    <x v="0"/>
    <m/>
    <m/>
    <m/>
    <m/>
    <x v="12"/>
    <m/>
    <m/>
    <s v="http://english.chinamil.com.cn/view/2017-06/03/content_7627210.htm"/>
    <m/>
  </r>
  <r>
    <x v="1"/>
    <x v="6"/>
    <s v="Europe and Central Asia"/>
    <s v="Member"/>
    <x v="0"/>
    <s v="CENTCOM"/>
    <x v="14"/>
    <x v="26"/>
    <n v="6"/>
    <s v="ML - Abroad"/>
    <s v="Chang Wanquan"/>
    <m/>
    <s v="Defense Minister; CMC Member"/>
    <n v="8"/>
    <x v="1"/>
    <s v="14th official meeting of the SCO Ministers' of Defense in Kyrgyzstan; Other countries: Kazakhstan, Kyrgyztan, Russia, Tajikistan, Uzbekistan"/>
    <x v="0"/>
    <m/>
    <m/>
    <m/>
    <m/>
    <x v="12"/>
    <m/>
    <m/>
    <s v="http://eng.sectsco.org/news/20170607/287235.html"/>
    <m/>
  </r>
  <r>
    <x v="1"/>
    <x v="8"/>
    <s v="Europe and Central Asia"/>
    <s v="Comprehensive Strategic Partnership [全面战略伙伴关系]"/>
    <x v="5"/>
    <s v="EUCOM"/>
    <x v="70"/>
    <x v="26"/>
    <n v="6"/>
    <s v="BL - Abroad"/>
    <s v="Fan Changlong"/>
    <m/>
    <s v="CMC Vice Chairman"/>
    <n v="10"/>
    <x v="1"/>
    <s v="Defense Minister"/>
    <x v="0"/>
    <m/>
    <m/>
    <m/>
    <m/>
    <x v="12"/>
    <m/>
    <m/>
    <m/>
    <m/>
  </r>
  <r>
    <x v="2"/>
    <x v="0"/>
    <s v="Asia"/>
    <s v="Strategic Cooperative Partnership [战略合作伙伴关系]"/>
    <x v="0"/>
    <s v="INDOPACOM"/>
    <x v="3"/>
    <x v="26"/>
    <n v="6"/>
    <s v="Military Exercise - Bilateral"/>
    <m/>
    <m/>
    <m/>
    <m/>
    <x v="0"/>
    <m/>
    <x v="2"/>
    <s v="Unnamed"/>
    <s v="Navy"/>
    <s v="Maritime "/>
    <m/>
    <x v="12"/>
    <m/>
    <m/>
    <m/>
    <m/>
  </r>
  <r>
    <x v="0"/>
    <x v="0"/>
    <s v="Asia"/>
    <s v="Strategic Cooperative Partnership [战略合作伙伴关系]"/>
    <x v="0"/>
    <s v="INDOPACOM"/>
    <x v="3"/>
    <x v="26"/>
    <n v="6"/>
    <s v="Port Call - Friendly Visit and Drills"/>
    <m/>
    <m/>
    <m/>
    <m/>
    <x v="0"/>
    <m/>
    <x v="0"/>
    <m/>
    <m/>
    <m/>
    <s v="NETF"/>
    <x v="85"/>
    <s v="East Sea Fleet"/>
    <s v="DDG150 Changchun, FFG532 Jingzhou"/>
    <s v="http://english.chinamil.com.cn/view/2017-06/05/content_7628604.htm"/>
    <m/>
  </r>
  <r>
    <x v="1"/>
    <x v="8"/>
    <s v="Europe and Central Asia"/>
    <s v="Comprehensive Strategic Partnership [全面战略伙伴关系]"/>
    <x v="5"/>
    <s v="EUCOM"/>
    <x v="21"/>
    <x v="26"/>
    <n v="6"/>
    <s v="BL - Hosted"/>
    <s v="Zhao Keshi"/>
    <m/>
    <s v="CMC/LSD Director; CMC Member"/>
    <n v="8"/>
    <x v="2"/>
    <s v="Major General"/>
    <x v="0"/>
    <m/>
    <m/>
    <m/>
    <m/>
    <x v="12"/>
    <m/>
    <m/>
    <m/>
    <m/>
  </r>
  <r>
    <x v="1"/>
    <x v="2"/>
    <s v="America and Oceania"/>
    <s v="No Specific Relationship"/>
    <x v="2"/>
    <s v="NORTHCOM"/>
    <x v="4"/>
    <x v="26"/>
    <n v="6"/>
    <s v="BL - Abroad"/>
    <s v="Fang Fenghui"/>
    <m/>
    <s v="CMC/JSD Commander; CMC Member"/>
    <n v="8"/>
    <x v="1"/>
    <s v="Secretary of State"/>
    <x v="0"/>
    <m/>
    <m/>
    <m/>
    <m/>
    <x v="12"/>
    <m/>
    <m/>
    <s v="http://www.xinhuanet.com/english/2017-06/21/c_136384259.htm"/>
    <m/>
  </r>
  <r>
    <x v="2"/>
    <x v="2"/>
    <s v="America and Oceania"/>
    <s v="No Specific Relationship"/>
    <x v="2"/>
    <s v="NORTHCOM"/>
    <x v="4"/>
    <x v="26"/>
    <n v="6"/>
    <s v="Military Exercise - Bilateral"/>
    <m/>
    <m/>
    <m/>
    <m/>
    <x v="0"/>
    <m/>
    <x v="2"/>
    <s v="Unnamed"/>
    <s v="Navy"/>
    <s v="Maritime "/>
    <m/>
    <x v="12"/>
    <m/>
    <m/>
    <m/>
    <m/>
  </r>
  <r>
    <x v="0"/>
    <x v="5"/>
    <s v="America and Oceania"/>
    <s v="Strategic Partnership [战略伙伴关系]"/>
    <x v="0"/>
    <s v="INDOPACOM"/>
    <x v="120"/>
    <x v="26"/>
    <n v="6"/>
    <s v="Port Call - Friendly Visit"/>
    <m/>
    <m/>
    <m/>
    <m/>
    <x v="0"/>
    <m/>
    <x v="0"/>
    <m/>
    <m/>
    <m/>
    <s v="ETF"/>
    <x v="87"/>
    <s v="South Sea Fleet"/>
    <s v="FFG568 Hengyang, FFG569 Yulin, AOR 963 Honghu  "/>
    <s v="http://english.chinamil.com.cn/view/2017-06/26/content_7652811.htm"/>
    <m/>
  </r>
  <r>
    <x v="1"/>
    <x v="1"/>
    <s v="Asia"/>
    <s v="Comprehensive Strategic Cooperative Partnership [全面战略合作伙伴关系]"/>
    <x v="0"/>
    <s v="INDOPACOM"/>
    <x v="23"/>
    <x v="26"/>
    <n v="6"/>
    <s v="BL - Abroad"/>
    <s v="Fan Changlong"/>
    <m/>
    <s v="CMC Vice Chairman"/>
    <n v="10"/>
    <x v="1"/>
    <s v="President"/>
    <x v="0"/>
    <m/>
    <m/>
    <m/>
    <m/>
    <x v="12"/>
    <m/>
    <m/>
    <m/>
    <m/>
  </r>
  <r>
    <x v="1"/>
    <x v="7"/>
    <s v="West Asia and Africa"/>
    <s v="Strategic Partnership [战略伙伴关系]"/>
    <x v="0"/>
    <s v="AFRICOM"/>
    <x v="105"/>
    <x v="26"/>
    <n v="7"/>
    <s v="BL - Abroad"/>
    <s v="Chang Wanquan"/>
    <m/>
    <s v="Defense Minister; CMC Member"/>
    <n v="8"/>
    <x v="1"/>
    <s v="Vice President"/>
    <x v="0"/>
    <m/>
    <m/>
    <m/>
    <m/>
    <x v="12"/>
    <m/>
    <m/>
    <s v="http://english.chinamil.com.cn/view/2017-07/14/content_7675380.htm"/>
    <m/>
  </r>
  <r>
    <x v="2"/>
    <x v="8"/>
    <s v="Europe and Central Asia"/>
    <s v="Comprehensive Strategic Partnership [全面战略伙伴关系]"/>
    <x v="0"/>
    <s v="EUCOM"/>
    <x v="34"/>
    <x v="26"/>
    <n v="7"/>
    <s v="Military Exercise - Bilateral"/>
    <m/>
    <m/>
    <m/>
    <m/>
    <x v="0"/>
    <m/>
    <x v="1"/>
    <s v="United-Shield 2017"/>
    <s v="PAP"/>
    <s v="Anti-terrorism drills"/>
    <m/>
    <x v="12"/>
    <m/>
    <m/>
    <s v="http://english.chinamil.com.cn/view/2017-07/12/content_7673496.htm"/>
    <m/>
  </r>
  <r>
    <x v="1"/>
    <x v="10"/>
    <s v="America and Oceania"/>
    <s v="Comprehensive Strategic Cooperative Partnership [全面战略合作伙伴关系]"/>
    <x v="0"/>
    <s v="SOUTHCOM"/>
    <x v="66"/>
    <x v="26"/>
    <n v="7"/>
    <s v="BL - Hosted"/>
    <s v="Li Zuocheng"/>
    <m/>
    <s v="PLAA Commander"/>
    <n v="6"/>
    <x v="2"/>
    <s v="Commander in Chief "/>
    <x v="0"/>
    <m/>
    <m/>
    <m/>
    <m/>
    <x v="12"/>
    <m/>
    <m/>
    <s v="http://english.chinamil.com.cn/view/2017-07/19/content_7682288.htm"/>
    <m/>
  </r>
  <r>
    <x v="2"/>
    <x v="9"/>
    <s v="West Asia and Africa"/>
    <s v="Strategic Partnership [战略伙伴关系]"/>
    <x v="0"/>
    <s v="CENTCOM"/>
    <x v="119"/>
    <x v="26"/>
    <n v="7"/>
    <s v="Military Exercise - Bilateral"/>
    <m/>
    <m/>
    <m/>
    <m/>
    <x v="0"/>
    <m/>
    <x v="2"/>
    <s v="Unnamed"/>
    <s v="Navy"/>
    <s v="Maritime "/>
    <m/>
    <x v="12"/>
    <m/>
    <m/>
    <m/>
    <m/>
  </r>
  <r>
    <x v="0"/>
    <x v="8"/>
    <s v="Europe and Central Asia"/>
    <s v="Comprehensive Strategic Partnership [全面战略伙伴关系]"/>
    <x v="5"/>
    <s v="EUCOM"/>
    <x v="29"/>
    <x v="26"/>
    <n v="7"/>
    <s v="Port Call - Friendly Visit"/>
    <m/>
    <m/>
    <m/>
    <m/>
    <x v="0"/>
    <m/>
    <x v="0"/>
    <m/>
    <m/>
    <m/>
    <s v="NETF"/>
    <x v="85"/>
    <s v="East Sea Fleet"/>
    <s v="DDG150 Changchun, FFG532 Jingzhou"/>
    <s v="http://english.chinamil.com.cn/view/2017-07/24/content_7686625.htm"/>
    <m/>
  </r>
  <r>
    <x v="2"/>
    <x v="8"/>
    <s v="Europe and Central Asia"/>
    <s v="Comprehensive Strategic Partnership [全面战略伙伴关系]"/>
    <x v="5"/>
    <s v="EUCOM"/>
    <x v="29"/>
    <x v="26"/>
    <n v="7"/>
    <s v="Military Exercise - Bilateral"/>
    <m/>
    <m/>
    <m/>
    <m/>
    <x v="0"/>
    <m/>
    <x v="2"/>
    <s v="Unnamed"/>
    <s v="Navy"/>
    <s v="Maritime "/>
    <m/>
    <x v="12"/>
    <m/>
    <m/>
    <m/>
    <m/>
  </r>
  <r>
    <x v="1"/>
    <x v="7"/>
    <s v="West Asia and Africa"/>
    <s v="Comprehensive Strategic Cooperative Partnership [全面战略合作伙伴关系]"/>
    <x v="0"/>
    <s v="AFRICOM"/>
    <x v="80"/>
    <x v="26"/>
    <n v="7"/>
    <s v="BL - Hosted"/>
    <s v="Xu Qiliang"/>
    <m/>
    <s v="CMC Vice Chairman"/>
    <n v="10"/>
    <x v="2"/>
    <s v="Vice President"/>
    <x v="0"/>
    <m/>
    <m/>
    <m/>
    <m/>
    <x v="12"/>
    <m/>
    <m/>
    <m/>
    <m/>
  </r>
  <r>
    <x v="1"/>
    <x v="8"/>
    <s v="Europe and Central Asia"/>
    <s v="Comprehensive Strategic Partnership [全面战略伙伴关系]"/>
    <x v="5"/>
    <s v="EUCOM"/>
    <x v="20"/>
    <x v="26"/>
    <n v="7"/>
    <s v="BL - Hosted"/>
    <s v="Xu Qiliang"/>
    <m/>
    <s v="CMC Vice Chairman"/>
    <n v="10"/>
    <x v="2"/>
    <s v="Secretary General of Defense "/>
    <x v="0"/>
    <m/>
    <m/>
    <m/>
    <m/>
    <x v="12"/>
    <m/>
    <m/>
    <m/>
    <m/>
  </r>
  <r>
    <x v="0"/>
    <x v="8"/>
    <s v="Europe and Central Asia"/>
    <s v="Comprehensive Strategic Partnership [全面战略伙伴关系]"/>
    <x v="5"/>
    <s v="EUCOM"/>
    <x v="20"/>
    <x v="26"/>
    <n v="7"/>
    <s v="Port Call - Friendly Visit"/>
    <m/>
    <m/>
    <m/>
    <m/>
    <x v="0"/>
    <m/>
    <x v="0"/>
    <m/>
    <m/>
    <m/>
    <s v="NETF"/>
    <x v="85"/>
    <s v="East Sea Fleet "/>
    <s v="DDG150 Changchun, FFG532 Jingzhou"/>
    <s v="http://english.chinamil.com.cn/view/2017-07/12/content_7673162.htm"/>
    <m/>
  </r>
  <r>
    <x v="2"/>
    <x v="8"/>
    <s v="Europe and Central Asia"/>
    <s v="Comprehensive Strategic Partnership [全面战略伙伴关系]"/>
    <x v="5"/>
    <s v="EUCOM"/>
    <x v="20"/>
    <x v="26"/>
    <n v="7"/>
    <s v="Military Exercise - Bilateral"/>
    <m/>
    <m/>
    <m/>
    <m/>
    <x v="0"/>
    <m/>
    <x v="2"/>
    <s v="Unnamed"/>
    <s v="Navy"/>
    <s v="Maritime "/>
    <m/>
    <x v="12"/>
    <m/>
    <m/>
    <m/>
    <m/>
  </r>
  <r>
    <x v="1"/>
    <x v="7"/>
    <s v="West Asia and Africa"/>
    <s v="Comprehensive Cooperative Partnership [全面合作伙伴关系]"/>
    <x v="0"/>
    <s v="AFRICOM"/>
    <x v="47"/>
    <x v="26"/>
    <n v="7"/>
    <s v="BL - Abroad"/>
    <s v="Chang Wanquan"/>
    <m/>
    <s v="Defense Minister; CMC Member"/>
    <n v="8"/>
    <x v="2"/>
    <s v="President "/>
    <x v="0"/>
    <m/>
    <m/>
    <m/>
    <m/>
    <x v="12"/>
    <m/>
    <m/>
    <s v="http://english.chinamil.com.cn/view/2017-07/09/content_7669819.htm"/>
    <m/>
  </r>
  <r>
    <x v="1"/>
    <x v="7"/>
    <s v="West Asia and Africa"/>
    <s v="Comprehensive Strategic Cooperative Partnership [全面战略合作伙伴关系]"/>
    <x v="0"/>
    <s v="AFRICOM"/>
    <x v="84"/>
    <x v="26"/>
    <n v="7"/>
    <s v="BL - Abroad"/>
    <s v="Chang Wanquan"/>
    <m/>
    <s v="Defense Minister; CMC Member"/>
    <n v="8"/>
    <x v="1"/>
    <s v="President"/>
    <x v="0"/>
    <m/>
    <m/>
    <m/>
    <m/>
    <x v="12"/>
    <m/>
    <m/>
    <s v="http://english.chinamil.com.cn/view/2017-07/12/content_7673794.htm"/>
    <m/>
  </r>
  <r>
    <x v="2"/>
    <x v="3"/>
    <s v="Europe and Central Asia"/>
    <s v="Comprehensive Collaborative Strategic Partnership [全面战略协作伙伴关系]"/>
    <x v="0"/>
    <s v="EUCOM"/>
    <x v="7"/>
    <x v="26"/>
    <n v="7"/>
    <s v="Military Exercise - Multilateral"/>
    <m/>
    <m/>
    <m/>
    <m/>
    <x v="0"/>
    <m/>
    <x v="6"/>
    <s v="International Army Games"/>
    <s v="Army"/>
    <s v="Fighting capabilities. Other countries: Belarus, Azerbaijan, Kazakhstan, Armenia, Iran, Zimbabwe, Pakistan, Venezuela, Sudan, Uzbekistan, Egypt, Vietnam, Syria"/>
    <m/>
    <x v="12"/>
    <m/>
    <m/>
    <s v="https://armedforcessports.defense.gov/CISM/Military-World-Games/6th-Military-World-Games/"/>
    <m/>
  </r>
  <r>
    <x v="2"/>
    <x v="3"/>
    <s v="Europe and Central Asia"/>
    <s v="Comprehensive Collaborative Strategic Partnership [全面战略协作伙伴关系]"/>
    <x v="0"/>
    <s v="EUCOM"/>
    <x v="7"/>
    <x v="26"/>
    <n v="7"/>
    <s v="Military Exercise - Bilateral"/>
    <m/>
    <m/>
    <m/>
    <m/>
    <x v="0"/>
    <m/>
    <x v="3"/>
    <s v="Joint Sea 2017 (I)"/>
    <s v="Navy"/>
    <s v=" Location: Baltic Sea.  July 21-28"/>
    <m/>
    <x v="12"/>
    <m/>
    <m/>
    <s v="http://english.chinamil.com.cn/view/2017-06/19/content_7643658.htm"/>
    <s v="RECODED as COMBAT based on closer analysis of exercise activities"/>
  </r>
  <r>
    <x v="0"/>
    <x v="8"/>
    <s v="Europe and Central Asia"/>
    <s v="Strategic Cooperative Partnership [战略合作伙伴关系]"/>
    <x v="5"/>
    <s v="EUCOM"/>
    <x v="38"/>
    <x v="26"/>
    <n v="7"/>
    <s v="Port Call - Friendly Visit"/>
    <m/>
    <m/>
    <m/>
    <m/>
    <x v="0"/>
    <m/>
    <x v="0"/>
    <m/>
    <m/>
    <m/>
    <s v="NETF"/>
    <x v="85"/>
    <s v="East Sea Fleet"/>
    <s v="DDG150 Changchun, FFG532 Jingzhou"/>
    <s v="http://english.chinamil.com.cn/view/2017-07/17/content_7678654.htm"/>
    <s v="Source refers to Turkey as next stop; wrap up report includes a port call in Turkey"/>
  </r>
  <r>
    <x v="1"/>
    <x v="8"/>
    <s v="Europe and Central Asia"/>
    <s v="Comprehensive Strategic Partnership [全面战略伙伴关系]"/>
    <x v="5"/>
    <s v="EUCOM"/>
    <x v="21"/>
    <x v="26"/>
    <n v="7"/>
    <s v="BL - Hosted"/>
    <s v="Chang Wanquan"/>
    <m/>
    <s v="Defense Minister; CMC Member"/>
    <n v="8"/>
    <x v="2"/>
    <s v="National Security Advisor "/>
    <x v="0"/>
    <m/>
    <m/>
    <m/>
    <m/>
    <x v="12"/>
    <m/>
    <m/>
    <s v="http://english.chinamil.com.cn/view/2017-07/21/content_7684472.htm"/>
    <m/>
  </r>
  <r>
    <x v="1"/>
    <x v="0"/>
    <s v="Europe and Central Asia"/>
    <s v="Strategic Partnership [战略伙伴关系]"/>
    <x v="1"/>
    <s v="CENTCOM"/>
    <x v="123"/>
    <x v="26"/>
    <n v="8"/>
    <s v="BL - Abroad"/>
    <s v="Li Zuocheng"/>
    <m/>
    <s v="PLAA Commander"/>
    <n v="6"/>
    <x v="1"/>
    <s v="Chief of General Staff"/>
    <x v="0"/>
    <m/>
    <m/>
    <m/>
    <m/>
    <x v="12"/>
    <m/>
    <m/>
    <m/>
    <m/>
  </r>
  <r>
    <x v="2"/>
    <x v="5"/>
    <s v="America and Oceania"/>
    <s v="Comprehensive Strategic Partnership [全面战略伙伴关系]"/>
    <x v="4"/>
    <s v="INDOPACOM"/>
    <x v="12"/>
    <x v="26"/>
    <n v="8"/>
    <s v="Military Exercise - Multilateral"/>
    <m/>
    <m/>
    <m/>
    <m/>
    <x v="0"/>
    <m/>
    <x v="2"/>
    <s v="Kowari 2017"/>
    <s v="Army"/>
    <s v="Survival Exercise"/>
    <m/>
    <x v="12"/>
    <m/>
    <m/>
    <m/>
    <m/>
  </r>
  <r>
    <x v="1"/>
    <x v="5"/>
    <s v="America and Oceania"/>
    <s v="Comprehensive Strategic Partnership [全面战略伙伴关系]"/>
    <x v="4"/>
    <s v="INDOPACOM"/>
    <x v="12"/>
    <x v="26"/>
    <n v="8"/>
    <s v="BL - Abroad"/>
    <s v="Shao Yuanming"/>
    <m/>
    <s v="CMC/JSD DCJS"/>
    <n v="5"/>
    <x v="1"/>
    <s v="Vice Chief of Defence Force"/>
    <x v="0"/>
    <m/>
    <m/>
    <m/>
    <m/>
    <x v="12"/>
    <m/>
    <m/>
    <s v="http://english.chinamil.com.cn/view/2017-08/29/content_7735681.htm"/>
    <s v="JSD/DCJS position downgraded to TC deputy grade; position weights adjusted"/>
  </r>
  <r>
    <x v="1"/>
    <x v="1"/>
    <s v="Asia"/>
    <s v="Comprehensive Strategic Cooperative Partnership [全面战略合作伙伴关系]"/>
    <x v="0"/>
    <s v="INDOPACOM"/>
    <x v="94"/>
    <x v="26"/>
    <n v="8"/>
    <s v="BL - Hosted"/>
    <s v="Xu Qiliang"/>
    <m/>
    <s v="CMC Vice Chairman"/>
    <n v="10"/>
    <x v="2"/>
    <s v="Commander of Air Force"/>
    <x v="0"/>
    <m/>
    <m/>
    <m/>
    <m/>
    <x v="12"/>
    <m/>
    <m/>
    <m/>
    <m/>
  </r>
  <r>
    <x v="0"/>
    <x v="9"/>
    <s v="West Asia and Africa"/>
    <s v="Strategic Partnership [战略伙伴关系]"/>
    <x v="0"/>
    <s v="CENTCOM"/>
    <x v="119"/>
    <x v="26"/>
    <n v="8"/>
    <s v="Port Call - Friendly Visit"/>
    <m/>
    <m/>
    <m/>
    <m/>
    <x v="0"/>
    <m/>
    <x v="0"/>
    <m/>
    <m/>
    <m/>
    <s v="NETF"/>
    <x v="88"/>
    <s v="East Sea Fleet"/>
    <m/>
    <s v="http://english.chinamil.com.cn/view/2017-08/24/content_7729644.htm"/>
    <m/>
  </r>
  <r>
    <x v="1"/>
    <x v="7"/>
    <s v="West Asia and Africa"/>
    <s v="Comprehensive Cooperative Partnership [全面合作伙伴关系]"/>
    <x v="0"/>
    <s v="AFRICOM"/>
    <x v="95"/>
    <x v="26"/>
    <n v="8"/>
    <s v="BL - Hosted"/>
    <s v="Fan Changlong"/>
    <m/>
    <s v="CMC Vice Chairman"/>
    <n v="10"/>
    <x v="2"/>
    <s v="Chief of Staff of National Defense Forces"/>
    <x v="0"/>
    <m/>
    <m/>
    <m/>
    <m/>
    <x v="12"/>
    <m/>
    <m/>
    <s v="http://english.chinamil.com.cn/view/2017-08/19/content_7723327.htm"/>
    <m/>
  </r>
  <r>
    <x v="0"/>
    <x v="8"/>
    <s v="Europe and Central Asia"/>
    <s v="New Type of Cooperative Partnership [新型合作伙伴关系]"/>
    <x v="0"/>
    <s v="EUCOM"/>
    <x v="81"/>
    <x v="26"/>
    <n v="8"/>
    <s v="Port Call - Friendly Visit"/>
    <m/>
    <m/>
    <m/>
    <m/>
    <x v="0"/>
    <m/>
    <x v="0"/>
    <m/>
    <m/>
    <m/>
    <s v="NETF"/>
    <x v="89"/>
    <s v="South Sea Fleet"/>
    <s v="DDGHefei, FFG571 Yuncheng"/>
    <s v="http://english.chinamil.com.cn/view/2017-08/02/content_7699947.htm; http://english.chinamil.com.cn/view/2017-08/16/content_7720657.htm"/>
    <s v="In conjunction with Joint Sea 2017 exercise with Russian Navy"/>
  </r>
  <r>
    <x v="0"/>
    <x v="1"/>
    <s v="Asia"/>
    <s v="Comprehensive Strategic Cooperative Partnership [全面战略合作伙伴关系]"/>
    <x v="0"/>
    <s v="INDOPACOM"/>
    <x v="52"/>
    <x v="26"/>
    <n v="8"/>
    <s v="Port Call - Friendly Visit"/>
    <m/>
    <m/>
    <m/>
    <m/>
    <x v="0"/>
    <m/>
    <x v="0"/>
    <m/>
    <m/>
    <m/>
    <s v="NETF"/>
    <x v="88"/>
    <s v="East Sea Fleet"/>
    <m/>
    <s v="http://english.chinamil.com.cn/view/2017-08/22/content_7725742.htm"/>
    <m/>
  </r>
  <r>
    <x v="0"/>
    <x v="8"/>
    <s v="Europe and Central Asia"/>
    <s v="Friendly Cooperative Partnership [友好合作伙伴关系]"/>
    <x v="5"/>
    <s v="EUCOM"/>
    <x v="157"/>
    <x v="26"/>
    <n v="8"/>
    <s v="Port Call - Friendly Visit"/>
    <m/>
    <m/>
    <m/>
    <m/>
    <x v="0"/>
    <m/>
    <x v="0"/>
    <m/>
    <m/>
    <m/>
    <s v="NETF"/>
    <x v="89"/>
    <s v="South Sea Fleet"/>
    <s v="DDGHefei, FFG571 Yuncheng, AOR Luomahu"/>
    <s v="http://english.chinamil.com.cn/view/2017-08/06/content_7705899.htm; http://english.chinamil.com.cn/view/2017-08/16/content_7720657.htm"/>
    <s v="In conjunction with Joint Sea 2017 exercise with Russian Navy"/>
  </r>
  <r>
    <x v="0"/>
    <x v="0"/>
    <s v="West Asia and Africa"/>
    <s v="Comprehensive Friendly Cooperative Partnership [全面友好合作伙伴关系]"/>
    <x v="0"/>
    <s v="INDOPACOM"/>
    <x v="149"/>
    <x v="26"/>
    <n v="8"/>
    <s v="Port Call - Friendly Visit"/>
    <m/>
    <m/>
    <m/>
    <m/>
    <x v="0"/>
    <m/>
    <x v="0"/>
    <m/>
    <m/>
    <m/>
    <s v="NETF"/>
    <x v="90"/>
    <s v="East Sea Fleet"/>
    <s v="DDG150 Changchun, FFG532 Jingzhou, AOR890 Chaohu"/>
    <s v="http://english.chinamil.com.cn/view/2017-08/28/content_7733398.htm; http://www.xinhuanet.com/mil/2017-08/27/c_129690040.htm"/>
    <m/>
  </r>
  <r>
    <x v="2"/>
    <x v="0"/>
    <s v="West Asia and Africa"/>
    <s v="Comprehensive Friendly Cooperative Partnership [全面友好合作伙伴关系]"/>
    <x v="0"/>
    <s v="INDOPACOM"/>
    <x v="149"/>
    <x v="26"/>
    <n v="8"/>
    <s v="Military Exercise - Bilateral"/>
    <m/>
    <m/>
    <m/>
    <m/>
    <x v="0"/>
    <m/>
    <x v="2"/>
    <s v="Unnamed"/>
    <s v="Navy"/>
    <s v="Unknown "/>
    <m/>
    <x v="12"/>
    <m/>
    <m/>
    <m/>
    <m/>
  </r>
  <r>
    <x v="2"/>
    <x v="4"/>
    <s v="Asia"/>
    <s v="Comprehensive Strategic Partnership [全面战略伙伴关系]"/>
    <x v="0"/>
    <s v="INDOPACOM"/>
    <x v="53"/>
    <x v="26"/>
    <n v="8"/>
    <s v="Military Exercise - Multilateral"/>
    <m/>
    <m/>
    <m/>
    <m/>
    <x v="0"/>
    <m/>
    <x v="2"/>
    <s v="Khaan Quest 2017"/>
    <s v="Army"/>
    <s v="Peacekeeping "/>
    <m/>
    <x v="12"/>
    <m/>
    <m/>
    <m/>
    <m/>
  </r>
  <r>
    <x v="1"/>
    <x v="5"/>
    <s v="America and Oceania"/>
    <s v="Comprehensive Strategic Partnership [全面战略伙伴关系]"/>
    <x v="4"/>
    <s v="INDOPACOM"/>
    <x v="13"/>
    <x v="26"/>
    <n v="8"/>
    <s v="BL - Hosted"/>
    <s v="Shao Yuanming"/>
    <m/>
    <s v="CMC/JSD DCJS"/>
    <n v="5"/>
    <x v="2"/>
    <s v="Deputy Chief of Defense Force "/>
    <x v="0"/>
    <m/>
    <m/>
    <m/>
    <m/>
    <x v="12"/>
    <m/>
    <m/>
    <s v="https://web.archive.org/web/20170920220529/http://english.chinamil.com.cn/view/2017-08/15/content_7719318.htm; http://english.chinamil.com.cn/view/2017-08/28/content_7733889.htm"/>
    <s v="JSD/DCJS position downgraded to TC deputy grade; position weights adjusted"/>
  </r>
  <r>
    <x v="1"/>
    <x v="0"/>
    <s v="Asia"/>
    <s v="All-Weather Strategic Cooperative Partnership [全天候战略合作伙伴关系]"/>
    <x v="1"/>
    <s v="CENTCOM"/>
    <x v="2"/>
    <x v="26"/>
    <n v="8"/>
    <s v="BL - Abroad"/>
    <s v="Li Zuocheng"/>
    <m/>
    <s v="PLAA Commander"/>
    <n v="6"/>
    <x v="1"/>
    <s v="Chief of Army Staff "/>
    <x v="0"/>
    <m/>
    <m/>
    <m/>
    <m/>
    <x v="12"/>
    <m/>
    <m/>
    <s v="http://english.chinamil.com.cn/view/2017-08/28/content_7733909.htm"/>
    <m/>
  </r>
  <r>
    <x v="0"/>
    <x v="9"/>
    <s v="West Asia and Africa"/>
    <s v="Comprehensive Strategic Partnership [全面战略伙伴关系]"/>
    <x v="0"/>
    <s v="CENTCOM"/>
    <x v="142"/>
    <x v="26"/>
    <n v="8"/>
    <s v="Port Call - Friendly Visit"/>
    <m/>
    <m/>
    <m/>
    <m/>
    <x v="0"/>
    <m/>
    <x v="0"/>
    <m/>
    <m/>
    <m/>
    <s v="NETF"/>
    <x v="85"/>
    <s v="East Sea Fleet"/>
    <s v="DDG150 Changchun, FFG532 Jingzhou"/>
    <s v="http://english.chinamil.com.cn/view/2017-08/01/content_7699372.htm"/>
    <m/>
  </r>
  <r>
    <x v="0"/>
    <x v="0"/>
    <s v="Asia"/>
    <s v="Strategic Cooperative Partnership [战略合作伙伴关系]"/>
    <x v="0"/>
    <s v="INDOPACOM"/>
    <x v="3"/>
    <x v="26"/>
    <n v="8"/>
    <s v="Port Call - Friendly Visit"/>
    <m/>
    <m/>
    <m/>
    <m/>
    <x v="0"/>
    <m/>
    <x v="0"/>
    <m/>
    <m/>
    <m/>
    <s v="NETF"/>
    <x v="88"/>
    <s v="East Sea Fleet"/>
    <m/>
    <s v="http://eng.chinamil.com.cn/view/2017-08/11/content_7715167.htm"/>
    <m/>
  </r>
  <r>
    <x v="2"/>
    <x v="0"/>
    <s v="Asia"/>
    <s v="Strategic Cooperative Partnership [战略合作伙伴关系]"/>
    <x v="0"/>
    <s v="INDOPACOM"/>
    <x v="3"/>
    <x v="26"/>
    <n v="8"/>
    <s v="Military Exercise - Bilateral"/>
    <m/>
    <m/>
    <m/>
    <m/>
    <x v="0"/>
    <m/>
    <x v="2"/>
    <s v="Harmonious Mission-2017"/>
    <s v="Army"/>
    <s v="Rescue drill"/>
    <m/>
    <x v="12"/>
    <m/>
    <m/>
    <s v="http://english.chinamil.com.cn/view/2017-08/11/content_7715167.htm"/>
    <m/>
  </r>
  <r>
    <x v="1"/>
    <x v="6"/>
    <s v="Europe and Central Asia"/>
    <s v="Comprehensive Strategic Partnership [全面战略伙伴关系]"/>
    <x v="0"/>
    <s v="CENTCOM"/>
    <x v="60"/>
    <x v="26"/>
    <n v="8"/>
    <s v="BL - Abroad"/>
    <s v="Li Zuocheng"/>
    <m/>
    <s v="PLAA Commander"/>
    <n v="6"/>
    <x v="1"/>
    <s v="President "/>
    <x v="0"/>
    <m/>
    <m/>
    <m/>
    <m/>
    <x v="12"/>
    <m/>
    <m/>
    <m/>
    <m/>
  </r>
  <r>
    <x v="0"/>
    <x v="7"/>
    <s v="West Asia and Africa"/>
    <s v="Comprehensive Cooperative Partnership [全面合作伙伴关系]"/>
    <x v="0"/>
    <s v="AFRICOM"/>
    <x v="16"/>
    <x v="26"/>
    <n v="8"/>
    <s v="Port Call - Friendly Visit"/>
    <m/>
    <m/>
    <m/>
    <m/>
    <x v="0"/>
    <m/>
    <x v="0"/>
    <m/>
    <m/>
    <m/>
    <s v="NETF"/>
    <x v="90"/>
    <s v="East Sea Fleet"/>
    <s v="DDG150 Changchun, FFG532 Jingzhou, AOR890 Chaohu"/>
    <s v="http://english.chinamil.com.cn/view/2017-08/17/content_7720968.htm"/>
    <m/>
  </r>
  <r>
    <x v="2"/>
    <x v="7"/>
    <s v="West Asia and Africa"/>
    <s v="Comprehensive Cooperative Partnership [全面合作伙伴关系]"/>
    <x v="0"/>
    <s v="AFRICOM"/>
    <x v="16"/>
    <x v="26"/>
    <n v="8"/>
    <s v="Military Exercise - Bilateral"/>
    <m/>
    <m/>
    <m/>
    <m/>
    <x v="0"/>
    <m/>
    <x v="2"/>
    <s v="Unnamed"/>
    <s v="Navy"/>
    <s v="Maritime"/>
    <m/>
    <x v="12"/>
    <m/>
    <m/>
    <m/>
    <m/>
  </r>
  <r>
    <x v="1"/>
    <x v="1"/>
    <s v="Asia"/>
    <s v="Comprehensive Strategic Cooperative Partnership [全面战略合作伙伴关系]"/>
    <x v="3"/>
    <s v="INDOPACOM"/>
    <x v="5"/>
    <x v="26"/>
    <n v="8"/>
    <s v="BL - Hosted"/>
    <s v="Chang Wanquan"/>
    <m/>
    <s v="Defense Minister; CMC Member"/>
    <n v="8"/>
    <x v="2"/>
    <s v="Chief of Defense Forces"/>
    <x v="0"/>
    <m/>
    <m/>
    <m/>
    <m/>
    <x v="12"/>
    <m/>
    <m/>
    <s v="http://english.chinamil.com.cn/view/2017-08/17/content_7721898.htm"/>
    <m/>
  </r>
  <r>
    <x v="2"/>
    <x v="1"/>
    <s v="Asia"/>
    <s v="Comprehensive Strategic Cooperative Partnership [全面战略合作伙伴关系]"/>
    <x v="3"/>
    <s v="INDOPACOM"/>
    <x v="5"/>
    <x v="26"/>
    <n v="8"/>
    <s v="Military Exercise - Bilateral"/>
    <m/>
    <m/>
    <m/>
    <m/>
    <x v="0"/>
    <m/>
    <x v="3"/>
    <s v="Falcon Strike 2017"/>
    <s v="Air Force"/>
    <s v="Joint training exercise "/>
    <m/>
    <x v="12"/>
    <m/>
    <m/>
    <m/>
    <m/>
  </r>
  <r>
    <x v="1"/>
    <x v="2"/>
    <s v="America and Oceania"/>
    <s v="No Specific Relationship"/>
    <x v="2"/>
    <s v="NORTHCOM"/>
    <x v="4"/>
    <x v="26"/>
    <n v="8"/>
    <s v="BL - Hosted"/>
    <s v="Fang Fenghui"/>
    <m/>
    <s v="CMC/JSD Commander; CMC Member"/>
    <n v="8"/>
    <x v="2"/>
    <s v="Marine Crops General "/>
    <x v="0"/>
    <m/>
    <m/>
    <m/>
    <m/>
    <x v="12"/>
    <m/>
    <m/>
    <m/>
    <m/>
  </r>
  <r>
    <x v="1"/>
    <x v="8"/>
    <s v="Europe and Central Asia"/>
    <s v="Friendly Cooperative Partnership [友好合作伙伴关系]"/>
    <x v="0"/>
    <s v="EUCOM"/>
    <x v="63"/>
    <x v="26"/>
    <n v="9"/>
    <s v="BL - Hosted"/>
    <s v="Xu Qiliang"/>
    <m/>
    <s v="CMC Vice Chairman"/>
    <n v="10"/>
    <x v="2"/>
    <s v="Defense Minister"/>
    <x v="0"/>
    <m/>
    <m/>
    <m/>
    <m/>
    <x v="12"/>
    <m/>
    <m/>
    <m/>
    <m/>
  </r>
  <r>
    <x v="2"/>
    <x v="5"/>
    <s v="America and Oceania"/>
    <s v="Comprehensive Strategic Partnership [全面战略伙伴关系]"/>
    <x v="4"/>
    <s v="INDOPACOM"/>
    <x v="12"/>
    <x v="26"/>
    <n v="9"/>
    <s v="Military Exercise - Bilateral"/>
    <m/>
    <m/>
    <m/>
    <m/>
    <x v="0"/>
    <m/>
    <x v="2"/>
    <s v="Panda-Kangaroo 2017"/>
    <s v="Army"/>
    <s v="Joint training "/>
    <m/>
    <x v="12"/>
    <m/>
    <m/>
    <s v="http://english.chinamil.com.cn/view/2017-09/11/content_7751741.htm"/>
    <m/>
  </r>
  <r>
    <x v="1"/>
    <x v="8"/>
    <s v="Europe and Central Asia"/>
    <s v="No Specific Relationship"/>
    <x v="5"/>
    <s v="EUCOM"/>
    <x v="108"/>
    <x v="26"/>
    <n v="9"/>
    <s v="BL - Hosted"/>
    <s v="Chang Wanquan"/>
    <m/>
    <s v="Defense Minister; CMC Member"/>
    <n v="8"/>
    <x v="2"/>
    <s v="Chief of Defense Forces"/>
    <x v="0"/>
    <m/>
    <m/>
    <m/>
    <m/>
    <x v="12"/>
    <m/>
    <m/>
    <s v="http://english.chinamil.com.cn/view/2017-09/08/content_7749343.htm"/>
    <m/>
  </r>
  <r>
    <x v="0"/>
    <x v="8"/>
    <s v="Europe and Central Asia"/>
    <s v="All-Round Strategic Partnership [全方位战略伙伴关系]"/>
    <x v="5"/>
    <s v="EUCOM"/>
    <x v="68"/>
    <x v="26"/>
    <n v="9"/>
    <s v="Port Call - Friendly Visit"/>
    <m/>
    <m/>
    <m/>
    <m/>
    <x v="0"/>
    <m/>
    <x v="0"/>
    <m/>
    <m/>
    <m/>
    <s v="ETF"/>
    <x v="91"/>
    <s v="East Sea Fleet"/>
    <s v="FFG577 Huanggang, FFG578 Yangzhou, AOR966 Gaoyouhu"/>
    <s v="http://english.chinamil.com.cn/view/2017-09/15/content_7757901.htm; http://english.chinamil.com.cn/view/2017-10/17/content_7790399.htm"/>
    <m/>
  </r>
  <r>
    <x v="0"/>
    <x v="1"/>
    <s v="Asia"/>
    <s v="No Specific Relationship"/>
    <x v="0"/>
    <s v="INDOPACOM"/>
    <x v="44"/>
    <x v="26"/>
    <n v="9"/>
    <s v="Port Call - Friendly Visit and Drills"/>
    <m/>
    <m/>
    <m/>
    <m/>
    <x v="0"/>
    <m/>
    <x v="0"/>
    <m/>
    <m/>
    <m/>
    <s v="NETF"/>
    <x v="92"/>
    <s v="East Sea Fleet"/>
    <s v="DDG150 Changchun, FFG532 Jingzhou, AOR890 Chaohu"/>
    <s v="http://english.chinamil.com.cn/view/2017-09/29/content_7774095.htm"/>
    <m/>
  </r>
  <r>
    <x v="1"/>
    <x v="1"/>
    <s v="Asia"/>
    <s v="Comprehensive Strategic Cooperative Partnership [全面战略合作伙伴关系]"/>
    <x v="0"/>
    <s v="INDOPACOM"/>
    <x v="94"/>
    <x v="26"/>
    <n v="9"/>
    <s v="BL - Hosted"/>
    <s v="Shen Jinlong"/>
    <m/>
    <s v="PLAN Commander "/>
    <n v="6"/>
    <x v="2"/>
    <s v="Navy Commander"/>
    <x v="0"/>
    <m/>
    <m/>
    <m/>
    <m/>
    <x v="12"/>
    <m/>
    <m/>
    <s v="http://english.chinamil.com.cn/view/2017-09/01/content_7740479.htm"/>
    <m/>
  </r>
  <r>
    <x v="0"/>
    <x v="8"/>
    <s v="Europe and Central Asia"/>
    <s v="Comprehensive Strategic Partnership [全面战略伙伴关系]"/>
    <x v="5"/>
    <s v="EUCOM"/>
    <x v="116"/>
    <x v="26"/>
    <n v="9"/>
    <s v="Port Call - Friendly Visit"/>
    <m/>
    <m/>
    <m/>
    <m/>
    <x v="0"/>
    <m/>
    <x v="0"/>
    <m/>
    <m/>
    <m/>
    <s v="ETF"/>
    <x v="91"/>
    <s v="East Sea Fleet"/>
    <s v="FFG577 Huanggang, FFG578 Yangzhou"/>
    <s v="http://english.chinamil.com.cn/view/2017-09/26/content_7769056.htm; http://english.chinamil.com.cn/view/2017-09/26/content_7769059.htm"/>
    <m/>
  </r>
  <r>
    <x v="2"/>
    <x v="8"/>
    <s v="Europe and Central Asia"/>
    <s v="Comprehensive Strategic Partnership [全面战略伙伴关系]"/>
    <x v="5"/>
    <s v="EUCOM"/>
    <x v="116"/>
    <x v="26"/>
    <n v="9"/>
    <s v="Military Exercise - Bilateral"/>
    <m/>
    <m/>
    <m/>
    <m/>
    <x v="0"/>
    <m/>
    <x v="2"/>
    <s v="Unnamed"/>
    <s v="Navy"/>
    <s v="Maritime"/>
    <m/>
    <x v="12"/>
    <m/>
    <m/>
    <m/>
    <m/>
  </r>
  <r>
    <x v="1"/>
    <x v="10"/>
    <s v="America and Oceania"/>
    <s v="Comprehensive Strategic Partnership [全面战略伙伴关系]"/>
    <x v="0"/>
    <s v="SOUTHCOM"/>
    <x v="51"/>
    <x v="26"/>
    <n v="9"/>
    <s v="BL - Abroad"/>
    <s v="Ma Yiming"/>
    <m/>
    <s v="CMC/JSD DCJS"/>
    <n v="5"/>
    <x v="1"/>
    <s v="Minister of National Defense "/>
    <x v="0"/>
    <m/>
    <m/>
    <m/>
    <m/>
    <x v="12"/>
    <m/>
    <m/>
    <s v="http://english.chinamil.com.cn/view/2017-09/11/content_7751586.htm"/>
    <s v="JSD/DCJS position downgraded to TC deputy grade; position weights adjusted"/>
  </r>
  <r>
    <x v="1"/>
    <x v="8"/>
    <s v="Europe and Central Asia"/>
    <s v="Comprehensive Strategic Partnership [全面战略伙伴关系]"/>
    <x v="5"/>
    <s v="EUCOM"/>
    <x v="18"/>
    <x v="26"/>
    <n v="9"/>
    <s v="BL - Hosted"/>
    <s v="Shao Yuanming"/>
    <m/>
    <s v="CMC/JSD DCJS"/>
    <n v="5"/>
    <x v="2"/>
    <s v="Former General Inspector of Defense Force "/>
    <x v="0"/>
    <m/>
    <m/>
    <m/>
    <m/>
    <x v="12"/>
    <m/>
    <m/>
    <s v="http://english.chinamil.com.cn/view/2017-09/25/content_7768600.htm"/>
    <s v="JSD/DCJS position downgraded to TC deputy grade; position weights adjusted"/>
  </r>
  <r>
    <x v="1"/>
    <x v="1"/>
    <s v="Asia"/>
    <s v="Comprehensive Strategic Partnership [全面战略伙伴关系]"/>
    <x v="0"/>
    <s v="INDOPACOM"/>
    <x v="8"/>
    <x v="26"/>
    <n v="9"/>
    <s v="BL - Hosted"/>
    <s v="Shen Jinlong"/>
    <m/>
    <s v="PLAN Commander "/>
    <n v="6"/>
    <x v="2"/>
    <s v="Chief of Staff"/>
    <x v="0"/>
    <m/>
    <m/>
    <m/>
    <m/>
    <x v="12"/>
    <m/>
    <m/>
    <s v="http://english.chinamil.com.cn/view/2017-09/07/content_7747221.htm"/>
    <m/>
  </r>
  <r>
    <x v="0"/>
    <x v="1"/>
    <s v="Asia"/>
    <s v="Comprehensive Strategic Partnership [全面战略伙伴关系]"/>
    <x v="0"/>
    <s v="INDOPACOM"/>
    <x v="8"/>
    <x v="26"/>
    <n v="9"/>
    <s v="Port Call - Friendly Visit"/>
    <m/>
    <m/>
    <m/>
    <m/>
    <x v="0"/>
    <m/>
    <x v="0"/>
    <m/>
    <m/>
    <m/>
    <s v="NETF"/>
    <x v="92"/>
    <s v="East Sea Fleet"/>
    <s v="DDG150 Changchun, FFG532 Jingzhou, AOR890 Chaohu"/>
    <s v="http://english.chinamil.com.cn/view/2017-10/16/content_7788876.htm"/>
    <s v="Date inferred from Brunei visit date and wrapup article"/>
  </r>
  <r>
    <x v="2"/>
    <x v="0"/>
    <s v="Asia"/>
    <s v="All-Weather Strategic Cooperative Partnership [全天候战略合作伙伴关系]"/>
    <x v="1"/>
    <s v="CENTCOM"/>
    <x v="2"/>
    <x v="26"/>
    <n v="9"/>
    <s v="Military Exercise - Bilateral"/>
    <m/>
    <m/>
    <m/>
    <m/>
    <x v="0"/>
    <m/>
    <x v="3"/>
    <s v="Shaheen-VI"/>
    <s v="Air Force"/>
    <s v="Joint air training "/>
    <m/>
    <x v="12"/>
    <m/>
    <m/>
    <s v="http://english.chinamil.com.cn/view/2017-09/26/content_7770309.htm"/>
    <m/>
  </r>
  <r>
    <x v="2"/>
    <x v="3"/>
    <s v="Europe and Central Asia"/>
    <s v="Comprehensive Collaborative Strategic Partnership [全面战略协作伙伴关系]"/>
    <x v="0"/>
    <s v="EUCOM"/>
    <x v="7"/>
    <x v="26"/>
    <n v="9"/>
    <s v="Military Exercise - Bilateral"/>
    <m/>
    <m/>
    <m/>
    <m/>
    <x v="0"/>
    <m/>
    <x v="3"/>
    <s v="Joint Sea 2017 (II)"/>
    <s v="Navy"/>
    <s v="Maritime in Sea of Japan and Sea of Okhotsk.  &quot;This exercise is the first to organize a joint submarine rescue drill and a joint anti-submarine exercise with multiple arms, aircraft, and ships.&quot;  "/>
    <m/>
    <x v="12"/>
    <m/>
    <m/>
    <s v="https://www.chinanews.com.cn/mil/2017/09-17/8333127.shtml "/>
    <m/>
  </r>
  <r>
    <x v="0"/>
    <x v="7"/>
    <s v="West Asia and Africa"/>
    <s v="Comprehensive Strategic Cooperative Partnership [全面战略合作伙伴关系]"/>
    <x v="0"/>
    <s v="AFRICOM"/>
    <x v="90"/>
    <x v="26"/>
    <n v="9"/>
    <s v="Port Call - Friendly Visit"/>
    <m/>
    <m/>
    <m/>
    <m/>
    <x v="0"/>
    <m/>
    <x v="0"/>
    <m/>
    <m/>
    <m/>
    <s v="NETF"/>
    <x v="93"/>
    <s v="East Sea Fleet"/>
    <m/>
    <s v="http://english.chinamil.com.cn/view/2017-09/13/content_7754313.htm"/>
    <m/>
  </r>
  <r>
    <x v="1"/>
    <x v="1"/>
    <s v="Asia"/>
    <s v="All-Round Cooperative Partnership [全方合作伙伴关系]"/>
    <x v="0"/>
    <s v="INDOPACOM"/>
    <x v="39"/>
    <x v="26"/>
    <n v="9"/>
    <s v="BL - Hosted"/>
    <s v="Chang Wanquan"/>
    <m/>
    <s v="Defense Minister; CMC Member"/>
    <n v="8"/>
    <x v="2"/>
    <s v="Defense Minister"/>
    <x v="0"/>
    <m/>
    <m/>
    <m/>
    <m/>
    <x v="12"/>
    <m/>
    <m/>
    <s v="http://english.chinamil.com.cn/view/2017-09/22/content_7765269.htm"/>
    <m/>
  </r>
  <r>
    <x v="0"/>
    <x v="8"/>
    <s v="Europe and Central Asia"/>
    <s v="Comprehensive Strategic Partnership [全面战略伙伴关系]"/>
    <x v="5"/>
    <s v="EUCOM"/>
    <x v="70"/>
    <x v="26"/>
    <n v="9"/>
    <s v="Port Call - Friendly Visit"/>
    <m/>
    <m/>
    <m/>
    <m/>
    <x v="0"/>
    <m/>
    <x v="0"/>
    <m/>
    <m/>
    <m/>
    <s v="NETF"/>
    <x v="93"/>
    <s v="East Sea Fleet"/>
    <m/>
    <s v="http://english.chinamil.com.cn/view/2017-09/11/content_7751723.htm"/>
    <m/>
  </r>
  <r>
    <x v="2"/>
    <x v="0"/>
    <s v="Asia"/>
    <s v="Strategic Cooperative Partnership [战略合作伙伴关系]"/>
    <x v="0"/>
    <s v="INDOPACOM"/>
    <x v="3"/>
    <x v="26"/>
    <n v="9"/>
    <s v="Military Exercise - Multilateral"/>
    <m/>
    <m/>
    <m/>
    <m/>
    <x v="0"/>
    <m/>
    <x v="3"/>
    <s v="Cormorant Strike VIII - 2017"/>
    <s v="Navy"/>
    <s v="Special Operations"/>
    <m/>
    <x v="12"/>
    <m/>
    <m/>
    <m/>
    <m/>
  </r>
  <r>
    <x v="1"/>
    <x v="2"/>
    <s v="America and Oceania"/>
    <s v="No Specific Relationship"/>
    <x v="2"/>
    <s v="NORTHCOM"/>
    <x v="4"/>
    <x v="26"/>
    <n v="9"/>
    <s v="BL - Hosted"/>
    <s v="Shao Yuanming"/>
    <m/>
    <s v="CMC/JSD DCJS"/>
    <n v="5"/>
    <x v="2"/>
    <s v="US Congress "/>
    <x v="0"/>
    <m/>
    <m/>
    <m/>
    <m/>
    <x v="12"/>
    <m/>
    <m/>
    <m/>
    <s v="JSD/DCJS position downgraded to TC deputy grade; position weights adjusted"/>
  </r>
  <r>
    <x v="1"/>
    <x v="1"/>
    <s v="Asia"/>
    <s v="Comprehensive Strategic Cooperative Partnership [全面战略合作伙伴关系]"/>
    <x v="0"/>
    <s v="INDOPACOM"/>
    <x v="23"/>
    <x v="26"/>
    <n v="9"/>
    <s v="BL - Hosted"/>
    <s v="Fan Changlong"/>
    <m/>
    <s v="CMC Vice Chairman"/>
    <n v="10"/>
    <x v="2"/>
    <s v="Defense Minister"/>
    <x v="0"/>
    <m/>
    <m/>
    <m/>
    <m/>
    <x v="12"/>
    <m/>
    <m/>
    <m/>
    <m/>
  </r>
  <r>
    <x v="2"/>
    <x v="1"/>
    <s v="Asia"/>
    <s v="Comprehensive Strategic Cooperative Partnership [全面战略合作伙伴关系]"/>
    <x v="0"/>
    <s v="INDOPACOM"/>
    <x v="23"/>
    <x v="26"/>
    <n v="9"/>
    <s v="Military Exercise - Bilateral"/>
    <m/>
    <m/>
    <m/>
    <m/>
    <x v="0"/>
    <m/>
    <x v="1"/>
    <s v="Unnamed"/>
    <s v="Army"/>
    <s v="Anti-terrorism drills "/>
    <m/>
    <x v="12"/>
    <m/>
    <m/>
    <m/>
    <m/>
  </r>
  <r>
    <x v="0"/>
    <x v="7"/>
    <s v="West Asia and Africa"/>
    <s v="Strategic Partnership [战略伙伴关系]"/>
    <x v="0"/>
    <s v="AFRICOM"/>
    <x v="105"/>
    <x v="26"/>
    <n v="10"/>
    <s v="Port Call - Friendly Visit"/>
    <m/>
    <m/>
    <m/>
    <m/>
    <x v="0"/>
    <m/>
    <x v="0"/>
    <m/>
    <m/>
    <m/>
    <s v="NETF"/>
    <x v="94"/>
    <s v="East Sea Fleet"/>
    <m/>
    <s v="http://english.chinamil.com.cn/view/2017-10/20/content_7794034.htm"/>
    <m/>
  </r>
  <r>
    <x v="1"/>
    <x v="1"/>
    <s v="Asia"/>
    <s v="Strategic Partnership [战略伙伴关系] for Peace and Prosperity"/>
    <x v="0"/>
    <s v="INDOPACOM"/>
    <x v="153"/>
    <x v="26"/>
    <n v="10"/>
    <s v="ML - Abroad"/>
    <s v="Chang Wanquan"/>
    <m/>
    <s v="Defense Minister; CMC Member"/>
    <n v="8"/>
    <x v="1"/>
    <s v="Seventh China-ASEAN Defense Ministers' Informal Meeting in Laos"/>
    <x v="0"/>
    <m/>
    <m/>
    <m/>
    <m/>
    <x v="12"/>
    <m/>
    <m/>
    <s v="http://en.people.cn/n3/2016/0526/c90883-9063888.html"/>
    <s v="corrected partnership to strategic partnership for peace and prosperity"/>
  </r>
  <r>
    <x v="1"/>
    <x v="1"/>
    <s v="Asia"/>
    <s v="Strategic Partnership [战略伙伴关系] for Peace and Prosperity"/>
    <x v="0"/>
    <s v="INDOPACOM"/>
    <x v="153"/>
    <x v="26"/>
    <n v="10"/>
    <s v="ML - Abroad"/>
    <s v="Chang Wanquan"/>
    <m/>
    <s v="Defense Minister; CMC Member"/>
    <n v="8"/>
    <x v="1"/>
    <s v="4th ADMM+ Philippines"/>
    <x v="0"/>
    <m/>
    <m/>
    <m/>
    <m/>
    <x v="12"/>
    <m/>
    <m/>
    <s v="http://www.china.org.cn/world/2017-10/25/content_41788870.htm"/>
    <s v="corrected partnership to strategic partnership for peace and prosperity"/>
  </r>
  <r>
    <x v="1"/>
    <x v="8"/>
    <s v="Europe and Central Asia"/>
    <s v="Comprehensive Strategic Partnership [全面战略伙伴关系]"/>
    <x v="0"/>
    <s v="EUCOM"/>
    <x v="34"/>
    <x v="26"/>
    <n v="10"/>
    <s v="BL - Hosted"/>
    <s v="Chang Wanquan"/>
    <m/>
    <s v="Defense Minister; CMC Member"/>
    <n v="8"/>
    <x v="2"/>
    <s v="Defense Minister"/>
    <x v="0"/>
    <m/>
    <m/>
    <m/>
    <m/>
    <x v="12"/>
    <m/>
    <m/>
    <s v="http://english.chinamil.com.cn/view/2017-10/31/content_7806844.htm"/>
    <m/>
  </r>
  <r>
    <x v="2"/>
    <x v="1"/>
    <s v="Asia"/>
    <s v="Comprehensive Strategic Cooperative Partnership [全面战略合作伙伴关系]"/>
    <x v="0"/>
    <s v="INDOPACOM"/>
    <x v="94"/>
    <x v="26"/>
    <n v="10"/>
    <s v="Military Exercise - Bilateral"/>
    <m/>
    <m/>
    <m/>
    <m/>
    <x v="0"/>
    <m/>
    <x v="2"/>
    <s v="Unnamed"/>
    <s v="Navy"/>
    <s v="Maritime"/>
    <m/>
    <x v="12"/>
    <m/>
    <m/>
    <m/>
    <m/>
  </r>
  <r>
    <x v="0"/>
    <x v="1"/>
    <s v="Asia"/>
    <s v="Comprehensive Strategic Cooperative Partnership [全面战略合作伙伴关系]"/>
    <x v="0"/>
    <s v="INDOPACOM"/>
    <x v="94"/>
    <x v="26"/>
    <n v="10"/>
    <s v="Port Call - Friendly Visit"/>
    <m/>
    <m/>
    <m/>
    <m/>
    <x v="0"/>
    <m/>
    <x v="0"/>
    <m/>
    <m/>
    <m/>
    <s v="NETF"/>
    <x v="95"/>
    <s v="East Sea Fleet"/>
    <s v="DDG150 Changchun, FFG532 Jingzhou, AOR890 Chaohu"/>
    <s v="http://www.chinadaily.com.cn/china/2017-10/06/content_32901405.htm"/>
    <s v="Date inferred from Brunei and Thailand visit dates and wrapup article, which suggests this is the 19th of 20 port calls"/>
  </r>
  <r>
    <x v="0"/>
    <x v="7"/>
    <s v="West Asia and Africa"/>
    <s v="Comprehensive Strategic Partnership [全面战略伙伴关系]"/>
    <x v="0"/>
    <s v="AFRICOM"/>
    <x v="28"/>
    <x v="26"/>
    <n v="10"/>
    <s v="Port Call - Friendly Visit"/>
    <m/>
    <m/>
    <m/>
    <m/>
    <x v="0"/>
    <m/>
    <x v="0"/>
    <m/>
    <m/>
    <m/>
    <s v="NETF"/>
    <x v="94"/>
    <s v="East Sea Fleet"/>
    <m/>
    <s v="http://english.chinamil.com.cn/view/2017-10/11/content_7783463.htm"/>
    <m/>
  </r>
  <r>
    <x v="0"/>
    <x v="8"/>
    <s v="Europe and Central Asia"/>
    <s v="Comprehensive Strategic Partnership [全面战略伙伴关系]"/>
    <x v="5"/>
    <s v="EUCOM"/>
    <x v="22"/>
    <x v="26"/>
    <n v="10"/>
    <s v="Port Call - Friendly Visit"/>
    <m/>
    <m/>
    <m/>
    <m/>
    <x v="0"/>
    <m/>
    <x v="0"/>
    <m/>
    <m/>
    <m/>
    <s v="ETF"/>
    <x v="91"/>
    <s v="East Sea Fleet"/>
    <s v="FFG577 Huanggang, FFG578 Yangzhou"/>
    <s v="http://english.chinamil.com.cn/view/2017-10/17/content_7790399.htm"/>
    <m/>
  </r>
  <r>
    <x v="2"/>
    <x v="8"/>
    <s v="Europe and Central Asia"/>
    <s v="Comprehensive Strategic Partnership [全面战略伙伴关系]"/>
    <x v="5"/>
    <s v="EUCOM"/>
    <x v="22"/>
    <x v="26"/>
    <n v="10"/>
    <s v="Military Exercise - Bilateral"/>
    <m/>
    <m/>
    <m/>
    <m/>
    <x v="0"/>
    <m/>
    <x v="2"/>
    <s v="Unnamed"/>
    <s v="Navy"/>
    <s v="Maritime"/>
    <m/>
    <x v="12"/>
    <m/>
    <m/>
    <m/>
    <m/>
  </r>
  <r>
    <x v="0"/>
    <x v="7"/>
    <s v="West Asia and Africa"/>
    <s v="Comprehensive Cooperative Partnership [全面合作伙伴关系]"/>
    <x v="0"/>
    <s v="AFRICOM"/>
    <x v="67"/>
    <x v="26"/>
    <n v="10"/>
    <s v="Port Call - Friendly Visit"/>
    <m/>
    <m/>
    <m/>
    <m/>
    <x v="0"/>
    <m/>
    <x v="0"/>
    <m/>
    <m/>
    <m/>
    <s v="NETF"/>
    <x v="94"/>
    <s v="East Sea Fleet"/>
    <m/>
    <s v="http://eng.chinamil.com.cn/view/2017-10/09/content_7779858.htm"/>
    <m/>
  </r>
  <r>
    <x v="0"/>
    <x v="8"/>
    <s v="Europe and Central Asia"/>
    <s v="Comprehensive Strategic Partnership [全面战略伙伴关系]"/>
    <x v="5"/>
    <s v="EUCOM"/>
    <x v="20"/>
    <x v="26"/>
    <n v="10"/>
    <s v="Port Call - Friendly Visit"/>
    <m/>
    <m/>
    <m/>
    <m/>
    <x v="0"/>
    <m/>
    <x v="0"/>
    <m/>
    <m/>
    <m/>
    <s v="NETF"/>
    <x v="96"/>
    <s v="East Sea Fleet"/>
    <s v="TS83 QiJiguang"/>
    <s v="http://english.chinamil.com.cn/view/2017-10/30/content_7805014.htm"/>
    <m/>
  </r>
  <r>
    <x v="1"/>
    <x v="1"/>
    <s v="Asia"/>
    <s v="Comprehensive Strategic Cooperative Partnership [全面战略合作伙伴关系]"/>
    <x v="0"/>
    <s v="INDOPACOM"/>
    <x v="52"/>
    <x v="26"/>
    <n v="10"/>
    <s v="BL - Abroad"/>
    <s v="Chang Wanquan"/>
    <m/>
    <s v="Defense Minister; CMC Member"/>
    <n v="8"/>
    <x v="1"/>
    <s v="Defense Minister"/>
    <x v="0"/>
    <m/>
    <m/>
    <m/>
    <m/>
    <x v="12"/>
    <m/>
    <m/>
    <m/>
    <m/>
  </r>
  <r>
    <x v="1"/>
    <x v="1"/>
    <s v="Asia"/>
    <s v="Comprehensive Strategic Partnership [全面战略伙伴关系]"/>
    <x v="0"/>
    <s v="INDOPACOM"/>
    <x v="10"/>
    <x v="26"/>
    <n v="10"/>
    <s v="ML - Margins"/>
    <s v="Chang Wanquan"/>
    <m/>
    <s v="Defense Minister; CMC Member"/>
    <n v="8"/>
    <x v="1"/>
    <s v="Defense Minister"/>
    <x v="0"/>
    <m/>
    <m/>
    <m/>
    <m/>
    <x v="12"/>
    <m/>
    <m/>
    <s v="http://www.china.org.cn/world/2017-10/25/content_41788870.htm"/>
    <m/>
  </r>
  <r>
    <x v="1"/>
    <x v="1"/>
    <s v="Asia"/>
    <s v="Strategic Cooperative Partnership [战略合作伙伴关系]"/>
    <x v="3"/>
    <s v="INDOPACOM"/>
    <x v="11"/>
    <x v="26"/>
    <n v="10"/>
    <s v="BL - Abroad"/>
    <s v="Chang Wanquan"/>
    <m/>
    <s v="Defense Minister; CMC Member"/>
    <n v="8"/>
    <x v="1"/>
    <s v="President"/>
    <x v="0"/>
    <m/>
    <m/>
    <m/>
    <m/>
    <x v="12"/>
    <m/>
    <m/>
    <s v="http://www.xinhuanet.com//english/2017-10/26/c_136706834.htm; https://www.philstar.com/headlines/2017/10/25/1752613/philippines-china-agree-strengthen-defense-ties"/>
    <m/>
  </r>
  <r>
    <x v="0"/>
    <x v="8"/>
    <s v="Europe and Central Asia"/>
    <s v="Comprehensive Strategic Partnership [全面战略伙伴关系]"/>
    <x v="5"/>
    <s v="EUCOM"/>
    <x v="48"/>
    <x v="26"/>
    <n v="10"/>
    <s v="Port Call - Friendly Visit"/>
    <m/>
    <m/>
    <m/>
    <m/>
    <x v="0"/>
    <m/>
    <x v="0"/>
    <m/>
    <m/>
    <m/>
    <s v="NETF"/>
    <x v="96"/>
    <s v="East Sea Fleet"/>
    <s v="TS83 QiJiguang"/>
    <s v="http://english.chinamil.com.cn/view/2017-10/17/content_7790455.htm"/>
    <m/>
  </r>
  <r>
    <x v="1"/>
    <x v="3"/>
    <s v="Europe and Central Asia"/>
    <s v="Comprehensive Collaborative Strategic Partnership [全面战略协作伙伴关系]"/>
    <x v="0"/>
    <s v="EUCOM"/>
    <x v="7"/>
    <x v="26"/>
    <n v="10"/>
    <s v="ML - Margins"/>
    <s v="Chang Wanquan"/>
    <m/>
    <s v="Defense Minister; CMC Member"/>
    <n v="8"/>
    <x v="1"/>
    <s v="Defense Minister"/>
    <x v="0"/>
    <m/>
    <m/>
    <m/>
    <m/>
    <x v="12"/>
    <m/>
    <m/>
    <s v="http://eng.mil.ru/en/news_page/country/more.htm?id=12148169@egNews"/>
    <m/>
  </r>
  <r>
    <x v="1"/>
    <x v="1"/>
    <s v="Asia"/>
    <s v="All-Round Cooperative Partnership [全方合作伙伴关系]"/>
    <x v="0"/>
    <s v="INDOPACOM"/>
    <x v="39"/>
    <x v="26"/>
    <n v="10"/>
    <s v="ML - Margins"/>
    <s v="Chang Wanquan"/>
    <m/>
    <s v="Defense Minister; CMC Member"/>
    <n v="8"/>
    <x v="1"/>
    <s v="Defense Minister"/>
    <x v="0"/>
    <m/>
    <m/>
    <m/>
    <m/>
    <x v="12"/>
    <m/>
    <m/>
    <s v="http://english.chinamil.com.cn/view/2017-10/24/content_7798270.htm"/>
    <m/>
  </r>
  <r>
    <x v="1"/>
    <x v="4"/>
    <s v="Asia"/>
    <s v="Strategic Cooperative Partnership [战略合作伙伴关系]"/>
    <x v="3"/>
    <s v="INDOPACOM"/>
    <x v="25"/>
    <x v="26"/>
    <n v="10"/>
    <s v="ML - Margins"/>
    <s v="Chang Wanquan"/>
    <m/>
    <s v="Defense Minister; CMC Member"/>
    <n v="8"/>
    <x v="1"/>
    <s v="Defense Minister"/>
    <x v="0"/>
    <m/>
    <m/>
    <m/>
    <m/>
    <x v="12"/>
    <m/>
    <m/>
    <s v="http://www.china.org.cn/world/2017-10/25/content_41788870.htm"/>
    <m/>
  </r>
  <r>
    <x v="2"/>
    <x v="1"/>
    <s v="Asia"/>
    <s v="Comprehensive Strategic Cooperative Partnership [全面战略合作伙伴关系]"/>
    <x v="3"/>
    <s v="INDOPACOM"/>
    <x v="5"/>
    <x v="26"/>
    <n v="10"/>
    <s v="Military Exercise - Bilateral"/>
    <m/>
    <m/>
    <m/>
    <m/>
    <x v="0"/>
    <m/>
    <x v="2"/>
    <s v="Unnamed"/>
    <s v="Navy"/>
    <s v="Maritime"/>
    <m/>
    <x v="12"/>
    <m/>
    <m/>
    <m/>
    <m/>
  </r>
  <r>
    <x v="0"/>
    <x v="1"/>
    <s v="Asia"/>
    <s v="Comprehensive Strategic Cooperative Partnership [全面战略合作伙伴关系]"/>
    <x v="3"/>
    <s v="INDOPACOM"/>
    <x v="5"/>
    <x v="26"/>
    <n v="10"/>
    <s v="Port Call - Friendly Visit"/>
    <m/>
    <m/>
    <m/>
    <m/>
    <x v="0"/>
    <m/>
    <x v="0"/>
    <m/>
    <m/>
    <m/>
    <s v="NETF"/>
    <x v="95"/>
    <s v="East Sea Fleet"/>
    <s v="DDG150 Changchun, FFG532 Jingzhou, AOR890 Chaohu"/>
    <s v="http://www.chinadaily.com.cn/china/2017-10/06/content_32901405.htm"/>
    <s v="Last stop of 20 country, six month series of port calls"/>
  </r>
  <r>
    <x v="0"/>
    <x v="8"/>
    <s v="Europe and Central Asia"/>
    <s v="Comprehensive Strategic Partnership [全面战略伙伴关系]"/>
    <x v="5"/>
    <s v="EUCOM"/>
    <x v="21"/>
    <x v="26"/>
    <n v="10"/>
    <s v="Port Call - Friendly Visit"/>
    <m/>
    <m/>
    <m/>
    <m/>
    <x v="0"/>
    <m/>
    <x v="0"/>
    <m/>
    <m/>
    <m/>
    <s v="ETF"/>
    <x v="91"/>
    <s v="East Sea Fleet"/>
    <s v="FFG577 Huanggang, FFG578 Yangzhou"/>
    <s v="http://english.chinamil.com.cn/view/2017-10/06/content_7778058.htm"/>
    <m/>
  </r>
  <r>
    <x v="0"/>
    <x v="0"/>
    <s v="Asia"/>
    <s v="Strategic Cooperative Partnership [战略合作伙伴关系]"/>
    <x v="0"/>
    <s v="INDOPACOM"/>
    <x v="0"/>
    <x v="26"/>
    <n v="11"/>
    <s v="Port Call - Friendly Visit"/>
    <m/>
    <m/>
    <m/>
    <m/>
    <x v="0"/>
    <m/>
    <x v="0"/>
    <m/>
    <m/>
    <m/>
    <s v="NETF"/>
    <x v="97"/>
    <s v="East Sea Fleet"/>
    <s v="FFG571 Yuncheng"/>
    <s v=" http://english.chinamil.com.cn/view/2017-11/27/content_7845199.htm; http://english.chinamil.com.cn/view/2017-11/28/content_7847148.htm"/>
    <s v="Had previously participated in Joint Sea 2017 with DDG Hefei"/>
  </r>
  <r>
    <x v="1"/>
    <x v="8"/>
    <s v="Europe and Central Asia"/>
    <s v="Comprehensive Friendly Cooperative Partnership [全面友好合作伙伴关系]"/>
    <x v="5"/>
    <s v="EUCOM"/>
    <x v="79"/>
    <x v="26"/>
    <n v="11"/>
    <s v="BL - Hosted"/>
    <s v="Ding Laihang "/>
    <m/>
    <s v="PLAAF Commander "/>
    <n v="6"/>
    <x v="2"/>
    <s v="Commander of Air Force"/>
    <x v="0"/>
    <m/>
    <m/>
    <m/>
    <m/>
    <x v="12"/>
    <m/>
    <m/>
    <s v="http://english.chinamil.com.cn/view/2017-11/28/content_7847062.htm"/>
    <m/>
  </r>
  <r>
    <x v="1"/>
    <x v="7"/>
    <s v="West Asia and Africa"/>
    <s v="No Specific Relationship"/>
    <x v="0"/>
    <s v="AFRICOM"/>
    <x v="132"/>
    <x v="26"/>
    <n v="11"/>
    <s v="BL - Hosted"/>
    <s v="Chang Wanquan"/>
    <m/>
    <s v="Defense Minister; CMC Member"/>
    <n v="8"/>
    <x v="2"/>
    <s v="Minister for Foreign Affairs "/>
    <x v="0"/>
    <m/>
    <m/>
    <m/>
    <m/>
    <x v="12"/>
    <m/>
    <m/>
    <s v="http://english.chinamil.com.cn/view/2017-11/10/content_7819995.htm"/>
    <m/>
  </r>
  <r>
    <x v="2"/>
    <x v="0"/>
    <s v="Asia"/>
    <s v="No Specific Relationship"/>
    <x v="0"/>
    <s v="INDOPACOM"/>
    <x v="164"/>
    <x v="26"/>
    <n v="11"/>
    <s v="Military Exercise - Multilateral"/>
    <m/>
    <m/>
    <m/>
    <m/>
    <x v="0"/>
    <m/>
    <x v="2"/>
    <s v="International Maritime Search and Rescue Exercise"/>
    <s v="Navy"/>
    <s v="Search and rescue; held in Bangladesh"/>
    <m/>
    <x v="12"/>
    <m/>
    <m/>
    <m/>
    <m/>
  </r>
  <r>
    <x v="0"/>
    <x v="7"/>
    <s v="West Asia and Africa"/>
    <s v="Comprehensive Strategic Cooperative Partnership [全面战略合作伙伴关系]"/>
    <x v="0"/>
    <s v="AFRICOM"/>
    <x v="84"/>
    <x v="26"/>
    <n v="11"/>
    <s v="Port Call - Friendly Visit"/>
    <m/>
    <m/>
    <m/>
    <m/>
    <x v="0"/>
    <m/>
    <x v="0"/>
    <m/>
    <m/>
    <m/>
    <s v="NETF"/>
    <x v="98"/>
    <s v="East Sea Fleet"/>
    <m/>
    <s v="http://english.chinamil.com.cn/view/2017-11/08/content_7816817.htm"/>
    <m/>
  </r>
  <r>
    <x v="1"/>
    <x v="1"/>
    <s v="Asia"/>
    <s v="Comprehensive Strategic Cooperative Partnership [全面战略合作伙伴关系]"/>
    <x v="0"/>
    <s v="INDOPACOM"/>
    <x v="1"/>
    <x v="26"/>
    <n v="11"/>
    <s v="BL - Hosted"/>
    <s v="Xu Qiliang"/>
    <m/>
    <s v="CMC Vice Chairman"/>
    <n v="10"/>
    <x v="2"/>
    <s v="Visiting Commander in Chief"/>
    <x v="0"/>
    <m/>
    <m/>
    <m/>
    <m/>
    <x v="12"/>
    <m/>
    <m/>
    <m/>
    <m/>
  </r>
  <r>
    <x v="1"/>
    <x v="5"/>
    <s v="America and Oceania"/>
    <s v="Comprehensive Strategic Partnership [全面战略伙伴关系]"/>
    <x v="4"/>
    <s v="INDOPACOM"/>
    <x v="13"/>
    <x v="26"/>
    <n v="11"/>
    <s v="BL - Hosted"/>
    <s v="Song Puxuan"/>
    <m/>
    <s v="CMC/LSD Director"/>
    <n v="8"/>
    <x v="2"/>
    <s v="Commander of the Logistics Command "/>
    <x v="0"/>
    <m/>
    <m/>
    <m/>
    <m/>
    <x v="12"/>
    <m/>
    <m/>
    <s v="http://english.chinamil.com.cn/view/2017-11/02/content_7810455.htm"/>
    <m/>
  </r>
  <r>
    <x v="1"/>
    <x v="0"/>
    <s v="Asia"/>
    <s v="All-Weather Strategic Cooperative Partnership [全天候战略合作伙伴关系]"/>
    <x v="1"/>
    <s v="CENTCOM"/>
    <x v="2"/>
    <x v="26"/>
    <n v="11"/>
    <s v="BL - Hosted"/>
    <s v="Li Zuocheng"/>
    <m/>
    <s v="PLAA Commander"/>
    <n v="6"/>
    <x v="2"/>
    <s v="Chief of General Staff"/>
    <x v="0"/>
    <m/>
    <m/>
    <m/>
    <m/>
    <x v="12"/>
    <m/>
    <m/>
    <s v="http://english.chinamil.com.cn/view/2017-11/20/content_7833802.htm"/>
    <m/>
  </r>
  <r>
    <x v="2"/>
    <x v="0"/>
    <s v="Asia"/>
    <s v="All-Weather Strategic Cooperative Partnership [全天候战略合作伙伴关系]"/>
    <x v="1"/>
    <s v="CENTCOM"/>
    <x v="2"/>
    <x v="26"/>
    <n v="11"/>
    <s v="Military Exercise - Bilateral"/>
    <m/>
    <m/>
    <m/>
    <m/>
    <x v="0"/>
    <m/>
    <x v="2"/>
    <s v="Unnamed"/>
    <s v="Navy"/>
    <s v="Maritime"/>
    <m/>
    <x v="12"/>
    <m/>
    <m/>
    <m/>
    <m/>
  </r>
  <r>
    <x v="0"/>
    <x v="0"/>
    <s v="Asia"/>
    <s v="Strategic Cooperative Partnership [战略合作伙伴关系]"/>
    <x v="0"/>
    <s v="INDOPACOM"/>
    <x v="3"/>
    <x v="26"/>
    <n v="11"/>
    <s v="Port Call - Friendly Visit"/>
    <m/>
    <m/>
    <m/>
    <m/>
    <x v="0"/>
    <m/>
    <x v="0"/>
    <m/>
    <m/>
    <m/>
    <s v="NETF"/>
    <x v="99"/>
    <s v="East Sea Fleet"/>
    <s v="TS83 QiJiguang"/>
    <s v="http://english.chinamil.com.cn/view/2017-11/15/content_7827412.htm"/>
    <m/>
  </r>
  <r>
    <x v="0"/>
    <x v="7"/>
    <s v="West Asia and Africa"/>
    <s v="Comprehensive Cooperative Partnership [全面合作伙伴关系]"/>
    <x v="0"/>
    <s v="AFRICOM"/>
    <x v="16"/>
    <x v="26"/>
    <n v="11"/>
    <s v="Port Call - Friendly Visit"/>
    <m/>
    <m/>
    <m/>
    <m/>
    <x v="0"/>
    <m/>
    <x v="0"/>
    <m/>
    <m/>
    <m/>
    <s v="NETF"/>
    <x v="98"/>
    <s v="East Sea Fleet"/>
    <m/>
    <s v="http://english.chinamil.com.cn/view/2017-11/20/content_7832446.htm"/>
    <m/>
  </r>
  <r>
    <x v="0"/>
    <x v="1"/>
    <s v="Asia"/>
    <s v="Comprehensive Strategic Cooperative Partnership [全面战略合作伙伴关系]"/>
    <x v="3"/>
    <s v="INDOPACOM"/>
    <x v="5"/>
    <x v="26"/>
    <n v="11"/>
    <s v="Port Call - Friendly Visit"/>
    <m/>
    <m/>
    <m/>
    <m/>
    <x v="0"/>
    <m/>
    <x v="0"/>
    <m/>
    <m/>
    <m/>
    <s v="NETF"/>
    <x v="99"/>
    <s v="East Sea Fleet"/>
    <s v="TS83 QiJiguang"/>
    <s v="http://eng.chinamil.com.cn/view/2017-11/27/content_7845180.htm"/>
    <m/>
  </r>
  <r>
    <x v="0"/>
    <x v="1"/>
    <s v="Asia"/>
    <s v="Comprehensive Strategic Cooperative Partnership [全面战略合作伙伴关系]"/>
    <x v="3"/>
    <s v="INDOPACOM"/>
    <x v="5"/>
    <x v="26"/>
    <n v="11"/>
    <s v="Port Call - Friendly Visit"/>
    <m/>
    <m/>
    <m/>
    <m/>
    <x v="0"/>
    <m/>
    <x v="0"/>
    <m/>
    <m/>
    <m/>
    <s v="NETF"/>
    <x v="100"/>
    <s v="East Sea Fleet"/>
    <s v="DDG150 Changchun"/>
    <s v="http://english.chinamil.com.cn/view/2017-11/10/content_7820123.htm"/>
    <s v="Participated in International Fleet Review 2017; sailed from Zhoushan"/>
  </r>
  <r>
    <x v="2"/>
    <x v="2"/>
    <s v="America and Oceania"/>
    <s v="No Specific Relationship"/>
    <x v="2"/>
    <s v="NORTHCOM"/>
    <x v="4"/>
    <x v="26"/>
    <n v="11"/>
    <s v="Military Exercise - Bilateral"/>
    <m/>
    <m/>
    <m/>
    <m/>
    <x v="0"/>
    <m/>
    <x v="2"/>
    <s v="13th China-US Disaster Management TTX"/>
    <s v="Army"/>
    <s v="Oregon; HADR academic discussion; TTX; and field exchange"/>
    <m/>
    <x v="12"/>
    <m/>
    <m/>
    <s v="http://english.chinamil.com.cn/view/2017-11/20/content_7833799.htm; https://www.defense.gov/News/News-Stories/Article/Article/1380334/us-chinese-troops-attend-disaster-management-exchange/"/>
    <m/>
  </r>
  <r>
    <x v="1"/>
    <x v="2"/>
    <s v="America and Oceania"/>
    <s v="No Specific Relationship"/>
    <x v="2"/>
    <s v="NORTHCOM"/>
    <x v="4"/>
    <x v="26"/>
    <n v="11"/>
    <s v="BL - Abroad"/>
    <s v="Shao Yuanming"/>
    <m/>
    <s v="CMC/JSD DCJS"/>
    <n v="5"/>
    <x v="1"/>
    <s v="Director for Strategic Plans and Policy of the Joint Chiefs of Staff"/>
    <x v="0"/>
    <m/>
    <m/>
    <m/>
    <m/>
    <x v="12"/>
    <m/>
    <m/>
    <s v="http://english.chinamil.com.cn/view/2017-11/30/content_7851222.htm"/>
    <s v="JSD/DCJS position downgraded to TC deputy grade; position weights adjusted"/>
  </r>
  <r>
    <x v="1"/>
    <x v="7"/>
    <s v="West Asia and Africa"/>
    <s v="No Specific Relationship"/>
    <x v="0"/>
    <s v="AFRICOM"/>
    <x v="61"/>
    <x v="26"/>
    <n v="11"/>
    <s v="BL - Hosted"/>
    <s v="Ding Laihang "/>
    <m/>
    <s v="PLAAF Commander "/>
    <n v="6"/>
    <x v="2"/>
    <s v="Commander of Air Force"/>
    <x v="0"/>
    <m/>
    <m/>
    <m/>
    <m/>
    <x v="12"/>
    <m/>
    <m/>
    <s v="http://english.chinamil.com.cn/view/2017-11/17/content_7831111.htm"/>
    <m/>
  </r>
  <r>
    <x v="1"/>
    <x v="7"/>
    <s v="West Asia and Africa"/>
    <s v="No Specific Relationship"/>
    <x v="0"/>
    <s v="AFRICOM"/>
    <x v="86"/>
    <x v="26"/>
    <n v="11"/>
    <s v="BL - Hosted"/>
    <s v="Chang Wanquan"/>
    <m/>
    <s v="Defense Minister; CMC Member"/>
    <n v="8"/>
    <x v="2"/>
    <s v="Commander of Defense Forces"/>
    <x v="0"/>
    <m/>
    <m/>
    <m/>
    <m/>
    <x v="12"/>
    <m/>
    <m/>
    <s v="http://english.chinamil.com.cn/view/2017-11/09/content_7818645.htm"/>
    <m/>
  </r>
  <r>
    <x v="1"/>
    <x v="0"/>
    <s v="Europe and Central Asia"/>
    <s v="Strategic Partnership [战略伙伴关系]"/>
    <x v="1"/>
    <s v="CENTCOM"/>
    <x v="123"/>
    <x v="26"/>
    <n v="12"/>
    <s v="BL - Hosted"/>
    <s v="Chang Wanquan"/>
    <m/>
    <s v="Defense Minister; CMC Member"/>
    <n v="8"/>
    <x v="2"/>
    <s v="Defense Minister"/>
    <x v="0"/>
    <m/>
    <m/>
    <m/>
    <m/>
    <x v="12"/>
    <m/>
    <m/>
    <s v="http://english.chinamil.com.cn/view/2017-12/27/content_7886245.htm"/>
    <m/>
  </r>
  <r>
    <x v="2"/>
    <x v="5"/>
    <s v="America and Oceania"/>
    <s v="Comprehensive Strategic Partnership [全面战略伙伴关系]"/>
    <x v="4"/>
    <s v="INDOPACOM"/>
    <x v="12"/>
    <x v="26"/>
    <n v="12"/>
    <s v="Military Exercise - Multilateral"/>
    <m/>
    <m/>
    <m/>
    <m/>
    <x v="0"/>
    <m/>
    <x v="2"/>
    <s v="Cooperation Spirit 2017"/>
    <s v="Navy"/>
    <s v="Humanitarian aid "/>
    <m/>
    <x v="12"/>
    <m/>
    <m/>
    <s v="http://english.chinamil.com.cn/view/2017-12/07/content_7858238.htm"/>
    <m/>
  </r>
  <r>
    <x v="1"/>
    <x v="1"/>
    <s v="Asia"/>
    <s v="Comprehensive Strategic Cooperative Partnership [全面战略合作伙伴关系]"/>
    <x v="0"/>
    <s v="INDOPACOM"/>
    <x v="94"/>
    <x v="26"/>
    <n v="12"/>
    <s v="BL - Hosted"/>
    <s v="Ma Yiming"/>
    <m/>
    <s v="CMC/JSD DCJS"/>
    <n v="5"/>
    <x v="2"/>
    <s v="Deputy Commander in Chief"/>
    <x v="0"/>
    <m/>
    <m/>
    <m/>
    <m/>
    <x v="12"/>
    <m/>
    <m/>
    <m/>
    <s v="JSD/DCJS position downgraded to TC deputy grade; position weights adjusted"/>
  </r>
  <r>
    <x v="0"/>
    <x v="1"/>
    <s v="Asia"/>
    <s v="Comprehensive Cooperative Partnership [全面合作伙伴关系]"/>
    <x v="0"/>
    <s v="INDOPACOM"/>
    <x v="50"/>
    <x v="26"/>
    <n v="12"/>
    <s v="Port Call - Friendly Visit"/>
    <m/>
    <m/>
    <m/>
    <m/>
    <x v="0"/>
    <m/>
    <x v="0"/>
    <m/>
    <m/>
    <m/>
    <s v="NETF"/>
    <x v="101"/>
    <s v="East Sea Fleet "/>
    <m/>
    <s v="http://eng.chinamil.com.cn/view/2017-12/15/content_7870166.htm"/>
    <m/>
  </r>
  <r>
    <x v="2"/>
    <x v="1"/>
    <s v="Asia"/>
    <s v="Comprehensive Cooperative Partnership [全面合作伙伴关系]"/>
    <x v="0"/>
    <s v="INDOPACOM"/>
    <x v="50"/>
    <x v="26"/>
    <n v="12"/>
    <s v="Military Exercise - Bilateral"/>
    <m/>
    <m/>
    <m/>
    <m/>
    <x v="0"/>
    <m/>
    <x v="2"/>
    <s v="Unnamed"/>
    <s v="Navy"/>
    <s v="Humanitarian assistance and disaster relief"/>
    <m/>
    <x v="12"/>
    <m/>
    <m/>
    <m/>
    <m/>
  </r>
  <r>
    <x v="1"/>
    <x v="7"/>
    <s v="West Asia and Africa"/>
    <s v="Comprehensive Cooperative Partnership [全面合作伙伴关系]"/>
    <x v="0"/>
    <s v="AFRICOM"/>
    <x v="67"/>
    <x v="26"/>
    <n v="12"/>
    <s v="BL - Hosted"/>
    <s v="Chang Wanquan"/>
    <m/>
    <s v="Defense Minister; CMC Member"/>
    <n v="8"/>
    <x v="2"/>
    <s v="Defense Minister"/>
    <x v="0"/>
    <m/>
    <m/>
    <m/>
    <m/>
    <x v="12"/>
    <m/>
    <m/>
    <s v="http://english.chinamil.com.cn/view/2017-12/19/content_7873974.htm"/>
    <m/>
  </r>
  <r>
    <x v="1"/>
    <x v="9"/>
    <s v="West Asia and Africa"/>
    <s v="Comprehensive Strategic Partnership [全面战略伙伴关系]"/>
    <x v="0"/>
    <s v="CENTCOM"/>
    <x v="89"/>
    <x v="26"/>
    <n v="12"/>
    <s v="BL - Hosted"/>
    <s v="Chang Wanquan"/>
    <m/>
    <s v="Defense Minister; CMC Member"/>
    <n v="8"/>
    <x v="2"/>
    <s v="Defense Minister"/>
    <x v="0"/>
    <m/>
    <m/>
    <m/>
    <m/>
    <x v="12"/>
    <m/>
    <m/>
    <s v="http://english.chinamil.com.cn/view/2017-12/11/content_7863222.htm"/>
    <m/>
  </r>
  <r>
    <x v="1"/>
    <x v="7"/>
    <s v="West Asia and Africa"/>
    <s v="Comprehensive Strategic Cooperative Partnership [全面战略合作伙伴关系]"/>
    <x v="0"/>
    <s v="AFRICOM"/>
    <x v="84"/>
    <x v="26"/>
    <n v="12"/>
    <s v="BL - Hosted"/>
    <s v="Li Zuocheng"/>
    <m/>
    <s v="CMC/JSD CJS"/>
    <n v="8"/>
    <x v="2"/>
    <s v="Chief of General Staff"/>
    <x v="0"/>
    <m/>
    <m/>
    <m/>
    <m/>
    <x v="12"/>
    <m/>
    <m/>
    <s v="http://english.chinamil.com.cn/view/2017-12/13/content_7865423.htm; http://english.chinamil.com.cn/view/2017-12/21/content_7878182.htm"/>
    <m/>
  </r>
  <r>
    <x v="2"/>
    <x v="0"/>
    <s v="Asia"/>
    <s v="All-Weather Strategic Cooperative Partnership [全天候战略合作伙伴关系]"/>
    <x v="1"/>
    <s v="CENTCOM"/>
    <x v="2"/>
    <x v="26"/>
    <n v="12"/>
    <s v="Military Exercise - Bilateral"/>
    <m/>
    <m/>
    <m/>
    <m/>
    <x v="0"/>
    <m/>
    <x v="4"/>
    <s v="Friend-2017"/>
    <s v="Navy"/>
    <s v="Anti-piracy"/>
    <m/>
    <x v="12"/>
    <m/>
    <m/>
    <s v="http://english.chinamil.com.cn/view/2017-12/05/content_7855318.htm"/>
    <m/>
  </r>
  <r>
    <x v="1"/>
    <x v="3"/>
    <s v="Europe and Central Asia"/>
    <s v="Comprehensive Collaborative Strategic Partnership [全面战略协作伙伴关系]"/>
    <x v="0"/>
    <s v="EUCOM"/>
    <x v="7"/>
    <x v="26"/>
    <n v="12"/>
    <s v="BL - Abroad"/>
    <s v="Zhang Youxia"/>
    <m/>
    <s v="CMC Vice Chairman"/>
    <n v="10"/>
    <x v="1"/>
    <s v="Defense Minister"/>
    <x v="0"/>
    <m/>
    <m/>
    <m/>
    <m/>
    <x v="12"/>
    <m/>
    <m/>
    <s v="http://english.chinamil.com.cn/view/2017-12/21/content_7878182.htm; http://english.chinamil.com.cn/view/2017-12/06/content_7857475.htm"/>
    <m/>
  </r>
  <r>
    <x v="2"/>
    <x v="3"/>
    <s v="Europe and Central Asia"/>
    <s v="Comprehensive Collaborative Strategic Partnership [全面战略协作伙伴关系]"/>
    <x v="0"/>
    <s v="EUCOM"/>
    <x v="7"/>
    <x v="26"/>
    <n v="12"/>
    <s v="Military Exercise - Bilateral"/>
    <m/>
    <m/>
    <m/>
    <m/>
    <x v="0"/>
    <m/>
    <x v="1"/>
    <s v="Cooperation 2017"/>
    <s v="PAP"/>
    <s v="Held in Yinchuan; &quot;training of assault into buildings, searching and combating in blocks and anti-hijacking of bus&quot;"/>
    <m/>
    <x v="12"/>
    <m/>
    <m/>
    <s v="http://english.chinamil.com.cn/view/2017-12/09/content_7861253.htm"/>
    <m/>
  </r>
  <r>
    <x v="2"/>
    <x v="3"/>
    <s v="Europe and Central Asia"/>
    <s v="Comprehensive Collaborative Strategic Partnership [全面战略协作伙伴关系]"/>
    <x v="0"/>
    <s v="EUCOM"/>
    <x v="7"/>
    <x v="26"/>
    <n v="12"/>
    <s v="Military Exercise - Bilateral"/>
    <m/>
    <m/>
    <m/>
    <m/>
    <x v="0"/>
    <m/>
    <x v="7"/>
    <s v="Aerospace Security 2017"/>
    <s v="Air Force"/>
    <s v="Computer-enabled missile defense exercise (TTX).  Held at  Air Defense and Anti-Missile Defense Research Institute of the Air Force Academy of the Chinese People's Liberation Army in Beijing."/>
    <m/>
    <x v="12"/>
    <m/>
    <m/>
    <s v="2019 Defense White Paper "/>
    <s v="Included even though it is a CPX due to the strategic significance of the exercise subject"/>
  </r>
  <r>
    <x v="1"/>
    <x v="1"/>
    <s v="Asia"/>
    <s v="All-Round Cooperative Partnership [全方合作伙伴关系]"/>
    <x v="0"/>
    <s v="INDOPACOM"/>
    <x v="39"/>
    <x v="26"/>
    <n v="12"/>
    <s v="BL - Abroad"/>
    <s v="Jiang Guoping"/>
    <m/>
    <s v="CMC/JSD Assistant Commander"/>
    <n v="5"/>
    <x v="1"/>
    <s v="Defense Minister"/>
    <x v="0"/>
    <m/>
    <m/>
    <m/>
    <m/>
    <x v="12"/>
    <m/>
    <m/>
    <s v="http://english.chinamil.com.cn/view/2017-12/13/content_7866854.htm"/>
    <s v="Added source"/>
  </r>
  <r>
    <x v="1"/>
    <x v="6"/>
    <s v="Europe and Central Asia"/>
    <s v="Comprehensive Strategic Partnership [全面战略伙伴关系]"/>
    <x v="0"/>
    <s v="CENTCOM"/>
    <x v="73"/>
    <x v="26"/>
    <n v="12"/>
    <s v="BL - Abroad"/>
    <s v="Chang Wanquan"/>
    <m/>
    <s v="Defense Minister; CMC Member"/>
    <n v="8"/>
    <x v="1"/>
    <s v="Major General"/>
    <x v="0"/>
    <m/>
    <m/>
    <m/>
    <m/>
    <x v="12"/>
    <m/>
    <m/>
    <s v="http://english.chinamil.com.cn/view/2017-12/14/content_7868625.htm; http://english.chinamil.com.cn/view/2017-12/20/content_7877799.htm"/>
    <m/>
  </r>
  <r>
    <x v="0"/>
    <x v="7"/>
    <s v="West Asia and Africa"/>
    <s v="Comprehensive Strategic Partnership [全面战略伙伴关系]"/>
    <x v="0"/>
    <s v="AFRICOM"/>
    <x v="76"/>
    <x v="27"/>
    <n v="1"/>
    <s v="Port Call - Friendly Visit"/>
    <m/>
    <m/>
    <m/>
    <m/>
    <x v="0"/>
    <m/>
    <x v="0"/>
    <m/>
    <m/>
    <m/>
    <s v="ETF"/>
    <x v="102"/>
    <s v="South Sea Fleet"/>
    <s v="DDG171 Haikou, FFG575 Yueyang"/>
    <s v="http://english.chinamil.com.cn/view/2018-01/09/content_7901186.htm"/>
    <m/>
  </r>
  <r>
    <x v="0"/>
    <x v="7"/>
    <s v="West Asia and Africa"/>
    <s v="Strategic Partnership [战略伙伴关系]"/>
    <x v="1"/>
    <s v="AFRICOM"/>
    <x v="27"/>
    <x v="27"/>
    <n v="1"/>
    <s v="Port Call - Friendly Visit"/>
    <m/>
    <m/>
    <m/>
    <m/>
    <x v="0"/>
    <m/>
    <x v="0"/>
    <m/>
    <m/>
    <m/>
    <s v="ETF"/>
    <x v="102"/>
    <s v="South Sea Fleet"/>
    <s v="DDG171 Haikou, FFG575 Yueyang"/>
    <s v="http://english.chinamil.com.cn/view/2018-01/30/content_7926171.htm"/>
    <m/>
  </r>
  <r>
    <x v="1"/>
    <x v="1"/>
    <s v="Asia"/>
    <s v="Comprehensive Strategic Cooperative Partnership [全面战略合作伙伴关系]"/>
    <x v="0"/>
    <s v="INDOPACOM"/>
    <x v="1"/>
    <x v="27"/>
    <n v="1"/>
    <s v="BL - Hosted"/>
    <s v="Chang Wanquan"/>
    <m/>
    <s v="Defense Minister; CMC Member"/>
    <n v="8"/>
    <x v="2"/>
    <s v="Navy Commander"/>
    <x v="0"/>
    <m/>
    <m/>
    <m/>
    <m/>
    <x v="12"/>
    <m/>
    <m/>
    <s v="http://www.81.cn/jwzb/2018-01/12/content_7906916.htm; http://english.chinamil.com.cn/view/2018-01/17/content_7912398.htm"/>
    <s v="Added; MINDEF and MY Navy Chief as participants"/>
  </r>
  <r>
    <x v="1"/>
    <x v="1"/>
    <s v="Asia"/>
    <s v="Comprehensive Strategic Cooperative Partnership [全面战略合作伙伴关系]"/>
    <x v="0"/>
    <s v="INDOPACOM"/>
    <x v="1"/>
    <x v="27"/>
    <n v="1"/>
    <s v="BL - Abroad"/>
    <s v="Shao Yuanming"/>
    <m/>
    <s v="CMC/JSD DCJS"/>
    <n v="5"/>
    <x v="2"/>
    <s v="Minister of International Cooperation "/>
    <x v="0"/>
    <m/>
    <m/>
    <m/>
    <m/>
    <x v="12"/>
    <m/>
    <m/>
    <s v="http://english.chinamil.com.cn/view/2018-01/17/content_7912398.htm; http://www.xinhuanet.com/english/2018-01/17/c_136903260.htm"/>
    <s v="diplomacy and defense talks; original entry miscoded as hosted visit; JSD/DCJS position downgraded so position weight adjusted"/>
  </r>
  <r>
    <x v="0"/>
    <x v="7"/>
    <s v="West Asia and Africa"/>
    <s v="No Specific Relationship"/>
    <x v="1"/>
    <s v="AFRICOM"/>
    <x v="85"/>
    <x v="27"/>
    <n v="1"/>
    <s v="Port Call - Friendly Visit"/>
    <m/>
    <m/>
    <m/>
    <m/>
    <x v="0"/>
    <m/>
    <x v="0"/>
    <m/>
    <m/>
    <m/>
    <s v="ETF"/>
    <x v="102"/>
    <s v="South Sea Fleet"/>
    <s v="DDG171 Haikou, FFG575 Yueyang"/>
    <s v="http://english.chinamil.com.cn/view/2018-01/23/content_7918716.htm"/>
    <m/>
  </r>
  <r>
    <x v="1"/>
    <x v="1"/>
    <s v="Asia"/>
    <s v="Strategic Partnership [战略伙伴关系] for Peace and Prosperity"/>
    <x v="0"/>
    <s v="INDOPACOM"/>
    <x v="153"/>
    <x v="27"/>
    <n v="2"/>
    <s v="ML - Abroad"/>
    <s v="Chang Wanquan"/>
    <m/>
    <s v="Defense Minister; CMC Member"/>
    <n v="8"/>
    <x v="1"/>
    <s v="Eighth China-ASEAN Defense Ministers' Informal Meeting in Singapore"/>
    <x v="0"/>
    <m/>
    <m/>
    <m/>
    <m/>
    <x v="12"/>
    <m/>
    <m/>
    <s v="http://eng.chinamil.com.cn/view/2018-02/08/content_7938520.htm"/>
    <s v="corrected partnership to strategic partnership for peace and prosperity"/>
  </r>
  <r>
    <x v="1"/>
    <x v="7"/>
    <s v="West Asia and Africa"/>
    <s v="Comprehensive Cooperative Partnership [全面合作伙伴关系]"/>
    <x v="0"/>
    <s v="AFRICOM"/>
    <x v="46"/>
    <x v="27"/>
    <n v="2"/>
    <s v="BL - Abroad"/>
    <s v="Chang Wanquan"/>
    <m/>
    <s v="Defense Minister; CMC Member"/>
    <n v="8"/>
    <x v="1"/>
    <s v="Defense Minister"/>
    <x v="0"/>
    <m/>
    <m/>
    <m/>
    <m/>
    <x v="12"/>
    <m/>
    <m/>
    <s v="http://www.xinhuanet.com/english/2018-02/26/c_137001512.htm"/>
    <m/>
  </r>
  <r>
    <x v="1"/>
    <x v="7"/>
    <s v="West Asia and Africa"/>
    <s v="Comprehensive Cooperative Partnership [全面合作伙伴关系]"/>
    <x v="0"/>
    <s v="AFRICOM"/>
    <x v="67"/>
    <x v="27"/>
    <n v="2"/>
    <s v="BL - Abroad"/>
    <s v="Chang Wanquan"/>
    <m/>
    <s v="Defense Minister; CMC Member"/>
    <n v="8"/>
    <x v="1"/>
    <s v="Defense Minister"/>
    <x v="0"/>
    <m/>
    <m/>
    <m/>
    <m/>
    <x v="12"/>
    <m/>
    <m/>
    <s v="http://english.chinamil.com.cn/view/2018-02/26/content_7952675.htm"/>
    <m/>
  </r>
  <r>
    <x v="1"/>
    <x v="1"/>
    <s v="Asia"/>
    <s v="All-Round Cooperative Partnership [全方合作伙伴关系]"/>
    <x v="0"/>
    <s v="INDOPACOM"/>
    <x v="39"/>
    <x v="27"/>
    <n v="2"/>
    <s v="BL - Abroad"/>
    <s v="Chang Wanquan"/>
    <m/>
    <s v="Defense Minister; CMC Member"/>
    <n v="8"/>
    <x v="1"/>
    <s v="Defense Minister"/>
    <x v="0"/>
    <m/>
    <m/>
    <m/>
    <m/>
    <x v="12"/>
    <m/>
    <m/>
    <s v="http://english.chinamil.com.cn/view/2018-02/06/content_7934820.htm; http://www.xinhuanet.com/overseas/2018-02/07/c_1122383474.htm."/>
    <s v="BL with SG and informal meeting with ASEAN Defense Ministers"/>
  </r>
  <r>
    <x v="0"/>
    <x v="7"/>
    <s v="West Asia and Africa"/>
    <s v="Comprehensive Strategic Partnership [全面战略伙伴关系]"/>
    <x v="0"/>
    <s v="AFRICOM"/>
    <x v="15"/>
    <x v="27"/>
    <n v="2"/>
    <s v="Port Call - Replenish/Overhaul"/>
    <m/>
    <m/>
    <m/>
    <m/>
    <x v="0"/>
    <m/>
    <x v="0"/>
    <m/>
    <m/>
    <m/>
    <s v="ETF"/>
    <x v="102"/>
    <s v="South Sea Fleet"/>
    <s v="DDG171 Haikou, FFG575 Yueyang"/>
    <s v="http://english.chinamil.com.cn/view/2018-02/24/content_7950974.htm; http://www.mod.gov.cn/action/2018-02/22/content_4805180.htm"/>
    <s v="Recoded as replenishment port call based on Chinese source"/>
  </r>
  <r>
    <x v="2"/>
    <x v="1"/>
    <s v="Asia"/>
    <s v="Comprehensive Strategic Cooperative Partnership [全面战略合作伙伴关系]"/>
    <x v="3"/>
    <s v="INDOPACOM"/>
    <x v="5"/>
    <x v="27"/>
    <n v="2"/>
    <s v="Military Exercise - Multilateral"/>
    <m/>
    <m/>
    <m/>
    <m/>
    <x v="0"/>
    <m/>
    <x v="2"/>
    <s v="Cobra Gold 2018"/>
    <s v="Army"/>
    <s v="Humanitarian assistance and disaster relief. Other countries: United States, Japan, Malaysia, Singapore."/>
    <m/>
    <x v="12"/>
    <m/>
    <m/>
    <s v="https://www.marines.mil/News/News-Display/Article/1448893/cobra-gold-18-hadr-x/"/>
    <m/>
  </r>
  <r>
    <x v="2"/>
    <x v="1"/>
    <s v="Asia"/>
    <s v="Comprehensive Strategic Cooperative Partnership [全面战略合作伙伴关系]"/>
    <x v="0"/>
    <s v="INDOPACOM"/>
    <x v="94"/>
    <x v="27"/>
    <n v="3"/>
    <s v="Military Exercise - Bilateral"/>
    <m/>
    <m/>
    <m/>
    <m/>
    <x v="0"/>
    <m/>
    <x v="1"/>
    <s v="Golden Dragon 2018"/>
    <s v="Army"/>
    <s v="Anti-terrorism drills"/>
    <m/>
    <x v="12"/>
    <m/>
    <m/>
    <s v="http://english.chinamil.com.cn/view/2018-03/13/content_7970888.htm"/>
    <m/>
  </r>
  <r>
    <x v="2"/>
    <x v="8"/>
    <s v="Europe and Central Asia"/>
    <s v="Comprehensive Strategic Partnership [全面战略伙伴关系]"/>
    <x v="5"/>
    <s v="EUCOM"/>
    <x v="22"/>
    <x v="27"/>
    <n v="3"/>
    <s v="Military Exercise - Bilateral"/>
    <m/>
    <m/>
    <m/>
    <m/>
    <x v="0"/>
    <m/>
    <x v="2"/>
    <s v="Unknown"/>
    <s v="Navy"/>
    <s v="search and rescue and communications drills with Qinzhou [钦州舰] and the French Navy’s frigate Vendémiaire; 1st foreign exercise by PLA HK Garrison"/>
    <m/>
    <x v="12"/>
    <m/>
    <m/>
    <s v="http://tv.cctv.com/2018/03/03/VIDEVzo6ryVONOpaWJEKh2h8180303.shtml"/>
    <s v="added source and exercise details; still coded as MOOTW"/>
  </r>
  <r>
    <x v="1"/>
    <x v="1"/>
    <s v="Asia"/>
    <s v="Comprehensive Strategic Cooperative Partnership [全面战略合作伙伴关系]"/>
    <x v="3"/>
    <s v="INDOPACOM"/>
    <x v="5"/>
    <x v="27"/>
    <n v="3"/>
    <s v="BL - Hosted"/>
    <s v="Wei Fenghe"/>
    <m/>
    <s v="Defense Minister; CMC Member"/>
    <n v="8"/>
    <x v="2"/>
    <s v="Defense Minister"/>
    <x v="0"/>
    <m/>
    <m/>
    <m/>
    <m/>
    <x v="12"/>
    <m/>
    <m/>
    <s v="http://english.chinamil.com.cn/view/2018-03/26/content_7984027.htm"/>
    <m/>
  </r>
  <r>
    <x v="1"/>
    <x v="8"/>
    <s v="Europe and Central Asia"/>
    <s v="Friendly Cooperative Partnership [友好合作伙伴关系]"/>
    <x v="0"/>
    <s v="EUCOM"/>
    <x v="57"/>
    <x v="27"/>
    <n v="4"/>
    <s v="BL - Hosted"/>
    <s v="Xu Qiliang"/>
    <m/>
    <s v="CMC Vice Chairman"/>
    <n v="10"/>
    <x v="2"/>
    <s v="Defense Minister"/>
    <x v="0"/>
    <m/>
    <m/>
    <m/>
    <m/>
    <x v="12"/>
    <m/>
    <m/>
    <s v="http://english.chinamil.com.cn/view/2018-04/28/content_8019280.htm; http://www.81.cn/jwzb/2018-04/27/content_8018327.htm"/>
    <s v="Hosted by DEFMIN Wei"/>
  </r>
  <r>
    <x v="1"/>
    <x v="8"/>
    <s v="Europe and Central Asia"/>
    <s v="Comprehensive Strategic Partnership [全面战略伙伴关系]"/>
    <x v="0"/>
    <s v="EUCOM"/>
    <x v="34"/>
    <x v="27"/>
    <n v="4"/>
    <s v="BL - Abroad"/>
    <s v="Wei Fenghe"/>
    <m/>
    <s v="Defense Minister; CMC Member"/>
    <n v="8"/>
    <x v="1"/>
    <s v="Defense Minister"/>
    <x v="0"/>
    <m/>
    <m/>
    <m/>
    <m/>
    <x v="12"/>
    <m/>
    <m/>
    <s v="http://english.chinamil.com.cn/view/2018-03/30/content_7988151.htm"/>
    <m/>
  </r>
  <r>
    <x v="1"/>
    <x v="8"/>
    <s v="Europe and Central Asia"/>
    <s v="Comprehensive Strategic Partnership [全面战略伙伴关系]"/>
    <x v="0"/>
    <s v="EUCOM"/>
    <x v="34"/>
    <x v="27"/>
    <n v="4"/>
    <s v="BL - Hosted"/>
    <s v="Zhang Youxia"/>
    <m/>
    <s v="CMC Vice Chairman"/>
    <n v="10"/>
    <x v="2"/>
    <s v="Defense Minister"/>
    <x v="0"/>
    <m/>
    <m/>
    <m/>
    <m/>
    <x v="12"/>
    <m/>
    <m/>
    <s v="http://english.chinamil.com.cn/view/2018-04/25/content_8014470.htm"/>
    <m/>
  </r>
  <r>
    <x v="1"/>
    <x v="1"/>
    <s v="Asia"/>
    <s v="Comprehensive Strategic Cooperative Partnership [全面战略合作伙伴关系]"/>
    <x v="0"/>
    <s v="INDOPACOM"/>
    <x v="94"/>
    <x v="27"/>
    <n v="4"/>
    <s v="BL - Hosted"/>
    <s v="Wei Fenghe"/>
    <m/>
    <s v="Defense Minister; CMC Member"/>
    <n v="8"/>
    <x v="2"/>
    <s v="Deputy Commander in Chief"/>
    <x v="0"/>
    <m/>
    <m/>
    <m/>
    <m/>
    <x v="12"/>
    <m/>
    <m/>
    <s v="http://english.chinamil.com.cn/view/2018-04/26/content_8017075.htm"/>
    <m/>
  </r>
  <r>
    <x v="1"/>
    <x v="0"/>
    <s v="Asia"/>
    <s v="Strategic Partnership for Peace and Prosperity [战略伙伴关系]"/>
    <x v="0"/>
    <s v="INDOPACOM"/>
    <x v="6"/>
    <x v="27"/>
    <n v="4"/>
    <s v="ML - Margins"/>
    <s v="Wei Fenghe"/>
    <m/>
    <s v="Defense Minister; CMC Member"/>
    <n v="8"/>
    <x v="2"/>
    <s v="Defense Minister; BL at SCO"/>
    <x v="0"/>
    <m/>
    <m/>
    <m/>
    <m/>
    <x v="12"/>
    <m/>
    <m/>
    <s v="http://www.81.cn/jmywyl/2018-04/24/content_8013935.htm"/>
    <s v="BL on margins of SCO DEFMIN meeting in Beijing"/>
  </r>
  <r>
    <x v="1"/>
    <x v="6"/>
    <s v="Europe and Central Asia"/>
    <s v="Comprehensive Strategic Partnership [全面战略伙伴关系]"/>
    <x v="0"/>
    <s v="CENTCOM"/>
    <x v="30"/>
    <x v="27"/>
    <n v="4"/>
    <s v="ML - Margins"/>
    <s v="Wei Fenghe"/>
    <m/>
    <s v="Defense Minister; CMC Member"/>
    <n v="8"/>
    <x v="2"/>
    <s v="Defense Minister; BL at SCO"/>
    <x v="0"/>
    <m/>
    <m/>
    <m/>
    <m/>
    <x v="12"/>
    <m/>
    <m/>
    <s v="http://lenta.inform.kz/en/kazakh-chinese-defense-ministers-praise-high-level-of-coop_a3229921"/>
    <s v="Reflect BL at SCO"/>
  </r>
  <r>
    <x v="1"/>
    <x v="6"/>
    <s v="Europe and Central Asia"/>
    <s v="Comprehensive Strategic Partnership [全面战略伙伴关系]"/>
    <x v="0"/>
    <s v="CENTCOM"/>
    <x v="31"/>
    <x v="27"/>
    <n v="4"/>
    <s v="ML - Margins"/>
    <s v="Wei Fenghe"/>
    <m/>
    <s v="Defense Minister; CMC Member"/>
    <n v="8"/>
    <x v="2"/>
    <s v="Defense Minister; BL at SCO"/>
    <x v="0"/>
    <m/>
    <m/>
    <m/>
    <m/>
    <x v="12"/>
    <m/>
    <m/>
    <s v="http://lenta.inform.kz/en/kazakh-chinese-defense-ministers-praise-high-level-of-coop_a3229921 "/>
    <m/>
  </r>
  <r>
    <x v="1"/>
    <x v="1"/>
    <s v="Asia"/>
    <s v="Comprehensive Strategic Cooperative Partnership [全面战略合作伙伴关系]"/>
    <x v="0"/>
    <s v="INDOPACOM"/>
    <x v="52"/>
    <x v="27"/>
    <n v="4"/>
    <s v="BL - Hosted"/>
    <s v="Zhang Youxia"/>
    <m/>
    <s v="CMC Vice Chairman"/>
    <n v="10"/>
    <x v="2"/>
    <s v="Defense Minister"/>
    <x v="0"/>
    <m/>
    <m/>
    <m/>
    <m/>
    <x v="12"/>
    <m/>
    <m/>
    <s v="http://english.chinamil.com.cn/view/2018-04/25/content_8014470.htm"/>
    <m/>
  </r>
  <r>
    <x v="1"/>
    <x v="0"/>
    <s v="Asia"/>
    <s v="All-Weather Strategic Cooperative Partnership [全天候战略合作伙伴关系]"/>
    <x v="1"/>
    <s v="CENTCOM"/>
    <x v="2"/>
    <x v="27"/>
    <n v="4"/>
    <s v="ML - Margins"/>
    <s v="Wei Fenghe"/>
    <m/>
    <s v="Defense Minister; CMC Member"/>
    <n v="8"/>
    <x v="2"/>
    <s v="Defense Minister; BL at SCO "/>
    <x v="0"/>
    <m/>
    <m/>
    <m/>
    <m/>
    <x v="12"/>
    <m/>
    <m/>
    <s v="http://www.81.cn/jmywyl/2018-04/24/content_8013935.htm "/>
    <s v="BL on margins of SCO DEFMIN meeting in Beijing"/>
  </r>
  <r>
    <x v="1"/>
    <x v="0"/>
    <s v="Asia"/>
    <s v="All-Weather Strategic Cooperative Partnership [全天候战略合作伙伴关系]"/>
    <x v="1"/>
    <s v="CENTCOM"/>
    <x v="2"/>
    <x v="27"/>
    <n v="4"/>
    <s v="BL - Hosted"/>
    <s v="Wei Fenghe"/>
    <m/>
    <s v="Defense Minister; CMC Member"/>
    <n v="8"/>
    <x v="2"/>
    <s v="Navy Chief of Staff"/>
    <x v="0"/>
    <m/>
    <m/>
    <m/>
    <m/>
    <x v="12"/>
    <m/>
    <m/>
    <s v="http://english.chinamil.com.cn/view/2018-04/19/content_8009037.htm"/>
    <m/>
  </r>
  <r>
    <x v="1"/>
    <x v="3"/>
    <s v="Europe and Central Asia"/>
    <s v="Comprehensive Collaborative Strategic Partnership [全面战略协作伙伴关系]"/>
    <x v="0"/>
    <s v="EUCOM"/>
    <x v="7"/>
    <x v="27"/>
    <n v="4"/>
    <s v="BL - Abroad"/>
    <s v="Wei Fenghe"/>
    <m/>
    <s v="Defense Minister; CMC Member"/>
    <n v="8"/>
    <x v="1"/>
    <s v="Defense Minister"/>
    <x v="0"/>
    <m/>
    <m/>
    <m/>
    <m/>
    <x v="12"/>
    <m/>
    <m/>
    <s v="http://english.chinamil.com.cn/view/2018-03/30/content_7988151.htm"/>
    <s v="Wei made remarks at 7th Moscow Conference on International Security; first trip abroad as DEFMIN"/>
  </r>
  <r>
    <x v="1"/>
    <x v="3"/>
    <s v="Europe and Central Asia"/>
    <s v="Comprehensive Collaborative Strategic Partnership [全面战略协作伙伴关系]"/>
    <x v="0"/>
    <s v="EUCOM"/>
    <x v="7"/>
    <x v="27"/>
    <n v="4"/>
    <s v="BL - Hosted"/>
    <s v="Xu Qiliang"/>
    <m/>
    <s v="CMC Vice Chairman"/>
    <n v="10"/>
    <x v="2"/>
    <s v="Defense Minister"/>
    <x v="0"/>
    <m/>
    <m/>
    <m/>
    <m/>
    <x v="12"/>
    <m/>
    <m/>
    <s v="http://english.chinamil.com.cn/view/2018-04/24/content_8013937.htm"/>
    <m/>
  </r>
  <r>
    <x v="1"/>
    <x v="6"/>
    <s v="Europe and Central Asia"/>
    <s v="Member"/>
    <x v="0"/>
    <s v="CENTCOM"/>
    <x v="14"/>
    <x v="27"/>
    <n v="4"/>
    <s v="ML - Hosted"/>
    <s v="Wei Fenghe"/>
    <m/>
    <s v="Defense Minister; CMC Member"/>
    <n v="8"/>
    <x v="2"/>
    <s v="15th official meeting of the SCO Defense Ministers"/>
    <x v="0"/>
    <m/>
    <m/>
    <m/>
    <m/>
    <x v="12"/>
    <m/>
    <m/>
    <s v="http://eng.sectsco.org/news/20190430/533861.html"/>
    <m/>
  </r>
  <r>
    <x v="1"/>
    <x v="6"/>
    <s v="Europe and Central Asia"/>
    <s v="Comprehensive Strategic Partnership [全面战略伙伴关系]"/>
    <x v="0"/>
    <s v="CENTCOM"/>
    <x v="60"/>
    <x v="27"/>
    <n v="4"/>
    <s v="ML - Margins"/>
    <s v="Wei Fenghe"/>
    <m/>
    <s v="Defense Minister; CMC Member"/>
    <n v="8"/>
    <x v="2"/>
    <s v="Defense Minister; BL at SCO"/>
    <x v="0"/>
    <m/>
    <m/>
    <m/>
    <m/>
    <x v="12"/>
    <m/>
    <m/>
    <s v="http://www.81.cn/jmywyl/2018-04/24/content_8013935.htm"/>
    <s v="BL on margins of SCO DEFMIN meeting in Beijing"/>
  </r>
  <r>
    <x v="1"/>
    <x v="6"/>
    <s v="Europe and Central Asia"/>
    <s v="Comprehensive Strategic Partnership [全面战略伙伴关系]"/>
    <x v="0"/>
    <s v="CENTCOM"/>
    <x v="73"/>
    <x v="27"/>
    <n v="4"/>
    <s v="BL - Hosted"/>
    <s v="Zhang Youxia"/>
    <m/>
    <s v="CMC Vice Chairman"/>
    <n v="10"/>
    <x v="2"/>
    <s v="Defense Minister"/>
    <x v="0"/>
    <m/>
    <m/>
    <m/>
    <m/>
    <x v="12"/>
    <m/>
    <m/>
    <s v="http://english.chinamil.com.cn/view/2018-04/23/content_8012465.htm; http://www.81.cn/jwzb/2018-04/24/content_8014051_1.htm"/>
    <s v="Hosted by DEFMIN Wei"/>
  </r>
  <r>
    <x v="1"/>
    <x v="8"/>
    <s v="Europe and Central Asia"/>
    <s v="Friendly Strategic Partnership [战略伙伴关系]"/>
    <x v="5"/>
    <s v="EUCOM"/>
    <x v="108"/>
    <x v="27"/>
    <n v="5"/>
    <s v="BL - Hosted"/>
    <s v="Wei Fenghe"/>
    <m/>
    <s v="Defense Minister; CMC Member"/>
    <n v="8"/>
    <x v="2"/>
    <s v="Chief of Defense Forces"/>
    <x v="0"/>
    <m/>
    <m/>
    <m/>
    <m/>
    <x v="12"/>
    <m/>
    <m/>
    <s v="http://english.chinamil.com.cn/view/2018-05/30/content_8046045.htm"/>
    <m/>
  </r>
  <r>
    <x v="0"/>
    <x v="9"/>
    <s v="West Asia and Africa"/>
    <s v="Strategic Partnership [战略伙伴关系]"/>
    <x v="0"/>
    <s v="CENTCOM"/>
    <x v="119"/>
    <x v="27"/>
    <n v="5"/>
    <s v="Port Call - Replenish/Overhaul"/>
    <m/>
    <m/>
    <m/>
    <m/>
    <x v="0"/>
    <m/>
    <x v="0"/>
    <m/>
    <m/>
    <m/>
    <s v="ETF"/>
    <x v="103"/>
    <s v="East Sea Fleet"/>
    <s v="FFG530 Xuzhou"/>
    <s v="http://english.pladaily.com.cn/view/2018-05/16/content_8033911.htm"/>
    <m/>
  </r>
  <r>
    <x v="0"/>
    <x v="8"/>
    <s v="Europe and Central Asia"/>
    <s v="Comprehensive Strategic Partnership [全面战略伙伴关系]"/>
    <x v="5"/>
    <s v="EUCOM"/>
    <x v="29"/>
    <x v="27"/>
    <n v="5"/>
    <s v="Port Call - Friendly Visit"/>
    <m/>
    <m/>
    <m/>
    <m/>
    <x v="0"/>
    <m/>
    <x v="0"/>
    <m/>
    <m/>
    <m/>
    <s v="ETF"/>
    <x v="104"/>
    <s v="North Sea Fleet"/>
    <s v="FFG546 Yancheng"/>
    <s v="http://english.chinamil.com.cn/view/2018-10/04/content_9303573.htm "/>
    <m/>
  </r>
  <r>
    <x v="2"/>
    <x v="1"/>
    <s v="Asia"/>
    <s v="Comprehensive Strategic Partnership [全面战略伙伴关系]"/>
    <x v="0"/>
    <s v="INDOPACOM"/>
    <x v="8"/>
    <x v="27"/>
    <n v="5"/>
    <s v="Military Exercise - Multilateral"/>
    <m/>
    <m/>
    <m/>
    <m/>
    <x v="0"/>
    <m/>
    <x v="2"/>
    <s v="Komodo 2018"/>
    <s v="Navy"/>
    <s v="Maritime. Other countries: United States, France, United Kingdom"/>
    <m/>
    <x v="12"/>
    <m/>
    <m/>
    <s v="http://www.mod.gov.cn/action/2018-05/08/content_4812778.htm; http://english.chinamil.com.cn/view/2018-04/26/content_8017093.htm"/>
    <s v="Recoded as MOOTW based on description of activities, which are mostly HA/DR"/>
  </r>
  <r>
    <x v="2"/>
    <x v="9"/>
    <s v="West Asia and Africa"/>
    <s v="Strategic Partnership [战略伙伴关系]"/>
    <x v="1"/>
    <s v="CENTCOM"/>
    <x v="101"/>
    <x v="27"/>
    <n v="5"/>
    <s v="Military Exercise - Multilateral"/>
    <m/>
    <m/>
    <m/>
    <m/>
    <x v="0"/>
    <m/>
    <x v="6"/>
    <s v="10th Annual Warrior Competition"/>
    <s v="PAP"/>
    <s v="2 PAP Special Operations units; one was &quot;Snow Leopards&quot;. Other countries: United States, Saudi Arabia, Lebanon, Kuwait, Qatar"/>
    <m/>
    <x v="12"/>
    <m/>
    <m/>
    <s v="CPP20020603000088; http://english.chinamil.com.cn/view/2018-05/09/content_8027376.htm; http://english.chinamil.com.cn/view/2018-05/09/content_8027376.htm"/>
    <m/>
  </r>
  <r>
    <x v="1"/>
    <x v="4"/>
    <s v="Asia"/>
    <s v="Comprehensive Strategic Partnership [全面战略伙伴关系]"/>
    <x v="0"/>
    <s v="INDOPACOM"/>
    <x v="53"/>
    <x v="27"/>
    <n v="5"/>
    <s v="BL - Hosted"/>
    <s v="Xu Qiliang"/>
    <m/>
    <s v="CMC Vice Chairman"/>
    <n v="10"/>
    <x v="2"/>
    <s v="Defense Minister"/>
    <x v="0"/>
    <m/>
    <m/>
    <m/>
    <m/>
    <x v="12"/>
    <m/>
    <m/>
    <s v="http://english.chinamil.com.cn/view/2018-05/28/content_8043876.htm"/>
    <m/>
  </r>
  <r>
    <x v="2"/>
    <x v="7"/>
    <s v="West Asia and Africa"/>
    <s v="Strategic Partnership [战略伙伴关系]"/>
    <x v="0"/>
    <s v="AFRICOM"/>
    <x v="36"/>
    <x v="27"/>
    <n v="5"/>
    <s v="Military Exercise - Multilateral"/>
    <m/>
    <m/>
    <m/>
    <m/>
    <x v="0"/>
    <m/>
    <x v="4"/>
    <s v="Eku Kugbe; 2nd Nigeria international maritime conference and regional naval exercise"/>
    <s v="Navy"/>
    <s v="Ships will carry out drills of ship formation movement, naval gun firing, and maritime warning and patrol; one ship each from Cameroon, Ghana, Togo, France, Portugal and China"/>
    <m/>
    <x v="104"/>
    <s v="North Sea Fleet"/>
    <s v="FFG546Yancheng"/>
    <s v="http://english.chinamil.com.cn/view/2018-05/31/content_8045922.htm; https://www.thedefensepost.com/2018/05/31/china-eku-kugbe-exercise-west-africa/"/>
    <m/>
  </r>
  <r>
    <x v="1"/>
    <x v="0"/>
    <s v="Asia"/>
    <s v="All-Weather Strategic Cooperative Partnership [全天候战略合作伙伴关系]"/>
    <x v="1"/>
    <s v="CENTCOM"/>
    <x v="2"/>
    <x v="27"/>
    <n v="5"/>
    <s v="BL - Abroad"/>
    <s v="Zhang Youxia"/>
    <m/>
    <s v="CMC Vice Chairman"/>
    <n v="10"/>
    <x v="1"/>
    <s v="Prime Minister"/>
    <x v="0"/>
    <m/>
    <m/>
    <m/>
    <m/>
    <x v="12"/>
    <m/>
    <m/>
    <s v="http://english.chinamil.com.cn/view/2018-05/21/content_8038257.htm"/>
    <m/>
  </r>
  <r>
    <x v="1"/>
    <x v="3"/>
    <s v="Europe and Central Asia"/>
    <s v="Comprehensive Collaborative Strategic Partnership [全面战略协作伙伴关系]"/>
    <x v="0"/>
    <s v="EUCOM"/>
    <x v="7"/>
    <x v="27"/>
    <n v="5"/>
    <s v="BL - Hosted"/>
    <s v="Shao Yuanming"/>
    <m/>
    <s v="CMC/JSD DCJS"/>
    <n v="5"/>
    <x v="2"/>
    <s v="Chief of General Staff Main Operational Directorate (J-5 equivalent)"/>
    <x v="0"/>
    <m/>
    <m/>
    <m/>
    <m/>
    <x v="12"/>
    <m/>
    <m/>
    <s v="http://english.chinamil.com.cn/view/2018-05/30/content_8045918.htm; http://www.81.cn/jmywyl/2018-05/30/content_8045689.htm"/>
    <s v="Colonel General Sergei RUDSKOY, Chief of the Main Operational Directorate of the Russian General Staff; JSD/DCJS position downgraded so position weight adjusted"/>
  </r>
  <r>
    <x v="0"/>
    <x v="8"/>
    <s v="Europe and Central Asia"/>
    <s v="Comprehensive Strategic Partnership [全面战略伙伴关系]"/>
    <x v="5"/>
    <s v="EUCOM"/>
    <x v="70"/>
    <x v="27"/>
    <n v="5"/>
    <s v="Port Call - Replenish/Overhaul"/>
    <m/>
    <m/>
    <m/>
    <m/>
    <x v="0"/>
    <m/>
    <x v="0"/>
    <m/>
    <m/>
    <m/>
    <s v="ETF"/>
    <x v="104"/>
    <s v="North Sea Fleet"/>
    <s v="FFG546 Yancheng"/>
    <s v="http://english.chinamil.com.cn/view/2018-05/17/content_8035093.htm; http://www.xinhuanet.com/world/2018-05/16/c_1122842782.htm"/>
    <s v="Recoded because it is called a &quot;technical stop&quot; in sources."/>
  </r>
  <r>
    <x v="1"/>
    <x v="7"/>
    <s v="West Asia and Africa"/>
    <s v="Comprehensive Cooperative Partnership [全面合作伙伴关系]"/>
    <x v="0"/>
    <s v="AFRICOM"/>
    <x v="16"/>
    <x v="27"/>
    <n v="5"/>
    <s v="BL - Hosted"/>
    <s v="Wei Fenghe"/>
    <m/>
    <s v="Defense Minister; CMC Member"/>
    <n v="8"/>
    <x v="2"/>
    <s v="Chief of Defense Forces"/>
    <x v="0"/>
    <m/>
    <m/>
    <m/>
    <m/>
    <x v="12"/>
    <m/>
    <m/>
    <s v="http://english.chinamil.com.cn/view/2018-05/24/content_8041205.htm"/>
    <m/>
  </r>
  <r>
    <x v="1"/>
    <x v="7"/>
    <s v="West Asia and Africa"/>
    <s v="Comprehensive Strategic Cooperative Partnership [全面战略合作伙伴关系]"/>
    <x v="0"/>
    <s v="AFRICOM"/>
    <x v="165"/>
    <x v="27"/>
    <n v="6"/>
    <s v="ML - Hosted"/>
    <s v="Hu Changming"/>
    <m/>
    <s v="CMC/OIMC Director"/>
    <n v="6"/>
    <x v="2"/>
    <s v="First China-Africa Defense and Security Forum"/>
    <x v="0"/>
    <m/>
    <m/>
    <m/>
    <m/>
    <x v="12"/>
    <m/>
    <m/>
    <s v="http://www.mod.gov.cn/shouye/2018-06/26/content_4817721.htm; http://eng.chinamil.com.cn/CHINA_209163/TopStories_209189/9560795.html"/>
    <s v="first China-Africa Defense and Security Forum; Senior military officials (15 DEFMINs) from 50 African countries and the African Union (AU); no noted bilaterals"/>
  </r>
  <r>
    <x v="1"/>
    <x v="1"/>
    <s v="Asia"/>
    <s v="Comprehensive Strategic Cooperative Partnership [全面战略合作伙伴关系]"/>
    <x v="0"/>
    <s v="INDOPACOM"/>
    <x v="94"/>
    <x v="27"/>
    <n v="6"/>
    <s v="BL - Abroad"/>
    <s v="Wei Fenghe"/>
    <m/>
    <s v="Defense Minister; CMC Member"/>
    <n v="8"/>
    <x v="1"/>
    <s v="Prime Minister; Defense Minister"/>
    <x v="0"/>
    <m/>
    <m/>
    <m/>
    <m/>
    <x v="12"/>
    <m/>
    <m/>
    <s v="http://eng.chinamil.com.cn/view/2018-06/19/content_8065411.htm"/>
    <m/>
  </r>
  <r>
    <x v="0"/>
    <x v="7"/>
    <s v="West Asia and Africa"/>
    <s v="Friendly Cooperative Relationship [友好合作关系]"/>
    <x v="0"/>
    <s v="AFRICOM"/>
    <x v="65"/>
    <x v="27"/>
    <n v="6"/>
    <s v="Port Call - Friendly Visit"/>
    <m/>
    <m/>
    <m/>
    <m/>
    <x v="0"/>
    <m/>
    <x v="0"/>
    <m/>
    <m/>
    <m/>
    <s v="ETF"/>
    <x v="104"/>
    <s v="North Sea Fleet"/>
    <m/>
    <s v="http://navy.81.cn/content/2018-06/14/content_8061838.htm "/>
    <s v="Added source; recategorized as port call"/>
  </r>
  <r>
    <x v="2"/>
    <x v="7"/>
    <s v="West Asia and Africa"/>
    <s v="Friendly Cooperative Relationship [友好合作关系]"/>
    <x v="0"/>
    <s v="AFRICOM"/>
    <x v="65"/>
    <x v="27"/>
    <n v="6"/>
    <s v="Military Exercise - Bilateral"/>
    <m/>
    <m/>
    <m/>
    <m/>
    <x v="0"/>
    <m/>
    <x v="2"/>
    <s v="28th Chinese naval escort taskforce's African tour"/>
    <s v="Navy"/>
    <m/>
    <m/>
    <x v="12"/>
    <m/>
    <m/>
    <m/>
    <m/>
  </r>
  <r>
    <x v="0"/>
    <x v="7"/>
    <s v="West Asia and Africa"/>
    <s v="Comprehensive Cooperative Partnership [全面合作伙伴关系]"/>
    <x v="0"/>
    <s v="AFRICOM"/>
    <x v="67"/>
    <x v="27"/>
    <n v="6"/>
    <s v="Port Call - Friendly Visit"/>
    <m/>
    <m/>
    <m/>
    <m/>
    <x v="0"/>
    <m/>
    <x v="0"/>
    <m/>
    <m/>
    <m/>
    <s v="ETF"/>
    <x v="104"/>
    <s v="North Sea Fleet"/>
    <s v="ETF28-Yancheng GMF; Weifeng GMF; Taihu supply ship; Gabon President and MINDEF visited ships "/>
    <s v="http://english.chinamil.com.cn/view/2018-06/20/content_8066846.htm"/>
    <s v="Recategorized as port call"/>
  </r>
  <r>
    <x v="2"/>
    <x v="7"/>
    <s v="West Asia and Africa"/>
    <s v="Comprehensive Cooperative Partnership [全面合作伙伴关系]"/>
    <x v="0"/>
    <s v="AFRICOM"/>
    <x v="67"/>
    <x v="27"/>
    <n v="6"/>
    <s v="Military Exercise - Bilateral"/>
    <m/>
    <m/>
    <m/>
    <m/>
    <x v="0"/>
    <m/>
    <x v="2"/>
    <s v="28th Chinese naval escort taskforce's African tour"/>
    <s v="Navy"/>
    <m/>
    <m/>
    <x v="12"/>
    <m/>
    <m/>
    <m/>
    <m/>
  </r>
  <r>
    <x v="0"/>
    <x v="8"/>
    <s v="Europe and Central Asia"/>
    <s v="Comprehensive Strategic Partnership [全面战略伙伴关系]"/>
    <x v="5"/>
    <s v="EUCOM"/>
    <x v="18"/>
    <x v="27"/>
    <n v="6"/>
    <s v="Port Call - Friendly Visit"/>
    <m/>
    <m/>
    <m/>
    <m/>
    <x v="0"/>
    <m/>
    <x v="0"/>
    <m/>
    <m/>
    <m/>
    <s v="ETF"/>
    <x v="103"/>
    <s v="East Sea Fleet"/>
    <s v="FFG515 Binzhou"/>
    <s v="http://www.xinhuanet.com/english/2018-06/17/c_137260582.htm"/>
    <m/>
  </r>
  <r>
    <x v="0"/>
    <x v="7"/>
    <s v="West Asia and Africa"/>
    <s v="No Specific Relationship"/>
    <x v="0"/>
    <s v="AFRICOM"/>
    <x v="87"/>
    <x v="27"/>
    <n v="6"/>
    <s v="Port Call - Friendly Visit"/>
    <m/>
    <m/>
    <m/>
    <m/>
    <x v="0"/>
    <m/>
    <x v="0"/>
    <m/>
    <m/>
    <m/>
    <s v="ETF"/>
    <x v="104"/>
    <s v="North Sea Fleet"/>
    <s v="ETF28-Yancheng GMF; Weifeng GMF; Taihu supply ship"/>
    <s v="http://eng.chinamil.com.cn/view/2018-06/05/content_8053122.htm"/>
    <s v="Recategorized as port call"/>
  </r>
  <r>
    <x v="2"/>
    <x v="7"/>
    <s v="West Asia and Africa"/>
    <s v="No Specific Relationship"/>
    <x v="0"/>
    <s v="AFRICOM"/>
    <x v="87"/>
    <x v="27"/>
    <n v="6"/>
    <s v="Military Exercise - Bilateral"/>
    <m/>
    <m/>
    <m/>
    <m/>
    <x v="0"/>
    <m/>
    <x v="2"/>
    <s v="28th Chinese naval escort taskforce's African tour"/>
    <s v="Navy"/>
    <s v="Joint military exercise"/>
    <m/>
    <x v="12"/>
    <m/>
    <m/>
    <s v="http://english.chinamil.com.cn/view/2018-06/05/content_8053122.htm"/>
    <m/>
  </r>
  <r>
    <x v="1"/>
    <x v="1"/>
    <s v="Asia"/>
    <s v="No Specific Relationship"/>
    <x v="0"/>
    <s v="INDOPACOM"/>
    <x v="137"/>
    <x v="27"/>
    <n v="6"/>
    <s v="ML - Abroad"/>
    <s v="He Lei "/>
    <m/>
    <s v="AMS Deputy Commandant "/>
    <n v="6"/>
    <x v="1"/>
    <s v="17th Shangri-La"/>
    <x v="0"/>
    <m/>
    <m/>
    <m/>
    <m/>
    <x v="12"/>
    <m/>
    <m/>
    <m/>
    <m/>
  </r>
  <r>
    <x v="2"/>
    <x v="4"/>
    <s v="Asia"/>
    <s v="Comprehensive Strategic Partnership [全面战略伙伴关系]"/>
    <x v="0"/>
    <s v="INDOPACOM"/>
    <x v="53"/>
    <x v="27"/>
    <n v="6"/>
    <s v="Military Exercise - Multilateral"/>
    <m/>
    <m/>
    <m/>
    <m/>
    <x v="0"/>
    <m/>
    <x v="2"/>
    <s v="Khaan Quest 2018"/>
    <s v="Army"/>
    <s v="Peacekeeping. Other countries: United States, Indonesia, Malaysia. "/>
    <m/>
    <x v="12"/>
    <m/>
    <m/>
    <s v="http://english.chinamil.com.cn/view/2018-06/11/content_8058428.htm"/>
    <m/>
  </r>
  <r>
    <x v="1"/>
    <x v="1"/>
    <s v="Asia"/>
    <s v="Comprehensive Strategic Cooperative Partnership [全面战略合作伙伴关系]"/>
    <x v="0"/>
    <s v="INDOPACOM"/>
    <x v="1"/>
    <x v="27"/>
    <n v="6"/>
    <s v="BL - Abroad"/>
    <s v="Wei Fenghe"/>
    <m/>
    <s v="Defense Minister; CMC Member"/>
    <n v="8"/>
    <x v="1"/>
    <s v="Commander-in-Chief of Myanmar’s Defence Services; State Counselor Aung San Suu Kyi"/>
    <x v="0"/>
    <m/>
    <m/>
    <m/>
    <m/>
    <x v="12"/>
    <m/>
    <m/>
    <s v="http://www.81.cn/jmywyl/2018-06/16/content_8063956.htm"/>
    <m/>
  </r>
  <r>
    <x v="2"/>
    <x v="5"/>
    <s v="America and Oceania"/>
    <s v="Comprehensive Strategic Partnership [全面战略伙伴关系]"/>
    <x v="4"/>
    <s v="INDOPACOM"/>
    <x v="13"/>
    <x v="27"/>
    <n v="6"/>
    <s v="Military Exercise - Bilateral"/>
    <m/>
    <m/>
    <m/>
    <m/>
    <x v="0"/>
    <m/>
    <x v="2"/>
    <s v="Skytrain"/>
    <s v="Air Force"/>
    <s v="Humanitarian assistance and disaster relief; the first joint exercise ever conducted between the two countries’ air forces; PLAAF Il-76"/>
    <m/>
    <x v="12"/>
    <m/>
    <m/>
    <s v="http://english.chinamil.com.cn/view/2018-06/12/content_8058599.htm"/>
    <m/>
  </r>
  <r>
    <x v="0"/>
    <x v="9"/>
    <s v="West Asia and Africa"/>
    <s v="Strategic Partnership [战略伙伴关系]"/>
    <x v="0"/>
    <s v="CENTCOM"/>
    <x v="147"/>
    <x v="27"/>
    <n v="6"/>
    <s v="Port Call - Replenish/Overhaul"/>
    <m/>
    <m/>
    <m/>
    <m/>
    <x v="0"/>
    <m/>
    <x v="0"/>
    <m/>
    <m/>
    <m/>
    <s v="ETF"/>
    <x v="103"/>
    <s v="East Sea Fleet"/>
    <s v="FFG530 Xuzhou"/>
    <s v="http://english.chinamil.com.cn/view/2018-06/19/content_8065381.htm"/>
    <m/>
  </r>
  <r>
    <x v="1"/>
    <x v="0"/>
    <s v="Asia"/>
    <s v="All-Weather Strategic Cooperative Partnership [全天候战略合作伙伴关系]"/>
    <x v="1"/>
    <s v="CENTCOM"/>
    <x v="2"/>
    <x v="27"/>
    <n v="6"/>
    <s v="BL - Abroad"/>
    <s v="Liu Xiaowu"/>
    <m/>
    <s v="Western TC Deputy Commander"/>
    <n v="6"/>
    <x v="1"/>
    <s v="Military Commanders"/>
    <x v="0"/>
    <m/>
    <m/>
    <m/>
    <m/>
    <x v="12"/>
    <m/>
    <m/>
    <s v="https://economictimes.indiatimes.com/news/defence/chinese-army-delegation-arrives-in-india-to-improve-coordination-along-border/articleshow/64845285.cms"/>
    <m/>
  </r>
  <r>
    <x v="0"/>
    <x v="8"/>
    <s v="Europe and Central Asia"/>
    <s v="Comprehensive Strategic Partnership [全面战略伙伴关系]"/>
    <x v="5"/>
    <s v="EUCOM"/>
    <x v="59"/>
    <x v="27"/>
    <n v="6"/>
    <s v="Port Call - Friendly Visit"/>
    <m/>
    <m/>
    <m/>
    <m/>
    <x v="0"/>
    <m/>
    <x v="0"/>
    <m/>
    <m/>
    <m/>
    <s v="ETF"/>
    <x v="103"/>
    <s v="East Sea Fleet"/>
    <s v="FFG515 Binzhou"/>
    <s v="http://english.chinamil.com.cn/view/2018-10/04/content_9303573.htm "/>
    <m/>
  </r>
  <r>
    <x v="1"/>
    <x v="1"/>
    <s v="Asia"/>
    <s v="All-Round Cooperative Partnership [全方合作伙伴关系]"/>
    <x v="0"/>
    <s v="INDOPACOM"/>
    <x v="39"/>
    <x v="27"/>
    <n v="6"/>
    <s v="BL - Abroad"/>
    <s v="He Lei"/>
    <m/>
    <s v="AMS Deputy Commandant "/>
    <n v="6"/>
    <x v="1"/>
    <s v="Defense Minister"/>
    <x v="0"/>
    <m/>
    <m/>
    <m/>
    <m/>
    <x v="12"/>
    <m/>
    <m/>
    <s v="http://eng.chinamil.com.cn/view/2018-06/04/content_8051700.htm; http://english.chinamil.com.cn/view/2018-06/05/content_8052619.htm"/>
    <s v="LTG"/>
  </r>
  <r>
    <x v="0"/>
    <x v="7"/>
    <s v="West Asia and Africa"/>
    <s v="Comprehensive Strategic Partnership [全面战略伙伴关系]"/>
    <x v="0"/>
    <s v="AFRICOM"/>
    <x v="15"/>
    <x v="27"/>
    <n v="6"/>
    <s v="Port Call - Friendly Visit"/>
    <m/>
    <m/>
    <m/>
    <m/>
    <x v="0"/>
    <m/>
    <x v="0"/>
    <m/>
    <m/>
    <m/>
    <s v="ETF"/>
    <x v="104"/>
    <s v="North Sea Fleet"/>
    <s v="FFG546 Yancheng"/>
    <s v="http://eng.chinamil.com.cn/view/2018-06/29/content_8075174.htm"/>
    <m/>
  </r>
  <r>
    <x v="2"/>
    <x v="7"/>
    <s v="West Asia and Africa"/>
    <s v="Comprehensive Strategic Partnership [全面战略伙伴关系]"/>
    <x v="0"/>
    <s v="AFRICOM"/>
    <x v="15"/>
    <x v="27"/>
    <n v="6"/>
    <s v="Military Exercise - Bilateral"/>
    <m/>
    <m/>
    <m/>
    <m/>
    <x v="0"/>
    <m/>
    <x v="2"/>
    <s v="28th Chinese naval escort taskforce's African tour"/>
    <s v="Navy"/>
    <m/>
    <m/>
    <x v="12"/>
    <m/>
    <m/>
    <m/>
    <m/>
  </r>
  <r>
    <x v="1"/>
    <x v="1"/>
    <s v="Asia"/>
    <s v="Comprehensive Strategic Cooperative Partnership [全面战略合作伙伴关系]"/>
    <x v="3"/>
    <s v="INDOPACOM"/>
    <x v="5"/>
    <x v="27"/>
    <n v="6"/>
    <s v="BL - Hosted"/>
    <s v="Han Weiguo"/>
    <m/>
    <s v="PLAA Commander"/>
    <n v="6"/>
    <x v="2"/>
    <s v="Army Chief"/>
    <x v="0"/>
    <m/>
    <m/>
    <m/>
    <m/>
    <x v="12"/>
    <m/>
    <m/>
    <s v="http://eng.chinamil.com.cn/view/2018-06/12/content_8059671.htm"/>
    <s v="1-7-19 version listed as visit to Thailand; actually Thai visit to China"/>
  </r>
  <r>
    <x v="1"/>
    <x v="2"/>
    <s v="America and Oceania"/>
    <s v="No Specific Relationship"/>
    <x v="2"/>
    <s v="NORTHCOM"/>
    <x v="4"/>
    <x v="27"/>
    <n v="6"/>
    <s v="BL - Hosted"/>
    <s v="Xu Qiliang"/>
    <m/>
    <s v="CMC Vice Chairman"/>
    <n v="10"/>
    <x v="2"/>
    <s v="Secretary of Defense"/>
    <x v="0"/>
    <m/>
    <m/>
    <m/>
    <m/>
    <x v="12"/>
    <m/>
    <m/>
    <s v="http://eng.chinamil.com.cn/view/2018-06/28/content_8074433.htm "/>
    <m/>
  </r>
  <r>
    <x v="0"/>
    <x v="8"/>
    <s v="Europe and Central Asia"/>
    <s v="Comprehensive Strategic Partnership [全面战略伙伴关系]"/>
    <x v="5"/>
    <s v="EUCOM"/>
    <x v="22"/>
    <x v="27"/>
    <n v="7"/>
    <s v="Port Call - Replenish/Overhaul"/>
    <m/>
    <m/>
    <m/>
    <m/>
    <x v="0"/>
    <m/>
    <x v="0"/>
    <m/>
    <m/>
    <m/>
    <s v="ETF"/>
    <x v="103"/>
    <s v="East Sea Fleet"/>
    <s v="FFG515 Binzhou"/>
    <s v="http://navy.81.cn/content/2018-07/03/content_8078834.htm"/>
    <s v="Updated to reflect technical stop"/>
  </r>
  <r>
    <x v="2"/>
    <x v="8"/>
    <s v="Europe and Central Asia"/>
    <s v="Comprehensive Strategic Partnership [全面战略伙伴关系]"/>
    <x v="5"/>
    <s v="EUCOM"/>
    <x v="18"/>
    <x v="27"/>
    <n v="7"/>
    <s v="Military Exercise - Bilateral"/>
    <m/>
    <m/>
    <m/>
    <m/>
    <x v="0"/>
    <m/>
    <x v="2"/>
    <s v="Combined Aid 2019"/>
    <s v="Army"/>
    <s v="paramedical forces in complete units and field equipment have been deployed in Europe"/>
    <m/>
    <x v="12"/>
    <m/>
    <m/>
    <s v="http://www.xinhuanet.com/english/2019-07/05/c_138202550.htm"/>
    <m/>
  </r>
  <r>
    <x v="1"/>
    <x v="0"/>
    <s v="Asia"/>
    <s v="Strategic Partnership for Peace and Prosperity [战略伙伴关系]"/>
    <x v="0"/>
    <s v="INDOPACOM"/>
    <x v="6"/>
    <x v="27"/>
    <n v="7"/>
    <s v="BL - Abroad"/>
    <s v="Liu Xiaowu"/>
    <m/>
    <s v="Western TC Deputy Commander"/>
    <n v="6"/>
    <x v="1"/>
    <s v="Army Vice Chief"/>
    <x v="0"/>
    <m/>
    <m/>
    <m/>
    <m/>
    <x v="12"/>
    <m/>
    <m/>
    <s v="https://economictimes.indiatimes.com/news/defence/chinese-army-delegation-arrives-in-india-to-improve-coordination-along-border/articleshow/64845285.cms; https://www.thehindu.com/news/national/chinese-army-team-visits-delhi-agra/article24323330.ece"/>
    <s v="Updated to reflect LGEN Liu Xiaowu's specific role"/>
  </r>
  <r>
    <x v="0"/>
    <x v="1"/>
    <s v="Asia"/>
    <s v="Comprehensive Strategic Partnership [全面战略伙伴关系]"/>
    <x v="0"/>
    <s v="INDOPACOM"/>
    <x v="8"/>
    <x v="27"/>
    <n v="7"/>
    <s v="Port Call - Replenish/Overhaul"/>
    <m/>
    <m/>
    <m/>
    <m/>
    <x v="0"/>
    <m/>
    <x v="0"/>
    <m/>
    <m/>
    <m/>
    <s v="ETF"/>
    <x v="104"/>
    <s v="North Sea Fleet"/>
    <s v="FFG546 Yancheng"/>
    <s v="http://navy.81.cn/content/2018-07/30/content_8103223.htm"/>
    <m/>
  </r>
  <r>
    <x v="0"/>
    <x v="8"/>
    <s v="Europe and Central Asia"/>
    <s v="Comprehensive Strategic Partnership [全面战略伙伴关系]"/>
    <x v="5"/>
    <s v="EUCOM"/>
    <x v="20"/>
    <x v="27"/>
    <n v="7"/>
    <s v="Port Call - Replenish/Overhaul"/>
    <m/>
    <m/>
    <m/>
    <m/>
    <x v="0"/>
    <m/>
    <x v="0"/>
    <m/>
    <m/>
    <m/>
    <s v="ETF"/>
    <x v="103"/>
    <s v="East Sea Fleet"/>
    <s v="FFG515 Binzhou"/>
    <s v="http://www.81.cn/jwgz/2018-07/12/content_8088025.htm"/>
    <s v="Updated to &quot;technical visit&quot;"/>
  </r>
  <r>
    <x v="2"/>
    <x v="1"/>
    <s v="Asia"/>
    <s v="Comprehensive Strategic Cooperative Partnership [全面战略合作伙伴关系]"/>
    <x v="0"/>
    <s v="INDOPACOM"/>
    <x v="52"/>
    <x v="27"/>
    <n v="7"/>
    <s v="Military Exercise - Bilateral"/>
    <m/>
    <m/>
    <m/>
    <m/>
    <x v="0"/>
    <m/>
    <x v="2"/>
    <s v="Peace Train 2018"/>
    <s v="Joint"/>
    <s v="Humanitarian assistance and disaster relief"/>
    <m/>
    <x v="12"/>
    <m/>
    <m/>
    <s v="http://eng.mod.gov.cn/news/2018-07/26/content_4820578.htm"/>
    <m/>
  </r>
  <r>
    <x v="1"/>
    <x v="0"/>
    <s v="Asia"/>
    <s v="All-Round Strategic Partnership [全方位战略伙伴关系]"/>
    <x v="0"/>
    <s v="INDOPACOM"/>
    <x v="32"/>
    <x v="27"/>
    <n v="7"/>
    <s v="BL - Hosted"/>
    <s v="Wei Fenghe"/>
    <m/>
    <s v="Defense Minister; CMC Member"/>
    <n v="8"/>
    <x v="2"/>
    <s v="Chief of Army Staff"/>
    <x v="0"/>
    <m/>
    <m/>
    <m/>
    <m/>
    <x v="12"/>
    <m/>
    <m/>
    <s v="http://www.xinhuanet.com/world/2018-07/11/c_1123112181.htm"/>
    <s v="Recoded as South Asia"/>
  </r>
  <r>
    <x v="1"/>
    <x v="0"/>
    <s v="Asia"/>
    <s v="All-Weather Strategic Cooperative Partnership [全天候战略合作伙伴关系]"/>
    <x v="1"/>
    <s v="CENTCOM"/>
    <x v="2"/>
    <x v="27"/>
    <n v="7"/>
    <s v="BL - Abroad"/>
    <s v="Liu Xiaowu"/>
    <m/>
    <s v="Western TC Deputy Commander"/>
    <n v="6"/>
    <x v="1"/>
    <s v="Commanders"/>
    <x v="0"/>
    <m/>
    <m/>
    <m/>
    <m/>
    <x v="12"/>
    <m/>
    <m/>
    <s v="http://www.81.cn/xwfyr/2018-07/26/content_8100593_4.htm"/>
    <s v="Unclear counterparts"/>
  </r>
  <r>
    <x v="1"/>
    <x v="0"/>
    <s v="Asia"/>
    <s v="All-Weather Strategic Cooperative Partnership [全天候战略合作伙伴关系]"/>
    <x v="1"/>
    <s v="CENTCOM"/>
    <x v="2"/>
    <x v="27"/>
    <n v="7"/>
    <s v="BL - Hosted"/>
    <s v="Zhang Youxia"/>
    <m/>
    <s v="CMc Vice Chairman"/>
    <n v="10"/>
    <x v="2"/>
    <s v="Chief of Air Staff"/>
    <x v="0"/>
    <m/>
    <m/>
    <m/>
    <m/>
    <x v="12"/>
    <m/>
    <m/>
    <s v="http://english.chinamil.com.cn/view/2018-07/20/content_8095190.htm"/>
    <s v="Not actually &quot;abroad&quot; - in Urumqi. Could be recategorized to indicate travel was necessary."/>
  </r>
  <r>
    <x v="0"/>
    <x v="1"/>
    <s v="America and Oceania"/>
    <s v="Comprehensive Strategic Partnership [全面战略伙伴关系]"/>
    <x v="0"/>
    <s v="INDOPACOM"/>
    <x v="122"/>
    <x v="27"/>
    <n v="7"/>
    <s v="Port Call - Friendly Visit"/>
    <m/>
    <m/>
    <m/>
    <m/>
    <x v="0"/>
    <m/>
    <x v="0"/>
    <m/>
    <m/>
    <m/>
    <s v="NETF"/>
    <x v="105"/>
    <s v="East Sea Fleet"/>
    <s v="Prime Minister visited the ship"/>
    <s v="https://seawaves.com/2018/07/10/plan-peace-ark-in-papua-new-guinea-july-12-18/"/>
    <s v="Updated to reflect PNG PM's visit to ship"/>
  </r>
  <r>
    <x v="2"/>
    <x v="1"/>
    <s v="America and Oceania"/>
    <s v="Comprehensive Strategic Partnership [全面战略伙伴关系]"/>
    <x v="0"/>
    <s v="INDOPACOM"/>
    <x v="122"/>
    <x v="27"/>
    <n v="7"/>
    <s v="Military Exercise - Bilateral"/>
    <m/>
    <m/>
    <m/>
    <m/>
    <x v="0"/>
    <m/>
    <x v="2"/>
    <s v="Unnamed"/>
    <s v="Navy"/>
    <s v="Joint medical aid exercise"/>
    <m/>
    <x v="105"/>
    <s v="East Sea Fleet"/>
    <m/>
    <s v="http://chinaplus.cri.cn/news/china/9/20180719/159486.html"/>
    <m/>
  </r>
  <r>
    <x v="1"/>
    <x v="3"/>
    <s v="Europe and Central Asia"/>
    <s v="Comprehensive Collaborative Strategic Partnership [全面战略协作伙伴关系]"/>
    <x v="0"/>
    <s v="EUCOM"/>
    <x v="7"/>
    <x v="27"/>
    <n v="7"/>
    <s v="BL - Abroad"/>
    <s v="Shen Jinlong"/>
    <m/>
    <s v="PLAN Commander "/>
    <n v="6"/>
    <x v="1"/>
    <s v="Commander of Northern Fleet"/>
    <x v="0"/>
    <m/>
    <m/>
    <m/>
    <m/>
    <x v="12"/>
    <m/>
    <m/>
    <s v="http://eng.chinamil.com.cn/view/2018-07/31/content_9237410.htm"/>
    <m/>
  </r>
  <r>
    <x v="1"/>
    <x v="3"/>
    <s v="Europe and Central Asia"/>
    <s v="Comprehensive Collaborative Strategic Partnership [全面战略协作伙伴关系]"/>
    <x v="0"/>
    <s v="EUCOM"/>
    <x v="7"/>
    <x v="27"/>
    <n v="7"/>
    <s v="BL - Hosted"/>
    <s v="Wei Fenghe"/>
    <m/>
    <s v="Defense Minister; CMC Member"/>
    <n v="8"/>
    <x v="2"/>
    <s v="Commander in Chief of Ground Forces"/>
    <x v="0"/>
    <m/>
    <m/>
    <m/>
    <m/>
    <x v="12"/>
    <m/>
    <m/>
    <s v="http://eng.chinamil.com.cn/view/2018-07/03/content_8078931.htm"/>
    <s v="Updated to reflect Salyukov's correct role"/>
  </r>
  <r>
    <x v="2"/>
    <x v="3"/>
    <s v="Europe and Central Asia"/>
    <s v="Comprehensive Collaborative Strategic Partnership [全面战略协作伙伴关系]"/>
    <x v="0"/>
    <s v="EUCOM"/>
    <x v="7"/>
    <x v="27"/>
    <n v="7"/>
    <s v="Military Exercise - Multilateral"/>
    <m/>
    <m/>
    <m/>
    <m/>
    <x v="0"/>
    <m/>
    <x v="6"/>
    <s v="International Army Games"/>
    <s v="Army"/>
    <s v="Fighting capabilities. Other countries: Belarus, Azerbaijan, Kazakhstan, Armenia, Iran, Zimbabwe, Pakistan, Venezuela, Sudan, Uzbekistan, Egypt, Vietnam, Syria"/>
    <m/>
    <x v="12"/>
    <m/>
    <m/>
    <s v="http://www.81.cn/jmywyl/2018-07/19/content_8093131.htm; http://eng.chinamil.com.cn/view/2018-07/18/content_8092542.htm; http://english.chinamil.com.cn/view/2018-07/12/content_8088139.htm; http://eng.chinamil.com.cn/view/2018-07/26/content_8099395.htm; http://www.ecns.cn/news/military/2018-08-04/detail-ifywsspt3618318.shtml"/>
    <s v="Updated branch to joint - included seaborne, army, and airborn competitions; added country participants"/>
  </r>
  <r>
    <x v="1"/>
    <x v="8"/>
    <s v="Europe and Central Asia"/>
    <s v="Comprehensive Strategic Partnership [全面战略伙伴关系]"/>
    <x v="0"/>
    <s v="EUCOM"/>
    <x v="112"/>
    <x v="27"/>
    <n v="7"/>
    <s v="BL - Hosted"/>
    <s v="Zhang Youxia"/>
    <m/>
    <s v="CMC Vice Chairman"/>
    <n v="10"/>
    <x v="2"/>
    <s v="Defense Minister"/>
    <x v="0"/>
    <m/>
    <m/>
    <m/>
    <m/>
    <x v="12"/>
    <m/>
    <m/>
    <s v="http://eng.chinamil.com.cn/view/2018-07/27/content_8101532.htm"/>
    <m/>
  </r>
  <r>
    <x v="0"/>
    <x v="7"/>
    <s v="West Asia and Africa"/>
    <s v="Comprehensive Strategic Partnership [全面战略伙伴关系]"/>
    <x v="0"/>
    <s v="AFRICOM"/>
    <x v="15"/>
    <x v="27"/>
    <n v="7"/>
    <s v="Port Call - Friendly Visit"/>
    <m/>
    <m/>
    <m/>
    <m/>
    <x v="0"/>
    <m/>
    <x v="0"/>
    <m/>
    <m/>
    <m/>
    <s v="NETF"/>
    <x v="106"/>
    <s v=" "/>
    <s v="HSS876 Qian Weichang"/>
    <s v="https://www.defenceweb.co.za/sea/sea-sea/chinese-survey-vessel-visits-south-africa/"/>
    <m/>
  </r>
  <r>
    <x v="1"/>
    <x v="8"/>
    <s v="Europe and Central Asia"/>
    <s v="Strategic Partnership [战略伙伴关系]"/>
    <x v="0"/>
    <s v="EUCOM"/>
    <x v="78"/>
    <x v="27"/>
    <n v="7"/>
    <s v="BL - Hosted"/>
    <s v="Wei Fenghe"/>
    <m/>
    <s v="Defense Minister; CMC Member"/>
    <n v="8"/>
    <x v="2"/>
    <s v="Chief of the Armed Forces"/>
    <x v="0"/>
    <m/>
    <m/>
    <m/>
    <m/>
    <x v="12"/>
    <m/>
    <m/>
    <s v=", http://www.mod.gov.cn/topnews/2018-07/19/content_4819745.htm"/>
    <m/>
  </r>
  <r>
    <x v="0"/>
    <x v="5"/>
    <s v="America and Oceania"/>
    <s v="Comprehensive Strategic Partnership [全面战略伙伴关系]"/>
    <x v="0"/>
    <s v="INDOPACOM"/>
    <x v="120"/>
    <x v="27"/>
    <n v="7"/>
    <s v="Port Call - Friendly Visit"/>
    <m/>
    <m/>
    <m/>
    <m/>
    <x v="0"/>
    <m/>
    <x v="0"/>
    <m/>
    <m/>
    <m/>
    <s v="NETF"/>
    <x v="105"/>
    <s v="East Sea Fleet"/>
    <m/>
    <s v="http://eng.mod.gov.cn/news/2018-07/24/content_4820284.htm"/>
    <m/>
  </r>
  <r>
    <x v="1"/>
    <x v="1"/>
    <s v="Asia"/>
    <s v="Comprehensive Strategic Cooperative Partnership [全面战略合作伙伴关系]"/>
    <x v="0"/>
    <s v="INDOPACOM"/>
    <x v="23"/>
    <x v="27"/>
    <n v="7"/>
    <s v="BL - Hosted"/>
    <s v="Zhang Youxia"/>
    <m/>
    <s v="CMC Vice Chairman"/>
    <n v="10"/>
    <x v="2"/>
    <s v="Vietnam CMC Standing Committee Member/Chief of the General Political Department of the Vietnamese People’s Army "/>
    <x v="0"/>
    <m/>
    <m/>
    <m/>
    <m/>
    <x v="12"/>
    <m/>
    <m/>
    <s v="http://www.mod.gov.cn/shouye/2018-07/25/content_4820516.htm"/>
    <m/>
  </r>
  <r>
    <x v="0"/>
    <x v="5"/>
    <s v="America and Oceania"/>
    <s v="Comprehensive Strategic Partnership [全面战略伙伴关系]"/>
    <x v="4"/>
    <s v="INDOPACOM"/>
    <x v="12"/>
    <x v="27"/>
    <n v="8"/>
    <s v="Port Call - Friendly Visit and Drills"/>
    <m/>
    <m/>
    <m/>
    <m/>
    <x v="0"/>
    <m/>
    <x v="0"/>
    <m/>
    <m/>
    <m/>
    <s v="ETF"/>
    <x v="103"/>
    <s v="North Sea Fleet"/>
    <s v="FFG570 Huangshan"/>
    <m/>
    <m/>
  </r>
  <r>
    <x v="1"/>
    <x v="8"/>
    <s v="Europe and Central Asia"/>
    <s v="Comprehensive Strategic Partnership [全面战略伙伴关系]"/>
    <x v="0"/>
    <s v="EUCOM"/>
    <x v="34"/>
    <x v="27"/>
    <n v="8"/>
    <s v="BL - Abroad"/>
    <s v="Li Zuocheng"/>
    <m/>
    <s v="PLAA Commander"/>
    <n v="6"/>
    <x v="1"/>
    <s v="Chief of Defense Forces"/>
    <x v="0"/>
    <m/>
    <m/>
    <m/>
    <m/>
    <x v="12"/>
    <m/>
    <m/>
    <s v="https://www.belarus.by/en/government/events/belarus-china-to-discuss-cooperation-in-joint-military-training_i_0000084076.html"/>
    <m/>
  </r>
  <r>
    <x v="2"/>
    <x v="8"/>
    <s v="Europe and Central Asia"/>
    <s v="Comprehensive Strategic Partnership [全面战略伙伴关系]"/>
    <x v="0"/>
    <s v="EUCOM"/>
    <x v="34"/>
    <x v="27"/>
    <n v="8"/>
    <s v="Military Exercise - Bilateral"/>
    <m/>
    <m/>
    <m/>
    <m/>
    <x v="0"/>
    <m/>
    <x v="1"/>
    <s v="Eagle Assault 2018/Hunting Falcon 2018"/>
    <s v="Army"/>
    <s v="Joint training in anti-terrorism"/>
    <m/>
    <x v="12"/>
    <m/>
    <m/>
    <s v="http://english.chinamil.com.cn/view/2018-08/07/content_9244657.htm"/>
    <m/>
  </r>
  <r>
    <x v="0"/>
    <x v="9"/>
    <s v="West Asia and Africa"/>
    <s v="Strategic Partnership [战略伙伴关系]"/>
    <x v="0"/>
    <s v="CENTCOM"/>
    <x v="119"/>
    <x v="27"/>
    <n v="8"/>
    <s v="Port Call - Friendly Visit"/>
    <m/>
    <m/>
    <m/>
    <m/>
    <x v="0"/>
    <m/>
    <x v="0"/>
    <m/>
    <m/>
    <m/>
    <s v="NETF"/>
    <x v="107"/>
    <s v="East Sea Fleet"/>
    <m/>
    <s v="http://english.chinamil.com.cn/view/2018-08/07/content_9244658.htm"/>
    <m/>
  </r>
  <r>
    <x v="0"/>
    <x v="5"/>
    <s v="America and Oceania"/>
    <s v="Comprehensive Strategic Partnership [全面战略伙伴关系]"/>
    <x v="0"/>
    <s v="INDOPACOM"/>
    <x v="128"/>
    <x v="27"/>
    <n v="8"/>
    <s v="Port Call - Friendly Visit"/>
    <m/>
    <m/>
    <m/>
    <m/>
    <x v="0"/>
    <m/>
    <x v="0"/>
    <m/>
    <m/>
    <m/>
    <s v="NETF"/>
    <x v="105"/>
    <s v="East Sea Fleet"/>
    <m/>
    <s v="http://www.xinhuanet.com/english/2018-07/23/c_137342667.htm"/>
    <s v="Chnaged month to August - Peace Ark was in Vanuatu until July 30, Fiji Aug 2-9; coded as Oceania"/>
  </r>
  <r>
    <x v="1"/>
    <x v="0"/>
    <s v="Asia"/>
    <s v="Strategic Partnership for Peace and Prosperity [战略伙伴关系]"/>
    <x v="0"/>
    <s v="INDOPACOM"/>
    <x v="6"/>
    <x v="27"/>
    <n v="8"/>
    <s v="BL - Abroad"/>
    <s v="Wei Fenghe"/>
    <m/>
    <s v="Defense Minister; CMC Member"/>
    <n v="8"/>
    <x v="1"/>
    <s v="Prime Minister"/>
    <x v="0"/>
    <m/>
    <m/>
    <m/>
    <m/>
    <x v="12"/>
    <m/>
    <m/>
    <s v="http://english.chinamil.com.cn/view/2018-08/22/content_9260060.htm; http://english.chinamil.com.cn/view/2018-08/21/content_9258810.htm"/>
    <s v="Updated to reflect meeting with PM, higher rank than Defense Minister"/>
  </r>
  <r>
    <x v="1"/>
    <x v="3"/>
    <s v="Europe and Central Asia"/>
    <s v="Comprehensive Collaborative Strategic Partnership [全面战略协作伙伴关系]"/>
    <x v="0"/>
    <s v="EUCOM"/>
    <x v="7"/>
    <x v="27"/>
    <n v="8"/>
    <s v="BL - Abroad"/>
    <s v="Li Zuocheng"/>
    <m/>
    <s v="PLAA Commander"/>
    <n v="6"/>
    <x v="1"/>
    <s v="Chief of Defense Forces"/>
    <x v="0"/>
    <m/>
    <m/>
    <m/>
    <m/>
    <x v="12"/>
    <m/>
    <m/>
    <s v="http://english.chinamil.com.cn/view/2018-08/28/content_9265435.htm"/>
    <m/>
  </r>
  <r>
    <x v="1"/>
    <x v="6"/>
    <s v="Europe and Central Asia"/>
    <s v="Member"/>
    <x v="0"/>
    <s v="CENTCOM"/>
    <x v="14"/>
    <x v="27"/>
    <n v="8"/>
    <s v="ML - Abroad"/>
    <s v="Li Zuocheng"/>
    <m/>
    <s v="PLAA Commander"/>
    <n v="6"/>
    <x v="1"/>
    <s v="Fifth meeting of SCO military chiefs of staff in Moscow"/>
    <x v="0"/>
    <m/>
    <m/>
    <m/>
    <m/>
    <x v="12"/>
    <m/>
    <m/>
    <s v="http://eng.chinamil.com.cn/view/2018-08/28/content_9265435.htm"/>
    <m/>
  </r>
  <r>
    <x v="2"/>
    <x v="6"/>
    <s v="Europe and Central Asia"/>
    <s v="Member"/>
    <x v="0"/>
    <s v="CENTCOM"/>
    <x v="14"/>
    <x v="27"/>
    <n v="8"/>
    <s v="Military Exercise - Multilateral"/>
    <m/>
    <m/>
    <m/>
    <m/>
    <x v="0"/>
    <m/>
    <x v="3"/>
    <s v="Peace Mission 2018"/>
    <s v="Joint"/>
    <s v="Other countries: Russia, Kazakhstan, Tajikistan, India, Pakistan. August 24-29, 2018"/>
    <m/>
    <x v="12"/>
    <m/>
    <m/>
    <s v="http://www.81.cn/xwfyr/2018-08/25/content_9262875.htm"/>
    <s v="Updated with source; RECODED as combat based on closer analysis"/>
  </r>
  <r>
    <x v="1"/>
    <x v="7"/>
    <s v="West Asia and Africa"/>
    <s v="Comprehensive Strategic Partnership [全面战略伙伴关系]"/>
    <x v="0"/>
    <s v="AFRICOM"/>
    <x v="15"/>
    <x v="27"/>
    <n v="8"/>
    <s v="BL - Hosted"/>
    <s v="Li Zuocheng"/>
    <m/>
    <s v="PLAA Commander"/>
    <n v="6"/>
    <x v="2"/>
    <s v="Chief of Defense Forces"/>
    <x v="0"/>
    <m/>
    <m/>
    <m/>
    <m/>
    <x v="12"/>
    <m/>
    <m/>
    <s v="http://english.chinamil.com.cn/view/2018-08/24/content_9262529.htm"/>
    <s v="Updated to reflect highest rank participant (Li higher rank than CMC JSD Shao Yuanming)"/>
  </r>
  <r>
    <x v="0"/>
    <x v="0"/>
    <s v="Asia"/>
    <s v="Strategic Cooperative Partnership [战略合作伙伴关系]"/>
    <x v="0"/>
    <s v="INDOPACOM"/>
    <x v="3"/>
    <x v="27"/>
    <n v="8"/>
    <s v="Port Call - Friendly Visit"/>
    <m/>
    <m/>
    <m/>
    <m/>
    <x v="0"/>
    <m/>
    <x v="0"/>
    <m/>
    <m/>
    <m/>
    <s v="NETF"/>
    <x v="108"/>
    <s v=" "/>
    <s v="HSS876 Qian Weichang"/>
    <s v="http://www.defence.lk/new.asp?fname=Qian_Weichang_arrives_to_Sri_Lanka_20180808_02; https://www.ndtv.com/world-news/chinese-hydrographic-survey-ship-arrives-in-sri-lanka-on-goodwill-visit-1898036"/>
    <s v="Hydrographic survey ship; not associated with specific fleet?"/>
  </r>
  <r>
    <x v="2"/>
    <x v="6"/>
    <s v="Europe and Central Asia"/>
    <s v="Comprehensive Strategic Partnership [全面战略伙伴关系]"/>
    <x v="0"/>
    <s v="CENTCOM"/>
    <x v="60"/>
    <x v="27"/>
    <n v="8"/>
    <s v="Military Exercise - Bilateral"/>
    <m/>
    <m/>
    <m/>
    <m/>
    <x v="0"/>
    <m/>
    <x v="1"/>
    <s v="Unknown"/>
    <s v="Army"/>
    <m/>
    <m/>
    <x v="12"/>
    <m/>
    <m/>
    <m/>
    <m/>
  </r>
  <r>
    <x v="0"/>
    <x v="5"/>
    <s v="America and Oceania"/>
    <s v="Strategic Partnership [战略伙伴关系]"/>
    <x v="0"/>
    <s v="INDOPACOM"/>
    <x v="144"/>
    <x v="27"/>
    <n v="8"/>
    <s v="Port Call - Friendly Visit"/>
    <m/>
    <m/>
    <m/>
    <m/>
    <x v="0"/>
    <m/>
    <x v="0"/>
    <m/>
    <m/>
    <m/>
    <s v="NETF"/>
    <x v="107"/>
    <s v="East Sea Fleet"/>
    <m/>
    <s v="http://english.chinamil.com.cn/view/2018-08/16/content_9255121.htm"/>
    <m/>
  </r>
  <r>
    <x v="2"/>
    <x v="1"/>
    <s v="Asia"/>
    <s v="Comprehensive Strategic Cooperative Partnership [全面战略合作伙伴关系]"/>
    <x v="0"/>
    <s v="INDOPACOM"/>
    <x v="23"/>
    <x v="27"/>
    <n v="8"/>
    <s v="Military Exercise - Bilateral"/>
    <m/>
    <m/>
    <m/>
    <m/>
    <x v="0"/>
    <m/>
    <x v="2"/>
    <s v="Unnamed"/>
    <s v="Army"/>
    <s v="Joint free medical examination"/>
    <m/>
    <x v="12"/>
    <m/>
    <m/>
    <s v="http://english.chinamil.com.cn/view/2018-08/23/content_9261764.htm"/>
    <m/>
  </r>
  <r>
    <x v="2"/>
    <x v="5"/>
    <s v="America and Oceania"/>
    <s v="Comprehensive Strategic Partnership [全面战略伙伴关系]"/>
    <x v="4"/>
    <s v="INDOPACOM"/>
    <x v="12"/>
    <x v="27"/>
    <n v="9"/>
    <s v="Military Exercise - Multilateral"/>
    <m/>
    <m/>
    <m/>
    <m/>
    <x v="0"/>
    <m/>
    <x v="3"/>
    <s v="Kakadu 2018"/>
    <s v="Navy"/>
    <s v="Maritime exercises,both combat and support. Sent frigate Huangshan. 27 countries total: India, Japan, BG, Brunei, CB, CA, Chile, Cook Islands, East Timor, Fiji, FR, IN, ID, MY, NZ, PL, PNG, PH, SG, KS, CE, TH, Tonga, UAE, VM"/>
    <m/>
    <x v="12"/>
    <m/>
    <m/>
    <s v=" http://english.chinamil.com.cn/view/2018-08/22/content_9260566.htm; http://eng.chinamil.com.cn/view/2018-08/31/content_9268853.htm"/>
    <s v="Recategorized as combat exercise (live fire drills, confrontation drills, air defense drills, firing missiles). Added frigate name."/>
  </r>
  <r>
    <x v="2"/>
    <x v="5"/>
    <s v="America and Oceania"/>
    <s v="Comprehensive Strategic Partnership [全面战略伙伴关系]"/>
    <x v="4"/>
    <s v="INDOPACOM"/>
    <x v="12"/>
    <x v="27"/>
    <n v="9"/>
    <s v="Military Exercise - Bilateral"/>
    <m/>
    <m/>
    <m/>
    <m/>
    <x v="0"/>
    <m/>
    <x v="2"/>
    <s v="Pandaroo 2018"/>
    <s v="Army"/>
    <s v="Joint training exercise - &quot;adventure training&quot; like seakayaking and rapelling"/>
    <m/>
    <x v="12"/>
    <m/>
    <m/>
    <s v="http://english.chinamil.com.cn/view/2018-09/17/content_9284969.htm"/>
    <s v="Added detail to the activities"/>
  </r>
  <r>
    <x v="2"/>
    <x v="5"/>
    <s v="America and Oceania"/>
    <s v="Comprehensive Strategic Partnership [全面战略伙伴关系]"/>
    <x v="4"/>
    <s v="INDOPACOM"/>
    <x v="12"/>
    <x v="27"/>
    <n v="9"/>
    <s v="Military Exercise - Multilateral"/>
    <m/>
    <m/>
    <m/>
    <m/>
    <x v="0"/>
    <m/>
    <x v="2"/>
    <s v="Kowari 2018"/>
    <s v="Army"/>
    <s v="Survival Training Exercise. Other countries: United States."/>
    <m/>
    <x v="12"/>
    <m/>
    <m/>
    <s v="http://eng.chinamil.com.cn/view/2018-09/05/content_9272890.htm"/>
    <m/>
  </r>
  <r>
    <x v="0"/>
    <x v="9"/>
    <s v="West Asia and Africa"/>
    <s v="Strategic Partnership [战略伙伴关系]"/>
    <x v="0"/>
    <s v="CENTCOM"/>
    <x v="119"/>
    <x v="27"/>
    <n v="9"/>
    <s v="Port Call - Replenish/Overhaul"/>
    <m/>
    <m/>
    <m/>
    <m/>
    <x v="0"/>
    <m/>
    <x v="0"/>
    <m/>
    <m/>
    <m/>
    <s v="ETF"/>
    <x v="109"/>
    <s v="North Sea Fleet"/>
    <s v="FFG539 Wuhu"/>
    <s v="http://www.mod.gov.cn/shouye/2018-09/27/content_4825790.htm"/>
    <m/>
  </r>
  <r>
    <x v="1"/>
    <x v="9"/>
    <s v="West Asia and Africa"/>
    <s v="Comprehensive Strategic Partnership [全面战略伙伴关系]"/>
    <x v="0"/>
    <s v="CENTCOM"/>
    <x v="89"/>
    <x v="27"/>
    <n v="9"/>
    <s v="BL - Hosted"/>
    <s v="Zhang Youxia"/>
    <m/>
    <s v="CMC Vice Chairman"/>
    <n v="10"/>
    <x v="2"/>
    <s v="Defense Minister"/>
    <x v="0"/>
    <m/>
    <m/>
    <m/>
    <m/>
    <x v="12"/>
    <m/>
    <m/>
    <s v="http://english.chinamil.com.cn/view/2018-09/10/content_9277330.htm"/>
    <m/>
  </r>
  <r>
    <x v="1"/>
    <x v="6"/>
    <s v="Europe and Central Asia"/>
    <s v="Comprehensive Strategic Partnership [全面战略伙伴关系]"/>
    <x v="0"/>
    <s v="CENTCOM"/>
    <x v="30"/>
    <x v="27"/>
    <n v="9"/>
    <s v="BL - Abroad"/>
    <s v="Xu Qiliang"/>
    <m/>
    <s v="CMC Vice Chairman"/>
    <n v="10"/>
    <x v="1"/>
    <s v="Defense Minister"/>
    <x v="0"/>
    <m/>
    <m/>
    <m/>
    <m/>
    <x v="12"/>
    <m/>
    <m/>
    <s v="http://english.chinamil.com.cn/view/2018-09/05/content_9272625.htm"/>
    <m/>
  </r>
  <r>
    <x v="1"/>
    <x v="6"/>
    <s v="Europe and Central Asia"/>
    <s v="Comprehensive Strategic Partnership [全面战略伙伴关系]"/>
    <x v="0"/>
    <s v="CENTCOM"/>
    <x v="31"/>
    <x v="27"/>
    <n v="9"/>
    <s v="BL - Abroad"/>
    <s v="Xu Qiliang"/>
    <m/>
    <s v="CMC Vice Chairman"/>
    <n v="10"/>
    <x v="1"/>
    <s v="Defense Minister"/>
    <x v="0"/>
    <m/>
    <m/>
    <m/>
    <m/>
    <x v="12"/>
    <m/>
    <m/>
    <s v="https://thediplomat.com/2018/09/why-is-chinas-top-military-official-visiting-central-asia/"/>
    <m/>
  </r>
  <r>
    <x v="2"/>
    <x v="0"/>
    <s v="Asia"/>
    <s v="All-Round Strategic Partnership [全方位战略伙伴关系]"/>
    <x v="0"/>
    <s v="INDOPACOM"/>
    <x v="32"/>
    <x v="27"/>
    <n v="9"/>
    <s v="Military Exercise - Bilateral"/>
    <m/>
    <m/>
    <m/>
    <m/>
    <x v="0"/>
    <m/>
    <x v="1"/>
    <s v="Mt. Everest Friendship 2018"/>
    <s v="Army"/>
    <s v="Joint training exercise; removing explosives and shooting"/>
    <m/>
    <x v="12"/>
    <m/>
    <m/>
    <s v="http://english.chinamil.com.cn/view/2018-09/19/content_9293261.htm"/>
    <s v="Added detail to the activities"/>
  </r>
  <r>
    <x v="2"/>
    <x v="7"/>
    <s v="West Asia and Africa"/>
    <s v="Strategic Partnership [战略伙伴关系]"/>
    <x v="0"/>
    <s v="AFRICOM"/>
    <x v="36"/>
    <x v="27"/>
    <n v="9"/>
    <s v="Military Exercise - Bilateral"/>
    <m/>
    <m/>
    <m/>
    <m/>
    <x v="0"/>
    <m/>
    <x v="1"/>
    <s v="Unnamed"/>
    <s v="PAP"/>
    <s v="Held in Mali, response to recent security situation. Simulated attack on a UN camp. Chinese 6th peacekeeping engineers detachment participated with Nigeria's peacekeeping infantry battalion."/>
    <m/>
    <x v="12"/>
    <m/>
    <m/>
    <s v="http://english.chinamil.com.cn/view/2018-09/03/content_9271041.htm"/>
    <m/>
  </r>
  <r>
    <x v="1"/>
    <x v="0"/>
    <s v="Asia"/>
    <s v="All-Weather Strategic Cooperative Partnership [全天候战略合作伙伴关系]"/>
    <x v="1"/>
    <s v="CENTCOM"/>
    <x v="2"/>
    <x v="27"/>
    <n v="9"/>
    <s v="BL - Hosted"/>
    <s v="Zhang Youxia"/>
    <m/>
    <s v="CMC Vice Chairman"/>
    <n v="10"/>
    <x v="2"/>
    <s v="Chief of Army Staff"/>
    <x v="0"/>
    <m/>
    <m/>
    <m/>
    <m/>
    <x v="12"/>
    <m/>
    <m/>
    <s v="http://english.chinamil.com.cn/view/2018-09/19/content_9292412.htm"/>
    <m/>
  </r>
  <r>
    <x v="1"/>
    <x v="3"/>
    <s v="Europe and Central Asia"/>
    <s v="Comprehensive Collaborative Strategic Partnership [全面战略协作伙伴关系]"/>
    <x v="0"/>
    <s v="EUCOM"/>
    <x v="7"/>
    <x v="27"/>
    <n v="9"/>
    <s v="BL - Abroad"/>
    <s v="Wei Fenghe"/>
    <m/>
    <s v="Defense Minister; CMC Member"/>
    <n v="8"/>
    <x v="1"/>
    <s v="President"/>
    <x v="0"/>
    <m/>
    <m/>
    <m/>
    <m/>
    <x v="12"/>
    <m/>
    <m/>
    <s v="http://www.mod.gov.cn/action/2018-09/14/content_4824917_2.htm"/>
    <s v="Meeting with Putin on sidelines of Vostok 2018"/>
  </r>
  <r>
    <x v="2"/>
    <x v="3"/>
    <s v="Europe and Central Asia"/>
    <s v="Comprehensive Collaborative Strategic Partnership [全面战略协作伙伴关系]"/>
    <x v="0"/>
    <s v="EUCOM"/>
    <x v="7"/>
    <x v="27"/>
    <n v="9"/>
    <s v="Military Exercise - Multilateral"/>
    <m/>
    <m/>
    <m/>
    <m/>
    <x v="0"/>
    <m/>
    <x v="3"/>
    <s v="Vostok 2018"/>
    <s v="Joint"/>
    <s v="Mobile defense, firepower striking, and counter-offensive; Mongolia also participated"/>
    <m/>
    <x v="12"/>
    <m/>
    <m/>
    <s v="https://www.nato.int/docu/review/articles/2018/12/20/vostok-2018-ten-years-of-russian-strategic-exercises-and-warfare-preparation/index.html"/>
    <s v="RECODED as JOINT based on PLAAF participation"/>
  </r>
  <r>
    <x v="1"/>
    <x v="1"/>
    <s v="Asia"/>
    <s v="All-Round Cooperative Partnership [全方合作伙伴关系]"/>
    <x v="0"/>
    <s v="INDOPACOM"/>
    <x v="39"/>
    <x v="27"/>
    <n v="9"/>
    <s v="BL - Hosted"/>
    <s v="Wei Fenghe"/>
    <m/>
    <s v="Defense Minister; CMC Member"/>
    <n v="8"/>
    <x v="2"/>
    <s v="Chief of Defense Forces"/>
    <x v="0"/>
    <m/>
    <m/>
    <m/>
    <m/>
    <x v="12"/>
    <m/>
    <m/>
    <s v="http://english.chinamil.com.cn/view/2018-09/06/content_9273156.htm"/>
    <m/>
  </r>
  <r>
    <x v="2"/>
    <x v="0"/>
    <s v="Asia"/>
    <s v="Strategic Cooperative Partnership [战略合作伙伴关系]"/>
    <x v="0"/>
    <s v="INDOPACOM"/>
    <x v="3"/>
    <x v="27"/>
    <n v="9"/>
    <s v="Military Exercise - Multilateral"/>
    <m/>
    <m/>
    <m/>
    <m/>
    <x v="0"/>
    <m/>
    <x v="3"/>
    <s v="Cormorant Strike IX 2018"/>
    <s v="Army"/>
    <s v="Special operations"/>
    <m/>
    <x v="12"/>
    <m/>
    <m/>
    <m/>
    <m/>
  </r>
  <r>
    <x v="1"/>
    <x v="6"/>
    <s v="Europe and Central Asia"/>
    <s v="Comprehensive Strategic Partnership [全面战略伙伴关系]"/>
    <x v="0"/>
    <s v="CENTCOM"/>
    <x v="60"/>
    <x v="27"/>
    <n v="9"/>
    <s v="BL - Abroad"/>
    <s v="Xu Qiliang"/>
    <m/>
    <s v="CMC Vice Chairman"/>
    <n v="10"/>
    <x v="1"/>
    <s v="President"/>
    <x v="0"/>
    <m/>
    <m/>
    <m/>
    <m/>
    <x v="12"/>
    <m/>
    <m/>
    <s v="http://english.chinamil.com.cn/view/2018-09/06/content_9274052.htm"/>
    <s v="Updated with higher level counterpart (President)"/>
  </r>
  <r>
    <x v="2"/>
    <x v="1"/>
    <s v="Asia"/>
    <s v="Comprehensive Strategic Cooperative Partnership [全面战略合作伙伴关系]"/>
    <x v="3"/>
    <s v="INDOPACOM"/>
    <x v="5"/>
    <x v="27"/>
    <n v="9"/>
    <s v="Military Exercise - Bilateral"/>
    <m/>
    <m/>
    <m/>
    <m/>
    <x v="0"/>
    <m/>
    <x v="3"/>
    <s v="Falcon Strike 2018"/>
    <s v="Air Force"/>
    <s v="Combat tactics and methods"/>
    <m/>
    <x v="12"/>
    <m/>
    <m/>
    <s v="http://english.chinamil.com.cn/view/2018-09/07/content_9275202.htm"/>
    <m/>
  </r>
  <r>
    <x v="1"/>
    <x v="2"/>
    <s v="America and Oceania"/>
    <s v="No Specific Relationship"/>
    <x v="2"/>
    <s v="NORTHCOM"/>
    <x v="4"/>
    <x v="27"/>
    <n v="9"/>
    <s v="BL - Hosted"/>
    <s v="Song Puxuan"/>
    <m/>
    <s v="CMC/LSD Director"/>
    <n v="6"/>
    <x v="2"/>
    <s v="Dir of LSD"/>
    <x v="0"/>
    <m/>
    <m/>
    <m/>
    <m/>
    <x v="12"/>
    <m/>
    <m/>
    <s v="http://eng.chinamil.com.cn/view/2018-09/18/content_9289907.htm"/>
    <s v="Asia-Pacific Military Health Exchange co-hosted by US and China in China. US counterpart unspecified."/>
  </r>
  <r>
    <x v="0"/>
    <x v="10"/>
    <s v="America and Oceania"/>
    <s v="Comprehensive Strategic Partnership [全面战略伙伴关系]"/>
    <x v="0"/>
    <s v="SOUTHCOM"/>
    <x v="56"/>
    <x v="27"/>
    <n v="9"/>
    <s v="Port Call - Friendly Visit"/>
    <m/>
    <m/>
    <m/>
    <m/>
    <x v="0"/>
    <m/>
    <x v="0"/>
    <m/>
    <m/>
    <m/>
    <s v="NETF"/>
    <x v="110"/>
    <s v="East Sea Fleet"/>
    <m/>
    <s v="http://english.chinamil.com.cn/view/2018-09/25/content_9297699.htm"/>
    <m/>
  </r>
  <r>
    <x v="0"/>
    <x v="10"/>
    <s v="America and Oceania"/>
    <s v="Friendly Cooperative Partnership [友好合作伙伴关系]"/>
    <x v="0"/>
    <s v="SOUTHCOM"/>
    <x v="41"/>
    <x v="27"/>
    <n v="10"/>
    <s v="Port Call - Friendly Visit"/>
    <m/>
    <m/>
    <m/>
    <m/>
    <x v="0"/>
    <m/>
    <x v="0"/>
    <m/>
    <m/>
    <m/>
    <s v="NETF"/>
    <x v="111"/>
    <s v="East Sea Fleet"/>
    <m/>
    <s v="http://english.chinamil.com.cn/view/2018-10/31/content_9327912.htm"/>
    <m/>
  </r>
  <r>
    <x v="1"/>
    <x v="1"/>
    <s v="Asia"/>
    <s v="Strategic Partnership [战略伙伴关系] for Peace and Prosperity"/>
    <x v="0"/>
    <s v="INDOPACOM"/>
    <x v="153"/>
    <x v="27"/>
    <n v="10"/>
    <s v="ML - Abroad"/>
    <s v="Wei Fenghe"/>
    <m/>
    <s v="Defense Minister; CMC Member"/>
    <n v="8"/>
    <x v="1"/>
    <s v="5th ADMM+ Defense Minister"/>
    <x v="0"/>
    <m/>
    <m/>
    <m/>
    <m/>
    <x v="12"/>
    <m/>
    <m/>
    <s v="https://thediplomat.com/tag/admm-plus/"/>
    <s v="corrected partnership to strategic partnership for peace and prosperity"/>
  </r>
  <r>
    <x v="2"/>
    <x v="1"/>
    <s v="Asia"/>
    <s v="Strategic Partnership [战略伙伴关系] for Peace and Prosperity"/>
    <x v="0"/>
    <s v="INDOPACOM"/>
    <x v="153"/>
    <x v="27"/>
    <n v="10"/>
    <s v="Military Exercise - Multilateral"/>
    <m/>
    <m/>
    <m/>
    <m/>
    <x v="0"/>
    <m/>
    <x v="2"/>
    <s v="ASEAN-China Maritime Exercise"/>
    <s v="Navy"/>
    <s v="Exchange activities; SG=lead planner for ASEAN; Other countries: Singapore, Vietnam, Thailand, Brunei, Philippines (first PLA exercise with Philippines)"/>
    <m/>
    <x v="12"/>
    <m/>
    <m/>
    <s v="http://eng.chinamil.com.cn/view/2018-10/22/content_9319771.htm"/>
    <s v="corrected partnership to strategic partnership for peace and prosperity"/>
  </r>
  <r>
    <x v="1"/>
    <x v="5"/>
    <s v="America and Oceania"/>
    <s v="Comprehensive Strategic Partnership [全面战略伙伴关系]"/>
    <x v="4"/>
    <s v="INDOPACOM"/>
    <x v="12"/>
    <x v="27"/>
    <n v="10"/>
    <s v="ML - Margins"/>
    <s v="Wei Fenghe"/>
    <m/>
    <s v="Defense Minister; CMC Member"/>
    <n v="8"/>
    <x v="1"/>
    <s v="BL with Defense Minister at ADMM+"/>
    <x v="0"/>
    <m/>
    <m/>
    <m/>
    <m/>
    <x v="12"/>
    <m/>
    <m/>
    <s v="http://www.xinhuanet.com/english/2018-10/21/c_137547767.htm"/>
    <m/>
  </r>
  <r>
    <x v="1"/>
    <x v="5"/>
    <s v="America and Oceania"/>
    <s v="Comprehensive Strategic Partnership [全面战略伙伴关系]"/>
    <x v="4"/>
    <s v="INDOPACOM"/>
    <x v="12"/>
    <x v="27"/>
    <n v="10"/>
    <s v="BL - Hosted"/>
    <s v="Xu Qiliang"/>
    <m/>
    <s v="CMC Vice Chairman"/>
    <n v="10"/>
    <x v="2"/>
    <s v="Defense Minister"/>
    <x v="0"/>
    <m/>
    <m/>
    <m/>
    <m/>
    <x v="12"/>
    <m/>
    <m/>
    <s v="http://english.chinamil.com.cn/view/2018-10/30/content_9326986.htm"/>
    <m/>
  </r>
  <r>
    <x v="1"/>
    <x v="5"/>
    <s v="America and Oceania"/>
    <s v="Comprehensive Strategic Partnership [全面战略伙伴关系]"/>
    <x v="4"/>
    <s v="INDOPACOM"/>
    <x v="12"/>
    <x v="27"/>
    <n v="10"/>
    <s v="BL - Hosted"/>
    <s v="Xu Qiliang"/>
    <m/>
    <s v="CMC Vice Chairman"/>
    <n v="10"/>
    <x v="2"/>
    <s v="Defense Minister and CHOD for 21st Strategic Consultation"/>
    <x v="0"/>
    <m/>
    <m/>
    <m/>
    <m/>
    <x v="12"/>
    <m/>
    <m/>
    <s v="http://eng.chinamil.com.cn/view/2018-10/30/content_9326986.htm"/>
    <m/>
  </r>
  <r>
    <x v="1"/>
    <x v="10"/>
    <s v="America and Oceania"/>
    <s v="Strategic Partnership [战略伙伴关系]"/>
    <x v="0"/>
    <s v="SOUTHCOM"/>
    <x v="42"/>
    <x v="27"/>
    <n v="10"/>
    <s v="ML - Margins"/>
    <s v="Wei Fenghe"/>
    <m/>
    <s v="Defense Minister; CMC Member"/>
    <n v="8"/>
    <x v="1"/>
    <s v="Defense Minister; BL at 4th China-Latin America Defense Forum"/>
    <x v="0"/>
    <m/>
    <m/>
    <m/>
    <m/>
    <x v="12"/>
    <m/>
    <m/>
    <s v="http://www.xinhuanet.com/politics/2018-11/02/c_1123656109.htm"/>
    <m/>
  </r>
  <r>
    <x v="1"/>
    <x v="1"/>
    <s v="Asia"/>
    <s v="Comprehensive Strategic Cooperative Partnership [全面战略合作伙伴关系]"/>
    <x v="0"/>
    <s v="INDOPACOM"/>
    <x v="94"/>
    <x v="27"/>
    <n v="10"/>
    <s v="ML - Margins"/>
    <s v="Xu Qiliang"/>
    <m/>
    <s v="CMC Vice Chairman"/>
    <n v="10"/>
    <x v="2"/>
    <s v="Defense Minister; BL at Xiangshan"/>
    <x v="0"/>
    <m/>
    <m/>
    <m/>
    <m/>
    <x v="12"/>
    <m/>
    <m/>
    <s v="http://eng.mod.gov.cn/news/2018-10/29/content_4828199.htm"/>
    <m/>
  </r>
  <r>
    <x v="1"/>
    <x v="10"/>
    <s v="America and Oceania"/>
    <s v="Comprehensive Cooperative Partnership [全面合作伙伴关系]"/>
    <x v="0"/>
    <s v="SOUTHCOM"/>
    <x v="159"/>
    <x v="27"/>
    <n v="10"/>
    <s v="ML - Hosted"/>
    <s v="Wei Fenghe"/>
    <m/>
    <s v="Defense Minister; CMC Member"/>
    <n v="8"/>
    <x v="2"/>
    <s v="Fourth China-Latin America High-level Defense Forum"/>
    <x v="0"/>
    <m/>
    <m/>
    <m/>
    <m/>
    <x v="12"/>
    <m/>
    <m/>
    <s v="http://eng.chinamil.com.cn/view/2018-10/30/content_9326872.htm "/>
    <s v="source says &quot;Major General Shao Yuanming, Vice-Chief of Staff at the Joint Staff Department&quot; gave remarks"/>
  </r>
  <r>
    <x v="1"/>
    <x v="10"/>
    <s v="America and Oceania"/>
    <s v="Strategic Partnership [战略伙伴关系]"/>
    <x v="0"/>
    <s v="SOUTHCOM"/>
    <x v="156"/>
    <x v="27"/>
    <n v="10"/>
    <s v="ML - Margins"/>
    <s v="Wei Fenghe"/>
    <m/>
    <s v="Defense Minister; CMC Member"/>
    <n v="8"/>
    <x v="1"/>
    <s v="Public Security Minister; BL at 4th China-Latin America Defense Forum"/>
    <x v="0"/>
    <m/>
    <m/>
    <m/>
    <m/>
    <x v="12"/>
    <m/>
    <m/>
    <s v="http://www.xinhuanet.com/politics/2018-11/02/c_1123656109.htm"/>
    <m/>
  </r>
  <r>
    <x v="0"/>
    <x v="10"/>
    <s v="America and Oceania"/>
    <s v="No Specific Relationship"/>
    <x v="0"/>
    <s v="SOUTHCOM"/>
    <x v="166"/>
    <x v="27"/>
    <n v="10"/>
    <s v="Port Call - Friendly Visit"/>
    <m/>
    <m/>
    <m/>
    <m/>
    <x v="0"/>
    <m/>
    <x v="0"/>
    <m/>
    <m/>
    <m/>
    <s v="NETF"/>
    <x v="111"/>
    <s v="East Sea Fleet"/>
    <m/>
    <s v="http://english.chinamil.com.cn/view/2018-10/15/content_9313496.htm"/>
    <m/>
  </r>
  <r>
    <x v="1"/>
    <x v="10"/>
    <s v="America and Oceania"/>
    <s v="Comprehensive Strategic Partnership [全面战略伙伴关系]"/>
    <x v="0"/>
    <s v="SOUTHCOM"/>
    <x v="51"/>
    <x v="27"/>
    <n v="10"/>
    <s v="ML - Margins"/>
    <s v="Wei Fenghe"/>
    <m/>
    <s v="Defense Minister; CMC Member"/>
    <n v="8"/>
    <x v="2"/>
    <s v="BL with Defense Minister at Xiangshan Forum"/>
    <x v="0"/>
    <m/>
    <m/>
    <m/>
    <m/>
    <x v="12"/>
    <m/>
    <m/>
    <s v="http://english.chinamil.com.cn/view/2018-10/26/content_9324154.htm"/>
    <m/>
  </r>
  <r>
    <x v="1"/>
    <x v="7"/>
    <s v="West Asia and Africa"/>
    <s v="Comprehensive Cooperative Partnership [全面合作伙伴关系]"/>
    <x v="0"/>
    <s v="AFRICOM"/>
    <x v="46"/>
    <x v="27"/>
    <n v="10"/>
    <s v="ML - Margins"/>
    <s v="Wei Fenghe"/>
    <m/>
    <s v="Defense Minister; CMC Member"/>
    <n v="8"/>
    <x v="2"/>
    <s v="BL with Defense Minister at Xiangshan Forum"/>
    <x v="0"/>
    <m/>
    <m/>
    <m/>
    <m/>
    <x v="12"/>
    <m/>
    <m/>
    <s v="http://english.chinamil.com.cn/view/2018-10/26/content_9324154.htm"/>
    <m/>
  </r>
  <r>
    <x v="2"/>
    <x v="8"/>
    <s v="Europe and Central Asia"/>
    <s v="Comprehensive Cooperative Partnership [全面合作伙伴关系]"/>
    <x v="0"/>
    <s v="EUCOM"/>
    <x v="158"/>
    <x v="27"/>
    <n v="10"/>
    <s v="Military Exercise - Multilateral"/>
    <m/>
    <m/>
    <m/>
    <m/>
    <x v="0"/>
    <m/>
    <x v="2"/>
    <s v="Cooperation EU Joint Medical Exercise"/>
    <s v="Navy"/>
    <s v="Led by Italy; Joint medical rescue with European Union Naval Force Combined Task Force (EU NAVFOR CTF) and PLA Djibouti Support Base; joint air-sea medical rescue in the West Gulf of Aden"/>
    <m/>
    <x v="12"/>
    <m/>
    <m/>
    <s v="http://english.chinamil.com.cn/view/2018-10/15/content_9313491.htm"/>
    <s v="Updated to reflect collaboration with EU, with Italy as key counterpart."/>
  </r>
  <r>
    <x v="1"/>
    <x v="5"/>
    <s v="America and Oceania"/>
    <s v="Comprehensive Strategic Partnership [全面战略伙伴关系]"/>
    <x v="0"/>
    <s v="INDOPACOM"/>
    <x v="128"/>
    <x v="27"/>
    <n v="10"/>
    <s v="ML - Margins"/>
    <s v="Wei Fenghe"/>
    <m/>
    <s v="Defense Minister; CMC Member"/>
    <n v="8"/>
    <x v="2"/>
    <s v="BL with Defense Minister at Xiangshan Forum"/>
    <x v="0"/>
    <m/>
    <m/>
    <m/>
    <m/>
    <x v="12"/>
    <m/>
    <m/>
    <s v="http://www.xinhuanet.com/politics/2018-10/26/c_1123618438.htm"/>
    <s v="Coded as Oceania instead of Southeast Asia"/>
  </r>
  <r>
    <x v="1"/>
    <x v="8"/>
    <s v="Europe and Central Asia"/>
    <s v="Comprehensive Strategic Partnership [全面战略伙伴关系]"/>
    <x v="5"/>
    <s v="EUCOM"/>
    <x v="18"/>
    <x v="27"/>
    <n v="10"/>
    <s v="BL - Hosted"/>
    <s v="Xu Qiliang"/>
    <m/>
    <s v="CMC Vice Chairman"/>
    <n v="10"/>
    <x v="2"/>
    <s v="Defense Minister"/>
    <x v="0"/>
    <m/>
    <m/>
    <m/>
    <m/>
    <x v="12"/>
    <m/>
    <m/>
    <s v="http://english.chinamil.com.cn/view/2018-10/23/content_9320430.htm"/>
    <m/>
  </r>
  <r>
    <x v="0"/>
    <x v="10"/>
    <s v="America and Oceania"/>
    <s v="No Specific Relationship"/>
    <x v="0"/>
    <s v="SOUTHCOM"/>
    <x v="138"/>
    <x v="27"/>
    <n v="10"/>
    <s v="Port Call - Friendly Visit"/>
    <m/>
    <m/>
    <m/>
    <m/>
    <x v="0"/>
    <m/>
    <x v="0"/>
    <m/>
    <m/>
    <m/>
    <s v="NETF"/>
    <x v="111"/>
    <s v="East Sea Fleet"/>
    <m/>
    <s v="http://english.chinamil.com.cn/view/2018-10/10/content_9307556.htm"/>
    <m/>
  </r>
  <r>
    <x v="1"/>
    <x v="4"/>
    <s v="Asia"/>
    <s v="Mutually Beneficial Strategic Relationship [战略互惠关系]"/>
    <x v="3"/>
    <s v="INDOPACOM"/>
    <x v="83"/>
    <x v="27"/>
    <n v="10"/>
    <s v="ML - Margins"/>
    <s v="Wei Fenghe"/>
    <m/>
    <s v="Defense Minister; CMC Member"/>
    <n v="8"/>
    <x v="1"/>
    <s v="BL with Defense Minister at ADMM+"/>
    <x v="0"/>
    <m/>
    <m/>
    <m/>
    <m/>
    <x v="12"/>
    <m/>
    <m/>
    <s v="http://www.xinhuanet.com/english/2018-10/21/c_137547767.htm"/>
    <m/>
  </r>
  <r>
    <x v="1"/>
    <x v="1"/>
    <s v="Asia"/>
    <s v="Comprehensive Strategic Cooperative Partnership [全面战略合作伙伴关系]"/>
    <x v="0"/>
    <s v="INDOPACOM"/>
    <x v="52"/>
    <x v="27"/>
    <n v="10"/>
    <s v="ML - Margins"/>
    <s v="Wei Fenghe"/>
    <m/>
    <s v="Defense Minister; CMC Member"/>
    <n v="8"/>
    <x v="1"/>
    <s v="BL with Defense Minister at ADMM+"/>
    <x v="0"/>
    <m/>
    <m/>
    <m/>
    <m/>
    <x v="12"/>
    <m/>
    <m/>
    <s v="http://www.xinhuanet.com/english/2018-10/21/c_137547767.htm"/>
    <m/>
  </r>
  <r>
    <x v="2"/>
    <x v="1"/>
    <s v="Asia"/>
    <s v="Comprehensive Strategic Partnership [全面战略伙伴关系]"/>
    <x v="0"/>
    <s v="INDOPACOM"/>
    <x v="10"/>
    <x v="27"/>
    <n v="10"/>
    <s v="Military Exercise - Multilateral"/>
    <m/>
    <m/>
    <m/>
    <m/>
    <x v="0"/>
    <m/>
    <x v="3"/>
    <s v="Peace and Friendship 2018"/>
    <s v="Joint"/>
    <s v="Joint training on security threats; staff HQ exercise and combat training; survival training. Other countries: Thailand "/>
    <m/>
    <x v="12"/>
    <m/>
    <m/>
    <s v="http://english.chinamil.com.cn/view/2018-10/14/content_9312024.htm"/>
    <s v="Updated service type (included Navy), updated exercise type, and added specifics on drill types."/>
  </r>
  <r>
    <x v="1"/>
    <x v="1"/>
    <s v="Asia"/>
    <s v="Comprehensive Strategic Partnership [全面战略伙伴关系]"/>
    <x v="0"/>
    <s v="INDOPACOM"/>
    <x v="10"/>
    <x v="27"/>
    <n v="10"/>
    <s v="ML - Margins"/>
    <s v="Xu Qiliang"/>
    <m/>
    <s v="CMC Vice Chairman"/>
    <n v="10"/>
    <x v="2"/>
    <s v="Defense Minister; BL at Xiangshan"/>
    <x v="0"/>
    <m/>
    <m/>
    <m/>
    <m/>
    <x v="12"/>
    <m/>
    <m/>
    <s v="http://eng.mod.gov.cn/news/2018-10/29/content_4828199.htm"/>
    <m/>
  </r>
  <r>
    <x v="1"/>
    <x v="7"/>
    <s v="West Asia and Africa"/>
    <s v="Comprehensive Strategic Cooperative Partnership [全面战略合作伙伴关系]"/>
    <x v="0"/>
    <s v="AFRICOM"/>
    <x v="84"/>
    <x v="27"/>
    <n v="10"/>
    <s v="ML - Margins"/>
    <s v="Wei Fenghe"/>
    <m/>
    <s v="Defense Minister; CMC Member"/>
    <n v="8"/>
    <x v="2"/>
    <s v="BL with Defense Minister at Xiangshan Forum"/>
    <x v="0"/>
    <m/>
    <m/>
    <m/>
    <m/>
    <x v="12"/>
    <m/>
    <m/>
    <s v="http://english.chinamil.com.cn/view/2018-10/26/content_9324154.htm"/>
    <m/>
  </r>
  <r>
    <x v="1"/>
    <x v="1"/>
    <s v="Asia"/>
    <s v="Comprehensive Strategic Cooperative Partnership [全面战略合作伙伴关系]"/>
    <x v="0"/>
    <s v="INDOPACOM"/>
    <x v="1"/>
    <x v="27"/>
    <n v="10"/>
    <s v="ML - Margins"/>
    <s v="Wei Fenghe"/>
    <m/>
    <s v="Defense Minister; CMC Member"/>
    <n v="8"/>
    <x v="2"/>
    <s v="BL with Defense Minister at Xiangshan Forum"/>
    <x v="0"/>
    <m/>
    <m/>
    <m/>
    <m/>
    <x v="12"/>
    <m/>
    <m/>
    <s v="http://www.xinhuanet.com/politics/2018-10/26/c_1123618438.htm"/>
    <m/>
  </r>
  <r>
    <x v="2"/>
    <x v="4"/>
    <s v="Asia"/>
    <s v="N/A"/>
    <x v="0"/>
    <s v="INDOPACOM"/>
    <x v="161"/>
    <x v="27"/>
    <n v="10"/>
    <s v="Military Exercise - Multilateral"/>
    <m/>
    <m/>
    <m/>
    <m/>
    <x v="0"/>
    <m/>
    <x v="1"/>
    <s v="Sharp Blade 2018"/>
    <s v="PAP"/>
    <s v="Anti-terrorism. Other countries: Hungary, Israel, Pakistan, CAR; Hosted by PAP, but PLAN, PLAA, and PLAAF sent teams. "/>
    <m/>
    <x v="12"/>
    <m/>
    <m/>
    <s v="http://worlddefencenews.blogspot.com/2018/10/china-sharp-blade-2018-international.html#:~:text=The%20%22Sharp%20Blade%202018%E2%80%9D%20International,as%20reported%20by%20Chinamil.com."/>
    <s v="Updated branch to PAP; changed partner country to N/A and CCMD to PACOM"/>
  </r>
  <r>
    <x v="1"/>
    <x v="4"/>
    <s v="Asia"/>
    <s v="N/A"/>
    <x v="0"/>
    <s v="INDOPACOM"/>
    <x v="161"/>
    <x v="27"/>
    <n v="10"/>
    <s v="ML - Hosted"/>
    <s v="Wei Fenghe"/>
    <m/>
    <s v="Defense Minister; CMC Member"/>
    <n v="8"/>
    <x v="2"/>
    <s v="Xiangshan Forum 2018; Defense Minister"/>
    <x v="0"/>
    <m/>
    <m/>
    <m/>
    <m/>
    <x v="12"/>
    <m/>
    <m/>
    <s v="http://english.chinamil.com.cn/view/2018-10/26/content_9324154.htm"/>
    <m/>
  </r>
  <r>
    <x v="1"/>
    <x v="8"/>
    <s v="Europe and Central Asia"/>
    <s v="Comprehensive Strategic Partnership [全面战略伙伴关系]"/>
    <x v="5"/>
    <s v="EUCOM"/>
    <x v="151"/>
    <x v="27"/>
    <n v="10"/>
    <s v="ML - Margins"/>
    <s v="Yang Xuejun"/>
    <m/>
    <s v="President Academy of Military Sciences"/>
    <n v="6"/>
    <x v="2"/>
    <s v="NATO Deputy Secretary General"/>
    <x v="0"/>
    <m/>
    <m/>
    <m/>
    <m/>
    <x v="12"/>
    <m/>
    <m/>
    <s v="https://www.nato.int/cps/en/natohq/news_160122.htm; https://www.ceris.be/blog/nato-china-relations-charting-the-way-forward/"/>
    <s v="BL on margins of 8th Xiangshan Forum; counterpart not specified but likely AMS President"/>
  </r>
  <r>
    <x v="1"/>
    <x v="0"/>
    <s v="Asia"/>
    <s v="All-Round Strategic Partnership [全方位战略伙伴关系]"/>
    <x v="0"/>
    <s v="INDOPACOM"/>
    <x v="32"/>
    <x v="27"/>
    <n v="10"/>
    <s v="ML - Margins"/>
    <s v="Xu Qiliang"/>
    <m/>
    <s v="CMC Vice Chairman"/>
    <n v="10"/>
    <x v="2"/>
    <s v="Deputy Defense Minister; BL at Xiangshan"/>
    <x v="0"/>
    <m/>
    <m/>
    <m/>
    <m/>
    <x v="12"/>
    <m/>
    <m/>
    <s v="http://eng.mod.gov.cn/news/2018-10/29/content_4828199.htm"/>
    <s v="Updated counterpart's role; recoded as South Asia"/>
  </r>
  <r>
    <x v="1"/>
    <x v="5"/>
    <s v="America and Oceania"/>
    <s v="Comprehensive Strategic Partnership [全面战略伙伴关系]"/>
    <x v="4"/>
    <s v="INDOPACOM"/>
    <x v="13"/>
    <x v="27"/>
    <n v="10"/>
    <s v="ML - Margins"/>
    <s v="Wei Fenghe"/>
    <m/>
    <s v="Defense Minister; CMC Member"/>
    <n v="8"/>
    <x v="1"/>
    <s v="BL with Defense Minister at ADMM+"/>
    <x v="0"/>
    <m/>
    <m/>
    <m/>
    <m/>
    <x v="12"/>
    <m/>
    <m/>
    <s v="http://www.xinhuanet.com/english/2018-10/21/c_137547767.htm"/>
    <m/>
  </r>
  <r>
    <x v="1"/>
    <x v="7"/>
    <s v="West Asia and Africa"/>
    <s v="Strategic Partnership [战略伙伴关系]"/>
    <x v="0"/>
    <s v="AFRICOM"/>
    <x v="36"/>
    <x v="27"/>
    <n v="10"/>
    <s v="ML - Margins"/>
    <s v="Wei Fenghe"/>
    <m/>
    <s v="Defense Minister; CMC Member"/>
    <n v="8"/>
    <x v="2"/>
    <s v="BL with Nigerian Defense Minister at Xiangshan Forum"/>
    <x v="0"/>
    <m/>
    <m/>
    <m/>
    <m/>
    <x v="12"/>
    <m/>
    <m/>
    <s v="http://www.xinhuanet.com/english/2018-10/23/c_137553157.htm"/>
    <m/>
  </r>
  <r>
    <x v="1"/>
    <x v="4"/>
    <s v="Asia"/>
    <s v="Bilateral Defense Treaty"/>
    <x v="0"/>
    <s v="INDOPACOM"/>
    <x v="9"/>
    <x v="27"/>
    <n v="10"/>
    <s v="ML - Margins"/>
    <s v="Wei Fenghe"/>
    <m/>
    <s v="Defense Minister; CMC Member"/>
    <n v="8"/>
    <x v="2"/>
    <s v="BL with Vice Defense Minister Kim Hyong Ryong at Xiangshan Forum"/>
    <x v="0"/>
    <m/>
    <m/>
    <m/>
    <m/>
    <x v="12"/>
    <m/>
    <m/>
    <s v="http://eng.chinamil.com.cn/view/2018-10/25/content_9322261.htm"/>
    <m/>
  </r>
  <r>
    <x v="2"/>
    <x v="0"/>
    <s v="Asia"/>
    <s v="All-Weather Strategic Cooperative Partnership [全天候战略合作伙伴关系]"/>
    <x v="1"/>
    <s v="CENTCOM"/>
    <x v="2"/>
    <x v="27"/>
    <n v="10"/>
    <s v="Military Exercise - Multilateral"/>
    <m/>
    <m/>
    <m/>
    <m/>
    <x v="0"/>
    <m/>
    <x v="6"/>
    <s v="2nd International PACES Competition"/>
    <s v="Army"/>
    <s v="Comprehensive Combat Skills. Other countries: South Africa, Maldives, Kuwait"/>
    <m/>
    <x v="12"/>
    <m/>
    <m/>
    <s v="http://english.chinamil.com.cn/view/2018-10/10/content_9307555.htm"/>
    <s v="Added source"/>
  </r>
  <r>
    <x v="1"/>
    <x v="3"/>
    <s v="Europe and Central Asia"/>
    <s v="Comprehensive Collaborative Strategic Partnership [全面战略协作伙伴关系]"/>
    <x v="0"/>
    <s v="EUCOM"/>
    <x v="7"/>
    <x v="27"/>
    <n v="10"/>
    <s v="BL - Hosted"/>
    <s v="Zhang Youxia"/>
    <m/>
    <s v="CMC Vice Chairman"/>
    <n v="10"/>
    <x v="2"/>
    <s v="Defense Minister"/>
    <x v="0"/>
    <m/>
    <m/>
    <m/>
    <m/>
    <x v="12"/>
    <m/>
    <m/>
    <s v="http://english.chinamil.com.cn/view/2018-10/22/content_9319696.htm"/>
    <m/>
  </r>
  <r>
    <x v="1"/>
    <x v="8"/>
    <s v="Europe and Central Asia"/>
    <s v="Comprehensive Strategic Partnership [全面战略伙伴关系]"/>
    <x v="0"/>
    <s v="EUCOM"/>
    <x v="112"/>
    <x v="27"/>
    <n v="10"/>
    <s v="ML - Margins"/>
    <s v="Wei Fenghe"/>
    <m/>
    <s v="Defense Minister; CMC Member"/>
    <n v="8"/>
    <x v="2"/>
    <s v="BL with Defense Minister at Xiangshan Forum"/>
    <x v="0"/>
    <m/>
    <m/>
    <m/>
    <m/>
    <x v="12"/>
    <m/>
    <m/>
    <s v="http://english.chinamil.com.cn/view/2018-10/26/content_9324154.htm"/>
    <m/>
  </r>
  <r>
    <x v="1"/>
    <x v="1"/>
    <s v="Asia"/>
    <s v="All-Round Cooperative Partnership [全方合作伙伴关系]"/>
    <x v="0"/>
    <s v="INDOPACOM"/>
    <x v="39"/>
    <x v="27"/>
    <n v="10"/>
    <s v="ML - Margins"/>
    <s v="Wei Fenghe"/>
    <m/>
    <s v="Defense Minister; CMC Member"/>
    <n v="8"/>
    <x v="2"/>
    <s v="Chief of Navy; Wei also met with ASEAN cty reps participating in the China-ASEAN Navy exercise"/>
    <x v="0"/>
    <m/>
    <m/>
    <m/>
    <m/>
    <x v="12"/>
    <m/>
    <m/>
    <s v="http://eng.chinamil.com.cn/view/2018-10/22/content_9319744.htm"/>
    <m/>
  </r>
  <r>
    <x v="1"/>
    <x v="1"/>
    <s v="Asia"/>
    <s v="All-Round Cooperative Partnership [全方合作伙伴关系]"/>
    <x v="0"/>
    <s v="INDOPACOM"/>
    <x v="39"/>
    <x v="27"/>
    <n v="10"/>
    <s v="ML - Margins"/>
    <s v="Wei Fenghe"/>
    <m/>
    <s v="Defense Minister; CMC Member"/>
    <n v="8"/>
    <x v="1"/>
    <s v="SG Defense Minister at ADMM+"/>
    <x v="0"/>
    <m/>
    <m/>
    <m/>
    <m/>
    <x v="12"/>
    <m/>
    <m/>
    <s v="http://www.xinhuanet.com/english/2018-10/21/c_137547767.htm"/>
    <m/>
  </r>
  <r>
    <x v="1"/>
    <x v="1"/>
    <s v="Asia"/>
    <s v="All-Round Cooperative Partnership [全方合作伙伴关系]"/>
    <x v="0"/>
    <s v="INDOPACOM"/>
    <x v="39"/>
    <x v="27"/>
    <n v="10"/>
    <s v="ML - Margins"/>
    <s v="Xu Qiliang"/>
    <m/>
    <s v="CMC Vice Chairman"/>
    <n v="10"/>
    <x v="2"/>
    <s v="Defense Minister; BL at Xiangshan"/>
    <x v="0"/>
    <m/>
    <m/>
    <m/>
    <m/>
    <x v="12"/>
    <m/>
    <m/>
    <s v="http://eng.mod.gov.cn/news/2018-10/29/content_4828199.htm"/>
    <m/>
  </r>
  <r>
    <x v="1"/>
    <x v="4"/>
    <s v="Asia"/>
    <s v="Strategic Cooperative Partnership [战略合作伙伴关系]"/>
    <x v="3"/>
    <s v="INDOPACOM"/>
    <x v="25"/>
    <x v="27"/>
    <n v="10"/>
    <s v="ML - Margins"/>
    <s v="Wei Fenghe"/>
    <m/>
    <s v="Defense Minister; CMC Member"/>
    <n v="8"/>
    <x v="1"/>
    <s v="BL with Defense Minister at ADMM+"/>
    <x v="0"/>
    <m/>
    <m/>
    <m/>
    <m/>
    <x v="12"/>
    <m/>
    <m/>
    <s v="http://www.xinhuanet.com/english/2018-10/21/c_137547767.htm"/>
    <m/>
  </r>
  <r>
    <x v="1"/>
    <x v="1"/>
    <s v="Asia"/>
    <s v="Comprehensive Strategic Cooperative Partnership [全面战略合作伙伴关系]"/>
    <x v="3"/>
    <s v="INDOPACOM"/>
    <x v="5"/>
    <x v="27"/>
    <n v="10"/>
    <s v="ML - Margins"/>
    <s v="Wei Fenghe"/>
    <m/>
    <s v="Defense Minister; CMC Member"/>
    <n v="8"/>
    <x v="1"/>
    <s v="BL with Defense Minister at ADMM+"/>
    <x v="0"/>
    <m/>
    <m/>
    <m/>
    <m/>
    <x v="12"/>
    <m/>
    <m/>
    <s v="http://www.xinhuanet.com/english/2018-10/21/c_137547767.htm"/>
    <m/>
  </r>
  <r>
    <x v="1"/>
    <x v="5"/>
    <s v="America and Oceania"/>
    <s v="Comprehensive Strategic Partnership [全面战略伙伴关系]"/>
    <x v="0"/>
    <s v="INDOPACOM"/>
    <x v="144"/>
    <x v="27"/>
    <n v="10"/>
    <s v="ML - Margins"/>
    <s v="Wei Fenghe"/>
    <m/>
    <s v="Defense Minister; CMC Member"/>
    <n v="8"/>
    <x v="2"/>
    <s v="BL with Chief of Defense Staff at Xiangshan Forum"/>
    <x v="0"/>
    <m/>
    <m/>
    <m/>
    <m/>
    <x v="12"/>
    <m/>
    <m/>
    <s v="http://www.xinhuanet.com/politics/2018-10/26/c_1123618438.htm"/>
    <m/>
  </r>
  <r>
    <x v="1"/>
    <x v="2"/>
    <s v="America and Oceania"/>
    <s v="No Specific Relationship"/>
    <x v="2"/>
    <s v="NORTHCOM"/>
    <x v="4"/>
    <x v="27"/>
    <n v="10"/>
    <s v="ML - Margins"/>
    <s v="Wei Fenghe"/>
    <m/>
    <s v="Defense Minister; CMC Member"/>
    <n v="8"/>
    <x v="1"/>
    <s v="BL with SECDEF Mattis at ADMM+"/>
    <x v="0"/>
    <m/>
    <m/>
    <m/>
    <m/>
    <x v="12"/>
    <m/>
    <m/>
    <s v="https://dod.defense.gov/News/News-Releases/News-Release-View/Article/1669428/readout-of-secretary-of-defense-james-n-mattis-bilateral-engagement-with-chines/"/>
    <m/>
  </r>
  <r>
    <x v="1"/>
    <x v="5"/>
    <s v="America and Oceania"/>
    <s v="No Specific Relationship"/>
    <x v="0"/>
    <s v="INDOPACOM"/>
    <x v="120"/>
    <x v="27"/>
    <n v="10"/>
    <s v="ML - Margins"/>
    <s v="Wei Fenghe"/>
    <m/>
    <s v="Defense Minister; CMC Member"/>
    <n v="8"/>
    <x v="2"/>
    <s v="BL with Minister of Internal Affairs at Xiangshan Forum"/>
    <x v="0"/>
    <m/>
    <m/>
    <m/>
    <m/>
    <x v="12"/>
    <m/>
    <m/>
    <s v="http://www.xinhuanet.com/politics/2018-10/26/c_1123618438.htm"/>
    <m/>
  </r>
  <r>
    <x v="1"/>
    <x v="10"/>
    <s v="America and Oceania"/>
    <s v="Comprehensive Strategic Partnership [全面战略伙伴关系]"/>
    <x v="0"/>
    <s v="SOUTHCOM"/>
    <x v="56"/>
    <x v="27"/>
    <n v="10"/>
    <s v="ML - Margins"/>
    <s v="Wei Fenghe"/>
    <m/>
    <s v="Defense Minister; CMC Member"/>
    <n v="8"/>
    <x v="2"/>
    <s v="BL with Defense Minister at Xiangshan Forum"/>
    <x v="0"/>
    <m/>
    <m/>
    <m/>
    <m/>
    <x v="12"/>
    <m/>
    <m/>
    <s v="http://english.chinamil.com.cn/view/2018-10/26/content_9324154.htm"/>
    <m/>
  </r>
  <r>
    <x v="1"/>
    <x v="1"/>
    <s v="Asia"/>
    <s v="Comprehensive Strategic Cooperative Partnership [全面战略合作伙伴关系]"/>
    <x v="0"/>
    <s v="INDOPACOM"/>
    <x v="23"/>
    <x v="27"/>
    <n v="10"/>
    <s v="ML - Margins"/>
    <s v="Xu Qiliang"/>
    <m/>
    <s v="CMC Vice Chairman"/>
    <n v="10"/>
    <x v="2"/>
    <s v="Defense Minister; BL at Xiangshan"/>
    <x v="0"/>
    <m/>
    <m/>
    <m/>
    <m/>
    <x v="12"/>
    <m/>
    <m/>
    <s v="http://eng.mod.gov.cn/news/2018-10/29/content_4828199.htm"/>
    <m/>
  </r>
  <r>
    <x v="1"/>
    <x v="10"/>
    <s v="America and Oceania"/>
    <s v="No Specific Relationship"/>
    <x v="0"/>
    <s v="SOUTHCOM"/>
    <x v="49"/>
    <x v="27"/>
    <n v="11"/>
    <s v="BL - Hosted"/>
    <s v="Xu Qiliang"/>
    <m/>
    <s v="CMC Vice Chairman"/>
    <n v="10"/>
    <x v="2"/>
    <s v="Defense Minister"/>
    <x v="0"/>
    <m/>
    <m/>
    <m/>
    <m/>
    <x v="12"/>
    <m/>
    <m/>
    <s v="http://www.xinhuanet.com/english/2018-11/24/c_137627401.htm"/>
    <s v="Updated with highest rank interlocutor (also met with Wei Fenghe)"/>
  </r>
  <r>
    <x v="0"/>
    <x v="10"/>
    <s v="America and Oceania"/>
    <s v="No Specific Relationship"/>
    <x v="0"/>
    <s v="SOUTHCOM"/>
    <x v="167"/>
    <x v="27"/>
    <n v="11"/>
    <s v="Port Call - Friendly Visit"/>
    <m/>
    <m/>
    <m/>
    <m/>
    <x v="0"/>
    <m/>
    <x v="0"/>
    <m/>
    <m/>
    <m/>
    <s v="NETF"/>
    <x v="112"/>
    <s v="East Sea Fleet"/>
    <m/>
    <s v="http://english.chinamil.com.cn/view/2018-11/02/content_9330152.htm"/>
    <m/>
  </r>
  <r>
    <x v="0"/>
    <x v="10"/>
    <s v="America and Oceania"/>
    <s v="Comprehensive Strategic Partnership [全面战略伙伴关系]"/>
    <x v="0"/>
    <s v="SOUTHCOM"/>
    <x v="51"/>
    <x v="27"/>
    <n v="11"/>
    <s v="Port Call - Friendly Visit"/>
    <m/>
    <m/>
    <m/>
    <m/>
    <x v="0"/>
    <m/>
    <x v="0"/>
    <m/>
    <m/>
    <m/>
    <s v="NETF"/>
    <x v="112"/>
    <s v="East Sea Fleet"/>
    <m/>
    <s v="http://english.pladaily.com.cn/view/2018-11/23/content_9354406.htm"/>
    <m/>
  </r>
  <r>
    <x v="1"/>
    <x v="9"/>
    <s v="West Asia and Africa"/>
    <s v="Comprehensive Strategic Partnership [全面战略伙伴关系]"/>
    <x v="1"/>
    <s v="CENTCOM"/>
    <x v="24"/>
    <x v="27"/>
    <n v="11"/>
    <s v="BL - Hosted"/>
    <s v="Wei Fenghe"/>
    <m/>
    <s v="Defense Minister; CMC Member"/>
    <n v="8"/>
    <x v="2"/>
    <s v="BL with Egyptian Chief of Staff"/>
    <x v="0"/>
    <m/>
    <m/>
    <m/>
    <m/>
    <x v="12"/>
    <m/>
    <m/>
    <s v="http://www.xinhuanet.com/english/2018-11/23/c_137625085.htm "/>
    <m/>
  </r>
  <r>
    <x v="1"/>
    <x v="0"/>
    <s v="Asia"/>
    <s v="Strategic Partnership for Peace and Prosperity [战略伙伴关系]"/>
    <x v="0"/>
    <s v="INDOPACOM"/>
    <x v="6"/>
    <x v="27"/>
    <n v="11"/>
    <s v="BL - Hosted"/>
    <s v="Wei Fenghe"/>
    <m/>
    <s v="Defense Minister; CMC Member"/>
    <n v="8"/>
    <x v="2"/>
    <s v="BL with Indian Defense Minister"/>
    <x v="0"/>
    <m/>
    <m/>
    <m/>
    <m/>
    <x v="12"/>
    <m/>
    <m/>
    <s v="http://www.xinhuanet.com/english/2018-11/15/c_137609320.htm "/>
    <m/>
  </r>
  <r>
    <x v="1"/>
    <x v="4"/>
    <s v="Asia"/>
    <s v="Comprehensive Strategic Partnership [全面战略伙伴关系]"/>
    <x v="0"/>
    <s v="INDOPACOM"/>
    <x v="53"/>
    <x v="27"/>
    <n v="11"/>
    <s v="BL - Hosted"/>
    <s v="Wei Fenghe"/>
    <m/>
    <s v="Defense Minister; CMC Member"/>
    <n v="8"/>
    <x v="2"/>
    <s v="BL with Mongolian Defense Minister"/>
    <x v="0"/>
    <m/>
    <m/>
    <m/>
    <m/>
    <x v="12"/>
    <m/>
    <m/>
    <s v="http://www.xinhuanet.com/english/2018-11/15/c_137609320.htm"/>
    <m/>
  </r>
  <r>
    <x v="1"/>
    <x v="1"/>
    <s v="Asia"/>
    <s v="Comprehensive Strategic Cooperative Partnership [全面战略合作伙伴关系]"/>
    <x v="0"/>
    <s v="INDOPACOM"/>
    <x v="1"/>
    <x v="27"/>
    <n v="11"/>
    <s v="BL - Hosted"/>
    <s v="Wei Fenghe"/>
    <m/>
    <s v="Defense Minister; CMC Member"/>
    <n v="8"/>
    <x v="2"/>
    <s v="Deputy Commander in Chief of Tatmadaw"/>
    <x v="0"/>
    <m/>
    <m/>
    <m/>
    <m/>
    <x v="12"/>
    <m/>
    <m/>
    <s v="http://www.xinhuanet.com/politics/2018-11/16/c_1123726590.htm"/>
    <m/>
  </r>
  <r>
    <x v="1"/>
    <x v="1"/>
    <s v="Asia"/>
    <s v="Comprehensive Strategic Cooperative Partnership [全面战略合作伙伴关系]"/>
    <x v="3"/>
    <s v="INDOPACOM"/>
    <x v="5"/>
    <x v="27"/>
    <n v="11"/>
    <s v="BL - Hosted"/>
    <s v="Wei Fenghe"/>
    <m/>
    <s v="Defense Minister; CMC Member"/>
    <n v="8"/>
    <x v="2"/>
    <s v="Commander of Navy"/>
    <x v="0"/>
    <m/>
    <m/>
    <m/>
    <m/>
    <x v="12"/>
    <m/>
    <m/>
    <s v="http://www.xinhuanet.com/politics/2018-11/16/c_1123726590.htm "/>
    <m/>
  </r>
  <r>
    <x v="1"/>
    <x v="11"/>
    <s v="N/A"/>
    <s v="Member"/>
    <x v="0"/>
    <s v="N/A"/>
    <x v="163"/>
    <x v="27"/>
    <n v="11"/>
    <s v="ML - Hosted"/>
    <s v="Wei Fenghe"/>
    <m/>
    <s v="Defense Minister; CMC Member"/>
    <n v="8"/>
    <x v="2"/>
    <s v="ML with Permanent Representatives to the UN of France, Ethiopia, and delegation of permanent security council members' representatives"/>
    <x v="0"/>
    <m/>
    <m/>
    <m/>
    <m/>
    <x v="12"/>
    <m/>
    <m/>
    <s v="http://www.xinhuanet.com/english/2018-11/17/c_137614133.htm"/>
    <s v="Coded as France, but France and Ethiopia spoke for the delegation, and represented UN peacekeeping interests"/>
  </r>
  <r>
    <x v="1"/>
    <x v="2"/>
    <s v="America and Oceania"/>
    <s v="No Specific Relationship"/>
    <x v="2"/>
    <s v="NORTHCOM"/>
    <x v="4"/>
    <x v="27"/>
    <n v="11"/>
    <s v="BL - Abroad"/>
    <s v="Wei Fenghe"/>
    <m/>
    <s v="Defense Minister; CMC Member"/>
    <n v="8"/>
    <x v="1"/>
    <s v="Secretary of Defense"/>
    <x v="0"/>
    <m/>
    <m/>
    <m/>
    <m/>
    <x v="12"/>
    <m/>
    <m/>
    <s v="http://english.chinamil.com.cn/view/2018-11/10/content_9340354.htm"/>
    <m/>
  </r>
  <r>
    <x v="1"/>
    <x v="2"/>
    <s v="America and Oceania"/>
    <s v="No Specific Relationship"/>
    <x v="2"/>
    <s v="NORTHCOM"/>
    <x v="4"/>
    <x v="27"/>
    <n v="11"/>
    <s v="BL - Hosted"/>
    <s v="Xu Qiliang"/>
    <m/>
    <s v="CMC Vice Chairman"/>
    <n v="10"/>
    <x v="2"/>
    <s v="Former Secretary of State Kissinger"/>
    <x v="0"/>
    <m/>
    <m/>
    <m/>
    <m/>
    <x v="12"/>
    <m/>
    <m/>
    <s v="http://www.mod.gov.cn/topnews/2018-11/10/content_4829139.htm"/>
    <m/>
  </r>
  <r>
    <x v="2"/>
    <x v="2"/>
    <s v="America and Oceania"/>
    <s v="No Specific Relationship"/>
    <x v="2"/>
    <s v="NORTHCOM"/>
    <x v="4"/>
    <x v="27"/>
    <n v="11"/>
    <s v="Military Exercise - Bilateral"/>
    <m/>
    <m/>
    <m/>
    <m/>
    <x v="0"/>
    <m/>
    <x v="2"/>
    <s v="14th China-US Disaster Management TTX"/>
    <s v="Army"/>
    <s v="Nanjing; HADR academic discussion; TTX; and field exchange"/>
    <m/>
    <x v="12"/>
    <m/>
    <m/>
    <s v="http://eng.mod.gov.cn/news/2018-11/13/content_4829300.htm; https://thediplomat.com/2018/11/us-army-pla-conclude-disaster-management-exchange-despite-frictions/"/>
    <m/>
  </r>
  <r>
    <x v="1"/>
    <x v="1"/>
    <s v="Asia"/>
    <s v="Comprehensive Strategic Cooperative Partnership [全面战略合作伙伴关系]"/>
    <x v="0"/>
    <s v="INDOPACOM"/>
    <x v="23"/>
    <x v="27"/>
    <n v="11"/>
    <s v="BL - Abroad"/>
    <s v="Wei Fenghe"/>
    <m/>
    <s v="Defense Minister; CMC Member"/>
    <n v="8"/>
    <x v="1"/>
    <s v="Defense Minister"/>
    <x v="0"/>
    <m/>
    <m/>
    <m/>
    <m/>
    <x v="12"/>
    <m/>
    <m/>
    <s v="https://en.vietnamplus.vn/cao-bang-to-host-5th-vnchina-border-defence-friendship-exchange/141870.vnp"/>
    <s v="Visit was in Vietnam; originally entered as hosted visit;"/>
  </r>
  <r>
    <x v="2"/>
    <x v="0"/>
    <s v="Asia"/>
    <s v="Strategic Cooperative Partnership [战略合作伙伴关系]"/>
    <x v="0"/>
    <s v="INDOPACOM"/>
    <x v="0"/>
    <x v="27"/>
    <n v="12"/>
    <s v="Military Exercise - Bilateral"/>
    <m/>
    <m/>
    <m/>
    <m/>
    <x v="0"/>
    <m/>
    <x v="1"/>
    <s v="Unnamed"/>
    <s v="Army"/>
    <s v="Emergency response, support operations"/>
    <m/>
    <x v="12"/>
    <m/>
    <m/>
    <s v="http://english.chinamil.com.cn/view/2018-12/07/content_9372156.htm"/>
    <m/>
  </r>
  <r>
    <x v="0"/>
    <x v="10"/>
    <s v="America and Oceania"/>
    <s v="Comprehensive Strategic Cooperative Partnership [全面战略合作伙伴关系]"/>
    <x v="0"/>
    <s v="SOUTHCOM"/>
    <x v="66"/>
    <x v="27"/>
    <n v="12"/>
    <s v="Port Call - Friendly Visit"/>
    <m/>
    <m/>
    <m/>
    <m/>
    <x v="0"/>
    <m/>
    <x v="0"/>
    <m/>
    <m/>
    <m/>
    <s v="NETF"/>
    <x v="113"/>
    <s v="East Sea Fleet"/>
    <m/>
    <s v="http://eng.chinamil.com.cn/view/2018-12/03/content_9365771.htm"/>
    <m/>
  </r>
  <r>
    <x v="2"/>
    <x v="10"/>
    <s v="America and Oceania"/>
    <s v="Comprehensive Strategic Cooperative Partnership [全面战略合作伙伴关系]"/>
    <x v="0"/>
    <s v="SOUTHCOM"/>
    <x v="66"/>
    <x v="27"/>
    <n v="12"/>
    <s v="Military Exercise - Multilateral"/>
    <m/>
    <m/>
    <m/>
    <m/>
    <x v="0"/>
    <m/>
    <x v="2"/>
    <s v="Unnamed"/>
    <s v="Navy"/>
    <s v="international fleet review and maritime exercises; other countries: US, UK"/>
    <m/>
    <x v="113"/>
    <s v="East Sea Fleet"/>
    <m/>
    <s v="http://eng.chinamil.com.cn/view/2018-12/03/content_9365771.htm"/>
    <m/>
  </r>
  <r>
    <x v="2"/>
    <x v="0"/>
    <s v="Asia"/>
    <s v="Strategic Partnership for Peace and Prosperity [战略伙伴关系]"/>
    <x v="0"/>
    <s v="INDOPACOM"/>
    <x v="6"/>
    <x v="27"/>
    <n v="12"/>
    <s v="Military Exercise - Bilateral"/>
    <m/>
    <m/>
    <m/>
    <m/>
    <x v="0"/>
    <m/>
    <x v="1"/>
    <s v="Hand-in-Hand 2018"/>
    <s v="Army"/>
    <s v="adaptive training, basic training, combat-realistic shooting, and comprehensive drills"/>
    <m/>
    <x v="12"/>
    <m/>
    <m/>
    <s v="http://eng.mod.gov.cn/news/2018-12/24/content_4832710.htm"/>
    <s v=" added drill details"/>
  </r>
  <r>
    <x v="1"/>
    <x v="1"/>
    <s v="Asia"/>
    <s v="Comprehensive Strategic Cooperative Partnership [全面战略合作伙伴关系]"/>
    <x v="0"/>
    <s v="INDOPACOM"/>
    <x v="1"/>
    <x v="27"/>
    <n v="12"/>
    <s v="BL - Hosted"/>
    <s v="Shao Yuanming; Kong Xuanyou"/>
    <m/>
    <s v="CMC/JSD DCJS"/>
    <n v="5"/>
    <x v="2"/>
    <s v="Minister of the Ministry of International Cooperation; Chief of SpecOps"/>
    <x v="0"/>
    <m/>
    <m/>
    <m/>
    <m/>
    <x v="12"/>
    <m/>
    <m/>
    <s v="http://www.xinhuanet.com/world/2018-12/18/c_1123872310.htm"/>
    <s v="Fourth round of 2+2 talks; Held in Kunming, focused on border regions; JSD/DCJS position downgraded so position weight adjusted"/>
  </r>
  <r>
    <x v="2"/>
    <x v="0"/>
    <s v="Asia"/>
    <s v="All-Weather Strategic Cooperative Partnership [全天候战略合作伙伴关系]"/>
    <x v="1"/>
    <s v="CENTCOM"/>
    <x v="2"/>
    <x v="27"/>
    <n v="12"/>
    <s v="Military Exercise - Bilateral"/>
    <m/>
    <m/>
    <m/>
    <m/>
    <x v="0"/>
    <m/>
    <x v="3"/>
    <s v="Shaheen-VII "/>
    <s v="Air Force"/>
    <s v="Joint exercise"/>
    <m/>
    <x v="12"/>
    <m/>
    <m/>
    <s v="https://www.pakistantoday.com.pk/2018/11/30/china-to-advance-its-military-ties-with-pakistan-spokesperson/"/>
    <m/>
  </r>
  <r>
    <x v="1"/>
    <x v="8"/>
    <s v="Europe and Central Asia"/>
    <s v="Comprehensive Collaborative Strategic Partnership [全面战略协作伙伴关系]"/>
    <x v="0"/>
    <s v="EUCOM"/>
    <x v="7"/>
    <x v="27"/>
    <n v="12"/>
    <s v="BL - Hosted"/>
    <s v="Wei Fenghe"/>
    <m/>
    <s v="Defense Minister; CMC Member"/>
    <n v="8"/>
    <x v="2"/>
    <s v="Deputy Defense Minister Andrey Kartapolov"/>
    <x v="0"/>
    <m/>
    <m/>
    <m/>
    <m/>
    <x v="12"/>
    <m/>
    <m/>
    <s v="http://english.chinamil.com.cn/view/2018-12/20/content_9384360.htm"/>
    <m/>
  </r>
  <r>
    <x v="2"/>
    <x v="8"/>
    <s v="Europe and Central Asia"/>
    <s v="Comprehensive Strategic Partnership [全面战略伙伴关系]"/>
    <x v="5"/>
    <s v="EUCOM"/>
    <x v="70"/>
    <x v="27"/>
    <n v="12"/>
    <s v="Military Exercise - Bilateral"/>
    <m/>
    <m/>
    <m/>
    <m/>
    <x v="0"/>
    <m/>
    <x v="2"/>
    <s v="military Medical Drill in Djibouti"/>
    <s v="Navy"/>
    <s v="PLA base Djibouti with Spanish navy amphibious ship"/>
    <m/>
    <x v="12"/>
    <m/>
    <m/>
    <s v="http://english.chinamil.com.cn/view/2018-12/04/content_9366133.htm"/>
    <m/>
  </r>
  <r>
    <x v="1"/>
    <x v="5"/>
    <s v="America and Oceania"/>
    <s v="Comprehensive Strategic Partnership [全面战略伙伴关系]"/>
    <x v="4"/>
    <s v="INDOPACOM"/>
    <x v="12"/>
    <x v="28"/>
    <n v="1"/>
    <s v="BL - Hosted"/>
    <s v="Xu Qiliang"/>
    <m/>
    <s v="CMC Vice Chairman"/>
    <n v="10"/>
    <x v="2"/>
    <s v="Defense Minister"/>
    <x v="0"/>
    <m/>
    <m/>
    <m/>
    <m/>
    <x v="12"/>
    <m/>
    <m/>
    <s v="http://www.mod.gov.cn/topnews/2019-01/24/content_4835146.htm"/>
    <s v="added source and higher rank interlocutor"/>
  </r>
  <r>
    <x v="0"/>
    <x v="1"/>
    <s v="Asia"/>
    <s v="Comprehensive Strategic Cooperative Partnership [全面战略合作伙伴关系]"/>
    <x v="0"/>
    <s v="INDOPACOM"/>
    <x v="94"/>
    <x v="28"/>
    <n v="1"/>
    <s v="Port Call - Friendly Visit"/>
    <m/>
    <m/>
    <m/>
    <m/>
    <x v="0"/>
    <m/>
    <x v="0"/>
    <m/>
    <m/>
    <m/>
    <s v="ETF"/>
    <x v="109"/>
    <s v="North Sea Fleet"/>
    <s v="FFG539 Wuhu; FFG579 Handan; AOR960 Dongping Hu"/>
    <s v="http://navy.81.cn/content/2019-01/10/content_9401604.htm"/>
    <s v="added source, fleet type, and ship names (ETF-30 has been in the Sea of Aden);changed from NETF-30 to ETF-30"/>
  </r>
  <r>
    <x v="1"/>
    <x v="1"/>
    <s v="Asia"/>
    <s v="Comprehensive Strategic Cooperative Partnership [全面战略合作伙伴关系]"/>
    <x v="0"/>
    <s v="INDOPACOM"/>
    <x v="52"/>
    <x v="28"/>
    <n v="1"/>
    <s v="BL - Abroad"/>
    <s v="Miao Hua"/>
    <m/>
    <s v="CMC/PWD Director; CMC Member"/>
    <n v="8"/>
    <x v="1"/>
    <s v="Laotian President "/>
    <x v="0"/>
    <m/>
    <m/>
    <m/>
    <m/>
    <x v="12"/>
    <m/>
    <m/>
    <s v="http://www.81.cn/jmywyl/2019-01/20/content_9408890.htm"/>
    <s v="Added source"/>
  </r>
  <r>
    <x v="2"/>
    <x v="0"/>
    <s v="Asia"/>
    <s v="All-Weather Strategic Cooperative Partnership [全天候战略合作伙伴关系]"/>
    <x v="1"/>
    <s v="CENTCOM"/>
    <x v="2"/>
    <x v="28"/>
    <n v="1"/>
    <s v="Military Exercise - Multilateral"/>
    <m/>
    <m/>
    <m/>
    <m/>
    <x v="0"/>
    <m/>
    <x v="1"/>
    <s v="Warrior VI"/>
    <s v="Army"/>
    <s v="multi-dimensional search and reconnaissance, three-dimensional maneuvers and deployment, comprehensive fire assaults, searching and clearing buildings, coordinated air-ground attacks, joint defense and control"/>
    <m/>
    <x v="12"/>
    <m/>
    <m/>
    <s v="http://www.xinhuanet.com/mil/2019-01/06/c_1210031329.htm"/>
    <s v="Added source, drill details"/>
  </r>
  <r>
    <x v="1"/>
    <x v="1"/>
    <s v="Asia"/>
    <s v="Comprehensive Strategic Partnership [全面战略伙伴关系]"/>
    <x v="3"/>
    <s v="INDOPACOM"/>
    <x v="11"/>
    <x v="28"/>
    <n v="1"/>
    <s v="BL - Hosted"/>
    <s v="Wei Fenghe"/>
    <m/>
    <s v="Defense Minister; CMC Member"/>
    <n v="8"/>
    <x v="2"/>
    <s v="Philippine Defense Undersecretary "/>
    <x v="0"/>
    <m/>
    <m/>
    <m/>
    <m/>
    <x v="12"/>
    <m/>
    <m/>
    <s v="http://www.xinhuanet.com/world/2019-01/25/c_1124044584.htm"/>
    <s v="Updated counterpart title; added source"/>
  </r>
  <r>
    <x v="0"/>
    <x v="1"/>
    <s v="Asia"/>
    <s v="Comprehensive Strategic Partnership [全面战略伙伴关系]"/>
    <x v="3"/>
    <s v="INDOPACOM"/>
    <x v="11"/>
    <x v="28"/>
    <n v="1"/>
    <s v="Port Call - Friendly Visit"/>
    <m/>
    <m/>
    <m/>
    <m/>
    <x v="0"/>
    <m/>
    <x v="0"/>
    <m/>
    <m/>
    <m/>
    <s v="ETF"/>
    <x v="109"/>
    <s v="North Sea Fleet"/>
    <s v="FFG539 Wuhu; FFG579 Handan; AOR960 Dongping Hu"/>
    <s v="http://www.xinhuanet.com/english/2019-01/27/c_137779068.htm"/>
    <s v="added source, fleet type, and ship names (ETF-30 has been in the Sea of Aden);changed from NETF-30 to ETF-30"/>
  </r>
  <r>
    <x v="1"/>
    <x v="1"/>
    <s v="Asia"/>
    <s v="All-Round Cooperative Partnership [全方合作伙伴关系]"/>
    <x v="0"/>
    <s v="INDOPACOM"/>
    <x v="39"/>
    <x v="28"/>
    <n v="1"/>
    <s v="BL - Hosted"/>
    <s v="Wei Fenghe"/>
    <m/>
    <s v="Defense Minister; CMC Member"/>
    <n v="8"/>
    <x v="2"/>
    <s v="Permanent Secretary Ministry of Defence"/>
    <x v="0"/>
    <m/>
    <m/>
    <m/>
    <m/>
    <x v="12"/>
    <m/>
    <m/>
    <s v="http://www.mod.gov.cn/topnews/2019-01/18/content_4834837.htm"/>
    <s v="Added specific source"/>
  </r>
  <r>
    <x v="1"/>
    <x v="1"/>
    <s v="Asia"/>
    <s v="Comprehensive Strategic Cooperative Partnership [全面战略合作伙伴关系]"/>
    <x v="3"/>
    <s v="INDOPACOM"/>
    <x v="5"/>
    <x v="28"/>
    <n v="1"/>
    <s v="BL - Hosted"/>
    <s v="Wei Fenghe"/>
    <m/>
    <s v="Defense Minister; CMC Member"/>
    <n v="8"/>
    <x v="2"/>
    <s v="Royal Thai Army Commander"/>
    <x v="0"/>
    <m/>
    <m/>
    <m/>
    <m/>
    <x v="12"/>
    <m/>
    <m/>
    <s v="http://www.mod.gov.cn/topnews/2019-01/07/content_4833811.htm"/>
    <s v="Added specific source"/>
  </r>
  <r>
    <x v="2"/>
    <x v="1"/>
    <s v="Asia"/>
    <s v="Comprehensive Strategic Cooperative Partnership [全面战略合作伙伴关系]"/>
    <x v="3"/>
    <s v="INDOPACOM"/>
    <x v="5"/>
    <x v="28"/>
    <n v="1"/>
    <s v="Military Exercise - Bilateral"/>
    <m/>
    <m/>
    <m/>
    <m/>
    <x v="0"/>
    <m/>
    <x v="1"/>
    <s v="Joint Assault 2019 "/>
    <s v="Army"/>
    <m/>
    <m/>
    <x v="12"/>
    <m/>
    <m/>
    <s v=", http://www.81.cn/jwgz/2019-01/07/content_9397541.htm"/>
    <s v="Added source, added branch"/>
  </r>
  <r>
    <x v="1"/>
    <x v="2"/>
    <s v="America and Oceania"/>
    <s v="No Specific Relationship"/>
    <x v="2"/>
    <s v="NORTHCOM"/>
    <x v="4"/>
    <x v="28"/>
    <n v="1"/>
    <s v="BL - Hosted"/>
    <s v="Li Zuocheng"/>
    <m/>
    <s v="CMC/JSD Commander; CMC Member"/>
    <n v="8"/>
    <x v="2"/>
    <s v="US Chief of Naval Operations Admiral"/>
    <x v="0"/>
    <m/>
    <m/>
    <m/>
    <m/>
    <x v="12"/>
    <m/>
    <m/>
    <s v="http://www.mod.gov.cn/topnews/2019-01/15/content_4834535.htm"/>
    <s v="Added specific source"/>
  </r>
  <r>
    <x v="1"/>
    <x v="1"/>
    <s v="Asia"/>
    <s v="Comprehensive Strategic Cooperative Partnership [全面战略合作伙伴关系]"/>
    <x v="0"/>
    <s v="INDOPACOM"/>
    <x v="94"/>
    <x v="28"/>
    <n v="2"/>
    <s v="BL - Hosted"/>
    <s v="Xu Qiliang"/>
    <m/>
    <s v="CMC Vice Chairman"/>
    <n v="10"/>
    <x v="2"/>
    <s v="Deputy Commander in Chief, Royal Cambodian Army"/>
    <x v="0"/>
    <m/>
    <m/>
    <m/>
    <m/>
    <x v="12"/>
    <m/>
    <m/>
    <s v="http://www.mod.gov.cn/topnews/2019-02/26/content_4836791.htm"/>
    <s v="Added source, updated rank of both sets of interlocutors"/>
  </r>
  <r>
    <x v="1"/>
    <x v="6"/>
    <s v="Europe and Central Asia"/>
    <s v="Comprehensive Strategic Partnership [全面战略伙伴关系]"/>
    <x v="0"/>
    <s v="CENTCOM"/>
    <x v="31"/>
    <x v="28"/>
    <n v="2"/>
    <s v="BL - Hosted"/>
    <s v="Wei Fenghe"/>
    <m/>
    <s v="Defense Minister; CMC Member"/>
    <n v="8"/>
    <x v="2"/>
    <s v="Chief of the General Staff "/>
    <x v="0"/>
    <m/>
    <m/>
    <m/>
    <m/>
    <x v="12"/>
    <m/>
    <m/>
    <m/>
    <m/>
  </r>
  <r>
    <x v="2"/>
    <x v="0"/>
    <s v="Asia"/>
    <s v="All-Weather Strategic Cooperative Partnership [全天候战略合作伙伴关系]"/>
    <x v="1"/>
    <s v="CENTCOM"/>
    <x v="2"/>
    <x v="28"/>
    <n v="2"/>
    <s v="Military Exercise - Multilateral"/>
    <m/>
    <m/>
    <m/>
    <m/>
    <x v="0"/>
    <m/>
    <x v="1"/>
    <s v="Aman 2019"/>
    <s v="Navy"/>
    <s v="Two phases: harbor (conference) and sea (anti-terrorism, replenishment-at-sea, counterterrorism, anti-piracy, combined anti-submarine exercises, live-fire exercises, flight formations, ship formation maneuvers, communications, and visit, board, search, and seizure ), recorded as anti-terrorism for ease"/>
    <m/>
    <x v="12"/>
    <m/>
    <m/>
    <s v="www.81.cn/jfjbmap/content/2019-02/13/content_227195.htm; https://www.scmp.com/news/china/military/article/2186181/pakistan-and-china-build-friendship-ties-aman-19-multinational"/>
    <s v="Added source, added drill details"/>
  </r>
  <r>
    <x v="2"/>
    <x v="1"/>
    <s v="Asia"/>
    <s v="Comprehensive Strategic Cooperative Partnership [全面战略合作伙伴关系]"/>
    <x v="3"/>
    <s v="INDOPACOM"/>
    <x v="5"/>
    <x v="28"/>
    <n v="2"/>
    <s v="Military Exercise - Multilateral"/>
    <m/>
    <m/>
    <m/>
    <m/>
    <x v="0"/>
    <m/>
    <x v="2"/>
    <s v="Cobra Gold 2019"/>
    <s v="Army"/>
    <s v="The role of the Chinese troops is limited to humanitarian relief drills, including providing engineering support and medical aid."/>
    <m/>
    <x v="12"/>
    <m/>
    <m/>
    <s v="https://www.scmp.com/news/china/article/1425918/chinese-troops-join-asia-us-drills-positive-step-amid-regional-tensions"/>
    <m/>
  </r>
  <r>
    <x v="0"/>
    <x v="9"/>
    <s v="West Asia and Africa"/>
    <s v="Comprehensive Strategic Partnership [全面战略伙伴关系]"/>
    <x v="0"/>
    <s v="CENTCOM"/>
    <x v="106"/>
    <x v="28"/>
    <n v="2"/>
    <s v="Port Call - Friendly Visit"/>
    <m/>
    <m/>
    <m/>
    <m/>
    <x v="0"/>
    <m/>
    <x v="0"/>
    <m/>
    <m/>
    <m/>
    <s v="ETF"/>
    <x v="114"/>
    <s v="South Sea Fleet"/>
    <s v="LPD998 Kunlun Shan; Participating in IDEX 2019"/>
    <s v="http://eng.chinamil.com.cn/view/2019-02/20/content_9431163.htm"/>
    <s v="updated with source and ship details"/>
  </r>
  <r>
    <x v="1"/>
    <x v="1"/>
    <s v="Asia"/>
    <s v="Comprehensive Strategic Cooperative Partnership [全面战略合作伙伴关系]"/>
    <x v="0"/>
    <s v="INDOPACOM"/>
    <x v="23"/>
    <x v="28"/>
    <n v="2"/>
    <s v="BL - Hosted"/>
    <s v="Wei Fenghe"/>
    <m/>
    <s v="Defense Minister; CMC Member"/>
    <n v="8"/>
    <x v="2"/>
    <s v="Deputy Defense Minister "/>
    <x v="0"/>
    <m/>
    <m/>
    <m/>
    <m/>
    <x v="12"/>
    <m/>
    <m/>
    <s v="http://www.xinhuanet.com/english/2019-02/19/c_137834753.htm"/>
    <s v="Added source"/>
  </r>
  <r>
    <x v="2"/>
    <x v="1"/>
    <s v="Asia"/>
    <s v="Comprehensive Strategic Cooperative Partnership [全面战略合作伙伴关系]"/>
    <x v="0"/>
    <s v="INDOPACOM"/>
    <x v="94"/>
    <x v="28"/>
    <n v="3"/>
    <s v="Military Exercise - Bilateral"/>
    <m/>
    <m/>
    <m/>
    <m/>
    <x v="0"/>
    <m/>
    <x v="1"/>
    <s v="Golden Dragon 2019 "/>
    <s v="Army"/>
    <m/>
    <m/>
    <x v="12"/>
    <m/>
    <m/>
    <s v="http://english.chinamil.com.cn/view/2019-03/14/content_9450012.htm"/>
    <m/>
  </r>
  <r>
    <x v="1"/>
    <x v="9"/>
    <s v="West Asia and Africa"/>
    <s v="Comprehensive Strategic Partnership [全面战略伙伴关系]"/>
    <x v="1"/>
    <s v="AFRICOM"/>
    <x v="24"/>
    <x v="28"/>
    <n v="3"/>
    <s v="BL - Abroad"/>
    <s v="Wei Fenghe"/>
    <m/>
    <s v="Defense Minister; CMC Member"/>
    <n v="8"/>
    <x v="1"/>
    <s v="Egyptian President"/>
    <x v="0"/>
    <m/>
    <m/>
    <m/>
    <m/>
    <x v="12"/>
    <m/>
    <m/>
    <s v="http://m.xinhuanet.com/2019-03/25/c_1124281295.htm"/>
    <s v="Added source"/>
  </r>
  <r>
    <x v="2"/>
    <x v="1"/>
    <s v="Asia"/>
    <s v="Comprehensive Strategic Partnership [全面战略伙伴关系]"/>
    <x v="0"/>
    <s v="INDOPACOM"/>
    <x v="10"/>
    <x v="28"/>
    <n v="3"/>
    <s v="Military Exercise - Multilateral"/>
    <m/>
    <m/>
    <m/>
    <m/>
    <x v="0"/>
    <m/>
    <x v="2"/>
    <s v="Langkawi International Maritime and Aerospace Exhibition (LIMA) "/>
    <s v="Navy"/>
    <s v="FFG575Yueyang participating in maritime displays, warship inspections, and maritime exercises; Other countries included: Australia, US, India"/>
    <m/>
    <x v="12"/>
    <m/>
    <m/>
    <s v="http://eng.chinamil.com.cn/view/2019-03/22/content_9456821.htm"/>
    <s v="Updated with exercise details, branch"/>
  </r>
  <r>
    <x v="1"/>
    <x v="9"/>
    <s v="West Asia and Africa"/>
    <s v="Comprehensive Strategic Partnership [全面战略伙伴关系]"/>
    <x v="0"/>
    <s v="CENTCOM"/>
    <x v="142"/>
    <x v="28"/>
    <n v="3"/>
    <s v="BL - Abroad"/>
    <s v="Wei Fenghe"/>
    <m/>
    <s v="Defense Minister; CMC Member"/>
    <n v="8"/>
    <x v="1"/>
    <s v="Saudi King Salman, Crown Prince"/>
    <x v="0"/>
    <m/>
    <m/>
    <m/>
    <m/>
    <x v="12"/>
    <m/>
    <m/>
    <s v="http://www.mod.gov.cn/topnews/2019-03/27/content_4838275.htm"/>
    <s v="Updated counterpart titles, added source"/>
  </r>
  <r>
    <x v="1"/>
    <x v="4"/>
    <s v="Asia"/>
    <s v="Strategic Cooperative Partnership [战略合作伙伴关系]"/>
    <x v="3"/>
    <s v="INDOPACOM"/>
    <x v="25"/>
    <x v="28"/>
    <n v="3"/>
    <s v="BL - Hosted"/>
    <s v="Xu Qiliang"/>
    <m/>
    <s v="CMC Vice Chairman"/>
    <n v="10"/>
    <x v="2"/>
    <s v="Army Chief of Staff General "/>
    <x v="0"/>
    <m/>
    <m/>
    <m/>
    <m/>
    <x v="12"/>
    <m/>
    <m/>
    <s v="http://news.cctv.com/2019/04/22/VIDEPSOwkA2HlgfBbtVTamk2190422.shtml"/>
    <s v="Added source, updated highest rank participant"/>
  </r>
  <r>
    <x v="1"/>
    <x v="9"/>
    <s v="West Asia and Africa"/>
    <s v="Comprehensive Strategic Partnership [全面战略伙伴关系]"/>
    <x v="0"/>
    <s v="CENTCOM"/>
    <x v="106"/>
    <x v="28"/>
    <n v="3"/>
    <s v="BL - Abroad"/>
    <s v="Wei Fenghe"/>
    <m/>
    <s v="Defense Minister; CMC Member"/>
    <n v="8"/>
    <x v="1"/>
    <s v="Crown Prince, Commander of the Armed Forces"/>
    <x v="0"/>
    <m/>
    <m/>
    <m/>
    <m/>
    <x v="12"/>
    <m/>
    <m/>
    <m/>
    <m/>
  </r>
  <r>
    <x v="2"/>
    <x v="1"/>
    <s v="Asia"/>
    <s v="Strategic Partnership [战略伙伴关系] for Peace and Prosperity"/>
    <x v="0"/>
    <s v="INDOPACOM"/>
    <x v="153"/>
    <x v="28"/>
    <n v="4"/>
    <s v="Military Exercise - Multilateral"/>
    <m/>
    <m/>
    <m/>
    <m/>
    <x v="0"/>
    <m/>
    <x v="2"/>
    <s v="ASEAN - China Naval Exercise"/>
    <s v="Navy"/>
    <s v="Subjects: formation departures, formation communications, formation maneuvers, joint search and rescue, formation separations, vessel inspections, and medical treatments; Other countries: Philippines, Singapore, Vietnam, Indonesia, Laos"/>
    <m/>
    <x v="12"/>
    <m/>
    <m/>
    <s v="https://www.scmp.com/news/china/military/article/3007804/china-begins-joint-naval-drills-six-southeast-asian-nations"/>
    <s v="Updated drill details; corrected partnership label"/>
  </r>
  <r>
    <x v="1"/>
    <x v="10"/>
    <s v="America and Oceania"/>
    <s v="No Specific Relationship"/>
    <x v="0"/>
    <s v="SOUTHCOM"/>
    <x v="167"/>
    <x v="28"/>
    <n v="4"/>
    <s v="BL - Abroad"/>
    <s v="Huang Xueping"/>
    <m/>
    <s v="CMC/OMIC Deputy Director"/>
    <n v="5"/>
    <x v="1"/>
    <s v="Defense Minister"/>
    <x v="0"/>
    <m/>
    <m/>
    <m/>
    <m/>
    <x v="12"/>
    <m/>
    <m/>
    <m/>
    <m/>
  </r>
  <r>
    <x v="1"/>
    <x v="0"/>
    <s v="Asia"/>
    <s v="Strategic Partnership for Peace and Prosperity [战略伙伴关系]"/>
    <x v="0"/>
    <s v="INDOPACOM"/>
    <x v="6"/>
    <x v="28"/>
    <n v="4"/>
    <s v="ML - Margins"/>
    <s v="Wei Fenghe"/>
    <m/>
    <s v="Defense Minister; CMC Member"/>
    <n v="8"/>
    <x v="1"/>
    <s v="Defense Minister "/>
    <x v="0"/>
    <m/>
    <m/>
    <m/>
    <m/>
    <x v="12"/>
    <m/>
    <m/>
    <s v="http://www.xinhuanet.com/world/2019-04/30/c_1124435056.htm"/>
    <s v="Added source"/>
  </r>
  <r>
    <x v="1"/>
    <x v="9"/>
    <s v="West Asia and Africa"/>
    <s v="Comprehensive Strategic Partnership [全面战略伙伴关系]"/>
    <x v="0"/>
    <s v="CENTCOM"/>
    <x v="89"/>
    <x v="28"/>
    <n v="4"/>
    <s v="BL - Abroad"/>
    <s v="Wei Fenghe"/>
    <m/>
    <s v="Defense Minister; CMC Member"/>
    <n v="8"/>
    <x v="1"/>
    <s v="Defense Minister"/>
    <x v="0"/>
    <m/>
    <m/>
    <m/>
    <m/>
    <x v="12"/>
    <m/>
    <m/>
    <s v="http://www.81.cn/jwzb/2019-04/25/content_9489144.htm"/>
    <m/>
  </r>
  <r>
    <x v="1"/>
    <x v="6"/>
    <s v="Europe and Central Asia"/>
    <s v="Comprehensive Strategic Partnership [全面战略伙伴关系]"/>
    <x v="0"/>
    <s v="CENTCOM"/>
    <x v="30"/>
    <x v="28"/>
    <n v="4"/>
    <s v="ML - Margins"/>
    <s v="Wei Fenghe"/>
    <m/>
    <s v="Defense Minister; CMC Member"/>
    <n v="8"/>
    <x v="1"/>
    <s v="Defense Minsiter"/>
    <x v="0"/>
    <m/>
    <m/>
    <m/>
    <m/>
    <x v="12"/>
    <m/>
    <m/>
    <s v="http://www.xinhuanet.com/world/2019-04/30/c_1124435056.htm"/>
    <s v="Added source"/>
  </r>
  <r>
    <x v="1"/>
    <x v="6"/>
    <s v="Europe and Central Asia"/>
    <s v="Comprehensive Strategic Partnership [全面战略伙伴关系]"/>
    <x v="0"/>
    <s v="CENTCOM"/>
    <x v="31"/>
    <x v="28"/>
    <n v="4"/>
    <s v="BL - Abroad"/>
    <s v="Wei Fenghe"/>
    <m/>
    <s v="Defense Minister; CMC Member"/>
    <n v="8"/>
    <x v="1"/>
    <s v="President"/>
    <x v="0"/>
    <m/>
    <m/>
    <m/>
    <m/>
    <x v="12"/>
    <m/>
    <m/>
    <s v="http://english.chinamil.com.cn/view/2019-04/30/content_9493922.htm"/>
    <s v="Added source and Kyrgyzstan details"/>
  </r>
  <r>
    <x v="1"/>
    <x v="4"/>
    <s v="Asia"/>
    <s v="Comprehensive Strategic Partnership [全面战略伙伴关系]"/>
    <x v="0"/>
    <s v="INDOPACOM"/>
    <x v="53"/>
    <x v="28"/>
    <n v="4"/>
    <s v="BL - Abroad"/>
    <s v="Liu Xiaowu"/>
    <m/>
    <s v="Western TC Deputy Commander"/>
    <n v="6"/>
    <x v="2"/>
    <s v="General staff of armed forces"/>
    <x v="0"/>
    <m/>
    <m/>
    <m/>
    <m/>
    <x v="12"/>
    <m/>
    <m/>
    <s v="https://www.fmprc.gov.cn/ce/cemn/chn/tpxw/t1654922.htm"/>
    <m/>
  </r>
  <r>
    <x v="1"/>
    <x v="1"/>
    <s v="Asia"/>
    <s v="Comprehensive Strategic Cooperative Partnership [全面战略合作伙伴关系]"/>
    <x v="0"/>
    <s v="INDOPACOM"/>
    <x v="1"/>
    <x v="28"/>
    <n v="4"/>
    <s v="BL - Hosted"/>
    <s v="Xu Qiliang"/>
    <m/>
    <s v="CMC Vice Chairman"/>
    <n v="10"/>
    <x v="2"/>
    <s v="Commander in Chief of Tatmadaw"/>
    <x v="0"/>
    <m/>
    <m/>
    <m/>
    <m/>
    <x v="12"/>
    <m/>
    <m/>
    <s v="https://thediplomat.com/2019/04/china-myanmar-extol-eternal-friendship-as-commander-in-chief-visits-beijing/"/>
    <m/>
  </r>
  <r>
    <x v="2"/>
    <x v="4"/>
    <s v="Asia"/>
    <s v="N/A"/>
    <x v="0"/>
    <s v="INDOPACOM"/>
    <x v="161"/>
    <x v="28"/>
    <n v="4"/>
    <s v="Military Exercise - Multilateral"/>
    <m/>
    <m/>
    <m/>
    <m/>
    <x v="0"/>
    <m/>
    <x v="2"/>
    <s v="70th Anniversary of PLA Navy Fleet Review "/>
    <s v="Navy"/>
    <s v="Naval Parade including Russia, Thailand, Vietnam,  India, Japan, the Philippines, Bangladesh, Brunei, Australia, Malaysia, and Myanmar "/>
    <m/>
    <x v="12"/>
    <m/>
    <m/>
    <s v="http://www.81.cn/jfjbmap/content/2019-04/26/content_232574.htm"/>
    <s v="Added source, added country participants; ; changed partner country to N/A and CCMD to PACOM"/>
  </r>
  <r>
    <x v="1"/>
    <x v="0"/>
    <s v="Asia"/>
    <s v="All-Weather Strategic Cooperative Partnership [全天候战略合作伙伴关系]"/>
    <x v="1"/>
    <s v="CENTCOM"/>
    <x v="2"/>
    <x v="28"/>
    <n v="4"/>
    <s v="ML - Margins"/>
    <s v="Wei Fenghe"/>
    <m/>
    <s v="Defense Minister; CMC Member"/>
    <n v="8"/>
    <x v="1"/>
    <s v="Defense Secretary"/>
    <x v="0"/>
    <m/>
    <m/>
    <m/>
    <m/>
    <x v="12"/>
    <m/>
    <m/>
    <s v="http://www.xinhuanet.com/world/2019-04/30/c_1124435056.htm"/>
    <s v="Added source"/>
  </r>
  <r>
    <x v="1"/>
    <x v="0"/>
    <s v="Asia"/>
    <s v="All-Weather Strategic Cooperative Partnership [全天候战略合作伙伴关系]"/>
    <x v="1"/>
    <s v="CENTCOM"/>
    <x v="2"/>
    <x v="28"/>
    <n v="4"/>
    <s v="BL - Hosted"/>
    <s v="Wei Fenghe"/>
    <m/>
    <s v="Defense Minister; CMC Member"/>
    <n v="8"/>
    <x v="2"/>
    <s v="Chief of the Naval Staff "/>
    <x v="0"/>
    <m/>
    <m/>
    <m/>
    <m/>
    <x v="12"/>
    <m/>
    <m/>
    <s v="http://www.mod.gov.cn/diplomacy/2019-04/21/content_4839952.htm"/>
    <s v="Added source"/>
  </r>
  <r>
    <x v="2"/>
    <x v="3"/>
    <s v="Europe and Central Asia"/>
    <s v="Comprehensive Strategic Partnership of Coordination in the New Era [新时代中俄全面战略协作伙伴关系]"/>
    <x v="0"/>
    <s v="EUCOM"/>
    <x v="7"/>
    <x v="28"/>
    <n v="4"/>
    <s v="Military Exercise - Bilateral"/>
    <m/>
    <m/>
    <m/>
    <m/>
    <x v="0"/>
    <m/>
    <x v="3"/>
    <s v="Joint Sea 2019 "/>
    <s v="Navy"/>
    <s v="Joint air defense, joint anti-submarine operations, joint submarine rescue, and joint search and rescue in Yellow Sea off Qiangdao.  April 29-May 4."/>
    <m/>
    <x v="12"/>
    <m/>
    <m/>
    <s v="http://www.xinhuanet.com/english/2019-04/30/c_138025460.htm"/>
    <s v="Added source, added details"/>
  </r>
  <r>
    <x v="1"/>
    <x v="3"/>
    <s v="Europe and Central Asia"/>
    <s v="Comprehensive Strategic Partnership of Coordination in the New Era [新时代中俄全面战略协作伙伴关系]"/>
    <x v="0"/>
    <s v="EUCOM"/>
    <x v="7"/>
    <x v="28"/>
    <n v="4"/>
    <s v="ML - Margins"/>
    <s v="Wei Fenghe"/>
    <m/>
    <s v="Defense Minister; CMC Member"/>
    <n v="8"/>
    <x v="1"/>
    <s v="Russian Defense Minister"/>
    <x v="0"/>
    <m/>
    <m/>
    <m/>
    <m/>
    <x v="12"/>
    <m/>
    <m/>
    <s v="http://www.81.cn/jwzb/2019-04/25/content_9489144.htm"/>
    <s v="Added specific source"/>
  </r>
  <r>
    <x v="1"/>
    <x v="6"/>
    <s v="Europe and Central Asia"/>
    <s v="Member"/>
    <x v="0"/>
    <s v="CENTCOM"/>
    <x v="14"/>
    <x v="28"/>
    <n v="4"/>
    <s v="ML - Abroad"/>
    <s v="Wei Fenghe"/>
    <m/>
    <s v="Defense Minister; CMC Member"/>
    <n v="8"/>
    <x v="1"/>
    <s v="16th official meeting of the SCO Ministers' of Defense in Kyrgyzstan; Other countries: Kazakhstan, Kyrgyztan, Russia, Tajikistan, Uzbekistan"/>
    <x v="0"/>
    <m/>
    <m/>
    <m/>
    <m/>
    <x v="12"/>
    <m/>
    <m/>
    <s v="http://eng.sectsco.org/news/20190430/533861.html#:~:text=On%2029%20April%202019%2C%20the,to%20as%20SCO%20or%20Organisation."/>
    <m/>
  </r>
  <r>
    <x v="1"/>
    <x v="8"/>
    <s v="Europe and Central Asia"/>
    <s v="Comprehensive Strategic Partnership [全面战略伙伴关系]"/>
    <x v="0"/>
    <s v="EUCOM"/>
    <x v="112"/>
    <x v="28"/>
    <n v="4"/>
    <s v="BL - Abroad"/>
    <s v="Wei Fenghe"/>
    <m/>
    <s v="Defense Minister; CMC Member"/>
    <n v="8"/>
    <x v="1"/>
    <s v="Defense Minister"/>
    <x v="0"/>
    <m/>
    <m/>
    <m/>
    <m/>
    <x v="12"/>
    <m/>
    <m/>
    <s v="http://www.81.cn/jwzb/2019-04/25/content_9489144.htm"/>
    <s v="Added source"/>
  </r>
  <r>
    <x v="0"/>
    <x v="7"/>
    <s v="West Asia and Africa"/>
    <s v="No Specific Relationship"/>
    <x v="0"/>
    <s v="AFRICOM"/>
    <x v="168"/>
    <x v="28"/>
    <n v="4"/>
    <s v="Port Call - Friendly Visit"/>
    <m/>
    <m/>
    <m/>
    <m/>
    <x v="0"/>
    <m/>
    <x v="0"/>
    <m/>
    <m/>
    <m/>
    <s v="ETF"/>
    <x v="115"/>
    <m/>
    <m/>
    <m/>
    <s v="can’t find original source"/>
  </r>
  <r>
    <x v="1"/>
    <x v="6"/>
    <s v="Europe and Central Asia"/>
    <s v="Comprehensive Strategic Partnership [全面战略伙伴关系]"/>
    <x v="0"/>
    <s v="CENTCOM"/>
    <x v="73"/>
    <x v="28"/>
    <n v="4"/>
    <s v="ML - Margins"/>
    <s v="Wei Fenghe"/>
    <m/>
    <s v="Defense Minister; CMC Member"/>
    <n v="8"/>
    <x v="1"/>
    <s v="Prime Minister"/>
    <x v="0"/>
    <m/>
    <m/>
    <m/>
    <m/>
    <x v="12"/>
    <m/>
    <m/>
    <s v="http://www.81.cn/jwzb/2019-04/27/content_9490734.htm"/>
    <s v="Added source"/>
  </r>
  <r>
    <x v="2"/>
    <x v="1"/>
    <s v="Asia"/>
    <s v="Strategic Partnership [战略伙伴关系] for Peace and Prosperity"/>
    <x v="0"/>
    <s v="INDOPACOM"/>
    <x v="153"/>
    <x v="28"/>
    <n v="5"/>
    <s v="Military Exercise - Multilateral"/>
    <m/>
    <m/>
    <m/>
    <m/>
    <x v="0"/>
    <m/>
    <x v="2"/>
    <s v="ASEAN ADMM Plus Live Fire Exercise"/>
    <s v="Navy"/>
    <s v="Co-sponsored by Singapore and South Korea "/>
    <m/>
    <x v="12"/>
    <m/>
    <m/>
    <s v="http://eng.chinamil.com.cn/view/2019-04/28/content_9491510.htm"/>
    <s v="Added source, revised exercise type to MOOTW (not planning for military adversaries, just piracy/terrorism/more); "/>
  </r>
  <r>
    <x v="1"/>
    <x v="1"/>
    <s v="Asia"/>
    <s v="Comprehensive Strategic Cooperative Partnership [全面战略合作伙伴关系]"/>
    <x v="0"/>
    <s v="INDOPACOM"/>
    <x v="94"/>
    <x v="28"/>
    <n v="5"/>
    <s v="BL - Hosted"/>
    <s v="Wei Fenghe"/>
    <m/>
    <s v="Defense Minister; CMC Member"/>
    <n v="8"/>
    <x v="2"/>
    <s v="Deputy Commander in Chief of RCAF"/>
    <x v="0"/>
    <m/>
    <m/>
    <m/>
    <m/>
    <x v="12"/>
    <m/>
    <m/>
    <s v="http://www.81.cn/jmywyl/2019-05/24/content_9513202.htm"/>
    <s v="Added source"/>
  </r>
  <r>
    <x v="1"/>
    <x v="10"/>
    <s v="America and Oceania"/>
    <s v="No Specific Relationship"/>
    <x v="0"/>
    <s v="SOUTHCOM"/>
    <x v="49"/>
    <x v="28"/>
    <n v="5"/>
    <s v="BL - Abroad"/>
    <s v="Miao Hua"/>
    <m/>
    <s v="CMC/PWD Director; CMC Member"/>
    <n v="8"/>
    <x v="1"/>
    <s v="First Secretary "/>
    <x v="0"/>
    <m/>
    <m/>
    <m/>
    <m/>
    <x v="12"/>
    <m/>
    <m/>
    <s v="http://www.mod.gov.cn/topnews/2019-05/17/content_4841806.htm"/>
    <s v="Added source"/>
  </r>
  <r>
    <x v="1"/>
    <x v="1"/>
    <s v="Asia"/>
    <s v="No Specific Relationship"/>
    <x v="0"/>
    <s v="INDOPACOM"/>
    <x v="137"/>
    <x v="28"/>
    <n v="5"/>
    <s v="ML - Abroad"/>
    <s v="Wei Fenghe"/>
    <m/>
    <s v="Defense Minister; CMC Member"/>
    <n v="8"/>
    <x v="1"/>
    <s v="18th Shangri-La"/>
    <x v="0"/>
    <m/>
    <m/>
    <m/>
    <m/>
    <x v="12"/>
    <m/>
    <m/>
    <s v="http://www.xinhuanet.com/english/2019-06/01/c_138106931.htm"/>
    <s v="Shangri-La Dialogue"/>
  </r>
  <r>
    <x v="1"/>
    <x v="1"/>
    <s v="Asia"/>
    <s v="All-Round Cooperative Partnership [全方合作伙伴关系]"/>
    <x v="0"/>
    <s v="INDOPACOM"/>
    <x v="39"/>
    <x v="28"/>
    <n v="5"/>
    <s v="BL - Abroad"/>
    <s v="Wei Fenghe"/>
    <m/>
    <s v="Defense Minister; CMC Member"/>
    <n v="8"/>
    <x v="1"/>
    <s v="Defense Minister"/>
    <x v="0"/>
    <m/>
    <m/>
    <m/>
    <m/>
    <x v="12"/>
    <m/>
    <m/>
    <s v="https://www.straitstimes.com/singapore/reassuring-to-have-gen-wei-present-at-forum-says-ng-eng-hen"/>
    <m/>
  </r>
  <r>
    <x v="2"/>
    <x v="1"/>
    <s v="Asia"/>
    <s v="Comprehensive Strategic Cooperative Partnership [全面战略合作伙伴关系]"/>
    <x v="3"/>
    <s v="INDOPACOM"/>
    <x v="5"/>
    <x v="28"/>
    <n v="5"/>
    <s v="Military Exercise - Bilateral"/>
    <m/>
    <m/>
    <m/>
    <m/>
    <x v="0"/>
    <m/>
    <x v="2"/>
    <s v="Blue Commando 2019"/>
    <s v="Navy"/>
    <s v="shooting, grappling, helicopter rappelling, combat tactics, communications, replenishment-at-sea, joint rescue, live-fire shooting, and amphibious activities"/>
    <m/>
    <x v="12"/>
    <m/>
    <m/>
    <s v="http://www.xinhuanet.com/politics/2019-05/01/c_1124442748.htm"/>
    <s v="Added source, drill details"/>
  </r>
  <r>
    <x v="1"/>
    <x v="2"/>
    <s v="America and Oceania"/>
    <s v="No Specific Relationship"/>
    <x v="2"/>
    <s v="NORTHCOM"/>
    <x v="4"/>
    <x v="28"/>
    <n v="5"/>
    <s v="ML - Margins"/>
    <s v="Wei Fenghe"/>
    <m/>
    <s v="Defense Minister; CMC Member"/>
    <n v="8"/>
    <x v="1"/>
    <s v="Secretary of Defense; BL at Shangri-La "/>
    <x v="0"/>
    <m/>
    <m/>
    <m/>
    <m/>
    <x v="12"/>
    <m/>
    <m/>
    <s v="http://www.xinhuanet.com/english/2019-06/01/c_138106931.htm"/>
    <s v="Added source"/>
  </r>
  <r>
    <x v="2"/>
    <x v="6"/>
    <s v="Europe and Central Asia"/>
    <s v="Comprehensive Strategic Partnership [全面战略伙伴关系]"/>
    <x v="0"/>
    <s v="CENTCOM"/>
    <x v="73"/>
    <x v="28"/>
    <n v="5"/>
    <s v="Military Exercise - Bilateral"/>
    <m/>
    <m/>
    <m/>
    <m/>
    <x v="0"/>
    <m/>
    <x v="1"/>
    <s v="Cooperation 2019"/>
    <s v="PAP"/>
    <s v="Snow leopard combat unit"/>
    <m/>
    <x v="12"/>
    <m/>
    <m/>
    <s v="http://www.xinhuanet.com/world/2019-05/16/c_1124502442.htm"/>
    <s v="Added source, drill details"/>
  </r>
  <r>
    <x v="1"/>
    <x v="1"/>
    <s v="Asia"/>
    <s v="Comprehensive Strategic Cooperative Partnership [全面战略合作伙伴关系]"/>
    <x v="0"/>
    <s v="INDOPACOM"/>
    <x v="23"/>
    <x v="28"/>
    <n v="5"/>
    <s v="BL - Abroad"/>
    <s v="Wei Fenghe"/>
    <m/>
    <s v="Defense Minister; CMC Member"/>
    <n v="8"/>
    <x v="1"/>
    <s v="National Assembly Chairwoman &amp; defense minister"/>
    <x v="0"/>
    <m/>
    <m/>
    <m/>
    <m/>
    <x v="12"/>
    <m/>
    <m/>
    <s v="http://www.xinhuanet.com/english/2019-05/29/c_138099645.htm"/>
    <s v="Added source"/>
  </r>
  <r>
    <x v="1"/>
    <x v="7"/>
    <s v="West Asia and Africa"/>
    <s v="Comprehensive Strategic Cooperative Partnership [全面战略合作伙伴关系]"/>
    <x v="0"/>
    <s v="AFRICOM"/>
    <x v="86"/>
    <x v="28"/>
    <n v="5"/>
    <s v="BL - Hosted"/>
    <s v="Wei Fenghe"/>
    <m/>
    <s v="Defense Minister; CMC Member"/>
    <n v="8"/>
    <x v="2"/>
    <s v="Defense Minister"/>
    <x v="0"/>
    <m/>
    <m/>
    <m/>
    <m/>
    <x v="12"/>
    <m/>
    <m/>
    <s v="http://english.chinamil.com.cn/view/2019-05/09/content_9499547.htm"/>
    <s v="Added source"/>
  </r>
  <r>
    <x v="1"/>
    <x v="7"/>
    <s v="West Asia and Africa"/>
    <s v="Strategic Partnership [战略伙伴关系]"/>
    <x v="0"/>
    <s v="AFRICOM"/>
    <x v="105"/>
    <x v="28"/>
    <n v="6"/>
    <s v="BL - Abroad"/>
    <s v="Xu Qiliang"/>
    <m/>
    <s v="CMC Vice Chairman "/>
    <n v="10"/>
    <x v="1"/>
    <s v="Defense Minister"/>
    <x v="0"/>
    <m/>
    <m/>
    <m/>
    <m/>
    <x v="12"/>
    <m/>
    <m/>
    <s v="http://www.xinhuanet.com/2019-06/26/c_1124670811.htm"/>
    <s v="Added source"/>
  </r>
  <r>
    <x v="0"/>
    <x v="5"/>
    <s v="America and Oceania"/>
    <s v="Comprehensive Strategic Partnership [全面战略伙伴关系]"/>
    <x v="4"/>
    <s v="INDOPACOM"/>
    <x v="12"/>
    <x v="28"/>
    <n v="6"/>
    <s v="Port Call - Friendly Visit"/>
    <m/>
    <m/>
    <m/>
    <m/>
    <x v="0"/>
    <m/>
    <x v="0"/>
    <m/>
    <m/>
    <m/>
    <s v="ETF"/>
    <x v="114"/>
    <s v="South Sea Fleet"/>
    <s v="LPD998 Kunlun Shan; FFG536 Xuchang; AOR964 Luoma Hu"/>
    <s v="http://eng.chinamil.com.cn/view/2019-06/10/content_9526660.htm"/>
    <s v="Added source"/>
  </r>
  <r>
    <x v="2"/>
    <x v="1"/>
    <s v="Asia"/>
    <s v="Comprehensive Strategic Cooperative Partnership [全面战略合作伙伴关系]"/>
    <x v="0"/>
    <s v="INDOPACOM"/>
    <x v="52"/>
    <x v="28"/>
    <n v="6"/>
    <s v="Military Exercise - Bilateral"/>
    <m/>
    <m/>
    <m/>
    <m/>
    <x v="0"/>
    <m/>
    <x v="1"/>
    <s v="Second China-Laos National Defense Friendship Activities Along the Border"/>
    <s v="Army"/>
    <s v="drill is part of the China-Laos border defense friendly exchange activities"/>
    <m/>
    <x v="12"/>
    <m/>
    <m/>
    <s v="http://en.people.cn/n3/2019/0531/c90000-9583271.html"/>
    <m/>
  </r>
  <r>
    <x v="2"/>
    <x v="4"/>
    <s v="Asia"/>
    <s v="Comprehensive Strategic Partnership [全面战略伙伴关系]"/>
    <x v="0"/>
    <s v="INDOPACOM"/>
    <x v="53"/>
    <x v="28"/>
    <n v="6"/>
    <s v="Military Exercise - Multilateral"/>
    <m/>
    <m/>
    <m/>
    <m/>
    <x v="0"/>
    <m/>
    <x v="2"/>
    <s v="Khaan Quest 2019"/>
    <s v="Army"/>
    <s v="Multilateral peacekeeping exercise; Cosponsored by US; 38 countries participated"/>
    <m/>
    <x v="12"/>
    <m/>
    <m/>
    <s v="http://www.xinhuanet.com/english/2019-06/15/c_138145899.htm"/>
    <m/>
  </r>
  <r>
    <x v="1"/>
    <x v="7"/>
    <s v="West Asia and Africa"/>
    <s v="Comprehensive Strategic Cooperative Partnership [全面战略合作伙伴关系]"/>
    <x v="0"/>
    <s v="AFRICOM"/>
    <x v="84"/>
    <x v="28"/>
    <n v="6"/>
    <s v="BL - Abroad"/>
    <s v="Xu Qiliang"/>
    <m/>
    <s v="CMC Vice Chairman "/>
    <n v="10"/>
    <x v="1"/>
    <s v="President"/>
    <x v="0"/>
    <m/>
    <m/>
    <m/>
    <m/>
    <x v="12"/>
    <m/>
    <m/>
    <s v="http://www.xinhuanet.com/world/2019-06/27/c_1124680590.htm"/>
    <s v="Added source"/>
  </r>
  <r>
    <x v="1"/>
    <x v="0"/>
    <s v="Asia"/>
    <s v="Development-oriented Strategic Cooperative Partnership [面向发展与繁荣的世代友好的战略合作伙伴关系]."/>
    <x v="0"/>
    <s v="INDOPACOM"/>
    <x v="32"/>
    <x v="28"/>
    <n v="6"/>
    <s v="BL - Hosted"/>
    <s v="Wei Fenghe"/>
    <m/>
    <s v="Defense Minister; CMC Member"/>
    <n v="8"/>
    <x v="2"/>
    <s v="Nepalese Chief of Army Staff General"/>
    <x v="0"/>
    <m/>
    <m/>
    <s v="Also met JSD commander Li during week long visit"/>
    <m/>
    <x v="12"/>
    <m/>
    <m/>
    <s v="https://economictimes.indiatimes.com/news/defence/nepal-army-chief-meets-chinas-defence-ministry-discusses-plans-to-upgrade-military-ties/articleshow/69885746.cms?from=mdr"/>
    <m/>
  </r>
  <r>
    <x v="1"/>
    <x v="0"/>
    <s v="Asia"/>
    <s v="All-Weather Strategic Cooperative Partnership [全天候战略合作伙伴关系]"/>
    <x v="1"/>
    <s v="CENTCOM"/>
    <x v="2"/>
    <x v="28"/>
    <n v="6"/>
    <s v="BL - Hosted"/>
    <s v="Wei Fenghe"/>
    <m/>
    <s v="Defense Minister; CMC Member"/>
    <n v="8"/>
    <x v="2"/>
    <s v="Ambassador to China"/>
    <x v="0"/>
    <m/>
    <m/>
    <m/>
    <m/>
    <x v="12"/>
    <m/>
    <m/>
    <s v="http://www.mod.gov.cn/topnews/2019-06/21/content_4844064.htm"/>
    <s v="Added source"/>
  </r>
  <r>
    <x v="1"/>
    <x v="0"/>
    <s v="Asia"/>
    <s v="All-Weather Strategic Cooperative Partnership [全天候战略合作伙伴关系]"/>
    <x v="1"/>
    <s v="CENTCOM"/>
    <x v="2"/>
    <x v="28"/>
    <n v="6"/>
    <s v="BL - Abroad"/>
    <s v="Han Weiguo"/>
    <m/>
    <s v="PLAA Commander"/>
    <n v="6"/>
    <x v="1"/>
    <s v="Chief of Army Staff "/>
    <x v="0"/>
    <m/>
    <m/>
    <m/>
    <m/>
    <x v="12"/>
    <m/>
    <m/>
    <s v="https://defence.pk/pdf/threads/general-han-weiguo-commander-people-liberation-army-visits-pakistan.623614/"/>
    <m/>
  </r>
  <r>
    <x v="1"/>
    <x v="1"/>
    <s v="Asia"/>
    <s v="All-Round Cooperative Partnership [全方合作伙伴关系]"/>
    <x v="0"/>
    <s v="INDOPACOM"/>
    <x v="39"/>
    <x v="28"/>
    <n v="6"/>
    <s v="ML - Margins"/>
    <s v="Wei Fenghe"/>
    <m/>
    <s v="Defense Minister; CMC Member"/>
    <n v="8"/>
    <x v="1"/>
    <s v="Defense Minister; BL at Shangri-La"/>
    <x v="0"/>
    <m/>
    <m/>
    <m/>
    <m/>
    <x v="12"/>
    <m/>
    <m/>
    <s v="https://www.chinadaily.com.cn/a/201905/30/WS5cef9188a3104842260beb7a.html"/>
    <m/>
  </r>
  <r>
    <x v="1"/>
    <x v="8"/>
    <s v="Europe and Central Asia"/>
    <s v="Strategic Cooperative Partnership [战略合作伙伴关系]"/>
    <x v="5"/>
    <s v="EUCOM"/>
    <x v="38"/>
    <x v="28"/>
    <n v="6"/>
    <s v="BL - Hosted"/>
    <s v="Wei Fenghe"/>
    <m/>
    <s v="Defense Minister; CMC Member"/>
    <n v="8"/>
    <x v="2"/>
    <s v="Turkish Air Forces Commander"/>
    <x v="0"/>
    <m/>
    <m/>
    <m/>
    <m/>
    <x v="12"/>
    <m/>
    <m/>
    <s v="http://www.xinhuanet.com/english/2019-06/18/c_138153879.htm"/>
    <m/>
  </r>
  <r>
    <x v="1"/>
    <x v="7"/>
    <s v="West Asia and Africa"/>
    <s v="Friendly Cooperative Relationship [友好合作关系]"/>
    <x v="0"/>
    <s v="AFRICOM"/>
    <x v="64"/>
    <x v="28"/>
    <n v="7"/>
    <s v="BL - Hosted"/>
    <s v="Wei Fenghe"/>
    <m/>
    <s v="Defense Minister; CMC Member"/>
    <n v="8"/>
    <x v="2"/>
    <s v="Defense Minister"/>
    <x v="0"/>
    <m/>
    <m/>
    <m/>
    <m/>
    <x v="12"/>
    <m/>
    <m/>
    <s v="http://www.mod.gov.cn/topnews/2019-07/17/content_4846021.htm"/>
    <s v="Added source"/>
  </r>
  <r>
    <x v="0"/>
    <x v="8"/>
    <s v="Europe and Central Asia"/>
    <s v="Comprehensive Strategic Partnership [全面战略伙伴关系]"/>
    <x v="5"/>
    <s v="EUCOM"/>
    <x v="22"/>
    <x v="28"/>
    <n v="7"/>
    <s v="Port Call - Friendly Visit"/>
    <m/>
    <m/>
    <m/>
    <m/>
    <x v="0"/>
    <m/>
    <x v="0"/>
    <m/>
    <m/>
    <m/>
    <s v="ETF"/>
    <x v="115"/>
    <s v="East Sea Fleet"/>
    <s v="DDG153 Xi'an FFG599 Anyang AOR966 Gaoyuhu"/>
    <s v="http://www.xinhuanet.com/english/2019-07/02/c_138191762.htm"/>
    <m/>
  </r>
  <r>
    <x v="2"/>
    <x v="8"/>
    <s v="Europe and Central Asia"/>
    <s v="Comprehensive Strategic Partnership [全面战略伙伴关系]"/>
    <x v="5"/>
    <s v="EUCOM"/>
    <x v="18"/>
    <x v="28"/>
    <n v="7"/>
    <s v="Military Exercise - Bilateral"/>
    <m/>
    <m/>
    <m/>
    <m/>
    <x v="0"/>
    <m/>
    <x v="2"/>
    <s v="Combined Aid 2019"/>
    <s v="Army"/>
    <m/>
    <m/>
    <x v="12"/>
    <m/>
    <m/>
    <s v="https://www.stripes.com/news/in-a-first-chinese-military-deploys-for-medical-drill-with-german-forces-in-europe-1.589687"/>
    <m/>
  </r>
  <r>
    <x v="1"/>
    <x v="7"/>
    <s v="West Asia and Africa"/>
    <s v="No Specific Relationship"/>
    <x v="0"/>
    <s v="AFRICOM"/>
    <x v="87"/>
    <x v="28"/>
    <n v="7"/>
    <s v="BL - Hosted"/>
    <s v="Wei Fenghe"/>
    <m/>
    <s v="Defense Minister; CMC Member"/>
    <n v="8"/>
    <x v="2"/>
    <s v="Defense Minister"/>
    <x v="0"/>
    <m/>
    <m/>
    <m/>
    <m/>
    <x v="12"/>
    <m/>
    <m/>
    <s v="http://www.mod.gov.cn/topnews/2019-07/17/content_4846021.htm"/>
    <s v="Added source"/>
  </r>
  <r>
    <x v="1"/>
    <x v="10"/>
    <s v="America and Oceania"/>
    <s v="No Specific Relationship"/>
    <x v="0"/>
    <s v="SOUTHCOM"/>
    <x v="88"/>
    <x v="28"/>
    <n v="7"/>
    <s v="BL - Hosted"/>
    <s v="Wei Fenghe"/>
    <m/>
    <s v="Defense Minister; CMC Member"/>
    <n v="8"/>
    <x v="2"/>
    <s v="Chief of Staff of the Guyana Defense Force Brigadier Patrick West"/>
    <x v="0"/>
    <m/>
    <m/>
    <s v="Guyana represented nations at the Fourth Forum for Senior Defense Officials from Caribbean and South Pacific Countries"/>
    <m/>
    <x v="12"/>
    <m/>
    <m/>
    <s v="http://www.xinhuanet.com/english/2019-07/08/c_138209338.htm"/>
    <s v="Revised &quot;country&quot; to Guyana (from Caribbean), added comments on details of the event"/>
  </r>
  <r>
    <x v="1"/>
    <x v="5"/>
    <s v="America and Oceania"/>
    <s v="Comprehensive Strategic Partnership [全面战略伙伴关系]"/>
    <x v="4"/>
    <s v="INDOPACOM"/>
    <x v="13"/>
    <x v="28"/>
    <n v="7"/>
    <s v="BL - Hosted"/>
    <s v="Xu Qiliang"/>
    <m/>
    <s v=" CMC Vice Chairman "/>
    <n v="10"/>
    <x v="2"/>
    <s v="Defense Minister"/>
    <x v="0"/>
    <m/>
    <m/>
    <s v="Met with CMC chair Xu; and Counterpart Wei Fenghe"/>
    <m/>
    <x v="12"/>
    <m/>
    <m/>
    <s v="https://www.army-technology.com/news/new-zealand-china-defence-ties/"/>
    <m/>
  </r>
  <r>
    <x v="1"/>
    <x v="0"/>
    <s v="Asia"/>
    <s v="All-Weather Strategic Cooperative Partnership [全天候战略合作伙伴关系]"/>
    <x v="1"/>
    <s v="CENTCOM"/>
    <x v="2"/>
    <x v="28"/>
    <n v="7"/>
    <s v="BL - Hosted"/>
    <s v="Zhang Youxia"/>
    <m/>
    <s v="CMC Vice Chairman"/>
    <n v="10"/>
    <x v="2"/>
    <s v="Chairman of the Joint Chiefs"/>
    <x v="0"/>
    <m/>
    <m/>
    <m/>
    <m/>
    <x v="12"/>
    <m/>
    <m/>
    <s v=", http://www.81.cn/jwzb/2019-07/28/content_9571066.htm"/>
    <s v="Added source"/>
  </r>
  <r>
    <x v="0"/>
    <x v="3"/>
    <s v="Europe and Central Asia"/>
    <s v="Comprehensive Strategic Partnership of Coordination in the New Era [新时代中俄全面战略协作伙伴关系]"/>
    <x v="0"/>
    <s v="EUCOM"/>
    <x v="7"/>
    <x v="28"/>
    <n v="7"/>
    <s v="Port Call - Friendly Visit "/>
    <m/>
    <m/>
    <m/>
    <m/>
    <x v="0"/>
    <m/>
    <x v="0"/>
    <m/>
    <m/>
    <m/>
    <s v="ETF"/>
    <x v="115"/>
    <s v="East Sea Fleet"/>
    <s v="DDG153 Xi'an FFG599 Anyang AOR966 Gaoyuhu"/>
    <m/>
    <m/>
  </r>
  <r>
    <x v="2"/>
    <x v="3"/>
    <s v="Europe and Central Asia"/>
    <s v="Comprehensive Strategic Partnership of Coordination in the New Era [新时代中俄全面战略协作伙伴关系]"/>
    <x v="0"/>
    <s v="EUCOM"/>
    <x v="7"/>
    <x v="28"/>
    <n v="7"/>
    <s v="Military Exercise - Bilateral"/>
    <m/>
    <m/>
    <m/>
    <m/>
    <x v="0"/>
    <m/>
    <x v="9"/>
    <s v="Joint Aerial Strategic Patrol 2019"/>
    <s v="Air Force"/>
    <s v="First-ever China-Russia joint strategic air patrol"/>
    <m/>
    <x v="12"/>
    <m/>
    <m/>
    <s v="http://www.mod.gov.cn/jzhzt/2019-08/29/content_4849311.htm"/>
    <m/>
  </r>
  <r>
    <x v="0"/>
    <x v="9"/>
    <s v="West Asia and Africa"/>
    <s v="Comprehensive Strategic Partnership [全面战略伙伴关系]"/>
    <x v="1"/>
    <s v="CENTCOM"/>
    <x v="24"/>
    <x v="28"/>
    <n v="8"/>
    <s v="Port Call - Replenish/Overhaul"/>
    <m/>
    <m/>
    <m/>
    <m/>
    <x v="0"/>
    <m/>
    <x v="0"/>
    <m/>
    <m/>
    <m/>
    <s v="ETF"/>
    <x v="115"/>
    <s v="East Sea Fleet"/>
    <s v="DDG153 Xi'an FFG599 Anyang AOR966 Gaoyuhu"/>
    <s v="http://www.xinhuanet.com/world/2019-08/17/c_1124886473.htm"/>
    <s v="Added source and ship name"/>
  </r>
  <r>
    <x v="2"/>
    <x v="9"/>
    <s v="West Asia and Africa"/>
    <s v="Comprehensive Strategic Partnership [全面战略伙伴关系]"/>
    <x v="1"/>
    <s v="CENTCOM"/>
    <x v="24"/>
    <x v="28"/>
    <n v="8"/>
    <s v="Military Exercise - Bilateral"/>
    <m/>
    <m/>
    <m/>
    <m/>
    <x v="0"/>
    <m/>
    <x v="1"/>
    <s v="Unnamed"/>
    <s v="Navy"/>
    <m/>
    <m/>
    <x v="115"/>
    <m/>
    <s v="DDG153 Xi'an"/>
    <s v="http://navy.81.cn/content/2019-08/21/content_9596339.htm"/>
    <m/>
  </r>
  <r>
    <x v="2"/>
    <x v="6"/>
    <s v="Europe and Central Asia"/>
    <s v="Comprehensive Strategic Partnership [全面战略伙伴关系]"/>
    <x v="0"/>
    <s v="CENTCOM"/>
    <x v="31"/>
    <x v="28"/>
    <n v="8"/>
    <s v="Military Exercise - Bilateral"/>
    <m/>
    <m/>
    <m/>
    <m/>
    <x v="0"/>
    <m/>
    <x v="1"/>
    <s v="Cooperation 2019"/>
    <s v="PAP"/>
    <s v="joint command, basic technical training, cooperative tactical training, and integrated countermeasure training; PAP's &quot;Mountain Eagle&quot; commando unit"/>
    <m/>
    <x v="12"/>
    <m/>
    <m/>
    <s v="http://eng.mod.gov.cn/news/2019-08/13/content_4848137.htm"/>
    <s v="Added details"/>
  </r>
  <r>
    <x v="2"/>
    <x v="1"/>
    <s v="Asia"/>
    <s v="Comprehensive Strategic Cooperative Partnership [全面战略合作伙伴关系]"/>
    <x v="0"/>
    <s v="INDOPACOM"/>
    <x v="52"/>
    <x v="28"/>
    <n v="8"/>
    <s v="Military Exercise - Bilateral"/>
    <m/>
    <m/>
    <m/>
    <m/>
    <x v="0"/>
    <m/>
    <x v="2"/>
    <s v="Peace Train 2019"/>
    <s v="Army"/>
    <m/>
    <m/>
    <x v="12"/>
    <m/>
    <m/>
    <s v="http://www.xinhuanet.com/english/2019-08/16/c_138314743.htm"/>
    <m/>
  </r>
  <r>
    <x v="2"/>
    <x v="0"/>
    <s v="Asia"/>
    <s v="Development-oriented Strategic Cooperative Partnership [面向发展与繁荣的世代友好的战略合作伙伴关系]."/>
    <x v="0"/>
    <s v="INDOPACOM"/>
    <x v="32"/>
    <x v="28"/>
    <n v="8"/>
    <s v="Military Exercise - Bilateral"/>
    <m/>
    <m/>
    <m/>
    <m/>
    <x v="0"/>
    <m/>
    <x v="1"/>
    <s v="Mt. Everest Friendship 2019"/>
    <s v="Army"/>
    <s v="included hostage rescue, fast-roping, and sniper rifle training"/>
    <m/>
    <x v="12"/>
    <m/>
    <m/>
    <s v="http://eng.mod.gov.cn/news/2019-08/30/content_4849442.htm"/>
    <s v="changed to anti-terrorism from MOOTW"/>
  </r>
  <r>
    <x v="1"/>
    <x v="4"/>
    <s v="Asia"/>
    <s v="Bilateral Defense Treaty"/>
    <x v="0"/>
    <s v="INDOPACOM"/>
    <x v="9"/>
    <x v="28"/>
    <n v="8"/>
    <s v="BL - Hosted"/>
    <s v="Zhang Youxia"/>
    <m/>
    <s v="CMC Vice Chairman"/>
    <n v="10"/>
    <x v="2"/>
    <s v="Director of the General Political Bureau of the Korean People’s Army"/>
    <x v="0"/>
    <m/>
    <m/>
    <m/>
    <m/>
    <x v="12"/>
    <m/>
    <m/>
    <s v="http://www.xinhuanet.com/2019-08/17/c_1124888081.htm"/>
    <s v="Added source"/>
  </r>
  <r>
    <x v="1"/>
    <x v="0"/>
    <s v="Asia"/>
    <s v="All-Weather Strategic Cooperative Partnership [全天候战略合作伙伴关系]"/>
    <x v="1"/>
    <s v="CENTCOM"/>
    <x v="2"/>
    <x v="28"/>
    <n v="8"/>
    <s v="BL - Abroad"/>
    <s v="Xu Qiliang"/>
    <m/>
    <s v="CMC Vice Chairman "/>
    <n v="10"/>
    <x v="1"/>
    <s v="Prime Minister "/>
    <x v="0"/>
    <m/>
    <m/>
    <m/>
    <m/>
    <x v="12"/>
    <m/>
    <m/>
    <s v="http://www.81.cn/jwzb/2019-08/28/content_9604591.htm"/>
    <s v="Added source"/>
  </r>
  <r>
    <x v="0"/>
    <x v="8"/>
    <s v="Europe and Central Asia"/>
    <s v="Comprehensive Strategic Partnership [全面战略伙伴关系]"/>
    <x v="5"/>
    <s v="EUCOM"/>
    <x v="48"/>
    <x v="28"/>
    <n v="8"/>
    <s v="Port Call - Replenish/Overhaul"/>
    <m/>
    <m/>
    <m/>
    <m/>
    <x v="0"/>
    <m/>
    <x v="0"/>
    <m/>
    <m/>
    <m/>
    <s v="ETF"/>
    <x v="115"/>
    <s v="East Sea Fleet"/>
    <s v="DDG153 Xi'an FFG599 Anyang AOR966 Gaoyuhu"/>
    <s v="http://eng.chinamil.com.cn/view/2019-08/07/content_9582726.htm"/>
    <s v="Added source"/>
  </r>
  <r>
    <x v="2"/>
    <x v="3"/>
    <s v="Europe and Central Asia"/>
    <s v="Comprehensive Strategic Partnership of Coordination in the New Era [新时代中俄全面战略协作伙伴关系]"/>
    <x v="0"/>
    <s v="EUCOM"/>
    <x v="7"/>
    <x v="28"/>
    <n v="8"/>
    <s v="Military Exercise - Multilateral"/>
    <m/>
    <m/>
    <m/>
    <m/>
    <x v="0"/>
    <m/>
    <x v="6"/>
    <s v="International Army Games 2019"/>
    <s v="Army"/>
    <s v="Hosted in China; Other countries:Armenia, Iran, Kazakhstan, Uzbekistan, Belarus, Egypt, Pakistan, and Venezuela; &quot;Clear Sky&quot; and &quot;Gunsmith Master&quot;"/>
    <m/>
    <x v="12"/>
    <m/>
    <m/>
    <s v="http://eng.chinamil.com.cn/view/2019-08/15/content_9591061.htm"/>
    <m/>
  </r>
  <r>
    <x v="2"/>
    <x v="1"/>
    <s v="Asia"/>
    <s v="All-Round Cooperative Partnership [全方合作伙伴关系]"/>
    <x v="0"/>
    <s v="INDOPACOM"/>
    <x v="39"/>
    <x v="28"/>
    <n v="8"/>
    <s v="Military Exercise - Bilateral"/>
    <m/>
    <m/>
    <m/>
    <m/>
    <x v="0"/>
    <m/>
    <x v="1"/>
    <s v="Cooperation 2019 Joint Army Training"/>
    <s v="Army"/>
    <s v="urban counterterrorist operations, conducted in two phases, namely mixed group subject training and comprehensive troop drill"/>
    <m/>
    <x v="12"/>
    <m/>
    <m/>
    <s v="http://www.xinhuanet.com/world/2019-07/27/c_1124806729.htm"/>
    <s v="Added details, recategorized exercise type to counterterrorism, added source"/>
  </r>
  <r>
    <x v="2"/>
    <x v="6"/>
    <s v="Europe and Central Asia"/>
    <s v="Comprehensive Strategic Partnership [全面战略伙伴关系]"/>
    <x v="0"/>
    <s v="CENTCOM"/>
    <x v="60"/>
    <x v="28"/>
    <n v="8"/>
    <s v="Military Exercise - Bilateral"/>
    <m/>
    <m/>
    <m/>
    <m/>
    <x v="0"/>
    <m/>
    <x v="1"/>
    <s v="Cooperation 2019"/>
    <s v="Joint"/>
    <s v="Gorno-Badakhshan Autonomous Region; originally planned for July 2019; changed to August 2019"/>
    <m/>
    <x v="12"/>
    <m/>
    <m/>
    <s v="https://www.rferl.org/a/tajikistan-china-counterterror-drills-gorno-badakhshan/30107427.html; http://eng.chinamil.com.cn/view/2019-08/12/content_9587478.htm"/>
    <s v="Revised to Joint (PLAAF participated)"/>
  </r>
  <r>
    <x v="2"/>
    <x v="1"/>
    <s v="Asia"/>
    <s v="Comprehensive Strategic Cooperative Partnership [全面战略合作伙伴关系]"/>
    <x v="3"/>
    <s v="INDOPACOM"/>
    <x v="5"/>
    <x v="28"/>
    <n v="8"/>
    <s v="Military Exercise - Bilateral"/>
    <m/>
    <m/>
    <m/>
    <m/>
    <x v="0"/>
    <m/>
    <x v="3"/>
    <s v="Falcon Strike 2019"/>
    <s v="Air Force"/>
    <s v="For the 2019 training, the PLAAF sent J-10C, J-10S, and KJ-500 Airborne Early Warning aircraft – this signifies that the 2019 iteration is a higher-level air exercise"/>
    <m/>
    <x v="12"/>
    <m/>
    <m/>
    <s v="http://mil.huanqiu.com/world/2019-08/15340220.html?agt=15422"/>
    <s v="Added source, recategorized as combat rather than combat support, added details"/>
  </r>
  <r>
    <x v="1"/>
    <x v="10"/>
    <s v="America and Oceania"/>
    <s v="Comprehensive Strategic Partnership [全面战略伙伴关系]"/>
    <x v="1"/>
    <s v="SOUTHCOM"/>
    <x v="62"/>
    <x v="28"/>
    <n v="9"/>
    <s v="BL - Abroad"/>
    <s v="Wei Fenghe"/>
    <m/>
    <s v="Defense Minister; CMC Member"/>
    <n v="8"/>
    <x v="1"/>
    <s v="President and Defense Minister"/>
    <x v="0"/>
    <m/>
    <m/>
    <m/>
    <m/>
    <x v="12"/>
    <m/>
    <m/>
    <s v="http://www.xinhuanet.com/world/2019-09/05/c_1124964052.htm"/>
    <s v="Added source"/>
  </r>
  <r>
    <x v="2"/>
    <x v="5"/>
    <s v="America and Oceania"/>
    <s v="Comprehensive Strategic Partnership [全面战略伙伴关系]"/>
    <x v="4"/>
    <s v="INDOPACOM"/>
    <x v="12"/>
    <x v="28"/>
    <n v="9"/>
    <s v="Military Exercise - Multilateral"/>
    <m/>
    <m/>
    <m/>
    <m/>
    <x v="0"/>
    <m/>
    <x v="2"/>
    <s v="Kowari 2019"/>
    <s v="Air Force"/>
    <s v="Other Countries: USA"/>
    <m/>
    <x v="12"/>
    <m/>
    <m/>
    <s v="http://www.xinhuanet.com/world/2019-09/04/c_1124959809.htm"/>
    <s v="Added source and drill details"/>
  </r>
  <r>
    <x v="2"/>
    <x v="5"/>
    <s v="America and Oceania"/>
    <s v="Comprehensive Strategic Partnership [全面战略伙伴关系]"/>
    <x v="4"/>
    <s v="INDOPACOM"/>
    <x v="12"/>
    <x v="28"/>
    <n v="9"/>
    <s v="Military Exercise - Bilateral"/>
    <m/>
    <m/>
    <m/>
    <m/>
    <x v="0"/>
    <m/>
    <x v="2"/>
    <s v="Pandaroo 2019"/>
    <s v="Army"/>
    <s v="Survival training in jungle environments"/>
    <m/>
    <x v="12"/>
    <m/>
    <m/>
    <s v="http://www.81.cn/jmywyl/2019-10/20/content_9656464.htm"/>
    <m/>
  </r>
  <r>
    <x v="1"/>
    <x v="0"/>
    <s v="Asia"/>
    <s v="Strategic Cooperative Partnership [战略合作伙伴关系]"/>
    <x v="0"/>
    <s v="INDOPACOM"/>
    <x v="0"/>
    <x v="28"/>
    <n v="9"/>
    <s v="BL - Hosted"/>
    <s v="Wei Fenghe"/>
    <m/>
    <s v="Defense Minister; CMC Member"/>
    <n v="8"/>
    <x v="2"/>
    <s v="Air Chief Marshal "/>
    <x v="0"/>
    <m/>
    <m/>
    <m/>
    <m/>
    <x v="12"/>
    <m/>
    <m/>
    <s v="http://www.xinhuanet.com/mil/2019-09/18/c_1210283868.htm"/>
    <s v="Added source"/>
  </r>
  <r>
    <x v="1"/>
    <x v="10"/>
    <s v="America and Oceania"/>
    <s v="Comprehensive Strategic Partnership [全面战略伙伴关系]"/>
    <x v="0"/>
    <s v="SOUTHCOM"/>
    <x v="43"/>
    <x v="28"/>
    <n v="9"/>
    <s v="BL - Abroad"/>
    <s v="Wei Fenghe"/>
    <m/>
    <s v="Defense Minister; CMC Member"/>
    <n v="8"/>
    <x v="1"/>
    <s v="President, Defense Minister"/>
    <x v="0"/>
    <m/>
    <m/>
    <m/>
    <m/>
    <x v="12"/>
    <m/>
    <m/>
    <s v="http://www.xinhuanet.com/world/2019-09/08/c_1124973784.htm"/>
    <s v="Added source"/>
  </r>
  <r>
    <x v="0"/>
    <x v="1"/>
    <s v="Asia"/>
    <s v="Strategic Cooperative Partnership [战略合作伙伴关系]"/>
    <x v="0"/>
    <s v="INDOPACOM"/>
    <x v="44"/>
    <x v="28"/>
    <n v="9"/>
    <s v="Port Call - Friendly Visit"/>
    <m/>
    <m/>
    <m/>
    <m/>
    <x v="0"/>
    <m/>
    <x v="0"/>
    <m/>
    <m/>
    <m/>
    <s v="NETF"/>
    <x v="116"/>
    <s v="South Sea Fleet"/>
    <s v="Qi Jiguang training ship"/>
    <s v="http://eng.chinamil.com.cn/view/2019-09/29/content_9639678.htm"/>
    <s v="Added source"/>
  </r>
  <r>
    <x v="1"/>
    <x v="1"/>
    <s v="Asia"/>
    <s v="Comprehensive Strategic Cooperative Partnership [全面战略合作伙伴关系]"/>
    <x v="0"/>
    <s v="INDOPACOM"/>
    <x v="94"/>
    <x v="28"/>
    <n v="9"/>
    <s v="BL - Hosted"/>
    <s v="Wei Fenghe"/>
    <m/>
    <s v="Defense Minister; CMC Member"/>
    <n v="8"/>
    <x v="2"/>
    <s v="General"/>
    <x v="0"/>
    <m/>
    <m/>
    <m/>
    <m/>
    <x v="12"/>
    <m/>
    <m/>
    <s v="http://www.mod.gov.cn/topnews/2019-09/24/content_4851085.htm"/>
    <s v="Added source"/>
  </r>
  <r>
    <x v="1"/>
    <x v="2"/>
    <s v="America and Oceania"/>
    <s v="No Specific Relationship"/>
    <x v="0"/>
    <s v="SOUTHCOM"/>
    <x v="49"/>
    <x v="28"/>
    <n v="9"/>
    <s v="BL - Hosted"/>
    <s v="Xu Qiliang"/>
    <m/>
    <s v=" CMC Vice Chairman "/>
    <n v="10"/>
    <x v="2"/>
    <s v="Sen. Lt. General"/>
    <x v="0"/>
    <m/>
    <m/>
    <m/>
    <m/>
    <x v="12"/>
    <m/>
    <m/>
    <s v="http://mod.gov.cn/leaders/2019-09/27/content_4851571.htm"/>
    <s v="Added source"/>
  </r>
  <r>
    <x v="1"/>
    <x v="9"/>
    <s v="West Asia and Africa"/>
    <s v="Comprehensive Strategic Partnership [全面战略伙伴关系]"/>
    <x v="0"/>
    <s v="CENTCOM"/>
    <x v="89"/>
    <x v="28"/>
    <n v="9"/>
    <s v="BL - Hosted"/>
    <s v="Xu Qiliang"/>
    <m/>
    <s v=" CMC Vice Chairman "/>
    <n v="10"/>
    <x v="2"/>
    <s v="Chief of Staff, Iranian Armed Forces "/>
    <x v="0"/>
    <m/>
    <m/>
    <m/>
    <m/>
    <x v="12"/>
    <m/>
    <m/>
    <s v="http://www.xinhuanet.com/2019-09/11/c_1124988205.htm"/>
    <s v="Added source"/>
  </r>
  <r>
    <x v="0"/>
    <x v="1"/>
    <s v="Asia"/>
    <s v="Comprehensive Strategic Partnership [全面战略伙伴关系]"/>
    <x v="0"/>
    <s v="INDOPACOM"/>
    <x v="10"/>
    <x v="28"/>
    <n v="9"/>
    <s v="Port Call - Friendly Visit"/>
    <m/>
    <m/>
    <m/>
    <m/>
    <x v="0"/>
    <m/>
    <x v="0"/>
    <m/>
    <m/>
    <m/>
    <s v="ETF"/>
    <x v="115"/>
    <s v="East Sea Fleet"/>
    <s v="DDG153 Xi'an FFG599 Anyang AOR966 Gaoyuhu"/>
    <s v="http://eng.chinamil.com.cn/view/2019-11/01/content_9666626.htm"/>
    <m/>
  </r>
  <r>
    <x v="0"/>
    <x v="7"/>
    <s v="West Asia and Africa"/>
    <s v="Comprehensive Strategic Cooperative Partnership [全面战略合作伙伴关系]"/>
    <x v="0"/>
    <s v="AFRICOM"/>
    <x v="84"/>
    <x v="28"/>
    <n v="9"/>
    <s v="Port Call - Friendly Visit"/>
    <m/>
    <m/>
    <m/>
    <m/>
    <x v="0"/>
    <m/>
    <x v="0"/>
    <m/>
    <m/>
    <m/>
    <s v="ETF"/>
    <x v="115"/>
    <s v="East Sea Fleet"/>
    <s v="DDG153 Xi'an FFG599 Anyang AOR966 Gaoyuhu"/>
    <s v="http://eng.chinamil.com.cn/view/2019-11/01/content_9666626.htm"/>
    <m/>
  </r>
  <r>
    <x v="1"/>
    <x v="4"/>
    <s v="Asia"/>
    <s v="Bilateral Defense Treaty"/>
    <x v="0"/>
    <s v="INDOPACOM"/>
    <x v="9"/>
    <x v="28"/>
    <n v="9"/>
    <s v="BL - Hosted"/>
    <s v="Wei Fenghe"/>
    <m/>
    <s v="Defense Minister; CMC Member"/>
    <n v="8"/>
    <x v="2"/>
    <s v="General"/>
    <x v="0"/>
    <m/>
    <m/>
    <m/>
    <m/>
    <x v="12"/>
    <m/>
    <m/>
    <s v="http://www.mod.gov.cn/topnews/2019-09/24/content_4851085.htm"/>
    <s v="Added source"/>
  </r>
  <r>
    <x v="2"/>
    <x v="0"/>
    <s v="Asia"/>
    <s v="All-Weather Strategic Cooperative Partnership [全天候战略合作伙伴关系]"/>
    <x v="1"/>
    <s v="CENTCOM"/>
    <x v="2"/>
    <x v="28"/>
    <n v="9"/>
    <s v="Military Exercise - Bilateral"/>
    <m/>
    <m/>
    <m/>
    <m/>
    <x v="0"/>
    <m/>
    <x v="3"/>
    <s v="Shaheen VIII"/>
    <s v="Air Force"/>
    <s v=" operational command, system control, air superiority, suppression of ground targets, air attack, and joint air defense"/>
    <m/>
    <x v="12"/>
    <m/>
    <m/>
    <s v="http://www.xinhuanet.com/mil/2019-09/07/c_1210271265.htm"/>
    <s v="Added source and drill details"/>
  </r>
  <r>
    <x v="2"/>
    <x v="3"/>
    <s v="Europe and Central Asia"/>
    <s v="Comprehensive Strategic Partnership of Coordination in the New Era [新时代中俄全面战略协作伙伴关系]"/>
    <x v="0"/>
    <s v="EUCOM"/>
    <x v="7"/>
    <x v="28"/>
    <n v="9"/>
    <s v="Military Exercise - Multilateral"/>
    <m/>
    <m/>
    <m/>
    <m/>
    <x v="0"/>
    <m/>
    <x v="3"/>
    <s v="Tsentr-2019 (Center-2019)"/>
    <s v="Army"/>
    <s v="ML exercise against insurgency supported by major power; Other countries:India, Kazakhstan, Kyrgyzstan, Tajikistan, Pakistan, and Uzbekistan "/>
    <m/>
    <x v="12"/>
    <m/>
    <m/>
    <s v="http://www.xinhuanet.com/english/2019-08/20/c_138323880.htm"/>
    <s v="Added source, recategorized as multilateral, listed other country partners"/>
  </r>
  <r>
    <x v="1"/>
    <x v="3"/>
    <s v="Europe and Central Asia"/>
    <s v="Comprehensive Strategic Partnership of Coordination in the New Era [新时代中俄全面战略协作伙伴关系]"/>
    <x v="0"/>
    <s v="EUCOM"/>
    <x v="7"/>
    <x v="28"/>
    <n v="9"/>
    <s v="BL - Abroad"/>
    <s v="Wei Fenghe"/>
    <m/>
    <s v="Defense Minister; CMC Member"/>
    <n v="8"/>
    <x v="1"/>
    <s v="President"/>
    <x v="0"/>
    <m/>
    <m/>
    <s v="Met with Putin on the sidelines of the Tsenter exercise"/>
    <m/>
    <x v="12"/>
    <m/>
    <m/>
    <s v="http://www.81.cn/jmywyl/2019-09/20/content_9630153.htm"/>
    <m/>
  </r>
  <r>
    <x v="1"/>
    <x v="3"/>
    <s v="Europe and Central Asia"/>
    <s v="Comprehensive Strategic Partnership of Coordination in the New Era [新时代中俄全面战略协作伙伴关系]"/>
    <x v="0"/>
    <s v="EUCOM"/>
    <x v="7"/>
    <x v="28"/>
    <n v="9"/>
    <s v="BL - Abroad"/>
    <s v="Zhang Youxia"/>
    <m/>
    <s v="CMC Vice Chairman"/>
    <n v="10"/>
    <x v="1"/>
    <s v="Russian Defense Minister General of the Army "/>
    <x v="0"/>
    <m/>
    <m/>
    <m/>
    <m/>
    <x v="12"/>
    <m/>
    <m/>
    <s v="http://www.xinhuanet.com/world/2019-09/05/c_1124965436.htm"/>
    <s v="Added source"/>
  </r>
  <r>
    <x v="1"/>
    <x v="8"/>
    <s v="Europe and Central Asia"/>
    <s v="Comprehensive Strategic Partnership [全面战略伙伴关系]"/>
    <x v="0"/>
    <s v="EUCOM"/>
    <x v="112"/>
    <x v="28"/>
    <n v="9"/>
    <s v="BL - Abroad"/>
    <s v="Zhang Youxia"/>
    <m/>
    <s v="CMC Vice Chairman"/>
    <n v="10"/>
    <x v="1"/>
    <s v="President, Defense Minister"/>
    <x v="0"/>
    <m/>
    <m/>
    <m/>
    <m/>
    <x v="12"/>
    <m/>
    <m/>
    <s v="http://www.xinhuanet.com/world/2019-09/07/c_1124972363.htm "/>
    <s v="Added source"/>
  </r>
  <r>
    <x v="2"/>
    <x v="1"/>
    <s v="Asia"/>
    <s v="Comprehensive Strategic Cooperative Partnership [全面战略合作伙伴关系]"/>
    <x v="3"/>
    <s v="INDOPACOM"/>
    <x v="5"/>
    <x v="28"/>
    <n v="9"/>
    <s v="Military Exercise - Multilateral"/>
    <m/>
    <m/>
    <m/>
    <m/>
    <x v="0"/>
    <m/>
    <x v="2"/>
    <s v="Unnamed"/>
    <s v="Army"/>
    <s v="Tabletop exercise hosted by Thailand under the ADMM-Plus Experts’ Working Group on Counterterrorism; 18 participating countries"/>
    <m/>
    <x v="12"/>
    <m/>
    <m/>
    <s v="http://www.mod.gov.cn/action/2019-09/08/content_4849983.htm "/>
    <s v="CODED as Army because no indication of partiicpation by other services"/>
  </r>
  <r>
    <x v="0"/>
    <x v="1"/>
    <s v="Asia"/>
    <s v="Comprehensive Cooperative Partnership [全面合作伙伴关系]"/>
    <x v="0"/>
    <s v="INDOPACOM"/>
    <x v="169"/>
    <x v="28"/>
    <n v="9"/>
    <s v="Port Call - Friendly Visit"/>
    <m/>
    <m/>
    <m/>
    <m/>
    <x v="0"/>
    <m/>
    <x v="0"/>
    <m/>
    <m/>
    <m/>
    <s v="NETF"/>
    <x v="116"/>
    <s v="South Sea Fleet"/>
    <s v="Qi Jiguang training ship"/>
    <s v="http://eng.chinamil.com.cn/view/2019-10/11/content_9648913.htm"/>
    <s v="Added source"/>
  </r>
  <r>
    <x v="1"/>
    <x v="10"/>
    <s v="America and Oceania"/>
    <s v="Strategic Partnership [战略伙伴关系]"/>
    <x v="0"/>
    <s v="SOUTHCOM"/>
    <x v="107"/>
    <x v="28"/>
    <n v="9"/>
    <s v="BL - Abroad"/>
    <s v="Wei Fenghe"/>
    <m/>
    <s v="Defense Minister; CMC Member"/>
    <n v="8"/>
    <x v="1"/>
    <s v="Uruguayan Defense Minister Jose Bayardi"/>
    <x v="0"/>
    <m/>
    <m/>
    <m/>
    <m/>
    <x v="12"/>
    <m/>
    <m/>
    <s v="https://www.chinadaily.com.cn/a/201909/04/WS5d6f1580a310cf3e35569985.html"/>
    <m/>
  </r>
  <r>
    <x v="1"/>
    <x v="7"/>
    <s v="West Asia and Africa"/>
    <s v="Strategic Partnership [战略伙伴关系]"/>
    <x v="0"/>
    <s v="AFRICOM"/>
    <x v="105"/>
    <x v="28"/>
    <n v="10"/>
    <s v="ML - Margins"/>
    <s v="Wei Fenghe"/>
    <m/>
    <s v="Defense Minister; CMC Member"/>
    <n v="8"/>
    <x v="2"/>
    <s v="Defense Minister; BL at Xiangshan"/>
    <x v="0"/>
    <m/>
    <m/>
    <m/>
    <m/>
    <x v="12"/>
    <m/>
    <m/>
    <s v="http://www.gov.cn/guowuyuan/2019-10/22/content_5443690.htm"/>
    <m/>
  </r>
  <r>
    <x v="1"/>
    <x v="8"/>
    <s v="Europe and Central Asia"/>
    <s v="Friendly Cooperative Partnership [友好合作伙伴关系]"/>
    <x v="0"/>
    <s v="EUCOM"/>
    <x v="63"/>
    <x v="28"/>
    <n v="10"/>
    <s v="ML - Margins"/>
    <s v="Wei Fenghe"/>
    <m/>
    <s v="Defense Minister; CMC Member"/>
    <n v="8"/>
    <x v="2"/>
    <s v="Defense Minister; BL at Xiangshan"/>
    <x v="0"/>
    <m/>
    <m/>
    <m/>
    <m/>
    <x v="12"/>
    <m/>
    <m/>
    <s v="http://www.gov.cn/guowuyuan/2019-10/22/content_5443690.htm"/>
    <s v="Added source"/>
  </r>
  <r>
    <x v="1"/>
    <x v="8"/>
    <s v="Europe and Central Asia"/>
    <s v="Friendly Cooperative Partnership [友好合作伙伴关系]"/>
    <x v="0"/>
    <s v="EUCOM"/>
    <x v="57"/>
    <x v="28"/>
    <n v="10"/>
    <s v="ML - Margins"/>
    <s v="Wei Fenghe"/>
    <m/>
    <s v="Defense Minister; CMC Member"/>
    <n v="8"/>
    <x v="2"/>
    <s v="Defense Minister; BL at Xiangshan"/>
    <x v="0"/>
    <m/>
    <m/>
    <m/>
    <m/>
    <x v="12"/>
    <m/>
    <m/>
    <s v="http://www.gov.cn/guowuyuan/2019-10/22/content_5443690.htm"/>
    <m/>
  </r>
  <r>
    <x v="1"/>
    <x v="8"/>
    <s v="Europe and Central Asia"/>
    <s v="Comprehensive Strategic Partnership [全面战略伙伴关系]"/>
    <x v="0"/>
    <s v="EUCOM"/>
    <x v="34"/>
    <x v="28"/>
    <n v="10"/>
    <s v="ML - Margins"/>
    <s v="Wei Fenghe"/>
    <m/>
    <s v="Defense Minister; CMC Member"/>
    <n v="8"/>
    <x v="2"/>
    <s v="Defense Minister; BL at Xiangshan"/>
    <x v="0"/>
    <m/>
    <m/>
    <m/>
    <m/>
    <x v="12"/>
    <m/>
    <m/>
    <s v="http://www.gov.cn/guowuyuan/2019-10/22/content_5443690.htm"/>
    <m/>
  </r>
  <r>
    <x v="1"/>
    <x v="1"/>
    <s v="Asia"/>
    <s v="Strategic Cooperative Partnership [战略合作伙伴关系]"/>
    <x v="0"/>
    <s v="INDOPACOM"/>
    <x v="44"/>
    <x v="28"/>
    <n v="10"/>
    <s v="BL - Hosted"/>
    <s v="Wei Fenghe"/>
    <m/>
    <s v="Defense Minister; CMC Member"/>
    <n v="8"/>
    <x v="2"/>
    <s v="Second Minister of Defense"/>
    <x v="0"/>
    <m/>
    <m/>
    <m/>
    <m/>
    <x v="12"/>
    <m/>
    <m/>
    <s v="http://www.xinhuanet.com/politics/2019-10/17/c_1125118575.htm"/>
    <s v="Added source"/>
  </r>
  <r>
    <x v="0"/>
    <x v="1"/>
    <s v="Asia"/>
    <s v="Strategic Cooperative Partnership [战略合作伙伴关系]"/>
    <x v="0"/>
    <s v="INDOPACOM"/>
    <x v="44"/>
    <x v="28"/>
    <n v="10"/>
    <s v="Port Call - Friendly Visit"/>
    <m/>
    <m/>
    <m/>
    <m/>
    <x v="0"/>
    <m/>
    <x v="0"/>
    <m/>
    <m/>
    <m/>
    <s v="NETF"/>
    <x v="116"/>
    <s v="South Sea Fleet"/>
    <s v="Qi Jiguang training ship"/>
    <m/>
    <m/>
  </r>
  <r>
    <x v="1"/>
    <x v="1"/>
    <s v="Asia"/>
    <s v="Comprehensive Strategic Cooperative Partnership [全面战略合作伙伴关系]"/>
    <x v="0"/>
    <s v="INDOPACOM"/>
    <x v="94"/>
    <x v="28"/>
    <n v="10"/>
    <s v="BL - Hosted"/>
    <s v="Wei Fenghe"/>
    <m/>
    <s v="Defense Minister; CMC Member"/>
    <n v="8"/>
    <x v="2"/>
    <s v="Defense Minister"/>
    <x v="0"/>
    <m/>
    <m/>
    <m/>
    <m/>
    <x v="12"/>
    <m/>
    <m/>
    <m/>
    <m/>
  </r>
  <r>
    <x v="0"/>
    <x v="9"/>
    <s v="West Asia and Africa"/>
    <s v="Strategic Partnership [战略伙伴关系]"/>
    <x v="0"/>
    <s v="CENTCOM"/>
    <x v="119"/>
    <x v="28"/>
    <n v="10"/>
    <s v="Port Call - Replenish/Overhaul"/>
    <m/>
    <m/>
    <m/>
    <m/>
    <x v="0"/>
    <m/>
    <x v="0"/>
    <m/>
    <m/>
    <m/>
    <s v="ETF"/>
    <x v="117"/>
    <s v="North Sea Fleet"/>
    <s v="AOR968 Hoh Xil Hu"/>
    <s v="http://navy.81.cn/content/2019-10/09/content_9646250.ht"/>
    <s v="Added source and details"/>
  </r>
  <r>
    <x v="0"/>
    <x v="1"/>
    <s v="Asia"/>
    <s v="Comprehensive Cooperative Partnership [全面合作伙伴关系]"/>
    <x v="0"/>
    <s v="INDOPACOM"/>
    <x v="50"/>
    <x v="28"/>
    <n v="10"/>
    <s v="Port Call - Friendly Visit"/>
    <m/>
    <m/>
    <m/>
    <m/>
    <x v="0"/>
    <m/>
    <x v="0"/>
    <m/>
    <m/>
    <m/>
    <s v="NETF"/>
    <x v="116"/>
    <s v="South Sea Fleet"/>
    <s v="Qi Jiguang training ship"/>
    <s v="http://eng.chinamil.com.cn/view/2019-10/08/content_9645234.htm"/>
    <m/>
  </r>
  <r>
    <x v="1"/>
    <x v="9"/>
    <s v="West Asia and Africa"/>
    <s v="Comprehensive Strategic Partnership [全面战略伙伴关系]"/>
    <x v="1"/>
    <s v="CENTCOM"/>
    <x v="24"/>
    <x v="28"/>
    <n v="10"/>
    <s v="ML - Margins"/>
    <s v="Wei Fenghe"/>
    <m/>
    <s v="Defense Minister; CMC Member"/>
    <n v="8"/>
    <x v="2"/>
    <s v="Defense Minister; BL at Xiangshan"/>
    <x v="0"/>
    <m/>
    <m/>
    <m/>
    <m/>
    <x v="12"/>
    <m/>
    <m/>
    <s v="https://sis.gov.eg/Story/142249/Defense-Minister-back-home-after-China-visit?lang=en-us"/>
    <m/>
  </r>
  <r>
    <x v="1"/>
    <x v="7"/>
    <s v="West Asia and Africa"/>
    <s v="Comprehensive Strategic Cooperative Partnership [全面战略合作伙伴关系]"/>
    <x v="0"/>
    <s v="AFRICOM"/>
    <x v="80"/>
    <x v="28"/>
    <n v="10"/>
    <s v="ML - Margins"/>
    <s v="Wei Fenghe"/>
    <m/>
    <s v="Defense Minister; CMC Member"/>
    <n v="8"/>
    <x v="2"/>
    <s v="Defense Minister; BL at Xiangshan"/>
    <x v="0"/>
    <m/>
    <m/>
    <m/>
    <m/>
    <x v="12"/>
    <m/>
    <m/>
    <s v="http://www.gov.cn/guowuyuan/2019-10/22/content_5443690.htm"/>
    <m/>
  </r>
  <r>
    <x v="1"/>
    <x v="6"/>
    <s v="Europe and Central Asia"/>
    <s v="Comprehensive Strategic Partnership [全面战略伙伴关系]"/>
    <x v="0"/>
    <s v="CENTCOM"/>
    <x v="30"/>
    <x v="28"/>
    <n v="10"/>
    <s v="ML - Margins"/>
    <s v="Wei Fenghe"/>
    <m/>
    <s v="Defense Minister; CMC Member"/>
    <n v="8"/>
    <x v="2"/>
    <s v="Defense Minister; BL at Xiangshan"/>
    <x v="0"/>
    <m/>
    <m/>
    <m/>
    <m/>
    <x v="12"/>
    <m/>
    <m/>
    <s v="http://www.gov.cn/guowuyuan/2019-10/22/content_5443690.htm"/>
    <m/>
  </r>
  <r>
    <x v="2"/>
    <x v="6"/>
    <s v="Europe and Central Asia"/>
    <s v="Comprehensive Strategic Partnership [全面战略伙伴关系]"/>
    <x v="0"/>
    <s v="CENTCOM"/>
    <x v="30"/>
    <x v="28"/>
    <n v="10"/>
    <s v="Military Exercise - Bilateral"/>
    <m/>
    <m/>
    <m/>
    <m/>
    <x v="0"/>
    <m/>
    <x v="1"/>
    <s v="Fox Hunting-2019"/>
    <s v="Army"/>
    <s v="76th group army in Ust-Kamenogorsk"/>
    <m/>
    <x v="12"/>
    <m/>
    <m/>
    <s v="http://english.chinamil.com.cn/view/2019-10/16/content_9653518.htm"/>
    <m/>
  </r>
  <r>
    <x v="1"/>
    <x v="6"/>
    <s v="Europe and Central Asia"/>
    <s v="Comprehensive Strategic Partnership [全面战略伙伴关系]"/>
    <x v="0"/>
    <s v="CENTCOM"/>
    <x v="31"/>
    <x v="28"/>
    <n v="10"/>
    <s v="ML - Margins"/>
    <s v="Wei Fenghe"/>
    <m/>
    <s v="Defense Minister; CMC Member"/>
    <n v="8"/>
    <x v="2"/>
    <s v="Chief of Staff of Armed Forces; BL at Xiangshan"/>
    <x v="0"/>
    <m/>
    <m/>
    <m/>
    <m/>
    <x v="12"/>
    <m/>
    <m/>
    <s v="http://www.gov.cn/guowuyuan/2019-10/22/content_5443690.htm"/>
    <m/>
  </r>
  <r>
    <x v="1"/>
    <x v="8"/>
    <s v="Europe and Central Asia"/>
    <s v="Friendly Cooperative Partnership [友好合作伙伴关系]"/>
    <x v="5"/>
    <s v="EUCOM"/>
    <x v="157"/>
    <x v="28"/>
    <n v="10"/>
    <s v="ML - Margins"/>
    <s v="Wei Fenghe"/>
    <m/>
    <s v="Defense Minister; CMC Member"/>
    <n v="8"/>
    <x v="2"/>
    <s v="Defense Minister; Deputy PM; BL at Xiangshan"/>
    <x v="0"/>
    <m/>
    <m/>
    <m/>
    <m/>
    <x v="12"/>
    <m/>
    <m/>
    <s v="http://www.gov.cn/guowuyuan/2019-10/22/content_5443690.htm"/>
    <m/>
  </r>
  <r>
    <x v="1"/>
    <x v="4"/>
    <s v="Asia"/>
    <s v="Comprehensive Strategic Partnership [全面战略伙伴关系]"/>
    <x v="0"/>
    <s v="INDOPACOM"/>
    <x v="53"/>
    <x v="28"/>
    <n v="10"/>
    <s v="BL - Hosted"/>
    <s v="Wei Fenghe"/>
    <m/>
    <s v="Defense Minister; CMC Member"/>
    <n v="8"/>
    <x v="2"/>
    <s v="Minister of Defense"/>
    <x v="0"/>
    <m/>
    <m/>
    <m/>
    <m/>
    <x v="12"/>
    <m/>
    <m/>
    <m/>
    <m/>
  </r>
  <r>
    <x v="1"/>
    <x v="4"/>
    <s v="Asia"/>
    <s v="N/A"/>
    <x v="0"/>
    <s v="INDOPACOM"/>
    <x v="161"/>
    <x v="28"/>
    <n v="10"/>
    <s v="ML - Hosted"/>
    <s v="Wei Fenghe"/>
    <m/>
    <s v="Defense Minister; CMC Member"/>
    <n v="8"/>
    <x v="2"/>
    <s v="Xiangshan Forum 2019; Defense Minister"/>
    <x v="0"/>
    <m/>
    <m/>
    <m/>
    <m/>
    <x v="12"/>
    <m/>
    <m/>
    <s v="http://english.chinamil.com.cn/view/2018-10/26/content_9324154.htm"/>
    <m/>
  </r>
  <r>
    <x v="0"/>
    <x v="5"/>
    <s v="America and Oceania"/>
    <s v="Comprehensive Strategic Partnership [全面战略伙伴关系]"/>
    <x v="4"/>
    <s v="INDOPACOM"/>
    <x v="13"/>
    <x v="28"/>
    <n v="10"/>
    <s v="Port Call - Friendly Visit"/>
    <m/>
    <m/>
    <m/>
    <m/>
    <x v="0"/>
    <m/>
    <x v="0"/>
    <m/>
    <m/>
    <m/>
    <s v="NETF"/>
    <x v="116"/>
    <s v="South Sea Fleet"/>
    <s v="Qi Jiguang training ship"/>
    <s v="http://eng.chinamil.com.cn/view/2019-10/28/content_9662812.htm"/>
    <s v="Added source"/>
  </r>
  <r>
    <x v="1"/>
    <x v="4"/>
    <s v="Asia"/>
    <s v="Bilateral Defense Treaty"/>
    <x v="0"/>
    <s v="INDOPACOM"/>
    <x v="9"/>
    <x v="28"/>
    <n v="10"/>
    <s v="BL - Abroad"/>
    <s v="Miao Hua"/>
    <m/>
    <s v="CMC/PWD Director; CMC Member"/>
    <n v="8"/>
    <x v="1"/>
    <s v="Director of the General Political Bureau "/>
    <x v="0"/>
    <m/>
    <m/>
    <m/>
    <m/>
    <x v="12"/>
    <m/>
    <m/>
    <s v="http://www.mod.gov.cn/jzhzt/2019-10/31/content_4854245.htm"/>
    <s v="Added source"/>
  </r>
  <r>
    <x v="1"/>
    <x v="4"/>
    <s v="Asia"/>
    <s v="Bilateral Defense Treaty"/>
    <x v="0"/>
    <s v="INDOPACOM"/>
    <x v="9"/>
    <x v="28"/>
    <n v="10"/>
    <s v="BL - Hosted"/>
    <s v="Wei Fenghe"/>
    <m/>
    <s v="Defense Minister; CMC Member"/>
    <n v="8"/>
    <x v="2"/>
    <s v="Defense Minister"/>
    <x v="0"/>
    <m/>
    <m/>
    <m/>
    <m/>
    <x v="12"/>
    <m/>
    <m/>
    <m/>
    <m/>
  </r>
  <r>
    <x v="1"/>
    <x v="0"/>
    <s v="Asia"/>
    <s v="All-Weather Strategic Cooperative Partnership [全天候战略合作伙伴关系]"/>
    <x v="1"/>
    <s v="CENTCOM"/>
    <x v="2"/>
    <x v="28"/>
    <n v="10"/>
    <s v="BL - Hosted"/>
    <s v="Xu Qiliang"/>
    <m/>
    <s v="CMC Vice Chairman"/>
    <n v="10"/>
    <x v="2"/>
    <s v="Chief of Army Staff"/>
    <x v="0"/>
    <m/>
    <m/>
    <m/>
    <m/>
    <x v="12"/>
    <m/>
    <m/>
    <s v="http://www.xinhuanet.com/2019-10/08/c_1125079099.htm"/>
    <s v="Added source"/>
  </r>
  <r>
    <x v="1"/>
    <x v="1"/>
    <s v="America and Oceania"/>
    <s v="Comprehensive Strategic Partnership [全面战略伙伴关系]"/>
    <x v="0"/>
    <s v="INDOPACOM"/>
    <x v="122"/>
    <x v="28"/>
    <n v="10"/>
    <s v="ML - Margins"/>
    <s v="Wei Fenghe"/>
    <m/>
    <s v="Defense Minister; CMC Member"/>
    <n v="8"/>
    <x v="2"/>
    <s v="Defense Minister; BL at Xiangshan"/>
    <x v="0"/>
    <m/>
    <m/>
    <m/>
    <m/>
    <x v="12"/>
    <m/>
    <m/>
    <s v="http://www.gov.cn/guowuyuan/2019-10/22/content_5443690.htm"/>
    <m/>
  </r>
  <r>
    <x v="0"/>
    <x v="1"/>
    <s v="America and Oceania"/>
    <s v="Comprehensive Strategic Partnership [全面战略伙伴关系]"/>
    <x v="0"/>
    <s v="INDOPACOM"/>
    <x v="122"/>
    <x v="28"/>
    <n v="10"/>
    <s v="Port Call - Friendly Visit"/>
    <m/>
    <m/>
    <m/>
    <m/>
    <x v="0"/>
    <m/>
    <x v="0"/>
    <m/>
    <m/>
    <m/>
    <s v="NETF"/>
    <x v="116"/>
    <s v="South Sea Fleet"/>
    <s v="Qi Jiguang training ship"/>
    <s v="http://www.xinhuanet.com/2019-10/10/c_1125088603.htm"/>
    <s v="Added source"/>
  </r>
  <r>
    <x v="1"/>
    <x v="3"/>
    <s v="Europe and Central Asia"/>
    <s v="Comprehensive Strategic Partnership of Coordination in the New Era [新时代中俄全面战略协作伙伴关系]"/>
    <x v="0"/>
    <s v="EUCOM"/>
    <x v="7"/>
    <x v="28"/>
    <n v="10"/>
    <s v="ML - Margins"/>
    <s v="Zhang Youxia"/>
    <m/>
    <s v="CMC Vice Chairman"/>
    <n v="10"/>
    <x v="2"/>
    <s v="Defense Minister; BL at Xiangshan"/>
    <x v="0"/>
    <m/>
    <m/>
    <m/>
    <m/>
    <x v="12"/>
    <m/>
    <m/>
    <s v="http://www.xinhuanet.com/2019-10/22/c_1125138601.htm"/>
    <s v="Originally a reference to a different meeting - changed location and source"/>
  </r>
  <r>
    <x v="2"/>
    <x v="3"/>
    <s v="Europe and Central Asia"/>
    <s v="Comprehensive Strategic Partnership of Coordination in the New Era [新时代中俄全面战略协作伙伴关系]"/>
    <x v="0"/>
    <s v="EUCOM"/>
    <x v="7"/>
    <x v="28"/>
    <n v="10"/>
    <s v="Military Exercise - Bilateral"/>
    <m/>
    <m/>
    <m/>
    <m/>
    <x v="0"/>
    <m/>
    <x v="1"/>
    <s v="Cooperation 2019"/>
    <s v="PAP"/>
    <s v="Falcon Commando Unit"/>
    <m/>
    <x v="12"/>
    <m/>
    <m/>
    <s v="http://www.81.cn/jmywyl/2019-10/11/content_9648915.htm"/>
    <s v="Added source, recategorized as anti-terrorism"/>
  </r>
  <r>
    <x v="1"/>
    <x v="7"/>
    <s v="West Asia and Africa"/>
    <s v="No Specific Relationship"/>
    <x v="0"/>
    <s v="AFRICOM"/>
    <x v="129"/>
    <x v="28"/>
    <n v="10"/>
    <s v="ML - Margins"/>
    <s v="Wei Fenghe"/>
    <m/>
    <s v="Defense Minister; CMC Member"/>
    <n v="8"/>
    <x v="2"/>
    <s v="Defense Minister; BL at Xiangshan"/>
    <x v="0"/>
    <m/>
    <m/>
    <m/>
    <m/>
    <x v="12"/>
    <m/>
    <m/>
    <s v="http://www.gov.cn/guowuyuan/2019-10/22/content_5443690.htm"/>
    <m/>
  </r>
  <r>
    <x v="0"/>
    <x v="9"/>
    <s v="West Asia and Africa"/>
    <s v="Comprehensive Strategic Partnership [全面战略伙伴关系]"/>
    <x v="0"/>
    <s v="CENTCOM"/>
    <x v="142"/>
    <x v="28"/>
    <n v="10"/>
    <s v="Port Call - Replenish/Overhaul"/>
    <m/>
    <m/>
    <m/>
    <m/>
    <x v="0"/>
    <m/>
    <x v="0"/>
    <m/>
    <m/>
    <m/>
    <s v="ETF"/>
    <x v="117"/>
    <s v="North Sea Fleet"/>
    <s v="DDG117 Xining FFG550 Weifang AOR968 Kekexili"/>
    <m/>
    <m/>
  </r>
  <r>
    <x v="1"/>
    <x v="8"/>
    <s v="Europe and Central Asia"/>
    <s v="Comprehensive Strategic Partnership [全面战略伙伴关系]"/>
    <x v="0"/>
    <s v="EUCOM"/>
    <x v="112"/>
    <x v="28"/>
    <n v="10"/>
    <s v="ML - Margins"/>
    <s v="Zhang Youxia"/>
    <m/>
    <s v="CMC Vice Chairman"/>
    <n v="10"/>
    <x v="2"/>
    <s v="Defense Minister; BL at Xiangshan"/>
    <x v="0"/>
    <m/>
    <m/>
    <m/>
    <m/>
    <x v="12"/>
    <m/>
    <m/>
    <s v="http://www.xinhuanet.com/2019-10/22/c_1125138601.htm "/>
    <s v="Originally a reference to a different meeting - changed location and source"/>
  </r>
  <r>
    <x v="1"/>
    <x v="1"/>
    <s v="Asia"/>
    <s v="All-Round Cooperative Partnership [全方合作伙伴关系]"/>
    <x v="0"/>
    <s v="INDOPACOM"/>
    <x v="39"/>
    <x v="28"/>
    <n v="10"/>
    <s v="BL - Hosted"/>
    <s v="Wei Fenghe"/>
    <m/>
    <s v="Defense Minister; CMC Member"/>
    <n v="8"/>
    <x v="2"/>
    <s v="Defense Minister"/>
    <x v="0"/>
    <m/>
    <m/>
    <m/>
    <m/>
    <x v="12"/>
    <m/>
    <m/>
    <s v="http://eng.mod.gov.cn/news/2019-11/01/content_4854326.htm"/>
    <s v="signing of the revised Agreement on Defense Exchanges and Security Cooperation Between the Ministry of National Defense of The People’s Republic of China and the Ministry of Defense of the Republic of Singapore"/>
  </r>
  <r>
    <x v="1"/>
    <x v="1"/>
    <s v="Asia"/>
    <s v="All-Round Cooperative Partnership [全方合作伙伴关系]"/>
    <x v="0"/>
    <s v="INDOPACOM"/>
    <x v="39"/>
    <x v="28"/>
    <n v="10"/>
    <s v="ML - Margins"/>
    <s v="Xu Qiliang"/>
    <m/>
    <s v=" CMC Vice Chairman "/>
    <n v="10"/>
    <x v="2"/>
    <s v="Defense Minister Dr. Ng Eng Hen; BL at Xiangshan"/>
    <x v="0"/>
    <m/>
    <m/>
    <m/>
    <m/>
    <x v="12"/>
    <m/>
    <m/>
    <s v="http://www.xinhuanet.com/mil/2019-10/21/c_1125132102.htm"/>
    <s v=" "/>
  </r>
  <r>
    <x v="1"/>
    <x v="4"/>
    <s v="Asia"/>
    <s v="Strategic Cooperative Partnership [战略合作伙伴关系]"/>
    <x v="3"/>
    <s v="INDOPACOM"/>
    <x v="25"/>
    <x v="28"/>
    <n v="10"/>
    <s v="BL - Hosted"/>
    <s v="Wei Fenghe"/>
    <m/>
    <s v="Defense Minister; CMC Member"/>
    <n v="8"/>
    <x v="2"/>
    <s v="Defense Minister"/>
    <x v="0"/>
    <m/>
    <m/>
    <s v="5th Strategic Defense Dialogue held between China and South Korea "/>
    <m/>
    <x v="12"/>
    <m/>
    <m/>
    <s v="http://eng.mod.gov.cn/news/2019-11/01/content_4854326.htm"/>
    <s v="Added details"/>
  </r>
  <r>
    <x v="1"/>
    <x v="10"/>
    <s v="America and Oceania"/>
    <s v="Strategic Cooperative Partnership [战略合作伙伴关系]"/>
    <x v="0"/>
    <s v="SOUTHCOM"/>
    <x v="91"/>
    <x v="28"/>
    <n v="10"/>
    <s v="ML - Margins"/>
    <s v="Wei Fenghe"/>
    <m/>
    <s v="Defense Minister; CMC Member"/>
    <n v="8"/>
    <x v="2"/>
    <s v="Defense Minister; BL at Xiangshan"/>
    <x v="0"/>
    <m/>
    <m/>
    <m/>
    <m/>
    <x v="12"/>
    <m/>
    <m/>
    <s v="http://www.gov.cn/guowuyuan/2019-10/22/content_5443690.htm"/>
    <m/>
  </r>
  <r>
    <x v="1"/>
    <x v="9"/>
    <s v="West Asia and Africa"/>
    <s v="Comprehensive Strategic Partnership [全面战略伙伴关系]"/>
    <x v="0"/>
    <s v="CENTCOM"/>
    <x v="106"/>
    <x v="28"/>
    <n v="10"/>
    <s v="BL - Hosted"/>
    <s v="Wei Fenghe"/>
    <m/>
    <s v="Defense Minister; CMC Member"/>
    <n v="8"/>
    <x v="2"/>
    <s v="Minister of State for Defence Affairs"/>
    <x v="0"/>
    <m/>
    <m/>
    <m/>
    <m/>
    <x v="12"/>
    <m/>
    <m/>
    <m/>
    <m/>
  </r>
  <r>
    <x v="1"/>
    <x v="5"/>
    <s v="America and Oceania"/>
    <s v="No Specific Relationship"/>
    <x v="0"/>
    <s v="INDOPACOM"/>
    <x v="120"/>
    <x v="28"/>
    <n v="10"/>
    <s v="ML - Margins"/>
    <s v="Wei Fenghe"/>
    <m/>
    <s v="Defense Minister; CMC Member"/>
    <n v="8"/>
    <x v="2"/>
    <s v="International Affairs Minister; BL at Xiangshan"/>
    <x v="0"/>
    <m/>
    <m/>
    <m/>
    <m/>
    <x v="12"/>
    <m/>
    <m/>
    <s v="http://www.gov.cn/guowuyuan/2019-10/22/content_5443690.htm"/>
    <m/>
  </r>
  <r>
    <x v="1"/>
    <x v="1"/>
    <s v="Asia"/>
    <s v="Comprehensive Strategic Cooperative Partnership [全面战略合作伙伴关系]"/>
    <x v="0"/>
    <s v="INDOPACOM"/>
    <x v="23"/>
    <x v="28"/>
    <n v="10"/>
    <s v="ML - Margins"/>
    <s v="Xu Qiliang"/>
    <m/>
    <s v=" CMC Vice Chairman "/>
    <n v="10"/>
    <x v="2"/>
    <s v="Defense Minister; BL at Xiangshan"/>
    <x v="0"/>
    <m/>
    <m/>
    <m/>
    <m/>
    <x v="12"/>
    <m/>
    <m/>
    <s v="http://www.xinhuanet.com/mil/2019-10/21/c_1125132102.htm"/>
    <s v="Added source"/>
  </r>
  <r>
    <x v="1"/>
    <x v="1"/>
    <s v="Asia"/>
    <s v="Strategic Partnership [战略伙伴关系] for Peace and Prosperity"/>
    <x v="0"/>
    <s v="INDOPACOM"/>
    <x v="153"/>
    <x v="28"/>
    <n v="11"/>
    <s v="ML - Abroad"/>
    <s v="Wei Fenghe"/>
    <m/>
    <s v="Defense Minister; CMC Member"/>
    <n v="8"/>
    <x v="1"/>
    <s v="6th ADMM+;Defense Secretary"/>
    <x v="0"/>
    <m/>
    <m/>
    <m/>
    <m/>
    <x v="12"/>
    <m/>
    <m/>
    <s v="http://www.xinhuanet.com/2019-11/18/c_1125246416.htm"/>
    <s v="ADMM+; corrected partnership name"/>
  </r>
  <r>
    <x v="1"/>
    <x v="1"/>
    <s v="Asia"/>
    <s v="Strategic Partnership [战略伙伴关系] for Peace and Prosperity"/>
    <x v="0"/>
    <s v="INDOPACOM"/>
    <x v="153"/>
    <x v="28"/>
    <n v="11"/>
    <s v="ML - Abroad"/>
    <s v="Wei Fenghe"/>
    <m/>
    <s v="Defense Minister; CMC Member"/>
    <n v="8"/>
    <x v="1"/>
    <s v="Ninth China-ASEAN Defense Ministers' Informal Meeting in Bangkok"/>
    <x v="0"/>
    <m/>
    <m/>
    <m/>
    <m/>
    <x v="12"/>
    <m/>
    <m/>
    <s v="http://www.xinhuanet.com/english/2019-11/17/c_138561957.htm"/>
    <s v="corrected partnership to strategic partnership for peace and prosperity"/>
  </r>
  <r>
    <x v="2"/>
    <x v="1"/>
    <s v="Asia"/>
    <s v="Strategic Partnership [战略伙伴关系] for Peace and Prosperity"/>
    <x v="0"/>
    <s v="INDOPACOM"/>
    <x v="153"/>
    <x v="28"/>
    <n v="11"/>
    <s v="Military Exercise - Multilateral"/>
    <m/>
    <m/>
    <m/>
    <m/>
    <x v="0"/>
    <m/>
    <x v="1"/>
    <s v="ADMM Plus Joint Counter-terrorism drill"/>
    <s v="Army"/>
    <s v="Southern Theater Command; Other countries: 10 ASEAN countries + China, US, Russia, India"/>
    <m/>
    <x v="12"/>
    <m/>
    <m/>
    <s v="http://www.globaltimes.cn/content/1169981.shtml"/>
    <s v="Added source, updated drill details, recategorized as multilateral; corrected partnership name"/>
  </r>
  <r>
    <x v="1"/>
    <x v="5"/>
    <s v="America and Oceania"/>
    <s v="Comprehensive Strategic Partnership [全面战略伙伴关系]"/>
    <x v="4"/>
    <s v="INDOPACOM"/>
    <x v="12"/>
    <x v="28"/>
    <n v="11"/>
    <s v="ML - Margins"/>
    <s v="Wei Fenghe"/>
    <m/>
    <s v="Defense Minister; CMC Member"/>
    <n v="8"/>
    <x v="1"/>
    <s v="Defense Secretary; BL at ADMM+"/>
    <x v="0"/>
    <m/>
    <m/>
    <m/>
    <m/>
    <x v="12"/>
    <m/>
    <m/>
    <s v="http://www.xinhuanet.com/2019-11/18/c_1125246416.htm"/>
    <m/>
  </r>
  <r>
    <x v="1"/>
    <x v="5"/>
    <s v="America and Oceania"/>
    <s v="Comprehensive Strategic Partnership [全面战略伙伴关系]"/>
    <x v="4"/>
    <s v="INDOPACOM"/>
    <x v="12"/>
    <x v="28"/>
    <n v="11"/>
    <s v="BL - Abroad"/>
    <s v="Li Zuocheng"/>
    <m/>
    <s v="CMC/JSD Commander; CMC Member"/>
    <n v="8"/>
    <x v="1"/>
    <s v="Defense Secretary"/>
    <x v="0"/>
    <m/>
    <m/>
    <s v="22nd defense strategic dialogue "/>
    <m/>
    <x v="12"/>
    <m/>
    <m/>
    <s v="http://www.xinhuanet.com/world/2019-11/15/c_1125236542.htm"/>
    <m/>
  </r>
  <r>
    <x v="1"/>
    <x v="0"/>
    <s v="Asia"/>
    <s v="Strategic Cooperative Partnership [战略合作伙伴关系]"/>
    <x v="0"/>
    <s v="INDOPACOM"/>
    <x v="0"/>
    <x v="28"/>
    <n v="11"/>
    <s v="BL - Hosted"/>
    <s v="Wei Fenghe"/>
    <m/>
    <s v="Defense Minister; CMC Member"/>
    <n v="8"/>
    <x v="2"/>
    <s v="Chief of Bangladesh Army Staff"/>
    <x v="0"/>
    <m/>
    <m/>
    <m/>
    <m/>
    <x v="12"/>
    <m/>
    <m/>
    <s v="http://www.xinhuanet.com/mil/2019-11/06/c_1210343454.htm"/>
    <s v="Added source"/>
  </r>
  <r>
    <x v="1"/>
    <x v="5"/>
    <s v="America and Oceania"/>
    <s v="Comprehensive Strategic Partnership [全面战略伙伴关系]"/>
    <x v="0"/>
    <s v="INDOPACOM"/>
    <x v="128"/>
    <x v="28"/>
    <n v="11"/>
    <s v="BL - Abroad"/>
    <s v="Li Zuocheng"/>
    <m/>
    <s v="CMC/JSD Commander; CMC Member"/>
    <n v="8"/>
    <x v="2"/>
    <s v="Prime Minister"/>
    <x v="0"/>
    <m/>
    <m/>
    <m/>
    <m/>
    <x v="12"/>
    <m/>
    <m/>
    <s v="http://www.xinhuanet.com/world/2019-11/12/c_1125221813.htm"/>
    <s v="Added source"/>
  </r>
  <r>
    <x v="0"/>
    <x v="5"/>
    <s v="America and Oceania"/>
    <s v="Comprehensive Strategic Partnership [全面战略伙伴关系]"/>
    <x v="0"/>
    <s v="INDOPACOM"/>
    <x v="128"/>
    <x v="28"/>
    <n v="11"/>
    <s v="Port Call - Friendly Visit"/>
    <m/>
    <m/>
    <m/>
    <m/>
    <x v="0"/>
    <m/>
    <x v="0"/>
    <m/>
    <m/>
    <m/>
    <s v="NETF"/>
    <x v="116"/>
    <s v="South Sea Fleet"/>
    <s v="Qi Jiguang training ship"/>
    <s v="http://eng.chinamil.com.cn/view/2019-10/28/content_9662812.htm"/>
    <s v="Added source and changed month; coded as Oceania"/>
  </r>
  <r>
    <x v="1"/>
    <x v="8"/>
    <s v="Europe and Central Asia"/>
    <s v="Comprehensive Strategic Partnership [全面战略伙伴关系]"/>
    <x v="5"/>
    <s v="EUCOM"/>
    <x v="82"/>
    <x v="28"/>
    <n v="11"/>
    <s v="BL - Hosted"/>
    <s v="Wei Fenghe"/>
    <m/>
    <s v="Defense Minister; CMC Member"/>
    <n v="8"/>
    <x v="2"/>
    <s v="Defense Minister"/>
    <x v="0"/>
    <m/>
    <m/>
    <m/>
    <m/>
    <x v="12"/>
    <m/>
    <m/>
    <s v="http://www.xinhuanet.com/2019-11/26/c_1125277668.htm"/>
    <s v="Added source"/>
  </r>
  <r>
    <x v="1"/>
    <x v="1"/>
    <s v="Asia"/>
    <s v="Comprehensive Strategic Partnership [全面战略伙伴关系]"/>
    <x v="0"/>
    <s v="INDOPACOM"/>
    <x v="8"/>
    <x v="28"/>
    <n v="11"/>
    <s v="ML - Margins"/>
    <s v="Wei Fenghe"/>
    <m/>
    <s v="Defense Minister; CMC Member"/>
    <n v="8"/>
    <x v="1"/>
    <s v="Defense Chief; BL at ADMM+"/>
    <x v="0"/>
    <m/>
    <m/>
    <m/>
    <m/>
    <x v="12"/>
    <m/>
    <m/>
    <s v="http://www.xinhuanet.com/2019-11/18/c_1125246416.htm"/>
    <s v="Added source"/>
  </r>
  <r>
    <x v="1"/>
    <x v="1"/>
    <s v="Asia"/>
    <s v="Comprehensive Strategic Cooperative Partnership [全面战略合作伙伴关系]"/>
    <x v="0"/>
    <s v="INDOPACOM"/>
    <x v="52"/>
    <x v="28"/>
    <n v="11"/>
    <s v="BL - Abroad"/>
    <s v="Wei Fenghe"/>
    <m/>
    <s v="Defense Minister; CMC Member"/>
    <n v="8"/>
    <x v="2"/>
    <s v="President"/>
    <x v="0"/>
    <m/>
    <m/>
    <m/>
    <m/>
    <x v="12"/>
    <m/>
    <m/>
    <s v="http://www.xinhuanet.com/english/2019-11/15/c_138557129.htm"/>
    <s v="Changed position of counterpart"/>
  </r>
  <r>
    <x v="1"/>
    <x v="1"/>
    <s v="Asia"/>
    <s v="Comprehensive Strategic Partnership [全面战略伙伴关系]"/>
    <x v="0"/>
    <s v="INDOPACOM"/>
    <x v="10"/>
    <x v="28"/>
    <n v="11"/>
    <s v="ML - Margins"/>
    <s v="Wei Fenghe"/>
    <m/>
    <s v="Defense Minister; CMC Member"/>
    <n v="8"/>
    <x v="1"/>
    <s v="Defense Chief; BL at ADMM+ "/>
    <x v="0"/>
    <m/>
    <m/>
    <m/>
    <m/>
    <x v="12"/>
    <m/>
    <m/>
    <s v="http://www.xinhuanet.com/2019-11/18/c_1125246416.htm"/>
    <s v="Gave all information about meeting but participants"/>
  </r>
  <r>
    <x v="1"/>
    <x v="5"/>
    <s v="America and Oceania"/>
    <s v="Comprehensive Strategic Partnership [全面战略伙伴关系]"/>
    <x v="4"/>
    <s v="INDOPACOM"/>
    <x v="13"/>
    <x v="28"/>
    <n v="11"/>
    <s v="ML - Margins"/>
    <s v="Wei Fenghe"/>
    <m/>
    <s v="Defense Minister; CMC Member"/>
    <n v="8"/>
    <x v="1"/>
    <s v="Defense Minister; BL at ADMM+"/>
    <x v="0"/>
    <m/>
    <m/>
    <m/>
    <m/>
    <x v="12"/>
    <m/>
    <m/>
    <s v="http://www.xinhuanet.com/2019-11/18/c_1125246416.htm"/>
    <m/>
  </r>
  <r>
    <x v="1"/>
    <x v="5"/>
    <s v="America and Oceania"/>
    <s v="Comprehensive Strategic Partnership [全面战略伙伴关系]"/>
    <x v="4"/>
    <s v="INDOPACOM"/>
    <x v="13"/>
    <x v="28"/>
    <n v="11"/>
    <s v="BL - Abroad"/>
    <s v="Li Zuocheng"/>
    <m/>
    <s v="CMC/JSD Commander; CMC Member"/>
    <n v="8"/>
    <x v="1"/>
    <s v="Chief of NZ Defense Force"/>
    <x v="0"/>
    <m/>
    <m/>
    <s v="10th strategic dialogue "/>
    <m/>
    <x v="12"/>
    <m/>
    <m/>
    <s v="http://www.xinhuanet.com/world/2019-11/09/c_1125212142.htm"/>
    <s v="PCS: ordinarily these dialogues would not be included, but this one is at a higher level on th New Zealand side. Added source"/>
  </r>
  <r>
    <x v="1"/>
    <x v="3"/>
    <s v="Europe and Central Asia"/>
    <s v="Comprehensive Strategic Partnership of Coordination in the New Era [新时代中俄全面战略协作伙伴关系]"/>
    <x v="0"/>
    <s v="EUCOM"/>
    <x v="7"/>
    <x v="28"/>
    <n v="11"/>
    <s v="BL - Hosted"/>
    <s v="Wei Fenghe"/>
    <m/>
    <s v="Defense Minister; CMC Member"/>
    <n v="8"/>
    <x v="2"/>
    <s v="Deputy Director Federal Security Service "/>
    <x v="0"/>
    <m/>
    <m/>
    <m/>
    <m/>
    <x v="12"/>
    <m/>
    <m/>
    <s v="http://www.xinhuanet.com/mil/2019-11/21/c_1210363767.htm"/>
    <s v="Added source"/>
  </r>
  <r>
    <x v="2"/>
    <x v="9"/>
    <s v="West Asia and Africa"/>
    <s v="Comprehensive Strategic Partnership [全面战略伙伴关系]"/>
    <x v="0"/>
    <s v="CENTCOM"/>
    <x v="142"/>
    <x v="28"/>
    <n v="11"/>
    <s v="Military Exercise - Bilateral"/>
    <m/>
    <m/>
    <m/>
    <m/>
    <x v="0"/>
    <m/>
    <x v="2"/>
    <s v="Blue Sword 2019"/>
    <s v="Navy"/>
    <m/>
    <m/>
    <x v="12"/>
    <m/>
    <m/>
    <s v="http://eng.chinamil.com.cn/view/2019-11/20/content_9679466.htm"/>
    <m/>
  </r>
  <r>
    <x v="2"/>
    <x v="7"/>
    <s v="West Asia and Africa"/>
    <s v="Comprehensive Strategic Partnership [全面战略伙伴关系]"/>
    <x v="0"/>
    <s v="AFRICOM"/>
    <x v="15"/>
    <x v="28"/>
    <n v="11"/>
    <s v="Military Exercise - Multilateral"/>
    <m/>
    <m/>
    <m/>
    <m/>
    <x v="0"/>
    <m/>
    <x v="3"/>
    <s v="Mosi "/>
    <s v="Navy"/>
    <s v="first Russia-China-South Africa TL exercise; guided-missile frigate Weifang;  surface gunnery exercise, helicopter cross-deck landings "/>
    <m/>
    <x v="12"/>
    <m/>
    <m/>
    <s v="https://www.navyrecognition.com/index.php/news/defence-news/2019/november/7732-joint-naval-military-exercise-code-named-mosi-in-south-africa.html"/>
    <s v="TL exercise CODED as South Africa because of the location of the exercise"/>
  </r>
  <r>
    <x v="1"/>
    <x v="4"/>
    <s v="Asia"/>
    <s v="Strategic Cooperative Partnership [战略合作伙伴关系]"/>
    <x v="3"/>
    <s v="INDOPACOM"/>
    <x v="25"/>
    <x v="28"/>
    <n v="11"/>
    <s v="ML - Margins"/>
    <s v="Wei Fenghe"/>
    <m/>
    <s v="Defense Minister; CMC Member"/>
    <n v="8"/>
    <x v="1"/>
    <s v="Defense Minister; BL at ADMM+"/>
    <x v="0"/>
    <m/>
    <m/>
    <m/>
    <m/>
    <x v="12"/>
    <m/>
    <m/>
    <s v="http://www.xinhuanet.com/2019-11/18/c_1125246416.htm"/>
    <m/>
  </r>
  <r>
    <x v="1"/>
    <x v="1"/>
    <s v="Asia"/>
    <s v="Comprehensive Strategic Cooperative Partnership [全面战略合作伙伴关系]"/>
    <x v="3"/>
    <s v="INDOPACOM"/>
    <x v="5"/>
    <x v="28"/>
    <n v="11"/>
    <s v="BL - Abroad"/>
    <s v="Wei Fenghe"/>
    <m/>
    <s v="Defense Minister; CMC Member"/>
    <n v="8"/>
    <x v="1"/>
    <s v="Prime Minister; BL at ADMM+"/>
    <x v="0"/>
    <m/>
    <m/>
    <m/>
    <m/>
    <x v="12"/>
    <m/>
    <m/>
    <s v="http://www.xinhuanet.com/world/2019-11/17/c_1125242224.htm; http://www.xinhuanet.com/english/2019-11/17/c_138562358.htm"/>
    <s v="Added source, updated counterpart to PM; PCS changed to &quot;BL abroad&quot; because Wei came a day early for meeting with Thai MOD"/>
  </r>
  <r>
    <x v="1"/>
    <x v="2"/>
    <s v="America and Oceania"/>
    <s v="No Specific Relationship"/>
    <x v="2"/>
    <s v="NORTHCOM"/>
    <x v="4"/>
    <x v="28"/>
    <n v="11"/>
    <s v="ML - Margins"/>
    <s v="Wei Fenghe"/>
    <m/>
    <s v="Defense Minister; CMC Member"/>
    <n v="8"/>
    <x v="1"/>
    <s v="Secretary of Defense; BL at ADMM+"/>
    <x v="0"/>
    <m/>
    <m/>
    <m/>
    <m/>
    <x v="12"/>
    <m/>
    <m/>
    <s v="http://www.xinhuanet.com/world/2019-11/18/c_1125246591.htm"/>
    <s v="Added source"/>
  </r>
  <r>
    <x v="2"/>
    <x v="2"/>
    <s v="America and Oceania"/>
    <s v="No Specific Relationship"/>
    <x v="2"/>
    <s v="NORTHCOM"/>
    <x v="4"/>
    <x v="28"/>
    <n v="11"/>
    <s v="Military Exercise - Bilateral"/>
    <m/>
    <m/>
    <m/>
    <m/>
    <x v="0"/>
    <m/>
    <x v="2"/>
    <s v="15th China-US Disaster Management Exchange"/>
    <s v="Army"/>
    <s v="Hawaii; HADR academic discussion, TTX, and field exchange"/>
    <m/>
    <x v="12"/>
    <m/>
    <m/>
    <s v="http://www.xinhuanet.com/2019-11/19/c_1125248816.htm; https://www.army.mil/article/230491/us_china_hold_15th_annual_disaster_management_exchange"/>
    <m/>
  </r>
  <r>
    <x v="2"/>
    <x v="9"/>
    <s v="West Asia and Africa"/>
    <s v="Strategic Partnership [战略伙伴关系]"/>
    <x v="0"/>
    <s v="CENTCOM"/>
    <x v="119"/>
    <x v="28"/>
    <n v="12"/>
    <s v="Military Exercise - Bilateral"/>
    <m/>
    <m/>
    <m/>
    <m/>
    <x v="0"/>
    <m/>
    <x v="2"/>
    <s v="Bright Eyes Operation"/>
    <s v="Army"/>
    <s v="Medical Service Operation"/>
    <m/>
    <x v="12"/>
    <m/>
    <m/>
    <s v="http://www.mod.gov.cn/jzhzt/2019-11/28/content_4855867.htm"/>
    <s v="Added source"/>
  </r>
  <r>
    <x v="2"/>
    <x v="0"/>
    <s v="Asia"/>
    <s v="Strategic Partnership for Peace and Prosperity [战略伙伴关系]"/>
    <x v="0"/>
    <s v="INDOPACOM"/>
    <x v="6"/>
    <x v="28"/>
    <n v="12"/>
    <s v="Military Exercise - Bilateral"/>
    <m/>
    <m/>
    <m/>
    <m/>
    <x v="0"/>
    <m/>
    <x v="1"/>
    <s v="Hand-in-Hand Exercise "/>
    <s v="Army"/>
    <s v="joint counterterrorism drills, semi-urban environment, "/>
    <m/>
    <x v="12"/>
    <m/>
    <m/>
    <s v="https://thediplomat.com/2019/12/hand-in-hand-2019-indian-and-chinese-armies-come-together-for-joint-military-exercise/"/>
    <s v="Added source, drill details"/>
  </r>
  <r>
    <x v="1"/>
    <x v="1"/>
    <s v="Asia"/>
    <s v="Comprehensive Strategic Partnership [全面战略伙伴关系]"/>
    <x v="0"/>
    <s v="INDOPACOM"/>
    <x v="8"/>
    <x v="28"/>
    <n v="12"/>
    <s v="BL - Hosted"/>
    <s v="Xu Qiliang"/>
    <m/>
    <s v="CMC Vice Chairman"/>
    <n v="10"/>
    <x v="2"/>
    <s v="Indonesian Minister of Defense Prabowo Subianto"/>
    <x v="0"/>
    <m/>
    <m/>
    <m/>
    <m/>
    <x v="12"/>
    <m/>
    <m/>
    <s v="http://eng.mod.gov.cn/news/2019-12/17/content_4856899.htm"/>
    <s v="Updated highest ranking counterpart"/>
  </r>
  <r>
    <x v="2"/>
    <x v="9"/>
    <s v="West Asia and Africa"/>
    <s v="Comprehensive Strategic Partnership [全面战略伙伴关系]"/>
    <x v="0"/>
    <s v="CENTCOM"/>
    <x v="89"/>
    <x v="28"/>
    <n v="12"/>
    <s v="Military Exercise - Multilateral"/>
    <m/>
    <m/>
    <m/>
    <m/>
    <x v="0"/>
    <m/>
    <x v="4"/>
    <s v="Marine Security Belt"/>
    <s v="Navy"/>
    <s v="Xining, guided missile destroyer "/>
    <m/>
    <x v="12"/>
    <m/>
    <m/>
    <s v="https://www.cnn.com/2019/12/27/asia/china-russia-iran-military-drills-intl-hnk/index.html"/>
    <m/>
  </r>
  <r>
    <x v="2"/>
    <x v="3"/>
    <s v="Europe and Central Asia"/>
    <s v="Comprehensive Strategic Partnership of Coordination in the New Era [新时代中俄全面战略协作伙伴关系]"/>
    <x v="0"/>
    <s v="EUCOM"/>
    <x v="89"/>
    <x v="28"/>
    <n v="12"/>
    <s v="Military Exercise - Multilateral"/>
    <m/>
    <m/>
    <m/>
    <m/>
    <x v="0"/>
    <m/>
    <x v="3"/>
    <s v="Operation Marine Security Belt"/>
    <s v="Navy"/>
    <s v="Gulf of Oman security, anti-piracy, anti-terrorism, combat, tactical drills. 4 days. Other country: Iran"/>
    <m/>
    <x v="12"/>
    <m/>
    <m/>
    <s v="https://www.cnn.com/2019/12/27/asia/china-russia-iran-military-drills-intl-hnk/index.html"/>
    <s v="TL exercise RECODED with Iran as the lead partner because of location of the exercise."/>
  </r>
  <r>
    <x v="1"/>
    <x v="4"/>
    <s v="Asia"/>
    <s v="Mutually Beneficial Strategic Relationship [战略互惠关系]"/>
    <x v="3"/>
    <s v="INDOPACOM"/>
    <x v="83"/>
    <x v="28"/>
    <n v="12"/>
    <s v="BL - Hosted"/>
    <s v="Xu Qiliang"/>
    <m/>
    <s v="CMC Vice Chairman"/>
    <n v="10"/>
    <x v="2"/>
    <s v="Japanese Defense Minister Taro Kono"/>
    <x v="0"/>
    <m/>
    <m/>
    <m/>
    <m/>
    <x v="12"/>
    <m/>
    <m/>
    <s v="http://eng.mod.gov.cn/news/2019-12/18/content_4857053.htm"/>
    <s v="Updated highest ranking counterpart"/>
  </r>
  <r>
    <x v="0"/>
    <x v="7"/>
    <s v="West Asia and Africa"/>
    <s v="Comprehensive Cooperative Partnership [全面合作伙伴关系]"/>
    <x v="0"/>
    <s v="AFRICOM"/>
    <x v="47"/>
    <x v="28"/>
    <n v="12"/>
    <s v="Port Call - Replenish/Overhaul"/>
    <m/>
    <m/>
    <m/>
    <m/>
    <x v="0"/>
    <m/>
    <x v="0"/>
    <m/>
    <m/>
    <m/>
    <s v="ETF"/>
    <x v="117"/>
    <s v="North Sea Fleet"/>
    <s v="DDG117 Xining FFG550 Weifang AOR968 Kekexili"/>
    <m/>
    <m/>
  </r>
  <r>
    <x v="2"/>
    <x v="0"/>
    <s v="Asia"/>
    <s v="All-Weather Strategic Cooperative Partnership [全天候战略合作伙伴关系]"/>
    <x v="1"/>
    <s v="CENTCOM"/>
    <x v="2"/>
    <x v="28"/>
    <n v="12"/>
    <s v="Military Exercise - Bilateral"/>
    <m/>
    <m/>
    <m/>
    <m/>
    <x v="0"/>
    <m/>
    <x v="3"/>
    <s v="Sharp Sword-2019"/>
    <s v="Army"/>
    <s v="Joint training with Pakistani Air Defense troops. Comprehensive, consecutive drills were conduncted in the last pase of the training. "/>
    <m/>
    <x v="12"/>
    <m/>
    <m/>
    <s v="http://www.js7tv.cn/video/201912_201883.html; http://tv.81.cn/jshjj/2019-12/20/content_9700730.htm"/>
    <s v="ADD. Accidentally Omitted from 3.01"/>
  </r>
  <r>
    <x v="1"/>
    <x v="0"/>
    <s v="Asia"/>
    <s v="All-Weather Strategic Cooperative Partnership [全天候战略合作伙伴关系]"/>
    <x v="1"/>
    <s v="CENTCOM"/>
    <x v="2"/>
    <x v="28"/>
    <n v="12"/>
    <s v="BL - Hosted"/>
    <s v="Wei Fenghe"/>
    <m/>
    <s v="Defense Minister; CMC Member"/>
    <n v="8"/>
    <x v="2"/>
    <s v="Air Chief Marshal Mujahid Anwar Khan, Chief of the Air Staff of Pakistan Air Force"/>
    <x v="0"/>
    <m/>
    <m/>
    <m/>
    <m/>
    <x v="12"/>
    <m/>
    <m/>
    <s v="http://eng.mod.gov.cn/news/2019-12/17/content_4856979.htm"/>
    <m/>
  </r>
  <r>
    <x v="2"/>
    <x v="0"/>
    <s v="Asia"/>
    <s v="All-Weather Strategic Cooperative Partnership [全天候战略合作伙伴关系]"/>
    <x v="1"/>
    <s v="CENTCOM"/>
    <x v="2"/>
    <x v="28"/>
    <n v="12"/>
    <s v="Military Exercise - Bilateral"/>
    <m/>
    <m/>
    <m/>
    <m/>
    <x v="0"/>
    <m/>
    <x v="1"/>
    <s v="Warrior-VII"/>
    <s v="Army"/>
    <s v="Monthlong, counter-terrorism and target defense"/>
    <m/>
    <x v="12"/>
    <m/>
    <m/>
    <s v="http://eng.chinamil.com.cn/view/2019-12/06/content_9691028.htm"/>
    <s v="Added source, branch, drill details"/>
  </r>
  <r>
    <x v="0"/>
    <x v="7"/>
    <s v="West Asia and Africa"/>
    <s v="Comprehensive Strategic Partnership [全面战略伙伴关系]"/>
    <x v="0"/>
    <s v="AFRICOM"/>
    <x v="15"/>
    <x v="28"/>
    <n v="12"/>
    <s v="Port Call - Friendly Visit"/>
    <m/>
    <m/>
    <m/>
    <m/>
    <x v="0"/>
    <m/>
    <x v="0"/>
    <m/>
    <m/>
    <m/>
    <s v="ETF"/>
    <x v="117"/>
    <s v="North Sea Fleet"/>
    <s v="DDG117 Xining FFG550 Weifang AOR968 Kekexili"/>
    <m/>
    <m/>
  </r>
  <r>
    <x v="2"/>
    <x v="7"/>
    <s v="West Asia and Africa"/>
    <s v="Comprehensive Cooperative Partnership [全面合作伙伴关系]"/>
    <x v="0"/>
    <s v="AFRICOM"/>
    <x v="16"/>
    <x v="28"/>
    <n v="12"/>
    <s v="Military Exercise - Bilateral"/>
    <m/>
    <m/>
    <m/>
    <m/>
    <x v="0"/>
    <m/>
    <x v="3"/>
    <s v="Sincere Partners"/>
    <s v="Army"/>
    <s v="the exchange of combat experience and skills, joint actual-troop drill and command post exercise; elements of 73 GA"/>
    <m/>
    <x v="12"/>
    <m/>
    <m/>
    <s v="http://english.pladaily.com.cn/view/2019-12/30/content_9706488.htm"/>
    <m/>
  </r>
  <r>
    <x v="1"/>
    <x v="2"/>
    <s v="America and Oceania"/>
    <s v="No Specific Relationship"/>
    <x v="2"/>
    <s v="NORTHCOM"/>
    <x v="4"/>
    <x v="28"/>
    <n v="12"/>
    <s v="BL - Hosted"/>
    <s v="Xu Qiliang"/>
    <m/>
    <s v="CMC Vice Chairman"/>
    <n v="10"/>
    <x v="2"/>
    <s v="Former Secretary of State Kissinger"/>
    <x v="0"/>
    <m/>
    <m/>
    <m/>
    <m/>
    <x v="12"/>
    <m/>
    <m/>
    <s v="http://www.xinhuanet.com/politics/2019-11/22/c_1125264635.htm"/>
    <m/>
  </r>
  <r>
    <x v="1"/>
    <x v="0"/>
    <s v="Asia"/>
    <s v="Strategic Partnership for Peace and Prosperity [战略伙伴关系]"/>
    <x v="0"/>
    <s v="INDOPACOM"/>
    <x v="6"/>
    <x v="29"/>
    <n v="1"/>
    <s v="BL - Hosted"/>
    <s v="Han Weiguo"/>
    <m/>
    <s v="PLAA Commander"/>
    <n v="6"/>
    <x v="2"/>
    <s v="India Northern Army Commander "/>
    <x v="0"/>
    <m/>
    <m/>
    <m/>
    <m/>
    <x v="12"/>
    <m/>
    <m/>
    <s v="https://economictimes.indiatimes.com/news/defence/northern-army-commander-on-china-visit-meets-plas-ground-forces-commander/articleshow/73157296.cms"/>
    <m/>
  </r>
  <r>
    <x v="2"/>
    <x v="0"/>
    <s v="Asia"/>
    <s v="All-Weather Strategic Cooperative Partnership [全天候战略合作伙伴关系]"/>
    <x v="1"/>
    <s v="CENTCOM"/>
    <x v="2"/>
    <x v="29"/>
    <n v="1"/>
    <s v="Military Exercise - Bilateral"/>
    <m/>
    <m/>
    <m/>
    <m/>
    <x v="0"/>
    <m/>
    <x v="3"/>
    <s v="Sea Guardians Naval Exercise"/>
    <s v="Navy"/>
    <s v="Northern Arabian Sea exercise that ended in Karachi. Largest joint exercise with Pakistan to date. Says counterterror but lots of maritime ops, to include anti-sub, anti-aircraft, and anti-missile; PLAN participants from ETF-34 did this exercise en route to Gulf of Aden"/>
    <m/>
    <x v="12"/>
    <m/>
    <m/>
    <s v="http://www.81.cn/jfjbmap/content/2020-01/07/content_251619.htm; https://navalpost.com/chinese-naval-escort-task-group-returns-home/"/>
    <m/>
  </r>
  <r>
    <x v="2"/>
    <x v="1"/>
    <s v="Asia"/>
    <s v="Comprehensive Strategic Partnership [全面战略伙伴关系]"/>
    <x v="3"/>
    <s v="INDOPACOM"/>
    <x v="11"/>
    <x v="29"/>
    <n v="1"/>
    <s v="Military Exercise - Bilateral"/>
    <m/>
    <m/>
    <m/>
    <m/>
    <x v="0"/>
    <m/>
    <x v="2"/>
    <m/>
    <s v="Coast Guard "/>
    <s v="Coast Guard SAREX; combating fire at sea; improving interoperability"/>
    <m/>
    <x v="12"/>
    <m/>
    <s v="Series of friendship activities for China-Philippine Joint Coast Guard Committee on Maritime Cooperation Third Session "/>
    <s v="http://eng.chinamil.com.cn/view/2020-01/15/content_9718029.htm; http://eng.chinamil.com.cn/view/2020-01/16/content_9718789.htm"/>
    <m/>
  </r>
  <r>
    <x v="0"/>
    <x v="9"/>
    <s v="West Asia and Africa"/>
    <s v="Comprehensive Strategic Partnership [全面战略伙伴关系]"/>
    <x v="0"/>
    <s v="CENTCOM"/>
    <x v="106"/>
    <x v="29"/>
    <n v="1"/>
    <s v="Port Call - Friendly Visit"/>
    <m/>
    <m/>
    <m/>
    <m/>
    <x v="0"/>
    <m/>
    <x v="0"/>
    <m/>
    <m/>
    <m/>
    <s v="ETF"/>
    <x v="117"/>
    <s v="North Sea Fleet"/>
    <s v="DDG117 Xining FFG550 Weifang AOR968 Kekexili"/>
    <s v="http://eng.chinamil.com.cn/view/2020-03/26/content_9778165.htm; http://navy.81.cn/content/2020-02/01/content_9729507.htm"/>
    <s v="Port call on way home after Aden CP deployment"/>
  </r>
  <r>
    <x v="0"/>
    <x v="0"/>
    <s v="Asia "/>
    <s v="Strategic Cooperative Partnership [战略合作伙伴关系]"/>
    <x v="0"/>
    <s v="INDOPACOM"/>
    <x v="0"/>
    <x v="29"/>
    <n v="2"/>
    <s v="Port Call - Friendly Visit"/>
    <m/>
    <m/>
    <m/>
    <m/>
    <x v="0"/>
    <m/>
    <x v="0"/>
    <m/>
    <m/>
    <m/>
    <s v="ETF"/>
    <x v="117"/>
    <s v="North Sea Fleet"/>
    <s v="DDG117 Xining FFG550 Weifang AOR968 Kekexili"/>
    <s v="http://eng.chinamil.com.cn/view/2020-03/26/content_9778165.htm"/>
    <s v="Port call on way home after Aden CP deployment"/>
  </r>
  <r>
    <x v="2"/>
    <x v="0"/>
    <s v="Asia"/>
    <s v="Comprehensive Strategic Cooperative Partnership [全面战略合作伙伴关系]"/>
    <x v="3"/>
    <s v="INDOPACOM"/>
    <x v="5"/>
    <x v="29"/>
    <n v="2"/>
    <s v="Military Exercise - Multilateral"/>
    <m/>
    <m/>
    <m/>
    <m/>
    <x v="0"/>
    <m/>
    <x v="2"/>
    <s v="Cobra Gold 2020"/>
    <s v="Army"/>
    <s v="25 personnel from PLAA 75h GA trained in Engineering &amp; construction, support and demolition tasks, and maritime rescue"/>
    <m/>
    <x v="12"/>
    <m/>
    <m/>
    <s v="http://www.81.cn/jfjbmap/content/2020-02/23/content_254718.htm"/>
    <m/>
  </r>
  <r>
    <x v="2"/>
    <x v="1"/>
    <s v="Asia"/>
    <s v="Comprehensive Strategic Cooperative Partnership [全面战略合作伙伴关系]"/>
    <x v="0"/>
    <s v="INDOPACOM"/>
    <x v="94"/>
    <x v="29"/>
    <n v="3"/>
    <s v="Military Exercise - Bilateral"/>
    <m/>
    <m/>
    <m/>
    <m/>
    <x v="0"/>
    <m/>
    <x v="1"/>
    <s v="Golden Dragon 2020"/>
    <s v="Army"/>
    <s v="*1st joint exercise post COVID-19 outbreak…265 member Chinese contingent participated in mixed training and couter-terror, reconnaissance, and firepower attack"/>
    <m/>
    <x v="12"/>
    <m/>
    <m/>
    <s v="http://www.xinhuanet.com/world/2020-03/15/c_1125716729.htm"/>
    <m/>
  </r>
  <r>
    <x v="1"/>
    <x v="1"/>
    <s v="Asia"/>
    <s v="All-Round Cooperative Partnership [全方合作伙伴关系]"/>
    <x v="0"/>
    <s v="INDOPACOM"/>
    <x v="39"/>
    <x v="29"/>
    <n v="3"/>
    <s v="BL - Virtual"/>
    <s v="Wei Fenghe"/>
    <m/>
    <s v="Defense Minister; CMC Member"/>
    <n v="8"/>
    <x v="4"/>
    <s v="Dr. Ng Eng"/>
    <x v="0"/>
    <m/>
    <m/>
    <m/>
    <m/>
    <x v="12"/>
    <m/>
    <m/>
    <s v="http://www.81.cn/jwywpd/2020-03/30/content_9780936.htm"/>
    <m/>
  </r>
  <r>
    <x v="0"/>
    <x v="1"/>
    <s v="Asia "/>
    <s v="Comprehensive Strategic Cooperative Partnership [全面战略合作伙伴关系]"/>
    <x v="3"/>
    <s v="INDOPACOM"/>
    <x v="5"/>
    <x v="29"/>
    <n v="3"/>
    <s v="Port Call - Friendly Visit"/>
    <m/>
    <m/>
    <m/>
    <m/>
    <x v="0"/>
    <m/>
    <x v="0"/>
    <m/>
    <m/>
    <m/>
    <s v="ETF"/>
    <x v="117"/>
    <s v="North Sea Fleet"/>
    <s v="DDG117 Xining FFG550 Weifang AOR968 Kekexili"/>
    <s v="http://eng.chinamil.com.cn/view/2020-03/26/content_9778165.htm"/>
    <s v="Port call on way home after Aden CP deployment; LAST PLAN &quot;friendly visit&quot; port call through 2022"/>
  </r>
  <r>
    <x v="1"/>
    <x v="2"/>
    <s v="America and Oceania"/>
    <s v="No Specific Relationship"/>
    <x v="2"/>
    <s v="NORTHCOM"/>
    <x v="4"/>
    <x v="29"/>
    <n v="3"/>
    <s v="BL - Virtual"/>
    <s v="Wei Fenghe"/>
    <m/>
    <s v="Defense Minister; CMC Member"/>
    <n v="8"/>
    <x v="4"/>
    <s v="Secretary of Defense Esper"/>
    <x v="0"/>
    <m/>
    <m/>
    <m/>
    <m/>
    <x v="12"/>
    <m/>
    <m/>
    <s v="https://www.defense.gov/Newsroom/Releases/Release/Article/2101487/readout-of-secretary-of-defense-dr-mark-t-espers-telephone-call-with-the-people/"/>
    <m/>
  </r>
  <r>
    <x v="1"/>
    <x v="1"/>
    <s v="Asia "/>
    <s v="Comprehensive Strategic Cooperative Partnership [全面战略合作伙伴关系]"/>
    <x v="0"/>
    <s v="INDOPACOM"/>
    <x v="52"/>
    <x v="29"/>
    <n v="4"/>
    <s v="BL - Virtual"/>
    <s v="Wei Fenghe"/>
    <m/>
    <s v="Defense Minister; CMC Member"/>
    <n v="8"/>
    <x v="4"/>
    <s v="Minister of Defense "/>
    <x v="0"/>
    <m/>
    <m/>
    <m/>
    <m/>
    <x v="12"/>
    <m/>
    <m/>
    <s v="PLA Activities Report"/>
    <m/>
  </r>
  <r>
    <x v="1"/>
    <x v="1"/>
    <s v="Asia "/>
    <s v="Comprehensive Strategic Cooperative Partnership [全面战略合作伙伴关系]"/>
    <x v="0"/>
    <s v="INDOPACOM"/>
    <x v="1"/>
    <x v="29"/>
    <n v="4"/>
    <s v="BL - Virtual"/>
    <s v="Wei Fenghe"/>
    <m/>
    <s v="Defense Minister; CMC Member"/>
    <n v="8"/>
    <x v="4"/>
    <s v="Minister of Defense"/>
    <x v="0"/>
    <m/>
    <m/>
    <m/>
    <m/>
    <x v="12"/>
    <m/>
    <m/>
    <s v="PLA Activities Report"/>
    <m/>
  </r>
  <r>
    <x v="1"/>
    <x v="2"/>
    <s v="America and Oceania"/>
    <s v="No Specific Relationship"/>
    <x v="2"/>
    <s v="NORTHCOM"/>
    <x v="4"/>
    <x v="29"/>
    <n v="4"/>
    <s v="BL - Virtual"/>
    <s v="Li Zuocheng"/>
    <m/>
    <s v="CMC/JSD Commander; CMC Member"/>
    <n v="8"/>
    <x v="4"/>
    <s v="CJCS Milley"/>
    <x v="0"/>
    <m/>
    <m/>
    <s v=" "/>
    <m/>
    <x v="118"/>
    <s v=" "/>
    <m/>
    <s v="CJCS memo for the record 9-27-2021; http://cdn.cnn.com/cnn/2021/images/09/28/cjcs.mfr.ref.general.milley.engagements.with.the.people.liberation.army.leaders.pdf"/>
    <m/>
  </r>
  <r>
    <x v="1"/>
    <x v="1"/>
    <s v="Asia "/>
    <s v="Comprehensive Strategic Cooperative Partnership [全面战略合作伙伴关系]"/>
    <x v="0"/>
    <s v="INDOPACOM"/>
    <x v="23"/>
    <x v="29"/>
    <n v="4"/>
    <s v="BL - Virtual"/>
    <s v="Wei Fenghe"/>
    <m/>
    <s v="Defense Minister; CMC Member"/>
    <n v="8"/>
    <x v="4"/>
    <s v="Minister of Defence "/>
    <x v="0"/>
    <m/>
    <m/>
    <m/>
    <m/>
    <x v="12"/>
    <m/>
    <m/>
    <s v="PLA Activities Report"/>
    <m/>
  </r>
  <r>
    <x v="1"/>
    <x v="8"/>
    <s v="Europe and Central Asia"/>
    <s v="Comprehensive Strategic Partnership [全面战略伙伴关系]"/>
    <x v="0"/>
    <s v="EUCOM"/>
    <x v="34"/>
    <x v="29"/>
    <n v="5"/>
    <s v="BL - Virtual"/>
    <s v="Wei Fenghe"/>
    <m/>
    <s v="Defense Minister; CMC Member"/>
    <n v="8"/>
    <x v="4"/>
    <s v="Defense Minister"/>
    <x v="0"/>
    <m/>
    <m/>
    <m/>
    <m/>
    <x v="12"/>
    <m/>
    <m/>
    <m/>
    <m/>
  </r>
  <r>
    <x v="1"/>
    <x v="1"/>
    <s v="Asia "/>
    <s v="Comprehensive Strategic Cooperative Partnership [全面战略合作伙伴关系]"/>
    <x v="0"/>
    <s v="INDOPACOM"/>
    <x v="94"/>
    <x v="29"/>
    <n v="5"/>
    <s v="BL - Virtual"/>
    <s v="Wei Fenghe"/>
    <m/>
    <s v="Defense Minister; CMC Member"/>
    <n v="8"/>
    <x v="4"/>
    <s v="Deputy Prime Minister/Defense Minister"/>
    <x v="0"/>
    <m/>
    <m/>
    <m/>
    <m/>
    <x v="12"/>
    <m/>
    <m/>
    <m/>
    <m/>
  </r>
  <r>
    <x v="1"/>
    <x v="1"/>
    <s v="Asia "/>
    <s v="Comprehensive Strategic Partnership [全面战略伙伴关系]"/>
    <x v="0"/>
    <s v="INDOPACOM"/>
    <x v="8"/>
    <x v="29"/>
    <n v="5"/>
    <s v="BL - Virtual"/>
    <s v="Wei Fenghe"/>
    <m/>
    <s v="Defense Minister; CMC Member"/>
    <n v="8"/>
    <x v="4"/>
    <s v="Defense Minister"/>
    <x v="0"/>
    <m/>
    <m/>
    <m/>
    <m/>
    <x v="12"/>
    <m/>
    <m/>
    <m/>
    <m/>
  </r>
  <r>
    <x v="1"/>
    <x v="1"/>
    <s v="Asia "/>
    <s v="Comprehensive Strategic Partnership [全面战略伙伴关系]"/>
    <x v="0"/>
    <s v="INDOPACOM"/>
    <x v="10"/>
    <x v="29"/>
    <n v="5"/>
    <s v="BL - Virtual"/>
    <s v="Wei Fenghe"/>
    <m/>
    <s v="Defense Minister; CMC Member"/>
    <n v="8"/>
    <x v="4"/>
    <s v="Defense Minister"/>
    <x v="0"/>
    <m/>
    <m/>
    <m/>
    <m/>
    <x v="12"/>
    <m/>
    <m/>
    <m/>
    <m/>
  </r>
  <r>
    <x v="1"/>
    <x v="1"/>
    <s v="Asia "/>
    <s v="Comprehensive Strategic Partnership [全面战略伙伴关系]"/>
    <x v="3"/>
    <s v="INDOPACOM"/>
    <x v="11"/>
    <x v="29"/>
    <n v="5"/>
    <s v="BL - Virtual"/>
    <s v="Wei Fenghe"/>
    <m/>
    <s v="Defense Minister; CMC Member"/>
    <n v="8"/>
    <x v="4"/>
    <s v="Defense Secretary"/>
    <x v="0"/>
    <m/>
    <m/>
    <m/>
    <m/>
    <x v="12"/>
    <m/>
    <m/>
    <m/>
    <m/>
  </r>
  <r>
    <x v="1"/>
    <x v="3"/>
    <s v="Europe and Central Asia"/>
    <s v="Comprehensive Strategic Partnership of Coordination in the New Era [新时代中俄全面战略协作伙伴关系]"/>
    <x v="0"/>
    <s v="EUCOM"/>
    <x v="7"/>
    <x v="29"/>
    <n v="5"/>
    <s v="BL - Virtual"/>
    <s v="Wei Fenghe"/>
    <m/>
    <s v="Defense Minister; CMC Member"/>
    <n v="8"/>
    <x v="4"/>
    <s v="Defense Minister"/>
    <x v="0"/>
    <m/>
    <m/>
    <m/>
    <m/>
    <x v="12"/>
    <m/>
    <m/>
    <m/>
    <m/>
  </r>
  <r>
    <x v="1"/>
    <x v="4"/>
    <s v="Asia "/>
    <s v="Strategic Cooperative Partnership [战略合作伙伴关系]"/>
    <x v="3"/>
    <s v="INDOPACOM"/>
    <x v="25"/>
    <x v="29"/>
    <n v="5"/>
    <s v="BL - Virtual"/>
    <s v="Wei Fenghe"/>
    <m/>
    <s v="Defense Minister; CMC Member"/>
    <n v="8"/>
    <x v="4"/>
    <s v="Defense Minister"/>
    <x v="0"/>
    <m/>
    <m/>
    <m/>
    <m/>
    <x v="12"/>
    <m/>
    <m/>
    <m/>
    <m/>
  </r>
  <r>
    <x v="2"/>
    <x v="3"/>
    <s v="Europe and Central Asia"/>
    <s v="Comprehensive Strategic Partnership of Coordination in the New Era [新时代中俄全面战略协作伙伴关系]"/>
    <x v="0"/>
    <s v="EUCOM"/>
    <x v="7"/>
    <x v="29"/>
    <n v="8"/>
    <s v="Military Exercise - Multilateral"/>
    <m/>
    <m/>
    <s v="Defense Minister"/>
    <m/>
    <x v="0"/>
    <m/>
    <x v="6"/>
    <s v="International Army Games 2020"/>
    <s v="Army"/>
    <s v="23 August to 5 September PLAA and PLAAF compete in the Russian-hosted International Army Games"/>
    <m/>
    <x v="12"/>
    <m/>
    <m/>
    <s v="http://www.xinhuanet.com/mil/2020-08/11/c_1210746238.htm; https://www.tellerreport.com/news/2020-08-07-chinese-paratroopers-arrive-in-russia-to-participate-in-the-%22international-military-competition-2020%22.B1QmRhX5Wv.html"/>
    <s v="ML EXERCISE; CODED as ARMY because no real joint activity"/>
  </r>
  <r>
    <x v="1"/>
    <x v="2"/>
    <s v="America and Oceania"/>
    <s v="No Specific Relationship"/>
    <x v="2"/>
    <s v="NORTHCOM"/>
    <x v="4"/>
    <x v="29"/>
    <n v="8"/>
    <s v="BL - Virtual"/>
    <s v="Wei Fenghe"/>
    <m/>
    <s v="Defense Minister; CMC Member"/>
    <n v="8"/>
    <x v="4"/>
    <s v="Secretary of Defense Esper"/>
    <x v="0"/>
    <m/>
    <m/>
    <m/>
    <m/>
    <x v="12"/>
    <m/>
    <m/>
    <s v="https://www.defense.gov/Newsroom/Releases/Release/Article/2303574/readout-of-secretary-of-defense-dr-mark-t-espers-telephone-call-with-the-people"/>
    <m/>
  </r>
  <r>
    <x v="1"/>
    <x v="1"/>
    <s v="Asia"/>
    <s v="Comprehensive Strategic Cooperative Partnership [全面战略合作伙伴关系]"/>
    <x v="0"/>
    <s v="INDOPACOM"/>
    <x v="23"/>
    <x v="29"/>
    <n v="8"/>
    <s v="BL - Hosted"/>
    <s v="Wei Fenghe"/>
    <m/>
    <s v="Defense Minister; CMC Member"/>
    <n v="8"/>
    <x v="2"/>
    <s v="Vietnam Ambassador"/>
    <x v="0"/>
    <m/>
    <m/>
    <m/>
    <m/>
    <x v="12"/>
    <m/>
    <m/>
    <s v="https://www.voanews.com/a/east-asia-pacific_china-vietnam-try-make-amends-after-stormy-start-202/6195334.html"/>
    <s v="INCLUDE--Senior PLA rep; VM rep is ambassador due to COVID"/>
  </r>
  <r>
    <x v="1"/>
    <x v="1"/>
    <s v="Asia"/>
    <s v="Strategic Cooperative Partnership [战略合作伙伴关系]"/>
    <x v="0"/>
    <s v="INDOPACOM"/>
    <x v="44"/>
    <x v="29"/>
    <n v="9"/>
    <s v="BL - Abroad"/>
    <s v="Wei Fenghe"/>
    <m/>
    <s v="Defense Minister; CMC Member"/>
    <n v="8"/>
    <x v="1"/>
    <s v="Second Minister of Defense "/>
    <x v="0"/>
    <m/>
    <m/>
    <m/>
    <m/>
    <x v="12"/>
    <m/>
    <m/>
    <s v="http://mod.gov.cn/topnews/2020-09/09/content_4870994.htm; https://www.scmp.com/week-asia/politics/article/3100602/south-china-sea-chinese-defence-minister-wei-fenghe-turns; https://www.voanews.com/a/east-asia-pacific_experts-china-renewing-effort-squelch-us-influence-southeast-asia/6195946.html"/>
    <m/>
  </r>
  <r>
    <x v="1"/>
    <x v="0"/>
    <s v="Asia"/>
    <s v="Strategic Partnership for Peace and Prosperity [战略伙伴关系]"/>
    <x v="0"/>
    <s v="INDOPACOM"/>
    <x v="6"/>
    <x v="29"/>
    <n v="9"/>
    <s v="ML - Margins"/>
    <s v="Wei Fenghe"/>
    <m/>
    <s v="Defense Minister; CMC Member"/>
    <n v="8"/>
    <x v="1"/>
    <s v="Minister of Defence"/>
    <x v="0"/>
    <m/>
    <m/>
    <m/>
    <m/>
    <x v="12"/>
    <m/>
    <m/>
    <s v="http://mod.gov.cn/diplomacy/2020-09/05/content_4870721.htm; https://news.cgtn.com/news/2020-09-05/Chinese-Indian-defense-ministers-discuss-border-tension-in-Moscow-TwNB8vv3Lq/index.html"/>
    <s v=" On the margins of the SCO 2020 Defense Ministers Meeting"/>
  </r>
  <r>
    <x v="1"/>
    <x v="1"/>
    <s v="Asia"/>
    <s v="Comprehensive Strategic Partnership [全面战略伙伴关系]"/>
    <x v="0"/>
    <s v="INDOPACOM"/>
    <x v="8"/>
    <x v="29"/>
    <n v="9"/>
    <s v="BL - Abroad"/>
    <s v="Wei Fenghe"/>
    <m/>
    <s v="Defense Minister; CMC Member"/>
    <n v="8"/>
    <x v="1"/>
    <s v="Minister of Defense"/>
    <x v="0"/>
    <m/>
    <m/>
    <m/>
    <m/>
    <x v="12"/>
    <m/>
    <m/>
    <s v="http://mod.gov.cn/topnews/2020-09/08/content_4870932.htm; https://www.voanews.com/a/east-asia-pacific_experts-china-renewing-effort-squelch-us-influence-southeast-asia/6195946.html"/>
    <m/>
  </r>
  <r>
    <x v="1"/>
    <x v="1"/>
    <s v="Asia"/>
    <s v="Comprehensive Strategic Partnership [全面战略伙伴关系]"/>
    <x v="0"/>
    <s v="INDOPACOM"/>
    <x v="10"/>
    <x v="29"/>
    <n v="9"/>
    <s v="BL - Abroad"/>
    <s v="Wei Fenghe"/>
    <m/>
    <s v="Defense Minister; CMC Member"/>
    <n v="8"/>
    <x v="1"/>
    <s v="Minister of Defense"/>
    <x v="0"/>
    <m/>
    <m/>
    <m/>
    <m/>
    <x v="12"/>
    <m/>
    <m/>
    <s v="http://mod.gov.cn/topnews/2020-09/07/content_4870852.htm; https://www.voanews.com/a/east-asia-pacific_experts-china-renewing-effort-squelch-us-influence-southeast-asia/6195946.html"/>
    <m/>
  </r>
  <r>
    <x v="1"/>
    <x v="0"/>
    <s v="Asia"/>
    <s v="All-Weather Strategic Cooperative Partnership [全天候战略合作伙伴关系]"/>
    <x v="1"/>
    <s v="CENTCOM"/>
    <x v="2"/>
    <x v="29"/>
    <n v="9"/>
    <s v="ML - Margins"/>
    <s v="Wei Fenghe"/>
    <m/>
    <s v="Defense Minister; CMC Member"/>
    <n v="8"/>
    <x v="1"/>
    <s v="Chairman Joint Chiefs of Staff Committee"/>
    <x v="0"/>
    <m/>
    <m/>
    <m/>
    <m/>
    <x v="12"/>
    <m/>
    <m/>
    <s v="http://mod.gov.cn/diplomacy/2020-09/06/content_4870758.htm"/>
    <s v="SCO 2020 Defense Ministers Meeting"/>
  </r>
  <r>
    <x v="1"/>
    <x v="1"/>
    <s v="Asia"/>
    <s v="Comprehensive Strategic Partnership [全面战略伙伴关系]"/>
    <x v="3"/>
    <s v="INDOPACOM"/>
    <x v="11"/>
    <x v="29"/>
    <n v="9"/>
    <s v="BL - Abroad"/>
    <s v="Wei Fenghe"/>
    <m/>
    <s v="Defense Minister; CMC Member"/>
    <n v="8"/>
    <x v="1"/>
    <s v="Secretary of National Defense"/>
    <x v="0"/>
    <m/>
    <m/>
    <m/>
    <m/>
    <x v="12"/>
    <m/>
    <m/>
    <s v="https://www.pna.gov.ph/articles/1115179; https://www.voanews.com/a/east-asia-pacific_experts-china-renewing-effort-squelch-us-influence-southeast-asia/6195946.html"/>
    <m/>
  </r>
  <r>
    <x v="2"/>
    <x v="3"/>
    <s v="Europe and Central Asia"/>
    <s v="Comprehensive Strategic Partnership of Coordination in the New Era [新时代中俄全面战略协作伙伴关系]"/>
    <x v="0"/>
    <s v="EUCOM"/>
    <x v="7"/>
    <x v="29"/>
    <n v="9"/>
    <s v="Military Exercise - Multilateral"/>
    <m/>
    <m/>
    <s v="Defense Minister"/>
    <m/>
    <x v="0"/>
    <m/>
    <x v="3"/>
    <s v="Kavkaz-2020"/>
    <s v="Army"/>
    <s v="WTC in mobile defense and attack drills, joint firepower strikes, sieges, battlefield stability control, and others. Participants: Russia, Armenia, Belarus, Iran, Burma (Myanmar), Pakistan, and others. Also included the first PLAFF Y-20 transport to unknown airport. First multi plane, transnational airlift mission for Y-20."/>
    <m/>
    <x v="12"/>
    <m/>
    <m/>
    <s v="http://www.81.cn/yw/2020-09/14/content_9902689.htm; http://www.mod.gov.cn/topnews/2020-09/10/content_4871011.htm"/>
    <m/>
  </r>
  <r>
    <x v="1"/>
    <x v="3"/>
    <s v="Europe and Central Asia"/>
    <s v="Comprehensive Strategic Partnership of Coordination in the New Era [新时代中俄全面战略协作伙伴关系]"/>
    <x v="0"/>
    <s v="EUCOM"/>
    <x v="7"/>
    <x v="29"/>
    <n v="9"/>
    <s v="BL - Abroad"/>
    <s v="Wei Fenghe"/>
    <m/>
    <s v="Defense Minister; CMC Member"/>
    <n v="8"/>
    <x v="1"/>
    <s v="Minister of Defense"/>
    <x v="0"/>
    <m/>
    <m/>
    <m/>
    <m/>
    <x v="12"/>
    <m/>
    <m/>
    <s v="http://mod.gov.cn/diplomacy/2020-09/06/content_4870758.htm; https://news.cgtn.com/news/2020-09-06/China-calls-for-unity-cooperation-at-SCO-defense-ministers-meeting-TyxHQnSgXS/index.html"/>
    <s v="In conjunction with SCO 2020 Defense Ministers Meeting"/>
  </r>
  <r>
    <x v="1"/>
    <x v="6"/>
    <s v="Europe and Central Asia"/>
    <s v="Member"/>
    <x v="0"/>
    <s v="CENTCOM"/>
    <x v="14"/>
    <x v="29"/>
    <n v="9"/>
    <s v="ML - Abroad"/>
    <s v="Wei Fenghe"/>
    <m/>
    <s v="Defense Minister; CMC Member"/>
    <n v="8"/>
    <x v="1"/>
    <s v="17th meeting of the SCO Ministers of Defense"/>
    <x v="0"/>
    <m/>
    <m/>
    <m/>
    <m/>
    <x v="12"/>
    <m/>
    <m/>
    <s v="http://mod.gov.cn/diplomacy/2020-09/06/content_4870758.htm; https://news.cgtn.com/news/2020-09-06/China-calls-for-unity-cooperation-at-SCO-defense-ministers-meeting-TyxHQnSgXS/index.html"/>
    <s v="SCO 2020 Defense Ministers Meeting"/>
  </r>
  <r>
    <x v="1"/>
    <x v="1"/>
    <s v="Asia"/>
    <s v="Comprehensive Strategic Cooperative Partnership [全面战略合作伙伴关系]"/>
    <x v="3"/>
    <s v="INDOPACOM"/>
    <x v="5"/>
    <x v="29"/>
    <n v="9"/>
    <s v="BL - Virtual"/>
    <s v="Miao Hua"/>
    <m/>
    <s v="CMC/PWD Director; CMC Member"/>
    <n v="8"/>
    <x v="4"/>
    <s v="Chief of the Joint Staffs of the Royal Thai Armed Forces"/>
    <x v="0"/>
    <m/>
    <m/>
    <m/>
    <m/>
    <x v="12"/>
    <m/>
    <m/>
    <s v="http://www.81.cn/jfjbmap/content/2020-09/18/content_271089.htm"/>
    <m/>
  </r>
  <r>
    <x v="1"/>
    <x v="4"/>
    <s v="Asia"/>
    <s v="Strategic Cooperative Partnership [战略合作伙伴关系]"/>
    <x v="3"/>
    <s v="INDOPACOM"/>
    <x v="25"/>
    <x v="29"/>
    <n v="10"/>
    <s v="BL - Virtual"/>
    <s v="Wei Fenghe"/>
    <m/>
    <s v="Defense Minister; CMC Member"/>
    <n v="8"/>
    <x v="4"/>
    <s v="Minister for National Defense "/>
    <x v="0"/>
    <m/>
    <m/>
    <m/>
    <m/>
    <x v="12"/>
    <m/>
    <m/>
    <s v="http://www.mod.gov.cn/topnews/2020-10/21/content_4872999.htm"/>
    <m/>
  </r>
  <r>
    <x v="1"/>
    <x v="2"/>
    <s v="America and Oceania"/>
    <s v="No Specific Relationship"/>
    <x v="2"/>
    <s v="NORTHCOM"/>
    <x v="4"/>
    <x v="29"/>
    <n v="10"/>
    <s v="BL - Virtual"/>
    <s v="Li Zuocheng"/>
    <m/>
    <s v="CMC/JSD Commander; CMC Member"/>
    <n v="8"/>
    <x v="4"/>
    <s v="CJCS Milley"/>
    <x v="0"/>
    <m/>
    <m/>
    <m/>
    <m/>
    <x v="12"/>
    <m/>
    <m/>
    <s v="https://apnews.com/article/donald-trump-business-china-arts-and-entertainment-army-74ad214fdfbf0f8422a762e8f6657862"/>
    <s v="At SECDEF direction to clear up Chinese concern"/>
  </r>
  <r>
    <x v="1"/>
    <x v="0"/>
    <s v="Asia"/>
    <s v="Development-oriented Strategic Cooperative Partnership [面向发展与繁荣的世代友好的战略合作伙伴关系]."/>
    <x v="0"/>
    <s v="INDOPACOM"/>
    <x v="32"/>
    <x v="29"/>
    <n v="11"/>
    <s v="BL - Abroad"/>
    <s v="Wei Fenghe"/>
    <m/>
    <s v="Defense Minister; CMC Member"/>
    <n v="8"/>
    <x v="1"/>
    <s v="President, PM, and DEFMIN"/>
    <x v="0"/>
    <m/>
    <m/>
    <m/>
    <m/>
    <x v="12"/>
    <m/>
    <m/>
    <s v="https://www.newindianexpress.com/world/2020/nov/29/chinese-defence-ministerwei-fenghearrives-in-nepal-to-bolster-military-cooperation-2229614.html"/>
    <m/>
  </r>
  <r>
    <x v="2"/>
    <x v="2"/>
    <s v="America and Oceania"/>
    <s v="No Specific Relationship"/>
    <x v="2"/>
    <s v="NORTHCOM"/>
    <x v="4"/>
    <x v="29"/>
    <n v="11"/>
    <s v="Military Exercise - Bilateral"/>
    <m/>
    <m/>
    <s v="Defense Minister"/>
    <m/>
    <x v="0"/>
    <m/>
    <x v="2"/>
    <s v="16th China-US Disaster Management Exchange"/>
    <s v="Army"/>
    <s v="Virtual due to COVID; HADR academic discussion"/>
    <m/>
    <x v="12"/>
    <m/>
    <m/>
    <s v="https://news.clearancejobs.com/2020/11/12/u-s-and-china-hold-joint-disaster-management-exercise/; http://eng.chinamil.com.cn/view/2020-11/14/content_9936530.htm"/>
    <m/>
  </r>
  <r>
    <x v="1"/>
    <x v="1"/>
    <s v="Asia"/>
    <s v="Strategic Partnership [战略伙伴关系] for Peace and Prosperity"/>
    <x v="0"/>
    <s v="INDOPACOM"/>
    <x v="153"/>
    <x v="29"/>
    <n v="12"/>
    <s v="ML - Virtual"/>
    <s v="Wei Fenghe"/>
    <m/>
    <s v="Defense Minister; CMC Member"/>
    <n v="8"/>
    <x v="4"/>
    <s v="ADMM+"/>
    <x v="0"/>
    <m/>
    <m/>
    <m/>
    <m/>
    <x v="12"/>
    <m/>
    <m/>
    <s v=" http://admm.vn/wps/portal/en/news/detail/!ut/p/b1/hZLLkqowFAC_xQ-giIiAyyAojyFIACFsKKKAyEsUceDrh7l1t47Znao-i-4TNmJDNmqSociTvmibpPqdIyHeQYQleQkBwPIKOJYp2pK8B44rzAB5D-gQfNoP2BAT8K08rFxRwwNoNfx6eE5tWuV-2nH1S_VNv9hkvVk1VASbg8uEMegyPF1FnGo3SmsJjVrSZORoZWkoZErXRecNZBh-2NNEKwOcU7PeKvXdgtRw8ylw197ropAVSDUR-cPdVm8YklNZbn212xPL_44u0OjPUiXxUny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s v="Video conference"/>
  </r>
  <r>
    <x v="1"/>
    <x v="4"/>
    <s v="Asia "/>
    <s v="Mutually Beneficial Strategic Relationship [战略互惠关系]"/>
    <x v="3"/>
    <s v="INDOPACOM"/>
    <x v="83"/>
    <x v="29"/>
    <n v="12"/>
    <s v="BL - Virtual"/>
    <s v="Wei Fenghe"/>
    <m/>
    <s v="Defense Minister; CMC Member"/>
    <n v="8"/>
    <x v="4"/>
    <s v="Minister of Defense Nobuo Kishi"/>
    <x v="0"/>
    <m/>
    <m/>
    <m/>
    <m/>
    <x v="12"/>
    <m/>
    <m/>
    <s v="http://www.mod.gov.cn/shouye/2020-12/14/content_4875453.htm; “Japan-China Defense Ministers’ Video Teleconference,” Japan Ministry of Defense [English-language source], 14 December 2020,; PLA Activities Report 1-15 January 2021, China sounded out Japan on sending defense minister for talks in October | The Japan Times"/>
    <m/>
  </r>
  <r>
    <x v="1"/>
    <x v="4"/>
    <s v="Asia"/>
    <s v="N/A"/>
    <x v="0"/>
    <s v="INDOPACOM"/>
    <x v="161"/>
    <x v="29"/>
    <n v="12"/>
    <s v="ML - Virtual"/>
    <s v="Yang Xuejun"/>
    <m/>
    <s v="President, AMS"/>
    <n v="5"/>
    <x v="4"/>
    <s v="President, AMS"/>
    <x v="0"/>
    <m/>
    <m/>
    <m/>
    <m/>
    <x v="12"/>
    <m/>
    <m/>
    <s v="http://eng.chinamil.com.cn/view/2020-12/02/content_9946240.htm"/>
    <s v="Virtual Meeting of Xiangshan Forum"/>
  </r>
  <r>
    <x v="1"/>
    <x v="0"/>
    <s v="Asia"/>
    <s v="All-Weather Strategic Cooperative Partnership [全天候战略合作伙伴关系]"/>
    <x v="1"/>
    <s v="CENTCOM"/>
    <x v="2"/>
    <x v="29"/>
    <n v="12"/>
    <s v="ML - Margins"/>
    <s v="Wei Fenghe"/>
    <m/>
    <s v="Defense Minister"/>
    <m/>
    <x v="1"/>
    <s v="Pakistan COAS Bajwa, CJCS Raza, PM, President"/>
    <x v="0"/>
    <m/>
    <m/>
    <m/>
    <m/>
    <x v="12"/>
    <m/>
    <m/>
    <s v="https://www.thehindu.com/news/international/china-and-pakistan-sign-military-deal-amid-tensions-with-india/article60672038.ece; https://thediplomat.com/2020/12/chinas-defense-minister-visits-pakistan/"/>
    <s v="SHOULD ADD TO DB"/>
  </r>
  <r>
    <x v="2"/>
    <x v="0"/>
    <s v="Asia"/>
    <s v="All-Weather Strategic Cooperative Partnership [全天候战略合作伙伴关系]"/>
    <x v="1"/>
    <s v="CENTCOM"/>
    <x v="2"/>
    <x v="29"/>
    <n v="12"/>
    <s v="Military Exercise - Bilateral"/>
    <m/>
    <m/>
    <m/>
    <m/>
    <x v="0"/>
    <m/>
    <x v="3"/>
    <s v="Shaheen IX (Eagle)"/>
    <s v="Air Force"/>
    <s v="Monthlong, improving actual combat training"/>
    <m/>
    <x v="12"/>
    <m/>
    <m/>
    <s v="https://timesofindia.indiatimes.com/world/china/china-pakistan-air-forces-to-hold-joint-exercises/articleshow/79611283.cms; China sends warplanes, troops for drill in Pakistan | World News - Hindustan Times, PLA Activities Report 1-15 January 2021"/>
    <m/>
  </r>
  <r>
    <x v="2"/>
    <x v="3"/>
    <s v="Europe and Central Asia"/>
    <s v="Comprehensive Strategic Partnership of Coordination in the New Era [新时代中俄全面战略协作伙伴关系]"/>
    <x v="0"/>
    <s v="EUCOM"/>
    <x v="7"/>
    <x v="29"/>
    <n v="12"/>
    <s v="Military Exercise - Bilateral"/>
    <m/>
    <m/>
    <m/>
    <m/>
    <x v="0"/>
    <m/>
    <x v="9"/>
    <s v="Joint Aerial Strategic Patrol 2020"/>
    <s v="Air Force"/>
    <s v="&quot;Joint strategic air patrol&quot;--four H-6K aircraft to form a joint formation with two Russian Tu-95MC aircraft over the Sea of Japan and the East China Sea. "/>
    <m/>
    <x v="12"/>
    <m/>
    <m/>
    <s v="http://www.81.cn/jwywpd/2020-12/23/content_9957361.htm"/>
    <s v="RECODED as joint patrol; INCLUDED because of external audience."/>
  </r>
  <r>
    <x v="1"/>
    <x v="2"/>
    <s v="America and Oceania"/>
    <s v="No Specific Relationship"/>
    <x v="2"/>
    <s v="NORTHCOM"/>
    <x v="4"/>
    <x v="30"/>
    <n v="1"/>
    <s v="BL - Virtual"/>
    <s v="LI Zuocheng"/>
    <m/>
    <s v="CMC/JSD Commander; CMC Member"/>
    <n v="8"/>
    <x v="4"/>
    <s v="CJCS Milley"/>
    <x v="0"/>
    <m/>
    <m/>
    <m/>
    <m/>
    <x v="12"/>
    <m/>
    <m/>
    <s v="https://apnews.com/article/donald-trump-business-china-arts-and-entertainment-army-74ad214fdfbf0f8422a762e8f6657862"/>
    <s v="At SECDEF direction to clear up Chinese concern; include during COVID era"/>
  </r>
  <r>
    <x v="2"/>
    <x v="0"/>
    <s v="Asia"/>
    <s v="All-Weather Strategic Cooperative Partnership [全天候战略合作伙伴关系]"/>
    <x v="1"/>
    <s v="CENTCOM"/>
    <x v="2"/>
    <x v="30"/>
    <n v="2"/>
    <s v="Military Exercise - Multilateral"/>
    <m/>
    <m/>
    <m/>
    <m/>
    <x v="0"/>
    <m/>
    <x v="4"/>
    <s v="AMAN-21"/>
    <s v="Navy"/>
    <s v="counter-piracy, counter-terror, naval gunnery drills, search and rescue ops; 45 countries participated; ; ETF 36 (as PLAN 119 Biandui)"/>
    <m/>
    <x v="12"/>
    <m/>
    <m/>
    <s v="PLA Activities Report, 1-15 February 2021 "/>
    <m/>
  </r>
  <r>
    <x v="2"/>
    <x v="1"/>
    <s v="Asia"/>
    <s v="All-Round Cooperative Partnership [全方合作伙伴关系]"/>
    <x v="0"/>
    <s v="INDOPACOM"/>
    <x v="39"/>
    <x v="30"/>
    <n v="2"/>
    <s v="Military Exercise - Bilateral"/>
    <m/>
    <m/>
    <m/>
    <m/>
    <x v="0"/>
    <m/>
    <x v="2"/>
    <m/>
    <s v="Navy"/>
    <s v="passage exercise, search and rescue, communications; ETF 36"/>
    <m/>
    <x v="12"/>
    <m/>
    <m/>
    <s v="PLA Activities Report 16-28 February 2021"/>
    <m/>
  </r>
  <r>
    <x v="1"/>
    <x v="8"/>
    <s v="Europe and Central Asia"/>
    <s v="Comprehensive Strategic Partnership [全面战略伙伴关系]"/>
    <x v="5"/>
    <s v="EUCOM"/>
    <x v="29"/>
    <x v="30"/>
    <n v="3"/>
    <s v="BL - Abroad"/>
    <s v="Wei Fenghe"/>
    <m/>
    <s v="Defense Minister; CMC Member"/>
    <n v="8"/>
    <x v="1"/>
    <s v="President of Greece &amp; MINDEF"/>
    <x v="0"/>
    <m/>
    <m/>
    <m/>
    <m/>
    <x v="12"/>
    <m/>
    <m/>
    <s v="PLAAR 1-15 April 2021,  http://mod.gov.cn/topnews/2021-03/30/content_4882225.htm"/>
    <m/>
  </r>
  <r>
    <x v="1"/>
    <x v="8"/>
    <s v="Europe and Central Asia"/>
    <s v="Comprehensive Strategic Partnership [全面战略伙伴关系]"/>
    <x v="5"/>
    <s v="EUCOM"/>
    <x v="82"/>
    <x v="30"/>
    <n v="3"/>
    <s v="BL - Abroad"/>
    <s v="Wei Fenghe"/>
    <m/>
    <s v="Defense Minister; CMC Member"/>
    <n v="8"/>
    <x v="1"/>
    <s v="President of Hungary &amp; MINDEF"/>
    <x v="0"/>
    <m/>
    <m/>
    <m/>
    <m/>
    <x v="12"/>
    <m/>
    <m/>
    <s v="PLAAR 16-31 March 2021, http://www.xinhuanet.com/english/2021-03/25/c_139835982.htm"/>
    <m/>
  </r>
  <r>
    <x v="1"/>
    <x v="8"/>
    <s v="Europe and Central Asia"/>
    <s v="No Specific Relationship"/>
    <x v="0"/>
    <s v="EUCOM"/>
    <x v="99"/>
    <x v="30"/>
    <n v="3"/>
    <s v="BL - Abroad"/>
    <s v="Wei Fenghe"/>
    <m/>
    <s v="Defense Minister; CMC Member"/>
    <n v="8"/>
    <x v="1"/>
    <s v="President of North Macedonia &amp; MINDEF"/>
    <x v="0"/>
    <m/>
    <m/>
    <m/>
    <m/>
    <x v="12"/>
    <m/>
    <m/>
    <s v="PLAAR 1-15 April 2012, http://81.cn/yw/2021-03/30/content_10013933.htm"/>
    <m/>
  </r>
  <r>
    <x v="1"/>
    <x v="4"/>
    <s v="Asia"/>
    <s v="Comprehensive Strategic Partnership [全面战略伙伴关系]"/>
    <x v="0"/>
    <s v="INDOPACOM"/>
    <x v="53"/>
    <x v="30"/>
    <n v="3"/>
    <s v="BL - Virtual"/>
    <s v="Wei Fenghe"/>
    <m/>
    <s v="Defense Minister; CMC Member"/>
    <n v="8"/>
    <x v="4"/>
    <s v="Minister of Defense "/>
    <x v="0"/>
    <m/>
    <m/>
    <m/>
    <m/>
    <x v="12"/>
    <m/>
    <m/>
    <s v="PLAAR 16-31 March 2021, http://81.cn/yw/2021-03/16/content_10004317.htm; "/>
    <s v="telephone conference"/>
  </r>
  <r>
    <x v="1"/>
    <x v="8"/>
    <s v="Europe and Central Asia"/>
    <s v="Comprehensive Strategic Partnership [全面战略伙伴关系]"/>
    <x v="0"/>
    <s v="EUCOM"/>
    <x v="112"/>
    <x v="30"/>
    <n v="3"/>
    <s v="BL - Abroad"/>
    <s v="Wei Fenghe"/>
    <m/>
    <s v="Defense Minister; CMC Member"/>
    <n v="8"/>
    <x v="1"/>
    <s v="President of the Republic of Serbia &amp; MINDEF"/>
    <x v="0"/>
    <m/>
    <m/>
    <m/>
    <m/>
    <x v="12"/>
    <m/>
    <m/>
    <s v="PLAAR 16-31 March 2021, https://www.srbija.gov.rs/vest/en/170119/visit-of-chinese-minister-of-defence-to-serbia-ends.php"/>
    <m/>
  </r>
  <r>
    <x v="1"/>
    <x v="0"/>
    <s v="Asia"/>
    <s v="Strategic Cooperative Partnership [战略合作伙伴关系]"/>
    <x v="0"/>
    <s v="INDOPACOM"/>
    <x v="0"/>
    <x v="30"/>
    <n v="4"/>
    <s v="BL - Abroad"/>
    <s v="Wei Fenghe"/>
    <m/>
    <s v="Defense Minister; CMC Member"/>
    <n v="8"/>
    <x v="1"/>
    <s v="Bangladesh President Abdul Hamid &amp; DEFMIN"/>
    <x v="0"/>
    <m/>
    <m/>
    <m/>
    <m/>
    <x v="12"/>
    <m/>
    <m/>
    <s v="PLAAR 16-30 April 2021,  http://mod.gov.cn/topnews/2021-04/27/content_4884086.htm"/>
    <m/>
  </r>
  <r>
    <x v="1"/>
    <x v="0"/>
    <s v="Asia"/>
    <s v="Strategic Cooperative Partnership [战略合作伙伴关系]"/>
    <x v="0"/>
    <s v="INDOPACOM"/>
    <x v="3"/>
    <x v="30"/>
    <n v="4"/>
    <s v="BL - Abroad"/>
    <s v="Wei Fenghe"/>
    <m/>
    <s v="Defense Minister; CMC Member"/>
    <n v="8"/>
    <x v="1"/>
    <s v="Minister of Defense Gotabaya Rajapaksa"/>
    <x v="0"/>
    <m/>
    <m/>
    <m/>
    <m/>
    <x v="12"/>
    <m/>
    <m/>
    <s v="PLAAR 1-15 May 2021, https://www.presidentsoffice.gov.lk/index.php/2021/04/28/president-and-chinese-defence-minister-hold-bilateral-discussions/"/>
    <m/>
  </r>
  <r>
    <x v="1"/>
    <x v="1"/>
    <s v="Asia"/>
    <s v="Comprehensive Strategic Cooperative Partnership [全面战略合作伙伴关系]"/>
    <x v="0"/>
    <s v="INDOPACOM"/>
    <x v="23"/>
    <x v="30"/>
    <n v="4"/>
    <s v="BL - Abroad"/>
    <s v="Wei Fenghe"/>
    <m/>
    <s v="Defense Minister; CMC Member"/>
    <n v="8"/>
    <x v="1"/>
    <s v="General Secretary Phu Troung, Vietnam President Nguyen Xuan Phuc &amp; DEFMIN"/>
    <x v="0"/>
    <m/>
    <m/>
    <m/>
    <m/>
    <x v="12"/>
    <m/>
    <m/>
    <s v="PLAAR 16-30 April 2021, https://baochinhphu.vn/Doi-ngoai/Tong-Bi-thu-Nguyen-Phu-Trong-tiep-Uy-vien-Quoc-vu-Bo-truong-Bo-Quoc-phong-Trung-Quoc/429280.vgp, https://baochinhphu.vn/Doi-ngoai/Thuc-day-quan-he-Doi-tac-hop-tac-chien-luoc-toan-dien-voi-Trung-Quoc/429254.vgp, http://81.cn/yw/2021-04/26/content_10029102.htm"/>
    <m/>
  </r>
  <r>
    <x v="2"/>
    <x v="1"/>
    <s v="Asia"/>
    <s v="Comprehensive Strategic Partnership [全面战略伙伴关系]"/>
    <x v="0"/>
    <s v="INDOPACOM"/>
    <x v="8"/>
    <x v="30"/>
    <n v="5"/>
    <s v="Military Exercise - Bilateral"/>
    <m/>
    <m/>
    <m/>
    <m/>
    <x v="0"/>
    <m/>
    <x v="2"/>
    <m/>
    <s v="Navy"/>
    <s v="comm drills, search and rescue, formation maneuvers"/>
    <m/>
    <x v="12"/>
    <m/>
    <m/>
    <s v="PLAAR 1-15 May 2021, https://news.cgtn.com/news/2021-05-10/China-Indonesia-hold-joint-naval-exercise-near-Jakarta--109dCfydxYs/index.html."/>
    <s v="Couldn't find name for exercise "/>
  </r>
  <r>
    <x v="1"/>
    <x v="1"/>
    <s v="Asia"/>
    <s v="Strategic Partnership [战略伙伴关系] for Peace and Prosperity"/>
    <x v="0"/>
    <s v="INDOPACOM"/>
    <x v="153"/>
    <x v="30"/>
    <n v="6"/>
    <s v="ML - Virtual"/>
    <s v="Wei Fenghe"/>
    <m/>
    <s v="Defense Minister; CMC Member"/>
    <n v="8"/>
    <x v="4"/>
    <s v="Brunei Second MINDEF co-chaired with Wei"/>
    <x v="0"/>
    <m/>
    <m/>
    <m/>
    <m/>
    <x v="12"/>
    <m/>
    <m/>
    <s v="PLAAR 1-15 June 2021, http://www.mod.gov.cn/topnews/2021-06/15/content_4887430.htm"/>
    <s v="virtual 12th China-ASEAN Defense Ministers’ Informal Meeting"/>
  </r>
  <r>
    <x v="1"/>
    <x v="1"/>
    <s v="Asia"/>
    <s v="Strategic Partnership [战略伙伴关系] for Peace and Prosperity"/>
    <x v="0"/>
    <s v="INDOPACOM"/>
    <x v="153"/>
    <x v="30"/>
    <n v="6"/>
    <s v="ML - Virtual"/>
    <s v="Wei Fenghe"/>
    <m/>
    <s v="Defense Minister; CMC Member"/>
    <n v="8"/>
    <x v="4"/>
    <s v="Brunei chaired"/>
    <x v="0"/>
    <m/>
    <m/>
    <m/>
    <m/>
    <x v="12"/>
    <m/>
    <m/>
    <s v="PLAAR 16-30 June 2021; http://mod.gov.cn/topnews/2021-06/16/content_4887474.htm"/>
    <s v="ASEAN ADMM+ Meeting"/>
  </r>
  <r>
    <x v="1"/>
    <x v="3"/>
    <s v="Europe and Central Asia"/>
    <s v="Comprehensive Strategic Partnership of Coordination in the New Era [新时代中俄全面战略协作伙伴关系]"/>
    <x v="0"/>
    <s v="EUCOM"/>
    <x v="7"/>
    <x v="30"/>
    <n v="6"/>
    <s v="ML - Virtual"/>
    <s v="Wei Fenghe"/>
    <m/>
    <s v="Defense Minister; CMC Member"/>
    <n v="8"/>
    <x v="4"/>
    <s v="Russian Defense Minister"/>
    <x v="0"/>
    <m/>
    <m/>
    <m/>
    <m/>
    <x v="12"/>
    <m/>
    <m/>
    <s v="PLAAR 16-30 June 2021, http://mod.gov.cn/diplomacy/2021-06/23/content_4887992.htm"/>
    <s v="Russian Defense Ministry's Moscow Conference on International Security"/>
  </r>
  <r>
    <x v="1"/>
    <x v="1"/>
    <s v="Asia"/>
    <s v="All-Round Cooperative Partnership [全方合作伙伴关系]"/>
    <x v="0"/>
    <s v="INDOPACOM"/>
    <x v="39"/>
    <x v="30"/>
    <n v="6"/>
    <s v="BL - Virtual"/>
    <s v="Wei Fenghe"/>
    <m/>
    <s v="Defense Minister; CMC Member"/>
    <n v="8"/>
    <x v="4"/>
    <s v="Ng Eng Hen, Sinagpore Defence Minister"/>
    <x v="0"/>
    <m/>
    <m/>
    <m/>
    <m/>
    <x v="12"/>
    <m/>
    <m/>
    <s v="PLAAR 1-15 June 2021, https://www.mindef.gov.sg/web/portal/mindef/news-and-events/latest-releases/article-detail/2021/June/08jun21_nr/, http://mod.gov.cn/topnews/2021-06/08/content_4887029.htm"/>
    <s v="Virtual BL meeting on 8 June"/>
  </r>
  <r>
    <x v="1"/>
    <x v="8"/>
    <s v="Europe and Central Asia"/>
    <s v="Comprehensive Strategic Partnership [全面战略伙伴关系]"/>
    <x v="5"/>
    <s v="EUCOM"/>
    <x v="18"/>
    <x v="30"/>
    <n v="7"/>
    <s v="BL - Virtual"/>
    <s v="Wei Fenghe"/>
    <m/>
    <s v="Defense Minister; CMC Member"/>
    <n v="8"/>
    <x v="4"/>
    <s v="Defense Minister "/>
    <x v="0"/>
    <m/>
    <m/>
    <m/>
    <m/>
    <x v="12"/>
    <m/>
    <m/>
    <s v="PLAAR 1-15 July 2021, http://mod.gov.cn/topnews/2021-07/06/content_4888812.htm"/>
    <s v="Video conference"/>
  </r>
  <r>
    <x v="1"/>
    <x v="4"/>
    <s v="Asia"/>
    <s v="Comprehensive Strategic Partnership [全面战略伙伴关系]"/>
    <x v="0"/>
    <s v="INDOPACOM"/>
    <x v="53"/>
    <x v="30"/>
    <n v="7"/>
    <s v="BL - Abroad"/>
    <s v="Wei Fenghe"/>
    <m/>
    <s v="Defense Minister; CMC Member"/>
    <n v="8"/>
    <x v="1"/>
    <s v="Minister of Defense"/>
    <x v="0"/>
    <m/>
    <m/>
    <m/>
    <m/>
    <x v="12"/>
    <m/>
    <m/>
    <s v="PLAAR 16-31 July 2021, http://mod.gov.mn/2021/07/26/%D1%85%D0%BE%D1%91%D1%80-%D0%BE%D1%80%D0%BD%D1%8B-%D0%B1%D0%B0%D1%82%D0%BB%D0%B0%D0%BD-%D1%85%D0%B0%D0%BC%D0%B3%D0%B0%D0%B0%D0%BB%D0%B0%D1%85-%D1%81%D0%B0%D0%BB%D0%B1%D0%B0%D1%80%D1%8B%D0%B"/>
    <m/>
  </r>
  <r>
    <x v="1"/>
    <x v="0"/>
    <s v="Asia"/>
    <s v="All-Weather Strategic Cooperative Partnership [全天候战略合作伙伴关系]"/>
    <x v="1"/>
    <s v="CENTCOM"/>
    <x v="2"/>
    <x v="30"/>
    <n v="7"/>
    <s v="ML - Margins"/>
    <s v="Wei Fenghe"/>
    <m/>
    <s v="Defense Minister; CMC Member"/>
    <n v="8"/>
    <x v="1"/>
    <s v="Pakistan’s Defence Minister Pervez Khattak"/>
    <x v="0"/>
    <m/>
    <m/>
    <m/>
    <m/>
    <x v="12"/>
    <m/>
    <m/>
    <s v="https://www.app.com.pk/global/chinese-defense-minister-holds-talks-with-pervez-khattak-in-dushanbe-tajikistan/"/>
    <s v="SHOULD ADD TO DB"/>
  </r>
  <r>
    <x v="2"/>
    <x v="8"/>
    <s v="Europe and Central Asia"/>
    <s v="Comprehensive Strategic Partnership of Coordination in the New Era [新时代中俄全面战略协作伙伴关系]"/>
    <x v="0"/>
    <s v="EUCOM"/>
    <x v="7"/>
    <x v="30"/>
    <n v="7"/>
    <s v="Military Exercise - Multilateral"/>
    <m/>
    <m/>
    <m/>
    <m/>
    <x v="0"/>
    <m/>
    <x v="6"/>
    <s v="International Army Games 2021"/>
    <s v="Army"/>
    <s v="army games with Russia, Belarus, Egypt, Iran, Venezuela, Vietnam "/>
    <m/>
    <x v="12"/>
    <m/>
    <m/>
    <s v="http://english.chinamil.com.cn/view/2021-07/29/content_10068365.htm"/>
    <m/>
  </r>
  <r>
    <x v="1"/>
    <x v="3"/>
    <s v="Europe and Central Asia"/>
    <s v="Comprehensive Strategic Partnership of Coordination in the New Era [新时代中俄全面战略协作伙伴关系]"/>
    <x v="0"/>
    <s v="EUCOM"/>
    <x v="7"/>
    <x v="30"/>
    <n v="7"/>
    <s v="ML - Margins"/>
    <s v="Wei Fenghe"/>
    <m/>
    <s v="Defense Minister; CMC Member"/>
    <n v="8"/>
    <x v="1"/>
    <s v="Russian Defense Minister"/>
    <x v="0"/>
    <m/>
    <m/>
    <m/>
    <m/>
    <x v="12"/>
    <m/>
    <m/>
    <s v="PLAAR 16-31 July 2021, https://function.mil.ru/news_page/country/more.htm?id=12374244@egNews"/>
    <m/>
  </r>
  <r>
    <x v="1"/>
    <x v="6"/>
    <s v="Europe and Central Asia"/>
    <s v="Member"/>
    <x v="0"/>
    <s v="CENTCOM"/>
    <x v="14"/>
    <x v="30"/>
    <n v="7"/>
    <s v="ML - Abroad"/>
    <s v="Wei Fenghe"/>
    <m/>
    <s v="Defense Minister; CMC Member"/>
    <n v="8"/>
    <x v="1"/>
    <s v="18th meeting of the SCO Ministers of Defense"/>
    <x v="0"/>
    <m/>
    <m/>
    <m/>
    <m/>
    <x v="12"/>
    <m/>
    <m/>
    <s v="PLAAR 1-15 August 2021, http://mod.gov.cn/diplomacy/2021-07/28/content_4890455.htm"/>
    <s v="Council of Ministers of Defense of Shanghai Cooperation Organization (SCO) Member States "/>
  </r>
  <r>
    <x v="1"/>
    <x v="6"/>
    <s v="Europe and Central Asia"/>
    <s v="Comprehensive Strategic Partnership [全面战略伙伴关系]"/>
    <x v="0"/>
    <s v="CENTCOM"/>
    <x v="60"/>
    <x v="30"/>
    <n v="7"/>
    <s v="BL - Abroad"/>
    <s v="Wei Fenghe"/>
    <m/>
    <s v="Defense Minister; CMC Member"/>
    <n v="8"/>
    <x v="1"/>
    <s v="President &amp; Defense Minister"/>
    <x v="0"/>
    <m/>
    <m/>
    <m/>
    <m/>
    <x v="12"/>
    <m/>
    <m/>
    <s v="PLAAR 16-31 July 2021,  http://mod.gov.cn/topnews/2021-07/27/content_4890357.htm"/>
    <m/>
  </r>
  <r>
    <x v="2"/>
    <x v="1"/>
    <s v="Asia"/>
    <s v="Comprehensive Strategic Cooperative Partnership [全面战略合作伙伴关系]"/>
    <x v="3"/>
    <s v="INDOPACOM"/>
    <x v="5"/>
    <x v="30"/>
    <n v="7"/>
    <s v="Military Exercise - Multilateral"/>
    <m/>
    <m/>
    <m/>
    <m/>
    <x v="0"/>
    <m/>
    <x v="2"/>
    <s v="Cobra Gold 2021"/>
    <s v="Army"/>
    <s v="Disaster relief"/>
    <m/>
    <x v="12"/>
    <m/>
    <m/>
    <s v="PLAAR 16-31 August 2021, https://www.nationthailand.com/in-focus/40002406, http://eng.mod.gov.cn/news/2021-08/03/content_4891020.htm, http://eng.chinamil.com.cn/view/2021-08/02/content_10070028.htm"/>
    <s v="This year PLA participation is virtual ONLY"/>
  </r>
  <r>
    <x v="2"/>
    <x v="3"/>
    <s v="Europe and Central Asia"/>
    <s v="Comprehensive Strategic Partnership of Coordination in the New Era [新时代中俄全面战略协作伙伴关系]"/>
    <x v="0"/>
    <s v="EUCOM"/>
    <x v="7"/>
    <x v="30"/>
    <n v="8"/>
    <s v="Military Exercise - Bilateral"/>
    <m/>
    <m/>
    <m/>
    <m/>
    <x v="0"/>
    <m/>
    <x v="3"/>
    <s v="Zapad/Interaction "/>
    <s v="Army"/>
    <s v="&quot;The Chinese Ministry of National Defense issued an article on Wednesday describing the exercise as the first time China invited foreign troops to participate in the PLA's strategic battle training operations on a large scale, the first time foreign troops shared a command and control messaging system with the PLA, and the first time foreign troops used the PLA's main combat equipment” "/>
    <m/>
    <x v="12"/>
    <m/>
    <m/>
    <s v="PLAAR 1-15 August 2021, https://www.81.cn/jfjbmap/content/2021-08/10/content_296122.htm, https://thediplomat.com/2021/08/zapad-interaction-military-exercise-2021-growing-china-russia-bonhomie/; 中俄戈壁荒原联合军演 专用讯息系统解语言障碍, 12 August 2021, 东方日报 (简体)"/>
    <m/>
  </r>
  <r>
    <x v="1"/>
    <x v="1"/>
    <s v="Asia"/>
    <s v="Comprehensive Strategic Partnership [全面战略伙伴关系]"/>
    <x v="0"/>
    <s v="INDOPACOM"/>
    <x v="10"/>
    <x v="30"/>
    <n v="9"/>
    <s v="BL - Virtual"/>
    <s v="Wei Fenghe"/>
    <m/>
    <s v="Defense Minister; CMC Member"/>
    <n v="8"/>
    <x v="4"/>
    <s v="Defense Minister"/>
    <x v="0"/>
    <m/>
    <m/>
    <m/>
    <m/>
    <x v="12"/>
    <m/>
    <m/>
    <s v="http://english.chinamil.com.cn/view/2021-09/27/content_10093971.htm"/>
    <m/>
  </r>
  <r>
    <x v="1"/>
    <x v="4"/>
    <s v="Asia"/>
    <s v="N/A"/>
    <x v="0"/>
    <s v="INDOPACOM"/>
    <x v="161"/>
    <x v="30"/>
    <n v="9"/>
    <s v="ML - Virtual"/>
    <s v="Ding Laihang"/>
    <m/>
    <s v="PLAAF Commander"/>
    <m/>
    <x v="4"/>
    <s v="Other Air Force Commanders, including Pakistani ACM Zaheer Ahmad Babar "/>
    <x v="0"/>
    <s v="PLAAF International Military Flight Training Conference"/>
    <m/>
    <m/>
    <m/>
    <x v="12"/>
    <m/>
    <m/>
    <s v="http://www.81.cn/jwywpd/2021-09/28/content_10094486.htm; https://www.youtube.com/watch?v=yqBiNj1sgYE"/>
    <s v="SHOULD ADD TO DB--ML Virtual conference hosted by PLAAF Commander and attended virtually by at least some heads of air forces (e.g. Pakistan)"/>
  </r>
  <r>
    <x v="1"/>
    <x v="0"/>
    <s v="Asia"/>
    <s v="All-Weather Strategic Cooperative Partnership [全天候战略合作伙伴关系]"/>
    <x v="1"/>
    <s v="CENTCOM"/>
    <x v="2"/>
    <x v="30"/>
    <n v="9"/>
    <s v="ML - Margins"/>
    <s v="Li Zuocheng"/>
    <m/>
    <s v="CMC/JSD Commander; CMC Member"/>
    <n v="8"/>
    <x v="1"/>
    <s v="TL meeting with Chairman Joint Chiefs of Staff Committee, General Nadeem Raza and Russian COGS General Valery Gerasimov"/>
    <x v="0"/>
    <m/>
    <m/>
    <m/>
    <m/>
    <x v="12"/>
    <m/>
    <m/>
    <s v="https://www.radio.gov.pk/25-09-2021/pakistan-attaches-great-importance-to-further-bilateral-cooperation-with-russia-china-cjcsc"/>
    <s v="TL Meeting on the Margins coded as separate BL meetings with PK and Russian counterparts"/>
  </r>
  <r>
    <x v="2"/>
    <x v="0"/>
    <s v="Asia"/>
    <s v="All-Weather Strategic Cooperative Partnership [全天候战略合作伙伴关系]"/>
    <x v="1"/>
    <s v="CENTCOM"/>
    <x v="2"/>
    <x v="30"/>
    <n v="9"/>
    <s v="Military Exercise - Bilateral"/>
    <m/>
    <m/>
    <m/>
    <m/>
    <x v="0"/>
    <m/>
    <x v="1"/>
    <s v="JATE/Pabbi"/>
    <s v="Army"/>
    <s v="Phase 1 of exercise Pabbi was an SCO Virtual Exercise; Phase 2 was an FTX between Chinese and Pakistani Army Special Forces in Rabbi Pakistan. Not clear if the Chinese forces were PLAA or PAP"/>
    <m/>
    <x v="12"/>
    <m/>
    <m/>
    <s v="https://www.outlookindia.com/website/story/world-news-pakistan-china-conduct-first-ever-joint-anti-terrorism-exercise-under-sco/396654; http://eng.sectsco.org/politics/20211004/786524.html; http://www.news.cn/english/2021-10/04/c_1310226471.htm"/>
    <s v="1st phase was multilateral SCO virtual anti-terrorism exercise; 2nd phase was physical BL exercise in Pakistani. Coded as BL exercise; not clear if PRC troops were PLA or PAP"/>
  </r>
  <r>
    <x v="2"/>
    <x v="0"/>
    <s v="Asia"/>
    <s v="All-Weather Strategic Cooperative Partnership [全天候战略合作伙伴关系]"/>
    <x v="1"/>
    <s v="CENTCOM"/>
    <x v="2"/>
    <x v="30"/>
    <n v="9"/>
    <s v="Military Exercise - Multilateral"/>
    <m/>
    <m/>
    <m/>
    <m/>
    <x v="0"/>
    <m/>
    <x v="2"/>
    <s v="Shared-Destiny 2021"/>
    <s v="Army"/>
    <s v="PKO activities with Pakistan, Mongolia, and Thailand"/>
    <m/>
    <x v="12"/>
    <m/>
    <m/>
    <s v="PLAAR 1-15 September 2021"/>
    <s v="Real exercise with on the ground troops in China"/>
  </r>
  <r>
    <x v="1"/>
    <x v="3"/>
    <s v="Europe and Central Asia"/>
    <s v="Comprehensive Strategic Partnership of Coordination in the New Era [新时代中俄全面战略协作伙伴关系]"/>
    <x v="0"/>
    <s v="EUCOM"/>
    <x v="7"/>
    <x v="30"/>
    <n v="9"/>
    <s v="ML - Margins"/>
    <s v="Li Zuocheng"/>
    <m/>
    <s v="CMC/JSD Commander; CMC Member"/>
    <n v="8"/>
    <x v="1"/>
    <s v="TL meeting with Chairman Joint Chiefs of Staff Committee, General Nadeem Raza and Russian COGS General Valery Gerasimov"/>
    <x v="0"/>
    <m/>
    <m/>
    <m/>
    <m/>
    <x v="12"/>
    <m/>
    <m/>
    <s v="https://www.radio.gov.pk/25-09-2021/pakistan-attaches-great-importance-to-further-bilateral-cooperation-with-russia-china-cjcsc"/>
    <s v="TL Meeting on the Margins coded as separate BL meetings with PK and Russian counterparts"/>
  </r>
  <r>
    <x v="2"/>
    <x v="3"/>
    <s v="Europe and Central Asia"/>
    <s v="Member"/>
    <x v="0"/>
    <s v="CENTCOM"/>
    <x v="14"/>
    <x v="30"/>
    <n v="9"/>
    <s v="Military Exercise - Multilateral"/>
    <m/>
    <m/>
    <m/>
    <m/>
    <x v="0"/>
    <m/>
    <x v="3"/>
    <s v="Peace Mission 2021"/>
    <s v="Army"/>
    <s v="Held in Orenburg, Russia.  Focus on surveillance, forward defense, ground assault, division, and  encirclement. "/>
    <m/>
    <x v="12"/>
    <m/>
    <m/>
    <s v="PLAAR 1-15 September 2021, http://www.xinhuanet.com/politics/2019-03/18/c_1124247196.htm"/>
    <s v="a three-level command structure consisting of a joint exercise direction department [联合导演部], a joint counterterrorism command department [联合反恐集群指挥部], and real-soldier units"/>
  </r>
  <r>
    <x v="1"/>
    <x v="3"/>
    <s v="Europe and Central Asia"/>
    <s v="Member"/>
    <x v="0"/>
    <s v="CENTCOM"/>
    <x v="14"/>
    <x v="30"/>
    <n v="9"/>
    <s v="ML - Abroad"/>
    <s v="Li Zuocheng"/>
    <m/>
    <s v="CMC/JSD Commander; CMC Member"/>
    <n v="8"/>
    <x v="2"/>
    <s v="Sixth meeting of the SCO military chiefs of staff in Russia"/>
    <x v="0"/>
    <m/>
    <m/>
    <m/>
    <m/>
    <x v="12"/>
    <m/>
    <m/>
    <s v="PLAAR 16-30 September 2021, http://mod.gov.cn/diplomacy/2021-09/24/content_4895489.htm; http://eng.mod.gov.cn/news/2021-09/24/content_4895516.htm"/>
    <m/>
  </r>
  <r>
    <x v="2"/>
    <x v="1"/>
    <s v="Asia"/>
    <s v="All-Round Cooperative Partnership [全方合作伙伴关系]"/>
    <x v="0"/>
    <s v="INDOPACOM"/>
    <x v="39"/>
    <x v="30"/>
    <n v="9"/>
    <s v="Military Exercise - Bilateral"/>
    <m/>
    <m/>
    <m/>
    <m/>
    <x v="0"/>
    <m/>
    <x v="2"/>
    <m/>
    <s v="Navy"/>
    <s v="pass-exercise; CUES; navigation training, helicopter landing, replenishment-at-sea training"/>
    <m/>
    <x v="12"/>
    <m/>
    <m/>
    <s v="PLAAR 16-30 September 2021, https://www.js7tv.cn/video/202109_258376.html, https://www.mindef.gov.sg/web/portal/navy/pressroom/articles/2021/22sep21_article?fbclid=IwAR3rVyBOM2CFa10EIiD2LEfBaE02_N7HXuKrIKsw_MABmcjotKViEfdoLGs"/>
    <m/>
  </r>
  <r>
    <x v="1"/>
    <x v="1"/>
    <s v="Asia"/>
    <s v="All-Round Cooperative Partnership [全方合作伙伴关系]"/>
    <x v="0"/>
    <s v="INDOPACOM"/>
    <x v="39"/>
    <x v="30"/>
    <n v="9"/>
    <s v="BL - Virtual"/>
    <s v="Shao Yuanming"/>
    <m/>
    <s v="CMC/JSD DCJS"/>
    <n v="5"/>
    <x v="4"/>
    <s v="Permanent Secretary of Defence"/>
    <x v="0"/>
    <m/>
    <m/>
    <m/>
    <m/>
    <x v="12"/>
    <m/>
    <m/>
    <s v="PLAAR 1-15 September 2021, https://www.mindef.gov.sg/web/portal/mindef/news-and-events/latest-releases/article-detail/2021/September/14sep21_nr2, http://mod.gov.cn/topnews/2021-09/15/content_4894878.htm"/>
    <s v="8th Defense Policy Dialogue; JSD/DCJS position downgraded so position weight adjusted; recoded as virtual; is this high enough level to include?  Have previous meetings been included?"/>
  </r>
  <r>
    <x v="1"/>
    <x v="8"/>
    <s v="Europe and Central Asia"/>
    <s v="Comprehensive Strategic Partnership [全面战略伙伴关系]"/>
    <x v="5"/>
    <s v="EUCOM"/>
    <x v="21"/>
    <x v="30"/>
    <n v="9"/>
    <s v="BL - Virtual"/>
    <s v="Li Zuocheng"/>
    <m/>
    <s v="CMC/JSD Commander; CMC Member"/>
    <n v="8"/>
    <x v="4"/>
    <s v="Chief of the Defence Staff"/>
    <x v="0"/>
    <m/>
    <m/>
    <m/>
    <m/>
    <x v="12"/>
    <m/>
    <m/>
    <s v="PLAAR 1-15 September 2021,  http://www.mod.gov.cn/topnews/2021-09/10/content_4894507.htm."/>
    <s v="video conference"/>
  </r>
  <r>
    <x v="1"/>
    <x v="10"/>
    <s v="America and Oceania"/>
    <s v="Comprehensive Strategic Partnership [全面战略伙伴关系]"/>
    <x v="1"/>
    <s v="SOUTHCOM"/>
    <x v="62"/>
    <x v="30"/>
    <n v="10"/>
    <s v="BL - Virtual"/>
    <s v="Wei Fenghe"/>
    <m/>
    <s v="Defense Minister; CMC Member"/>
    <n v="8"/>
    <x v="4"/>
    <s v="Minister of Defense"/>
    <x v="0"/>
    <m/>
    <m/>
    <m/>
    <m/>
    <x v="12"/>
    <m/>
    <m/>
    <s v="PLAAR 16-30 October 2021, https://www.argentina.gob.ar/noticias/taiana-mantuvo-una-reunion-bilateral-con-su-par-de-defensa-chino-para-dialogar-acerca-de-la, http://mod.gov.cn/topnews/2021-10/22/content_4897280.htm"/>
    <m/>
  </r>
  <r>
    <x v="1"/>
    <x v="4"/>
    <s v="Asia"/>
    <s v="N/A"/>
    <x v="0"/>
    <s v="INDOPACOM"/>
    <x v="161"/>
    <x v="30"/>
    <n v="10"/>
    <s v="ML - Virtual"/>
    <s v="Yang Xuejun"/>
    <m/>
    <s v="President, AMS"/>
    <n v="5"/>
    <x v="4"/>
    <m/>
    <x v="0"/>
    <m/>
    <m/>
    <m/>
    <m/>
    <x v="12"/>
    <m/>
    <m/>
    <s v="http://eng.chinamil.com.cn/view/2021-10/25/content_10103983.htm, http://eng.mod.gov.cn/news/2021-12/23/content_4901630.htm"/>
    <s v="Xiangshan Forum 2021"/>
  </r>
  <r>
    <x v="2"/>
    <x v="3"/>
    <s v="Europe and Central Asia"/>
    <s v="Comprehensive Strategic Partnership of Coordination in the New Era [新时代中俄全面战略协作伙伴关系]"/>
    <x v="0"/>
    <s v="EUCOM"/>
    <x v="7"/>
    <x v="30"/>
    <n v="10"/>
    <s v="Military Exercise - Bilateral"/>
    <m/>
    <m/>
    <m/>
    <m/>
    <x v="0"/>
    <m/>
    <x v="3"/>
    <s v="Joint Sea 2021"/>
    <s v="Navy"/>
    <s v="Comms drills, mine destruction, maritime gunnery, joint-maneuvering; &quot;joint rocket and artillery firing at air targets, artillery firing at sea targets, joint anti-submarine operations with the practical use of weapons, joint blockade and joint rescue….These multidimensional training courses cover the core elements in modern naval combat.”"/>
    <m/>
    <x v="12"/>
    <m/>
    <m/>
    <s v="PLAAR 16-31 October 2021, https://news.usni.org/2021/10/25/russia-china-wrap-up-drills-off-japan-pledge-more-joint-exercises"/>
    <s v="Joint Exercise Direction Department; RECODED as COMBAT based on closer analysis of exercise activities"/>
  </r>
  <r>
    <x v="2"/>
    <x v="3"/>
    <s v="Europe and Central Asia"/>
    <s v="Comprehensive Strategic Partnership of Coordination in the New Era [新时代中俄全面战略协作伙伴关系]"/>
    <x v="0"/>
    <s v="EUCOM"/>
    <x v="7"/>
    <x v="30"/>
    <n v="10"/>
    <s v="Military Exercise - Bilateral"/>
    <m/>
    <m/>
    <m/>
    <m/>
    <x v="0"/>
    <m/>
    <x v="9"/>
    <s v="Joint Maritime Cruise"/>
    <s v="Navy"/>
    <s v="Use of weapons, joint sailing and maneuvering"/>
    <m/>
    <x v="12"/>
    <m/>
    <m/>
    <s v="PLAAR 16-31 October 2021, http://mod.gov.cn/topnews/2021-10/23/content_4897177.htm"/>
    <s v="first joint maritime patrol; included because not a CBM."/>
  </r>
  <r>
    <x v="1"/>
    <x v="1"/>
    <s v="Asia"/>
    <s v="Comprehensive Strategic Partnership [全面战略伙伴关系]"/>
    <x v="0"/>
    <s v="INDOPACOM"/>
    <x v="8"/>
    <x v="30"/>
    <n v="11"/>
    <s v="BL - Virtual"/>
    <s v="Wei Fenghe"/>
    <m/>
    <s v="Defense Minister; CMC Member"/>
    <n v="8"/>
    <x v="4"/>
    <s v="Indonesian Minister of Defense Prabowo Subianto"/>
    <x v="0"/>
    <m/>
    <m/>
    <m/>
    <m/>
    <x v="12"/>
    <m/>
    <m/>
    <s v="http://english.chinamil.com.cn/view/2021-11/30/content_10111790.htm"/>
    <m/>
  </r>
  <r>
    <x v="1"/>
    <x v="0"/>
    <s v="Asia"/>
    <s v="All-Weather Strategic Cooperative Partnership [全天候战略合作伙伴关系]"/>
    <x v="1"/>
    <s v="CENTCOM"/>
    <x v="2"/>
    <x v="30"/>
    <n v="11"/>
    <s v="BL - Virtual"/>
    <m/>
    <m/>
    <s v="China Coast Guard"/>
    <n v="6"/>
    <x v="4"/>
    <m/>
    <x v="0"/>
    <m/>
    <s v="Coast Guard"/>
    <m/>
    <m/>
    <x v="12"/>
    <m/>
    <m/>
    <s v="PLAAR 1-15 November 2021, http://www.news.cn/politics/2021-11/09/c_1128048026.htm"/>
    <s v="INCLUDE--called high-level meeting by source, but senior PRC participant not specified"/>
  </r>
  <r>
    <x v="1"/>
    <x v="3"/>
    <s v="Europe and Central Asia"/>
    <s v="Comprehensive Strategic Partnership of Coordination in the New Era [新时代中俄全面战略协作伙伴关系]"/>
    <x v="0"/>
    <s v="EUCOM"/>
    <x v="7"/>
    <x v="30"/>
    <n v="11"/>
    <s v="BL - Virtual"/>
    <s v="Wei Fenghe"/>
    <m/>
    <s v="Defense Minister; CMC Member"/>
    <n v="8"/>
    <x v="4"/>
    <s v="Russian Defense Minister"/>
    <x v="0"/>
    <m/>
    <m/>
    <m/>
    <m/>
    <x v="12"/>
    <m/>
    <m/>
    <s v="Regular Press Conference of the Ministry of National Defense on November 25 - Ministry of National Defense (mod.gov.cn)"/>
    <m/>
  </r>
  <r>
    <x v="2"/>
    <x v="3"/>
    <s v="Europe and Central Asia"/>
    <s v="Comprehensive Strategic Partnership of Coordination in the New Era [新时代中俄全面战略协作伙伴关系]"/>
    <x v="0"/>
    <s v="EUCOM"/>
    <x v="7"/>
    <x v="30"/>
    <n v="11"/>
    <s v="Military Exercise - Bilateral"/>
    <m/>
    <m/>
    <m/>
    <m/>
    <x v="0"/>
    <m/>
    <x v="9"/>
    <s v="Joint Aerial Strategic Patrol 2021"/>
    <s v="Air Force"/>
    <s v="&quot;joint strategic air patrol&quot;--two H-6K aircraft to form a joint formation with two Russian Tu-95MC aircraft over the Sea of Japan and the East China Sea. "/>
    <m/>
    <x v="12"/>
    <m/>
    <m/>
    <s v="http://eng.mod.gov.cn/focus/2021-11/26/content_4900240.htm, https://www.globaltimes.cn/page/202111/1239423.shtml; http://english.chinamil.com.cn/view/2021-11/19/content_10109351.htm"/>
    <s v="INCLUDE as joint patrol; externally motivated."/>
  </r>
  <r>
    <x v="1"/>
    <x v="1"/>
    <s v="Asia"/>
    <s v="Comprehensive Strategic Cooperative Partnership [全面战略合作伙伴关系]"/>
    <x v="0"/>
    <s v="INDOPACOM"/>
    <x v="23"/>
    <x v="30"/>
    <n v="11"/>
    <s v="BL - Virtual"/>
    <s v="Wang Zhongcai"/>
    <m/>
    <s v="CDR China Coast Guard"/>
    <n v="6"/>
    <x v="4"/>
    <s v="CDR Vietnam Coast Guard"/>
    <x v="0"/>
    <m/>
    <m/>
    <m/>
    <m/>
    <x v="12"/>
    <m/>
    <m/>
    <s v="http://english.chinamil.com.cn/view/2021-12/01/content_10111995.htm"/>
    <m/>
  </r>
  <r>
    <x v="1"/>
    <x v="4"/>
    <s v="Asia"/>
    <s v="Mutually Beneficial Strategic Relationship [战略互惠关系]"/>
    <x v="6"/>
    <s v="INDOPACOM"/>
    <x v="83"/>
    <x v="30"/>
    <n v="12"/>
    <s v="BL - Virtual"/>
    <s v="Wei Fenghe"/>
    <m/>
    <s v="Defense Minister; CMC Member"/>
    <n v="8"/>
    <x v="4"/>
    <s v="Japanese Defense Minister Nobuo Kishi"/>
    <x v="0"/>
    <m/>
    <m/>
    <m/>
    <m/>
    <x v="12"/>
    <m/>
    <m/>
    <s v="https://www.globaltimes.cn/page/202112/1243528.shtml"/>
    <m/>
  </r>
  <r>
    <x v="2"/>
    <x v="1"/>
    <s v="Asia"/>
    <s v="Comprehensive Strategic Cooperative Partnership [全面战略合作伙伴关系]"/>
    <x v="0"/>
    <s v="INDOPACOM"/>
    <x v="23"/>
    <x v="30"/>
    <n v="12"/>
    <s v="Military Exercise - Bilateral"/>
    <m/>
    <m/>
    <m/>
    <m/>
    <x v="0"/>
    <m/>
    <x v="2"/>
    <s v="Peace Rescue-2021"/>
    <s v="Army"/>
    <s v="rescue, wounded treatment, joint military health service command, medical and pandemic training "/>
    <m/>
    <x v="12"/>
    <m/>
    <m/>
    <s v="PLA Activities Report 1-15 December 2021"/>
    <m/>
  </r>
  <r>
    <x v="1"/>
    <x v="8"/>
    <s v="Europe and Central Asia"/>
    <s v="Comprehensive Strategic Partnership [全面战略伙伴关系]"/>
    <x v="5"/>
    <s v="EUCOM"/>
    <x v="22"/>
    <x v="31"/>
    <n v="1"/>
    <s v="BL - Virtual"/>
    <s v="Shao Yuanming"/>
    <m/>
    <s v="CMC/JSD DCJS"/>
    <n v="5"/>
    <x v="4"/>
    <s v="MOD Deputy Director General for International Relations and Strategy"/>
    <x v="0"/>
    <m/>
    <m/>
    <m/>
    <m/>
    <x v="12"/>
    <m/>
    <m/>
    <s v="http://eng.chinamil.com.cn/CHINA_209163/TopStories_209189/10123265.html; http://mod.gov.cn/topnews/2022-01/12/content_4902848.htm"/>
    <s v="16th Strategic consultation"/>
  </r>
  <r>
    <x v="2"/>
    <x v="9"/>
    <s v="West Asia and Africa"/>
    <s v="Comprehensive Strategic Partnership [全面战略伙伴关系]"/>
    <x v="0"/>
    <s v="CENTCOM"/>
    <x v="89"/>
    <x v="31"/>
    <n v="1"/>
    <s v="Military Exercise - Multilateral"/>
    <m/>
    <m/>
    <m/>
    <m/>
    <x v="0"/>
    <m/>
    <x v="4"/>
    <s v="Marine Security Belt 2022"/>
    <s v="Navy"/>
    <s v="Urumqi guided-missile destroyer , supply ship Taihu, ship-borne helicopters, and 40 members of the Marine Corps; engaging targets, formation manevuers, light signal communications, nighttime navigation; 10 Iran ships; 3 Russian ships"/>
    <m/>
    <x v="12"/>
    <m/>
    <m/>
    <s v="http://eng.mod.gov.cn/news/2022-01/20/content_4903350.htm; http://mod.gov.cn/topnews/2022-01/20/content_4903339.htm; https://www.81.cn/jfjbmap/content/2022-01/22/content_307984.htm; https://www.fdd.org/analysis/2022/02/08/china-russia-iran-hold-trilateral-naval-drill/"/>
    <s v="Not enough combat related acty to classify as combat; unclear if there was any live fire. Very basic exercise."/>
  </r>
  <r>
    <x v="1"/>
    <x v="5"/>
    <s v="America and Oceania"/>
    <s v="Comprehensive Strategic Partnership [全面战略伙伴关系]"/>
    <x v="4"/>
    <s v="INDOPACOM"/>
    <x v="13"/>
    <x v="31"/>
    <n v="1"/>
    <s v="BL - Virtual"/>
    <s v="Li Zuocheng"/>
    <m/>
    <s v="CMC/JSD Commander; CMC Member"/>
    <n v="8"/>
    <x v="4"/>
    <s v="Chief of NZ Defense Force"/>
    <x v="0"/>
    <m/>
    <m/>
    <s v=" "/>
    <m/>
    <x v="12"/>
    <m/>
    <m/>
    <s v=" http://english.chinamil.com.cn/view/2022-01/19/content_10124662.htm; http://mod.gov.cn/diplomacy/2022-01/19/content_4903267.htm; "/>
    <s v=" "/>
  </r>
  <r>
    <x v="1"/>
    <x v="9"/>
    <s v="West Asia and Africa"/>
    <s v="Comprehensive Strategic Partnership [全面战略伙伴关系]"/>
    <x v="0"/>
    <s v="CENTCOM"/>
    <x v="142"/>
    <x v="31"/>
    <n v="1"/>
    <s v="BL - Virtual"/>
    <s v="Wei Fenghe"/>
    <m/>
    <s v="Defense Minister; CMC Member"/>
    <n v="8"/>
    <x v="4"/>
    <s v="Prince Khalid bin Salman Al Saud, Saudi Arabia's Deputy Defense Minister"/>
    <x v="0"/>
    <m/>
    <m/>
    <m/>
    <m/>
    <x v="12"/>
    <m/>
    <m/>
    <s v="http://eng.mod.gov.cn/news/2022-01/26/content_4903623.htm; http://english.chinamil.com.cn/view/2022-01/26/content_10126627.htm; http://www.mod.gov.cn/topnews/2022-01/26/content_4903604.htm"/>
    <s v=" "/>
  </r>
  <r>
    <x v="1"/>
    <x v="8"/>
    <s v="Europe and Central Asia"/>
    <s v="Comprehensive Strategic Partnership [全面战略伙伴关系]"/>
    <x v="5"/>
    <s v="EUCOM"/>
    <x v="21"/>
    <x v="31"/>
    <n v="1"/>
    <s v="BL - Virtual"/>
    <s v="Shao Yuanming"/>
    <m/>
    <s v="CMC/JSD DCJS"/>
    <n v="5"/>
    <x v="4"/>
    <s v="UK MOD director general of security policy "/>
    <x v="0"/>
    <m/>
    <m/>
    <m/>
    <m/>
    <x v="12"/>
    <m/>
    <m/>
    <s v="http://eng.mod.gov.cn/news/2022-01/12/content_4902851.htm; http://mod.gov.cn/topnews/2022-01/13/content_4902920.htm"/>
    <s v="8th defense policy dialogue"/>
  </r>
  <r>
    <x v="1"/>
    <x v="1"/>
    <s v="Asia "/>
    <s v="Comprehensive Strategic Cooperative Partnership [全面战略合作伙伴关系]"/>
    <x v="0"/>
    <s v="INDOPACOM"/>
    <x v="94"/>
    <x v="31"/>
    <n v="3"/>
    <s v="BL - Virtual"/>
    <s v="Liu Zhenli"/>
    <m/>
    <s v="PLAA Commander"/>
    <n v="8"/>
    <x v="4"/>
    <s v="Lieutenant General Hun Manet, Deputy Commander-in-Chief, Royal Cambodian Armed Forces (RCAF) and Commander, Royal Cambodian Army"/>
    <x v="0"/>
    <m/>
    <m/>
    <m/>
    <m/>
    <x v="12"/>
    <m/>
    <m/>
    <s v="https://eacnews.asia/home/details/11053; http://www.mod.gov.cn/jzhzt/2022-03/31/content_4908118.htm; http://eng.mod.gov.cn/xb/Home/Focus/4908385.html"/>
    <m/>
  </r>
  <r>
    <x v="1"/>
    <x v="7"/>
    <s v="West Asia and Africa"/>
    <s v="Comprehensive Strategic Partnership [全面战略伙伴关系]"/>
    <x v="0"/>
    <s v="AFRICOM"/>
    <x v="15"/>
    <x v="31"/>
    <n v="3"/>
    <s v="BL - Virtual"/>
    <s v="Wei Fenghe"/>
    <m/>
    <s v="Defense Minister; CMC Member"/>
    <n v="8"/>
    <x v="4"/>
    <s v="Thandi Modise, South Africa’s Minister of Defence and Military Veterans"/>
    <x v="0"/>
    <m/>
    <m/>
    <m/>
    <m/>
    <x v="12"/>
    <m/>
    <m/>
    <s v=" http://mod.gov.cn/topnews/2022-03/01/content_4905926.htm; http://eng.chinamil.com.cn/CHINA_209163/TopStories_209189/10136280.html"/>
    <s v=" "/>
  </r>
  <r>
    <x v="1"/>
    <x v="1"/>
    <s v="Asia"/>
    <s v="Comprehensive Strategic Cooperative Partnership [全面战略合作伙伴关系]"/>
    <x v="3"/>
    <s v="INDOPACOM"/>
    <x v="5"/>
    <x v="31"/>
    <n v="3"/>
    <s v="BL - Virtual"/>
    <s v="Dong Jun"/>
    <m/>
    <s v="PLAN Commander"/>
    <n v="8"/>
    <x v="4"/>
    <s v="Admiral Somprasong Nilsamai, Commander-in-Chief, Royal Thai Navy, had a virtual meeting"/>
    <x v="0"/>
    <m/>
    <m/>
    <m/>
    <m/>
    <x v="12"/>
    <m/>
    <m/>
    <s v=" http://eng.mod.gov.cn/xb/Home/Focus/4908385.html; http://www.mod.gov.cn/jzhzt/2022-03/31/content_4908118.htm; "/>
    <m/>
  </r>
  <r>
    <x v="1"/>
    <x v="6"/>
    <s v="Europe and Central Asia"/>
    <s v="Strategic Partnership [战略伙伴关系]"/>
    <x v="0"/>
    <s v="CENTCOM"/>
    <x v="55"/>
    <x v="31"/>
    <n v="3"/>
    <s v="BL - Virtual"/>
    <s v="Wei Fenghe"/>
    <m/>
    <s v="Defense Minister; CMC Member"/>
    <n v="8"/>
    <x v="4"/>
    <s v="Lieutenant General Begench Gundogdyev, Turkmenistan’s Minister of Defense"/>
    <x v="0"/>
    <m/>
    <m/>
    <m/>
    <m/>
    <x v="12"/>
    <m/>
    <m/>
    <s v="https://english.www.gov.cn/statecouncil/weifenghe/202203/25/content_WS623dc342c6d02e533532848d.html; http://mod.gov.cn/topnews/2022-03/25/content_4907591.htm"/>
    <m/>
  </r>
  <r>
    <x v="1"/>
    <x v="9"/>
    <s v="West Asia and Africa"/>
    <s v="Comprehensive Strategic Partnership [全面战略伙伴关系]"/>
    <x v="0"/>
    <s v="CENTCOM"/>
    <x v="89"/>
    <x v="31"/>
    <n v="4"/>
    <s v="BL - Abroad"/>
    <s v="Wei Fenghe"/>
    <m/>
    <s v="Defense Minister; CMC Member"/>
    <n v="8"/>
    <x v="1"/>
    <s v="President, Ayatollah Dr. Seyyed Ebrahim Raisi and Major General Mohammad Hossein Bagheri, Chief of the General Staff "/>
    <x v="0"/>
    <m/>
    <m/>
    <m/>
    <m/>
    <x v="12"/>
    <m/>
    <m/>
    <s v=" http://english.chinamil.com.cn/view/2022-04/27/content_10150896.htm ; https://irangov.ir/detail/385325; http://mod.gov.cn/topnews/2022-04/28/content_4909946.htm"/>
    <m/>
  </r>
  <r>
    <x v="1"/>
    <x v="6"/>
    <s v="Europe and Central Asia"/>
    <s v="Comprehensive Strategic Partnership [全面战略伙伴关系]"/>
    <x v="0"/>
    <s v="CENTCOM"/>
    <x v="30"/>
    <x v="31"/>
    <n v="4"/>
    <s v="BL - Abroad"/>
    <s v="Wei Fenghe"/>
    <m/>
    <s v="Defense Minister; CMC Member"/>
    <n v="8"/>
    <x v="1"/>
    <s v="President Kassym-Jomart Tokayev and Defense Minister Lieutenant General Ruslan Jaqsylyqov"/>
    <x v="0"/>
    <m/>
    <m/>
    <m/>
    <m/>
    <x v="12"/>
    <m/>
    <m/>
    <s v=" http://eng.mod.gov.cn/xb/News_213114/TopStories/4909810.html; http://www.china.org.cn/world/Off_the_Wire/2022-04/25/content_78186800.htm; https://www.gov.kz/memleket/entities/mod/press/news/details/362248?lang=ru; http://mod.gov.cn/topnews/2022-04/26/content_4909801.htm"/>
    <s v=" "/>
  </r>
  <r>
    <x v="1"/>
    <x v="7"/>
    <s v="West Asia and Africa"/>
    <s v="Comprehensive Strategic Cooperative Partnership [全面战略合作伙伴关系]"/>
    <x v="0"/>
    <s v="AFRICOM"/>
    <x v="84"/>
    <x v="31"/>
    <n v="4"/>
    <s v="BL - Virtual"/>
    <s v="Wei Fenghe"/>
    <m/>
    <s v="Defense Minister; CMC Member"/>
    <n v="8"/>
    <x v="4"/>
    <s v="Major General Cristóvão Artur Chume, Mozambique’s Minister of National Defence"/>
    <x v="0"/>
    <m/>
    <m/>
    <m/>
    <m/>
    <x v="12"/>
    <m/>
    <m/>
    <s v=" http://eng.mod.gov.cn/xb/News_213114/TopStories/4909402.html; http://mod.gov.cn/topnews/2022-04/19/content_4909342.htm"/>
    <s v=" "/>
  </r>
  <r>
    <x v="1"/>
    <x v="9"/>
    <s v="West Asia and Africa"/>
    <s v="Strategic Partnership [战略伙伴关系]"/>
    <x v="0"/>
    <s v="CENTCOM"/>
    <x v="147"/>
    <x v="31"/>
    <n v="4"/>
    <s v="BL - Abroad"/>
    <s v="Wei Fenghe"/>
    <m/>
    <s v="Defense Minister; CMC Member"/>
    <n v="8"/>
    <x v="1"/>
    <s v="Deputy Prime Minister for Defense Affairs Sayyid Shihab bin Tarik Al Said"/>
    <x v="0"/>
    <m/>
    <m/>
    <m/>
    <m/>
    <x v="118"/>
    <s v=" "/>
    <s v=" "/>
    <s v=" http://english.chinamil.com.cn/view/2022-04/29/content_10151238.htm; http://mod.gov.cn/topnews/2022-04/29/content_4910041.htm"/>
    <m/>
  </r>
  <r>
    <x v="1"/>
    <x v="6"/>
    <s v="Europe and Central Asia"/>
    <s v="Strategic Partnership [战略伙伴关系]"/>
    <x v="0"/>
    <s v="CENTCOM"/>
    <x v="55"/>
    <x v="31"/>
    <n v="4"/>
    <s v="BL - Abroad"/>
    <s v="Wei Fenghe"/>
    <m/>
    <s v="Defense Minister; CMC Member"/>
    <n v="8"/>
    <x v="1"/>
    <s v="Turkmen President Serdar Berdimuhamedov and Lieutenant General Begench Gundogdyev, Turkmenistan’s Minister of Defense"/>
    <x v="0"/>
    <m/>
    <m/>
    <m/>
    <m/>
    <x v="12"/>
    <m/>
    <m/>
    <s v="http://english.chinamil.com.cn/view/2022-04/26/content_10150581.htm; https://www.mfa.gov.tm/en/news/3126; http://mod.gov.cn/topnews/2022-04/26/content_4909874.htm"/>
    <m/>
  </r>
  <r>
    <x v="1"/>
    <x v="2"/>
    <s v="America and Oceania"/>
    <s v="No Specific Relationship"/>
    <x v="2"/>
    <s v="NORTHCOM"/>
    <x v="4"/>
    <x v="31"/>
    <n v="4"/>
    <s v="BL - Virtual"/>
    <s v="Wei Fenghe"/>
    <m/>
    <s v="Defense Minister; CMC Member"/>
    <n v="8"/>
    <x v="4"/>
    <s v="Secretary of Defense Austin"/>
    <x v="0"/>
    <m/>
    <m/>
    <m/>
    <m/>
    <x v="12"/>
    <m/>
    <m/>
    <s v="http://english.chinamil.com.cn/view/2022-04/20/content_10149377.htm; "/>
    <m/>
  </r>
  <r>
    <x v="1"/>
    <x v="1"/>
    <s v="Asia "/>
    <s v="Comprehensive Strategic Cooperative Partnership [全面战略合作伙伴关系]"/>
    <x v="0"/>
    <s v="INDOPACOM"/>
    <x v="23"/>
    <x v="31"/>
    <n v="4"/>
    <s v="BL - Abroad"/>
    <s v="Wei Fenghe"/>
    <m/>
    <s v="Defense Minister; CMC Member"/>
    <n v="8"/>
    <x v="1"/>
    <s v="Minister of Defence General Phan Van Giang"/>
    <x v="0"/>
    <m/>
    <m/>
    <m/>
    <m/>
    <x v="12"/>
    <m/>
    <m/>
    <s v="http://english.chinamil.com.cn/view/2022-04/23/content_10149962.htm "/>
    <s v="Meeting took place on both sides of China, Vietnam border; coded as abroad because PRC MINDEF traveled to get there."/>
  </r>
  <r>
    <x v="1"/>
    <x v="7"/>
    <s v="West Asia and Africa"/>
    <s v="Comprehensive Strategic Cooperative Partnership [全面战略合作伙伴关系]"/>
    <x v="0"/>
    <s v="AFRICOM"/>
    <x v="165"/>
    <x v="31"/>
    <n v="5"/>
    <s v="ML - Virtual"/>
    <s v="Dong Jun"/>
    <m/>
    <s v="PLAN Commander"/>
    <n v="8"/>
    <x v="4"/>
    <s v="&quot;GoG Maritime Security from the Perspective of a Maritime Community with a Shared Future&quot; attended (virtually) by unspecified leaders from the navies and coast guards of Gulf of Guinea countries "/>
    <x v="0"/>
    <m/>
    <m/>
    <m/>
    <m/>
    <x v="12"/>
    <m/>
    <m/>
    <s v="http://eng.mod.gov.cn/xb/News_213114/NewsRelease/4912128.html; http://www.mod.gov.cn/shouye/2022-05/26/content_4911605.htm; "/>
    <s v="Virtual meeting on Gulf of Guinea maritime security organized and funded by China but approved by African Union; included because PLAN commander spoke to audience including regional navy and coast guard leaders."/>
  </r>
  <r>
    <x v="2"/>
    <x v="3"/>
    <s v="Europe and Central Asia"/>
    <s v="Comprehensive Strategic Partnership of Coordination in the New Era [新时代中俄全面战略协作伙伴关系]"/>
    <x v="0"/>
    <s v="EUCOM"/>
    <x v="7"/>
    <x v="31"/>
    <n v="5"/>
    <s v="Military Exercise - Bilateral"/>
    <m/>
    <m/>
    <m/>
    <m/>
    <x v="0"/>
    <m/>
    <x v="9"/>
    <s v="Joint Aerial Strategic Patrol 2022 (I)"/>
    <s v="Air Force"/>
    <s v="fourth &quot;joint strategic air patrol&quot; over the Sea of Japan, the East China Sea, and the Western Pacific Ocean. 4 Chinese H-6K and PLAAF fighters escort;  2 Russian Tu-95 bombers; 1 IL-20 recon plane, and  Su-30SM aircraft providing escort"/>
    <m/>
    <x v="12"/>
    <m/>
    <m/>
    <s v="http://eng.mod.gov.cn/news/2022-05/24/content_4911446.htm; https://www.mod.go.jp/j/press/kisha/2022/0524b_r.html; https://www.reuters.com/world/asia-pacific/russian-chinese-jets-conducted-joint-patrol-moscow-says-2022-05-24/; http://mod.gov.cn/topnews/2022-05/24/content_4911444.htm; http://webcache.googleusercontent.com/search?q=cache:https://www.globaltimes.cn/page/202205/1266462.shtml"/>
    <s v="RECODED as joint patrol; INCLUDED because of external audience."/>
  </r>
  <r>
    <x v="1"/>
    <x v="7"/>
    <s v="West Asia and Africa"/>
    <s v="Comprehensive Cooperative Partnership [全面合作伙伴关系]"/>
    <x v="0"/>
    <s v="AFRICOM"/>
    <x v="16"/>
    <x v="31"/>
    <n v="5"/>
    <s v="BL - Virtual"/>
    <s v="Wei Fenghe"/>
    <m/>
    <s v="Defense Minister; CMC Member"/>
    <n v="8"/>
    <x v="4"/>
    <s v="Minister of Defense  Dr. Stergomena Lawrence Tax"/>
    <x v="0"/>
    <m/>
    <m/>
    <m/>
    <m/>
    <x v="12"/>
    <m/>
    <m/>
    <s v="http://english.chinamil.com.cn/view/2022-06/01/content_10159555.htm ; http://mod.gov.cn/topnews/2022-05/31/content_4911988.htm"/>
    <m/>
  </r>
  <r>
    <x v="1"/>
    <x v="1"/>
    <s v="Asia"/>
    <s v="Comprehensive Strategic Partnership [全面战略伙伴关系]"/>
    <x v="0"/>
    <s v="INDOPACOM"/>
    <x v="153"/>
    <x v="31"/>
    <n v="6"/>
    <s v="ML - Virtual"/>
    <s v="Wei Fenghe"/>
    <m/>
    <s v="Defense Minister; CMC Member"/>
    <n v="8"/>
    <x v="4"/>
    <s v="Thirteenth China-ASEAN Defense Ministers' Informal Meeting (virtual); Cambodian Deputy Prime Minister and Defense Minister General Tea Banh"/>
    <x v="0"/>
    <m/>
    <m/>
    <m/>
    <m/>
    <x v="12"/>
    <m/>
    <m/>
    <s v="http://english.chinamil.com.cn/view/2022-06/22/content_10165610.htm; http://www.news.cn/2021-11/22/c_1128087629.htm"/>
    <s v="CH-ASEAN partnership upgraded in November 2021 to comprehensive strategic partnership"/>
  </r>
  <r>
    <x v="1"/>
    <x v="1"/>
    <s v="Asia"/>
    <s v="No Specific Relationship"/>
    <x v="0"/>
    <s v="INDOPACOM"/>
    <x v="137"/>
    <x v="31"/>
    <n v="6"/>
    <s v="ML - Abroad"/>
    <s v="Wei Fenghe"/>
    <m/>
    <s v="Defense Minister; CMC Member"/>
    <n v="8"/>
    <x v="1"/>
    <s v="19th Shangri-La"/>
    <x v="0"/>
    <m/>
    <m/>
    <m/>
    <m/>
    <x v="12"/>
    <m/>
    <m/>
    <s v="https://www.iiss.org/events/shangri-la-dialogue/shangri-la-dialogue-2022; http://english.chinamil.com.cn/view/2022-06/10/content_10162189.htm ; https://www.defense.gov/News/News-Stories/Article/Article/3058994/austin-meets-with-chinese-counterpart-in-singapore/."/>
    <s v="Shangri-La Dialogue"/>
  </r>
  <r>
    <x v="1"/>
    <x v="0"/>
    <s v="Asia"/>
    <s v="All-Weather Strategic Cooperative Partnership [全天候战略合作伙伴关系]"/>
    <x v="1"/>
    <s v="CENTCOM"/>
    <x v="2"/>
    <x v="31"/>
    <n v="6"/>
    <s v="BL - Hosted"/>
    <s v="Zhang Youxia "/>
    <m/>
    <s v="CMC Vice Chairman"/>
    <n v="10"/>
    <x v="2"/>
    <s v="Chief of Army Staff General Qamar Javed Bajwa  in Qingdao"/>
    <x v="0"/>
    <m/>
    <m/>
    <m/>
    <m/>
    <x v="12"/>
    <m/>
    <m/>
    <s v="http://english.chinamil.com.cn/view/2022-06/12/content_10162474.htm ; https://ispr.gov.pk/press-release-detail.php?id=6407 ; http://www.mod.gov.cn/topnews/2022-06/12/content_4912763.htm"/>
    <s v=" "/>
  </r>
  <r>
    <x v="1"/>
    <x v="1"/>
    <s v="Asia"/>
    <s v="All-Round Cooperative Partnership [全方合作伙伴关系]"/>
    <x v="0"/>
    <s v="INDOPACOM"/>
    <x v="39"/>
    <x v="31"/>
    <n v="6"/>
    <s v="BL - Abroad"/>
    <s v="Wei Fenghe"/>
    <m/>
    <s v="Defense Minister; CMC Member"/>
    <n v="8"/>
    <x v="1"/>
    <s v="Prime Minister Lee Hsien Loong and Defense Minister Ng Eng Hen"/>
    <x v="0"/>
    <m/>
    <m/>
    <m/>
    <m/>
    <x v="12"/>
    <m/>
    <m/>
    <s v="http://english.chinamil.com.cn/view/2022-06/10/content_10162190.htm ; https://www.mindef.gov.sg/web/portal/mindef/news-and-events/latest-releases/article-detail/2022/June/09jun22_nr2; https://www.mindef.gov.sg/web/portal/mindef/news-and-events/latest-releases/article-detail/2022/June/10jun22_nr4"/>
    <s v="BL visit in conjunction with Shangri-la Dialogue"/>
  </r>
  <r>
    <x v="1"/>
    <x v="4"/>
    <s v="Asia"/>
    <s v="Strategic Cooperative Partnership [战略合作伙伴关系]"/>
    <x v="3"/>
    <s v="INDOPACOM"/>
    <x v="25"/>
    <x v="31"/>
    <n v="6"/>
    <s v="ML - Margins"/>
    <s v="Wei Fenghe"/>
    <m/>
    <s v="Defense Minister; CMC Member"/>
    <n v="8"/>
    <x v="1"/>
    <s v="Defense Minister Lee Jong-sup; BL at Shangri-La"/>
    <x v="0"/>
    <m/>
    <m/>
    <m/>
    <m/>
    <x v="12"/>
    <m/>
    <m/>
    <s v="https://www.globaltimes.cn/page/202206/1267790.shtml; https://www.koreaherald.com/view.php?ud=20220612000135"/>
    <m/>
  </r>
  <r>
    <x v="1"/>
    <x v="2"/>
    <s v="America and Oceania"/>
    <s v="No Specific Relationship"/>
    <x v="2"/>
    <s v="NORTHCOM"/>
    <x v="4"/>
    <x v="31"/>
    <n v="6"/>
    <s v="ML - Margins"/>
    <s v="Wei Fenghe"/>
    <m/>
    <s v="Defense Minister; CMC Member"/>
    <n v="8"/>
    <x v="1"/>
    <s v="Secretary of Defense; BL at Shangri-La "/>
    <x v="0"/>
    <m/>
    <m/>
    <m/>
    <m/>
    <x v="12"/>
    <m/>
    <m/>
    <s v="https://www.iiss.org/events/shangri-la-dialogue/shangri-la-dialogue-2022; http://english.chinamil.com.cn/view/2022-06/10/content_10162189.htm ; https://www.defense.gov/News/News-Stories/Article/Article/3058994/austin-meets-with-chinese-counterpart-in-singapore/; http://www.mod.gov.cn/topnews/2022-06/10/content_4912676.htm"/>
    <s v="on margins of shangri-la Dialogue"/>
  </r>
  <r>
    <x v="1"/>
    <x v="7"/>
    <s v="West Asia and Africa"/>
    <s v="Comprehensive Strategic Cooperative Partnership [全面战略合作伙伴关系]"/>
    <x v="0"/>
    <s v="AFRICOM"/>
    <x v="165"/>
    <x v="31"/>
    <n v="7"/>
    <s v="ML - Virtual"/>
    <s v="Wei Fenghe"/>
    <m/>
    <s v="Defense Minister; CMC Member"/>
    <n v="8"/>
    <x v="4"/>
    <s v="Second China-Africa Defense and Security Forum (virtual)"/>
    <x v="0"/>
    <m/>
    <m/>
    <s v="second China-Africa Defense and Security Forum; More than 50 ministerial-level leaders and senior-level representatives from the African Union and African countries "/>
    <m/>
    <x v="12"/>
    <m/>
    <m/>
    <s v="http://eng.mod.gov.cn/xb/News_213114/TopStories/4916451.html ; http://www.mod.gov.cn/topnews/2022-07/25/content_4916530.htm"/>
    <m/>
  </r>
  <r>
    <x v="2"/>
    <x v="1"/>
    <s v="Asia"/>
    <s v="Comprehensive Strategic Cooperative Partnership [全面战略合作伙伴关系]"/>
    <x v="0"/>
    <s v="INDOPACOM"/>
    <x v="52"/>
    <x v="31"/>
    <n v="7"/>
    <s v="Military Exercise - Bilateral"/>
    <m/>
    <m/>
    <m/>
    <m/>
    <x v="0"/>
    <m/>
    <x v="2"/>
    <s v="Peace Train 2022"/>
    <s v="Army"/>
    <m/>
    <m/>
    <x v="12"/>
    <m/>
    <m/>
    <s v="http://english.chinamil.com.cn/view/2022-07/16/content_10171410.htm ; http://english.chinamil.com.cn/view/2022-07/29/content_10174579.htm"/>
    <m/>
  </r>
  <r>
    <x v="2"/>
    <x v="0"/>
    <s v="Asia"/>
    <s v="All-Weather Strategic Cooperative Partnership [全天候战略合作伙伴关系]"/>
    <x v="1"/>
    <s v="CENTCOM"/>
    <x v="2"/>
    <x v="31"/>
    <n v="7"/>
    <s v="Military Exercise - Bilateral"/>
    <m/>
    <m/>
    <m/>
    <m/>
    <x v="0"/>
    <m/>
    <x v="3"/>
    <s v="Sea Guardians Naval Exercise"/>
    <s v="Navy"/>
    <s v="Exercise off Shanghai. Maritime exercise phase include attacking at maritime targets, tactical maneuver, anti-submarine operation, replenishment at sea, reinforcing damaged ships, anti-aircraft and anti-missile operations, etc. guided-missile frigates Xiangtan and Shuozhou , supply ship Qiandaohu, and one submarine, one early warning aircraft, two fighter jets and one helicopter. Pakistan Navy sent the Frigate Taimur "/>
    <m/>
    <x v="12"/>
    <m/>
    <m/>
    <s v="http://eng.mod.gov.cn/news/2022-07/10/content_4915287.htm ; https://www.81.cn/jfjbmap/content/2022-07/11/content_319532.htm"/>
    <m/>
  </r>
  <r>
    <x v="1"/>
    <x v="2"/>
    <s v="America and Oceania"/>
    <s v="No Specific Relationship"/>
    <x v="2"/>
    <s v="NORTHCOM"/>
    <x v="4"/>
    <x v="31"/>
    <n v="7"/>
    <s v="BL - Virtual"/>
    <s v="Li Zuocheng"/>
    <m/>
    <s v="CMC/JSD Commander; CMC Member"/>
    <n v="8"/>
    <x v="4"/>
    <s v="CJCS Milley"/>
    <x v="0"/>
    <m/>
    <m/>
    <s v=" "/>
    <m/>
    <x v="118"/>
    <s v=" "/>
    <m/>
    <s v="http://english.chinamil.com.cn/view/2022-07/08/content_10169690.htm ; https://www.jcs.mil/Media/News/News-Display/Article/3087255/readout-of-chairman-of-the-joint-chiefs-of-staff-gen-mark-a-milleys-video-telec//"/>
    <m/>
  </r>
  <r>
    <x v="1"/>
    <x v="1"/>
    <s v="Asia"/>
    <s v="Comprehensive Strategic Cooperative Partnership [全面战略合作伙伴关系]"/>
    <x v="0"/>
    <s v="INDOPACOM"/>
    <x v="94"/>
    <x v="31"/>
    <n v="8"/>
    <s v="BL - Hosted"/>
    <s v="Xu Qiliang"/>
    <m/>
    <s v="CMC Vice Chairman"/>
    <n v="10"/>
    <x v="2"/>
    <s v="Deputy PM and MINDEF General Tea Banh "/>
    <x v="0"/>
    <m/>
    <m/>
    <m/>
    <m/>
    <x v="12"/>
    <m/>
    <m/>
    <s v="http://english.chinamil.com.cn/view/2022-08/15/content_10178351.htm ; http://www.mod.gov.cn/topnews/2022-08/15/content_4918333.htm"/>
    <m/>
  </r>
  <r>
    <x v="2"/>
    <x v="8"/>
    <s v="Europe and Central Asia"/>
    <s v="Comprehensive Strategic Partnership of Coordination in the New Era [新时代中俄全面战略协作伙伴关系]"/>
    <x v="0"/>
    <s v="EUCOM"/>
    <x v="7"/>
    <x v="31"/>
    <n v="8"/>
    <s v="Military Exercise - Multilateral"/>
    <m/>
    <m/>
    <m/>
    <m/>
    <x v="0"/>
    <m/>
    <x v="6"/>
    <s v="International Army Games 2022"/>
    <s v="Army"/>
    <s v="co-hosted by 12 countries including China, Russia and Iran, attracting more than 270 military teams from 37 countries"/>
    <m/>
    <x v="12"/>
    <m/>
    <m/>
    <s v="http://eng.mod.gov.cn/news/2022-08/13/content_4918107.htm ; http://eng.mod.gov.cn/news/2022-08/15/content_4918300.htm ; http://eng.mod.gov.cn/news/2022-08/15/content_4918346.htm; http://eng.mod.gov.cn/news/2022-08/16/content_4918373.htm ; "/>
    <s v="CODED as Russia (main host) and Army since most activities are army and none are joint"/>
  </r>
  <r>
    <x v="1"/>
    <x v="3"/>
    <s v="Europe and Central Asia"/>
    <s v="Comprehensive Strategic Partnership of Coordination in the New Era [新时代中俄全面战略协作伙伴关系]"/>
    <x v="0"/>
    <s v="EUCOM"/>
    <x v="7"/>
    <x v="31"/>
    <n v="8"/>
    <s v="ML - Virtual"/>
    <s v="Wei Fenghe"/>
    <m/>
    <s v="Defense Minister; CMC Member"/>
    <n v="8"/>
    <x v="4"/>
    <s v="Russian MINDEF at Moscow Conference on International Security"/>
    <x v="0"/>
    <m/>
    <m/>
    <m/>
    <m/>
    <x v="12"/>
    <m/>
    <m/>
    <s v="http://english.chinamil.com.cn/view/2022-08/16/content_10178641.htm"/>
    <s v="Russian Defense Ministry's Moscow Conference on International Security"/>
  </r>
  <r>
    <x v="1"/>
    <x v="6"/>
    <s v="Europe and Central Asia"/>
    <s v="Member"/>
    <x v="0"/>
    <s v="CENTCOM"/>
    <x v="14"/>
    <x v="31"/>
    <n v="8"/>
    <s v="ML - Virtual"/>
    <s v="Wei Fenghe"/>
    <m/>
    <s v="Defense Minister; CMC Member"/>
    <n v="8"/>
    <x v="4"/>
    <s v="19th meeting of the SCO Ministers of Defense in Uzbekistan; PRC MINDEF attended virtually"/>
    <x v="0"/>
    <m/>
    <m/>
    <m/>
    <m/>
    <x v="12"/>
    <m/>
    <m/>
    <s v="http://eng.mod.gov.cn/xb/News_213114/TopStories/4919270.html; http://www.mod.gov.cn/topnews/2022-08/16/content_4918380.htm?yikikata=df5f3a83-8182ecd0378a8f8e31cc4b495d56d562"/>
    <s v="Council of Ministers of Defense of Shanghai Cooperation Organization (SCO) Member States "/>
  </r>
  <r>
    <x v="1"/>
    <x v="1"/>
    <s v="Asia"/>
    <s v="Comprehensive Strategic Cooperative Partnership [全面战略合作伙伴关系]"/>
    <x v="3"/>
    <s v="INDOPACOM"/>
    <x v="5"/>
    <x v="31"/>
    <n v="8"/>
    <s v="BL - Virtual"/>
    <s v="Chang Dingqiu"/>
    <m/>
    <s v="PLAAF Commander"/>
    <n v="8"/>
    <x v="4"/>
    <s v="Royal Thai Air Force Commander Air Chief Marshal Napadej Dhupatemiya"/>
    <x v="0"/>
    <m/>
    <m/>
    <m/>
    <m/>
    <x v="12"/>
    <m/>
    <m/>
    <s v="http://english.chinamil.com.cn/view/2022-08/09/content_10177081.htm ; http://mod.gov.cn/topnews/2022-08/09/content_4917746.htm"/>
    <m/>
  </r>
  <r>
    <x v="2"/>
    <x v="1"/>
    <s v="Asia"/>
    <s v="Comprehensive Strategic Cooperative Partnership [全面战略合作伙伴关系]"/>
    <x v="3"/>
    <s v="INDOPACOM"/>
    <x v="5"/>
    <x v="31"/>
    <n v="8"/>
    <s v="Military Exercise - Bilateral"/>
    <m/>
    <m/>
    <m/>
    <m/>
    <x v="0"/>
    <m/>
    <x v="3"/>
    <s v="Falcon Strike 2022"/>
    <s v="Air Force"/>
    <s v="At Udorn AFB Thailand, PLAAF sent fighter jets, fighter-bombers and airborne early warning (AEW) aircraft, and the Royal Thai Air Force will send its fighter jets and AEW aircraft"/>
    <m/>
    <x v="12"/>
    <m/>
    <m/>
    <s v="http://english.chinamil.com.cn/view/2022-08/12/content_10177822.htm ; https://www.bangkokpost.com/thailand/general/2368535/rtaf-launches-falcon-strike-2022 ; "/>
    <m/>
  </r>
  <r>
    <x v="1"/>
    <x v="0"/>
    <s v="Asia"/>
    <s v="All-Weather Strategic Cooperative Partnership [全天候战略合作伙伴关系]"/>
    <x v="1"/>
    <s v="CENTCOM"/>
    <x v="2"/>
    <x v="31"/>
    <n v="9"/>
    <s v="BL - Hosted"/>
    <s v="Wei Fenghe"/>
    <m/>
    <s v="Defense Minister; CMC Member"/>
    <n v="8"/>
    <x v="2"/>
    <s v="Chief of Army Staff General Qamar Javed Bajwa  in Xi'an"/>
    <x v="0"/>
    <m/>
    <m/>
    <m/>
    <m/>
    <x v="12"/>
    <m/>
    <m/>
    <s v="http://english.chinamil.com.cn/view/2022-06/12/content_10162474.htm ; https://ispr.gov.pk/press-release-detail.php?id=6407 ; http://www.mod.gov.cn/topnews/2022-06/12/content_4912763.htm"/>
    <s v=" "/>
  </r>
  <r>
    <x v="2"/>
    <x v="3"/>
    <s v="Europe and Central Asia"/>
    <s v="Comprehensive Strategic Partnership of Coordination in the New Era [新时代中俄全面战略协作伙伴关系]"/>
    <x v="0"/>
    <s v="EUCOM"/>
    <x v="7"/>
    <x v="31"/>
    <n v="9"/>
    <s v="Military Exercise - Multilateral"/>
    <m/>
    <m/>
    <m/>
    <m/>
    <x v="0"/>
    <m/>
    <x v="3"/>
    <s v="Vostok 2022"/>
    <s v="Joint"/>
    <s v="Army, navy and air force units from the PLA Northern Theater Command, with more than 2,000 members, as well as more than 300 vehicles and equipment of various types, 21 fixed-wing aircraft and helicopters, and three ships; Also taking part: Azerbaijan, Algeria, Armenia, Belarus, China, India, Kazakhstan, Laos, Mongolia, Nicaragua, Syria and Tajikistan, the Defence Ministry said.  Exercise was smaller than in years past"/>
    <m/>
    <x v="12"/>
    <m/>
    <m/>
    <s v="http://english.chinamil.com.cn/view/2022-09/01/content_10182185.htm; http://www.mod.gov.cn/topnews/2022-08/15/content_4918333.htm; https://www.81.cn/jfjbmap/content/2022-08/12/content_321785.htm; https://www.81.cn/jfjbmap/content/2022-08/14/content_321905.htm; https://www.81.cn/jfjbmap/content/2022-09/04/content_323410.htm https://www.81.cn/jfjbmap/content/2022-08/13/content_321864.htm"/>
    <m/>
  </r>
  <r>
    <x v="2"/>
    <x v="3"/>
    <s v="Europe and Central Asia"/>
    <s v="Comprehensive Strategic Partnership of Coordination in the New Era [新时代中俄全面战略协作伙伴关系]"/>
    <x v="0"/>
    <s v="EUCOM"/>
    <x v="7"/>
    <x v="31"/>
    <n v="9"/>
    <s v="Military Exercise - Bilateral"/>
    <m/>
    <m/>
    <m/>
    <m/>
    <x v="0"/>
    <m/>
    <x v="9"/>
    <s v="Joint Maritime Cruise"/>
    <s v="Navy"/>
    <s v="Destroyer Nanchang (PN 101) [南昌舰], Frigate Yancheng (PN 546) [盐城舰], and the Comprehensive Resupply Ship Dongpinghu (PN 902) [东平湖舰]. The Russian Navy sent five ships in total, namely the frigate Marshal Shaposhnikov (PN 543), the replenishment ship Pechenga (PN unknown), the Russian Navy corvettes Sovershennyy (PN 333), Gromkiy (PN 335) and Hero of the Russian Federation Aldar Tsydenzhapov (PN 339) sighted near Alaska by USCG cutter"/>
    <m/>
    <x v="12"/>
    <m/>
    <m/>
    <s v="https://tass.com/defense/1512075; https://apnews.com/article/russia-ukraine-china-alaska-honolulu-coast-guard-54638cccc30d5a0f8879022f493a6302"/>
    <s v=" joint maritime cruise; included because not a CBM."/>
  </r>
  <r>
    <x v="1"/>
    <x v="1"/>
    <s v="Asia"/>
    <s v="Comprehensive Strategic Cooperative Partnership [全面战略合作伙伴关系]"/>
    <x v="0"/>
    <s v="INDOPACOM"/>
    <x v="23"/>
    <x v="31"/>
    <n v="9"/>
    <s v="BL - Virtual"/>
    <s v="Yuan Huazhi"/>
    <m/>
    <s v="PLAN PC"/>
    <n v="6"/>
    <x v="4"/>
    <s v="Vietnamese Navy Political Commissar Nguyen Van Bong "/>
    <x v="0"/>
    <m/>
    <m/>
    <m/>
    <m/>
    <x v="12"/>
    <m/>
    <m/>
    <s v="http://english.chinamil.com.cn/view/2022-09/29/content_10188309.htm "/>
    <m/>
  </r>
  <r>
    <x v="1"/>
    <x v="4"/>
    <s v="Asia"/>
    <s v="N/A"/>
    <x v="0"/>
    <s v="INDOPACOM"/>
    <x v="161"/>
    <x v="31"/>
    <n v="10"/>
    <s v="ML - Hosted"/>
    <s v="Wang Chunning "/>
    <m/>
    <s v="PAP Commander"/>
    <n v="6"/>
    <x v="2"/>
    <s v="Great Wall 2022 Counterterrorism Forum; 170 representatives from 30 countries, including China, Russia, Pakistan, Brazil, and Italy"/>
    <x v="0"/>
    <m/>
    <m/>
    <m/>
    <m/>
    <x v="12"/>
    <m/>
    <m/>
    <s v="http://eng.mod.gov.cn/news/2022-08/31/content_4919940.htm; http://www.news.cn/2022-08/31/c_1128965483.htm"/>
    <s v="PAP CDR gave speech; attendees includes &quot;leaders of armed police&quot; from other countries."/>
  </r>
  <r>
    <x v="1"/>
    <x v="4"/>
    <s v="Asia"/>
    <s v="N/A"/>
    <x v="0"/>
    <s v="INDOPACOM"/>
    <x v="161"/>
    <x v="31"/>
    <n v="10"/>
    <s v="ML - Hosted"/>
    <s v="Jia Zhigang "/>
    <m/>
    <s v="PLAAF Deputy Commander"/>
    <n v="5"/>
    <x v="2"/>
    <s v="International Military Flight Training Conference 2022 and Zhuhai Forum; 28 Chinese and foreign representatives (21 of whom were from foreign countries) spoke on the conference’s main topic of “Talented Personnel, Innovation, Cooperation, and Development” , both in-person and virtually"/>
    <x v="0"/>
    <m/>
    <m/>
    <m/>
    <m/>
    <x v="12"/>
    <m/>
    <m/>
    <s v="http://eng.mod.gov.cn/news/2022-11/07/content_4925376.htm;  https://news.cgtn.com/news/2022-11-10/Intl-Military-Flight-Training-Conference-held-in-Guangdong-Province-1eQ9ViotgUo/index.html; http://www.news.cn/politics/2022-11/06/c_1129106293.htm; https://www.81.cn/jfjbmap/content/2022-11/07/content_327244.htm; "/>
    <s v="PLAAF Deputy CDR gave speech; not clear if attendees are on that level but they have been in the past. Hybrid event"/>
  </r>
  <r>
    <x v="1"/>
    <x v="3"/>
    <s v="Europe and Central Asia"/>
    <s v="Comprehensive Strategic Partnership of Coordination in the New Era [新时代中俄全面战略协作伙伴关系]"/>
    <x v="0"/>
    <s v="EUCOM"/>
    <x v="7"/>
    <x v="31"/>
    <n v="10"/>
    <s v="BL - Virtual"/>
    <s v="Wei Fenghe"/>
    <m/>
    <s v="Defense Minister; CMC Member"/>
    <n v="8"/>
    <x v="4"/>
    <s v="MINDEF Sergey Shoigu"/>
    <x v="0"/>
    <m/>
    <m/>
    <m/>
    <m/>
    <x v="12"/>
    <m/>
    <m/>
    <s v="http://eng.mod.gov.cn/news/2022-10/27/content_4924562.htm "/>
    <s v="Russian Defense Ministry's Moscow Conference on International Security"/>
  </r>
  <r>
    <x v="1"/>
    <x v="7"/>
    <s v="West Asia and Africa"/>
    <s v="Comprehensive Strategic Cooperative Partnership [全面战略合作伙伴关系]"/>
    <x v="0"/>
    <s v="AFRICOM"/>
    <x v="152"/>
    <x v="31"/>
    <n v="10"/>
    <s v="ML - Abroad"/>
    <s v="Liu Wenqi"/>
    <m/>
    <s v="Commander, Northern TC Air Force"/>
    <n v="5"/>
    <x v="1"/>
    <s v="Senegal AF Commander; Africa Airforce Forum"/>
    <x v="0"/>
    <m/>
    <m/>
    <m/>
    <m/>
    <x v="12"/>
    <m/>
    <m/>
    <s v="https://airforceafrica.com/#overview; http://eng.mod.gov.cn/news/2022-10/27/content_4924560.htm "/>
    <s v="Participate in Africa Airforce Forum; Coded as Senegal because they are the host"/>
  </r>
  <r>
    <x v="1"/>
    <x v="1"/>
    <s v="Asia"/>
    <s v="Comprehensive Strategic Partnership [全面战略伙伴关系]"/>
    <x v="0"/>
    <s v="INDOPACOM"/>
    <x v="153"/>
    <x v="31"/>
    <n v="11"/>
    <s v="ML - Abroad"/>
    <s v="Wei Fenghe"/>
    <m/>
    <s v="Defense Minister; CMC Member"/>
    <n v="8"/>
    <x v="1"/>
    <s v="ADMM+"/>
    <x v="0"/>
    <m/>
    <m/>
    <m/>
    <m/>
    <x v="12"/>
    <m/>
    <m/>
    <s v="http://eng.mod.gov.cn/news/2022-11/19/content_4926527.htm 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http://eng.mod.gov.cn/news/2022-11/23/content_4926805.htm"/>
    <m/>
  </r>
  <r>
    <x v="1"/>
    <x v="1"/>
    <s v="Asia"/>
    <s v="Comprehensive Strategic Cooperative Partnership [全面战略合作伙伴关系]"/>
    <x v="0"/>
    <s v="INDOPACOM"/>
    <x v="94"/>
    <x v="31"/>
    <n v="11"/>
    <s v="BL - Abroad"/>
    <s v="Wei Fenghe"/>
    <m/>
    <s v="Defense Minister; CMC Member"/>
    <n v="8"/>
    <x v="1"/>
    <s v="PM Hun Sen and Defense Minister General Tea Banh "/>
    <x v="0"/>
    <m/>
    <m/>
    <m/>
    <m/>
    <x v="12"/>
    <m/>
    <m/>
    <s v="http://eng.mod.gov.cn/news/2022-11/21/content_4926578.htm"/>
    <s v="BL visit in conjunction with ADMM+ meeting in Cambodia"/>
  </r>
  <r>
    <x v="0"/>
    <x v="1"/>
    <s v="Asia"/>
    <s v="Comprehensive Strategic Partnership [全面战略伙伴关系]"/>
    <x v="0"/>
    <s v="INDOPACOM"/>
    <x v="8"/>
    <x v="31"/>
    <n v="11"/>
    <s v="Port Call - HADR/Friendly"/>
    <m/>
    <m/>
    <m/>
    <m/>
    <x v="0"/>
    <m/>
    <x v="0"/>
    <m/>
    <m/>
    <m/>
    <s v="NETF"/>
    <x v="119"/>
    <s v="East Sea Fleet"/>
    <s v="Peace Ark visit to provide medical services"/>
    <s v="http://eng.mod.gov.cn/news/2022-11/03/content_4925044.htm ; http://mod.gov.cn/topnews/2022-11/01/content_4924827.htm; http://www.news.cn/2022-11/10/c_1129118962.htm; http://english.chinamil.com.cn/view/2022-11/13/content_10198915.htm "/>
    <m/>
  </r>
  <r>
    <x v="1"/>
    <x v="1"/>
    <s v="Asia"/>
    <s v="Comprehensive Strategic Partnership [全面战略伙伴关系]"/>
    <x v="0"/>
    <s v="INDOPACOM"/>
    <x v="8"/>
    <x v="31"/>
    <n v="11"/>
    <s v="BL - Hosted"/>
    <s v="Wei Fenghe"/>
    <m/>
    <s v="Defense Minister; CMC Member"/>
    <n v="8"/>
    <x v="2"/>
    <s v="Defense Minister Prabowo Subianto  in Xi'an"/>
    <x v="0"/>
    <m/>
    <m/>
    <m/>
    <m/>
    <x v="12"/>
    <m/>
    <m/>
    <s v="http://eng.mod.gov.cn/news/2022-11/18/content_4926418.htm"/>
    <m/>
  </r>
  <r>
    <x v="1"/>
    <x v="1"/>
    <s v="Asia"/>
    <s v="Comprehensive Strategic Cooperative Partnership [全面战略合作伙伴关系]"/>
    <x v="0"/>
    <s v="INDOPACOM"/>
    <x v="52"/>
    <x v="31"/>
    <n v="11"/>
    <s v="BL - Hosted"/>
    <s v="Wang Xiubin"/>
    <m/>
    <s v="Southern TC Commander"/>
    <n v="6"/>
    <x v="2"/>
    <s v="Deputy Minister of National Defense and Chief of the General Staff Lieutenant General Khamlieng Outhakaysone,"/>
    <x v="0"/>
    <s v=" "/>
    <s v=" "/>
    <m/>
    <m/>
    <x v="12"/>
    <m/>
    <m/>
    <s v="http://english.chinamil.com.cn/view/2022-11/29/content_10202150.htm "/>
    <s v="Included because of the positions of those involved."/>
  </r>
  <r>
    <x v="1"/>
    <x v="4"/>
    <s v="Asia"/>
    <s v="Comprehensive Strategic Partnership [全面战略伙伴关系]"/>
    <x v="0"/>
    <s v="INDOPACOM"/>
    <x v="53"/>
    <x v="31"/>
    <n v="11"/>
    <s v="BL - Virtual"/>
    <s v="Wei Fenghe"/>
    <m/>
    <s v="Defense Minister; CMC Member"/>
    <n v="8"/>
    <x v="4"/>
    <s v="Minister of Defense Saikhanbayar Gursed "/>
    <x v="0"/>
    <m/>
    <m/>
    <m/>
    <m/>
    <x v="12"/>
    <m/>
    <m/>
    <s v="http://eng.mod.gov.cn/news/2022-11/19/content_4926508.htm "/>
    <m/>
  </r>
  <r>
    <x v="2"/>
    <x v="3"/>
    <s v="Europe and Central Asia"/>
    <s v="Comprehensive Strategic Partnership of Coordination in the New Era [新时代中俄全面战略协作伙伴关系]"/>
    <x v="0"/>
    <s v="EUCOM"/>
    <x v="7"/>
    <x v="31"/>
    <n v="11"/>
    <s v="Military Exercise - Bilateral"/>
    <m/>
    <m/>
    <m/>
    <m/>
    <x v="0"/>
    <m/>
    <x v="9"/>
    <s v="Joint Aerial Strategic Patrol 2022 (II)"/>
    <s v="Air Force"/>
    <s v="&quot;Joint strategic air patrol&quot; over Sea of Japan, the East China Sea and the west Pacific Ocean --PLAAF H-6K strategic bombers, YU-20 tanker aircraft and J-16 fighter jets (which refuel from YU-20); Russian Tu-95MS strategic missile-carrying bomber. Planes land on airfields in each other's territory. First time they conduct two air patrols in one year."/>
    <m/>
    <x v="12"/>
    <m/>
    <m/>
    <s v="http://eng.mod.gov.cn/news/2022-11/30/content_4927318.htm "/>
    <s v="CODED as joint patrol; INCLUDED because of external audience."/>
  </r>
  <r>
    <x v="1"/>
    <x v="1"/>
    <s v="Asia"/>
    <s v="All-Round Cooperative Partnership [全方合作伙伴关系]"/>
    <x v="0"/>
    <s v="INDOPACOM"/>
    <x v="39"/>
    <x v="31"/>
    <n v="11"/>
    <s v="BL - Hosted"/>
    <s v="Wei Fenghe"/>
    <m/>
    <s v="Defense Minister; CMC Member"/>
    <n v="8"/>
    <x v="2"/>
    <s v="Defense Minister Ng Eng Hen in Xi'an"/>
    <x v="0"/>
    <m/>
    <m/>
    <m/>
    <m/>
    <x v="12"/>
    <m/>
    <m/>
    <s v=" http://eng.mod.gov.cn/news/2022-11/18/content_4926382.htm"/>
    <m/>
  </r>
  <r>
    <x v="1"/>
    <x v="2"/>
    <s v="America and Oceania"/>
    <s v="No Specific Relationship"/>
    <x v="2"/>
    <s v="NORTHCOM"/>
    <x v="4"/>
    <x v="31"/>
    <n v="11"/>
    <s v="ML - Margins"/>
    <s v="Wei Fenghe"/>
    <m/>
    <s v="Defense Minister; CMC Member"/>
    <n v="8"/>
    <x v="1"/>
    <s v="Secretary of Defense; BL at ADMM+"/>
    <x v="0"/>
    <m/>
    <m/>
    <m/>
    <m/>
    <x v="12"/>
    <m/>
    <m/>
    <s v="http://eng.mod.gov.cn/news/2022-11/22/content_4926695.htm "/>
    <s v="on margins of ADMM+"/>
  </r>
  <r>
    <x v="0"/>
    <x v="0"/>
    <s v="Asia "/>
    <s v="Strategic Cooperative Partnership [战略合作伙伴关系]"/>
    <x v="0"/>
    <s v="INDOPACOM"/>
    <x v="0"/>
    <x v="31"/>
    <n v="12"/>
    <s v="Port Call - Friendly Visit"/>
    <m/>
    <m/>
    <m/>
    <m/>
    <x v="0"/>
    <m/>
    <x v="0"/>
    <m/>
    <m/>
    <m/>
    <s v="NETF"/>
    <x v="120"/>
    <s v="South Sea Fleet"/>
    <s v="Changsha DDG to Bangladesh to Participate in International Fleet Review"/>
    <s v="http://eng.mod.gov.cn/news/2022-11/26/content_4927059.htm "/>
    <s v="Coded as port call (friendly visit) because a fleet review isn't substantive enough to be called an exercise."/>
  </r>
  <r>
    <x v="1"/>
    <x v="10"/>
    <s v="America and Oceania"/>
    <s v="Comprehensive Cooperative Partnership [全面合作伙伴关系]"/>
    <x v="0"/>
    <s v="SOUTHCOM"/>
    <x v="159"/>
    <x v="31"/>
    <n v="12"/>
    <s v="ML - Virtual"/>
    <s v="Wei Fenghe"/>
    <m/>
    <s v="Defense Minister; CMC Member"/>
    <n v="8"/>
    <x v="4"/>
    <s v="Fifth China-Latin American and the Caribbean States Defense Forum "/>
    <x v="0"/>
    <m/>
    <m/>
    <m/>
    <m/>
    <x v="12"/>
    <m/>
    <m/>
    <s v="http://english.chinamil.com.cn/view/2022-12/13/content_10205508.htm "/>
    <s v="Virtual Meeting of China-LAC Defense Forum.  Coded as CELAC sponsored to match previous iterations."/>
  </r>
  <r>
    <x v="1"/>
    <x v="4"/>
    <s v="Asia"/>
    <s v="N/A"/>
    <x v="0"/>
    <s v="INDOPACOM"/>
    <x v="161"/>
    <x v="31"/>
    <n v="12"/>
    <s v="ML - Virtual"/>
    <s v="Yang Xuejun"/>
    <m/>
    <s v="President, AMS"/>
    <n v="5"/>
    <x v="4"/>
    <s v="Xiangshan Forum (Virtual)"/>
    <x v="0"/>
    <m/>
    <m/>
    <m/>
    <m/>
    <x v="12"/>
    <m/>
    <m/>
    <s v="http://english.chinamil.com.cn/view/2022-12/03/content_10203069.htm "/>
    <s v="Virtual Meeting of Xiangshan Forum"/>
  </r>
  <r>
    <x v="2"/>
    <x v="3"/>
    <s v="Europe and Central Asia"/>
    <s v="Comprehensive Strategic Partnership of Coordination in the New Era [新时代中俄全面战略协作伙伴关系]"/>
    <x v="0"/>
    <s v="EUCOM"/>
    <x v="7"/>
    <x v="31"/>
    <n v="12"/>
    <s v="Military Exercise - Bilateral"/>
    <m/>
    <m/>
    <m/>
    <m/>
    <x v="0"/>
    <m/>
    <x v="3"/>
    <s v="Joint Sea 2022"/>
    <s v="Navy"/>
    <s v="In the East China Sea on December 21-27.  Operations on blockade and control, visit, board, search and seizure (VBSS), air defense, rescue, ASW, destroyers Baotou and Jinan, frigates Binzhou and Yancheng, supply ship Gaoyouhu, as well as submarine, fixed-wing early warning aircraft and anti-submarine patrol aircraft"/>
    <m/>
    <x v="12"/>
    <m/>
    <m/>
    <s v="http://english.chinamil.com.cn/view/2022-12/21/content_10207012.htm ; http://eng.mod.gov.cn/news/2022-12/27/content_4929309.htm "/>
    <s v="Coded as combat because of the combat disciplines involved.  Take another look at earlier exercises in light of Taffer research?"/>
  </r>
  <r>
    <x v="1"/>
    <x v="6"/>
    <s v="Europe and Central Asia"/>
    <s v="Member"/>
    <x v="0"/>
    <s v="CENTCOM"/>
    <x v="14"/>
    <x v="31"/>
    <n v="12"/>
    <s v="ML - Virtual"/>
    <s v="Wei Fenghe"/>
    <m/>
    <s v="Defense Minister; CMC Member"/>
    <n v="8"/>
    <x v="4"/>
    <s v="Joint SCO-CIS Defense Ministers meeting; PRC MINDEF attended virtually"/>
    <x v="0"/>
    <m/>
    <m/>
    <m/>
    <m/>
    <x v="12"/>
    <m/>
    <m/>
    <s v="http://english.chinamil.com.cn/view/2022-12/10/content_10204633.htm "/>
    <s v="Council of Ministers of Defense of Shanghai Cooperation Organization (SCO) Member States "/>
  </r>
  <r>
    <x v="1"/>
    <x v="6"/>
    <s v="Europe and Central Asia"/>
    <s v="Comprehensive Strategic Partnership [全面战略伙伴]"/>
    <x v="0"/>
    <s v="CENTCOM"/>
    <x v="55"/>
    <x v="32"/>
    <n v="1"/>
    <s v="BL - Hosted"/>
    <s v="Wei Fenghe"/>
    <m/>
    <s v="Defense Minister; CMC Member"/>
    <n v="8"/>
    <x v="2"/>
    <s v="Defense Minister Begench Gundogdyev "/>
    <x v="0"/>
    <m/>
    <m/>
    <m/>
    <m/>
    <x v="12"/>
    <m/>
    <m/>
    <s v="http://eng.mod.gov.cn/news/2023-01/06/content_4930109.htm"/>
    <s v="upgraded diplomatic ties to CSP in 2023"/>
  </r>
  <r>
    <x v="1"/>
    <x v="1"/>
    <s v="Asia"/>
    <s v="Comprehensive Strategic Cooperative Partnership [全面战略合作伙伴关系]"/>
    <x v="0"/>
    <s v="INDOPACOM"/>
    <x v="94"/>
    <x v="32"/>
    <n v="2"/>
    <s v="BL - Hosted"/>
    <s v="Zhang Youxia"/>
    <m/>
    <s v="CMC Vice Chairman"/>
    <n v="10"/>
    <x v="2"/>
    <s v="Deputy Commander-in-Chief, RCAF"/>
    <x v="0"/>
    <m/>
    <m/>
    <m/>
    <m/>
    <x v="12"/>
    <m/>
    <m/>
    <s v="http://eng.chinamil.com.cn/CHINA_209163/Exchanges/News_209188/16200864.html"/>
    <m/>
  </r>
  <r>
    <x v="2"/>
    <x v="0"/>
    <s v="Asia"/>
    <s v="All-Weather Strategic Cooperative Partnership [全天候战略合作伙伴关系]"/>
    <x v="1"/>
    <s v="CENTCOM"/>
    <x v="2"/>
    <x v="32"/>
    <n v="2"/>
    <s v="Military Exercise - Multilateral"/>
    <m/>
    <m/>
    <m/>
    <m/>
    <x v="0"/>
    <m/>
    <x v="4"/>
    <s v="AMAN-23"/>
    <s v="Navy"/>
    <s v="Divided into harbor and sea phases, involving warships, aircraft, special operations forces; 50+ observer countries; Nanning guided-missile destroyer"/>
    <m/>
    <x v="12"/>
    <m/>
    <m/>
    <s v="http://eng.chinamil.com.cn/CHINA_209163/Exchanges/News_209188/16201722.html"/>
    <m/>
  </r>
  <r>
    <x v="2"/>
    <x v="7"/>
    <s v="West Asia and Africa"/>
    <s v="Comprehensive Strategic Partnership [全面战略伙伴关系]"/>
    <x v="0"/>
    <s v="AFRICOM"/>
    <x v="15"/>
    <x v="32"/>
    <n v="2"/>
    <s v="Military Exercise - Multilateral"/>
    <m/>
    <m/>
    <m/>
    <m/>
    <x v="0"/>
    <m/>
    <x v="1"/>
    <s v="Unnamed"/>
    <s v="Navy"/>
    <s v="Second Russia-China-South Africa exercise; 42nd Chinese naval escort; Guided missile destroyer Huainan, frigate Rizhao and comprehensive supply ship Kekexilihu; joint escort, boarding and inspection, and CT ops"/>
    <m/>
    <x v="12"/>
    <m/>
    <m/>
    <s v="http://eng.mod.gov.cn/xb/News_213114/TopStories/16203349.html"/>
    <m/>
  </r>
  <r>
    <x v="2"/>
    <x v="1"/>
    <s v="Asia"/>
    <s v="Comprehensive Strategic Partnership [全面战略伙伴]"/>
    <x v="3"/>
    <s v="INDOPACOM"/>
    <x v="5"/>
    <x v="32"/>
    <n v="2"/>
    <s v="Military Exercise - Multilateral"/>
    <m/>
    <m/>
    <m/>
    <m/>
    <x v="1"/>
    <m/>
    <x v="2"/>
    <s v="Cobra Gold 2023"/>
    <s v="Army"/>
    <s v="Southern Theater Command dispatched for tabletop HADR exercises, high-level forum and live drills  "/>
    <m/>
    <x v="12"/>
    <m/>
    <m/>
    <s v="http://eng.mod.gov.cn/xb/News_213114/TopStories/16203770.html"/>
    <s v="upgraded diplomatic ties to CSP in 2023"/>
  </r>
  <r>
    <x v="2"/>
    <x v="1"/>
    <s v="Asia"/>
    <s v="Comprehensive Strategic Cooperative Partnership [全面战略合作伙伴关系]"/>
    <x v="0"/>
    <s v="INDOPACOM"/>
    <x v="94"/>
    <x v="32"/>
    <n v="3"/>
    <s v="Military Exercise - Bilateral"/>
    <m/>
    <m/>
    <m/>
    <m/>
    <x v="0"/>
    <m/>
    <x v="2"/>
    <s v="Golden Dragon 2023"/>
    <s v="Joint"/>
    <s v="more than 200 troops from Army, Navy, and JLSF of Southern Theater Command"/>
    <m/>
    <x v="12"/>
    <m/>
    <m/>
    <s v="http://eng.chinamil.com.cn/CHINA_209163/Exchanges/News_209188/16214214.html"/>
    <m/>
  </r>
  <r>
    <x v="2"/>
    <x v="9"/>
    <s v="West Asia and Africa"/>
    <s v="Comprehensive Strategic Partnership [全面战略伙伴关系]"/>
    <x v="0"/>
    <s v="CENTCOM"/>
    <x v="89"/>
    <x v="32"/>
    <n v="3"/>
    <s v="Military Exercise - Multilateral"/>
    <m/>
    <m/>
    <m/>
    <m/>
    <x v="0"/>
    <m/>
    <x v="5"/>
    <s v="Security Belt 2023"/>
    <s v="Navy"/>
    <s v="with Russia in Gulf of Oman; dispatched guided-missile destroyer CNS Nanning to participate in the_x000a_exercise on aerial search, maritime rescue, ship parade, etc."/>
    <m/>
    <x v="12"/>
    <m/>
    <m/>
    <s v="hxxp://eng.chinamil.com.cn/CHINA_209163/TopStories_209189/16209537.html"/>
    <m/>
  </r>
  <r>
    <x v="1"/>
    <x v="0"/>
    <s v="Asia "/>
    <s v="Strategic Cooperative Partnership [战略合作伙伴关系]"/>
    <x v="0"/>
    <s v="INDOPACOM"/>
    <x v="0"/>
    <x v="32"/>
    <n v="4"/>
    <s v="BL - Hosted"/>
    <s v="Li Shangfu"/>
    <m/>
    <s v="Defense Minister; CMC Member"/>
    <n v="8"/>
    <x v="2"/>
    <s v="Chief of Naval Staff  "/>
    <x v="0"/>
    <m/>
    <m/>
    <m/>
    <m/>
    <x v="12"/>
    <m/>
    <m/>
    <s v="https://web.archive.org/web/20230402152636/hxxp://eng.mod.gov.cn/xb/News_213114/TopStories/16213837.html"/>
    <m/>
  </r>
  <r>
    <x v="1"/>
    <x v="8"/>
    <s v="Europe and Central Asia"/>
    <s v="Comprehensive Strategic Partnership [全面战略伙伴关系]"/>
    <x v="0"/>
    <s v="EUCOM"/>
    <x v="34"/>
    <x v="32"/>
    <n v="4"/>
    <s v="ML - Margins"/>
    <s v="Li Shangfu"/>
    <m/>
    <s v="Defense Minister; CMC Member"/>
    <n v="8"/>
    <x v="1"/>
    <s v="Defense Minister; BL at SCO"/>
    <x v="0"/>
    <m/>
    <m/>
    <m/>
    <m/>
    <x v="12"/>
    <m/>
    <m/>
    <s v="https://web.archive.org/web/20230502045105/http://eng.mod.gov.cn/xb/News_213114/TopStories/16220779.html"/>
    <m/>
  </r>
  <r>
    <x v="1"/>
    <x v="0"/>
    <s v="Asia"/>
    <s v="Strategic Partnership for Peace and Prosperity [战略伙伴关系]"/>
    <x v="0"/>
    <s v="INDOPACOM"/>
    <x v="6"/>
    <x v="32"/>
    <n v="4"/>
    <s v="ML - Margins"/>
    <s v="Li Shangfu"/>
    <m/>
    <s v="Defense Minister; CMC Member"/>
    <n v="8"/>
    <x v="1"/>
    <s v="Defense Minister, BL at SCO"/>
    <x v="0"/>
    <m/>
    <m/>
    <m/>
    <m/>
    <x v="12"/>
    <m/>
    <m/>
    <s v="https://web.archive.org/web/20230502045105/http://eng.mod.gov.cn/xb/News_213114/TopStories/16220779.html"/>
    <m/>
  </r>
  <r>
    <x v="1"/>
    <x v="9"/>
    <s v="West Asia and Africa"/>
    <s v="Comprehensive Strategic Partnership [全面战略伙伴关系]"/>
    <x v="0"/>
    <s v="CENTCOM"/>
    <x v="89"/>
    <x v="32"/>
    <n v="4"/>
    <s v="ML - Margins"/>
    <s v="Li Shangfu"/>
    <m/>
    <s v="Defense Minister; CMC Member"/>
    <n v="8"/>
    <x v="1"/>
    <s v="Defense Minister; BL at SCO"/>
    <x v="0"/>
    <m/>
    <m/>
    <m/>
    <m/>
    <x v="12"/>
    <m/>
    <m/>
    <s v="https://web.archive.org/web/20230502045105/http://eng.mod.gov.cn/xb/News_213114/TopStories/16220779.html"/>
    <m/>
  </r>
  <r>
    <x v="1"/>
    <x v="6"/>
    <s v="Europe and Central Asia"/>
    <s v="Comprehensive Strategic Partnership [全面战略伙伴关系]"/>
    <x v="0"/>
    <s v="CENTCOM"/>
    <x v="30"/>
    <x v="32"/>
    <n v="4"/>
    <s v="ML - Margins"/>
    <s v="Li Shangfu"/>
    <m/>
    <s v="Defense Minister; CMC Member"/>
    <n v="8"/>
    <x v="1"/>
    <s v="Defense Minister; BL at SCO"/>
    <x v="0"/>
    <m/>
    <m/>
    <m/>
    <m/>
    <x v="12"/>
    <m/>
    <m/>
    <s v="https://web.archive.org/web/20230502045105/http://eng.mod.gov.cn/xb/News_213114/TopStories/16220779.html"/>
    <m/>
  </r>
  <r>
    <x v="1"/>
    <x v="6"/>
    <s v="Europe and Central Asia"/>
    <s v="Comprehensive Strategic Partnership [全面战略伙伴关系]"/>
    <x v="0"/>
    <s v="CENTCOM"/>
    <x v="31"/>
    <x v="32"/>
    <n v="4"/>
    <s v="ML - Margins"/>
    <s v="Li Shangfu"/>
    <m/>
    <s v="Defense Minister; CMC Member"/>
    <n v="8"/>
    <x v="1"/>
    <s v="Defense Minister; BL at SCO"/>
    <x v="0"/>
    <m/>
    <m/>
    <m/>
    <m/>
    <x v="12"/>
    <m/>
    <m/>
    <s v="https://web.archive.org/web/20230502045105/http://eng.mod.gov.cn/xb/News_213114/TopStories/16220779.html"/>
    <m/>
  </r>
  <r>
    <x v="1"/>
    <x v="0"/>
    <s v="Asia"/>
    <s v="All-Weather Strategic Cooperative Partnership [全天候战略合作伙伴关系]"/>
    <x v="1"/>
    <s v="CENTCOM"/>
    <x v="2"/>
    <x v="32"/>
    <n v="4"/>
    <s v="BL - Hosted"/>
    <s v="Zhang Youxia"/>
    <m/>
    <s v="CMC Vice Chairman"/>
    <n v="10"/>
    <x v="2"/>
    <s v="Chief Army Staff General Asim Munir in Beijing"/>
    <x v="0"/>
    <m/>
    <m/>
    <m/>
    <m/>
    <x v="12"/>
    <m/>
    <m/>
    <s v="http://eng.mod.gov.cn/xb/CMCDEPARTMENTS/News_213079/16220268.html"/>
    <m/>
  </r>
  <r>
    <x v="1"/>
    <x v="3"/>
    <s v="Europe and Central Asia"/>
    <s v="Comprehensive Strategic Partnership of Coordination in the New Era [新时代中俄全面战略协作伙伴关系]"/>
    <x v="0"/>
    <s v="EUCOM"/>
    <x v="7"/>
    <x v="32"/>
    <n v="4"/>
    <s v="BL - Abroad"/>
    <s v="Li Shangfu"/>
    <m/>
    <s v="Defense Minister; CMC Member"/>
    <n v="8"/>
    <x v="1"/>
    <s v="Russian Defense Minister"/>
    <x v="0"/>
    <m/>
    <m/>
    <m/>
    <m/>
    <x v="12"/>
    <m/>
    <m/>
    <s v="https://web.archive.org/web/20230423044646/http://eng.mod.gov.cn/xb/CMCDEPARTMENTS/News_213079/16218110.html"/>
    <m/>
  </r>
  <r>
    <x v="1"/>
    <x v="3"/>
    <s v="Europe and Central Asia"/>
    <s v="Comprehensive Strategic Partnership of Coordination in the New Era [新时代中俄全面战略协作伙伴关系]"/>
    <x v="0"/>
    <s v="EUCOM"/>
    <x v="7"/>
    <x v="32"/>
    <n v="4"/>
    <s v="ML - Margins"/>
    <s v="Li Shangfu"/>
    <m/>
    <s v="Defense Minister; CMC Member"/>
    <n v="8"/>
    <x v="1"/>
    <s v="Defense Minister; BL at SCO"/>
    <x v="0"/>
    <m/>
    <m/>
    <m/>
    <m/>
    <x v="12"/>
    <m/>
    <m/>
    <s v="https://web.archive.org/web/20230502045105/http:/eng.mod.gov.cn/xb/News_213114/TopStories/16220779.html"/>
    <m/>
  </r>
  <r>
    <x v="1"/>
    <x v="0"/>
    <s v="Asia"/>
    <s v="Member"/>
    <x v="0"/>
    <s v="INDOPACOM"/>
    <x v="14"/>
    <x v="32"/>
    <n v="4"/>
    <s v="ML - Abroad"/>
    <s v="Li Shangfu"/>
    <m/>
    <s v="Defense Minister; CMC Member"/>
    <n v="8"/>
    <x v="1"/>
    <s v="SCO Defense Ministers' meeting in India "/>
    <x v="0"/>
    <m/>
    <m/>
    <m/>
    <m/>
    <x v="12"/>
    <m/>
    <m/>
    <s v="https://www.bbc.com/news/world-asia-india-65399808"/>
    <m/>
  </r>
  <r>
    <x v="2"/>
    <x v="1"/>
    <s v="Asia"/>
    <s v="All-round, high-quality, future-oriented Partnernship [全方位高质量的前瞻性伙伴关系]"/>
    <x v="0"/>
    <s v="INDOPACOM"/>
    <x v="39"/>
    <x v="32"/>
    <n v="4"/>
    <s v="Military Exercise - Bilateral"/>
    <m/>
    <m/>
    <m/>
    <m/>
    <x v="0"/>
    <m/>
    <x v="5"/>
    <s v="China-Singapore Cooperation 2023"/>
    <s v="Navy"/>
    <s v="helicopter cross deck landing, gunnery firing, replenishment-at-sea approaches, search and rescue, simulated minefield transits, ommunication and maneuvring exercises"/>
    <m/>
    <x v="12"/>
    <m/>
    <m/>
    <s v="https://www.mindef.gov.sg/web/portal/mindef/news-and-events/latest-releases/article-detail/2023/April/28apr23_nr"/>
    <s v="upgraded diplomatic ties in 2023"/>
  </r>
  <r>
    <x v="1"/>
    <x v="6"/>
    <s v="Europe and Central Asia"/>
    <s v="Comprehensive Strategic Partnership [全面战略伙伴关系]"/>
    <x v="0"/>
    <s v="CENTCOM"/>
    <x v="60"/>
    <x v="32"/>
    <n v="4"/>
    <s v="ML - Margins"/>
    <s v="Li Shangfu"/>
    <m/>
    <s v="Defense Minister; CMC Member"/>
    <n v="8"/>
    <x v="1"/>
    <s v="Defense Minister; BL at SCO"/>
    <x v="0"/>
    <m/>
    <m/>
    <m/>
    <m/>
    <x v="12"/>
    <m/>
    <m/>
    <s v="https://web.archive.org/web/20230502045105/http://eng.mod.gov.cn/xb/News_213114/TopStories/16220779.html"/>
    <m/>
  </r>
  <r>
    <x v="1"/>
    <x v="1"/>
    <s v="Asia"/>
    <s v="Comprehensive Strategic Partnership [全面战略伙伴]"/>
    <x v="3"/>
    <s v="INDOPACOM"/>
    <x v="5"/>
    <x v="32"/>
    <n v="4"/>
    <s v="BL - Hosted"/>
    <s v="Li Shangfu"/>
    <m/>
    <s v="Defense Minister; CMC Member"/>
    <n v="8"/>
    <x v="2"/>
    <s v="Commander of Navy"/>
    <x v="0"/>
    <m/>
    <m/>
    <m/>
    <m/>
    <x v="12"/>
    <m/>
    <m/>
    <s v="https://web.archive.org/web/20230516080516/hxxp://eng.chinamil.com.cn/CHINA_209163/TopStories_209189/16217124.html"/>
    <m/>
  </r>
  <r>
    <x v="1"/>
    <x v="6"/>
    <s v="Europe and Central Asia"/>
    <s v="Comprehensive Strategic Partnership [全面战略伙伴关系]"/>
    <x v="0"/>
    <s v="CENTCOM"/>
    <x v="73"/>
    <x v="32"/>
    <n v="4"/>
    <s v="ML - Margins"/>
    <s v="Li Shangfu"/>
    <m/>
    <s v="Defense Minister; CMC Member"/>
    <n v="8"/>
    <x v="1"/>
    <s v="Defense Minister; BL at SCO"/>
    <x v="0"/>
    <m/>
    <m/>
    <m/>
    <m/>
    <x v="12"/>
    <m/>
    <m/>
    <s v="https://web.archive.org/web/20230502045105/http://eng.mod.gov.cn/xb/News_213114/TopStories/16220779.html"/>
    <m/>
  </r>
  <r>
    <x v="1"/>
    <x v="7"/>
    <s v="West Asia and Africa"/>
    <s v="Comprehensive Collaborative Stategic Partnership [全面战略合作伙伴关系]"/>
    <x v="0"/>
    <s v="AFRICOM"/>
    <x v="127"/>
    <x v="32"/>
    <n v="5"/>
    <s v="BL - Hosted"/>
    <s v="Li Shangfu"/>
    <m/>
    <s v="Defense Minister; CMC Member"/>
    <n v="8"/>
    <x v="2"/>
    <s v="Defense Minister Jean-Pierre Bemba"/>
    <x v="0"/>
    <m/>
    <m/>
    <m/>
    <m/>
    <x v="12"/>
    <m/>
    <m/>
    <s v="https://web.archive.org/web/20230527163813/http://eng.chinamil.com.cn/CHINA_209163/Exchanges/News_209188/16226936.html"/>
    <s v="upgraded diplomatic ties in 2023"/>
  </r>
  <r>
    <x v="2"/>
    <x v="7"/>
    <s v="West Asia and Africa"/>
    <s v="Comprehensive Cooperative Partnership [全面合作伙伴关系]"/>
    <x v="0"/>
    <s v="AFRICOM"/>
    <x v="95"/>
    <x v="32"/>
    <n v="5"/>
    <s v="Military Exercise - Bilateral"/>
    <m/>
    <m/>
    <m/>
    <m/>
    <x v="0"/>
    <m/>
    <x v="2"/>
    <s v="N/A"/>
    <s v="Army"/>
    <s v="9th military medical expert team sent for medical aid "/>
    <m/>
    <x v="12"/>
    <m/>
    <m/>
    <s v="http://eng.mod.gov.cn/xb/News_213114/TopStories/16224309.html"/>
    <m/>
  </r>
  <r>
    <x v="1"/>
    <x v="4"/>
    <s v="Asia"/>
    <s v="Mutually Beneficial Strategic Relationship [战略互惠关系]"/>
    <x v="3"/>
    <s v="INDOPACOM"/>
    <x v="83"/>
    <x v="32"/>
    <n v="5"/>
    <s v="BL - Virtual"/>
    <s v="Li Shangfu"/>
    <m/>
    <s v="Defense Minister; CMC Member"/>
    <n v="8"/>
    <x v="4"/>
    <s v="Defense Minister Yasukazu Hamada"/>
    <x v="0"/>
    <m/>
    <m/>
    <m/>
    <m/>
    <x v="12"/>
    <m/>
    <m/>
    <s v="https://web.archive.org/web/20230517121938/http://eng.chinamil.com.cn/CHINA_209163/Exchanges/News_209188/16224658.html"/>
    <m/>
  </r>
  <r>
    <x v="2"/>
    <x v="1"/>
    <s v="Asia"/>
    <s v="Comprehensive Strategic Cooperative Partnership [全面战略合作伙伴关系]"/>
    <x v="0"/>
    <s v="INDOPACOM"/>
    <x v="52"/>
    <x v="32"/>
    <n v="5"/>
    <s v="Military Exercise - Bilateral"/>
    <m/>
    <m/>
    <m/>
    <m/>
    <x v="0"/>
    <m/>
    <x v="1"/>
    <s v=" Friendship Shield 2023"/>
    <s v="Army"/>
    <s v="scenario of joint attacks on transnational armed criminal groups based in jungle mountains; includes live arms firing, comprehensive individual training, detachment tactics and combat service support"/>
    <m/>
    <x v="12"/>
    <m/>
    <m/>
    <s v="http://eng.mod.gov.cn/xb/News_213114/TopStories/16223920.html"/>
    <m/>
  </r>
  <r>
    <x v="1"/>
    <x v="5"/>
    <s v="America and Oceania"/>
    <s v="Comprehensive Strategic Partnership [全面战略伙伴关系]"/>
    <x v="4"/>
    <s v="INDOPACOM"/>
    <x v="13"/>
    <x v="32"/>
    <n v="5"/>
    <s v="BL - Hosted"/>
    <s v="???"/>
    <m/>
    <s v="???"/>
    <n v="5"/>
    <x v="2"/>
    <s v="Vice Chief of Defence Force"/>
    <x v="0"/>
    <m/>
    <m/>
    <m/>
    <m/>
    <x v="12"/>
    <m/>
    <m/>
    <s v="http://en.people.cn/n3/2023/0517/c90000-20019709.html; https://www.nzdf.mil.nz/media-centre/news/new-zealand-china-strategic-defence-dialogue/"/>
    <s v="11th New Zealand-China Strategic Defence Dialogue in Xi'an; Vice Chief of Defence Force, Air Vice-Marshal Tony Davies, and Ministry of Defence Deputy Secretary Policy and Planning, Richard Schmidt PLA head of delegation not mentioned but 2019 physical and 2022 virtual meetings were with Chief of JSD Li Zuocheng"/>
  </r>
  <r>
    <x v="1"/>
    <x v="0"/>
    <s v="Asia"/>
    <s v="All-Weather Strategic Cooperative Partnership [全天候战略合作伙伴关系]"/>
    <x v="1"/>
    <s v="CENTCOM"/>
    <x v="2"/>
    <x v="32"/>
    <n v="5"/>
    <s v="BL - Hosted"/>
    <s v="Li Shangfu"/>
    <m/>
    <s v="Defense Minister; CMC Member"/>
    <n v="8"/>
    <x v="2"/>
    <s v="Chief of Naval Staff in Beijing"/>
    <x v="0"/>
    <m/>
    <m/>
    <m/>
    <m/>
    <x v="12"/>
    <m/>
    <m/>
    <s v="https://web.archive.org/web/20230515121150/http://eng.mod.gov.cn/xb/News_213114/TopStories/16222755.html"/>
    <m/>
  </r>
  <r>
    <x v="0"/>
    <x v="1"/>
    <s v="Asia"/>
    <s v="Comprehensive Strategic Cooperative Partnership [全面战略合作伙伴关系]"/>
    <x v="3"/>
    <s v="INDOPACOM"/>
    <x v="5"/>
    <x v="32"/>
    <n v="5"/>
    <s v="Port Call - Friendly Visit"/>
    <m/>
    <m/>
    <m/>
    <m/>
    <x v="0"/>
    <m/>
    <x v="0"/>
    <m/>
    <m/>
    <m/>
    <s v="NETF"/>
    <x v="116"/>
    <s v="South Sea Fleet"/>
    <s v="Qi Jiguang training ship"/>
    <s v="http://eng.chinamil.com.cn/CHINA_209163/Exchanges/News_209188/16227442.html"/>
    <m/>
  </r>
  <r>
    <x v="0"/>
    <x v="1"/>
    <s v="Asia"/>
    <s v="Comprehensive Strategic Partnership [全面战略伙伴关系]"/>
    <x v="0"/>
    <s v="INDOPACOM"/>
    <x v="23"/>
    <x v="32"/>
    <n v="5"/>
    <s v="Port Call - Friendly Visit"/>
    <m/>
    <m/>
    <m/>
    <m/>
    <x v="0"/>
    <m/>
    <x v="0"/>
    <m/>
    <m/>
    <m/>
    <s v="NETF"/>
    <x v="116"/>
    <s v="South Sea Fleet"/>
    <s v="Qi Jiguang training ship"/>
    <s v="http://eng.mod.gov.cn/xb/News_213114/TopStories/16226739.html"/>
    <s v="upgraded diplomatic ties to CSP in 2023"/>
  </r>
  <r>
    <x v="1"/>
    <x v="10"/>
    <s v="America and Oceania"/>
    <s v="Comprehensive Strategic Partnership [全面战略伙伴关系]"/>
    <x v="0"/>
    <s v="SOUTHCOM"/>
    <x v="43"/>
    <x v="32"/>
    <n v="6"/>
    <s v="BL - Abroad"/>
    <s v="Yuan Huazhi"/>
    <m/>
    <s v="PLAN PC"/>
    <n v="8"/>
    <x v="1"/>
    <s v="Navy Commander"/>
    <x v="0"/>
    <m/>
    <m/>
    <m/>
    <m/>
    <x v="12"/>
    <m/>
    <m/>
    <s v="https://www.scmp.com/news/china/diplomacy/article/3224414/brazil-and-china-officials-resume-bilateral-defence-talks-also-discuss-fishing-complaints"/>
    <s v="Resumption of defense ties after a break?"/>
  </r>
  <r>
    <x v="0"/>
    <x v="1"/>
    <s v="Asia"/>
    <s v="Strategic Cooperative Partnership [战略合作伙伴关系]"/>
    <x v="0"/>
    <s v="INDOPACOM"/>
    <x v="44"/>
    <x v="32"/>
    <n v="6"/>
    <s v="Port Call - Friendly Visit"/>
    <m/>
    <m/>
    <m/>
    <m/>
    <x v="0"/>
    <m/>
    <x v="0"/>
    <m/>
    <m/>
    <m/>
    <s v="NETF"/>
    <x v="116"/>
    <s v="South Sea Fleet"/>
    <s v="Qi Jiguang training ship"/>
    <s v="http://eng.chinamil.com.cn/CHINA_209163/Exchanges/News_209188/16228975.html"/>
    <m/>
  </r>
  <r>
    <x v="1"/>
    <x v="1"/>
    <s v="Asia"/>
    <s v="No Specific Relationship"/>
    <x v="0"/>
    <s v="INDOPACOM"/>
    <x v="137"/>
    <x v="32"/>
    <n v="6"/>
    <s v="ML - Abroad"/>
    <s v="Li Shangfu"/>
    <m/>
    <s v="Defense Minister; CMC Member"/>
    <n v="8"/>
    <x v="1"/>
    <s v="20th Shangri-La"/>
    <x v="0"/>
    <m/>
    <m/>
    <m/>
    <m/>
    <x v="12"/>
    <m/>
    <m/>
    <s v="https://www.iiss.org/globalassets/media-library---content--migration/files/shangri-la-dialogue/2023/provisional-transcripts/p-5/general-li-shangfu-state-councilor-minister-of-national-defense-china---provisional.pdf"/>
    <s v="Shangri-La Dialogue"/>
  </r>
  <r>
    <x v="1"/>
    <x v="1"/>
    <s v="Asia"/>
    <s v="Comprehensive Strategic Partnership [全面战略伙伴关系]"/>
    <x v="0"/>
    <s v="INDOPACOM"/>
    <x v="8"/>
    <x v="32"/>
    <n v="6"/>
    <s v="ML - Margins"/>
    <s v="Li Shangfu"/>
    <m/>
    <s v="Defense Minister; CMC Member"/>
    <n v="8"/>
    <x v="1"/>
    <s v="Defense Minister Subianto; BL at Shangri-La"/>
    <x v="0"/>
    <m/>
    <m/>
    <m/>
    <m/>
    <x v="12"/>
    <m/>
    <m/>
    <s v="hxxps://en.antaranews.com/news/283932/ministers-discuss-improving-indonesia-chinadefense-_x000a_cooperation"/>
    <m/>
  </r>
  <r>
    <x v="2"/>
    <x v="1"/>
    <s v="Asia"/>
    <s v="Comprehensive Strategic Partnership [全面战略伙伴关系]"/>
    <x v="0"/>
    <s v="INDOPACOM"/>
    <x v="8"/>
    <x v="32"/>
    <n v="6"/>
    <s v="Military Exercise - Multilateral"/>
    <m/>
    <m/>
    <m/>
    <m/>
    <x v="0"/>
    <m/>
    <x v="2"/>
    <s v="Komodo 2023"/>
    <s v="Navy"/>
    <s v="Maritime. Southern TCN’s destroyer Zhanjiang and frigate Xuchang (Hull 536); more than 40 ships from Indonesia, the US, Russia, Singapore, Pakistan, and other countries; exercise included a fleet review, onshore activities (city parade, maritime exhibition, civil medical_x000a_service, civil engineering program, culinary demonstrations, fun diving and sports exchanges, and_x000a_lectures), and joint maritime drills (search and rescue, maritime interception, damage control, and_x000a_aerial photography), etc"/>
    <m/>
    <x v="12"/>
    <m/>
    <m/>
    <s v="Li Jiayao, ed., “Chinese naval ships arrive for Komodo 2023 multilateral naval exercise,” China Military Online, June 5, 2023, http://eng.mod.gov.cn/xb/News_213114/TopStories/16228883.html. Li Weichao, ed., “Chinese sailors_x000a_participate in exchange activities of 2023 multilateral naval exercise Komodo,” China Military Online, June 8, 2023, http://eng.chinamil.com.cn/CHINA_209163/Exchanges/News_209188/16229816.html. Li Jiayao, ed., “Chinese_x000a_naval ships returns from 2023 multilateral naval exercise Komodo,” China Military Online, June 15, 2023,_x000a_http://eng.mod.gov.cn/xb/News_213114/TopStories/16231506.html."/>
    <s v="Fourth in series; MOOTW based on description of activities, which are mostly HA/DR"/>
  </r>
  <r>
    <x v="0"/>
    <x v="7"/>
    <s v="West Asia and Africa"/>
    <s v="No Specific Relationship"/>
    <x v="0"/>
    <s v="AFRICOM"/>
    <x v="140"/>
    <x v="32"/>
    <n v="6"/>
    <s v="Port Call - Friendly Visit"/>
    <m/>
    <m/>
    <m/>
    <m/>
    <x v="0"/>
    <m/>
    <x v="0"/>
    <m/>
    <m/>
    <m/>
    <s v="ETF"/>
    <x v="121"/>
    <s v="South Sea Fleet"/>
    <s v="DDG162 Nanning, FFG574 Sanya, AOR887 Weishanhu "/>
    <s v="http://eng.chinamil.com.cn/CHINA_209163/TopStories_209189/16233084.html"/>
    <s v="Port call in Abidjan"/>
  </r>
  <r>
    <x v="0"/>
    <x v="7"/>
    <s v="West Asia and Africa"/>
    <s v="No Specific Relationship"/>
    <x v="0"/>
    <s v="AFRICOM"/>
    <x v="140"/>
    <x v="32"/>
    <n v="6"/>
    <s v="Port Call - Friendly Visit"/>
    <m/>
    <m/>
    <m/>
    <m/>
    <x v="0"/>
    <m/>
    <x v="0"/>
    <m/>
    <m/>
    <m/>
    <s v="ETF"/>
    <x v="122"/>
    <m/>
    <s v="DDG162 Nanning, FFG574 Sanya, AOR887 Weishanhu "/>
    <s v="http://eng.mod.gov.cn/xb/News_213114/TopStories/16233085.html"/>
    <m/>
  </r>
  <r>
    <x v="1"/>
    <x v="4"/>
    <s v="Asia"/>
    <s v="Mutually Beneficial Strategic Relationship [战略互惠关系]"/>
    <x v="3"/>
    <s v="INDOPACOM"/>
    <x v="83"/>
    <x v="32"/>
    <n v="6"/>
    <s v="ML - Margins"/>
    <s v="Li Shangfu"/>
    <m/>
    <s v="Defense Minister; CMC Member"/>
    <n v="8"/>
    <x v="1"/>
    <s v="Defense Minister Hamada; BL at Shangri-La"/>
    <x v="0"/>
    <m/>
    <m/>
    <m/>
    <m/>
    <x v="12"/>
    <m/>
    <m/>
    <s v="hxxps://jen.jiji.com/jc/eng?g=eco&amp;k=2023060300538"/>
    <m/>
  </r>
  <r>
    <x v="2"/>
    <x v="4"/>
    <s v="Asia"/>
    <s v="Comprehensive Strategic Partnership [全面战略伙伴关系]"/>
    <x v="0"/>
    <s v="INDOPACOM"/>
    <x v="53"/>
    <x v="32"/>
    <n v="6"/>
    <s v="Military Exercise - Multilateral"/>
    <m/>
    <m/>
    <m/>
    <m/>
    <x v="0"/>
    <m/>
    <x v="2"/>
    <s v="Khaan Quest 2023"/>
    <s v="Army"/>
    <s v="multinational peacekeeping exercise"/>
    <m/>
    <x v="12"/>
    <m/>
    <m/>
    <s v="hxxp://eng.chinamil.com.cn/CHINA_209163/TopStories_209189/16231791.html"/>
    <m/>
  </r>
  <r>
    <x v="1"/>
    <x v="0"/>
    <s v="Asia"/>
    <s v="All-Weather Strategic Cooperative Partnership [全天候战略合作伙伴关系]"/>
    <x v="1"/>
    <s v="CENTCOM"/>
    <x v="2"/>
    <x v="32"/>
    <n v="6"/>
    <s v="BL - Hosted"/>
    <s v="Zhang Youxia"/>
    <m/>
    <s v="CMC Vice Chairman"/>
    <n v="10"/>
    <x v="2"/>
    <s v="Chair of JCS Sahir Shamshad Mirza"/>
    <x v="0"/>
    <m/>
    <m/>
    <m/>
    <m/>
    <x v="12"/>
    <m/>
    <m/>
    <s v="http://eng.chinamil.com.cn/CHINA_209163/Exchanges/News_209188/16232555.html"/>
    <m/>
  </r>
  <r>
    <x v="0"/>
    <x v="1"/>
    <s v="Asia"/>
    <s v="Comprehensive Strategic Partnership [全面战略伙伴关系]"/>
    <x v="3"/>
    <s v="INDOPACOM"/>
    <x v="11"/>
    <x v="32"/>
    <n v="6"/>
    <s v="Port Call - Friendly Visit"/>
    <m/>
    <m/>
    <m/>
    <m/>
    <x v="0"/>
    <m/>
    <x v="0"/>
    <m/>
    <m/>
    <m/>
    <s v="NETF"/>
    <x v="116"/>
    <s v="South Sea Fleet"/>
    <s v="Qi Jiguang training ship"/>
    <s v="http://eng.chinamil.com.cn/CHINA_209163/Exchanges/News_209188/16231164.html"/>
    <m/>
  </r>
  <r>
    <x v="2"/>
    <x v="3"/>
    <s v="Europe and Central Asia"/>
    <s v="Comprehensive Strategic Partnership of Coordination in the New Era [新时代中俄全面战略协作伙伴关系]"/>
    <x v="0"/>
    <s v="EUCOM"/>
    <x v="7"/>
    <x v="32"/>
    <n v="6"/>
    <s v="Military Exercise - Bilateral"/>
    <m/>
    <m/>
    <m/>
    <m/>
    <x v="0"/>
    <m/>
    <x v="9"/>
    <s v="Joint Aerial Strategic Patrol 2023 "/>
    <s v="Air Force"/>
    <s v="&quot;joint strategic air patrols&quot; over the Sea of Japan and the East China Sea"/>
    <m/>
    <x v="12"/>
    <m/>
    <m/>
    <s v="http://eng.mod.gov.cn/xb/News_213114/TopStories/16229301.html"/>
    <m/>
  </r>
  <r>
    <x v="1"/>
    <x v="3"/>
    <s v="Europe and Central Asia"/>
    <s v="Comprehensive Strategic Partnership of Coordination in the New Era [新时代中俄全面战略协作伙伴关系]"/>
    <x v="0"/>
    <s v="EUCOM"/>
    <x v="7"/>
    <x v="32"/>
    <n v="6"/>
    <s v="BL - Virtual"/>
    <s v="Liu Zhenli"/>
    <m/>
    <s v="CMC/JSD Commander; CMC Member"/>
    <n v="8"/>
    <x v="4"/>
    <s v="First Dep. Defense Minister Valery Gerasimov"/>
    <x v="0"/>
    <m/>
    <m/>
    <m/>
    <m/>
    <x v="12"/>
    <m/>
    <m/>
    <s v="http://eng.mod.gov.cn/xb/News_213114/TopStories/16230169.html"/>
    <m/>
  </r>
  <r>
    <x v="1"/>
    <x v="1"/>
    <s v="Asia"/>
    <s v="All-Round Cooperative Partnership [全方合作伙伴关系]"/>
    <x v="0"/>
    <s v="INDOPACOM"/>
    <x v="39"/>
    <x v="32"/>
    <n v="6"/>
    <s v="BL - Abroad"/>
    <s v="Li Shangfu"/>
    <m/>
    <s v="Defense Minister; CMC Member"/>
    <n v="8"/>
    <x v="1"/>
    <s v="Defense Minister Ng Eng Hen"/>
    <x v="0"/>
    <m/>
    <m/>
    <m/>
    <m/>
    <x v="12"/>
    <m/>
    <m/>
    <s v="https://www.mindef.gov.sg/web/portal/mindef/news-and-events/latest-releases/article-detail/2023/June/01jun23_nr"/>
    <m/>
  </r>
  <r>
    <x v="1"/>
    <x v="7"/>
    <s v="West Asia and Africa"/>
    <s v="Comprehensive Strategic Partnership [全面战略伙伴关系]"/>
    <x v="0"/>
    <s v="AFRICOM"/>
    <x v="15"/>
    <x v="32"/>
    <n v="6"/>
    <s v="BL - Hosted"/>
    <s v="Li Shangfu"/>
    <m/>
    <s v="Defense Minister; CMC Member"/>
    <n v="8"/>
    <x v="2"/>
    <s v="Chief of National Defence Force Gen. Rudzani Maphwanya"/>
    <x v="0"/>
    <m/>
    <m/>
    <m/>
    <m/>
    <x v="12"/>
    <m/>
    <m/>
    <s v="https://web.archive.org/web/20230702182208/http://eng.mod.gov.cn/xb/News_213114/TopStories/16232711.html"/>
    <m/>
  </r>
  <r>
    <x v="1"/>
    <x v="1"/>
    <s v="Asia"/>
    <s v="Comprehensive Strategic Cooperative Partnership [全面战略合作伙伴关系]"/>
    <x v="3"/>
    <s v="INDOPACOM"/>
    <x v="5"/>
    <x v="32"/>
    <n v="6"/>
    <s v="BL - Hosted"/>
    <s v="Li Shangfu"/>
    <m/>
    <s v="Defense Minister; CMC Member"/>
    <n v="8"/>
    <x v="2"/>
    <s v="Commander of Royal Thai Army Gen. Narongpan Jitaewtae"/>
    <x v="0"/>
    <m/>
    <m/>
    <m/>
    <m/>
    <x v="12"/>
    <m/>
    <m/>
    <s v="https://web.archive.org/web/20230610215357/http://eng.mod.gov.cn/xb/News_213114/TopStories/16230303.html"/>
    <m/>
  </r>
  <r>
    <x v="1"/>
    <x v="8"/>
    <s v="Europe and Central Asia"/>
    <s v="Strategic Cooperative Partnership [战略合作伙伴关系]"/>
    <x v="0"/>
    <s v="EUCOM"/>
    <x v="26"/>
    <x v="32"/>
    <n v="6"/>
    <s v="ML - Margins"/>
    <s v="Li Shangfu"/>
    <m/>
    <s v="Defense Minister; CMC Member"/>
    <n v="8"/>
    <x v="1"/>
    <s v="Defense Minister; BL at Shangri-La"/>
    <x v="0"/>
    <m/>
    <m/>
    <m/>
    <m/>
    <x v="12"/>
    <m/>
    <m/>
    <s v="hxxps://www.straitstimes.com/singapore/if-xi-gets-putin-to-sendrussia-_x000a_s-troops-home-he-can-broker-peace-ukraine-defence-minister"/>
    <m/>
  </r>
  <r>
    <x v="1"/>
    <x v="1"/>
    <s v="Asia"/>
    <s v="Comprehensive Strategic Partnership [全面战略伙伴关系]"/>
    <x v="0"/>
    <s v="INDOPACOM"/>
    <x v="23"/>
    <x v="32"/>
    <n v="6"/>
    <s v="BL - Hosted"/>
    <s v="Li Shangfu"/>
    <m/>
    <s v="Defense Minister; CMC Member"/>
    <n v="8"/>
    <x v="2"/>
    <s v="Defense Minister Phan Van Giang"/>
    <x v="0"/>
    <m/>
    <m/>
    <m/>
    <m/>
    <x v="12"/>
    <m/>
    <m/>
    <s v="https://web.archive.org/web/20230627122634/http://eng.mod.gov.cn/xb/News_213114/TopStories/16233448.html"/>
    <m/>
  </r>
  <r>
    <x v="0"/>
    <x v="7"/>
    <s v="West Asia and Africa"/>
    <s v="Comprehensive Strategic Partnership [全面战略伙伴关系]"/>
    <x v="0"/>
    <s v="AFRICOM"/>
    <x v="28"/>
    <x v="32"/>
    <n v="7"/>
    <s v="Port Call - Friendly Visit"/>
    <m/>
    <m/>
    <m/>
    <m/>
    <x v="0"/>
    <m/>
    <x v="0"/>
    <m/>
    <m/>
    <m/>
    <s v="ETF"/>
    <x v="121"/>
    <s v="South Sea Fleet"/>
    <s v="DDG Nanning, FFG574 Sanya, AOR887 Weishanhu "/>
    <s v="http://eng.chinamil.com.cn/CHINA_209163/Exchanges/News_209188/16238559.html"/>
    <m/>
  </r>
  <r>
    <x v="0"/>
    <x v="7"/>
    <s v="West Asia and Africa"/>
    <s v="Comprehensive Stategic Cooperative Partnership [全面战略合作伙伴关系]"/>
    <x v="0"/>
    <s v="AFRICOM"/>
    <x v="67"/>
    <x v="32"/>
    <n v="7"/>
    <s v="Port Call - Friendly Visit"/>
    <m/>
    <m/>
    <m/>
    <m/>
    <x v="0"/>
    <m/>
    <x v="0"/>
    <m/>
    <m/>
    <m/>
    <s v="ETF"/>
    <x v="121"/>
    <s v="South Sea Fleet"/>
    <s v="DDG Nanning, FFG574 Sanya, AOR887 Weishanhu "/>
    <s v="http://eng.chinamil.com.cn/CHINA_209163/Exchanges/News_209188/16236373.html"/>
    <m/>
  </r>
  <r>
    <x v="0"/>
    <x v="7"/>
    <s v="West Asia and Africa"/>
    <s v="No Specific Relationship"/>
    <x v="0"/>
    <s v="AFRICOM"/>
    <x v="87"/>
    <x v="32"/>
    <n v="7"/>
    <s v="Port Call - Friendly Visit"/>
    <m/>
    <m/>
    <m/>
    <m/>
    <x v="0"/>
    <m/>
    <x v="0"/>
    <m/>
    <m/>
    <m/>
    <s v="ETF"/>
    <x v="121"/>
    <s v="South Sea Fleet"/>
    <s v="DDG162 Nanning, FFG574 Sanya, AOR887 Weishanhu "/>
    <s v="http://eng.chinamil.com.cn/CHINA_209163/TopStories_209189/16234758.html"/>
    <s v="Port Call in Tema; Note that China and Ghana would establish a strategic partnership in 2024"/>
  </r>
  <r>
    <x v="0"/>
    <x v="5"/>
    <s v="America and Oceania"/>
    <s v="No Specific Relationship"/>
    <x v="0"/>
    <s v="INDOPACOM"/>
    <x v="170"/>
    <x v="32"/>
    <n v="7"/>
    <s v="Port Call - Friendly Visit"/>
    <m/>
    <m/>
    <m/>
    <m/>
    <x v="0"/>
    <m/>
    <x v="0"/>
    <m/>
    <m/>
    <s v="1st visit"/>
    <s v="NETF"/>
    <x v="123"/>
    <m/>
    <m/>
    <s v="http://eng.chinamil.com.cn/CHINA_209163/Exchanges/News_209188/16240091.html"/>
    <m/>
  </r>
  <r>
    <x v="0"/>
    <x v="7"/>
    <s v="West Asia and Africa"/>
    <s v="Comprehensive Strategic Partnership [全面战略伙伴关系]"/>
    <x v="0"/>
    <s v="AFRICOM"/>
    <x v="36"/>
    <x v="32"/>
    <n v="7"/>
    <s v="Port Call - Friendly Visit"/>
    <m/>
    <m/>
    <m/>
    <m/>
    <x v="0"/>
    <m/>
    <x v="0"/>
    <m/>
    <m/>
    <m/>
    <s v="ETF"/>
    <x v="121"/>
    <s v="South Sea Fleet"/>
    <s v="DDG162 Nanning, FFG574 Sanya, AOR887 Weishanhu "/>
    <s v="http://eng.chinamil.com.cn/CHINA_209163/TopStories_209189/16234980.html"/>
    <s v="Port Call in Lagos"/>
  </r>
  <r>
    <x v="1"/>
    <x v="0"/>
    <s v="Asia"/>
    <s v="All-Weather Strategic Cooperative Partnership [全天候战略合作伙伴关系]"/>
    <x v="1"/>
    <s v="CENTCOM"/>
    <x v="2"/>
    <x v="32"/>
    <n v="7"/>
    <s v="BL - Hosted"/>
    <s v="Li Shangfu"/>
    <m/>
    <s v="Defense Minister; CMC Member"/>
    <n v="8"/>
    <x v="2"/>
    <s v="Chief of Air Staff Zaheer Ahmed Baber Sidhu"/>
    <x v="0"/>
    <m/>
    <m/>
    <m/>
    <m/>
    <x v="12"/>
    <m/>
    <m/>
    <s v="https://web.archive.org/web/20230726122636/http://eng.mod.gov.cn/xb/News_213114/TopStories/16239768.html"/>
    <m/>
  </r>
  <r>
    <x v="1"/>
    <x v="3"/>
    <s v="Europe and Central Asia"/>
    <s v="Comprehensive Strategic Partnership of Coordination in the New Era [新时代中俄全面战略协作伙伴关系]"/>
    <x v="0"/>
    <s v="EUCOM"/>
    <x v="7"/>
    <x v="32"/>
    <n v="7"/>
    <s v="BL - Hosted"/>
    <s v="Li Shangfu"/>
    <m/>
    <s v="Defense Minister; CMC Member"/>
    <n v="8"/>
    <x v="2"/>
    <s v="Commander-in-Chief of Russian Navy Adm. Nikolay Yevmenov"/>
    <x v="0"/>
    <m/>
    <m/>
    <m/>
    <m/>
    <x v="12"/>
    <m/>
    <m/>
    <s v="https://web.archive.org/web/20230703103059/http://eng.chinamil.com.cn/CHINA_209163/Exchanges/News_209188/16234783.html"/>
    <m/>
  </r>
  <r>
    <x v="2"/>
    <x v="3"/>
    <s v="Europe and Central Asia"/>
    <s v="Comprehensive Strategic Partnership of Coordination in the New Era [新时代中俄全面战略协作伙伴关系]"/>
    <x v="0"/>
    <s v="EUCOM"/>
    <x v="7"/>
    <x v="32"/>
    <n v="7"/>
    <s v="Military Exercise - Bilateral"/>
    <m/>
    <m/>
    <m/>
    <m/>
    <x v="0"/>
    <m/>
    <x v="3"/>
    <s v="Northern/Interaction 2023"/>
    <s v="Joint"/>
    <s v="joint army and navy training with maritime and air escort, deterrence and expelling, anchorage ground defense; guided missile destroyer Qiqihar in Sea of Japan"/>
    <m/>
    <x v="12"/>
    <m/>
    <m/>
    <s v="http://eng.mod.gov.cn/xb/News_213114/TopStories/16238784.html"/>
    <m/>
  </r>
  <r>
    <x v="0"/>
    <x v="7"/>
    <s v="West Asia and Africa"/>
    <s v="Comprehensive Strategic Partnership [全面战略伙伴关系]"/>
    <x v="0"/>
    <s v="AFRICOM"/>
    <x v="15"/>
    <x v="32"/>
    <n v="7"/>
    <s v="Port Call - Friendly Visit"/>
    <m/>
    <m/>
    <m/>
    <m/>
    <x v="0"/>
    <m/>
    <x v="0"/>
    <m/>
    <m/>
    <m/>
    <s v="ETF"/>
    <x v="121"/>
    <s v="South Sea Fleet"/>
    <s v="DDG162 Nanning, FFG574 Sanya, AOR887 Weishanhu "/>
    <s v="http://eng.mod.gov.cn/xb/News_213114/TopStories/16241200.html"/>
    <m/>
  </r>
  <r>
    <x v="2"/>
    <x v="1"/>
    <s v="Asia"/>
    <s v="Comprehensive Strategic Cooperative Partnership [全面战略合作伙伴关系]"/>
    <x v="3"/>
    <s v="INDOPACOM"/>
    <x v="5"/>
    <x v="32"/>
    <n v="7"/>
    <s v="Military Exercise - Bilateral"/>
    <m/>
    <m/>
    <m/>
    <m/>
    <x v="0"/>
    <m/>
    <x v="3"/>
    <s v="Falcon Strike 2023"/>
    <s v="Air Force"/>
    <s v="PLAF fighter jets, bombers, AEW aircraft, surface-to-air missile fire unit; exercises include air support, joint air defense, large-scale deployment"/>
    <m/>
    <x v="12"/>
    <m/>
    <m/>
    <s v="http://eng.mod.gov.cn/xb/News_213114/TopStories/16236106.html"/>
    <m/>
  </r>
  <r>
    <x v="0"/>
    <x v="5"/>
    <s v="America and Oceania"/>
    <s v="Comprehensive Strategic Partnership [全面战略伙伴关系]"/>
    <x v="0"/>
    <s v="INDOPACOM"/>
    <x v="144"/>
    <x v="32"/>
    <n v="7"/>
    <s v="Port Call - Friendly Visit"/>
    <m/>
    <m/>
    <m/>
    <m/>
    <x v="0"/>
    <m/>
    <x v="0"/>
    <m/>
    <m/>
    <m/>
    <s v="NETF"/>
    <x v="123"/>
    <s v="East Sea Fleet"/>
    <s v="also visited Kiribati, Vanuatu, Solomon Islands and Timor Leste"/>
    <s v="http://eng.chinamil.com.cn/CHINA_209163/Exchanges/News_209188/16236364.html"/>
    <m/>
  </r>
  <r>
    <x v="1"/>
    <x v="8"/>
    <s v="Europe and Central Asia"/>
    <s v="Comprehensive Strategic Partnership [全面战略伙伴关系]"/>
    <x v="0"/>
    <s v="EUCOM"/>
    <x v="34"/>
    <x v="32"/>
    <n v="8"/>
    <s v="BL - Abroad"/>
    <s v="Li Shangfu"/>
    <m/>
    <s v="Defense Minister; CMC Member"/>
    <n v="8"/>
    <x v="1"/>
    <s v="President Lukashenko"/>
    <x v="0"/>
    <m/>
    <m/>
    <m/>
    <m/>
    <x v="12"/>
    <m/>
    <m/>
    <s v="https://web.archive.org/web/20240119185608/http://eng.chinamil.com.cn/CHINA_209163/Exchanges/News_209188/16245838.html"/>
    <m/>
  </r>
  <r>
    <x v="1"/>
    <x v="9"/>
    <s v="West Asia and Africa"/>
    <s v="Comprehensive Strategic Partnership [全面战略伙伴关系]"/>
    <x v="0"/>
    <s v="CENTCOM"/>
    <x v="89"/>
    <x v="32"/>
    <n v="8"/>
    <s v="ML - Margins"/>
    <s v="Li Shangfu"/>
    <m/>
    <s v="Defense Minister; CMC Member"/>
    <n v="8"/>
    <x v="1"/>
    <s v="Defense Minister; BL at MCIS"/>
    <x v="0"/>
    <m/>
    <m/>
    <m/>
    <m/>
    <x v="12"/>
    <m/>
    <m/>
    <s v="https://web.archive.org/web/20240105114406/http://eng.chinamil.com.cn/CHINA_209163/Exchanges/News_209188/16245560.html"/>
    <m/>
  </r>
  <r>
    <x v="1"/>
    <x v="6"/>
    <s v="Europe and Central Asia"/>
    <s v="Comprehensive Strategic Partnership [全面战略伙伴关系]"/>
    <x v="0"/>
    <s v="CENTCOM"/>
    <x v="30"/>
    <x v="32"/>
    <n v="8"/>
    <s v="ML - Margins"/>
    <s v="Li Shangfu"/>
    <m/>
    <s v="Defense Minister; CMC Member"/>
    <n v="8"/>
    <x v="1"/>
    <s v="Defense Minister; BL at MCIS"/>
    <x v="0"/>
    <m/>
    <m/>
    <m/>
    <m/>
    <x v="12"/>
    <m/>
    <m/>
    <s v="https://web.archive.org/web/20240105114406/http://eng.chinamil.com.cn/CHINA_209163/Exchanges/News_209188/16245560.html"/>
    <m/>
  </r>
  <r>
    <x v="0"/>
    <x v="1"/>
    <s v="Asia"/>
    <s v="Comprehensive Strategic Partnership [全面战略伙伴关系]"/>
    <x v="0"/>
    <s v="INDOPACOM"/>
    <x v="10"/>
    <x v="32"/>
    <n v="8"/>
    <s v="Port Call - Friendly Visit"/>
    <m/>
    <m/>
    <m/>
    <m/>
    <x v="0"/>
    <m/>
    <x v="0"/>
    <m/>
    <m/>
    <m/>
    <s v="ETF"/>
    <x v="121"/>
    <s v="South Sea Fleet"/>
    <s v="DDG162 Nanning, FFG574 Sanya, AOR887 Weishanhu "/>
    <s v="http://eng.mod.gov.cn/xb/News_213114/TopStories/16247692.html"/>
    <m/>
  </r>
  <r>
    <x v="2"/>
    <x v="0"/>
    <s v="Asia"/>
    <s v="All-Weather Strategic Cooperative Partnership [全天候战略合作伙伴关系]"/>
    <x v="1"/>
    <s v="CENTCOM"/>
    <x v="2"/>
    <x v="32"/>
    <n v="8"/>
    <s v="Military Exercise - Bilateral"/>
    <m/>
    <m/>
    <m/>
    <m/>
    <x v="0"/>
    <m/>
    <x v="3"/>
    <s v="Shaheen (Eagle)-X"/>
    <s v="Air Force"/>
    <s v="realistic force-on-force combat, joint air defense, countermeasures, seizure and control ops"/>
    <m/>
    <x v="12"/>
    <m/>
    <m/>
    <s v="http://eng.mod.gov.cn/xb/News_213114/TopStories/16248628.html"/>
    <m/>
  </r>
  <r>
    <x v="1"/>
    <x v="3"/>
    <s v="Europe and Central Asia"/>
    <s v="Comprehensive Strategic Partnership of Coordination in the New Era [新时代中俄全面战略协作伙伴关系]"/>
    <x v="0"/>
    <s v="EUCOM"/>
    <x v="7"/>
    <x v="32"/>
    <n v="8"/>
    <s v="ML - Abroad"/>
    <s v="Li Shangfu"/>
    <m/>
    <s v="Defense Minister; CMC Member"/>
    <n v="8"/>
    <x v="1"/>
    <s v="Defense Minister Sergei Shoigu; BL at Moscow Conference on International Security"/>
    <x v="0"/>
    <m/>
    <m/>
    <m/>
    <m/>
    <x v="12"/>
    <m/>
    <m/>
    <s v="https://web.archive.org/web/20240105114406/http://eng.chinamil.com.cn/CHINA_209163/Exchanges/News_209188/16245560.html"/>
    <m/>
  </r>
  <r>
    <x v="1"/>
    <x v="9"/>
    <s v="West Asia and Africa"/>
    <s v="Comprehensive Strategic Partnership [全面战略伙伴关系]"/>
    <x v="0"/>
    <s v="CENTCOM"/>
    <x v="142"/>
    <x v="32"/>
    <n v="8"/>
    <s v="ML - Margins"/>
    <s v="Li Shangfu"/>
    <m/>
    <s v="Defense Minister; CMC Member"/>
    <n v="8"/>
    <x v="1"/>
    <s v="Defense Minister; BL at MCIS"/>
    <x v="0"/>
    <m/>
    <m/>
    <m/>
    <m/>
    <x v="12"/>
    <m/>
    <m/>
    <s v="https://web.archive.org/web/20240105114406/http://eng.chinamil.com.cn/CHINA_209163/Exchanges/News_209188/16245560.html"/>
    <m/>
  </r>
  <r>
    <x v="1"/>
    <x v="9"/>
    <s v="West Asia and Africa"/>
    <s v="Comprehensive Strategic Partnership [全面战略伙伴关系]"/>
    <x v="0"/>
    <s v="CENTCOM"/>
    <x v="106"/>
    <x v="32"/>
    <n v="8"/>
    <s v="BL - Hosted"/>
    <s v="Li Shangfu"/>
    <m/>
    <s v="Defense Minister; CMC Member"/>
    <n v="8"/>
    <x v="2"/>
    <s v="Air Force Commander Ibrahim Nasser Mohamed Al-Alawi"/>
    <x v="0"/>
    <m/>
    <m/>
    <m/>
    <m/>
    <x v="12"/>
    <m/>
    <m/>
    <s v="http://en.people.cn/n3/2023/0823/c90000-20062164.html"/>
    <m/>
  </r>
  <r>
    <x v="1"/>
    <x v="1"/>
    <s v="Asia "/>
    <s v="Comprehensive Strategic Partnership [全面战略伙伴关系]"/>
    <x v="0"/>
    <s v="INDOPACOM"/>
    <x v="23"/>
    <x v="32"/>
    <n v="8"/>
    <s v="ML - Margins"/>
    <s v="Li Shangfu"/>
    <m/>
    <s v="Defense Minister; CMC Member"/>
    <n v="8"/>
    <x v="1"/>
    <s v="Defense Minister; BL at MCIS"/>
    <x v="0"/>
    <m/>
    <m/>
    <m/>
    <m/>
    <x v="12"/>
    <m/>
    <m/>
    <s v="https://web.archive.org/web/20240105114406/http://eng.chinamil.com.cn/CHINA_209163/Exchanges/News_209188/16245560.html"/>
    <m/>
  </r>
  <r>
    <x v="2"/>
    <x v="1"/>
    <s v="Asia"/>
    <s v="Comprehensive Strategic Cooperative Partnership [全面战略合作伙伴关系]"/>
    <x v="0"/>
    <s v="INDOPACOM"/>
    <x v="94"/>
    <x v="32"/>
    <n v="9"/>
    <s v="Military Exercise - Multilateral"/>
    <m/>
    <m/>
    <m/>
    <m/>
    <x v="0"/>
    <m/>
    <x v="2"/>
    <s v="Pure Homeland 2023"/>
    <s v="Army"/>
    <s v="75th group army; joint mine-clearing operation"/>
    <m/>
    <x v="12"/>
    <m/>
    <m/>
    <s v="http://eng.mod.gov.cn/xb/News_213114/TopStories/16250777.html"/>
    <m/>
  </r>
  <r>
    <x v="0"/>
    <x v="1"/>
    <s v="Asia"/>
    <s v="Comprehensive Strategic Partnership [全面战略伙伴关系]"/>
    <x v="0"/>
    <s v="INDOPACOM"/>
    <x v="8"/>
    <x v="32"/>
    <n v="9"/>
    <s v="Port Call - Friendly Visit"/>
    <m/>
    <m/>
    <m/>
    <m/>
    <x v="0"/>
    <m/>
    <x v="0"/>
    <m/>
    <m/>
    <m/>
    <s v="NETF"/>
    <x v="116"/>
    <s v="South Sea Fleet"/>
    <s v="Qi Jiguang training ship"/>
    <s v="http://eng.chinamil.com.cn/CHINA_209163/Exchanges/News_209188/16253531.html"/>
    <m/>
  </r>
  <r>
    <x v="1"/>
    <x v="6"/>
    <s v="Europe and Central Asia"/>
    <s v="Permanent Comprehensive Strategic Partnership [永久全面战略伙伴]"/>
    <x v="0"/>
    <s v="CENTCOM"/>
    <x v="30"/>
    <x v="32"/>
    <n v="9"/>
    <s v="ML - Margins"/>
    <s v="Zhang Youxia"/>
    <m/>
    <s v="Vice Chair CMC"/>
    <n v="10"/>
    <x v="2"/>
    <s v="Defense Minister"/>
    <x v="0"/>
    <m/>
    <m/>
    <m/>
    <m/>
    <x v="12"/>
    <m/>
    <m/>
    <s v="http://www.mod.gov.cn/gfbw/jswj/lf/16338277.html"/>
    <s v="BL during 10th Xiangshan - When meeting with Zakserykov, Zhang Youxia said that President Xi Jinping successfully paid a state visit to Kazakhstan in July this year, held talks with President Tokayev and jointly signed a joint statement, which injected new impetus and drew a new blueprint for the high-quality development of the China-Kazakhstan permanent comprehensive strategic partnership. Under the strategic guidance of the two heads of state, the two militaries should strengthen exchanges at all levels, improve the quality and eﬀectiveness of cooperation in areas such as personnel training and joint exercises, continue to expand areas of cooperation, promote the long-term and stable development of relations between the two militaries, and make positive contributions to building a China-Kazakhstan community with a shared future that features everlasting friendship, high mutual trust, shared weal and woe, and shared prosperity."/>
  </r>
  <r>
    <x v="2"/>
    <x v="1"/>
    <s v="Asia"/>
    <s v="All-Round Cooperative Partnership [全方合作伙伴关系]"/>
    <x v="0"/>
    <s v="INDOPACOM"/>
    <x v="39"/>
    <x v="32"/>
    <n v="9"/>
    <s v="Military Exercise - Bilateral"/>
    <m/>
    <m/>
    <m/>
    <m/>
    <x v="0"/>
    <m/>
    <x v="1"/>
    <s v="Cooperation 2023"/>
    <s v="Army"/>
    <s v="74th group army; sniping tactics, hand-to-hand combat, rappelling and fast-roping, and hostage rescue"/>
    <m/>
    <x v="12"/>
    <m/>
    <m/>
    <s v="http://eng.chinamil.com.cn/CHINA_209163/Exchanges/News_209188/16250353.html"/>
    <m/>
  </r>
  <r>
    <x v="2"/>
    <x v="1"/>
    <s v="Asia"/>
    <s v="Comprehensive Strategic Cooperative Partnership [全面战略合作伙伴关系]"/>
    <x v="3"/>
    <s v="INDOPACOM"/>
    <x v="5"/>
    <x v="32"/>
    <n v="9"/>
    <s v="Military Exercise - Bilateral"/>
    <m/>
    <m/>
    <m/>
    <m/>
    <x v="0"/>
    <m/>
    <x v="3"/>
    <s v="Blue Strike 2023"/>
    <s v="Navy"/>
    <s v="Marine corps: urban warfare, light weapons shooting, sniping tactics, armored tactics, chemical defense, battlefield first aid, wilderness survival, HADR; Navy: manueuvering drills, HADR, anti-sub ops; dock landing ship Simingshan, guided-missile frigate Anyang, supply ship Chaohu"/>
    <m/>
    <x v="12"/>
    <m/>
    <m/>
    <s v="http://eng.chinamil.com.cn/CHINA_209163/Exchanges/News_209188/16249453.html"/>
    <m/>
  </r>
  <r>
    <x v="0"/>
    <x v="1"/>
    <s v="Asia"/>
    <s v="Comprehensive Strategic Partnership [全面战略伙伴关系]"/>
    <x v="0"/>
    <s v="INDOPACOM"/>
    <x v="169"/>
    <x v="32"/>
    <n v="9"/>
    <s v="Port Call - Friendly Visit"/>
    <m/>
    <m/>
    <m/>
    <m/>
    <x v="0"/>
    <m/>
    <x v="0"/>
    <m/>
    <m/>
    <m/>
    <s v="NETF"/>
    <x v="124"/>
    <m/>
    <m/>
    <s v="http://eng.mod.gov.cn/xb/News_213114/TopStories/16250002.html"/>
    <s v="upgraded diplomatic ties to CSP in 2023"/>
  </r>
  <r>
    <x v="2"/>
    <x v="9"/>
    <s v="West Asia and Africa"/>
    <s v="No Specific Relationship"/>
    <x v="0"/>
    <s v="CENTCOM"/>
    <x v="123"/>
    <x v="32"/>
    <n v="10"/>
    <s v="Military Exercise - Bilateral"/>
    <m/>
    <m/>
    <m/>
    <m/>
    <x v="0"/>
    <m/>
    <x v="2"/>
    <s v="N/A"/>
    <s v="Air Force"/>
    <s v="HADR after 6.4-magnitude earthquake; PLAF sent 2 Y-20 transport aircraft"/>
    <m/>
    <x v="12"/>
    <m/>
    <m/>
    <s v="http://eng.mod.gov.cn/xb/News_213114/TopStories/16259037.html"/>
    <m/>
  </r>
  <r>
    <x v="1"/>
    <x v="8"/>
    <s v="Europe and Central Asia"/>
    <s v="Friendly Cooperative Partnership [友好合作伙伴关系]"/>
    <x v="0"/>
    <s v="EUCOM"/>
    <x v="57"/>
    <x v="32"/>
    <n v="10"/>
    <s v="ML - Margins"/>
    <s v="He Weidong"/>
    <m/>
    <s v="CMC Vice Chairman"/>
    <n v="10"/>
    <x v="2"/>
    <s v="Defense Minister Hasanov; BL at Xiangshan"/>
    <x v="0"/>
    <m/>
    <m/>
    <m/>
    <m/>
    <x v="12"/>
    <m/>
    <m/>
    <s v="http://eng.mod.gov.cn/xb/News_213114/TopStories/16263744.html"/>
    <m/>
  </r>
  <r>
    <x v="1"/>
    <x v="1"/>
    <s v="Asia"/>
    <s v="Comprehensive Strategic Cooperative Partnership [全面战略合作伙伴关系]"/>
    <x v="0"/>
    <s v="INDOPACOM"/>
    <x v="94"/>
    <x v="32"/>
    <n v="10"/>
    <s v="ML - Margins"/>
    <s v="He Weidong"/>
    <m/>
    <s v="CMC Vice Chairman"/>
    <n v="10"/>
    <x v="2"/>
    <s v="Defense Minister Tea Seiha; BL at Xiangshan"/>
    <x v="0"/>
    <m/>
    <m/>
    <m/>
    <m/>
    <x v="12"/>
    <m/>
    <m/>
    <s v="http://eng.mod.gov.cn/xb/News_213114/TopStories/16263744.html"/>
    <m/>
  </r>
  <r>
    <x v="0"/>
    <x v="5"/>
    <s v="America and Oceania"/>
    <s v="Comprehensive Strategic Partnership [全面战略伙伴关系]"/>
    <x v="0"/>
    <s v="INDOPACOM"/>
    <x v="128"/>
    <x v="32"/>
    <n v="10"/>
    <s v="Port Call - Friendly Visit"/>
    <m/>
    <m/>
    <m/>
    <m/>
    <x v="0"/>
    <m/>
    <x v="0"/>
    <m/>
    <m/>
    <m/>
    <s v="NETF"/>
    <x v="116"/>
    <s v="South Sea Fleet"/>
    <s v="Qi Jiguang training ship"/>
    <s v="http://eng.chinamil.com.cn/CHINA_209163/Exchanges/News_209188/16257319.html"/>
    <m/>
  </r>
  <r>
    <x v="0"/>
    <x v="9"/>
    <s v="West Asia and Africa"/>
    <s v="Strategic Partnership [战略伙伴关系]"/>
    <x v="1"/>
    <s v="CENTCOM"/>
    <x v="72"/>
    <x v="32"/>
    <n v="10"/>
    <s v="Port Call - Friendly Visit and Drills"/>
    <m/>
    <m/>
    <m/>
    <m/>
    <x v="0"/>
    <m/>
    <x v="0"/>
    <s v="N/A"/>
    <m/>
    <s v="ships conducted a joint maritime exercise"/>
    <m/>
    <x v="125"/>
    <s v="East Sea Fleet"/>
    <s v="DDG156 Zibo, FFG532 Jingzhou, AOR886 Qiandaohu"/>
    <s v="http://eng.mod.gov.cn/xb/News_213114/TopStories/16261491.html"/>
    <s v="Recoded as port call (friendly visit and drills) since the &quot;exercise&quot; took place AFTER departure and involved formation saiing with a Kuwaiti Navy patrol craft"/>
  </r>
  <r>
    <x v="1"/>
    <x v="1"/>
    <s v="Asia"/>
    <s v="Comprehensive Strategic Cooperative Partnership [全面战略合作伙伴关系]"/>
    <x v="0"/>
    <s v="INDOPACOM"/>
    <x v="52"/>
    <x v="32"/>
    <n v="10"/>
    <s v="ML - Margins"/>
    <s v="Zhang Youxia"/>
    <m/>
    <s v="CMC Vice Chairman"/>
    <n v="10"/>
    <x v="2"/>
    <s v="Defense Minister Chansamone Chanyalath; BL at Xiangshan"/>
    <x v="0"/>
    <m/>
    <m/>
    <m/>
    <m/>
    <x v="12"/>
    <m/>
    <m/>
    <s v="http://eng.chinamil.com.cn/CHINA_209163/Exchanges/News_209188/16262919.html"/>
    <m/>
  </r>
  <r>
    <x v="1"/>
    <x v="1"/>
    <s v="Asia"/>
    <s v="Comprehensive Strategic Cooperative Partnership [全面战略合作伙伴关系]"/>
    <x v="0"/>
    <s v="INDOPACOM"/>
    <x v="52"/>
    <x v="32"/>
    <n v="10"/>
    <s v="ML - Margins"/>
    <s v="Zhang Youxia"/>
    <m/>
    <s v="Vice Chair CMC"/>
    <n v="10"/>
    <x v="2"/>
    <s v="Deputy PM and Defense Minister"/>
    <x v="0"/>
    <m/>
    <m/>
    <m/>
    <m/>
    <x v="12"/>
    <m/>
    <m/>
    <s v="http://www.mod.gov.cn/gfbw/jswj/lf/16262759.html"/>
    <s v="BL during 10th Xiangshan - During the talks with Chan Samoeng, Zhang Youxia said that China and Laos are socialist friendly neighbors and an unbreakable community of shared destiny. China is willing to work with Laos to implement the important consensus reached by the leaders of the two parties and the two countries, carry forward traditional friendship, strengthen strategic cooperation, close communication and cooperation, firmly safeguard each other's core interests, and work together to strengthen practical cooperation in various fields to bring more benefits to the two countries and their peoples. It is hoped that the Chinese and Lao militaries will continue to strengthen exchanges at all levels, continuously expand exchanges and cooperation in the fields of border defense, political work, joint exercises and joint training, enhance mutual trust between the two militaries, safeguard common security, and promote the comprehensive and in-depth development of the relationship between the two militaries."/>
  </r>
  <r>
    <x v="1"/>
    <x v="4"/>
    <s v="Asia"/>
    <s v="Comprehensive Strategic Partnership [全面战略伙伴关系]"/>
    <x v="0"/>
    <s v="INDOPACOM"/>
    <x v="53"/>
    <x v="32"/>
    <n v="10"/>
    <s v="ML - Margins"/>
    <s v="Zhang Youxia"/>
    <m/>
    <s v="CMC Vice Chairman"/>
    <n v="10"/>
    <x v="2"/>
    <s v="Defense Minister Gursed Saikhanbayar; BL at Xiangshan"/>
    <x v="0"/>
    <m/>
    <m/>
    <m/>
    <m/>
    <x v="12"/>
    <m/>
    <m/>
    <s v="http://eng.chinamil.com.cn/CHINA_209163/Exchanges/News_209188/16262919.html"/>
    <m/>
  </r>
  <r>
    <x v="1"/>
    <x v="4"/>
    <s v="Asia"/>
    <s v="Comprehensive Strategic Partnership [全面战略伙伴关系]"/>
    <x v="0"/>
    <s v="INDOPACOM"/>
    <x v="53"/>
    <x v="32"/>
    <n v="10"/>
    <s v="ML - Margins"/>
    <s v="Zhang Youxia"/>
    <m/>
    <s v="Vice Chair CMC"/>
    <n v="10"/>
    <x v="2"/>
    <s v="Defense Minister"/>
    <x v="0"/>
    <m/>
    <m/>
    <m/>
    <m/>
    <x v="12"/>
    <m/>
    <m/>
    <s v="http://www.mod.gov.cn/gfbw/jswj/lf/16262759.html"/>
    <s v="BL during 10th Xiangshan - During the talks with Saikhanbayar, Zhang Youxia said that China and Mongolia are friendly neighbors. Under the strategic guidance of the leaders of the two countries, BLeral relations have maintained a good momentum of development in recent years. Next year will be the 75th anniversary of the establishment of diplomatic relations between China and Mongolia and the 30th anniversary of the signing of the Treaty of Friendly Cooperation. It is hoped that the two sides will take this opportunity to strengthen strategic communication and policy coordination and firmly promote the steady and long- term development of China-Mongolia relations in the new era. The Chinese military is willing to work with the Mongolian military to strengthen high-level exchanges, strengthen exchanges and cooperation, and work together to implement the global security initiative proposed by President Xi Jinping, and jointly inject positive energy into regional security and stability."/>
  </r>
  <r>
    <x v="1"/>
    <x v="4"/>
    <s v="Asia"/>
    <s v="N/A"/>
    <x v="0"/>
    <s v="INDOPACOM"/>
    <x v="161"/>
    <x v="32"/>
    <n v="10"/>
    <s v="ML - Hosted"/>
    <s v="Zhang Youxia"/>
    <m/>
    <s v="CMC Vice Chairman"/>
    <n v="10"/>
    <x v="2"/>
    <s v="10th Xiangshan Forum "/>
    <x v="0"/>
    <m/>
    <m/>
    <m/>
    <m/>
    <x v="12"/>
    <m/>
    <m/>
    <s v="https://english.news.cn/20231030/913df68ec0734234b48e19d292378c6f/c.html"/>
    <m/>
  </r>
  <r>
    <x v="1"/>
    <x v="7"/>
    <s v="West Asia and Africa"/>
    <s v="Strategic Partnership [战略伙伴关系]"/>
    <x v="0"/>
    <s v="AFRICOM"/>
    <x v="36"/>
    <x v="32"/>
    <n v="10"/>
    <s v="ML - Margins"/>
    <s v="He Weidong"/>
    <m/>
    <s v="CMC Vice Chairman"/>
    <n v="10"/>
    <x v="2"/>
    <s v="Defense Minister Abubakar; BL at Xiangshan"/>
    <x v="0"/>
    <m/>
    <m/>
    <m/>
    <m/>
    <x v="12"/>
    <m/>
    <m/>
    <s v="http://eng.mod.gov.cn/xb/News_213114/TopStories/16263744.html"/>
    <m/>
  </r>
  <r>
    <x v="0"/>
    <x v="9"/>
    <s v="West Asia and Africa"/>
    <s v="No Specific Relationship"/>
    <x v="0"/>
    <s v="CENTCOM"/>
    <x v="147"/>
    <x v="32"/>
    <n v="10"/>
    <s v="Port Call - Friendly Visit"/>
    <m/>
    <m/>
    <m/>
    <m/>
    <x v="0"/>
    <m/>
    <x v="0"/>
    <m/>
    <m/>
    <s v="Also some joint training on formation maneuver, maritime comms; guided-missile destroyer Zibo and guided-missile frigate Jingzhou"/>
    <s v="ETF"/>
    <x v="125"/>
    <s v="East Sea Fleet"/>
    <s v="DDG156 Zibo, FFG532 Jingzhou, AOR886 Qiandaohu"/>
    <s v="http://eng.chinamil.com.cn/CHINA_209163/Exchanges/News_209188/16259030.html"/>
    <m/>
  </r>
  <r>
    <x v="1"/>
    <x v="1"/>
    <s v="America and Oceania"/>
    <s v="Comprehensive Strategic Partnership [全面战略伙伴关系]"/>
    <x v="0"/>
    <s v="INDOPACOM"/>
    <x v="122"/>
    <x v="32"/>
    <n v="10"/>
    <s v="ML - Margins"/>
    <s v="Zhang Youxia"/>
    <m/>
    <s v="CMC Vice Chairman"/>
    <n v="10"/>
    <x v="2"/>
    <s v="Defense Minister Daki; BL at Xiangshan"/>
    <x v="0"/>
    <m/>
    <m/>
    <m/>
    <m/>
    <x v="12"/>
    <m/>
    <m/>
    <s v="http://eng.mod.gov.cn/xb/News_213114/TopStories/16263732.html"/>
    <m/>
  </r>
  <r>
    <x v="1"/>
    <x v="1"/>
    <s v="America and Oceania"/>
    <s v="Comprehensive Strategic Partnership [全面战略伙伴关系]"/>
    <x v="0"/>
    <s v="INDOPACOM"/>
    <x v="122"/>
    <x v="32"/>
    <n v="10"/>
    <s v="ML - Margins"/>
    <s v="Zhang Youxia"/>
    <m/>
    <s v="Vice Chair CMC"/>
    <n v="10"/>
    <x v="2"/>
    <s v="Minister of Defense"/>
    <x v="0"/>
    <m/>
    <m/>
    <m/>
    <m/>
    <x v="12"/>
    <m/>
    <m/>
    <s v="http://www.mod.gov.cn/gfbw/jswj/lf/16263539.html"/>
    <s v="PCS: Added from Ken Allen BL meeting on margins of 10th Xiangshan Forum"/>
  </r>
  <r>
    <x v="0"/>
    <x v="9"/>
    <s v="West Asia and Africa"/>
    <s v="Strategic Partnership [战略伙伴关系]"/>
    <x v="0"/>
    <s v="CENTCOM"/>
    <x v="131"/>
    <x v="32"/>
    <n v="10"/>
    <s v="Port Call - Friendly Visit"/>
    <m/>
    <m/>
    <m/>
    <m/>
    <x v="0"/>
    <m/>
    <x v="0"/>
    <m/>
    <m/>
    <m/>
    <s v="ETF"/>
    <x v="125"/>
    <s v="East Sea Fleet"/>
    <s v="DDG156 Zibo, FFG532 Jingzhou, AOR886 Qiandaohu"/>
    <s v="http://eng.chinamil.com.cn/CHINA_209163/Exchanges/News_209188/16263183.html"/>
    <m/>
  </r>
  <r>
    <x v="1"/>
    <x v="3"/>
    <s v="Europe and Central Asia"/>
    <s v="Comprehensive Strategic Partnership of Coordination in the New Era [新时代中俄全面战略协作伙伴关系]"/>
    <x v="0"/>
    <s v="EUCOM"/>
    <x v="7"/>
    <x v="32"/>
    <n v="10"/>
    <s v="ML - Margins"/>
    <s v="Zhang Youxia"/>
    <m/>
    <s v="CMC Vice Chairman"/>
    <n v="10"/>
    <x v="2"/>
    <s v="Defense Minister Sergei Shoigu; BL at Xiangshan"/>
    <x v="0"/>
    <m/>
    <m/>
    <m/>
    <m/>
    <x v="12"/>
    <m/>
    <m/>
    <s v="http://eng.mod.gov.cn/xb/News_213114/TopStories/16263192.html"/>
    <m/>
  </r>
  <r>
    <x v="2"/>
    <x v="9"/>
    <s v="West Asia and Africa"/>
    <s v="Comprehensive Strategic Partnership [全面战略伙伴关系]"/>
    <x v="0"/>
    <s v="CENTCOM"/>
    <x v="142"/>
    <x v="32"/>
    <n v="10"/>
    <s v="Military Exercise - Bilateral"/>
    <m/>
    <m/>
    <m/>
    <m/>
    <x v="0"/>
    <m/>
    <x v="1"/>
    <s v="Blue Sword 2023"/>
    <s v="Navy"/>
    <s v="as multiple arms shooting, fast roping from helicopter, boat driving, and underwater explosive ordnance search and disposal; the joint rescue of hijacked merchant ships by the special operations troops of the two navies."/>
    <m/>
    <x v="12"/>
    <m/>
    <m/>
    <s v="http://eng.chinamil.com.cn/CHINA_209163/Exchanges/News_209188/16257598.html"/>
    <m/>
  </r>
  <r>
    <x v="1"/>
    <x v="8"/>
    <s v="Europe and Central Asia"/>
    <s v="Comprehensive Strategic Partnership [全面战略伙伴关系]"/>
    <x v="0"/>
    <s v="EUCOM"/>
    <x v="112"/>
    <x v="32"/>
    <n v="10"/>
    <s v="BL - Hosted"/>
    <s v="Zhang Youxia"/>
    <m/>
    <s v="CMC Vice Chairman"/>
    <n v="10"/>
    <x v="2"/>
    <s v="Defense Minister Milos Vucevic"/>
    <x v="0"/>
    <m/>
    <m/>
    <m/>
    <m/>
    <x v="12"/>
    <m/>
    <m/>
    <s v="http://eng.mod.gov.cn/xb/News_213114/TopStories/16259896.html"/>
    <m/>
  </r>
  <r>
    <x v="1"/>
    <x v="1"/>
    <s v="Asia"/>
    <s v="All-Round Cooperative Partnership [全方合作伙伴关系]"/>
    <x v="0"/>
    <s v="INDOPACOM"/>
    <x v="39"/>
    <x v="32"/>
    <n v="10"/>
    <s v="ML - Margins"/>
    <s v="He Weidong"/>
    <m/>
    <s v="CMC Vice Chairman"/>
    <n v="10"/>
    <x v="2"/>
    <s v="Defense Minister Ng Eng Hen; BL at Xiangshan"/>
    <x v="0"/>
    <m/>
    <m/>
    <m/>
    <m/>
    <x v="12"/>
    <m/>
    <m/>
    <s v="http://eng.mod.gov.cn/xb/News_213114/TopStories/16263744.html"/>
    <m/>
  </r>
  <r>
    <x v="1"/>
    <x v="10"/>
    <s v="America and Oceania"/>
    <s v="Strategic Cooperative Partnership [战略合作伙伴关系]"/>
    <x v="0"/>
    <s v="SOUTHCOM"/>
    <x v="91"/>
    <x v="32"/>
    <n v="10"/>
    <s v="ML - Margins"/>
    <s v="Zhang Youxia"/>
    <m/>
    <s v="CMC Vice Chairman"/>
    <n v="10"/>
    <x v="2"/>
    <s v="Defense Minister Mathoera; BL at Xiangshan"/>
    <x v="0"/>
    <m/>
    <m/>
    <m/>
    <m/>
    <x v="12"/>
    <m/>
    <m/>
    <s v="http://eng.mod.gov.cn/xb/News_213114/TopStories/16264027.html"/>
    <m/>
  </r>
  <r>
    <x v="1"/>
    <x v="1"/>
    <s v="Asia"/>
    <s v="Comprehensive Strategic Partnership [全面战略伙伴关系]"/>
    <x v="0"/>
    <s v="INDOPACOM"/>
    <x v="23"/>
    <x v="32"/>
    <n v="10"/>
    <s v="ML - Margins"/>
    <s v="He Weidong"/>
    <m/>
    <s v="CMC Vice Chairman"/>
    <n v="10"/>
    <x v="2"/>
    <s v="Defense Minister Phan Van Giang; BL at Xiangshan"/>
    <x v="0"/>
    <m/>
    <m/>
    <m/>
    <m/>
    <x v="12"/>
    <m/>
    <m/>
    <s v="http://eng.chinamil.com.cn/CHINA_209163/Exchanges/News_209188/16262920.html"/>
    <m/>
  </r>
  <r>
    <x v="1"/>
    <x v="7"/>
    <s v="West Asia and Africa"/>
    <s v="Comprehensive Strategic Cooperative Partnership [全面战略合作伙伴关系]"/>
    <x v="0"/>
    <s v="AFRICOM"/>
    <x v="86"/>
    <x v="32"/>
    <n v="10"/>
    <s v="ML - Margins"/>
    <s v="Zhang Youxia"/>
    <m/>
    <s v="CMC Vice Chairman"/>
    <n v="10"/>
    <x v="2"/>
    <s v="Defense Minister Muchinguri; BL at Xiangshan"/>
    <x v="0"/>
    <m/>
    <m/>
    <m/>
    <m/>
    <x v="12"/>
    <m/>
    <m/>
    <s v="http://eng.mod.gov.cn/xb/News_213114/TopStories/16263732.html"/>
    <m/>
  </r>
  <r>
    <x v="1"/>
    <x v="7"/>
    <s v="West Asia and Africa"/>
    <s v="Comprehensive Strategic Cooperative Partnership [全面战略合作伙伴关系]"/>
    <x v="0"/>
    <s v="AFRICOM"/>
    <x v="86"/>
    <x v="32"/>
    <n v="10"/>
    <s v="ML - Margins"/>
    <s v="Zhang Youxia"/>
    <m/>
    <s v="Vice Chair CMC"/>
    <n v="10"/>
    <x v="2"/>
    <s v="Minister of Defense"/>
    <x v="0"/>
    <m/>
    <m/>
    <m/>
    <m/>
    <x v="12"/>
    <m/>
    <m/>
    <s v="http://www.mod.gov.cn/gfbw/jswj/lf/16263539.html"/>
    <s v="PCS: Added from Ken Allen BL meeting on margins of 10th Xiangshan Forum"/>
  </r>
  <r>
    <x v="2"/>
    <x v="1"/>
    <s v="Asia"/>
    <s v="Comprehensive Strategic Partnership [全面战略伙伴关系]"/>
    <x v="0"/>
    <s v="INDOPACOM"/>
    <x v="153"/>
    <x v="32"/>
    <n v="11"/>
    <s v="Military Exercise - Multilateral"/>
    <m/>
    <m/>
    <m/>
    <m/>
    <x v="0"/>
    <m/>
    <x v="1"/>
    <s v="Aman Youyi-2023 Peace and Friendship"/>
    <s v="Joint"/>
    <s v="Anti-terrorist efforts, safeguarding maritime security with multi-dimensional live drills; Participants: Cambodia, Laos, Malaysia, Thailand, Vietnam "/>
    <m/>
    <x v="12"/>
    <m/>
    <m/>
    <s v="http://eng.mod.gov.cn/xb/News_213114/TopStories/16266698.html; https://fulcrum.sg/peace-and-friendship-2023-will-it-reduce-chinas-trust-deficit/"/>
    <s v="5th iteration &amp; first one held in China, largest number of participating SE Asian countries with exception of Philippines; started as table-top exercise between Malaysia and China in 2014"/>
  </r>
  <r>
    <x v="1"/>
    <x v="1"/>
    <s v="Asia"/>
    <s v="Comprehensive Strategic Cooperative Partnership [全面战略合作伙伴关系]"/>
    <x v="0"/>
    <s v="INDOPACOM"/>
    <x v="52"/>
    <x v="32"/>
    <n v="11"/>
    <s v="BL - Abroad"/>
    <s v="Wang Xiubin"/>
    <m/>
    <s v="Southern TC Commander"/>
    <n v="6"/>
    <x v="1"/>
    <s v="Laos Deputy Defense Minister"/>
    <x v="0"/>
    <m/>
    <m/>
    <m/>
    <m/>
    <x v="12"/>
    <m/>
    <m/>
    <s v="http://eng.chinamil.com.cn/ARMEDFORCES/SouthernTheaterCommand/News_209144/16288559.html"/>
    <s v="4th border defense and freidnship exchange"/>
  </r>
  <r>
    <x v="2"/>
    <x v="4"/>
    <s v="Asia"/>
    <s v="Comprehensive Strategic Partnership [全面战略伙伴关系]"/>
    <x v="0"/>
    <s v="INDOPACOM"/>
    <x v="53"/>
    <x v="32"/>
    <n v="11"/>
    <s v="Military Exercise - Bilateral"/>
    <m/>
    <m/>
    <m/>
    <m/>
    <x v="0"/>
    <m/>
    <x v="1"/>
    <s v="Border Defense Cooperation 2023"/>
    <s v="drill in XJ border region; combat cross-border smuggling and terrorist activities "/>
    <m/>
    <m/>
    <x v="12"/>
    <m/>
    <m/>
    <s v="http://eng.mod.gov.cn/xb/News_213114/TopStories/16265690.html"/>
    <m/>
  </r>
  <r>
    <x v="0"/>
    <x v="1"/>
    <s v="Asia "/>
    <s v="Comprehensive Strategic Cooperative Partnership [全面战略合作伙伴关系]"/>
    <x v="0"/>
    <s v="INDOPACOM"/>
    <x v="1"/>
    <x v="32"/>
    <n v="11"/>
    <s v="Port Call - Friendly Visit"/>
    <m/>
    <m/>
    <m/>
    <m/>
    <x v="0"/>
    <m/>
    <x v="0"/>
    <m/>
    <m/>
    <m/>
    <s v="ETF"/>
    <x v="125"/>
    <s v="East Sea Fleet"/>
    <s v="DDG156 Zibo, FFG532 Jingzhou, AOR886 Qiandaohu"/>
    <s v="http://eng.chinamil.com.cn/ARMEDFORCES/Navy/News_209162/16269761.html"/>
    <m/>
  </r>
  <r>
    <x v="2"/>
    <x v="0"/>
    <s v="Asia"/>
    <s v="Development-oriented Strategic Cooperative Partnership [面向发展与繁荣的世代友好的战略合作伙伴关系]."/>
    <x v="0"/>
    <s v="INDOPACOM"/>
    <x v="32"/>
    <x v="32"/>
    <n v="11"/>
    <s v="Military Exercise - Bilateral"/>
    <m/>
    <m/>
    <m/>
    <m/>
    <x v="0"/>
    <m/>
    <x v="2"/>
    <s v="N/A"/>
    <s v="Air Force"/>
    <s v="HADR after earthquake in western Nepal; Y-20 transport planes"/>
    <m/>
    <x v="12"/>
    <m/>
    <m/>
    <s v="http://eng.chinamil.com.cn/CHINA_209163/MOOTW/DisasterRelief/News_209175/16265693.html#:~:text=9%20%2D%2D%20After%20a%20strong,the%20morning%20of%20November%208."/>
    <m/>
  </r>
  <r>
    <x v="2"/>
    <x v="0"/>
    <s v="Asia"/>
    <s v="All-Weather Strategic Cooperative Partnership [全天候战略合作伙伴关系]"/>
    <x v="1"/>
    <s v="CENTCOM"/>
    <x v="2"/>
    <x v="32"/>
    <n v="11"/>
    <s v="Military Exercise - Bilateral"/>
    <m/>
    <m/>
    <m/>
    <m/>
    <x v="0"/>
    <m/>
    <x v="2"/>
    <s v="Sea Guardian 2023"/>
    <s v="Navy"/>
    <s v="helicopter cross-deck handing, search and rescue, anti-submarine ops"/>
    <m/>
    <x v="12"/>
    <m/>
    <m/>
    <s v="http://eng.mod.gov.cn/xb/News_213114/TopStories/16266437.html"/>
    <s v="third iteration of the Sea Guardians series "/>
  </r>
  <r>
    <x v="1"/>
    <x v="9"/>
    <s v="West Asia and Africa"/>
    <s v="Strategic Partnership [战略伙伴关系]"/>
    <x v="0"/>
    <s v="CENTCOM"/>
    <x v="131"/>
    <x v="32"/>
    <n v="11"/>
    <s v="BL - Abroad"/>
    <s v="Jing Jianfeng"/>
    <m/>
    <s v="Deputy JSD"/>
    <n v="5"/>
    <x v="1"/>
    <s v="Chief of Defense Staff"/>
    <x v="0"/>
    <m/>
    <m/>
    <m/>
    <m/>
    <x v="12"/>
    <m/>
    <m/>
    <s v="https://www.gulf-times.com/article/672512/qatar/chief-of-staff-meets-deputy-chief-of-joint-staff-of-china-central-military-commission; https://thepeninsulaqatar.com/article/28/11/2023/qatar-china-officials-review-military-cooperation"/>
    <s v="PCS: JSD downgraded to TC level organization in 2019; Deputy JSD chief would be deputy TC grade"/>
  </r>
  <r>
    <x v="1"/>
    <x v="3"/>
    <s v="Europe and Central Asia"/>
    <s v="Comprehensive Strategic Partnership of Coordination in the New Era [新时代中俄全面战略协作伙伴关系]"/>
    <x v="0"/>
    <s v="EUCOM"/>
    <x v="7"/>
    <x v="32"/>
    <n v="11"/>
    <s v="BL - Abroad"/>
    <s v="Zhang Youxia"/>
    <m/>
    <s v="CMC Vice Chairman"/>
    <n v="10"/>
    <x v="1"/>
    <s v="President Putin in Moscow"/>
    <x v="0"/>
    <m/>
    <m/>
    <m/>
    <m/>
    <x v="12"/>
    <m/>
    <m/>
    <s v="http://eng.mod.gov.cn/xb/News_213114/TopStories/16265718.html"/>
    <m/>
  </r>
  <r>
    <x v="1"/>
    <x v="7"/>
    <s v="West Asia and Africa"/>
    <s v="Strategic Cooperative Partnership [战略合作伙伴关系]"/>
    <x v="0"/>
    <s v="AFRICOM"/>
    <x v="91"/>
    <x v="32"/>
    <n v="11"/>
    <s v="ML - Margins"/>
    <s v="Zhang Youxia"/>
    <m/>
    <s v="Vice Chair CMC"/>
    <n v="10"/>
    <x v="2"/>
    <s v="Minister of Defense"/>
    <x v="0"/>
    <m/>
    <m/>
    <m/>
    <m/>
    <x v="12"/>
    <m/>
    <m/>
    <s v="http://www.mod.gov.cn/gfbw/jswj/lf/16263691.html"/>
    <s v="PCS: Added from Ken Allen BL meeting on margins of 10th Xiangshan Forum. First entry for Suriname in this database."/>
  </r>
  <r>
    <x v="0"/>
    <x v="9"/>
    <s v="West Asia and Africa"/>
    <s v="Comprehensive Strategic Partnership [全面战略伙伴关系]"/>
    <x v="0"/>
    <s v="CENTCOM"/>
    <x v="106"/>
    <x v="32"/>
    <n v="11"/>
    <s v="Port Call - Friendly Visit"/>
    <m/>
    <m/>
    <m/>
    <m/>
    <x v="0"/>
    <m/>
    <x v="0"/>
    <m/>
    <m/>
    <s v="included a joint maritime exercise w/ search and rescue and formation maneuver"/>
    <s v="ETF"/>
    <x v="125"/>
    <s v="East Sea Fleet"/>
    <s v="DDG156 Zibo, FFG532 Jingzhou, AOR886 Qiandaohu"/>
    <s v="http://eng.chinamil.com.cn/CHINA_209163/Exchanges/News_209188/16265210.html"/>
    <m/>
  </r>
  <r>
    <x v="1"/>
    <x v="1"/>
    <s v="Asia"/>
    <s v="Comprehensive Strategic Cooperative Partnership [全面战略合作伙伴关系]"/>
    <x v="0"/>
    <s v="INDOPACOM"/>
    <x v="94"/>
    <x v="32"/>
    <n v="12"/>
    <s v="BL - Abroad"/>
    <s v="He Weidong"/>
    <m/>
    <s v="CMC Vice Chairman"/>
    <n v="10"/>
    <x v="1"/>
    <s v="Prime Minister"/>
    <x v="0"/>
    <m/>
    <m/>
    <m/>
    <m/>
    <x v="12"/>
    <m/>
    <m/>
    <s v="https://english.news.cn/20231204/326cc8b760c340318db17ed5b198d57d/c.html"/>
    <m/>
  </r>
  <r>
    <x v="1"/>
    <x v="1"/>
    <s v="Asia"/>
    <s v="Comprehensive Strategic Cooperative Partnership [全面战略合作伙伴关系]"/>
    <x v="0"/>
    <s v="INDOPACOM"/>
    <x v="52"/>
    <x v="32"/>
    <n v="12"/>
    <s v="BL - Abroad"/>
    <s v="He Weidong"/>
    <m/>
    <s v="CMC Vice Chairman"/>
    <n v="10"/>
    <x v="1"/>
    <s v="President"/>
    <x v="0"/>
    <m/>
    <m/>
    <m/>
    <m/>
    <x v="12"/>
    <m/>
    <m/>
    <s v="http://eng.mod.gov.cn/xb/News_213114/TopStories/16271267.html"/>
    <m/>
  </r>
  <r>
    <x v="2"/>
    <x v="3"/>
    <s v="Europe and Central Asia"/>
    <s v="Comprehensive Strategic Partnership of Coordination in the New Era [新时代中俄全面战略协作伙伴关系]"/>
    <x v="0"/>
    <s v="EUCOM"/>
    <x v="7"/>
    <x v="32"/>
    <n v="12"/>
    <s v="Military Exercise - Bilateral"/>
    <m/>
    <m/>
    <m/>
    <m/>
    <x v="0"/>
    <m/>
    <x v="9"/>
    <s v="Joint Aerial Strategic Patrol 2023 "/>
    <s v="Air Force"/>
    <s v=" 7th &quot;joint strategic air patrol&quot; and second of 2023 over the Sea of Japan and the East China Sea;"/>
    <m/>
    <x v="12"/>
    <m/>
    <m/>
    <s v="https://www.globaltimes.cn/page/202312/1303700.shtml"/>
    <s v="Described as 7th joint aerial strategic patrol"/>
  </r>
  <r>
    <x v="0"/>
    <x v="1"/>
    <s v="Asia"/>
    <s v="All-Round Cooperative Partnership [全方合作伙伴关系]"/>
    <x v="0"/>
    <s v="INDOPACOM"/>
    <x v="39"/>
    <x v="32"/>
    <n v="12"/>
    <s v="Port Call - Friendly Visit"/>
    <m/>
    <m/>
    <m/>
    <m/>
    <x v="0"/>
    <m/>
    <x v="0"/>
    <m/>
    <m/>
    <m/>
    <s v="ETF"/>
    <x v="125"/>
    <s v="East Sea Fleet"/>
    <s v="DDG156 Zibo, FFG532 Jingzhou, AOR886 Qiandaohu"/>
    <s v="https://www.globaltimes.cn/content/809066.shtml"/>
    <m/>
  </r>
  <r>
    <x v="1"/>
    <x v="2"/>
    <s v="America and Oceania"/>
    <s v="No Specific Relationship"/>
    <x v="2"/>
    <s v="NORTHCOM"/>
    <x v="4"/>
    <x v="32"/>
    <n v="12"/>
    <s v="BL - Virtual"/>
    <s v="Liu Zhenli"/>
    <m/>
    <s v="CJSD; CMC Member"/>
    <n v="8"/>
    <x v="4"/>
    <s v="CJCS Brown"/>
    <x v="0"/>
    <m/>
    <m/>
    <m/>
    <m/>
    <x v="12"/>
    <m/>
    <m/>
    <s v="https://www.jcs.mil/Media/News/News-Display/Article/3623794/readout-of-chairman-of-the-joint-chiefs-of-staff-gen-cq-brown-jrs-video-telecon/"/>
    <s v="Videoteleconference"/>
  </r>
  <r>
    <x v="1"/>
    <x v="3"/>
    <s v="Europe and Central Asia"/>
    <s v="Comprehensive Strategic Partnership of Coordination in the New Era [新时代中俄全面战略协作伙伴关系]"/>
    <x v="0"/>
    <s v="EUCOM"/>
    <x v="7"/>
    <x v="33"/>
    <n v="1"/>
    <s v="BL - Virtual"/>
    <s v="Dong Jun"/>
    <m/>
    <s v="Defense Minister; CMC Member"/>
    <n v="8"/>
    <x v="4"/>
    <s v="Defense Minister Sergei Shoigu"/>
    <x v="0"/>
    <m/>
    <m/>
    <m/>
    <m/>
    <x v="12"/>
    <m/>
    <m/>
    <s v="https://www.scmp.com/news/china/military/article/3250511/new-chinese-defence-minister-dong-jun-speaks-russian-counterpart"/>
    <m/>
  </r>
  <r>
    <x v="2"/>
    <x v="1"/>
    <s v="Asia"/>
    <s v="Comprehensive Strategic Cooperative Partnership [全面战略合作伙伴关系]"/>
    <x v="3"/>
    <s v="INDOPACOM"/>
    <x v="5"/>
    <x v="33"/>
    <n v="2"/>
    <s v="Military Exercise - Multilateral"/>
    <m/>
    <m/>
    <m/>
    <m/>
    <x v="0"/>
    <m/>
    <x v="2"/>
    <s v="Cobra Gold 2024"/>
    <s v="Army"/>
    <s v="operational coordination, personnel search and rescue, water rescue, fire rescue, hazardous substances leakage disposal and medical first aid. PLA delegation only involved in the HADR demonstration part of the exercise."/>
    <m/>
    <x v="12"/>
    <m/>
    <m/>
    <s v="http://eng.chinamil.com.cn/CHINA_209163/Exercises/News_209184/16290432.html"/>
    <m/>
  </r>
  <r>
    <x v="1"/>
    <x v="1"/>
    <s v="Asia"/>
    <s v="Comprehensive Strategic Cooperative Partnership [全面战略合作伙伴关系]"/>
    <x v="0"/>
    <s v="INDOPACOM"/>
    <x v="94"/>
    <x v="33"/>
    <n v="3"/>
    <s v="BL - Abroad"/>
    <s v="He Weidong"/>
    <m/>
    <s v="Vice Chair CMC"/>
    <n v="10"/>
    <x v="1"/>
    <s v="State Councillor"/>
    <x v="0"/>
    <m/>
    <m/>
    <m/>
    <m/>
    <x v="12"/>
    <m/>
    <m/>
    <s v="https://www.khmertimeskh.com/501464676/hun-sen-holds-talks-with-the-second-vice-chairman-of-the-central-military-commission-of-china/"/>
    <m/>
  </r>
  <r>
    <x v="1"/>
    <x v="1"/>
    <s v="Asia"/>
    <s v="Comprehensive Strategic Cooperative Partnership [全面战略合作伙伴关系]"/>
    <x v="0"/>
    <s v="INDOPACOM"/>
    <x v="94"/>
    <x v="33"/>
    <n v="3"/>
    <s v="BL - Hosted"/>
    <s v="Dong Jun"/>
    <m/>
    <s v="Minister of Defense"/>
    <n v="8"/>
    <x v="2"/>
    <s v="Army Commander"/>
    <x v="0"/>
    <m/>
    <m/>
    <m/>
    <m/>
    <x v="12"/>
    <m/>
    <m/>
    <s v="http://eng.mod.gov.cn/xb/News_213114/TopStories/16296479.html"/>
    <s v="BEIJING, Mar. 25 -- Chinese Defense Minister Admiral Dong Jun, met with General Mao Sopan, deputy commander of the Royal Cambodian Armed Forces (RCAF) and commander of the Royal Cambodian Army, in Beijing on March 25."/>
  </r>
  <r>
    <x v="2"/>
    <x v="9"/>
    <s v="West Asia and Africa"/>
    <s v="Comprehensive Strategic Partnership [全面战略伙伴关系]"/>
    <x v="0"/>
    <s v="CENTCOM"/>
    <x v="89"/>
    <x v="33"/>
    <n v="3"/>
    <s v="Military Exercise - Multilateral"/>
    <m/>
    <m/>
    <m/>
    <m/>
    <x v="0"/>
    <m/>
    <x v="5"/>
    <s v="Security Belt 2024"/>
    <s v="Navy"/>
    <s v="with Russia and Iran in Gulf of Oman; The Chinese participating forces consist of three warships of the People's Liberation Army (PLA) Navy's 45th escort task force that just wrapped up escort missions in the Gulf of Aden, namely the Type 052D guided missile destroyer Urumqi, the Type 054A guided missile frigate Linyi and the Type 903A comprehensive replenishment ship Dongpinghu, the report said, noting that the Iranian side sent over 10 vessels including the frigates Alborz and Jamaran, while the Russian side sent the guided missile cruiser Varyag and the large anti-submarine warfare ship Marshal Shaposhnikov."/>
    <m/>
    <x v="12"/>
    <m/>
    <m/>
    <s v="https://www.globaltimes.cn/page/202403/1308701.shtml"/>
    <m/>
  </r>
  <r>
    <x v="1"/>
    <x v="1"/>
    <s v="Asia"/>
    <s v="Comprehensive Collaborative Strategic Partnership [全面战略合作伙伴关系]"/>
    <x v="0"/>
    <s v="INDOPACOM"/>
    <x v="149"/>
    <x v="33"/>
    <n v="3"/>
    <s v="BL - Abroad"/>
    <s v="Zhang Baoqun"/>
    <m/>
    <s v="Deputy Director, OIMC"/>
    <n v="5"/>
    <x v="1"/>
    <s v="Minister of Defense"/>
    <x v="0"/>
    <m/>
    <m/>
    <m/>
    <m/>
    <x v="12"/>
    <m/>
    <m/>
    <s v="https://presidency.gov.mv/Press/Article/30330; https://www.scmp.com/news/china/diplomacy/article/3255321/maldives-signed-military-deal-beijing-may-remain-swing-state-china-india-tug-war; https://geotvnews.com/china-signed-a-defense-agreement-with-the-maldives-to-provide-military-assistance-the-details-have-not-been-disclosed-geo-tv-news/"/>
    <s v="PCS: Dep Dir OIMC BG Zhang Baoqun met w/Maldive Min Def and President, signed Defense Cooperation Agreement (DCA), gave military aid.  Zhang wouldn't qualify on his own, but is likely subbing for the PRC Min Def to sign the agreement, so this is included. "/>
  </r>
  <r>
    <x v="0"/>
    <x v="7"/>
    <s v="West Asia and Africa"/>
    <s v="Comprehensive Strategic Cooperative Partnership [战略合作伙伴关系]"/>
    <x v="0"/>
    <s v="AFRICOM"/>
    <x v="16"/>
    <x v="33"/>
    <n v="3"/>
    <s v="Port Call - Friendly Visit"/>
    <m/>
    <m/>
    <m/>
    <m/>
    <x v="0"/>
    <m/>
    <x v="0"/>
    <m/>
    <m/>
    <m/>
    <s v="ETF"/>
    <x v="126"/>
    <s v="East Sea Fleet"/>
    <s v="DDG118 Urumqi, FFG547 Linyi, AOR902 Dongpinghu"/>
    <s v="http://eng.chinamil.com.cn/CHINA_209163/Exchanges/News_209188/16302752.html"/>
    <m/>
  </r>
  <r>
    <x v="1"/>
    <x v="8"/>
    <s v="Europe and Central Asia"/>
    <s v="Comprehensive Strategic Partnership [全面战略伙伴关系]"/>
    <x v="0"/>
    <s v="EUCOM"/>
    <x v="34"/>
    <x v="33"/>
    <n v="4"/>
    <s v="ML - Margins"/>
    <s v="Dong Jun"/>
    <m/>
    <s v="Defense Minister; CMC Member"/>
    <n v="8"/>
    <x v="1"/>
    <s v="Defense Minister; BL at SCO"/>
    <x v="0"/>
    <m/>
    <m/>
    <m/>
    <m/>
    <x v="12"/>
    <m/>
    <m/>
    <s v="http://eng.chinamil.com.cn/CHINA_209163/Exchanges/News_209188/16304549.html"/>
    <m/>
  </r>
  <r>
    <x v="1"/>
    <x v="2"/>
    <s v="America and Oceania"/>
    <s v="No Specific Relationship"/>
    <x v="0"/>
    <s v="SOUTHCOM"/>
    <x v="49"/>
    <x v="33"/>
    <n v="4"/>
    <s v="BL - Hosted"/>
    <s v="He Weidong"/>
    <m/>
    <s v="CMC Vice Chairman"/>
    <n v="10"/>
    <x v="2"/>
    <s v="Chief of Political Directorate of Armed Forces"/>
    <x v="0"/>
    <m/>
    <m/>
    <m/>
    <m/>
    <x v="12"/>
    <m/>
    <m/>
    <s v="http://eng.chinamil.com.cn/CHINA_209163/Exchanges/News_209188/16301494.html"/>
    <m/>
  </r>
  <r>
    <x v="1"/>
    <x v="8"/>
    <s v="Europe and Central Asia"/>
    <s v="Comprehensive Strategic Partnership [全面战略伙伴关系]"/>
    <x v="5"/>
    <s v="EUCOM"/>
    <x v="22"/>
    <x v="33"/>
    <n v="4"/>
    <s v="BL - Hosted"/>
    <s v="Wang Xiubin"/>
    <m/>
    <s v="Southern TC Commander"/>
    <n v="6"/>
    <x v="2"/>
    <s v="Commander of Pacific Ocean and French Polynesian maritime zones"/>
    <x v="0"/>
    <m/>
    <m/>
    <m/>
    <m/>
    <x v="12"/>
    <m/>
    <m/>
    <s v="http://eng.chinamil.com.cn/CHINA_209163/TopStories_209189/16304108.html"/>
    <m/>
  </r>
  <r>
    <x v="1"/>
    <x v="1"/>
    <s v="Asia"/>
    <s v="Comprehensive Strategic Partnership [全面战略伙伴关系]"/>
    <x v="0"/>
    <s v="INDOPACOM"/>
    <x v="8"/>
    <x v="33"/>
    <n v="4"/>
    <s v="BL - Hosted"/>
    <s v="Dong Jun"/>
    <m/>
    <s v="Defense Minister; CMC Member"/>
    <n v="8"/>
    <x v="2"/>
    <s v="President-elect/Defense Minister"/>
    <x v="0"/>
    <m/>
    <m/>
    <m/>
    <m/>
    <x v="12"/>
    <m/>
    <m/>
    <s v="https://english.www.gov.cn/news/202404/03/content_WS660c9226c6d0868f4e8e5b32.html"/>
    <m/>
  </r>
  <r>
    <x v="1"/>
    <x v="9"/>
    <s v="West Asia and Africa"/>
    <s v="Comprehensive Strategic Partnership [全面战略伙伴关系]"/>
    <x v="0"/>
    <s v="CENTCOM"/>
    <x v="89"/>
    <x v="33"/>
    <n v="4"/>
    <s v="ML - Margins"/>
    <s v="Dong Jun"/>
    <m/>
    <s v="Defense Minister; CMC Member"/>
    <n v="8"/>
    <x v="1"/>
    <s v="Defense Minister; BL at SCO"/>
    <x v="0"/>
    <m/>
    <m/>
    <m/>
    <m/>
    <x v="12"/>
    <m/>
    <m/>
    <s v="http://eng.chinamil.com.cn/CHINA_209163/Exchanges/News_209188/16304549.html"/>
    <m/>
  </r>
  <r>
    <x v="1"/>
    <x v="6"/>
    <s v="Europe and Central Asia"/>
    <s v="Permanent Comprehensive Strategic Partnership [永久全面战略伙伴]"/>
    <x v="0"/>
    <s v="CENTCOM"/>
    <x v="30"/>
    <x v="33"/>
    <n v="4"/>
    <s v="BL - Abroad"/>
    <s v="Dong Jun"/>
    <m/>
    <s v="Defense Minister; CMC Member"/>
    <n v="8"/>
    <x v="1"/>
    <s v="President Tokayev"/>
    <x v="0"/>
    <m/>
    <m/>
    <m/>
    <m/>
    <x v="12"/>
    <m/>
    <m/>
    <s v="http://eng.chinamil.com.cn/CHINA_209163/Exchanges/News_209188/16304549.html"/>
    <s v="upgraded diplomatic ties in 2024"/>
  </r>
  <r>
    <x v="1"/>
    <x v="6"/>
    <s v="Europe and Central Asia"/>
    <s v="Comprehensive Strategic Partnership [全面战略伙伴关系]"/>
    <x v="0"/>
    <s v="CENTCOM"/>
    <x v="31"/>
    <x v="33"/>
    <n v="4"/>
    <s v="ML - Margins"/>
    <s v="Dong Jun"/>
    <m/>
    <s v="Defense Minister; CMC Member"/>
    <n v="8"/>
    <x v="1"/>
    <s v="Defense Minister; BL at SCO"/>
    <x v="0"/>
    <m/>
    <m/>
    <m/>
    <m/>
    <x v="12"/>
    <m/>
    <m/>
    <s v="http://eng.chinamil.com.cn/CHINA_209163/Exchanges/News_209188/16304549.html"/>
    <m/>
  </r>
  <r>
    <x v="0"/>
    <x v="7"/>
    <s v="West Asia and Africa"/>
    <s v="Comprehensive Partnership [全面伙伴关系]"/>
    <x v="0"/>
    <s v="AFRICOM"/>
    <x v="141"/>
    <x v="33"/>
    <n v="4"/>
    <s v="Port Call - Friendly Visit"/>
    <m/>
    <m/>
    <m/>
    <m/>
    <x v="0"/>
    <m/>
    <x v="0"/>
    <m/>
    <m/>
    <m/>
    <s v="ETF"/>
    <x v="126"/>
    <s v="East Sea Fleet"/>
    <s v="DDG118 Urumqi, FFG547 Linyi, AOR902 Dongpinghu"/>
    <s v="http://eng.mod.gov.cn/xb/News_213114/OverseasOperations/EscortMissions/16302772.html"/>
    <m/>
  </r>
  <r>
    <x v="0"/>
    <x v="7"/>
    <s v="West Asia and Africa"/>
    <s v="Comprehensive Strategic Cooperative Partnership [全面战略合作伙伴关系]"/>
    <x v="0"/>
    <s v="AFRICOM"/>
    <x v="84"/>
    <x v="33"/>
    <n v="4"/>
    <s v="Port Call - Friendly Visit"/>
    <m/>
    <m/>
    <m/>
    <m/>
    <x v="0"/>
    <m/>
    <x v="0"/>
    <m/>
    <m/>
    <m/>
    <s v="ETF"/>
    <x v="126"/>
    <s v="East Sea Fleet"/>
    <s v="DDG118 Urumqi, FFG547 Linyi, AOR902 Dongpinghu"/>
    <s v="http://eng.mod.gov.cn/xb/News_213114/OverseasOperations/EscortMissions/16301250.html"/>
    <m/>
  </r>
  <r>
    <x v="1"/>
    <x v="0"/>
    <s v="Asia"/>
    <s v="All-Weather Strategic Cooperative Partnership [全天候战略合作伙伴关系]"/>
    <x v="1"/>
    <s v="CENTCOM"/>
    <x v="2"/>
    <x v="33"/>
    <n v="4"/>
    <s v="ML - Margins"/>
    <s v="Dong Jun"/>
    <m/>
    <s v="Defense Minister; CMC Member"/>
    <n v="8"/>
    <x v="1"/>
    <s v="Defense Minister; BL at SCO"/>
    <x v="0"/>
    <m/>
    <m/>
    <m/>
    <m/>
    <x v="12"/>
    <m/>
    <m/>
    <s v="http://eng.chinamil.com.cn/CHINA_209163/Exchanges/News_209188/16304549.html"/>
    <m/>
  </r>
  <r>
    <x v="1"/>
    <x v="3"/>
    <s v="Europe and Central Asia"/>
    <s v="Comprehensive Strategic Partnership of Coordination in the New Era [新时代中俄全面战略协作伙伴关系]"/>
    <x v="0"/>
    <s v="EUCOM"/>
    <x v="7"/>
    <x v="33"/>
    <n v="4"/>
    <s v="ML - Margins"/>
    <s v="Dong Jun"/>
    <m/>
    <s v="Defense Minister; CMC Member"/>
    <n v="8"/>
    <x v="1"/>
    <s v="Defense Minister; BL at SCO"/>
    <x v="0"/>
    <m/>
    <m/>
    <m/>
    <m/>
    <x v="12"/>
    <m/>
    <m/>
    <s v="http://eng.chinamil.com.cn/CHINA_209163/Exchanges/News_209188/16304549.html"/>
    <m/>
  </r>
  <r>
    <x v="1"/>
    <x v="6"/>
    <s v="Europe and Central Asia"/>
    <s v="Member"/>
    <x v="0"/>
    <s v="CENTCOM"/>
    <x v="14"/>
    <x v="33"/>
    <n v="4"/>
    <s v="ML - Abroad"/>
    <s v="Dong Jun"/>
    <m/>
    <s v="Defense Minister; CMC Member"/>
    <n v="8"/>
    <x v="1"/>
    <s v="SCO Defense Ministers' meeting in Kazakhstan"/>
    <x v="0"/>
    <m/>
    <m/>
    <m/>
    <m/>
    <x v="12"/>
    <m/>
    <m/>
    <s v="https://news.cgtn.com/news/2024-04-27/Defense-minister-China-proposed-initiatives-benefit-people-worldwide-1t8RRpVlJUQ/p.html"/>
    <m/>
  </r>
  <r>
    <x v="0"/>
    <x v="7"/>
    <s v="West Asia and Africa"/>
    <s v="Strategic Partnership [战略伙伴关系]"/>
    <x v="0"/>
    <s v="AFRICOM"/>
    <x v="139"/>
    <x v="33"/>
    <n v="4"/>
    <s v="Port Call - Friendly Visit"/>
    <m/>
    <m/>
    <m/>
    <m/>
    <x v="0"/>
    <m/>
    <x v="0"/>
    <m/>
    <m/>
    <m/>
    <s v="ETF"/>
    <x v="126"/>
    <s v="East Sea Fleet"/>
    <s v="DDG118 Urumqi, FFG547 Linyi, AOR902 Dongpinghu"/>
    <s v="http://eng.chinamil.com.cn/CHINA_209163/Exchanges/News_209188/16302752.html"/>
    <m/>
  </r>
  <r>
    <x v="1"/>
    <x v="6"/>
    <s v="Europe and Central Asia"/>
    <s v="Comprehensive Strategic Cooperative Partnership [战略合作伙伴关系]"/>
    <x v="0"/>
    <s v="CENTCOM"/>
    <x v="60"/>
    <x v="33"/>
    <n v="4"/>
    <s v="ML - Margins"/>
    <s v="Dong Jun"/>
    <m/>
    <s v="Defense Minister; CMC Member"/>
    <n v="8"/>
    <x v="1"/>
    <s v="Defense Minister; ML at SCO w/ Uzbekistan minister"/>
    <x v="0"/>
    <m/>
    <m/>
    <m/>
    <m/>
    <x v="12"/>
    <m/>
    <m/>
    <s v="http://eng.mod.gov.cn/xb/News_213114/OverseasOperations/EscortMissions/16301239.html"/>
    <s v="upgraded diplomatic ties in 2024"/>
  </r>
  <r>
    <x v="1"/>
    <x v="2"/>
    <s v="America and Oceania"/>
    <s v="No Specific Relationship"/>
    <x v="2"/>
    <s v="NORTHCOM"/>
    <x v="4"/>
    <x v="33"/>
    <n v="4"/>
    <s v="BL - Virtual"/>
    <s v="Dong Jun"/>
    <m/>
    <s v="Defense Minister; CMC Member"/>
    <n v="8"/>
    <x v="4"/>
    <s v="Defense Secretary Austin"/>
    <x v="0"/>
    <m/>
    <m/>
    <m/>
    <m/>
    <x v="12"/>
    <m/>
    <m/>
    <s v="http://eng.chinamil.com.cn/CHINA_209163/Exchanges/News_209188/16301449.html"/>
    <m/>
  </r>
  <r>
    <x v="1"/>
    <x v="6"/>
    <s v="Europe and Central Asia"/>
    <s v="All-Weather Comprehensive Strategic Partnership [全天候全面战略伙伴关系]"/>
    <x v="0"/>
    <s v="CENTCOM"/>
    <x v="73"/>
    <x v="33"/>
    <n v="4"/>
    <s v="ML - Margins"/>
    <s v="Dong Jun"/>
    <m/>
    <s v="Defense Minister; CMC Member"/>
    <n v="8"/>
    <x v="1"/>
    <s v="Defense Minister; ML at SCO w/ Tajikistan minister"/>
    <x v="0"/>
    <m/>
    <m/>
    <m/>
    <m/>
    <x v="12"/>
    <m/>
    <m/>
    <s v="http://eng.chinamil.com.cn/CHINA_209163/Exchanges/News_209188/16304549.html"/>
    <m/>
  </r>
  <r>
    <x v="1"/>
    <x v="1"/>
    <s v="Asia"/>
    <s v="Comprehensive Strategic Partnership [全面战略伙伴关系]"/>
    <x v="0"/>
    <s v="INDOPACOM"/>
    <x v="23"/>
    <x v="33"/>
    <n v="4"/>
    <s v="BL - Hosted"/>
    <s v="Dong Jun"/>
    <m/>
    <s v="Defense Minister; CMC Member"/>
    <n v="8"/>
    <x v="2"/>
    <s v="Defense Minister Phan Van Giang"/>
    <x v="0"/>
    <m/>
    <m/>
    <m/>
    <m/>
    <x v="12"/>
    <m/>
    <m/>
    <s v="http://eng.chinamil.com.cn/CHINA_209163/TopStories_209189/16300567.html"/>
    <s v="8th border defense friendship exchange; held in both Yunnan and Lao Cai, VN"/>
  </r>
  <r>
    <x v="2"/>
    <x v="0"/>
    <s v="Asia "/>
    <s v="Comprehensive Strategic Cooperative Partnership [战略合作伙伴关系]"/>
    <x v="0"/>
    <s v="INDOPACOM"/>
    <x v="0"/>
    <x v="33"/>
    <n v="5"/>
    <s v="Military Exercise - Bilateral"/>
    <m/>
    <m/>
    <m/>
    <m/>
    <x v="0"/>
    <m/>
    <x v="1"/>
    <s v="Golden Friendship-2024"/>
    <s v="Army"/>
    <s v="CT and UN PKO scenarios "/>
    <m/>
    <x v="12"/>
    <m/>
    <m/>
    <s v="http://eng.mod.gov.cn/xb/News_213114/NewsRelease/16305683.html; http://eng.chinamil.com.cn/VOICES/MinistryofNationalDefense_209794/16303742.html"/>
    <m/>
  </r>
  <r>
    <x v="2"/>
    <x v="1"/>
    <s v="Asia"/>
    <s v="Comprehensive Strategic Cooperative Partnership [全面战略合作伙伴关系]"/>
    <x v="0"/>
    <s v="INDOPACOM"/>
    <x v="94"/>
    <x v="33"/>
    <n v="5"/>
    <s v="Military Exercise - Bilateral"/>
    <m/>
    <m/>
    <m/>
    <m/>
    <x v="0"/>
    <m/>
    <x v="1"/>
    <s v="Golden Dragon 2024"/>
    <s v="Navy"/>
    <s v="Counter-terrorism and humanitarian relief exercises"/>
    <m/>
    <x v="12"/>
    <m/>
    <m/>
    <s v="http://eng.chinamil.com.cn/CHINA_209163/Exercises/News_209184/16311857.html"/>
    <s v="This is the sixth China-Cambodia &quot;Golden Dragon&quot; joint military exercise, which is conducive to further consolidating the iron-clad friendship between the two countries, enhancing the strategic coordination level between the two militaries, and jointly safeguarding regional peace and stability"/>
  </r>
  <r>
    <x v="0"/>
    <x v="1"/>
    <s v="Asia"/>
    <s v="Comprehensive Strategic Cooperative Partnership [全面战略合作伙伴关系]"/>
    <x v="0"/>
    <s v="INDOPACOM"/>
    <x v="94"/>
    <x v="33"/>
    <n v="5"/>
    <s v="Port Call - Friendly Visit"/>
    <m/>
    <m/>
    <m/>
    <m/>
    <x v="0"/>
    <m/>
    <x v="0"/>
    <m/>
    <m/>
    <m/>
    <s v="NETF"/>
    <x v="127"/>
    <m/>
    <s v="Qi Jiguang training ship, Jinggangshan amphibious dock landing ship"/>
    <s v="http://eng.mod.gov.cn/xb/News_213114/TopStories/16310111.html"/>
    <m/>
  </r>
  <r>
    <x v="0"/>
    <x v="1"/>
    <s v="Asia"/>
    <s v="Comprehensive Strategic Partnership [全面战略伙伴关系]"/>
    <x v="0"/>
    <s v="INDOPACOM"/>
    <x v="10"/>
    <x v="33"/>
    <n v="5"/>
    <s v="Port Call - Friendly Visit"/>
    <m/>
    <m/>
    <m/>
    <m/>
    <x v="0"/>
    <m/>
    <x v="0"/>
    <m/>
    <m/>
    <m/>
    <s v="ETF"/>
    <x v="126"/>
    <s v="East Sea Fleet"/>
    <s v="DDG118 Urumqi, FFG547 Linyi, AOR902 Dongpinghu"/>
    <s v="http://eng.mod.gov.cn/xb/News_213114/TopStories/16306073.html"/>
    <m/>
  </r>
  <r>
    <x v="2"/>
    <x v="4"/>
    <s v="Asia"/>
    <s v="Comprehensive Strategic Partnership [全面战略伙伴关系]"/>
    <x v="0"/>
    <s v="INDOPACOM"/>
    <x v="53"/>
    <x v="33"/>
    <n v="5"/>
    <s v="Military Exercise - Bilateral"/>
    <m/>
    <m/>
    <m/>
    <m/>
    <x v="0"/>
    <m/>
    <x v="1"/>
    <s v="Steppe Partner-2024"/>
    <s v="Army"/>
    <s v="first joint training between armies; combatting illegal armed groups"/>
    <m/>
    <x v="12"/>
    <m/>
    <m/>
    <s v="http://eng.chinamil.com.cn/CHINA_209163/Exchanges/News_209188/16310270.html"/>
    <m/>
  </r>
  <r>
    <x v="1"/>
    <x v="9"/>
    <s v="West Asia and Africa"/>
    <s v="Strategic Partnership [战略伙伴关系]"/>
    <x v="0"/>
    <s v="CENTCOM"/>
    <x v="131"/>
    <x v="33"/>
    <n v="5"/>
    <s v="BL - Hosted"/>
    <s v="Dong Jun"/>
    <m/>
    <s v="Defense Minister; CMC Member"/>
    <n v="8"/>
    <x v="2"/>
    <s v="Deputy PM and Defense Minister "/>
    <x v="0"/>
    <m/>
    <m/>
    <m/>
    <m/>
    <x v="12"/>
    <m/>
    <m/>
    <s v="http://eng.mod.gov.cn/xb/News_213114/TopStories/16310576.html"/>
    <m/>
  </r>
  <r>
    <x v="1"/>
    <x v="1"/>
    <s v="Asia"/>
    <s v="All-Round Cooperative Partnership [全方合作伙伴关系]"/>
    <x v="0"/>
    <s v="INDOPACOM"/>
    <x v="39"/>
    <x v="33"/>
    <n v="5"/>
    <s v="BL - Abroad"/>
    <s v="Dong Jun"/>
    <m/>
    <s v="Defense Minister; CMC Member"/>
    <n v="8"/>
    <x v="1"/>
    <s v="Prime Minister Lawrence Wong"/>
    <x v="0"/>
    <m/>
    <m/>
    <m/>
    <m/>
    <x v="12"/>
    <m/>
    <m/>
    <s v="http://eng.mod.gov.cn/xb/News_213114/TopStories/16313030.html"/>
    <s v="PCS: Separate BL meeting prior to Shangri-la, so NOT coded as on the margins"/>
  </r>
  <r>
    <x v="0"/>
    <x v="7"/>
    <s v="West Asia and Africa"/>
    <s v="All-round strategic cooperative partnership in the new era [新时代全方位战略合作伙伴关系]"/>
    <x v="0"/>
    <s v="AFRICOM"/>
    <x v="15"/>
    <x v="33"/>
    <n v="5"/>
    <s v="Port Call - Replenish/Overhaul and Friendly Visit"/>
    <m/>
    <m/>
    <m/>
    <m/>
    <x v="0"/>
    <m/>
    <x v="0"/>
    <m/>
    <m/>
    <m/>
    <s v="ETF"/>
    <x v="128"/>
    <s v="South Sea Fleet"/>
    <s v="FFG536 Xuchang replenishment of oil, water, and staple and non-staple food, and organized troops to rest"/>
    <s v="http://eng.mod.gov.cn/xb/News_213114/OverseasOperations/EscortMissions/16310300.html"/>
    <s v="The guided-missile frigate Xuchang attached to the 46th Chinese naval escort taskforce made a technical stop in Cape Town, South Africa, from May 16 to 19, for replenishment and rest."/>
  </r>
  <r>
    <x v="1"/>
    <x v="7"/>
    <s v="West Asia and Africa"/>
    <s v="All-round strategic cooperative partnership in the new era [新时代全方位战略合作伙伴关系]"/>
    <x v="0"/>
    <s v="AFRICOM"/>
    <x v="15"/>
    <x v="33"/>
    <n v="5"/>
    <s v="BL - Hosted"/>
    <s v="Dong Jun"/>
    <m/>
    <s v="Defense Minister; CMC Member"/>
    <n v="8"/>
    <x v="2"/>
    <s v="Navy Commander"/>
    <x v="0"/>
    <m/>
    <m/>
    <m/>
    <m/>
    <x v="12"/>
    <m/>
    <m/>
    <s v="http://eng.chinamil.com.cn/CHINA_209163/TopStories_209189/16310104.html"/>
    <m/>
  </r>
  <r>
    <x v="0"/>
    <x v="1"/>
    <s v="Asia"/>
    <s v="Comprehensive Strategic Partnership [全面战略伙伴关系]"/>
    <x v="0"/>
    <s v="INDOPACOM"/>
    <x v="169"/>
    <x v="33"/>
    <n v="5"/>
    <s v="Port Call - Friendly Visit"/>
    <m/>
    <m/>
    <m/>
    <m/>
    <x v="0"/>
    <m/>
    <x v="0"/>
    <m/>
    <m/>
    <m/>
    <s v="NETF"/>
    <x v="127"/>
    <m/>
    <s v="Qi Jiguang training ship, Jinggangshan amphibious dock landing ship"/>
    <s v="http://eng.chinamil.com.cn/CHINA_209163/TopStories_209189/16313162.html"/>
    <m/>
  </r>
  <r>
    <x v="1"/>
    <x v="8"/>
    <s v="Europe and Central Asia"/>
    <s v="Comprehensive Strategic Partnership [全面战略伙伴关系]"/>
    <x v="5"/>
    <s v="EUCOM"/>
    <x v="21"/>
    <x v="33"/>
    <n v="5"/>
    <s v="BL - Virtual"/>
    <s v="Liu Zhenli"/>
    <m/>
    <s v="Chief, Joint Staff Dept (JSD)"/>
    <n v="8"/>
    <x v="4"/>
    <s v="Chief of Defense Staff"/>
    <x v="0"/>
    <m/>
    <m/>
    <m/>
    <m/>
    <x v="12"/>
    <m/>
    <m/>
    <s v="http://www.mod.gov.cn/gfbw/gc/lzl_244321/2024_246934/16309418.html"/>
    <s v="On May 15, Liu Zhenli, member of the Central Military Commission and Chief of the Joint Staﬀ Department of the Central Military Commission, held a video call with British Chief of Defense Staﬀ Radakin. The two sides exchanged views on the relations between the two countries and the two militaries, the international and regional situation, and communicated on strengthening exchanges and cooperation between the two militaries."/>
  </r>
  <r>
    <x v="1"/>
    <x v="5"/>
    <s v="America and Oceania"/>
    <s v="Comprehensive Strategic Partnership [全面战略伙伴关系]"/>
    <x v="4"/>
    <s v="INDOPACOM"/>
    <x v="12"/>
    <x v="33"/>
    <n v="6"/>
    <s v="ML - Margins"/>
    <s v="Dong Jun"/>
    <m/>
    <s v="Minister of Defense"/>
    <n v="8"/>
    <x v="1"/>
    <s v="Defense Ministers"/>
    <x v="0"/>
    <m/>
    <m/>
    <m/>
    <m/>
    <x v="12"/>
    <m/>
    <m/>
    <s v="http://www.mod.gov.cn/gfbw/jswj/cf/16313261.html"/>
    <s v="BL on margins of 21st IISS Shangri-la dialogue"/>
  </r>
  <r>
    <x v="1"/>
    <x v="1"/>
    <s v="Asia"/>
    <s v="Comprehensive Strategic Cooperative Partnership [全面战略合作伙伴关系]"/>
    <x v="0"/>
    <s v="INDOPACOM"/>
    <x v="94"/>
    <x v="33"/>
    <n v="6"/>
    <s v="ML - Margins"/>
    <s v="Dong Jun"/>
    <m/>
    <s v="Minister of Defense"/>
    <n v="8"/>
    <x v="1"/>
    <s v="Minister of National Defense"/>
    <x v="0"/>
    <m/>
    <m/>
    <m/>
    <m/>
    <x v="12"/>
    <m/>
    <m/>
    <s v="http://www.mod.gov.cn/gfbw/jswj/cf/16313261.html; https://www.iiss.org/events/shangri-la-dialogue/shangri-la-dialogue-2024/speaker-agenda/"/>
    <s v="BL on margins of 21st IISS Shangri-la dialogue; Cambodian counterpart inferred from Cambodian head of delegation"/>
  </r>
  <r>
    <x v="1"/>
    <x v="2"/>
    <s v="America and Oceania"/>
    <s v="Strategic Partnership [战略伙伴关系]"/>
    <x v="5"/>
    <s v="NORTHCOM"/>
    <x v="17"/>
    <x v="33"/>
    <n v="6"/>
    <s v="ML - Margins"/>
    <s v="Dong Jun"/>
    <m/>
    <s v="Minister of Defense"/>
    <n v="8"/>
    <x v="1"/>
    <s v="Defense Minister"/>
    <x v="0"/>
    <m/>
    <m/>
    <m/>
    <m/>
    <x v="12"/>
    <m/>
    <m/>
    <s v="http://www.mod.gov.cn/gfbw/jswj/cf/16313261.html"/>
    <s v="BL on margins of 21st IISS Shangri-la dialogue"/>
  </r>
  <r>
    <x v="1"/>
    <x v="8"/>
    <s v="Europe and Central Asia"/>
    <s v="Comprehensive Cooperative Partnership [全面合作伙伴关系]"/>
    <x v="0"/>
    <s v="EUCOM"/>
    <x v="158"/>
    <x v="33"/>
    <n v="6"/>
    <s v="ML - Margins"/>
    <s v="Dong Jun"/>
    <m/>
    <s v="Minister of Defense"/>
    <n v="8"/>
    <x v="1"/>
    <s v="High Representive of EU for Foreign Affairs and Security Policy"/>
    <x v="0"/>
    <m/>
    <m/>
    <m/>
    <m/>
    <x v="12"/>
    <m/>
    <m/>
    <s v="http://eng.mod.gov.cn/xb/News_213114/TopStories/16313281.html; https://www.iiss.org/events/shangri-la-dialogue/shangri-la-dialogue-2024/speaker-agenda/"/>
    <s v="BL on margins of 21st IISS Shangri-la dialogue; PCS--not sure we have fully captured previous meetings between senior PLA officials and EU civilian officials int eh database"/>
  </r>
  <r>
    <x v="1"/>
    <x v="8"/>
    <s v="Europe and Central Asia"/>
    <s v="Comprehensive Strategic Partnership [全面战略伙伴关系]"/>
    <x v="5"/>
    <s v="EUCOM"/>
    <x v="22"/>
    <x v="33"/>
    <n v="6"/>
    <s v="ML - Margins"/>
    <s v="Dong Jun"/>
    <m/>
    <s v="Minister of Defense"/>
    <n v="8"/>
    <x v="1"/>
    <s v="Vice Chief of the Defence Staff"/>
    <x v="0"/>
    <m/>
    <m/>
    <m/>
    <m/>
    <x v="12"/>
    <m/>
    <m/>
    <s v="http://www.mod.gov.cn/gfbw/jswj/cf/16313261.html; https://www.iiss.org/events/shangri-la-dialogue/shangri-la-dialogue-2024/speaker-agenda/"/>
    <s v="BL on margins of 21st IISS Shangri-la dialogue; French counterpart inferred from French head of delegation"/>
  </r>
  <r>
    <x v="1"/>
    <x v="1"/>
    <s v="Asia"/>
    <s v="No Specific Relationship"/>
    <x v="0"/>
    <s v="INDOPACOM"/>
    <x v="137"/>
    <x v="33"/>
    <n v="6"/>
    <s v="ML - Abroad"/>
    <s v="Dong Jun"/>
    <m/>
    <s v="Defense Minister; CMC Member"/>
    <n v="8"/>
    <x v="1"/>
    <s v="21st Shangri-La "/>
    <x v="0"/>
    <m/>
    <m/>
    <m/>
    <m/>
    <x v="12"/>
    <m/>
    <m/>
    <s v="https://www.globaltimes.cn/page/202406/1313470.shtml"/>
    <m/>
  </r>
  <r>
    <x v="1"/>
    <x v="4"/>
    <s v="Asia"/>
    <s v="Mutually Beneficial Strategic Relationship [战略互惠关系]"/>
    <x v="3"/>
    <s v="INDOPACOM"/>
    <x v="83"/>
    <x v="33"/>
    <n v="6"/>
    <s v="ML - Margins"/>
    <s v="Dong Jun"/>
    <m/>
    <s v="Minister of Defense"/>
    <n v="8"/>
    <x v="1"/>
    <s v="Minister of Defense"/>
    <x v="0"/>
    <m/>
    <m/>
    <m/>
    <m/>
    <x v="12"/>
    <m/>
    <m/>
    <s v="http://www.mod.gov.cn/gfbw/jswj/cf/16313261.html; https://www.iiss.org/events/shangri-la-dialogue/shangri-la-dialogue-2024/speaker-agenda/"/>
    <s v="BL on margins of 21st IISS Shangri-la dialogue; Japanese counterpart inferred from head of delegation"/>
  </r>
  <r>
    <x v="1"/>
    <x v="7"/>
    <s v="West Asia and Africa"/>
    <s v="Comprehensive Strategic Cooperative Partnership [全面战略合作伙伴关系]"/>
    <x v="0"/>
    <s v="AFRICOM"/>
    <x v="84"/>
    <x v="33"/>
    <n v="6"/>
    <s v="BL - Hosted"/>
    <s v="Dong Jun"/>
    <m/>
    <s v="Minister of Defense"/>
    <n v="8"/>
    <x v="2"/>
    <s v="Minister of Defense"/>
    <x v="0"/>
    <m/>
    <m/>
    <m/>
    <m/>
    <x v="12"/>
    <m/>
    <m/>
    <s v="http://eng.mod.gov.cn/xb/News_213114/TopStories/16319209.html"/>
    <s v="Chinese Defense Minister Admiral Dong Jun held talks with visiting Mozambican Defense Minister Cristóvão Artur Chume in Beijing on Thursday."/>
  </r>
  <r>
    <x v="1"/>
    <x v="5"/>
    <s v="America and Oceania"/>
    <s v="Comprehensive Strategic Partnership [全面战略伙伴关系]"/>
    <x v="4"/>
    <s v="INDOPACOM"/>
    <x v="13"/>
    <x v="33"/>
    <n v="6"/>
    <s v="ML - Margins"/>
    <s v="Dong Jun"/>
    <m/>
    <s v="Minister of Defense"/>
    <n v="8"/>
    <x v="1"/>
    <s v="Minister of Defence"/>
    <x v="0"/>
    <m/>
    <m/>
    <m/>
    <m/>
    <x v="12"/>
    <m/>
    <m/>
    <s v="http://www.mod.gov.cn/gfbw/jswj/cf/16313261.html; https://www.iiss.org/events/shangri-la-dialogue/shangri-la-dialogue-2024/speaker-agenda/"/>
    <s v="BL on margins of 21st IISS Shangri-la dialogue; New Zealand counterpart inferred from head of delegation"/>
  </r>
  <r>
    <x v="2"/>
    <x v="7"/>
    <s v="West Asia and Africa"/>
    <s v="Comprehensive Strategic Partnership [全面战略伙伴关系]"/>
    <x v="0"/>
    <s v="AFRICOM"/>
    <x v="36"/>
    <x v="33"/>
    <n v="6"/>
    <s v="Military Exercise - Multilateral"/>
    <m/>
    <m/>
    <m/>
    <m/>
    <x v="0"/>
    <m/>
    <x v="4"/>
    <s v="N/A"/>
    <s v="Navy"/>
    <s v="joint exercise drill with Nigeria, Brazil, and Cameroon; frigate Xuchang of ETF-46 particiated in joint search/rescue, comms, formation maneuver, and counterpiracy"/>
    <m/>
    <x v="128"/>
    <s v="South Sea Fleet"/>
    <s v="DDG163 Jiaozuo, FFG536 Xuchang, AOR906 Honghu"/>
    <s v="http://eng.chinamil.com.cn/CHINA_209163/Exercises/News_209184/16313786.html"/>
    <m/>
  </r>
  <r>
    <x v="2"/>
    <x v="3"/>
    <s v="Europe and Central Asia"/>
    <s v="Comprehensive Strategic Partnership of Coordination in the New Era [新时代中俄全面战略协作伙伴关系]"/>
    <x v="0"/>
    <s v="EUCOM"/>
    <x v="7"/>
    <x v="33"/>
    <n v="6"/>
    <s v="Military Exercise - Bilateral"/>
    <m/>
    <m/>
    <m/>
    <m/>
    <x v="0"/>
    <m/>
    <x v="1"/>
    <s v="Border Defense Cooperation-2024"/>
    <s v="Army"/>
    <s v=" The Chinese and Russian sides implemented encirclement and capture operations in their respective areas through aerial reconnaissance, surface interception and ambushes on the shore."/>
    <m/>
    <x v="12"/>
    <m/>
    <m/>
    <s v="http://eng.chinamil.com.cn/CHINA_209163/Exercises/News_209184/16321037.html"/>
    <m/>
  </r>
  <r>
    <x v="1"/>
    <x v="9"/>
    <s v="West Asia and Africa"/>
    <s v="Comprehensive Strategic Partnership [全面战略伙伴关系]"/>
    <x v="0"/>
    <s v="CENTCOM"/>
    <x v="142"/>
    <x v="33"/>
    <n v="6"/>
    <s v="BL - Hosted"/>
    <s v="Zhang Youxia"/>
    <m/>
    <s v="CMC Vice Chairman"/>
    <n v="10"/>
    <x v="2"/>
    <s v="Defense Minister; Dong Jun also met with separately"/>
    <x v="0"/>
    <m/>
    <m/>
    <m/>
    <m/>
    <x v="12"/>
    <m/>
    <m/>
    <s v="http://eng.chinamil.com.cn/CHINA_209163/TopStories_209189/16318475.html"/>
    <m/>
  </r>
  <r>
    <x v="1"/>
    <x v="1"/>
    <s v="Asia"/>
    <s v="Comprehensive Strategic Partnership [全面战略伙伴]"/>
    <x v="3"/>
    <s v="INDOPACOM"/>
    <x v="5"/>
    <x v="33"/>
    <n v="6"/>
    <s v="ML - Margins"/>
    <s v="Dong Jun"/>
    <m/>
    <s v="Minister of Defense"/>
    <n v="8"/>
    <x v="1"/>
    <s v="Minister of Defence"/>
    <x v="0"/>
    <m/>
    <m/>
    <m/>
    <m/>
    <x v="12"/>
    <m/>
    <m/>
    <s v="http://www.mod.gov.cn/gfbw/jswj/cf/16313261.html; https://www.iiss.org/events/shangri-la-dialogue/shangri-la-dialogue-2024/speaker-agenda/"/>
    <s v="BL on margins of 21st IISS Shangri-la dialogue; Thai counterpart inferred from head of delegation"/>
  </r>
  <r>
    <x v="1"/>
    <x v="2"/>
    <s v="America and Oceania"/>
    <s v="No Specific Relationship"/>
    <x v="2"/>
    <s v="NORTHCOM"/>
    <x v="4"/>
    <x v="33"/>
    <n v="6"/>
    <s v="ML - Margins"/>
    <s v="Dong Jun"/>
    <m/>
    <s v="Defense Minister; CMC Member"/>
    <n v="8"/>
    <x v="1"/>
    <s v="Defense Secretary Austin; BL at Shangri-La"/>
    <x v="0"/>
    <m/>
    <m/>
    <m/>
    <m/>
    <x v="12"/>
    <m/>
    <m/>
    <s v="http://eng.mod.gov.cn/xb/News_213114/TopStories/16312945.html"/>
    <m/>
  </r>
  <r>
    <x v="2"/>
    <x v="8"/>
    <s v="Europe and Central Asia"/>
    <s v="Comprehensive Strategic Partnership [全面战略伙伴关系]"/>
    <x v="0"/>
    <s v="EUCOM"/>
    <x v="34"/>
    <x v="33"/>
    <n v="7"/>
    <s v="Military Exercise - Bilateral"/>
    <m/>
    <m/>
    <m/>
    <m/>
    <x v="0"/>
    <m/>
    <x v="1"/>
    <s v="Eagle Assault 2024"/>
    <s v="Army"/>
    <s v="hostage rescue and counter-terrorism operation"/>
    <m/>
    <x v="12"/>
    <m/>
    <m/>
    <s v="http://eng.mod.gov.cn/xb/News_213114/TopStories/16322662.html"/>
    <m/>
  </r>
  <r>
    <x v="1"/>
    <x v="10"/>
    <s v="America and Oceania"/>
    <s v="Comprehensive Strategic Partnership [全面战略伙伴关系]"/>
    <x v="0"/>
    <s v="SOUTHCOM"/>
    <x v="43"/>
    <x v="33"/>
    <n v="7"/>
    <s v="BL - Hosted"/>
    <s v="Dong Jun"/>
    <m/>
    <s v="Defense Minister; CMC Member"/>
    <n v="8"/>
    <x v="2"/>
    <s v="Army Commander"/>
    <x v="0"/>
    <m/>
    <m/>
    <m/>
    <m/>
    <x v="12"/>
    <m/>
    <m/>
    <s v="http://eng.mod.gov.cn/xb/News_213114/TopStories/16322667.html"/>
    <m/>
  </r>
  <r>
    <x v="2"/>
    <x v="7"/>
    <s v="West Asia and Africa"/>
    <s v="Comprehensive Strategic Partnership [全面战略伙伴关系]"/>
    <x v="0"/>
    <s v="AFRICOM"/>
    <x v="119"/>
    <x v="33"/>
    <n v="7"/>
    <s v="Military Exercise - Bilateral"/>
    <m/>
    <m/>
    <m/>
    <m/>
    <x v="0"/>
    <m/>
    <x v="1"/>
    <s v="Cooperation-2024.7.FAD (Forces Armées Djibouti)"/>
    <s v="Army"/>
    <s v="Marines from PLA Djibouti base and Djibouti army formed a joint task force, and the command group is jointly held by the leaders of both sides. &quot;jointly attacking terrorists in desert areas&quot;, focusing on practical exercises such as coordinated reconnaissance, joint firepower strikes, and joint force assaults. three stages: research and training, adaptive training, and live-fire exercises."/>
    <m/>
    <x v="12"/>
    <m/>
    <m/>
    <s v="http://world.people.com.cn/n1/2024/0727/c1002-40286881.html"/>
    <s v="Described as annual routine military cooperation activity; November 2024 exercise included naval elements as well."/>
  </r>
  <r>
    <x v="2"/>
    <x v="1"/>
    <s v="Asia"/>
    <s v="Comprehensive Strategic Cooperative Partnership [全面战略合作伙伴关系]"/>
    <x v="0"/>
    <s v="INDOPACOM"/>
    <x v="52"/>
    <x v="33"/>
    <n v="7"/>
    <s v="Military Exercise - Bilateral"/>
    <m/>
    <m/>
    <m/>
    <m/>
    <x v="0"/>
    <m/>
    <x v="2"/>
    <s v=" Friendship Shield 2024"/>
    <s v="Army"/>
    <s v="operation of mine-clearance and explosive ordnance disposal equipment, unarmed combat, and combat wound treatment."/>
    <m/>
    <x v="12"/>
    <m/>
    <m/>
    <s v="http://eng.mod.gov.cn/xb/News_213114/TopStories/16322655.html"/>
    <m/>
  </r>
  <r>
    <x v="0"/>
    <x v="7"/>
    <s v="West Asia and Africa"/>
    <s v="Strategic Partnership [战略伙伴关系]"/>
    <x v="1"/>
    <s v="AFRICOM"/>
    <x v="27"/>
    <x v="33"/>
    <n v="7"/>
    <s v="Port Call - Friendly Visit and Drills"/>
    <m/>
    <m/>
    <m/>
    <m/>
    <x v="0"/>
    <m/>
    <x v="0"/>
    <m/>
    <m/>
    <m/>
    <s v="ETF"/>
    <x v="128"/>
    <s v="South Sea Fleet"/>
    <s v="DDG163 Jiaozuo, FFG536 Xuchang, AOR906 Honghu"/>
    <s v="http://eng.chinamil.com.cn/CHINA_209163/TopStories_209189/16323958.html"/>
    <m/>
  </r>
  <r>
    <x v="0"/>
    <x v="3"/>
    <s v="Europe and Central Asia"/>
    <s v=" Comprehensive Strategic Partnership of Coordination in the New Era [新时代中俄全面战略协作伙伴关系]"/>
    <x v="0"/>
    <s v="EUCOM"/>
    <x v="7"/>
    <x v="33"/>
    <n v="7"/>
    <s v="Port Call - Friendly Visit and Drills"/>
    <m/>
    <m/>
    <m/>
    <m/>
    <x v="0"/>
    <m/>
    <x v="8"/>
    <s v=" "/>
    <s v=" "/>
    <s v=" "/>
    <s v="NETF"/>
    <x v="129"/>
    <s v="South Sea Fleet"/>
    <s v="Jiaozuo destroyer and Honghu replenishment ship left the Russian port of St. Petersburg"/>
    <s v="https://www-81-cn.translate.goog/yw_208727/16328939.html?_x_tr_sch=http&amp;_x_tr_sl=auto&amp;_x_tr_tl=en&amp;_x_tr_hl=en&amp;_x_tr_pto=wapp"/>
    <s v="Jiaozuo destroyer and Honghu replenishment ship visited St. Petersburg for the Russian Navy anniversary and conducted a drill with a Russian Navy frigate.  PRC source calls this a joint exercise but it seems much more like a port call with a light drill added on the end."/>
  </r>
  <r>
    <x v="2"/>
    <x v="3"/>
    <s v="Europe and Central Asia"/>
    <s v=" Comprehensive Strategic Partnership of Coordination in the New Era [新时代中俄全面战略协作伙伴关系]"/>
    <x v="0"/>
    <s v="EUCOM"/>
    <x v="7"/>
    <x v="33"/>
    <n v="7"/>
    <s v="Military Exercise - Bilateral"/>
    <m/>
    <m/>
    <m/>
    <m/>
    <x v="0"/>
    <m/>
    <x v="9"/>
    <s v="Joint Strategic Aerial Patrol I"/>
    <s v="Air Force"/>
    <s v="8th joint Strategic air patrol. Two Chinese H-6 and two Russian Tu-95 bombers flew off Alaska; first time Chinese bombers have flown within the Alaskan ADIZ. Escorted partly by a Russian Su-30; U.S. and Candaian fights tracked and intercepted the bombers, which stayed outside sovereign US territory."/>
    <m/>
    <x v="12"/>
    <m/>
    <m/>
    <s v="https://apnews.com/article/china-russia-us-military-planes-norad-alaska-4994b489e75ae636b4a4cd5bb40f91ac"/>
    <s v="9th China-Russia air patrol"/>
  </r>
  <r>
    <x v="2"/>
    <x v="3"/>
    <s v="Europe and Central Asia"/>
    <s v=" Comprehensive Strategic Partnership of Coordination in the New Era [新时代中俄全面战略协作伙伴关系]"/>
    <x v="0"/>
    <s v="EUCOM"/>
    <x v="7"/>
    <x v="33"/>
    <n v="7"/>
    <s v="Military Exercise - Bilateral"/>
    <m/>
    <m/>
    <m/>
    <m/>
    <x v="0"/>
    <m/>
    <x v="9"/>
    <s v="Joint Maritime Cruise 2024-I"/>
    <s v="Navy"/>
    <s v="The joint patrol featured the Russian corvette Sovershenny, the PLA Navy's Type 052D destroyer Yinchuan, Type 054A frigate Hengshui and Type 903 replenishment ship Weishanhu"/>
    <m/>
    <x v="12"/>
    <m/>
    <m/>
    <s v="https://www.globaltimes.cn/page/202407/1315995.shtml"/>
    <s v="4th Joint Maritime Patrol, in the Western and Northern Pacific Ocean"/>
  </r>
  <r>
    <x v="0"/>
    <x v="3"/>
    <s v="Europe and Central Asia"/>
    <s v=" Comprehensive Strategic Partnership of Coordination in the New Era [新时代中俄全面战略协作伙伴关系]"/>
    <x v="0"/>
    <s v="EUCOM"/>
    <x v="7"/>
    <x v="33"/>
    <n v="7"/>
    <s v="Port Call - Friendly Visit"/>
    <m/>
    <m/>
    <m/>
    <m/>
    <x v="0"/>
    <m/>
    <x v="0"/>
    <m/>
    <m/>
    <m/>
    <s v="NETF"/>
    <x v="130"/>
    <s v="East Sea Fleet"/>
    <s v="Longhushan (landing ship) and Zheng He (training ship) attend Russian Navy anniversary in Vladisvostok"/>
    <s v="http://eng.chinamil.com.cn/CHINA_209163/Exchanges/News_209188/16328779.html"/>
    <s v=" Chinese naval vessels, the Longhushan and Zheng He, arrived at the Russian port of Vladivostok on the morning of July 26, local time, to begin a four-day friendly visit and participate in the celebration of the 328th anniversary of the founding of the Russian Navy."/>
  </r>
  <r>
    <x v="2"/>
    <x v="3"/>
    <s v="Europe and Central Asia"/>
    <s v="Comprehensive Strategic Partnership of Coordination in the New Era [新时代中俄全面战略协作伙伴关系]"/>
    <x v="0"/>
    <s v="EUCOM"/>
    <x v="7"/>
    <x v="33"/>
    <n v="7"/>
    <s v="Military Exercise - Bilateral"/>
    <m/>
    <m/>
    <m/>
    <m/>
    <x v="0"/>
    <m/>
    <x v="3"/>
    <s v="Joint Sea 2024"/>
    <s v="Navy"/>
    <s v="exercise near Zhanjiang City, Guangdong"/>
    <m/>
    <x v="12"/>
    <m/>
    <m/>
    <s v="http://eng.chinamil.com.cn/CHINA_209163/TopStories_209189/16324026.html"/>
    <m/>
  </r>
  <r>
    <x v="0"/>
    <x v="7"/>
    <s v="West Asia and Africa"/>
    <s v="Strategic Partnership [战略伙伴关系]"/>
    <x v="0"/>
    <s v="AFRICOM"/>
    <x v="139"/>
    <x v="33"/>
    <n v="7"/>
    <s v="Port Call - Friendly Visit"/>
    <m/>
    <m/>
    <m/>
    <m/>
    <x v="0"/>
    <m/>
    <x v="0"/>
    <m/>
    <m/>
    <m/>
    <s v="NETF"/>
    <x v="131"/>
    <s v="East Sea Fleet"/>
    <m/>
    <s v="http://eng.mod.gov.cn/xb/News_213114/TopStories/16322940.html; http://www.mod.gov.cn/gfbw/jswj/jl/16323102.html; "/>
    <m/>
  </r>
  <r>
    <x v="0"/>
    <x v="7"/>
    <s v="West Asia and Africa"/>
    <s v="Comprehensive Strategic Cooperative Partnership [战略合作伙伴关系]"/>
    <x v="0"/>
    <s v="AFRICOM"/>
    <x v="16"/>
    <x v="33"/>
    <n v="7"/>
    <s v="Port Call - Friendly Visit"/>
    <m/>
    <m/>
    <m/>
    <m/>
    <x v="0"/>
    <m/>
    <x v="0"/>
    <m/>
    <m/>
    <m/>
    <s v="NETF"/>
    <x v="132"/>
    <s v="East Sea Fleet"/>
    <m/>
    <s v="http://www.mod.gov.cn/gfbw/jswj/cf/16326508.html"/>
    <s v="Third visit of the Peace Ark to Tanzania"/>
  </r>
  <r>
    <x v="2"/>
    <x v="7"/>
    <s v="West Asia and Africa"/>
    <s v="Comprehensive Strategic Cooperative Partnership [战略合作伙伴关系]"/>
    <x v="0"/>
    <s v="AFRICOM"/>
    <x v="16"/>
    <x v="33"/>
    <n v="7"/>
    <s v="Military Exercise - Multilateral"/>
    <m/>
    <m/>
    <m/>
    <m/>
    <x v="0"/>
    <m/>
    <x v="3"/>
    <s v="Peace Unity 2024"/>
    <s v="Joint"/>
    <s v="a battalion-sized element from PLA Central Theater Command 82nd Group Army including assault, reconnaissance, intelligence, special operations, information support and logistics elements, an information and communications regiment, and a military hospital. Exercise also assigned an exercise director and staff to evaluate the performance of units and commanders. The exercise also involved live-fire, integrated logistics, opposition force elements, and shared command and control. Also displayed were power projection capabilities, like the Y-20 strategic transport aircraft and sealift assets. Note: PLA marines from the Djibouti base were part of the PLA Contingent in these drills and this may be the first time PLA marines based in Djibouti have exercised with foreign militaries. Naval flotilla sent from Southern TC Navy"/>
    <m/>
    <x v="12"/>
    <s v="the sealift assets includd: the amphibious dock landing ship Wuzhishan, the amphibious dock landing ship Qilianshan, and the guided-missile destroyer Hefei."/>
    <m/>
    <s v="https://ssi.armywarcollege.edu/SSI-Media/Recent-Publications/Display/Article/3930357/peace-and-unity-chinas-growing-military-footprint-in-tanzania/; https://africacenter.org/spotlight/militarization-china-africa-policy/; https://cartamz.com/index.php/sociedade/item/17226-mocambique-tanzania-e-china-em-exercicios-militares-conjuntos-para-o-combate-ao-terrorismo"/>
    <s v="Mozambique also particpated in the exercise, but provided a smaller contingent. Classified as combat exercise based on significant live fire and combined arms elements."/>
  </r>
  <r>
    <x v="2"/>
    <x v="9"/>
    <s v="West Asia and Africa"/>
    <s v="Comprehensive Strategic Partnership [全面战略伙伴关系]"/>
    <x v="0"/>
    <s v="CENTCOM"/>
    <x v="106"/>
    <x v="33"/>
    <n v="7"/>
    <s v="Military Exercise - Bilateral"/>
    <m/>
    <m/>
    <m/>
    <m/>
    <x v="0"/>
    <m/>
    <x v="2"/>
    <s v="Falcon Shield 2024"/>
    <s v="Air Force"/>
    <s v="second joint training focused on deepening trust/coop, held in XJ"/>
    <m/>
    <x v="12"/>
    <m/>
    <m/>
    <s v="http://eng.mod.gov.cn/xb/News_213114/TopStories/16323441.html"/>
    <s v="unclear milex type due to lack of relevant info, currently classified as MOOTW "/>
  </r>
  <r>
    <x v="0"/>
    <x v="7"/>
    <s v="West Asia and Africa"/>
    <s v="Comprehensive Strategic Partnership [全面战略伙伴关系]"/>
    <x v="1"/>
    <s v="CENTCOM"/>
    <x v="24"/>
    <x v="33"/>
    <n v="8"/>
    <s v="Port Call - Friendly Visit"/>
    <m/>
    <m/>
    <m/>
    <m/>
    <x v="0"/>
    <m/>
    <x v="0"/>
    <m/>
    <m/>
    <m/>
    <s v="ETF"/>
    <x v="128"/>
    <s v="South Sea Fleet"/>
    <s v="Jiaozuo DG and Honghu supply ships"/>
    <s v="http://eng.chinamil.com.cn/CHINA_209163/Exchanges/News_209188/16332206.html"/>
    <s v="The 46th Chinese Navy escort fleet, Jiaozuo destroyer and Honghu supply ship, arrived at the Egyptian port of Alexandria on the 15th, starting a five-day friendly visit."/>
  </r>
  <r>
    <x v="0"/>
    <x v="7"/>
    <s v="West Asia and Africa"/>
    <s v="Comprehensive Strategic Cooperative Partnership [全面战略合作伙伴关系]"/>
    <x v="0"/>
    <s v="AFRICOM"/>
    <x v="141"/>
    <x v="33"/>
    <n v="8"/>
    <s v="Port Call - Friendly Visit"/>
    <m/>
    <m/>
    <m/>
    <m/>
    <x v="0"/>
    <m/>
    <x v="0"/>
    <m/>
    <m/>
    <m/>
    <s v="NETF"/>
    <x v="132"/>
    <s v="East Sea Fleet"/>
    <m/>
    <s v="http://www.mod.gov.cn/gfbw/jswj/cf/16329156.html"/>
    <s v="This the first time the Peace Ark has visited Madagascar"/>
  </r>
  <r>
    <x v="0"/>
    <x v="7"/>
    <s v="West Asia and Africa"/>
    <s v="Comprehensive Strategic Cooperative Partnership [全面战略合作伙伴关系]"/>
    <x v="0"/>
    <s v="AFRICOM"/>
    <x v="84"/>
    <x v="33"/>
    <n v="8"/>
    <s v="Port Call - Friendly Visit"/>
    <m/>
    <m/>
    <m/>
    <m/>
    <x v="0"/>
    <m/>
    <x v="0"/>
    <m/>
    <m/>
    <m/>
    <s v="NETF"/>
    <x v="132"/>
    <s v="East Sea Fleet"/>
    <m/>
    <s v="http://eng.chinamil.com.cn/CHINA_209163/Exchanges/News_209188/16332205.html"/>
    <s v="The last visit of the Peace Ark to Mozambique was in 2017."/>
  </r>
  <r>
    <x v="2"/>
    <x v="7"/>
    <s v="West Asia and Africa"/>
    <s v="Comprehensive Strategic Cooperative Partnership [全面战略合作伙伴关系]"/>
    <x v="0"/>
    <s v="AFRICOM"/>
    <x v="84"/>
    <x v="33"/>
    <n v="8"/>
    <s v="Military Exercise - Bilateral"/>
    <m/>
    <m/>
    <m/>
    <m/>
    <x v="0"/>
    <m/>
    <x v="4"/>
    <s v="Peace Unity 2024"/>
    <s v="Navy"/>
    <s v="joint maritime patrols, visit, board, search and seizure (VBSS), maritime rescue, and anti-terrorism and anti-piracy"/>
    <m/>
    <x v="12"/>
    <s v="South Sea Fleet"/>
    <m/>
    <s v="http://eng.chinamil.com.cn/SIDEBAR/WeRecommend/16329725.html"/>
    <s v=" amphibious dock landing ship Qilianshan"/>
  </r>
  <r>
    <x v="1"/>
    <x v="5"/>
    <s v="America and Oceania"/>
    <s v="Comprehensive Strategic Partnership [全面战略伙伴关系]"/>
    <x v="4"/>
    <s v="INDOPACOM"/>
    <x v="13"/>
    <x v="33"/>
    <n v="8"/>
    <s v="BL - Abroad"/>
    <s v="???"/>
    <m/>
    <s v="???"/>
    <n v="5"/>
    <x v="1"/>
    <s v="Vice Chief of Defense Force"/>
    <x v="0"/>
    <m/>
    <m/>
    <m/>
    <m/>
    <x v="12"/>
    <m/>
    <m/>
    <s v="https://www.defence.govt.nz/news/12th-new-zealand-china-strategic-defence-dialogue/"/>
    <s v="12th China-New Zealand Strategic Defense Dialogue. Hosted by Acting Vice Chief of Defence Force Commodore Mat Williams and Deputy Secretary Policy and Planning of the Ministry of Defence Richard Schmidt. PLA head of del not mentioned; previous meetings were with Li Zuochang. "/>
  </r>
  <r>
    <x v="0"/>
    <x v="7"/>
    <s v="West Asia and Africa"/>
    <s v="All-round strategic cooperative partnership in the new era [新时代全方位战略合作伙伴关系]"/>
    <x v="0"/>
    <s v="AFRICOM"/>
    <x v="15"/>
    <x v="33"/>
    <n v="8"/>
    <s v="Port Call - Friendly Visit"/>
    <m/>
    <m/>
    <m/>
    <m/>
    <x v="0"/>
    <m/>
    <x v="0"/>
    <m/>
    <m/>
    <m/>
    <s v="NETF"/>
    <x v="132"/>
    <s v="East Sea Fleet"/>
    <m/>
    <s v="http://eng.mod.gov.cn/xb/News_213114/Features/16334935.html"/>
    <m/>
  </r>
  <r>
    <x v="0"/>
    <x v="0"/>
    <s v="Asia"/>
    <s v="Strategic Cooperative Partnership [战略合作伙伴关系]"/>
    <x v="0"/>
    <s v="INDOPACOM"/>
    <x v="3"/>
    <x v="33"/>
    <n v="8"/>
    <s v="Port Call - Friendly Visit and Drills"/>
    <m/>
    <m/>
    <m/>
    <m/>
    <x v="0"/>
    <m/>
    <x v="0"/>
    <m/>
    <m/>
    <m/>
    <s v="NETF"/>
    <x v="133"/>
    <s v="South Sea Fleet"/>
    <s v="He Fei DDG, Wuzhishan LPD, Qilianshan LPD; ships conducted a PASSEX as they departed"/>
    <s v="https://news.navy.lk/eventnews/2024/08/26/202408261600/"/>
    <m/>
  </r>
  <r>
    <x v="2"/>
    <x v="1"/>
    <s v="Asia"/>
    <s v="Comprehensive Strategic Partnership [全面战略伙伴]"/>
    <x v="3"/>
    <s v="INDOPACOM"/>
    <x v="5"/>
    <x v="33"/>
    <n v="8"/>
    <s v="Military Exercise - Bilateral"/>
    <m/>
    <m/>
    <m/>
    <m/>
    <x v="0"/>
    <m/>
    <x v="3"/>
    <s v="Falcon Strike 2024"/>
    <s v="Air Force"/>
    <s v="Exercise focused on early warning detection, dissimilar aircraft combat, close air support, penetration assault, and battlefield medical evacuation"/>
    <m/>
    <x v="12"/>
    <m/>
    <m/>
    <s v="http://eng.chinamil.com.cn/BILINGUAL/News_209203/16334825.html"/>
    <m/>
  </r>
  <r>
    <x v="1"/>
    <x v="2"/>
    <s v="America and Oceania"/>
    <s v="No Specific Relationship"/>
    <x v="2"/>
    <s v="INDOPACOM"/>
    <x v="4"/>
    <x v="33"/>
    <n v="8"/>
    <s v="BL - Hosted"/>
    <s v="Zhang Youxia"/>
    <m/>
    <s v="Vice Chair CMC"/>
    <n v="10"/>
    <x v="2"/>
    <s v="NSA Sullivan"/>
    <x v="0"/>
    <m/>
    <m/>
    <m/>
    <m/>
    <x v="12"/>
    <m/>
    <m/>
    <s v="http://eng.mod.gov.cn/xb/News_213114/TopStories/16334468.html"/>
    <s v="PCS: Not sure if we have captured all previous PLA meetings with US NSAs, but earlier entries do include senior PLA officers meeting with civilian officials and even retired officials.\"/>
  </r>
  <r>
    <x v="1"/>
    <x v="1"/>
    <s v="Asia"/>
    <s v="Comprehensive Strategic Partnership [全面战略伙伴关系]"/>
    <x v="0"/>
    <s v="INDOPACOM"/>
    <x v="23"/>
    <x v="33"/>
    <n v="8"/>
    <s v="BL - Hosted"/>
    <s v="Dong Jun"/>
    <m/>
    <s v="Minister of Defense"/>
    <n v="8"/>
    <x v="2"/>
    <s v="Minister of Defense"/>
    <x v="0"/>
    <m/>
    <m/>
    <m/>
    <m/>
    <x v="12"/>
    <m/>
    <m/>
    <s v="http://eng.mod.gov.cn/xb/News_213114/TopStories/16332372.html"/>
    <m/>
  </r>
  <r>
    <x v="0"/>
    <x v="7"/>
    <s v="West Asia and Africa"/>
    <s v="Comprehensive Cooperative Strategic Partnership [全面战略合作伙伴关系]"/>
    <x v="0"/>
    <s v="AFRICOM"/>
    <x v="105"/>
    <x v="33"/>
    <n v="9"/>
    <s v="Port Call - Friendly Visit"/>
    <m/>
    <m/>
    <m/>
    <m/>
    <x v="0"/>
    <m/>
    <x v="0"/>
    <m/>
    <m/>
    <m/>
    <s v="NETF"/>
    <x v="132"/>
    <s v="East Sea Fleet"/>
    <m/>
    <s v="http://www.mod.gov.cn/gfbw/jswj/cf/16336065.html"/>
    <s v="This was the second visit of the Peace Ark to Angola. The first was in 2017."/>
  </r>
  <r>
    <x v="1"/>
    <x v="8"/>
    <s v="Europe and Central Asia"/>
    <s v="Friendly Cooperative Partnership [友好合作伙伴关系]"/>
    <x v="0"/>
    <s v="EUCOM"/>
    <x v="63"/>
    <x v="33"/>
    <n v="9"/>
    <s v="ML - Margins"/>
    <s v="Dong Jun"/>
    <m/>
    <s v="Minister of Defense"/>
    <n v="8"/>
    <x v="2"/>
    <s v="Defense Minister"/>
    <x v="0"/>
    <m/>
    <m/>
    <m/>
    <m/>
    <x v="12"/>
    <m/>
    <m/>
    <s v="http://www.mod.gov.cn/gfbw/jswj/lf/16338033.html"/>
    <s v="BL during 11th Xiangshan - Papikian said that under the strategic guidance of the two heads of state, the Armenian-China relations have maintained a good momentum of development and achieved fruitful results. The cooperation between the two militaries in military education, personnel training and other fields has achieved outstanding results, and he hopes to further deepen bilateral defense relations with China."/>
  </r>
  <r>
    <x v="1"/>
    <x v="8"/>
    <s v="Europe and Central Asia"/>
    <s v="All-Weather Strategic Cooperative Partnership [全天候战略合作伙伴关系]"/>
    <x v="0"/>
    <s v="EUCOM"/>
    <x v="34"/>
    <x v="33"/>
    <n v="9"/>
    <s v="ML - Margins"/>
    <s v="Dong Jun"/>
    <m/>
    <s v="Minister of Defense"/>
    <n v="8"/>
    <x v="2"/>
    <s v="Defense Minister"/>
    <x v="0"/>
    <m/>
    <m/>
    <m/>
    <m/>
    <x v="12"/>
    <m/>
    <m/>
    <s v="http://www.mod.gov.cn/gfbw/jswj/lf/16338033.html"/>
    <s v="BL during 11th Xiangshan - Khlenin said that Belarus and China have an all-weather comprehensive strategic partnership. Belarus is willing to continue exchanges and cooperation with China in various fields such as joint training and personnel training, and work together to elevate the relationship between the two militaries to a higher level."/>
  </r>
  <r>
    <x v="2"/>
    <x v="10"/>
    <s v="America and Oceania"/>
    <s v="Comprehensive Strategic Partnership [全面战略伙伴关系]"/>
    <x v="1"/>
    <s v="SOUTHCOM"/>
    <x v="43"/>
    <x v="33"/>
    <n v="9"/>
    <s v="Military Exercise - Multilateral"/>
    <m/>
    <m/>
    <m/>
    <m/>
    <x v="0"/>
    <m/>
    <x v="3"/>
    <s v="Exercise Formosa"/>
    <s v="Navy"/>
    <s v="The US-Brasil part of the exercise included coordinated live fire elements; the PRC-Brasil part &quot;will primarily concentrate on joint landing and anti-landing combat drills&quot;. US (63 Marines) and PLA troops (32 Marines) did not interact; PRC sent oberse vrs to the 2023 exercise"/>
    <m/>
    <x v="12"/>
    <m/>
    <m/>
    <s v="https://fmso.tradoc.army.mil/2024/chinese-marines-participate-in-brazils-military-exercise-for-the-first-time/; http://eng.chinamil.com.cn/CHINA_209163/Exercises/News_209184/16336575.html; https://english.elpais.com/international/2024-09-12/us-and-chinese-soldiers-take-part-in-joint-military-exercises-in-brazil.html"/>
    <s v="The People's Liberation Army (PLA) Navy will dispatch a Marine Corps detachment to Brazil to take part in a multilateral joint exercise, following an invitation from the Brazilian military. The exercise will primarily concentrate on joint landing and anti-landing combat drills. It aims to strengthen the friendship and collaboration between the Chinese military and its counterparts from the participating nations as well as to bolster their collective capacity to tackle security risks and challenges."/>
  </r>
  <r>
    <x v="1"/>
    <x v="1"/>
    <s v="Asia"/>
    <s v="Comprehensive Strategic Cooperative Partnership [全面战略合作伙伴关系]"/>
    <x v="0"/>
    <s v="INDOPACOM"/>
    <x v="94"/>
    <x v="33"/>
    <n v="9"/>
    <s v="ML - Margins"/>
    <s v="Zhang Youxia"/>
    <m/>
    <s v="Vice Chair CMC"/>
    <n v="10"/>
    <x v="2"/>
    <s v="Deputy PM and Defense Minister"/>
    <x v="0"/>
    <m/>
    <m/>
    <m/>
    <m/>
    <x v="12"/>
    <m/>
    <m/>
    <s v="http://www.mod.gov.cn/gfbw/jswj/lf/16337971.html"/>
    <s v="BL during 11th Xiangshan - When meeting with Dixieha, Zhang Youxia said that China and Cambodia are partners who share weal and woe and are truly iron-clad. Under the strategic guidance of the leaders of the two countries, the construction of a community with a shared future between China and Cambodia has entered a new era of high quality, high level and high standards. China is willing to inherit and consolidate the special friendly relations with Cambodia, firmly support each other, jointly respond to challenges, promote strategic cooperation, and continue to work hand in hand to safeguard common interests. The cooperation between the two militaries has a long history and fruitful results. It is hoped that the two sides will strengthen high-level strategic communication, deepen practical cooperation in various fields, and promote the relationship between the two militaries to a new level."/>
  </r>
  <r>
    <x v="1"/>
    <x v="7"/>
    <s v="West Asia and Africa"/>
    <s v="Comprehensive Strategic Partnership [全面战略伙伴关系]"/>
    <x v="0"/>
    <s v="AFRICOM"/>
    <x v="65"/>
    <x v="33"/>
    <n v="9"/>
    <s v="ML - Margins"/>
    <s v="Dong Jun"/>
    <m/>
    <s v="Minister of Defense"/>
    <n v="8"/>
    <x v="2"/>
    <s v="Defense Minister"/>
    <x v="0"/>
    <m/>
    <m/>
    <m/>
    <m/>
    <x v="12"/>
    <m/>
    <m/>
    <s v="http://www.mod.gov.cn/gfbw/jswj/lf/16338281.html"/>
    <s v="BL during 11th Xiangshan - Assomo said that China is Cameroon's primary partner in the field of defense and security. During the Beijing Summit of the Forum on China-Africa Cooperation, the two heads of state reached a series of important consensuses, which clarified the development direction of the relations between the two countries and their militaries. Cameroon thanked China for its valuable support in helping Kazakhstan cope with diﬃculties and challenges, and is willing to continue to strengthen practical cooperation with China in various fields such as mutual visits of delegations, military medicine, and counter-terrorism."/>
  </r>
  <r>
    <x v="1"/>
    <x v="10"/>
    <s v="America and Oceania"/>
    <s v="Comprehensive Strategic Partnership [全面战略伙伴关系]"/>
    <x v="0"/>
    <s v="SOUTHCOM"/>
    <x v="66"/>
    <x v="33"/>
    <n v="9"/>
    <s v="ML - Margins"/>
    <s v="Dong Jun"/>
    <m/>
    <s v="Minister of Defense"/>
    <n v="8"/>
    <x v="2"/>
    <s v="Defense Minister"/>
    <x v="0"/>
    <m/>
    <m/>
    <m/>
    <m/>
    <x v="12"/>
    <m/>
    <m/>
    <s v="http://www.mod.gov.cn/gfbw/jswj/lf/16338033.html"/>
    <s v="BL during 11th Xiangshan - Fernandez said Chile has always firmly adhered to the one-China principle and will continue to give firm support to China on various occasions. The two sides have a good mechanism and foundation for defense exchanges, and are willing to continuously expand the breadth and depth of Chile-China cooperation."/>
  </r>
  <r>
    <x v="0"/>
    <x v="7"/>
    <s v="West Asia and Africa"/>
    <s v="Comprehensive Strategic Partnership [全面战略伙伴关系]"/>
    <x v="0"/>
    <s v="AFRICOM"/>
    <x v="28"/>
    <x v="33"/>
    <n v="9"/>
    <s v="Port Call - Friendly Visit"/>
    <m/>
    <m/>
    <m/>
    <m/>
    <x v="0"/>
    <m/>
    <x v="0"/>
    <m/>
    <m/>
    <m/>
    <s v="NETF"/>
    <x v="132"/>
    <s v="East Sea Fleet"/>
    <m/>
    <s v="http://www.mod.gov.cn/gfbw/jswj/cf/16339975.html"/>
    <s v="This is the second visit of the Peace Ark hospital ship and was highly valued by the government of the Republic of Congo."/>
  </r>
  <r>
    <x v="1"/>
    <x v="5"/>
    <s v="America and Oceania"/>
    <s v="Comprehensive Strategic Partnership [全面战略伙伴关系]"/>
    <x v="0"/>
    <s v="INDOPACOM"/>
    <x v="128"/>
    <x v="33"/>
    <n v="9"/>
    <s v="ML - Margins"/>
    <s v="Dong Jun"/>
    <m/>
    <s v="Minister of Defense"/>
    <n v="8"/>
    <x v="2"/>
    <s v="Minister of Internal Affairs and Immigration"/>
    <x v="0"/>
    <m/>
    <m/>
    <m/>
    <m/>
    <x v="12"/>
    <m/>
    <m/>
    <s v="http://www.mod.gov.cn/gfbw/jswj/lf/16338581.html"/>
    <s v="BL during 11th Beijing Xiangshan Forum."/>
  </r>
  <r>
    <x v="1"/>
    <x v="8"/>
    <s v="Europe and Central Asia"/>
    <s v="Comprehensive Strategic Partnership [全面战略伙伴关系]"/>
    <x v="5"/>
    <s v="EUCOM"/>
    <x v="22"/>
    <x v="33"/>
    <n v="9"/>
    <s v="ML - Margins"/>
    <s v="Wu Yanan"/>
    <m/>
    <s v="Southern Theater Commmander"/>
    <n v="6"/>
    <x v="1"/>
    <s v="US INDOPACOM Commander ADM Samuel Paparo"/>
    <x v="0"/>
    <m/>
    <m/>
    <m/>
    <m/>
    <x v="12"/>
    <m/>
    <m/>
    <s v="http://eng.chinamil.com.cn/CHINA_209163/Exchanges/News_209188/16340241.html"/>
    <s v="Wu Yanan met with ADM Paparo and they exchanged views candidly and in-depth on issues of common concern around the implementation of the consensus reached by the two heads of state."/>
  </r>
  <r>
    <x v="0"/>
    <x v="7"/>
    <s v="West Asia and Africa"/>
    <s v="Comprehensive Stategic Collaborative Partnership [全面战略合作伙伴关系]"/>
    <x v="0"/>
    <s v="AFRICOM"/>
    <x v="67"/>
    <x v="33"/>
    <n v="9"/>
    <s v="Port Call - Friendly Visit and Drills"/>
    <m/>
    <m/>
    <m/>
    <m/>
    <x v="0"/>
    <m/>
    <x v="0"/>
    <m/>
    <m/>
    <m/>
    <s v="NETF"/>
    <x v="132"/>
    <s v="East Sea Fleet"/>
    <m/>
    <s v="http://eng.chinamil.com.cn/CHINA_209163/Exchanges/News_209188/16341312.html"/>
    <s v="Peace Ark conducted minor drills with Gabonese Navy after visit, such as sailing in formation."/>
  </r>
  <r>
    <x v="1"/>
    <x v="7"/>
    <s v="West Asia and Africa"/>
    <s v="Comprehensive Stategic Collaborative Partnership [全面战略合作伙伴关系]"/>
    <x v="0"/>
    <s v="AFRICOM"/>
    <x v="67"/>
    <x v="33"/>
    <n v="9"/>
    <s v="ML - Margins"/>
    <s v="Dong Jun"/>
    <m/>
    <s v="Minister of Defense"/>
    <n v="8"/>
    <x v="2"/>
    <s v="Defense Minister"/>
    <x v="0"/>
    <m/>
    <m/>
    <m/>
    <m/>
    <x v="12"/>
    <m/>
    <m/>
    <s v="http://www.mod.gov.cn/gfbw/jswj/lf/16338281.html"/>
    <s v="BL during 11th Xiangshan - Onkanova said that Gabon and China have a special friendly relationship. Gabon regards China as an important strategic partner. The two heads of state have unanimously decided to expand and deepen BLeral relations. The two sides have broad prospects for cooperation in the field of defense. Gabon is willing to strengthen cooperation with China in the fields of counter-terrorism, anti-piracy, joint exercises and training, personnel training, etc., and promote the continuous development of relations between the two militaries."/>
  </r>
  <r>
    <x v="0"/>
    <x v="1"/>
    <s v="Asia"/>
    <s v="Comprehensive Strategic Partnership [全面战略伙伴关系]"/>
    <x v="0"/>
    <s v="INDOPACOM"/>
    <x v="8"/>
    <x v="33"/>
    <n v="9"/>
    <s v="Port Call - Friendly Visit"/>
    <m/>
    <m/>
    <m/>
    <m/>
    <x v="0"/>
    <m/>
    <x v="0"/>
    <m/>
    <m/>
    <m/>
    <s v="NETF"/>
    <x v="134"/>
    <s v="North Sea Fleet"/>
    <s v="Training Ship Po Lang sailing ship from Dalian Naval Academy"/>
    <s v="https://srilankachinahotline.srilankamirror.com/news/chinese-navy-training-ship-sets-sail-for-training-foreign-visits"/>
    <s v="Polang is a sailing ship"/>
  </r>
  <r>
    <x v="1"/>
    <x v="6"/>
    <s v="Europe and Central Asia"/>
    <s v="Permanent Comprehensive Strategic Partnership [永久全面战略伙伴]"/>
    <x v="0"/>
    <s v="CENTCOM"/>
    <x v="30"/>
    <x v="33"/>
    <n v="9"/>
    <s v="ML - Margins"/>
    <s v="Zhang Youxia"/>
    <m/>
    <s v="Vice Chair CMC"/>
    <n v="10"/>
    <x v="2"/>
    <s v="Defense Minister Zakserykov"/>
    <x v="0"/>
    <m/>
    <m/>
    <m/>
    <m/>
    <x v="12"/>
    <m/>
    <m/>
    <s v="http://www.mod.gov.cn/gfbw/jswj/lf/16338277.html"/>
    <s v="PCS: Added from Ken Allen BL meeting on margins of 11th Xiangshan Forum"/>
  </r>
  <r>
    <x v="1"/>
    <x v="6"/>
    <s v="Europe and Central Asia"/>
    <s v="Comprehensive Strategic Partnership for a New Era [新时代全面战略伙伴关系]"/>
    <x v="0"/>
    <s v="CENTCOM"/>
    <x v="31"/>
    <x v="33"/>
    <n v="9"/>
    <s v="ML - Margins"/>
    <s v="Dong Jun"/>
    <m/>
    <s v="Minister of Defense"/>
    <n v="8"/>
    <x v="2"/>
    <s v="Defense Minister"/>
    <x v="0"/>
    <m/>
    <m/>
    <m/>
    <m/>
    <x v="12"/>
    <m/>
    <m/>
    <s v="http://www.mod.gov.cn/gfbw/jswj/lf/16338281.html"/>
    <s v="BL during 11th Xiangshan - Bekbolotov said that Kyrgyzstan and China are a model of good-neighborly friendship and cooperation, and Kyrgyzstan is grateful for China's long-term selfless help. Kyrgyzstan firmly adheres to the one-China principle and is willing to work with China to implement the important consensus reached by the two heads of state, continue to deepen the brotherly friendship between the two militaries, continuously expand BLeral and multilateral exchanges and cooperation, and take firm steps to consolidate the relationship between the two militaries."/>
  </r>
  <r>
    <x v="1"/>
    <x v="1"/>
    <s v="Asia"/>
    <s v="Comprehensive Strategic Cooperative Partnership [全面战略合作伙伴关系]"/>
    <x v="0"/>
    <s v="INDOPACOM"/>
    <x v="52"/>
    <x v="33"/>
    <n v="9"/>
    <s v="ML - Margins"/>
    <s v="Dong Jun"/>
    <m/>
    <s v="Minister of Defense"/>
    <n v="8"/>
    <x v="2"/>
    <s v="Deputy PM and Defense Minister"/>
    <x v="0"/>
    <m/>
    <m/>
    <m/>
    <m/>
    <x v="12"/>
    <m/>
    <m/>
    <s v="http://www.mod.gov.cn/gfbw/jswj/lf/16338281.html"/>
    <s v="BL during 11th Xiangshan - Chansamon said that Laos highly appreciates and firmly supports China's important role in international and regional aﬀairs, and thanks China for its long-term support and assistance to Laos. Last year, the two heads of state jointly signed a new five-year action plan to build a community with a shared future for Laos and China, which pointed out the direction for the development of relations between the two parties, two countries and two militaries. Laos is willing to take this forum as an opportunity to continue to strengthen practical cooperation with China in areas such as joint exercises and training, personnel training, and make positive contributions to deepening relations between the two countries and two militaries"/>
  </r>
  <r>
    <x v="1"/>
    <x v="7"/>
    <s v="West Asia and Africa"/>
    <s v="Comprehensive Strategic Cooperative Partnership [全面战略合作伙伴关系]"/>
    <x v="0"/>
    <s v="AFRICOM"/>
    <x v="141"/>
    <x v="33"/>
    <n v="9"/>
    <s v="ML - Margins"/>
    <s v="Dong Jun"/>
    <m/>
    <s v="Minister of Defense"/>
    <n v="8"/>
    <x v="2"/>
    <s v="Defense Minister"/>
    <x v="0"/>
    <m/>
    <m/>
    <m/>
    <m/>
    <x v="12"/>
    <m/>
    <m/>
    <s v="http://www.mod.gov.cn/gfbw/jswj/lf/16338033.html"/>
    <s v="BL during 11th Xiangshan - Sayvilo said that the friendship between Madagascar and China has a long history. During the Beijing Summit of the Forum on China-Africa Cooperation, the two heads of state upgraded the Madagascar-China relationship to a comprehensive strategic partnership of cooperation. The two militaries should seize the opportunity and continuously improve the level and quality of exchanges and cooperation."/>
  </r>
  <r>
    <x v="1"/>
    <x v="1"/>
    <s v="Asia"/>
    <s v="Comprehensive Collaborative Strategic Partnership [全面战略合作伙伴关系]"/>
    <x v="0"/>
    <s v="INDOPACOM"/>
    <x v="149"/>
    <x v="33"/>
    <n v="9"/>
    <s v="ML - Margins"/>
    <s v="Dong Jun"/>
    <m/>
    <s v="Minister of Defense"/>
    <n v="8"/>
    <x v="2"/>
    <s v="Defense Minister"/>
    <x v="0"/>
    <m/>
    <m/>
    <m/>
    <m/>
    <x v="12"/>
    <m/>
    <m/>
    <s v="http://www.mod.gov.cn/gfbw/jswj/lf/16338033.html"/>
    <s v="BL during 11th Xiangshan - Gassan said that the friendly relations between Maldives and China are the best example of China treating all countries, big or small, equally. He hopes that the two militaries will have closer personnel exchanges, deepen maritime security cooperation, and further strengthen defense relations."/>
  </r>
  <r>
    <x v="1"/>
    <x v="7"/>
    <s v="West Asia and Africa"/>
    <s v="Strategic Partnership [战略伙伴关系]"/>
    <x v="0"/>
    <s v="AFRICOM"/>
    <x v="160"/>
    <x v="33"/>
    <n v="9"/>
    <s v="ML - Margins"/>
    <s v="Dong Jun"/>
    <m/>
    <s v="Minister of Defense"/>
    <n v="8"/>
    <x v="2"/>
    <s v="Defense Minister"/>
    <x v="0"/>
    <m/>
    <m/>
    <m/>
    <m/>
    <x v="12"/>
    <m/>
    <m/>
    <s v="http://www.mod.gov.cn/gfbw/jswj/lf/16338033.html"/>
    <s v="BL during 11th Xiangshan - Xidi said that the Mauritanian side firmly adheres to the one-China principle. The two militaries should conform to the new positioning of BLeral relations, deepen BLeral practical exchanges and cooperation, and promote the further improvement and upgrading of the relationship between the two militaries."/>
  </r>
  <r>
    <x v="1"/>
    <x v="1"/>
    <s v="Asia"/>
    <s v="Comprehensive Strategic Cooperative Partnership [全面战略合作伙伴关系]"/>
    <x v="0"/>
    <s v="INDOPACOM"/>
    <x v="1"/>
    <x v="33"/>
    <n v="9"/>
    <s v="ML - Margins"/>
    <s v="He Weidong"/>
    <m/>
    <s v="Vice Chair CMC"/>
    <n v="10"/>
    <x v="2"/>
    <s v="Deputy Prime Minister"/>
    <x v="0"/>
    <m/>
    <m/>
    <m/>
    <m/>
    <x v="12"/>
    <m/>
    <m/>
    <s v="http://www.mod.gov.cn/gfbw/gc/hwd/2024_246932/16338275.html"/>
    <s v="BL with Myanmar's Deputy Prime Minister and Union Minister for Defense Admiral Tin Aung San during Xianshan forum"/>
  </r>
  <r>
    <x v="1"/>
    <x v="4"/>
    <s v="Asia"/>
    <s v="N/A"/>
    <x v="0"/>
    <s v="INDOPACOM"/>
    <x v="161"/>
    <x v="33"/>
    <n v="9"/>
    <s v="ML - Hosted"/>
    <s v="Dong Jun"/>
    <m/>
    <s v="Minister of Defense"/>
    <n v="8"/>
    <x v="2"/>
    <s v="11th Xiangshan Forum "/>
    <x v="0"/>
    <m/>
    <m/>
    <m/>
    <m/>
    <x v="12"/>
    <m/>
    <m/>
    <s v="http://eng.mod.gov.cn/xb/News_213114/TopStories/16338069.html; https://xiangshanforum.cn/; "/>
    <m/>
  </r>
  <r>
    <x v="2"/>
    <x v="0"/>
    <s v="Asia"/>
    <s v="Development-oriented Strategic Cooperative Partnership [面向发展与繁荣的世代友好的战略合作伙伴关系]."/>
    <x v="0"/>
    <s v="INDOPACOM"/>
    <x v="32"/>
    <x v="33"/>
    <n v="9"/>
    <s v="Military Exercise - Bilateral"/>
    <m/>
    <m/>
    <m/>
    <m/>
    <x v="0"/>
    <m/>
    <x v="1"/>
    <s v="Sagarmatha Friendship 2024"/>
    <s v="Army"/>
    <s v="Under the theme of &quot;joint counter-terrorism operations in urban blocks,&quot; the joint training will include small arms shooting in special operations, counter-terrorism squad tactics, drone operations, emergency rescue, and comprehensive counter-terrorism exercises."/>
    <m/>
    <x v="12"/>
    <m/>
    <m/>
    <s v="http://eng.chinamil.com.cn/CHINA_209163/Exercises/News_209184/16339979.html"/>
    <s v="Held in southwest China's Chongqing Municipality, this is the fourth iteration of joint training between the two militaries, with the previous session held in 2019."/>
  </r>
  <r>
    <x v="1"/>
    <x v="0"/>
    <s v="Asia"/>
    <s v="All-Weather Strategic Cooperative Partnership [全天候战略合作伙伴关系]"/>
    <x v="1"/>
    <s v="CENTCOM"/>
    <x v="2"/>
    <x v="33"/>
    <n v="9"/>
    <s v="ML - Margins"/>
    <s v="He Weidong"/>
    <m/>
    <s v="Vice Chair CMC"/>
    <n v="10"/>
    <x v="2"/>
    <s v="Chairman of Joint Chiefs of Staff Cmte."/>
    <x v="0"/>
    <m/>
    <m/>
    <m/>
    <m/>
    <x v="12"/>
    <m/>
    <m/>
    <s v="http://www.mod.gov.cn/gfbw/jswj/lf/16338276.html"/>
    <s v="PCS: Changed from 2-7-25 version; BL with Pakistani Chairman Joint Chiefs of Staﬀ CommitteeLt. Gen. Sahir Shamshad Mirza during Xianshan forum."/>
  </r>
  <r>
    <x v="1"/>
    <x v="1"/>
    <s v="Asia"/>
    <s v="Comprehensive Strategic Partnership [全面战略伙伴关系]"/>
    <x v="3"/>
    <s v="INDOPACOM"/>
    <x v="11"/>
    <x v="33"/>
    <n v="9"/>
    <s v="ML - Margins"/>
    <s v="Wu Yanan"/>
    <m/>
    <s v="Southern Theater Commmander"/>
    <n v="6"/>
    <x v="1"/>
    <s v="US INDOPACOM Commander ADM Samuel Paparo"/>
    <x v="0"/>
    <m/>
    <m/>
    <m/>
    <m/>
    <x v="12"/>
    <m/>
    <m/>
    <s v="http://eng.chinamil.com.cn/CHINA_209163/Exchanges/News_209188/16340241.html"/>
    <s v="Wu Yanan met with ADM Paparo and they exchanged views candidly and in-depth on issues of common concern around the implementation of the consensus reached by the two heads of state."/>
  </r>
  <r>
    <x v="1"/>
    <x v="3"/>
    <s v="Europe and Central Asia"/>
    <s v=" Comprehensive Strategic Partnership of Coordination in the New Era [新时代中俄全面战略协作伙伴关系]"/>
    <x v="0"/>
    <s v="EUCOM"/>
    <x v="7"/>
    <x v="33"/>
    <n v="9"/>
    <s v="ML - Margins"/>
    <s v="Dong Jun"/>
    <m/>
    <s v="Minister of Defense"/>
    <n v="8"/>
    <x v="2"/>
    <s v="Deputy Defense Minister Fomin"/>
    <x v="0"/>
    <m/>
    <m/>
    <m/>
    <m/>
    <x v="12"/>
    <m/>
    <m/>
    <s v="http://www.mod.gov.cn/gfbw/jswj/lf/16338033.html"/>
    <s v="BL during 11th Xiangshan - Fomin said that this year marks the 75th anniversary of the establishment of diplomatic relations between Russia and China. Russia-China relations are of great significance to global and regional security and stability. Russia is willing to continue to carry out pragmatic exchanges and cooperation with China and contribute to strengthening the comprehensive strategic partnership of coordination between Russia and China in the new era."/>
  </r>
  <r>
    <x v="2"/>
    <x v="3"/>
    <s v="Europe and Central Asia"/>
    <s v=" Comprehensive Strategic Partnership of Coordination in the New Era [新时代中俄全面战略协作伙伴关系]"/>
    <x v="0"/>
    <s v="EUCOM"/>
    <x v="7"/>
    <x v="33"/>
    <n v="9"/>
    <s v="Military Exercise - Bilateral"/>
    <m/>
    <m/>
    <m/>
    <m/>
    <x v="0"/>
    <m/>
    <x v="3"/>
    <s v="Northern Interaction-2024 "/>
    <s v="Joint"/>
    <s v="Joint maritime defense operations. Improve organizational and commanding capabilities in joint sea and air defense operations. The exercise covered a range of training subjects, including naval and air escort, guard and defense, air and missile defense."/>
    <m/>
    <x v="12"/>
    <m/>
    <m/>
    <s v="http://eng.chinamil.com.cn/CHINA_209163/Exercises/News_209184/16341794.html; http://www.mod.gov.cn/gfbw/jsxd/ly/16337324.html; http://www.81.cn/yw_208727/16337286.html"/>
    <s v="The closing ceremony of the China-Russia Northern/Interaction-2024 exercise was held on September 27. Centered on joint maritime defense operations, the participating forces of China and Russia coordinated closely during the exercise and effectively improved their organizational and commanding capabilities in joint sea and air defense operations. The exercise covered a range of training subjects, including naval and air escort, guard and defense, air and missile defense. All subjects were combat-oriented and were completed successfully."/>
  </r>
  <r>
    <x v="2"/>
    <x v="3"/>
    <s v="Europe and Central Asia"/>
    <s v=" Comprehensive Strategic Partnership of Coordination in the New Era [新时代中俄全面战略协作伙伴关系]"/>
    <x v="0"/>
    <s v="EUCOM"/>
    <x v="7"/>
    <x v="33"/>
    <n v="9"/>
    <s v="Military Exercise - Bilateral"/>
    <m/>
    <m/>
    <m/>
    <m/>
    <x v="0"/>
    <m/>
    <x v="9"/>
    <s v="Joint Maritime Cruise 2024-II"/>
    <s v="Navy"/>
    <s v="Russian Navy destroyers RFS Admiral Panteleyev (548) and RFS Admiral Tributs (564) and corvettes RFS MPK-107 (332), RFS MPK-82 (375) and RFS Smerch (423) and PLAN cruiser CNS Wuxi (104), destroyer CNS Xining (117), frigate CNS Linyi (547) and fleet oiler CNS Taihu (889) form joint SAG in Northwestern Pacific Ocean"/>
    <m/>
    <x v="12"/>
    <m/>
    <m/>
    <s v="https://news.usni.org/2024/10/01/9-russian-chinese-warships-on-joint-patrol-in-the-northwest-pacific-after-major-naval-exercise"/>
    <s v="5th (?) Joint Maritime Patrol, in the Western and Northern Pacific Ocean following Northern Interaction naval exercise"/>
  </r>
  <r>
    <x v="1"/>
    <x v="1"/>
    <s v="Asia"/>
    <s v="All-round, high-quality, future-oriented Partnernship [全方位高质量的前瞻性伙伴关系]"/>
    <x v="0"/>
    <s v="INDOPACOM"/>
    <x v="39"/>
    <x v="33"/>
    <n v="9"/>
    <s v="ML - Margins"/>
    <s v="Zhang Youxia"/>
    <m/>
    <s v="Vice Chair CMC"/>
    <n v="10"/>
    <x v="2"/>
    <s v="Defense Minister"/>
    <x v="0"/>
    <m/>
    <m/>
    <m/>
    <m/>
    <x v="12"/>
    <m/>
    <m/>
    <s v="http://www.mod.gov.cn/gfbw/jswj/lf/16337971.html"/>
    <s v="BL during 11th Xiangshan - When meeting with Wong Eng Hen, Zhang Youxia introduced the spirit of the Third Plenary Session of the 20th CPC Central Committee, emphasizing that this meeting made overall arrangements for further deepening reform in an all-round way, promoting high- quality development and high-level opening up, and provided a new and important opportunity for the cooperation between China and Singapore and the development of regional countries. He said that China is willing to work with Singapore to deepen the implementation of the important consensus reached by the leaders of the two countries, further promote the upward and positive development of BLeral cooperation, and better benefit the people of the two countries and the region. It is hoped that the two militaries will maintain close high-level interactions, deepen and expand practical cooperation in various fields such as joint exercises and training, and personnel training, so as to promote the continuous development of the relationship between the two militaries."/>
  </r>
  <r>
    <x v="2"/>
    <x v="1"/>
    <s v="Asia"/>
    <s v="All-Round Cooperative Partnership [全方合作伙伴关系]"/>
    <x v="0"/>
    <s v="INDOPACOM"/>
    <x v="39"/>
    <x v="33"/>
    <n v="9"/>
    <s v="Military Exercise - Bilateral"/>
    <m/>
    <m/>
    <m/>
    <m/>
    <x v="0"/>
    <m/>
    <x v="4"/>
    <s v="China-Singapore Exercise Cooperation 2024"/>
    <s v="Navy"/>
    <m/>
    <m/>
    <x v="12"/>
    <s v="South Sea Fleet"/>
    <m/>
    <s v="http://eng.chinamil.com.cn/BILINGUAL/News_209203/16335372.html; https://www.mindef.gov.sg/news-and-events/latest-releases/14nov24_nr; https://www.scmp.com/news/china/military/article/3276822/china-and-singapore-embark-bigger-joint-navy-exercise-south-china-sea-tension-rises"/>
    <s v="Type 054A frigate Sanya and Type 082-II minesweeper Hejian; Singapore frigate RSS Stalwart"/>
  </r>
  <r>
    <x v="1"/>
    <x v="1"/>
    <s v="Asia"/>
    <s v="All-round, high-quality, future-oriented Partnernship [全方位高质量的前瞻性伙伴关系]"/>
    <x v="0"/>
    <s v="INDOPACOM"/>
    <x v="39"/>
    <x v="33"/>
    <n v="9"/>
    <s v="ML - Margins"/>
    <s v="Wu Yanan"/>
    <m/>
    <s v="Southern Theater Commmander"/>
    <n v="6"/>
    <x v="1"/>
    <s v="US INDOPACOM Commander ADM Samuel Paparo"/>
    <x v="0"/>
    <m/>
    <m/>
    <m/>
    <m/>
    <x v="12"/>
    <m/>
    <m/>
    <s v="http://eng.chinamil.com.cn/CHINA_209163/Exchanges/News_209188/16340241.html"/>
    <s v="Wu Yanan met with ADM Paparo and they exchanged views candidly and in-depth on issues of common concern around the implementation of the consensus reached by the two heads of state."/>
  </r>
  <r>
    <x v="1"/>
    <x v="7"/>
    <s v="West Asia and Africa"/>
    <s v="All-round strategic cooperative partnership in the new era [新时代全方位战略合作伙伴关系]"/>
    <x v="0"/>
    <s v="AFRICOM"/>
    <x v="15"/>
    <x v="33"/>
    <n v="9"/>
    <s v="ML - Margins"/>
    <s v="He Weidong"/>
    <m/>
    <s v="Vice Chair CMC"/>
    <n v="10"/>
    <x v="2"/>
    <s v="Minister of Defense"/>
    <x v="0"/>
    <m/>
    <m/>
    <m/>
    <m/>
    <x v="12"/>
    <m/>
    <m/>
    <s v="http://www.mod.gov.cn/gfbw/jswj/lf/16338276.html"/>
    <s v="BL with Minister of Defense and Military Veterans Ms Angie Motshekga during Xianshan forum"/>
  </r>
  <r>
    <x v="1"/>
    <x v="6"/>
    <s v="Europe and Central Asia"/>
    <s v="Comprehensive Strategic Cooperative Partnership in the New Era [新时代全面战略合作伙伴关系]"/>
    <x v="0"/>
    <s v="CENTCOM"/>
    <x v="60"/>
    <x v="33"/>
    <n v="9"/>
    <s v="ML - Margins"/>
    <s v="Dong Jun"/>
    <m/>
    <s v="Minister of Defense"/>
    <n v="8"/>
    <x v="2"/>
    <s v="Defense Minister"/>
    <x v="0"/>
    <m/>
    <m/>
    <m/>
    <m/>
    <x v="12"/>
    <m/>
    <m/>
    <s v="http://www.mod.gov.cn/gfbw/jswj/lf/16338033.html"/>
    <s v="BL during 11th Xiangshan - Mirzo said that China is a reliable partner and close friend of Tajikistan, and Tajikistan is willing to work with China to implement the consensus reached by the two heads of state and continue to strengthen cooperation in areas such as counter-terrorism, peacekeeping and personnel training."/>
  </r>
  <r>
    <x v="1"/>
    <x v="7"/>
    <s v="West Asia and Africa"/>
    <s v="Comprehensive Strategic Cooperative Partnership [战略合作伙伴关系]"/>
    <x v="0"/>
    <s v="AFRICOM"/>
    <x v="16"/>
    <x v="33"/>
    <n v="9"/>
    <s v="ML - Margins"/>
    <s v="Dong Jun"/>
    <m/>
    <s v="Minister of Defense"/>
    <n v="8"/>
    <x v="2"/>
    <s v="Minsiter of Defense and National Service"/>
    <x v="0"/>
    <m/>
    <m/>
    <m/>
    <m/>
    <x v="12"/>
    <m/>
    <m/>
    <s v="http://www.mod.gov.cn/gfbw/jswj/lf/16338581.html"/>
    <s v="BL during the 11th Beijing Xiangshan Forum."/>
  </r>
  <r>
    <x v="1"/>
    <x v="1"/>
    <s v="Asia"/>
    <s v="Comprehensive Strategic Partnership [全面战略伙伴]"/>
    <x v="3"/>
    <s v="INDOPACOM"/>
    <x v="5"/>
    <x v="33"/>
    <n v="9"/>
    <s v="ML - Margins"/>
    <s v="Wu Yanan"/>
    <m/>
    <s v="Southern Theater Commmander"/>
    <n v="6"/>
    <x v="1"/>
    <s v="US INDOPACOM Commander ADM Samuel Paparo"/>
    <x v="0"/>
    <m/>
    <m/>
    <m/>
    <m/>
    <x v="12"/>
    <m/>
    <m/>
    <s v="http://eng.chinamil.com.cn/CHINA_209163/Exchanges/News_209188/16340241.html"/>
    <s v="Wu Yanan met with ADM Paparo and they exchanged views candidly and in-depth on issues of common concern around the implementation of the consensus reached by the two heads of state."/>
  </r>
  <r>
    <x v="1"/>
    <x v="9"/>
    <s v="West Asia and Africa"/>
    <s v="Comprehensive Strategic Partnership [全面战略伙伴关系]"/>
    <x v="0"/>
    <s v="CENTCOM"/>
    <x v="106"/>
    <x v="33"/>
    <n v="9"/>
    <s v="ML - Margins"/>
    <s v="Dong Jun"/>
    <m/>
    <s v="Minister of Defense"/>
    <n v="8"/>
    <x v="2"/>
    <s v="Minister for State Defense"/>
    <x v="0"/>
    <m/>
    <m/>
    <m/>
    <m/>
    <x v="12"/>
    <m/>
    <m/>
    <s v="http://www.mod.gov.cn/gfbw/jswj/lf/16338281.html"/>
    <s v="BL during 11th Xiangshan - Mazrui said that this year marks the 40th anniversary of the establishment of diplomatic relations between UAE and China. Under the strategic guidance of the two heads of state, the comprehensive strategic partnership between UAE and China continues to consolidate. The military cooperation between Afghanistan and China is fruitful. UAE is willing to continue to strengthen high-level military visits with China, strengthen mutually beneficial and friendly cooperation in personnel training, joint exercises and training, and promote the development of BLeral relations to a higher level."/>
  </r>
  <r>
    <x v="1"/>
    <x v="8"/>
    <s v="Europe and Central Asia"/>
    <s v="Comprehensive Strategic Partnership [全面战略伙伴关系]"/>
    <x v="5"/>
    <s v="EUCOM"/>
    <x v="21"/>
    <x v="33"/>
    <n v="9"/>
    <s v="ML - Margins"/>
    <s v="Wu Yanan"/>
    <m/>
    <s v="Southern Theater Commmander"/>
    <n v="6"/>
    <x v="1"/>
    <s v="US INDOPACOM Commander ADM Samuel Paparo"/>
    <x v="0"/>
    <m/>
    <m/>
    <m/>
    <m/>
    <x v="12"/>
    <m/>
    <m/>
    <s v="http://eng.chinamil.com.cn/CHINA_209163/Exchanges/News_209188/16340241.html"/>
    <s v="Wu Yanan met with ADM Paparo and they exchanged views candidly and in-depth on issues of common concern around the implementation of the consensus reached by the two heads of state."/>
  </r>
  <r>
    <x v="1"/>
    <x v="8"/>
    <s v="Europe and Central Asia"/>
    <s v="Comprehensive Strategic Partnership [全面战略伙伴关系]"/>
    <x v="5"/>
    <s v="EUCOM"/>
    <x v="21"/>
    <x v="33"/>
    <n v="9"/>
    <s v="BL - Hosted"/>
    <s v="???"/>
    <m/>
    <s v="???"/>
    <n v="5"/>
    <x v="0"/>
    <m/>
    <x v="0"/>
    <m/>
    <m/>
    <m/>
    <m/>
    <x v="12"/>
    <m/>
    <m/>
    <s v="http://eng.mod.gov.cn/xb/News_213114/TopStories/16340972.html"/>
    <s v="China-UK defense strategic consultations. Participants not named, but previous consultations were at the deputy chief of JSD level"/>
  </r>
  <r>
    <x v="1"/>
    <x v="2"/>
    <s v="America and Oceania"/>
    <s v="No Specific Relationship"/>
    <x v="2"/>
    <s v="INDOPACOM"/>
    <x v="4"/>
    <x v="33"/>
    <n v="9"/>
    <s v="ML - Abroad"/>
    <s v="Wu Yanan"/>
    <m/>
    <s v="Southern Theater Commmander"/>
    <n v="6"/>
    <x v="1"/>
    <s v="Theater Commander (US INDOPACOM)"/>
    <x v="0"/>
    <m/>
    <m/>
    <m/>
    <m/>
    <x v="12"/>
    <m/>
    <m/>
    <s v="http://eng.chinamil.com.cn/CHINA_209163/Exchanges/News_209188/16340241.html"/>
    <s v="Wu Yanan, Southern TC Commander led a delegation to Hawaii to attend the Indo-Pacific Defense Commanders' Conference. &quot;bilateral meetings or interactive exchanges were held with representatives from Thailand, Singapore, the Philippines, the United Kingdom, France, the United States and other countries.&quot; "/>
  </r>
  <r>
    <x v="1"/>
    <x v="2"/>
    <s v="America and Oceania"/>
    <s v="No Specific Relationship"/>
    <x v="2"/>
    <s v="INDOPACOM"/>
    <x v="4"/>
    <x v="33"/>
    <n v="9"/>
    <s v="ML - Margins"/>
    <s v="Wu Yanan"/>
    <m/>
    <s v="Southern Theater Commmander"/>
    <n v="6"/>
    <x v="1"/>
    <s v="US INDOPACOM Commander ADM Samuel Paparo"/>
    <x v="0"/>
    <m/>
    <m/>
    <m/>
    <m/>
    <x v="12"/>
    <m/>
    <m/>
    <s v="http://eng.chinamil.com.cn/CHINA_209163/Exchanges/News_209188/16340241.html"/>
    <s v="PCS: Wu Yanan met with ADM Paparo and they exchanged views candidly and in-depth on issues of common concern around the implementation of the consensus reached by the two heads of state."/>
  </r>
  <r>
    <x v="1"/>
    <x v="2"/>
    <s v="America and Oceania"/>
    <s v="No Specific Relationship"/>
    <x v="2"/>
    <s v="INDOPACOM"/>
    <x v="4"/>
    <x v="33"/>
    <n v="9"/>
    <s v="BL - Virtual"/>
    <s v="Wu Yanan"/>
    <m/>
    <s v="Southern Theater Commmander"/>
    <n v="6"/>
    <x v="4"/>
    <s v="US INDOPACOM Commander ADM Samuel Paparo"/>
    <x v="0"/>
    <m/>
    <m/>
    <m/>
    <m/>
    <x v="12"/>
    <m/>
    <m/>
    <s v="https://www.pacom.mil/Media/News/News-Article-View/Article/3900303/readout-of-commander-us-indo-pacific-command-call-with-pla-southern-theater-com/"/>
    <s v="VTC prior to Southern TC travel to Hawaii for Pacfic Army Conference"/>
  </r>
  <r>
    <x v="0"/>
    <x v="1"/>
    <s v="Asia"/>
    <s v="Comprehensive Strategic Partnership [全面战略伙伴关系]"/>
    <x v="0"/>
    <s v="INDOPACOM"/>
    <x v="23"/>
    <x v="33"/>
    <n v="9"/>
    <s v="Port Call - Friendly Visit"/>
    <m/>
    <m/>
    <m/>
    <m/>
    <x v="0"/>
    <m/>
    <x v="0"/>
    <m/>
    <m/>
    <m/>
    <s v="NETF"/>
    <x v="134"/>
    <s v="North Sea Fleet"/>
    <s v="Training Ship Po Lang sailing ship from Dalian Naval Academy"/>
    <s v="https://srilankachinahotline.srilankamirror.com/news/chinese-navy-training-ship-sets-sail-for-training-foreign-visits"/>
    <s v="Polang is a sailing ship"/>
  </r>
  <r>
    <x v="1"/>
    <x v="1"/>
    <s v="Asia"/>
    <s v="Comprehensive Strategic Partnership [全面战略伙伴关系]"/>
    <x v="0"/>
    <s v="INDOPACOM"/>
    <x v="23"/>
    <x v="33"/>
    <n v="9"/>
    <s v="ML - Margins"/>
    <s v="Zhang Youxia"/>
    <m/>
    <s v="Vice Chair CMC"/>
    <n v="10"/>
    <x v="2"/>
    <s v="Defense Minister"/>
    <x v="0"/>
    <m/>
    <m/>
    <m/>
    <m/>
    <x v="12"/>
    <m/>
    <m/>
    <s v="http://www.mod.gov.cn/gfbw/jswj/lf/16338277.html"/>
    <s v="BL during 11th Xiangshan - When meeting with Phan Van Giang, Zhang Youxia said that General Secretary Xi Jinping and General Secretary To Lin had recently made strategic arrangements for deepening the construction of a China-Vietnam community with a shared future, and the development of the military relations between the two countries has ushered in a new opportunity. The Chinese and Vietnamese militaries are both defenders of the socialist path and promoters of the country's modernization process. They should follow the blueprint and guidance of the top leaders of the two parties, carry forward traditional friendship, continue to deepen mutual understanding and trust, explore new growth points for cooperation, strengthen practical cooperation in joint exercises and training, maritime security, international peacekeeping and other fields, and promote the continuous development of the military relations between the two countries."/>
  </r>
  <r>
    <x v="0"/>
    <x v="0"/>
    <s v="Asia"/>
    <s v="Comprehensive Strategic Cooperative Partnership [战略合作伙伴关系]"/>
    <x v="0"/>
    <s v="INDOPACOM"/>
    <x v="0"/>
    <x v="33"/>
    <n v="10"/>
    <s v="Port Call - Friendly Visit"/>
    <m/>
    <m/>
    <m/>
    <m/>
    <x v="0"/>
    <m/>
    <x v="0"/>
    <m/>
    <m/>
    <m/>
    <s v="NETF"/>
    <x v="135"/>
    <s v="South Sea Fleet"/>
    <s v="Naval training ship Qi Jiguang (Hull 83) and amphibious dock landing ship Jinggangshan (Hull 999)"/>
    <s v="http://www.mod.gov.cn/gfbw/jswj/cf/16345594.html"/>
    <s v="Jinggangshan is in South Sea Fleet; Dalian Naval Ship Academy is in North Sea Fleet AOR but reports to PLAN HQ. Coded as South Sea Fleet based on Jinggangshan."/>
  </r>
  <r>
    <x v="0"/>
    <x v="7"/>
    <s v="West Asia and Africa"/>
    <s v="Strategic Partnership [战略伙伴关系]"/>
    <x v="0"/>
    <s v="AFRICOM"/>
    <x v="64"/>
    <x v="33"/>
    <n v="10"/>
    <s v="Port Call - Friendly Visit"/>
    <m/>
    <m/>
    <m/>
    <m/>
    <x v="0"/>
    <m/>
    <x v="0"/>
    <m/>
    <m/>
    <m/>
    <s v="NETF"/>
    <x v="132"/>
    <s v="East Sea Fleet"/>
    <m/>
    <s v="http://www.mod.gov.cn/gfbw/jswj/cf/16346117.html"/>
    <m/>
  </r>
  <r>
    <x v="0"/>
    <x v="7"/>
    <s v="West Asia and Africa"/>
    <s v="Comprehensive Strategic Partnership [全面战略伙伴关系]"/>
    <x v="0"/>
    <s v="AFRICOM"/>
    <x v="65"/>
    <x v="33"/>
    <n v="10"/>
    <s v="Port Call - Friendly Visit"/>
    <m/>
    <m/>
    <m/>
    <m/>
    <x v="0"/>
    <m/>
    <x v="0"/>
    <m/>
    <m/>
    <m/>
    <s v="NETF"/>
    <x v="132"/>
    <s v="East Sea Fleet"/>
    <m/>
    <s v="http://www.mod.gov.cn/gfbw/jswj/jt_214074/16345615.html"/>
    <s v="This was the fist visit of Peace Ark to Cameroon."/>
  </r>
  <r>
    <x v="2"/>
    <x v="7"/>
    <s v="West Asia and Africa"/>
    <s v="Comprehensive Strategic Partnership [全面战略伙伴关系]"/>
    <x v="0"/>
    <s v="AFRICOM"/>
    <x v="119"/>
    <x v="33"/>
    <n v="10"/>
    <s v="Military Exercise - Bilateral"/>
    <m/>
    <m/>
    <m/>
    <m/>
    <x v="0"/>
    <m/>
    <x v="1"/>
    <s v="Cooperation-2024.11.FAD (Forces Armées Djibouti)"/>
    <s v="Joint"/>
    <s v="Marines from Djibouti base exercised with Djibouti armed forces on &quot;joint anti-terrorism military operation&quot;, with a land phase and a sea phase. Land training included fire strike, armed escort, counter-piracy and other subjects, involved more than 300 soldiers, five boats, and more than 40 armored vehicles, artilleries, and logistic vehicles from both sides. Sea phase was scenario of &quot;joint escort and anti-piracy&quot;. The two navies carried out seven training subjects, namely dock loading, blockade, armed escort, joint patrol at sea, anti-piracy, visit, board, search and seizure (VBSS) and covert raid. Described as PLAN's first exercise with Djibouti Navy"/>
    <m/>
    <x v="12"/>
    <m/>
    <m/>
    <s v="http://eng.mod.gov.cn/xb/News_213114/TopStories/16349482.html; http://eng.chinamil.com.cn/MEDIA/PhotosChina/16349153.html"/>
    <s v="Coded as joint because of the land and sea phases of the exercise. No references to the July 2024 exercise. Is that different? July 27, 2024 13:50 | Source: People's Daily Online - International Channel; People's Daily Online, Dubai, July 27 (Zhang Zhiwen, Wang Zongyang, Mi Peng) Djibouti City News."/>
  </r>
  <r>
    <x v="0"/>
    <x v="1"/>
    <s v="Asia"/>
    <s v="Comprehensive Strategic Partnership [全面战略伙伴关系]"/>
    <x v="0"/>
    <s v="INDOPACOM"/>
    <x v="10"/>
    <x v="33"/>
    <n v="10"/>
    <s v="Port Call - Friendly Visit"/>
    <m/>
    <m/>
    <m/>
    <m/>
    <x v="0"/>
    <m/>
    <x v="0"/>
    <m/>
    <m/>
    <m/>
    <s v="NETF"/>
    <x v="134"/>
    <s v="North Sea Fleet"/>
    <s v="Training Ship Po Lang sailing ship from Dalian Naval Academy"/>
    <s v="https://www.nst.com.my/news/nation/2024/10/1125283/chinese-navy-training-vessel-po-lang-docks-penang"/>
    <s v="Polang is a sailing ship"/>
  </r>
  <r>
    <x v="0"/>
    <x v="7"/>
    <s v="West Asia and Africa"/>
    <s v="Strategic Partnership [战略伙伴关系]"/>
    <x v="0"/>
    <s v="AFRICOM"/>
    <x v="160"/>
    <x v="33"/>
    <n v="10"/>
    <s v="Port Call - Friendly Visit"/>
    <m/>
    <m/>
    <m/>
    <m/>
    <x v="0"/>
    <m/>
    <x v="0"/>
    <m/>
    <m/>
    <m/>
    <s v="NETF"/>
    <x v="132"/>
    <s v="East Sea Fleet"/>
    <m/>
    <s v="http://www.mod.gov.cn/gfbw/jswj/jt_214074/16348887.html"/>
    <s v="This is the first time that the Peace Ark hospital ship has visited Mauritania, and it is also the first visit by a Chinese naval ship since the establishment of diplomatic relations between China and Mauritania."/>
  </r>
  <r>
    <x v="1"/>
    <x v="3"/>
    <s v="Europe and Central Asia"/>
    <s v=" Comprehensive Strategic Partnership of Coordination in the New Era [新时代中俄全面战略协作伙伴关系]"/>
    <x v="0"/>
    <s v="EUCOM"/>
    <x v="7"/>
    <x v="33"/>
    <n v="10"/>
    <s v="BL - Hosted"/>
    <s v="Zhang Youxia"/>
    <m/>
    <s v="Vice Chair CMC"/>
    <n v="10"/>
    <x v="2"/>
    <s v="Minister of Defense"/>
    <x v="0"/>
    <m/>
    <m/>
    <m/>
    <m/>
    <x v="12"/>
    <m/>
    <m/>
    <s v="http://eng.mod.gov.cn/xb/CMCDEPARTMENTS/News_213079/16345857.html"/>
    <s v="On October 15, Vice Chairman of the Central Military Commission Zhang Youxia met in Beijing with Russian Defense Minister Belousov who was visiting China. Belousov also met with Dong Jun, Min Def, while in Beijing."/>
  </r>
  <r>
    <x v="0"/>
    <x v="0"/>
    <s v="Asia"/>
    <s v="Strategic Cooperative Partnership [战略合作伙伴关系]"/>
    <x v="0"/>
    <s v="INDOPACOM"/>
    <x v="3"/>
    <x v="33"/>
    <n v="10"/>
    <s v="Port Call - Friendly Visit"/>
    <m/>
    <m/>
    <m/>
    <m/>
    <x v="0"/>
    <m/>
    <x v="0"/>
    <m/>
    <m/>
    <m/>
    <s v="NETF"/>
    <x v="134"/>
    <s v="North Sea Fleet"/>
    <s v="Training Ship Po Lang sailing ship from Dalian Naval Academy"/>
    <s v="https://srilankachinahotline.srilankamirror.com/news/chinese-navy-training-ship-sets-sail-for-training-foreign-visits"/>
    <s v="Polang is a sailing ship"/>
  </r>
  <r>
    <x v="2"/>
    <x v="1"/>
    <s v="Asia"/>
    <s v="Comprehensive Strategic Partnership [全面战略伙伴]"/>
    <x v="3"/>
    <s v="INDOPACOM"/>
    <x v="5"/>
    <x v="33"/>
    <n v="10"/>
    <s v="Military Exercise - Bilateral"/>
    <m/>
    <m/>
    <m/>
    <m/>
    <x v="0"/>
    <m/>
    <x v="1"/>
    <s v="Commando 2024"/>
    <s v="Army"/>
    <s v="Focusing on joint CT operations, the training included special demolition blasting, helicopter landing, joint search and suppression, and others."/>
    <m/>
    <x v="12"/>
    <m/>
    <m/>
    <s v="http://eng.chinamil.com.cn/CHINA_209163/Exercises/News_209184/16345822.html"/>
    <s v="Held in Kunming City, in southwest China's Yunnan Province. It marks the seventh event of the &quot;Commando&quot; series of joint training held by Chinese and Thai militaries. "/>
  </r>
  <r>
    <x v="1"/>
    <x v="1"/>
    <s v="Asia"/>
    <s v="Comprehensive Strategic Partnership [全面战略伙伴关系]"/>
    <x v="0"/>
    <s v="INDOPACOM"/>
    <x v="23"/>
    <x v="33"/>
    <n v="10"/>
    <s v="BL - Abroad"/>
    <s v="Zhang Youxia"/>
    <m/>
    <s v="Vice Chair CMC"/>
    <n v="10"/>
    <x v="1"/>
    <s v="President (and Prime Minister, and Gen Sec of Communist Party of Vietnam)"/>
    <x v="0"/>
    <m/>
    <m/>
    <m/>
    <m/>
    <x v="12"/>
    <m/>
    <m/>
    <s v="http://www.mod.gov.cn/gfbw/jswj/cf/16347663.html"/>
    <s v="Zhang Youxia, Vice Chairman of the Central Military Commission, led a delegation to visit Vietnam at the invitation of the Vietnam government. He met with To Lin, General Secretary of the Communist Party of Vietnam, President Luong Cuong, and Prime Minister Pham Minh Chinh respectively."/>
  </r>
  <r>
    <x v="0"/>
    <x v="7"/>
    <s v="West Asia and Africa"/>
    <s v="Comprehensive Strategic Partnership [全面战略伙伴关系]"/>
    <x v="0"/>
    <s v="AFRICOM"/>
    <x v="76"/>
    <x v="33"/>
    <n v="11"/>
    <s v="Port Call - Replenish/Overhaul and Friendly Visit"/>
    <m/>
    <m/>
    <m/>
    <m/>
    <x v="0"/>
    <m/>
    <x v="0"/>
    <m/>
    <m/>
    <m/>
    <s v="NETF"/>
    <x v="132"/>
    <s v="East Sea Fleet"/>
    <m/>
    <s v="http://www.mod.gov.cn/gfbw/jswj/jl/16354058.html"/>
    <s v="During the five-day technical stop, the hospital ship organized ship open activities in batches. Afghan doctors, oﬃcers, local university students, as well as overseas Chinese and Chinese-funded institutions visited the ship and gained a deep understanding of the hospital ship's mission through the detailed explanations of the guides. In addition, the mission oﬃcers and soldiers also visited the local military museum and organized a friendly football match with Afghan naval oﬃcers and soldiers to enhance mutual understanding through in-depth exchanges."/>
  </r>
  <r>
    <x v="1"/>
    <x v="1"/>
    <s v="Asia"/>
    <s v="Comprehensive Strategic Partnership [全面战略伙伴关系]"/>
    <x v="0"/>
    <s v="INDOPACOM"/>
    <x v="153"/>
    <x v="33"/>
    <n v="11"/>
    <s v="ML - Abroad"/>
    <s v="Dong Jun"/>
    <m/>
    <s v="Minister of Defense"/>
    <n v="8"/>
    <x v="1"/>
    <s v="Defense Ministers"/>
    <x v="0"/>
    <m/>
    <m/>
    <m/>
    <m/>
    <x v="12"/>
    <m/>
    <m/>
    <s v="http://eng.mod.gov.cn/xb/News_213114/TopStories/16353453.html"/>
    <s v="11th ADMM+"/>
  </r>
  <r>
    <x v="1"/>
    <x v="1"/>
    <s v="Asia"/>
    <s v="Comprehensive Strategic Partnership [全面战略伙伴关系]"/>
    <x v="0"/>
    <s v="INDOPACOM"/>
    <x v="153"/>
    <x v="33"/>
    <n v="11"/>
    <s v="ML - Abroad"/>
    <s v="Dong Jun"/>
    <m/>
    <s v="Minister of Defense"/>
    <n v="8"/>
    <x v="1"/>
    <s v="Defense Ministers"/>
    <x v="0"/>
    <m/>
    <m/>
    <m/>
    <m/>
    <x v="12"/>
    <m/>
    <m/>
    <s v="http://www.mod.gov.cn/gfbw/jswj/jl/16353474.html"/>
    <s v="China-ASEAN Defense Ministers Infoemal Meeting. This is technically separate from the ADMM+ mechanism, since it is a PRC BL meeting with the ASEAN Defense Ministers"/>
  </r>
  <r>
    <x v="1"/>
    <x v="0"/>
    <s v="Asia"/>
    <s v="Strategic Partnership for Peace and Prosperity [战略伙伴关系]"/>
    <x v="0"/>
    <s v="INDOPACOM"/>
    <x v="6"/>
    <x v="33"/>
    <n v="11"/>
    <s v="ML - Margins"/>
    <s v="Dong Jun"/>
    <m/>
    <s v="Minister of Defense"/>
    <n v="8"/>
    <x v="1"/>
    <s v="Minister of Defense"/>
    <x v="0"/>
    <m/>
    <m/>
    <m/>
    <m/>
    <x v="12"/>
    <m/>
    <m/>
    <s v="http://eng.mod.gov.cn/xb/News_213114/TopStories/16353453.html"/>
    <s v="Meet India Min Def on margins during the 11th ADMM+"/>
  </r>
  <r>
    <x v="1"/>
    <x v="4"/>
    <s v="Asia"/>
    <s v="Mutually Beneficial Strategic Relationship [战略互惠关系]"/>
    <x v="3"/>
    <s v="INDOPACOM"/>
    <x v="83"/>
    <x v="33"/>
    <n v="11"/>
    <s v="ML - Margins"/>
    <s v="Dong Jun"/>
    <m/>
    <s v="Minister of Defense"/>
    <n v="8"/>
    <x v="1"/>
    <s v="Minister of Defense"/>
    <x v="0"/>
    <m/>
    <m/>
    <m/>
    <m/>
    <x v="12"/>
    <m/>
    <m/>
    <s v="http://www.mod.gov.cn/gfbw/jswj/jl/16353474.html"/>
    <s v="BL on margins of 14th China-ASEAN Defense Ministers' Informal Meeting"/>
  </r>
  <r>
    <x v="1"/>
    <x v="1"/>
    <s v="Asia"/>
    <s v="Comprehensive Strategic Cooperative Partnership [全面战略合作伙伴关系]"/>
    <x v="0"/>
    <s v="INDOPACOM"/>
    <x v="52"/>
    <x v="33"/>
    <n v="11"/>
    <s v="BL - Abroad"/>
    <s v="Dong Jun"/>
    <m/>
    <s v="Minister of Defense"/>
    <n v="8"/>
    <x v="1"/>
    <s v="President (and Party Central Committee General Secretary)"/>
    <x v="0"/>
    <m/>
    <m/>
    <m/>
    <m/>
    <x v="12"/>
    <m/>
    <m/>
    <s v="http://www.mod.gov.cn/gfbw/jswj/cf/16353872.html"/>
    <s v="November 22 Thongloun, General Secretary of the Central Committee of the Lao People's Revolutionary Party and President, met with visiting Chinese Defense Minister Dong Jun in Vientiane on the 22nd. On the same day, Dong Jun held talks with Lao Deputy Prime Minister and Defense Minister Chan Samoeun and visited the Lao Army 103 Hospital."/>
  </r>
  <r>
    <x v="2"/>
    <x v="1"/>
    <s v="Asia"/>
    <s v="Comprehensive Strategic Cooperative Partnership [全面战略合作伙伴关系]"/>
    <x v="0"/>
    <s v="INDOPACOM"/>
    <x v="52"/>
    <x v="33"/>
    <n v="11"/>
    <s v="Military Exercise - Bilateral"/>
    <m/>
    <m/>
    <m/>
    <m/>
    <x v="0"/>
    <m/>
    <x v="2"/>
    <s v="Peace Train 2024"/>
    <s v="Army"/>
    <s v="joint humanitarian medical support exercise and medical service activities "/>
    <m/>
    <x v="12"/>
    <m/>
    <m/>
    <s v="http://eng.chinamil.com.cn/CHINA_209163/Exercises/News_209184/16351016.html"/>
    <s v="Held in Vientiane, Laos."/>
  </r>
  <r>
    <x v="1"/>
    <x v="1"/>
    <s v="Asia"/>
    <s v="Comprehensive Strategic Partnership [全面战略伙伴关系]"/>
    <x v="0"/>
    <s v="INDOPACOM"/>
    <x v="10"/>
    <x v="33"/>
    <n v="11"/>
    <s v="ML - Margins"/>
    <s v="Dong Jun"/>
    <m/>
    <s v="Minister of Defense"/>
    <n v="8"/>
    <x v="1"/>
    <s v="Minister of Defense"/>
    <x v="0"/>
    <m/>
    <m/>
    <m/>
    <m/>
    <x v="12"/>
    <m/>
    <m/>
    <s v="http://eng.mod.gov.cn/xb/News_213114/TopStories/16353453.html"/>
    <s v="Meet Malaysian Min Def on margins during the 11th ADMM+"/>
  </r>
  <r>
    <x v="1"/>
    <x v="5"/>
    <s v="America and Oceania"/>
    <s v="Comprehensive Strategic Partnership [全面战略伙伴关系]"/>
    <x v="4"/>
    <s v="INDOPACOM"/>
    <x v="13"/>
    <x v="33"/>
    <n v="11"/>
    <s v="ML - Margins"/>
    <s v="Dong Jun"/>
    <m/>
    <s v="Minister of Defense"/>
    <n v="8"/>
    <x v="1"/>
    <s v="Minister of Defense"/>
    <x v="0"/>
    <m/>
    <m/>
    <m/>
    <m/>
    <x v="12"/>
    <m/>
    <m/>
    <s v="http://eng.mod.gov.cn/xb/News_213114/TopStories/16353453.html"/>
    <s v="Meet New Zealand Min Def on margins during the 11th ADMM+"/>
  </r>
  <r>
    <x v="1"/>
    <x v="0"/>
    <s v="Asia"/>
    <s v="All-Weather Strategic Cooperative Partnership [全天候战略合作伙伴关系]"/>
    <x v="1"/>
    <s v="CENTCOM"/>
    <x v="2"/>
    <x v="33"/>
    <n v="11"/>
    <s v="ML - Margins"/>
    <s v="Zhang Youxia"/>
    <m/>
    <s v="Vice Chair CMC"/>
    <n v="10"/>
    <x v="1"/>
    <s v="Chief of Army Staff"/>
    <x v="0"/>
    <m/>
    <m/>
    <m/>
    <m/>
    <x v="12"/>
    <m/>
    <m/>
    <s v="https://www.scmp.com/news/china/military/article/3288560/china-and-pakistan-talk-security-they-target-terrorism-against-belt-and-road-projects"/>
    <s v="On margins of 11th Xiangshan Forum Security talks with Pakistani counterpart amid joint counterterrorism drills in the wake of several attacks targeting Chinese interests and citizens in the South Asian country."/>
  </r>
  <r>
    <x v="2"/>
    <x v="0"/>
    <s v="Asia"/>
    <s v="All-Weather Strategic Cooperative Partnership [全天候战略合作伙伴关系]"/>
    <x v="1"/>
    <s v="CENTCOM"/>
    <x v="2"/>
    <x v="33"/>
    <n v="11"/>
    <s v="Military Exercise - Bilateral"/>
    <m/>
    <m/>
    <m/>
    <m/>
    <x v="0"/>
    <m/>
    <x v="1"/>
    <s v="Warrior VIII"/>
    <s v="Army"/>
    <s v="The exercise will involve troops from the Western Theater Command of the PLA. Will train in multi-level and mixed training across various specialties and organize live troop drills in accordance with the actual combat process."/>
    <m/>
    <x v="12"/>
    <m/>
    <m/>
    <s v="http://eng.mod.gov.cn/xb/MilitaryServices/News_213106/16360289.html; https://www.voanews.com/a/china-pakistan-to-hold-first-anti-terror-drills-in-5-years-amid-rising-attacks/7869287.html; https://www.globaltimes.cn/page/202411/1324090.shtml"/>
    <s v="this is the countries' first joint counterterrorism military exercise in five years."/>
  </r>
  <r>
    <x v="0"/>
    <x v="1"/>
    <s v="Asia"/>
    <s v="All-round, high-quality, future-oriented Partnernship [全方位高质量的前瞻性伙伴关系]"/>
    <x v="0"/>
    <s v="INDOPACOM"/>
    <x v="39"/>
    <x v="33"/>
    <n v="11"/>
    <s v="Port Call - Friendly Visit"/>
    <m/>
    <m/>
    <m/>
    <m/>
    <x v="0"/>
    <m/>
    <x v="0"/>
    <m/>
    <m/>
    <m/>
    <s v="NETF"/>
    <x v="134"/>
    <s v="North Sea Fleet"/>
    <s v="Training Ship Po Lang sailing ship from Dalian Naval Academy"/>
    <s v="https://srilankachinahotline.srilankamirror.com/news/chinese-navy-training-ship-sets-sail-for-training-foreign-visits (or) http://www.mod.gov.cn/gfbw/jswj/cf/16349523.html"/>
    <s v="Polang is a sailing ship"/>
  </r>
  <r>
    <x v="2"/>
    <x v="1"/>
    <s v="Asia"/>
    <s v="All-round, high-quality, future-oriented Partnernship [全方位高质量的前瞻性伙伴关系]"/>
    <x v="0"/>
    <s v="INDOPACOM"/>
    <x v="39"/>
    <x v="33"/>
    <n v="11"/>
    <s v="Military Exercise - Bilateral"/>
    <m/>
    <m/>
    <m/>
    <m/>
    <x v="0"/>
    <m/>
    <x v="1"/>
    <s v="Exercise Cooperation 2024 (in Henan, China)"/>
    <s v="Army"/>
    <s v="This year’s exercise will centre on urban Counter-Terrorism (CT) operations, similar to the previous iteration of the exercise in 2023. Personnel from the SAF's 3rd Singapore Division and 1st Commando Battalion will train alongside the PLA’s Central Theatre Command-Army’s 81st Army Group. The exercise will feature a battalion-level Command Post and Field Training Exercise, as well as professional exchanges on CT operations in support of a rescue scenario. Participants will also engage in tactical drills, small-arms live firing, and cohesion activities. These interactions aim to strengthen professional exchanges and build people-to-people ties."/>
    <m/>
    <x v="12"/>
    <m/>
    <m/>
    <s v="https://www.mindef.gov.sg/news-and-events/latest-releases/14nov24_nr#:~:text=The%20Singapore%20Armed%20Forces%20(SAF,17%20to%2028%20November%202024 (or) http://eng.chinamil.com.cn/CHINA_209163/Exercises/News_209184/16353208.html "/>
    <s v="see also OSINT report ASD25C88038 (26 Nov 2024)."/>
  </r>
  <r>
    <x v="1"/>
    <x v="1"/>
    <s v="Asia"/>
    <s v="Comprehensive Strategic Partnership [全面战略伙伴]"/>
    <x v="3"/>
    <s v="INDOPACOM"/>
    <x v="5"/>
    <x v="33"/>
    <n v="11"/>
    <s v="ML - Margins"/>
    <s v="Dong Jun"/>
    <m/>
    <s v="Minister of Defense"/>
    <n v="8"/>
    <x v="1"/>
    <s v="Minister of Defense"/>
    <x v="0"/>
    <m/>
    <m/>
    <m/>
    <m/>
    <x v="12"/>
    <m/>
    <m/>
    <s v="http://www.mod.gov.cn/gfbw/jswj/jl/16353474.html"/>
    <s v="BL on margins of 14th China-ASEAN Defense Ministers' Informal Meeting"/>
  </r>
  <r>
    <x v="1"/>
    <x v="7"/>
    <s v="West Asia and Africa"/>
    <s v="N/A"/>
    <x v="2"/>
    <s v="AFRICOM"/>
    <x v="165"/>
    <x v="33"/>
    <n v="12"/>
    <s v="ML - Hosted"/>
    <s v="Dong Jun"/>
    <m/>
    <s v="Minister of Defense"/>
    <n v="8"/>
    <x v="2"/>
    <s v="Heads of various African Navies"/>
    <x v="0"/>
    <m/>
    <m/>
    <m/>
    <m/>
    <x v="12"/>
    <m/>
    <m/>
    <s v="http://eng.mod.gov.cn/xb/News_213114/TopStories/16356311.html; http://eng.mod.gov.cn/xb/News_213114/TopStories/16355659.html; https://www.abujanetworknews.com.ng/2024/12/chief-of-naval-staff-leads-nigerias.html; http://eng.chinamil.com.cn/CHINA_209163/TopStories_209189/16356268.html"/>
    <s v="2nd Seminar on Security Situation in the Gulf of Guinea in Shanghai; delegation include Nigeria Chief of Navy Staff Emmanuel Ikechukwu Ogalla and Gabon National Navy Chief of Staff Charles Hubert Bekale Meyong. PCS: coded as African Union to match 2022 entry and because this is under the FOCAC umbrella. See https://www.mfa.gov.cn/eng/xw/zyxw/202409/t20240905_11485719.html"/>
  </r>
  <r>
    <x v="1"/>
    <x v="10"/>
    <s v="America and Oceania"/>
    <s v="No Specific Relationship"/>
    <x v="0"/>
    <s v="SOUTHCOM"/>
    <x v="49"/>
    <x v="33"/>
    <n v="12"/>
    <s v="BL - Abroad"/>
    <s v="He Weidong"/>
    <m/>
    <s v="Vice Chair CMC"/>
    <n v="10"/>
    <x v="1"/>
    <s v="President"/>
    <x v="0"/>
    <m/>
    <m/>
    <m/>
    <m/>
    <x v="12"/>
    <m/>
    <m/>
    <s v="https://www.plenglish.com/news/2024/12/14/president-diaz-canel-meets-vice-chair-of-chinese-military-commision/"/>
    <m/>
  </r>
  <r>
    <x v="0"/>
    <x v="7"/>
    <s v="West Asia and Africa"/>
    <s v="Comprehensive Strategic Partnership [全面战略伙伴关系]"/>
    <x v="0"/>
    <s v="AFRICOM"/>
    <x v="119"/>
    <x v="33"/>
    <n v="12"/>
    <s v="Port Call - Friendly Visit"/>
    <m/>
    <m/>
    <m/>
    <m/>
    <x v="0"/>
    <m/>
    <x v="0"/>
    <m/>
    <m/>
    <m/>
    <s v="NETF"/>
    <x v="132"/>
    <s v="East Sea Fleet"/>
    <m/>
    <s v="http://eng.mod.gov.cn/xb/MilitaryServices/News_213106/16360291.html"/>
    <s v="The 12th and final stop of Peace Ark in Africa. Next stop is Sri Lanka."/>
  </r>
  <r>
    <x v="1"/>
    <x v="8"/>
    <s v="Europe and Central Asia"/>
    <s v="Comprehensive Strategic Partnership [全面战略伙伴关系]"/>
    <x v="5"/>
    <s v="EUCOM"/>
    <x v="22"/>
    <x v="33"/>
    <n v="12"/>
    <s v="BL - Hosted"/>
    <s v="???"/>
    <m/>
    <s v="???"/>
    <n v="5"/>
    <x v="2"/>
    <m/>
    <x v="0"/>
    <m/>
    <m/>
    <m/>
    <m/>
    <x v="12"/>
    <m/>
    <m/>
    <s v="http://www.mod.gov.cn/gfbw/qwfb/16361205.html"/>
    <s v="The 14th China-France Senior Military Officers Security Policy Seminar; Participants not named, but previous consultations were at the deputy chief of JSD level"/>
  </r>
  <r>
    <x v="0"/>
    <x v="1"/>
    <s v="Asia"/>
    <s v="Comprehensive Strategic Partnership [全面战略伙伴关系]"/>
    <x v="0"/>
    <s v="INDOPACOM"/>
    <x v="8"/>
    <x v="33"/>
    <n v="12"/>
    <s v="Port Call - Friendly Visit"/>
    <m/>
    <m/>
    <m/>
    <m/>
    <x v="0"/>
    <m/>
    <x v="0"/>
    <m/>
    <m/>
    <m/>
    <s v="NETF"/>
    <x v="136"/>
    <s v="South Sea Fleet"/>
    <s v="amphibious assault ship Hainan (Hull 31) and guided-missile frigates Hengyang (Hull 568) and Liuzhou (Hull 573)"/>
    <s v="http://eng.chinamil.com.cn/CHINA_209163/Exchanges/News_209188/16361429.html; https://internationaldefenceanalysis.com/pla-navy-type-075-makes-first-overseas-stop-in-indonesia/; https://www.globaltimes.cn/page/202412/1325810.shtml?utm_source=chatgpt.com"/>
    <s v="A Chinese naval taskforce, including the amphibious assault ship Hainan (Hull 31) and guided-missile frigates Hengyang (Hull 568) and Liuzhou (Hull 573), made a port call on December 24 at Tanjung Priok Port in Indonesia for a four-day replenishment and rest."/>
  </r>
  <r>
    <x v="2"/>
    <x v="1"/>
    <s v="Asia"/>
    <s v="Comprehensive Strategic Partnership [全面战略伙伴关系]"/>
    <x v="0"/>
    <s v="INDOPACOM"/>
    <x v="8"/>
    <x v="33"/>
    <n v="12"/>
    <s v="Military Exercise - Bilateral"/>
    <m/>
    <m/>
    <m/>
    <m/>
    <x v="0"/>
    <m/>
    <x v="2"/>
    <s v="Peace Garuda 2024"/>
    <s v="Joint"/>
    <m/>
    <m/>
    <x v="12"/>
    <m/>
    <s v="Based on a significant natural disaster scenario, the drills occurred across land, sea, and air domains at various training sites in Indonesia, focusing on enhancing humanitarian assistance and disaster relief (HADR) capabilities; including paratroop drops"/>
    <s v="PLA Daily 6 December 2024 李利军, 段江⼭ | “和平神鹰-2024”联演——中印尼参演部队展开灾害救援实兵演练 | 解放军报 "/>
    <s v=" Based on a significant natural disaster scenario, the drills occurred across land, sea, and air domains at various training sites in Indonesia, focusing on enhancing humanitarian assistance and disaster relief (HADR) capabilities. Included special operations forces and paratroop drops"/>
  </r>
  <r>
    <x v="1"/>
    <x v="1"/>
    <s v="Asia"/>
    <s v="Comprehensive Strategic Cooperative Partnership [全面战略合作伙伴关系]"/>
    <x v="0"/>
    <s v="INDOPACOM"/>
    <x v="52"/>
    <x v="33"/>
    <n v="12"/>
    <s v="BL - Abroad"/>
    <s v="Dong Jun"/>
    <m/>
    <s v="Minister of Defense"/>
    <n v="8"/>
    <x v="1"/>
    <s v="President (and Party Central Committee General Secretary)"/>
    <x v="0"/>
    <m/>
    <m/>
    <m/>
    <m/>
    <x v="12"/>
    <m/>
    <m/>
    <s v="http://www.mod.gov.cn/gfbw/jswj/cf/16353872.html"/>
    <s v="On the afternoon of December 5, General Secretary of the Central Committee of the Lao People's Revolutionary Party and President Thongloun Sisoulith met with visiting Vice Chairman of the Central Military Commission He Weidong in Vientiane. On the same day, He Weidong held talks with Lao Deputy Prime Minister and Defense Minister Chansamone."/>
  </r>
  <r>
    <x v="2"/>
    <x v="3"/>
    <s v="Europe and Central Asia"/>
    <s v=" Comprehensive Strategic Partnership of Coordination in the New Era [新时代中俄全面战略协作伙伴关系]"/>
    <x v="0"/>
    <s v="EUCOM"/>
    <x v="7"/>
    <x v="33"/>
    <n v="12"/>
    <s v="Military Exercise - Bilateral"/>
    <m/>
    <m/>
    <m/>
    <m/>
    <x v="0"/>
    <m/>
    <x v="9"/>
    <s v="Joint Strategic Aerial Patrol II"/>
    <s v="Air Force"/>
    <s v="The Chinese and Russian air forces completed the second phase of the ninth joint strategic aerial patrol in the western Pacific airspace. As part of the annual cooperation between the two militaries, the joint aerial patrol was carried out in the relevant airspace of the Sea of Japan. It is the ninth joint aerial patrol organized by the two militaries since 2019, and the second this year."/>
    <m/>
    <x v="12"/>
    <m/>
    <m/>
    <s v="http://eng.mod.gov.cn/xb/News_213114/TopStories/16355257.html; https://www.reuters.com/world/china-russia-militaries-conduct-joint-air-patrol-over-sea-japan-2024-11-29/; http://www.xinhuanet.com/milpro/20241129/16d6e990686c42c7968f6b9637b3e7eb/c.html"/>
    <s v="9th China-Russia air patrol"/>
  </r>
  <r>
    <x v="0"/>
    <x v="0"/>
    <s v="Asia"/>
    <s v="Strategic Cooperative Partnership [战略合作伙伴关系]"/>
    <x v="0"/>
    <s v="INDOPACOM"/>
    <x v="3"/>
    <x v="33"/>
    <n v="12"/>
    <s v="Port Call - Friendly Visit"/>
    <m/>
    <m/>
    <m/>
    <m/>
    <x v="0"/>
    <m/>
    <x v="0"/>
    <m/>
    <m/>
    <m/>
    <s v="NETF"/>
    <x v="132"/>
    <s v="East Sea Fleet"/>
    <m/>
    <s v="http://eng.mod.gov.cn/xb/News_213114/TopStories/16360265.html"/>
    <m/>
  </r>
  <r>
    <x v="1"/>
    <x v="1"/>
    <s v="Asia"/>
    <s v="Comprehensive Strategic Partnership [全面战略伙伴关系]"/>
    <x v="0"/>
    <s v="INDOPACOM"/>
    <x v="23"/>
    <x v="33"/>
    <n v="12"/>
    <s v="BL - Abroad"/>
    <s v="Dong Jun"/>
    <m/>
    <s v="Minister of Defense"/>
    <n v="8"/>
    <x v="1"/>
    <s v="General Secretary of Comm Party, and Minister of Defense"/>
    <x v="0"/>
    <m/>
    <m/>
    <m/>
    <m/>
    <x v="12"/>
    <m/>
    <m/>
    <s v="http://www.mod.gov.cn/gfbw/jswj/cf/16359791.html"/>
    <s v="Presumably counterpart visit with MINDEF? On the afternoon of December 19, General Secretary of the Communist Party of Vietnam To Lin met with visiting Chinese Defense Minister Dong Jun in Hanoi."/>
  </r>
  <r>
    <x v="0"/>
    <x v="1"/>
    <s v="Asia"/>
    <s v="Comprehensive Strategic Partnership [全面战略伙伴关系]"/>
    <x v="0"/>
    <s v="INDOPACOM"/>
    <x v="23"/>
    <x v="33"/>
    <n v="12"/>
    <s v="Port Call - Friendly Visit"/>
    <m/>
    <m/>
    <m/>
    <m/>
    <x v="0"/>
    <m/>
    <x v="0"/>
    <m/>
    <m/>
    <m/>
    <s v="NETF"/>
    <x v="137"/>
    <s v="South Sea Fleet"/>
    <s v="Changsha DDG and amphibious warfare ship Jinggangshan – docked in Da Nang"/>
    <s v="https://www.scmp.com/news/china/diplomacy/article/3292880/chinese-warships-make-port-call-vietnam-after-talks-joint-patrols"/>
    <s v="Four day talks on joint maritime patrols"/>
  </r>
  <r>
    <x v="3"/>
    <x v="12"/>
    <m/>
    <m/>
    <x v="7"/>
    <m/>
    <x v="171"/>
    <x v="34"/>
    <m/>
    <m/>
    <m/>
    <m/>
    <m/>
    <m/>
    <x v="0"/>
    <m/>
    <x v="0"/>
    <m/>
    <m/>
    <m/>
    <m/>
    <x v="12"/>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79">
  <r>
    <x v="0"/>
    <x v="0"/>
    <s v="Asia"/>
    <s v="No Specific Relationship"/>
    <s v="None"/>
    <x v="0"/>
    <x v="0"/>
    <x v="0"/>
    <n v="11"/>
    <x v="0"/>
    <m/>
    <m/>
    <m/>
    <m/>
    <x v="0"/>
    <m/>
    <x v="0"/>
    <m/>
    <x v="0"/>
    <m/>
    <x v="0"/>
    <s v="1985-11  DD132 Hefei"/>
    <s v="East Sea Fleet"/>
    <s v="Hefei-132 and Fengcang-615"/>
    <m/>
    <m/>
  </r>
  <r>
    <x v="0"/>
    <x v="1"/>
    <s v="Asia"/>
    <s v="No Specific Relationship"/>
    <s v="None"/>
    <x v="0"/>
    <x v="1"/>
    <x v="0"/>
    <n v="11"/>
    <x v="0"/>
    <m/>
    <m/>
    <m/>
    <m/>
    <x v="0"/>
    <m/>
    <x v="0"/>
    <m/>
    <x v="0"/>
    <m/>
    <x v="0"/>
    <n v="1985"/>
    <s v="Unknown"/>
    <s v="???"/>
    <m/>
    <m/>
  </r>
  <r>
    <x v="0"/>
    <x v="0"/>
    <s v="Asia"/>
    <s v="No Specific Relationship"/>
    <s v="Major Non-NATO Ally"/>
    <x v="1"/>
    <x v="2"/>
    <x v="0"/>
    <n v="11"/>
    <x v="0"/>
    <m/>
    <m/>
    <m/>
    <m/>
    <x v="0"/>
    <m/>
    <x v="0"/>
    <m/>
    <x v="0"/>
    <m/>
    <x v="0"/>
    <s v="1985-11  DD132 Hefei"/>
    <s v="East Sea Fleet"/>
    <s v="Hefei-132 and Fengcang-615"/>
    <m/>
    <m/>
  </r>
  <r>
    <x v="0"/>
    <x v="0"/>
    <s v="Asia"/>
    <s v="No Specific Relationship"/>
    <s v="None"/>
    <x v="0"/>
    <x v="3"/>
    <x v="0"/>
    <n v="11"/>
    <x v="0"/>
    <m/>
    <m/>
    <m/>
    <m/>
    <x v="0"/>
    <m/>
    <x v="0"/>
    <m/>
    <x v="0"/>
    <m/>
    <x v="0"/>
    <s v="1985-11  DD132 Hefei"/>
    <s v="East Sea Fleet"/>
    <s v="Hefei-132 and Fengcang-615"/>
    <m/>
    <m/>
  </r>
  <r>
    <x v="0"/>
    <x v="2"/>
    <s v="America and Oceania"/>
    <s v="No Specific Relationship"/>
    <s v="N/A"/>
    <x v="2"/>
    <x v="4"/>
    <x v="1"/>
    <n v="3"/>
    <x v="0"/>
    <m/>
    <m/>
    <m/>
    <m/>
    <x v="0"/>
    <m/>
    <x v="0"/>
    <m/>
    <x v="0"/>
    <m/>
    <x v="0"/>
    <s v="1989-03 Zhenghe"/>
    <s v="North Sea Fleet"/>
    <s v="Zhenghe training ship"/>
    <m/>
    <m/>
  </r>
  <r>
    <x v="0"/>
    <x v="1"/>
    <s v="Asia"/>
    <s v="No Specific Relationship"/>
    <s v="Bilateral Defense Treaty"/>
    <x v="0"/>
    <x v="5"/>
    <x v="2"/>
    <n v="3"/>
    <x v="0"/>
    <m/>
    <m/>
    <m/>
    <m/>
    <x v="0"/>
    <m/>
    <x v="0"/>
    <m/>
    <x v="0"/>
    <m/>
    <x v="0"/>
    <s v="1990-03 Zhenghe"/>
    <s v="North Sea Fleet"/>
    <s v="Zhenghe training ship"/>
    <m/>
    <m/>
  </r>
  <r>
    <x v="0"/>
    <x v="0"/>
    <s v="Asia"/>
    <s v="No Specific Relationship"/>
    <s v="None"/>
    <x v="0"/>
    <x v="0"/>
    <x v="3"/>
    <n v="10"/>
    <x v="0"/>
    <m/>
    <m/>
    <m/>
    <m/>
    <x v="0"/>
    <m/>
    <x v="0"/>
    <m/>
    <x v="0"/>
    <m/>
    <x v="0"/>
    <s v="1993-10 Zhenghe"/>
    <s v="North Sea Fleet"/>
    <s v="Zhenghe training ship"/>
    <m/>
    <m/>
  </r>
  <r>
    <x v="0"/>
    <x v="0"/>
    <s v="Asia"/>
    <s v="No Specific Relationship"/>
    <s v="None"/>
    <x v="0"/>
    <x v="6"/>
    <x v="3"/>
    <n v="10"/>
    <x v="0"/>
    <m/>
    <m/>
    <m/>
    <m/>
    <x v="0"/>
    <m/>
    <x v="0"/>
    <m/>
    <x v="0"/>
    <m/>
    <x v="0"/>
    <s v="1993-10 Zhenghe"/>
    <s v="North Sea Fleet"/>
    <s v="Zhenghe training ship"/>
    <m/>
    <m/>
  </r>
  <r>
    <x v="0"/>
    <x v="0"/>
    <s v="Asia"/>
    <s v="No Specific Relationship"/>
    <s v="Major Non-NATO Ally"/>
    <x v="1"/>
    <x v="2"/>
    <x v="3"/>
    <n v="10"/>
    <x v="0"/>
    <m/>
    <m/>
    <m/>
    <m/>
    <x v="0"/>
    <m/>
    <x v="0"/>
    <m/>
    <x v="0"/>
    <m/>
    <x v="0"/>
    <s v="1993-10 Zhenghe"/>
    <s v="North Sea Fleet"/>
    <s v="Zhenghe training ship"/>
    <m/>
    <m/>
  </r>
  <r>
    <x v="0"/>
    <x v="1"/>
    <s v="Asia"/>
    <s v="No Specific Relationship"/>
    <s v="Bilateral Defense Treaty"/>
    <x v="0"/>
    <x v="5"/>
    <x v="3"/>
    <n v="10"/>
    <x v="0"/>
    <m/>
    <m/>
    <m/>
    <m/>
    <x v="0"/>
    <m/>
    <x v="0"/>
    <m/>
    <x v="0"/>
    <m/>
    <x v="0"/>
    <s v="1993-10 Zhenghe"/>
    <s v="North Sea Fleet"/>
    <s v="Zhenghe training ship"/>
    <m/>
    <m/>
  </r>
  <r>
    <x v="0"/>
    <x v="3"/>
    <s v="Europe and Central Asia"/>
    <s v="No Specific Relationship"/>
    <s v="None"/>
    <x v="3"/>
    <x v="7"/>
    <x v="4"/>
    <n v="5"/>
    <x v="0"/>
    <m/>
    <m/>
    <m/>
    <m/>
    <x v="0"/>
    <m/>
    <x v="0"/>
    <m/>
    <x v="0"/>
    <m/>
    <x v="0"/>
    <s v="1994-05 DD166 Zhuhai"/>
    <s v="All"/>
    <s v="Dajiang Sub Tender Changxingdao 121, Luda-II destroyer Zhuhai 166, and Jiangwei frigate Huainan 540"/>
    <m/>
    <m/>
  </r>
  <r>
    <x v="0"/>
    <x v="1"/>
    <s v="Asia"/>
    <s v="No Specific Relationship"/>
    <s v="None"/>
    <x v="0"/>
    <x v="8"/>
    <x v="5"/>
    <n v="8"/>
    <x v="0"/>
    <m/>
    <m/>
    <m/>
    <m/>
    <x v="0"/>
    <m/>
    <x v="0"/>
    <m/>
    <x v="0"/>
    <m/>
    <x v="0"/>
    <s v="1995-08 DD166 Zhuhai"/>
    <s v="All"/>
    <s v="Luda-II destroyer Zhuhai 166, Jiangwei frigate Huainan 540, and one replenishment ship"/>
    <m/>
    <m/>
  </r>
  <r>
    <x v="0"/>
    <x v="3"/>
    <s v="Europe and Central Asia"/>
    <s v="No Specific Relationship"/>
    <s v="None"/>
    <x v="3"/>
    <x v="7"/>
    <x v="5"/>
    <n v="8"/>
    <x v="0"/>
    <m/>
    <m/>
    <m/>
    <m/>
    <x v="0"/>
    <m/>
    <x v="0"/>
    <m/>
    <x v="0"/>
    <m/>
    <x v="0"/>
    <s v="1995-08 FFG541 Huaibei"/>
    <s v="East Sea Fleet"/>
    <s v="Jiangwei frigate Huaibei 541"/>
    <m/>
    <m/>
  </r>
  <r>
    <x v="0"/>
    <x v="4"/>
    <s v="Asia"/>
    <s v="Bilateral Defense Treaty"/>
    <s v="None"/>
    <x v="0"/>
    <x v="9"/>
    <x v="6"/>
    <n v="7"/>
    <x v="0"/>
    <m/>
    <m/>
    <m/>
    <m/>
    <x v="0"/>
    <m/>
    <x v="0"/>
    <m/>
    <x v="0"/>
    <m/>
    <x v="0"/>
    <s v="1996-07 DD112 Harbin"/>
    <s v="North Sea Fleet"/>
    <s v="Luhu destroyer Harbin 112 and Luda destroyer Xining 108"/>
    <m/>
    <m/>
  </r>
  <r>
    <x v="0"/>
    <x v="3"/>
    <s v="Europe and Central Asia"/>
    <s v="Strategic Partnership of Coordination [战略协作伙伴关系]"/>
    <s v="None"/>
    <x v="3"/>
    <x v="7"/>
    <x v="6"/>
    <n v="7"/>
    <x v="0"/>
    <m/>
    <m/>
    <m/>
    <m/>
    <x v="0"/>
    <m/>
    <x v="0"/>
    <m/>
    <x v="0"/>
    <m/>
    <x v="0"/>
    <s v="1996-07 DD112 Harbin"/>
    <s v="North Sea Fleet"/>
    <s v="Luhu destroyer Harbin 112"/>
    <m/>
    <m/>
  </r>
  <r>
    <x v="0"/>
    <x v="1"/>
    <s v="Asia"/>
    <s v="No Specific Relationship"/>
    <s v="None"/>
    <x v="0"/>
    <x v="10"/>
    <x v="7"/>
    <n v="2"/>
    <x v="0"/>
    <m/>
    <m/>
    <m/>
    <m/>
    <x v="0"/>
    <m/>
    <x v="0"/>
    <m/>
    <x v="0"/>
    <m/>
    <x v="0"/>
    <s v="1997-02 DDG113 Qingdao"/>
    <s v="North Sea Fleet"/>
    <s v="Luhu destroyer Qingdao 113, Jiangwei frigate Tongqing 542"/>
    <m/>
    <m/>
  </r>
  <r>
    <x v="0"/>
    <x v="1"/>
    <s v="Asia"/>
    <s v="No Specific Relationship"/>
    <s v="Bilateral Defense Treaty"/>
    <x v="0"/>
    <x v="11"/>
    <x v="7"/>
    <n v="2"/>
    <x v="0"/>
    <m/>
    <m/>
    <m/>
    <m/>
    <x v="0"/>
    <m/>
    <x v="0"/>
    <m/>
    <x v="0"/>
    <m/>
    <x v="0"/>
    <s v="1997-02 DDG113 Qingdao"/>
    <s v="North Sea Fleet"/>
    <s v="Luhu destroyer Qingdao 113, Jiangwei frigate Tongqing 542"/>
    <m/>
    <m/>
  </r>
  <r>
    <x v="0"/>
    <x v="1"/>
    <s v="Asia"/>
    <s v="No Specific Relationship"/>
    <s v="Bilateral Defense Treaty"/>
    <x v="0"/>
    <x v="5"/>
    <x v="7"/>
    <n v="2"/>
    <x v="0"/>
    <m/>
    <m/>
    <m/>
    <m/>
    <x v="0"/>
    <m/>
    <x v="0"/>
    <m/>
    <x v="0"/>
    <m/>
    <x v="0"/>
    <s v="1997-02 DDG113 Qingdao"/>
    <s v="North Sea Fleet"/>
    <s v="Luhu destroyer Qingdao 113, Jiangwei frigate Tongqing 542"/>
    <m/>
    <m/>
  </r>
  <r>
    <x v="0"/>
    <x v="2"/>
    <s v="America and Oceania"/>
    <s v="No Specific Relationship"/>
    <s v="N/A"/>
    <x v="2"/>
    <x v="4"/>
    <x v="7"/>
    <n v="2"/>
    <x v="0"/>
    <m/>
    <m/>
    <m/>
    <m/>
    <x v="0"/>
    <m/>
    <x v="0"/>
    <m/>
    <x v="0"/>
    <m/>
    <x v="0"/>
    <s v="1997-02 DD112 Harbin"/>
    <s v="All"/>
    <s v="Luhu destroyer Harbin 112, Luda-II destroyer Zhuhai 166, Replenishment ship Nancang 953"/>
    <m/>
    <m/>
  </r>
  <r>
    <x v="0"/>
    <x v="5"/>
    <s v="America and Oceania"/>
    <s v="No Specific Relationship"/>
    <s v="ANZUS Treaty"/>
    <x v="0"/>
    <x v="12"/>
    <x v="8"/>
    <n v="4"/>
    <x v="0"/>
    <m/>
    <m/>
    <m/>
    <m/>
    <x v="0"/>
    <m/>
    <x v="0"/>
    <m/>
    <x v="0"/>
    <m/>
    <x v="0"/>
    <s v="1998-04 DDG113 Qingdao"/>
    <s v="North Sea Fleet"/>
    <s v="Luhu destroyer Qingdao 113, Training Ship Shichang 82, Replenishment ship Nancang 953 (PI - Qingdao only)"/>
    <m/>
    <m/>
  </r>
  <r>
    <x v="0"/>
    <x v="5"/>
    <s v="America and Oceania"/>
    <s v="No Specific Relationship"/>
    <s v="ANZUS Treaty"/>
    <x v="0"/>
    <x v="13"/>
    <x v="8"/>
    <n v="4"/>
    <x v="0"/>
    <m/>
    <m/>
    <m/>
    <m/>
    <x v="0"/>
    <m/>
    <x v="0"/>
    <m/>
    <x v="0"/>
    <m/>
    <x v="0"/>
    <s v="1998-04 DDG113 Qingdao"/>
    <s v="North Sea Fleet"/>
    <s v="Luhu destroyer Qingdao 113, Training Ship Shichang 82, Replenishment ship Nancang 953 (PI - Qingdao only)"/>
    <m/>
    <m/>
  </r>
  <r>
    <x v="0"/>
    <x v="1"/>
    <s v="Asia"/>
    <s v="No Specific Relationship"/>
    <s v="Bilateral Defense Treaty"/>
    <x v="0"/>
    <x v="11"/>
    <x v="8"/>
    <n v="4"/>
    <x v="0"/>
    <m/>
    <m/>
    <m/>
    <m/>
    <x v="0"/>
    <m/>
    <x v="0"/>
    <m/>
    <x v="0"/>
    <m/>
    <x v="0"/>
    <s v="1998-04 DDG113 Qingdao"/>
    <s v="North Sea Fleet"/>
    <s v="Luhu destroyer Qingdao 113, Training Ship Shichang 82, Replenishment ship Nancang 953 (PI - Qingdao only)"/>
    <m/>
    <m/>
  </r>
  <r>
    <x v="1"/>
    <x v="6"/>
    <s v="Europe and Central Asia"/>
    <s v="Member"/>
    <s v="None"/>
    <x v="1"/>
    <x v="14"/>
    <x v="9"/>
    <n v="3"/>
    <x v="1"/>
    <s v="Chi Haotian"/>
    <m/>
    <s v="Defense Minister; CMC Member"/>
    <n v="8"/>
    <x v="1"/>
    <s v="Shanghai Five Ministers' of Defense Summit in Astana; Other countries: Kazakhstan, Kyrgyzstan, Tajikistan, Russia"/>
    <x v="0"/>
    <m/>
    <x v="0"/>
    <m/>
    <x v="1"/>
    <m/>
    <m/>
    <m/>
    <s v="http://globalsummitryproject.com.s197331.gridserver.com/archive/shanghai_cooperation_organization1/ipripak.org/factfiles/ff85.pdf"/>
    <m/>
  </r>
  <r>
    <x v="0"/>
    <x v="1"/>
    <s v="Asia"/>
    <s v="Strategic Cooperative Partnership [战略合作伙伴关系]"/>
    <s v="None"/>
    <x v="0"/>
    <x v="10"/>
    <x v="9"/>
    <n v="7"/>
    <x v="0"/>
    <m/>
    <m/>
    <m/>
    <m/>
    <x v="0"/>
    <m/>
    <x v="0"/>
    <m/>
    <x v="0"/>
    <m/>
    <x v="0"/>
    <s v="2002-07 DD167 Shenzhen"/>
    <s v="South Sea Fleet"/>
    <s v="Luhai destroyer Shenzhen 167, Replenishment ship Nancang 953"/>
    <m/>
    <m/>
  </r>
  <r>
    <x v="0"/>
    <x v="7"/>
    <s v="West Asia and Africa"/>
    <s v="No Specific Relationship"/>
    <s v="None"/>
    <x v="4"/>
    <x v="15"/>
    <x v="9"/>
    <n v="7"/>
    <x v="0"/>
    <m/>
    <m/>
    <m/>
    <m/>
    <x v="0"/>
    <m/>
    <x v="0"/>
    <m/>
    <x v="0"/>
    <m/>
    <x v="0"/>
    <s v="2002-07 DD167 Shenzhen"/>
    <s v="South Sea Fleet"/>
    <s v="Luhai destroyer Shenzhen 167, Replenishment ship Nancang 953"/>
    <m/>
    <m/>
  </r>
  <r>
    <x v="0"/>
    <x v="7"/>
    <s v="West Asia and Africa"/>
    <s v="No Specific Relationship"/>
    <s v="None"/>
    <x v="4"/>
    <x v="16"/>
    <x v="9"/>
    <n v="7"/>
    <x v="0"/>
    <m/>
    <m/>
    <m/>
    <m/>
    <x v="0"/>
    <m/>
    <x v="0"/>
    <m/>
    <x v="0"/>
    <m/>
    <x v="0"/>
    <s v="2002-07 DD167 Shenzhen"/>
    <s v="South Sea Fleet"/>
    <s v="Luhai destroyer Shenzhen 167, Replenishment ship Nancang 953"/>
    <m/>
    <m/>
  </r>
  <r>
    <x v="0"/>
    <x v="2"/>
    <s v="America and Oceania"/>
    <s v="Comprehensive Partnership [全面伙伴关系]"/>
    <s v="NATO"/>
    <x v="2"/>
    <x v="17"/>
    <x v="9"/>
    <n v="8"/>
    <x v="0"/>
    <m/>
    <m/>
    <m/>
    <m/>
    <x v="0"/>
    <m/>
    <x v="0"/>
    <m/>
    <x v="0"/>
    <m/>
    <x v="0"/>
    <s v="2000-08 DDG113 Qingdao"/>
    <s v="North Sea Fleet"/>
    <s v="Luhu destroyer Qingdao 113, replenishment ship Taicang 575"/>
    <m/>
    <m/>
  </r>
  <r>
    <x v="0"/>
    <x v="2"/>
    <s v="America and Oceania"/>
    <s v="No Specific Relationship"/>
    <s v="N/A"/>
    <x v="2"/>
    <x v="4"/>
    <x v="9"/>
    <n v="8"/>
    <x v="0"/>
    <m/>
    <m/>
    <m/>
    <m/>
    <x v="0"/>
    <m/>
    <x v="0"/>
    <m/>
    <x v="0"/>
    <m/>
    <x v="0"/>
    <s v="2002-08 DDG113 Qingdao"/>
    <s v="North Sea Fleet"/>
    <s v="Luhu destroyer Qingdao 113, replenishment ship Taicang 575"/>
    <m/>
    <m/>
  </r>
  <r>
    <x v="0"/>
    <x v="0"/>
    <s v="Asia"/>
    <s v="No Specific Relationship"/>
    <s v="None"/>
    <x v="0"/>
    <x v="6"/>
    <x v="10"/>
    <n v="5"/>
    <x v="0"/>
    <m/>
    <m/>
    <m/>
    <m/>
    <x v="0"/>
    <m/>
    <x v="0"/>
    <m/>
    <x v="0"/>
    <m/>
    <x v="0"/>
    <s v="2001-05 DD112 Harbin"/>
    <s v="North Sea Fleet"/>
    <s v="Luhu destroyer Harbin 112, replenishment ship Taicang 575"/>
    <m/>
    <m/>
  </r>
  <r>
    <x v="0"/>
    <x v="0"/>
    <s v="Asia"/>
    <s v="Strategic Partnership [战略伙伴关系]"/>
    <s v="Major Non-NATO Ally"/>
    <x v="1"/>
    <x v="2"/>
    <x v="10"/>
    <n v="5"/>
    <x v="0"/>
    <m/>
    <m/>
    <m/>
    <m/>
    <x v="0"/>
    <m/>
    <x v="0"/>
    <m/>
    <x v="0"/>
    <m/>
    <x v="0"/>
    <s v="2001-05 DD112 Harbin"/>
    <s v="North Sea Fleet"/>
    <s v="Luhu destroyer Harbin 112, replenishment ship Taicang 575"/>
    <m/>
    <m/>
  </r>
  <r>
    <x v="1"/>
    <x v="6"/>
    <s v="Europe and Central Asia"/>
    <s v="Member"/>
    <s v="None"/>
    <x v="1"/>
    <x v="14"/>
    <x v="10"/>
    <n v="6"/>
    <x v="2"/>
    <s v="Chi Haotian"/>
    <m/>
    <s v="Defense Minister; CMC Member"/>
    <n v="8"/>
    <x v="2"/>
    <s v="First official meeting of the SCO Ministers' of Defense in Shanghai; Other countries: Kazakhstan, Kyrgyztan, Russia, Tajikistan, Uzbekistan"/>
    <x v="0"/>
    <m/>
    <x v="0"/>
    <m/>
    <x v="1"/>
    <m/>
    <m/>
    <m/>
    <s v="http://globalsummitryproject.com.s197331.gridserver.com/archive/shanghai_cooperation_organization1/ipripak.org/factfiles/ff85.pdf"/>
    <m/>
  </r>
  <r>
    <x v="0"/>
    <x v="8"/>
    <s v="Europe and Central Asia"/>
    <s v="No Specific Relationship"/>
    <s v="NATO"/>
    <x v="3"/>
    <x v="18"/>
    <x v="10"/>
    <n v="8"/>
    <x v="0"/>
    <m/>
    <m/>
    <m/>
    <m/>
    <x v="0"/>
    <m/>
    <x v="0"/>
    <m/>
    <x v="0"/>
    <m/>
    <x v="0"/>
    <s v="2001-08 DD167 Shenzhen"/>
    <s v="South Sea Fleet"/>
    <s v="Luhai destroyer Shenzhen 167, replenishment ship Fengcang 615"/>
    <m/>
    <m/>
  </r>
  <r>
    <x v="0"/>
    <x v="4"/>
    <s v="Asia"/>
    <s v="N/A"/>
    <s v="None"/>
    <x v="0"/>
    <x v="19"/>
    <x v="10"/>
    <n v="8"/>
    <x v="0"/>
    <m/>
    <m/>
    <m/>
    <m/>
    <x v="0"/>
    <m/>
    <x v="0"/>
    <m/>
    <x v="0"/>
    <m/>
    <x v="0"/>
    <s v="2001-08 DD167 Shenzhen"/>
    <s v="South Sea Fleet"/>
    <s v="Luhai destroyer Shenzhen 167, replenishment ship Fengcang 615"/>
    <m/>
    <m/>
  </r>
  <r>
    <x v="0"/>
    <x v="8"/>
    <s v="Europe and Central Asia"/>
    <s v="No Specific Relationship"/>
    <s v="NATO"/>
    <x v="3"/>
    <x v="20"/>
    <x v="10"/>
    <n v="8"/>
    <x v="0"/>
    <m/>
    <m/>
    <m/>
    <m/>
    <x v="0"/>
    <m/>
    <x v="0"/>
    <m/>
    <x v="0"/>
    <m/>
    <x v="0"/>
    <s v="2001-08 DD167 Shenzhen"/>
    <s v="South Sea Fleet"/>
    <s v="Luhai destroyer Shenzhen 167, replenishment ship Fengcang 615"/>
    <m/>
    <m/>
  </r>
  <r>
    <x v="0"/>
    <x v="8"/>
    <s v="Europe and Central Asia"/>
    <s v="No Specific Relationship"/>
    <s v="NATO"/>
    <x v="3"/>
    <x v="21"/>
    <x v="10"/>
    <n v="8"/>
    <x v="0"/>
    <m/>
    <m/>
    <m/>
    <m/>
    <x v="0"/>
    <m/>
    <x v="0"/>
    <m/>
    <x v="0"/>
    <m/>
    <x v="0"/>
    <s v="2001-08 DD167 Shenzhen"/>
    <s v="South Sea Fleet"/>
    <s v="Luhai destroyer Shenzhen 167, replenishment ship Fengcang 615"/>
    <m/>
    <m/>
  </r>
  <r>
    <x v="0"/>
    <x v="5"/>
    <s v="America and Oceania"/>
    <s v="No Specific Relationship"/>
    <s v="ANZUS Treaty"/>
    <x v="0"/>
    <x v="12"/>
    <x v="10"/>
    <n v="9"/>
    <x v="0"/>
    <m/>
    <m/>
    <m/>
    <m/>
    <x v="0"/>
    <m/>
    <x v="0"/>
    <m/>
    <x v="0"/>
    <m/>
    <x v="0"/>
    <s v="2001-09 FF564 Yichang"/>
    <s v="South Sea Fleet"/>
    <s v="Jiangwei frigate Yichang 564, replenishment ship Taicang 575"/>
    <m/>
    <m/>
  </r>
  <r>
    <x v="0"/>
    <x v="8"/>
    <s v="Europe "/>
    <s v="No Specific Relationship"/>
    <s v="NATO"/>
    <x v="3"/>
    <x v="22"/>
    <x v="10"/>
    <n v="9"/>
    <x v="0"/>
    <m/>
    <m/>
    <m/>
    <m/>
    <x v="0"/>
    <m/>
    <x v="0"/>
    <m/>
    <x v="0"/>
    <m/>
    <x v="0"/>
    <m/>
    <m/>
    <m/>
    <s v="https://csis-website-prod.s3.amazonaws.com/s3fs-public/legacy_files/files/media/csis/pubs/080507-gill-chinaeuroperelations-web.pdf"/>
    <m/>
  </r>
  <r>
    <x v="0"/>
    <x v="5"/>
    <s v="America and Oceania"/>
    <s v="No Specific Relationship"/>
    <s v="ANZUS Treaty"/>
    <x v="0"/>
    <x v="13"/>
    <x v="10"/>
    <n v="9"/>
    <x v="0"/>
    <m/>
    <m/>
    <m/>
    <m/>
    <x v="0"/>
    <m/>
    <x v="0"/>
    <m/>
    <x v="0"/>
    <m/>
    <x v="0"/>
    <s v="2001-09 FF564 Yichang"/>
    <s v="South Sea Fleet"/>
    <s v="Jiangwei frigate Yichang 564, replenishment ship Taicang 575"/>
    <m/>
    <m/>
  </r>
  <r>
    <x v="0"/>
    <x v="1"/>
    <s v="Asia"/>
    <s v="No Specific Relationship"/>
    <s v="None"/>
    <x v="0"/>
    <x v="23"/>
    <x v="10"/>
    <n v="11"/>
    <x v="0"/>
    <m/>
    <m/>
    <m/>
    <m/>
    <x v="0"/>
    <m/>
    <x v="0"/>
    <m/>
    <x v="0"/>
    <m/>
    <x v="0"/>
    <s v="2001-11 FF565 Yulin"/>
    <s v="South Sea Fleet"/>
    <s v="Jiangwei frigate Yulin 565"/>
    <m/>
    <m/>
  </r>
  <r>
    <x v="1"/>
    <x v="9"/>
    <s v="West Asia and Africa"/>
    <s v="Strategic Cooperative Partnership [战略合作伙伴关系]"/>
    <s v="Major Non-NATO Ally"/>
    <x v="1"/>
    <x v="24"/>
    <x v="11"/>
    <n v="1"/>
    <x v="3"/>
    <s v="Xiong Guangkai"/>
    <m/>
    <s v="GSD DCGS"/>
    <n v="6"/>
    <x v="2"/>
    <s v="Major General"/>
    <x v="0"/>
    <m/>
    <x v="0"/>
    <m/>
    <x v="1"/>
    <m/>
    <m/>
    <m/>
    <s v="CPP20020131000073"/>
    <m/>
  </r>
  <r>
    <x v="1"/>
    <x v="1"/>
    <s v="Asia"/>
    <s v="No Specific Relationship"/>
    <s v="None"/>
    <x v="0"/>
    <x v="8"/>
    <x v="11"/>
    <n v="1"/>
    <x v="3"/>
    <s v="Chi Haotian"/>
    <m/>
    <s v="Defense Minister; CMC Member"/>
    <n v="8"/>
    <x v="2"/>
    <s v="Navy Chief of Staff"/>
    <x v="0"/>
    <m/>
    <x v="0"/>
    <m/>
    <x v="1"/>
    <m/>
    <m/>
    <m/>
    <s v="CPP20020128000121"/>
    <m/>
  </r>
  <r>
    <x v="1"/>
    <x v="0"/>
    <s v="Asia"/>
    <s v="Strategic Partnership [战略伙伴关系]"/>
    <s v="Major Non-NATO Ally"/>
    <x v="1"/>
    <x v="2"/>
    <x v="11"/>
    <n v="1"/>
    <x v="3"/>
    <s v="Zhang Wannian"/>
    <m/>
    <s v="CMC Vice Chairman"/>
    <n v="10"/>
    <x v="2"/>
    <s v="CJCS General Muhammad Aziz Khan"/>
    <x v="0"/>
    <m/>
    <x v="0"/>
    <m/>
    <x v="1"/>
    <m/>
    <m/>
    <m/>
    <s v="CPP20020115000109; Xinhua 1-15-2002"/>
    <m/>
  </r>
  <r>
    <x v="1"/>
    <x v="4"/>
    <s v="Asia"/>
    <s v="Full-Scale Cooperative Partnership [全面合作伙伴关系]"/>
    <s v="Bilateral Defense Treaty"/>
    <x v="0"/>
    <x v="25"/>
    <x v="11"/>
    <n v="1"/>
    <x v="3"/>
    <s v="Fu Quanyou"/>
    <m/>
    <s v="GSD Commander; CMC Member"/>
    <n v="8"/>
    <x v="2"/>
    <s v="Air Chief of Staff"/>
    <x v="0"/>
    <m/>
    <x v="0"/>
    <m/>
    <x v="1"/>
    <m/>
    <m/>
    <m/>
    <s v="CPP20020123000106"/>
    <m/>
  </r>
  <r>
    <x v="1"/>
    <x v="1"/>
    <s v="Asia"/>
    <s v="No Specific Relationship"/>
    <s v="Bilateral Defense Treaty"/>
    <x v="0"/>
    <x v="5"/>
    <x v="11"/>
    <n v="1"/>
    <x v="3"/>
    <s v="Chi Haotian"/>
    <m/>
    <s v="Defense Minister; CMC Member"/>
    <n v="8"/>
    <x v="2"/>
    <s v="Chairman on Military Affairs"/>
    <x v="0"/>
    <m/>
    <x v="0"/>
    <m/>
    <x v="1"/>
    <m/>
    <m/>
    <m/>
    <s v="CPP20020123000127"/>
    <m/>
  </r>
  <r>
    <x v="1"/>
    <x v="8"/>
    <s v="Europe and Central Asia"/>
    <s v="No Specific Relationship"/>
    <s v="None"/>
    <x v="3"/>
    <x v="26"/>
    <x v="11"/>
    <n v="1"/>
    <x v="3"/>
    <s v="Chi Haotian"/>
    <m/>
    <s v="Defense Minister; CMC Member"/>
    <n v="8"/>
    <x v="2"/>
    <s v="Foreign Minister"/>
    <x v="0"/>
    <m/>
    <x v="0"/>
    <m/>
    <x v="1"/>
    <m/>
    <m/>
    <m/>
    <s v="CPP20020128000117"/>
    <m/>
  </r>
  <r>
    <x v="1"/>
    <x v="2"/>
    <s v="America and Oceania"/>
    <s v="No Specific Relationship"/>
    <s v="N/A"/>
    <x v="2"/>
    <x v="4"/>
    <x v="11"/>
    <n v="1"/>
    <x v="3"/>
    <s v="Chi Haotian"/>
    <m/>
    <s v="Defense Minister; CMC Member"/>
    <n v="8"/>
    <x v="2"/>
    <s v="Delegation"/>
    <x v="0"/>
    <m/>
    <x v="0"/>
    <m/>
    <x v="1"/>
    <m/>
    <m/>
    <m/>
    <s v="CPP20020107000110"/>
    <m/>
  </r>
  <r>
    <x v="1"/>
    <x v="7"/>
    <s v="West Asia and Africa"/>
    <s v="No Specific Relationship"/>
    <s v="Major Non-NATO Ally"/>
    <x v="4"/>
    <x v="27"/>
    <x v="11"/>
    <n v="2"/>
    <x v="3"/>
    <s v="Chi Haotian"/>
    <m/>
    <s v="Defense Minister; CMC Member"/>
    <n v="8"/>
    <x v="2"/>
    <s v="King of Morocco "/>
    <x v="0"/>
    <m/>
    <x v="0"/>
    <m/>
    <x v="1"/>
    <m/>
    <m/>
    <m/>
    <s v="CPP20020206000109"/>
    <m/>
  </r>
  <r>
    <x v="1"/>
    <x v="7"/>
    <s v="West Asia and Africa"/>
    <s v="No Specific Relationship"/>
    <s v="None"/>
    <x v="4"/>
    <x v="28"/>
    <x v="11"/>
    <n v="3"/>
    <x v="3"/>
    <s v="Xiong Guangkai"/>
    <m/>
    <s v="GSD DCGS"/>
    <n v="6"/>
    <x v="2"/>
    <s v="Defense Minister"/>
    <x v="0"/>
    <m/>
    <x v="0"/>
    <m/>
    <x v="1"/>
    <m/>
    <m/>
    <m/>
    <s v="CPP20020325000058"/>
    <m/>
  </r>
  <r>
    <x v="1"/>
    <x v="8"/>
    <s v="Europe and Central Asia"/>
    <s v="No Specific Relationship"/>
    <s v="NATO"/>
    <x v="3"/>
    <x v="22"/>
    <x v="11"/>
    <n v="3"/>
    <x v="3"/>
    <s v="Chi Haotian"/>
    <m/>
    <s v="Defense Minister; CMC Member"/>
    <n v="8"/>
    <x v="2"/>
    <s v="Chief of Staff of Air Force"/>
    <x v="0"/>
    <m/>
    <x v="0"/>
    <m/>
    <x v="1"/>
    <m/>
    <m/>
    <m/>
    <s v="CPP20020313000100"/>
    <m/>
  </r>
  <r>
    <x v="1"/>
    <x v="8"/>
    <s v="Europe and Central Asia"/>
    <s v="No Specific Relationship"/>
    <s v="NATO"/>
    <x v="3"/>
    <x v="18"/>
    <x v="11"/>
    <n v="3"/>
    <x v="4"/>
    <s v="Chi Haotian"/>
    <m/>
    <s v="Defense Minister; CMC Member"/>
    <n v="8"/>
    <x v="1"/>
    <s v="Parliamentary Speaker"/>
    <x v="0"/>
    <m/>
    <x v="0"/>
    <m/>
    <x v="1"/>
    <m/>
    <m/>
    <m/>
    <s v="CPP20020321000168"/>
    <m/>
  </r>
  <r>
    <x v="1"/>
    <x v="8"/>
    <s v="Europe and Central Asia"/>
    <s v="No Specific Relationship"/>
    <s v="NATO"/>
    <x v="3"/>
    <x v="29"/>
    <x v="11"/>
    <n v="3"/>
    <x v="4"/>
    <s v="Chi Haotian"/>
    <m/>
    <s v="Defense Minister; CMC Member"/>
    <n v="8"/>
    <x v="1"/>
    <s v="President"/>
    <x v="0"/>
    <m/>
    <x v="0"/>
    <m/>
    <x v="1"/>
    <m/>
    <m/>
    <m/>
    <s v="CPP20020327000250"/>
    <m/>
  </r>
  <r>
    <x v="1"/>
    <x v="8"/>
    <s v="Europe and Central Asia"/>
    <s v="No Specific Relationship"/>
    <s v="NATO"/>
    <x v="3"/>
    <x v="20"/>
    <x v="11"/>
    <n v="3"/>
    <x v="3"/>
    <s v="Fu Quanyou"/>
    <m/>
    <s v="GSD Commander; CMC Member"/>
    <n v="8"/>
    <x v="2"/>
    <s v="Chief of Naval Staff"/>
    <x v="0"/>
    <m/>
    <x v="0"/>
    <m/>
    <x v="1"/>
    <m/>
    <m/>
    <m/>
    <s v="CPP20020408000070"/>
    <m/>
  </r>
  <r>
    <x v="1"/>
    <x v="6"/>
    <s v="Europe and Central Asia"/>
    <s v="Comprehensive Cooperative Partnership [全面合作伙伴关系]"/>
    <s v="None"/>
    <x v="1"/>
    <x v="30"/>
    <x v="11"/>
    <n v="3"/>
    <x v="4"/>
    <s v="Xiong Guangkai"/>
    <m/>
    <s v="GSD DCGS"/>
    <n v="6"/>
    <x v="1"/>
    <s v="President"/>
    <x v="0"/>
    <m/>
    <x v="0"/>
    <m/>
    <x v="1"/>
    <m/>
    <m/>
    <m/>
    <s v="CPP20020318000099"/>
    <m/>
  </r>
  <r>
    <x v="1"/>
    <x v="6"/>
    <s v="Europe and Central Asia"/>
    <s v="No Specific Relationship"/>
    <s v="None"/>
    <x v="1"/>
    <x v="31"/>
    <x v="11"/>
    <n v="3"/>
    <x v="4"/>
    <s v="Xiong Guangkai"/>
    <m/>
    <s v="GSD DCGS"/>
    <n v="6"/>
    <x v="1"/>
    <s v="President"/>
    <x v="0"/>
    <m/>
    <x v="0"/>
    <m/>
    <x v="1"/>
    <m/>
    <m/>
    <m/>
    <s v="CPP20020318000104"/>
    <m/>
  </r>
  <r>
    <x v="1"/>
    <x v="0"/>
    <s v="Asia"/>
    <s v="Good-Neighborly Partnership [世代友好的睦邻伙伴关系]"/>
    <s v="None"/>
    <x v="0"/>
    <x v="32"/>
    <x v="11"/>
    <n v="3"/>
    <x v="3"/>
    <s v="Fu Quanyou"/>
    <m/>
    <s v="GSD Commander; CMC Member"/>
    <n v="8"/>
    <x v="2"/>
    <s v="Chief of General Staff"/>
    <x v="0"/>
    <m/>
    <x v="0"/>
    <m/>
    <x v="1"/>
    <m/>
    <m/>
    <m/>
    <s v="CPP20020326000158"/>
    <s v="Recoded as South Asia"/>
  </r>
  <r>
    <x v="1"/>
    <x v="0"/>
    <s v="Asia"/>
    <s v="Strategic Partnership [战略伙伴关系]"/>
    <s v="Major Non-NATO Ally"/>
    <x v="1"/>
    <x v="2"/>
    <x v="11"/>
    <n v="3"/>
    <x v="4"/>
    <s v="Xiong Guangkai"/>
    <m/>
    <s v="GSD DCGS"/>
    <n v="6"/>
    <x v="1"/>
    <s v="President"/>
    <x v="0"/>
    <m/>
    <x v="0"/>
    <m/>
    <x v="1"/>
    <m/>
    <m/>
    <m/>
    <s v="CPP20020307000205"/>
    <m/>
  </r>
  <r>
    <x v="1"/>
    <x v="8"/>
    <s v="Europe and Central Asia"/>
    <s v="No Specific Relationship"/>
    <s v="NATO"/>
    <x v="3"/>
    <x v="33"/>
    <x v="11"/>
    <n v="3"/>
    <x v="4"/>
    <s v="Chi Haotian"/>
    <m/>
    <s v="Defense Minister; CMC Member"/>
    <n v="8"/>
    <x v="1"/>
    <s v="President"/>
    <x v="0"/>
    <m/>
    <x v="0"/>
    <m/>
    <x v="1"/>
    <m/>
    <m/>
    <m/>
    <s v="CPP20020325000136"/>
    <m/>
  </r>
  <r>
    <x v="1"/>
    <x v="8"/>
    <s v="Europe and Central Asia"/>
    <s v="No Specific Relationship"/>
    <s v="NATO"/>
    <x v="3"/>
    <x v="21"/>
    <x v="11"/>
    <n v="3"/>
    <x v="3"/>
    <s v="Fu Quanyou"/>
    <m/>
    <s v="GSD Commander; CMC Member"/>
    <n v="8"/>
    <x v="2"/>
    <s v="Chief of General Staff"/>
    <x v="0"/>
    <m/>
    <x v="0"/>
    <m/>
    <x v="1"/>
    <m/>
    <m/>
    <m/>
    <s v="CPP20020325000143"/>
    <m/>
  </r>
  <r>
    <x v="1"/>
    <x v="8"/>
    <s v="Europe and Central Asia"/>
    <s v="Comprehensive Cooperative Partnership [全面合作伙伴关系]"/>
    <s v="None"/>
    <x v="3"/>
    <x v="34"/>
    <x v="11"/>
    <n v="4"/>
    <x v="3"/>
    <s v="Cao Gangchuan"/>
    <m/>
    <s v="GAD Director; CMC Member"/>
    <n v="8"/>
    <x v="2"/>
    <s v="Defense Minister"/>
    <x v="0"/>
    <m/>
    <x v="0"/>
    <m/>
    <x v="1"/>
    <m/>
    <m/>
    <m/>
    <s v="CPP20020422000148; Xinhua 4-22-2002"/>
    <s v="RECODED to reflect Cao's position"/>
  </r>
  <r>
    <x v="1"/>
    <x v="8"/>
    <s v="Europe and Central Asia"/>
    <s v="No Specific Relationship"/>
    <s v="NATO"/>
    <x v="3"/>
    <x v="35"/>
    <x v="11"/>
    <n v="4"/>
    <x v="4"/>
    <s v="Chi Haotian"/>
    <m/>
    <s v="Defense Minister; CMC Member"/>
    <n v="8"/>
    <x v="1"/>
    <s v="President"/>
    <x v="0"/>
    <m/>
    <x v="0"/>
    <m/>
    <x v="1"/>
    <m/>
    <m/>
    <m/>
    <s v="CPP20020403000205"/>
    <m/>
  </r>
  <r>
    <x v="1"/>
    <x v="7"/>
    <s v="West Asia and Africa"/>
    <s v="No Specific Relationship"/>
    <s v="None"/>
    <x v="4"/>
    <x v="36"/>
    <x v="11"/>
    <n v="4"/>
    <x v="3"/>
    <s v="Chi Haotian"/>
    <m/>
    <s v="Defense Minister; CMC Member"/>
    <n v="8"/>
    <x v="2"/>
    <s v="Defense Minister"/>
    <x v="0"/>
    <m/>
    <x v="0"/>
    <m/>
    <x v="1"/>
    <m/>
    <m/>
    <m/>
    <s v="CPP20020423000110"/>
    <m/>
  </r>
  <r>
    <x v="1"/>
    <x v="8"/>
    <s v="Europe and Central Asia"/>
    <s v="No Specific Relationship"/>
    <s v="NATO"/>
    <x v="3"/>
    <x v="37"/>
    <x v="11"/>
    <n v="4"/>
    <x v="4"/>
    <s v="Chi Haotian"/>
    <m/>
    <s v="Defense Minister; CMC Member"/>
    <n v="8"/>
    <x v="1"/>
    <s v="King of Norway; Chainman of Parliament Defense Committee; and Minister of Defense"/>
    <x v="0"/>
    <m/>
    <x v="0"/>
    <m/>
    <x v="1"/>
    <m/>
    <m/>
    <m/>
    <s v="CPP20020408000192; Xinhua 4-08-2002"/>
    <m/>
  </r>
  <r>
    <x v="1"/>
    <x v="1"/>
    <s v="Asia"/>
    <s v="No Specific Relationship"/>
    <s v="Bilateral Defense Treaty"/>
    <x v="0"/>
    <x v="11"/>
    <x v="11"/>
    <n v="4"/>
    <x v="3"/>
    <s v="Chi Haotian"/>
    <m/>
    <s v="Defense Minister; CMC Member"/>
    <n v="8"/>
    <x v="2"/>
    <s v="Secretary of Defense"/>
    <x v="0"/>
    <m/>
    <x v="0"/>
    <m/>
    <x v="1"/>
    <m/>
    <m/>
    <m/>
    <s v="CPP20020417000132"/>
    <m/>
  </r>
  <r>
    <x v="1"/>
    <x v="4"/>
    <s v="Asia"/>
    <s v="Full-Scale Cooperative Partnership [全面合作伙伴关系]"/>
    <s v="Bilateral Defense Treaty"/>
    <x v="0"/>
    <x v="25"/>
    <x v="11"/>
    <n v="4"/>
    <x v="3"/>
    <s v="Chi Haotian"/>
    <m/>
    <s v="Defense Minister; CMC Member"/>
    <n v="8"/>
    <x v="2"/>
    <s v="Delegation"/>
    <x v="0"/>
    <m/>
    <x v="0"/>
    <m/>
    <x v="1"/>
    <m/>
    <m/>
    <m/>
    <s v="CPP20020423000083"/>
    <m/>
  </r>
  <r>
    <x v="1"/>
    <x v="8"/>
    <s v="Europe and Central Asia"/>
    <s v="No Specific Relationship"/>
    <s v="NATO"/>
    <x v="3"/>
    <x v="38"/>
    <x v="11"/>
    <n v="4"/>
    <x v="3"/>
    <s v="Chi Haotian"/>
    <m/>
    <s v="Defense Minister; CMC Member"/>
    <n v="8"/>
    <x v="2"/>
    <s v="Commander of War College"/>
    <x v="0"/>
    <m/>
    <x v="0"/>
    <m/>
    <x v="1"/>
    <m/>
    <m/>
    <m/>
    <s v="CPP20020422000084"/>
    <m/>
  </r>
  <r>
    <x v="1"/>
    <x v="8"/>
    <s v="Europe and Central Asia"/>
    <s v="Comprehensive Cooperative Partnership [全面合作伙伴关系]"/>
    <s v="None"/>
    <x v="3"/>
    <x v="34"/>
    <x v="11"/>
    <n v="5"/>
    <x v="4"/>
    <s v="Fu Quanyou"/>
    <m/>
    <s v="GSD Commander; CMC Member"/>
    <n v="8"/>
    <x v="1"/>
    <s v="President"/>
    <x v="0"/>
    <m/>
    <x v="0"/>
    <m/>
    <x v="1"/>
    <m/>
    <m/>
    <m/>
    <s v="CPP20020528000249"/>
    <m/>
  </r>
  <r>
    <x v="0"/>
    <x v="9"/>
    <s v="West Asia and Africa"/>
    <s v="Strategic Cooperative Partnership [战略合作伙伴关系]"/>
    <s v="Major Non-NATO Ally"/>
    <x v="1"/>
    <x v="24"/>
    <x v="11"/>
    <n v="5"/>
    <x v="0"/>
    <m/>
    <m/>
    <m/>
    <m/>
    <x v="0"/>
    <m/>
    <x v="0"/>
    <m/>
    <x v="0"/>
    <m/>
    <x v="0"/>
    <s v="2002-05 DDG113 Qingdao"/>
    <s v="North Sea Fleet"/>
    <s v="Luhu destroyer Qingdao 113, replenishment ship Taicang 575"/>
    <s v="CPP20021010000233"/>
    <m/>
  </r>
  <r>
    <x v="1"/>
    <x v="8"/>
    <s v="Europe and Central Asia"/>
    <s v="No Specific Relationship"/>
    <s v="NATO"/>
    <x v="3"/>
    <x v="29"/>
    <x v="11"/>
    <n v="5"/>
    <x v="3"/>
    <s v="Fu Quanyou"/>
    <m/>
    <s v="GSD Commander; CMC Member"/>
    <n v="8"/>
    <x v="2"/>
    <s v="Chief of Army"/>
    <x v="0"/>
    <m/>
    <x v="0"/>
    <m/>
    <x v="1"/>
    <m/>
    <m/>
    <m/>
    <s v="CPP20020514000096"/>
    <m/>
  </r>
  <r>
    <x v="0"/>
    <x v="8"/>
    <s v="Europe and Central Asia"/>
    <s v="No Specific Relationship"/>
    <s v="NATO"/>
    <x v="3"/>
    <x v="29"/>
    <x v="11"/>
    <n v="5"/>
    <x v="0"/>
    <m/>
    <m/>
    <m/>
    <m/>
    <x v="0"/>
    <m/>
    <x v="0"/>
    <m/>
    <x v="0"/>
    <m/>
    <x v="0"/>
    <s v="2002-05 DDG113 Qingdao"/>
    <s v="North Sea Fleet"/>
    <s v="Luhu destroyer Qingdao 113, replenishment ship Taicang 575"/>
    <s v="CPP20021010000233"/>
    <m/>
  </r>
  <r>
    <x v="1"/>
    <x v="6"/>
    <s v="Europe and Central Asia"/>
    <s v="Member"/>
    <s v="None"/>
    <x v="1"/>
    <x v="14"/>
    <x v="11"/>
    <n v="5"/>
    <x v="2"/>
    <s v="Chi Haotian"/>
    <m/>
    <s v="Defense Minister; CMC Member"/>
    <n v="8"/>
    <x v="2"/>
    <s v="Second official meeting of the SCO Ministers' of Defense in Shanghai; Other countries: Kazakhstan, Kyrgyztan, Russia, Tajikistan, Uzbekistan"/>
    <x v="0"/>
    <m/>
    <x v="0"/>
    <m/>
    <x v="1"/>
    <m/>
    <m/>
    <m/>
    <s v="http://globalsummitryproject.com.s197331.gridserver.com/archive/shanghai_cooperation_organization1/ipripak.org/factfiles/ff85.pdf"/>
    <m/>
  </r>
  <r>
    <x v="0"/>
    <x v="1"/>
    <s v="Asia"/>
    <s v="No Specific Relationship"/>
    <s v="None"/>
    <x v="0"/>
    <x v="39"/>
    <x v="11"/>
    <n v="5"/>
    <x v="0"/>
    <m/>
    <m/>
    <m/>
    <m/>
    <x v="0"/>
    <m/>
    <x v="0"/>
    <m/>
    <x v="0"/>
    <m/>
    <x v="0"/>
    <s v="2002-05 DDG113 Qingdao"/>
    <s v="North Sea Fleet"/>
    <s v="Luhu destroyer Qingdao 113, replenishment ship Taicang 575"/>
    <s v="CPP20021010000233"/>
    <m/>
  </r>
  <r>
    <x v="1"/>
    <x v="8"/>
    <s v="Europe and Central Asia"/>
    <s v="No Specific Relationship"/>
    <s v="NATO"/>
    <x v="3"/>
    <x v="40"/>
    <x v="11"/>
    <n v="5"/>
    <x v="4"/>
    <s v="Fu Quanyou"/>
    <m/>
    <s v="GSD Commander; CMC Member"/>
    <n v="8"/>
    <x v="1"/>
    <s v="President"/>
    <x v="0"/>
    <m/>
    <x v="0"/>
    <m/>
    <x v="1"/>
    <m/>
    <m/>
    <m/>
    <s v="CPP20020521000214"/>
    <m/>
  </r>
  <r>
    <x v="0"/>
    <x v="4"/>
    <s v="Asia"/>
    <s v="Full-Scale Cooperative Partnership [全面合作伙伴关系]"/>
    <s v="Bilateral Defense Treaty"/>
    <x v="0"/>
    <x v="25"/>
    <x v="11"/>
    <n v="5"/>
    <x v="0"/>
    <m/>
    <m/>
    <m/>
    <m/>
    <x v="0"/>
    <m/>
    <x v="0"/>
    <m/>
    <x v="0"/>
    <m/>
    <x v="0"/>
    <s v="2002-05 FF521 Jiaxing"/>
    <s v="East Sea Fleet"/>
    <s v="Jiangwei frigate Jiaxing 521, Jiangwei frigate Lianyungang 522"/>
    <m/>
    <m/>
  </r>
  <r>
    <x v="0"/>
    <x v="8"/>
    <s v="Europe and Central Asia"/>
    <s v="No Specific Relationship"/>
    <s v="NATO"/>
    <x v="3"/>
    <x v="38"/>
    <x v="11"/>
    <n v="5"/>
    <x v="0"/>
    <m/>
    <m/>
    <m/>
    <m/>
    <x v="0"/>
    <m/>
    <x v="0"/>
    <m/>
    <x v="0"/>
    <m/>
    <x v="0"/>
    <s v="2002-05 DDG113 Qingdao"/>
    <s v="North Sea Fleet"/>
    <s v="Luhu destroyer Qingdao 113, replenishment ship Taicang 575"/>
    <s v="CPP20021010000233"/>
    <m/>
  </r>
  <r>
    <x v="0"/>
    <x v="8"/>
    <s v="Europe and Central Asia"/>
    <s v="No Specific Relationship"/>
    <s v="None"/>
    <x v="3"/>
    <x v="26"/>
    <x v="11"/>
    <n v="5"/>
    <x v="0"/>
    <m/>
    <m/>
    <m/>
    <m/>
    <x v="0"/>
    <m/>
    <x v="0"/>
    <m/>
    <x v="0"/>
    <m/>
    <x v="0"/>
    <s v="2002-05 DDG113 Qingdao"/>
    <s v="North Sea Fleet"/>
    <s v="Luhu destroyer Qingdao 113, replenishment ship Taicang 575"/>
    <s v="CPP20021010000233"/>
    <m/>
  </r>
  <r>
    <x v="1"/>
    <x v="10"/>
    <s v="America and Oceania"/>
    <s v="No Specific Relationship"/>
    <s v="None"/>
    <x v="5"/>
    <x v="41"/>
    <x v="11"/>
    <n v="6"/>
    <x v="3"/>
    <s v="Fu Quanyou"/>
    <m/>
    <s v="GSD Commander; CMC Member"/>
    <n v="8"/>
    <x v="2"/>
    <s v="Commander of Defense Force"/>
    <x v="0"/>
    <m/>
    <x v="0"/>
    <m/>
    <x v="1"/>
    <m/>
    <m/>
    <m/>
    <s v="CPP20020620000095"/>
    <m/>
  </r>
  <r>
    <x v="1"/>
    <x v="0"/>
    <s v="Asia"/>
    <s v="No Specific Relationship"/>
    <s v="None"/>
    <x v="0"/>
    <x v="0"/>
    <x v="11"/>
    <n v="6"/>
    <x v="3"/>
    <s v="Chi Haotian"/>
    <m/>
    <s v="Defense Minister; CMC Member"/>
    <n v="8"/>
    <x v="2"/>
    <s v="Chief of Army Staff"/>
    <x v="0"/>
    <m/>
    <x v="0"/>
    <m/>
    <x v="1"/>
    <m/>
    <m/>
    <m/>
    <s v="CPP20020602000061"/>
    <m/>
  </r>
  <r>
    <x v="1"/>
    <x v="10"/>
    <s v="America and Oceania"/>
    <s v="No Specific Relationship"/>
    <s v="None"/>
    <x v="5"/>
    <x v="42"/>
    <x v="11"/>
    <n v="6"/>
    <x v="3"/>
    <s v="Fu Quanyou"/>
    <m/>
    <s v="GSD Commander; CMC Member"/>
    <n v="8"/>
    <x v="2"/>
    <s v="Army Commander"/>
    <x v="0"/>
    <m/>
    <x v="0"/>
    <m/>
    <x v="1"/>
    <m/>
    <m/>
    <m/>
    <s v="CPP20020621000098"/>
    <m/>
  </r>
  <r>
    <x v="1"/>
    <x v="10"/>
    <s v="America and Oceania"/>
    <s v="Strategic Partnership [战略伙伴关系]"/>
    <s v="None"/>
    <x v="5"/>
    <x v="43"/>
    <x v="11"/>
    <n v="6"/>
    <x v="3"/>
    <s v="Fu Quanyou"/>
    <m/>
    <s v="GSD Commander; CMC Member"/>
    <n v="8"/>
    <x v="2"/>
    <s v="Chief of Army "/>
    <x v="0"/>
    <m/>
    <x v="0"/>
    <m/>
    <x v="1"/>
    <m/>
    <m/>
    <m/>
    <s v="CPP20020610000039"/>
    <m/>
  </r>
  <r>
    <x v="0"/>
    <x v="10"/>
    <s v="America and Oceania"/>
    <s v="Strategic Partnership [战略伙伴关系]"/>
    <s v="None"/>
    <x v="5"/>
    <x v="43"/>
    <x v="11"/>
    <n v="6"/>
    <x v="0"/>
    <m/>
    <m/>
    <m/>
    <m/>
    <x v="0"/>
    <m/>
    <x v="0"/>
    <m/>
    <x v="0"/>
    <m/>
    <x v="0"/>
    <s v="2002-05 DDG113 Qingdao"/>
    <s v="North Sea Fleet"/>
    <s v="Luhu destroyer Qingdao 113, replenishment ship Taicang 575"/>
    <s v="CPP20021010000233"/>
    <m/>
  </r>
  <r>
    <x v="1"/>
    <x v="1"/>
    <s v="Asia"/>
    <s v="No Specific Relationship"/>
    <s v="None"/>
    <x v="0"/>
    <x v="44"/>
    <x v="11"/>
    <n v="6"/>
    <x v="3"/>
    <s v="Zhang Wannian"/>
    <m/>
    <s v="CMC Vice Chairman"/>
    <n v="10"/>
    <x v="2"/>
    <s v="Commander of Armed Forces"/>
    <x v="0"/>
    <m/>
    <x v="0"/>
    <m/>
    <x v="1"/>
    <m/>
    <m/>
    <m/>
    <s v="CPP20020621000104; Xinhua 6-21-2002"/>
    <m/>
  </r>
  <r>
    <x v="1"/>
    <x v="10"/>
    <s v="America and Oceania"/>
    <s v="No Specific Relationship"/>
    <s v="None"/>
    <x v="5"/>
    <x v="45"/>
    <x v="11"/>
    <n v="6"/>
    <x v="3"/>
    <s v="Chi Haotian"/>
    <m/>
    <s v="Defense Minister; CMC Member"/>
    <n v="8"/>
    <x v="2"/>
    <s v="Commander in Chief"/>
    <x v="0"/>
    <m/>
    <x v="0"/>
    <m/>
    <x v="1"/>
    <m/>
    <m/>
    <m/>
    <s v="CPP20020623000024"/>
    <m/>
  </r>
  <r>
    <x v="1"/>
    <x v="7"/>
    <s v="West Asia and Africa"/>
    <s v="No Specific Relationship"/>
    <s v="None"/>
    <x v="4"/>
    <x v="46"/>
    <x v="11"/>
    <n v="6"/>
    <x v="3"/>
    <s v="Fu Quanyou"/>
    <m/>
    <s v="GSD Commander; CMC Member"/>
    <n v="8"/>
    <x v="2"/>
    <s v="Defense Minister"/>
    <x v="0"/>
    <m/>
    <x v="0"/>
    <m/>
    <x v="1"/>
    <m/>
    <m/>
    <m/>
    <s v="CPP20020614000103"/>
    <m/>
  </r>
  <r>
    <x v="1"/>
    <x v="8"/>
    <s v="Europe and Central Asia"/>
    <s v="No Specific Relationship"/>
    <s v="NATO"/>
    <x v="3"/>
    <x v="22"/>
    <x v="11"/>
    <n v="6"/>
    <x v="4"/>
    <s v="Cao Gangchuan"/>
    <m/>
    <s v="GAD Director; CMC Member"/>
    <n v="8"/>
    <x v="1"/>
    <s v="Defense Minister"/>
    <x v="0"/>
    <m/>
    <x v="0"/>
    <m/>
    <x v="1"/>
    <m/>
    <m/>
    <m/>
    <s v="CPP20020608000021; Xinhua 6-8-2002"/>
    <m/>
  </r>
  <r>
    <x v="1"/>
    <x v="8"/>
    <s v="Europe and Central Asia"/>
    <s v="No Specific Relationship"/>
    <s v="NATO"/>
    <x v="3"/>
    <x v="18"/>
    <x v="11"/>
    <n v="6"/>
    <x v="3"/>
    <s v="Chi Haotian"/>
    <m/>
    <s v="Defense Minister; CMC Member"/>
    <n v="8"/>
    <x v="2"/>
    <s v="Navy Inspector"/>
    <x v="0"/>
    <m/>
    <x v="0"/>
    <m/>
    <x v="1"/>
    <m/>
    <m/>
    <m/>
    <s v="CPP20020611000111"/>
    <m/>
  </r>
  <r>
    <x v="1"/>
    <x v="8"/>
    <s v="Europe and Central Asia"/>
    <s v="No Specific Relationship"/>
    <s v="NATO"/>
    <x v="3"/>
    <x v="20"/>
    <x v="11"/>
    <n v="6"/>
    <x v="4"/>
    <s v="Cao Gangchuan"/>
    <m/>
    <s v="GAD Director; CMC Member"/>
    <n v="8"/>
    <x v="1"/>
    <s v="Defense Minister"/>
    <x v="0"/>
    <m/>
    <x v="0"/>
    <m/>
    <x v="1"/>
    <m/>
    <m/>
    <m/>
    <s v="CPP20020608000021; Xinhua 6-8-2002"/>
    <m/>
  </r>
  <r>
    <x v="1"/>
    <x v="7"/>
    <s v="West Asia and Africa"/>
    <s v="No Specific Relationship"/>
    <s v="None"/>
    <x v="4"/>
    <x v="47"/>
    <x v="11"/>
    <n v="6"/>
    <x v="3"/>
    <s v="Chi Haotian"/>
    <m/>
    <s v="Defense Minister; CMC Member"/>
    <n v="8"/>
    <x v="2"/>
    <s v="Chief of Staff  "/>
    <x v="0"/>
    <m/>
    <x v="0"/>
    <m/>
    <x v="1"/>
    <m/>
    <m/>
    <m/>
    <s v="CPP20020627000109"/>
    <m/>
  </r>
  <r>
    <x v="0"/>
    <x v="8"/>
    <s v="Europe and Central Asia"/>
    <s v="No Specific Relationship"/>
    <s v="NATO"/>
    <x v="3"/>
    <x v="48"/>
    <x v="11"/>
    <n v="6"/>
    <x v="0"/>
    <m/>
    <m/>
    <m/>
    <m/>
    <x v="0"/>
    <m/>
    <x v="0"/>
    <m/>
    <x v="0"/>
    <m/>
    <x v="0"/>
    <s v="2002-05 DDG113 Qingdao"/>
    <s v="North Sea Fleet"/>
    <s v="Luhu destroyer Qingdao 113, replenishment ship Taicang 575"/>
    <s v="CPP20021010000233"/>
    <m/>
  </r>
  <r>
    <x v="1"/>
    <x v="3"/>
    <s v="Europe and Central Asia"/>
    <s v="Strategic Partnership of Coordination [战略协作伙伴关系]"/>
    <s v="None"/>
    <x v="3"/>
    <x v="7"/>
    <x v="11"/>
    <n v="6"/>
    <x v="3"/>
    <s v="Chi Haotian"/>
    <m/>
    <s v="Defense Minister; CMC Member"/>
    <n v="8"/>
    <x v="2"/>
    <s v="Defense Minister"/>
    <x v="0"/>
    <m/>
    <x v="0"/>
    <m/>
    <x v="1"/>
    <m/>
    <m/>
    <m/>
    <s v="CPP20020601000085"/>
    <m/>
  </r>
  <r>
    <x v="1"/>
    <x v="7"/>
    <s v="West Asia and Africa"/>
    <s v="No Specific Relationship"/>
    <s v="None"/>
    <x v="4"/>
    <x v="15"/>
    <x v="11"/>
    <n v="6"/>
    <x v="4"/>
    <s v="Cao Gangchuan"/>
    <m/>
    <s v="GAD Director; CMC Member"/>
    <n v="8"/>
    <x v="1"/>
    <s v="Defense Minister"/>
    <x v="0"/>
    <m/>
    <x v="0"/>
    <m/>
    <x v="1"/>
    <m/>
    <m/>
    <m/>
    <s v="CPP20020608000021; Xinhua 6-8-2002"/>
    <m/>
  </r>
  <r>
    <x v="1"/>
    <x v="4"/>
    <s v="Asia"/>
    <s v="Full-Scale Cooperative Partnership [全面合作伙伴关系]"/>
    <s v="Bilateral Defense Treaty"/>
    <x v="0"/>
    <x v="25"/>
    <x v="11"/>
    <n v="6"/>
    <x v="3"/>
    <s v="Chi Haotian"/>
    <m/>
    <s v="Defense Minister; CMC Member"/>
    <n v="8"/>
    <x v="2"/>
    <s v="Defense Minister"/>
    <x v="0"/>
    <m/>
    <x v="0"/>
    <m/>
    <x v="1"/>
    <m/>
    <m/>
    <m/>
    <s v="CPP20020602000062"/>
    <m/>
  </r>
  <r>
    <x v="1"/>
    <x v="0"/>
    <s v="Asia"/>
    <s v="No Specific Relationship"/>
    <s v="None"/>
    <x v="0"/>
    <x v="3"/>
    <x v="11"/>
    <n v="6"/>
    <x v="3"/>
    <s v="Chi Haotian"/>
    <m/>
    <s v="Defense Minister; CMC Member"/>
    <n v="8"/>
    <x v="2"/>
    <s v="Defense Minister"/>
    <x v="0"/>
    <m/>
    <x v="0"/>
    <m/>
    <x v="1"/>
    <m/>
    <m/>
    <m/>
    <s v="CPP20020611000116"/>
    <m/>
  </r>
  <r>
    <x v="1"/>
    <x v="1"/>
    <s v="Asia"/>
    <s v="No Specific Relationship"/>
    <s v="Bilateral Defense Treaty"/>
    <x v="0"/>
    <x v="5"/>
    <x v="11"/>
    <n v="6"/>
    <x v="3"/>
    <s v="Fu Quanyou"/>
    <m/>
    <s v="GSD Commander; CMC Member"/>
    <n v="8"/>
    <x v="2"/>
    <s v="Army Commander"/>
    <x v="0"/>
    <m/>
    <x v="0"/>
    <m/>
    <x v="1"/>
    <m/>
    <m/>
    <m/>
    <s v="CPP20020625000204"/>
    <m/>
  </r>
  <r>
    <x v="1"/>
    <x v="8"/>
    <s v="Europe and Central Asia"/>
    <s v="No Specific Relationship"/>
    <s v="None"/>
    <x v="3"/>
    <x v="26"/>
    <x v="11"/>
    <n v="6"/>
    <x v="4"/>
    <s v="Fu Quanyou"/>
    <m/>
    <s v="GSD Commander; CMC Member"/>
    <n v="8"/>
    <x v="1"/>
    <s v="President"/>
    <x v="0"/>
    <m/>
    <x v="0"/>
    <m/>
    <x v="1"/>
    <m/>
    <m/>
    <m/>
    <s v="CPP20020603000168"/>
    <m/>
  </r>
  <r>
    <x v="1"/>
    <x v="2"/>
    <s v="America and Oceania"/>
    <s v="No Specific Relationship"/>
    <s v="N/A"/>
    <x v="2"/>
    <x v="4"/>
    <x v="11"/>
    <n v="6"/>
    <x v="3"/>
    <s v="Chi Haotian"/>
    <m/>
    <s v="Defense Minister; CMC Member"/>
    <n v="8"/>
    <x v="2"/>
    <s v="Delegation"/>
    <x v="0"/>
    <m/>
    <x v="0"/>
    <m/>
    <x v="1"/>
    <m/>
    <m/>
    <m/>
    <s v="CPP20020624000222"/>
    <m/>
  </r>
  <r>
    <x v="1"/>
    <x v="10"/>
    <s v="America and Oceania"/>
    <s v="No Specific Relationship"/>
    <s v="None"/>
    <x v="5"/>
    <x v="49"/>
    <x v="11"/>
    <n v="7"/>
    <x v="3"/>
    <s v="Fu Quanyou"/>
    <m/>
    <s v="GSD Commander; CMC Member"/>
    <n v="8"/>
    <x v="2"/>
    <s v="General of Armed Forces"/>
    <x v="0"/>
    <m/>
    <x v="0"/>
    <m/>
    <x v="1"/>
    <m/>
    <m/>
    <m/>
    <s v="CPP20020715000072"/>
    <m/>
  </r>
  <r>
    <x v="1"/>
    <x v="10"/>
    <s v="America and Oceania"/>
    <s v="No Specific Relationship"/>
    <s v="None"/>
    <x v="5"/>
    <x v="49"/>
    <x v="11"/>
    <n v="7"/>
    <x v="3"/>
    <s v="Lei Mingqiu"/>
    <m/>
    <s v="Nanjing MR Political Commissar"/>
    <n v="6"/>
    <x v="2"/>
    <s v="Director of Armed Forces"/>
    <x v="0"/>
    <m/>
    <x v="0"/>
    <m/>
    <x v="1"/>
    <m/>
    <m/>
    <m/>
    <s v="CPP20020723000047"/>
    <m/>
  </r>
  <r>
    <x v="1"/>
    <x v="1"/>
    <s v="Asia"/>
    <s v="No Specific Relationship"/>
    <s v="None"/>
    <x v="0"/>
    <x v="50"/>
    <x v="11"/>
    <n v="7"/>
    <x v="3"/>
    <s v="Chi Haotian"/>
    <m/>
    <s v="Defense Minister; CMC Member"/>
    <n v="8"/>
    <x v="2"/>
    <s v="Commander of Armed Forces"/>
    <x v="0"/>
    <m/>
    <x v="0"/>
    <m/>
    <x v="1"/>
    <m/>
    <m/>
    <m/>
    <s v="CPP20020702000138"/>
    <m/>
  </r>
  <r>
    <x v="0"/>
    <x v="10"/>
    <s v="America and Oceania"/>
    <s v="No Specific Relationship"/>
    <s v="None"/>
    <x v="5"/>
    <x v="51"/>
    <x v="11"/>
    <n v="7"/>
    <x v="0"/>
    <m/>
    <m/>
    <m/>
    <m/>
    <x v="0"/>
    <m/>
    <x v="0"/>
    <m/>
    <x v="0"/>
    <m/>
    <x v="0"/>
    <s v="2002-05 DDG113 Qingdao"/>
    <s v="North Sea Fleet"/>
    <s v="Luhu destroyer Qingdao 113, replenishment ship Taicang 575"/>
    <s v="CPP20021010000233"/>
    <m/>
  </r>
  <r>
    <x v="1"/>
    <x v="1"/>
    <s v="Asia"/>
    <s v="No Specific Relationship"/>
    <s v="None"/>
    <x v="0"/>
    <x v="52"/>
    <x v="11"/>
    <n v="7"/>
    <x v="3"/>
    <s v="Chi Haotian"/>
    <m/>
    <s v="Defense Minister; CMC Member"/>
    <n v="8"/>
    <x v="2"/>
    <s v="Delegation"/>
    <x v="0"/>
    <m/>
    <x v="0"/>
    <m/>
    <x v="1"/>
    <m/>
    <m/>
    <m/>
    <s v="CPP20020718000193"/>
    <m/>
  </r>
  <r>
    <x v="1"/>
    <x v="4"/>
    <s v="Asia"/>
    <s v="No Specific Relationship"/>
    <s v="None"/>
    <x v="0"/>
    <x v="53"/>
    <x v="11"/>
    <n v="7"/>
    <x v="4"/>
    <s v="Zhang Wentai"/>
    <m/>
    <s v="GLD Political Commissar"/>
    <n v="6"/>
    <x v="1"/>
    <s v="President"/>
    <x v="0"/>
    <m/>
    <x v="0"/>
    <m/>
    <x v="1"/>
    <m/>
    <m/>
    <m/>
    <s v="CPP20020725000110"/>
    <m/>
  </r>
  <r>
    <x v="0"/>
    <x v="10"/>
    <s v="America and Oceania"/>
    <s v="No Specific Relationship"/>
    <s v="None"/>
    <x v="5"/>
    <x v="54"/>
    <x v="11"/>
    <n v="7"/>
    <x v="0"/>
    <m/>
    <m/>
    <m/>
    <m/>
    <x v="0"/>
    <m/>
    <x v="0"/>
    <m/>
    <x v="0"/>
    <m/>
    <x v="0"/>
    <s v="2002-05 DDG113 Qingdao"/>
    <s v="North Sea Fleet"/>
    <s v="Luhu destroyer Qingdao 113, replenishment ship Taicang 575"/>
    <s v="CPP20021010000233"/>
    <m/>
  </r>
  <r>
    <x v="1"/>
    <x v="3"/>
    <s v="Europe and Central Asia"/>
    <s v="Strategic Partnership of Coordination [战略协作伙伴关系]"/>
    <s v="None"/>
    <x v="3"/>
    <x v="7"/>
    <x v="11"/>
    <n v="7"/>
    <x v="3"/>
    <s v="Chi Haotian"/>
    <m/>
    <s v="Defense Minister; CMC Member"/>
    <n v="8"/>
    <x v="2"/>
    <s v="Security Council Secretary"/>
    <x v="0"/>
    <m/>
    <x v="0"/>
    <m/>
    <x v="1"/>
    <m/>
    <m/>
    <m/>
    <s v="JPP20020717000049"/>
    <m/>
  </r>
  <r>
    <x v="1"/>
    <x v="4"/>
    <s v="Asia"/>
    <s v="Full-Scale Cooperative Partnership [全面合作伙伴关系]"/>
    <s v="Bilateral Defense Treaty"/>
    <x v="0"/>
    <x v="25"/>
    <x v="11"/>
    <n v="7"/>
    <x v="4"/>
    <s v="Zhang Wentai"/>
    <m/>
    <s v="GLD Political Commissar"/>
    <n v="6"/>
    <x v="1"/>
    <s v="Defense Minister"/>
    <x v="0"/>
    <m/>
    <x v="0"/>
    <m/>
    <x v="1"/>
    <m/>
    <m/>
    <m/>
    <s v="KPP20020723000056"/>
    <m/>
  </r>
  <r>
    <x v="1"/>
    <x v="6"/>
    <s v="Europe and Central Asia"/>
    <s v="No Specific Relationship"/>
    <s v="None"/>
    <x v="1"/>
    <x v="55"/>
    <x v="11"/>
    <n v="7"/>
    <x v="3"/>
    <s v="Chi Haotian"/>
    <m/>
    <s v="Defense Minister; CMC Member"/>
    <n v="8"/>
    <x v="2"/>
    <s v="Lieutenant General"/>
    <x v="0"/>
    <m/>
    <x v="0"/>
    <m/>
    <x v="1"/>
    <m/>
    <m/>
    <m/>
    <s v="CPP20020705000083"/>
    <m/>
  </r>
  <r>
    <x v="1"/>
    <x v="2"/>
    <s v="America and Oceania"/>
    <s v="No Specific Relationship"/>
    <s v="N/A"/>
    <x v="2"/>
    <x v="4"/>
    <x v="11"/>
    <n v="7"/>
    <x v="3"/>
    <s v="Chi Haotian"/>
    <m/>
    <s v="Defense Minister; CMC Member"/>
    <n v="8"/>
    <x v="2"/>
    <s v="Ex-Official "/>
    <x v="0"/>
    <m/>
    <x v="0"/>
    <m/>
    <x v="1"/>
    <m/>
    <m/>
    <m/>
    <s v="CPP20020701000135"/>
    <m/>
  </r>
  <r>
    <x v="1"/>
    <x v="10"/>
    <s v="America and Oceania"/>
    <s v="Strategic Development Partnership [战略发展伙伴关系]"/>
    <s v="None"/>
    <x v="5"/>
    <x v="56"/>
    <x v="11"/>
    <n v="7"/>
    <x v="3"/>
    <s v="Xiong Guangkai"/>
    <m/>
    <s v="GSD DCGS"/>
    <n v="6"/>
    <x v="2"/>
    <s v="Major General"/>
    <x v="0"/>
    <m/>
    <x v="0"/>
    <m/>
    <x v="1"/>
    <m/>
    <m/>
    <m/>
    <s v="CPP20020709000157"/>
    <m/>
  </r>
  <r>
    <x v="1"/>
    <x v="8"/>
    <s v="Europe and Central Asia"/>
    <s v="No Specific Relationship"/>
    <s v="None"/>
    <x v="3"/>
    <x v="57"/>
    <x v="11"/>
    <n v="8"/>
    <x v="4"/>
    <s v="Chi Haotian"/>
    <m/>
    <s v="Defense Minister; CMC Member"/>
    <n v="8"/>
    <x v="1"/>
    <s v="Vice Defense Minister"/>
    <x v="0"/>
    <m/>
    <x v="0"/>
    <m/>
    <x v="1"/>
    <m/>
    <m/>
    <m/>
    <s v="CPP20020807000130"/>
    <m/>
  </r>
  <r>
    <x v="1"/>
    <x v="0"/>
    <s v="Asia"/>
    <s v="No Specific Relationship"/>
    <s v="None"/>
    <x v="0"/>
    <x v="0"/>
    <x v="11"/>
    <n v="8"/>
    <x v="3"/>
    <s v="Fu Quanyou"/>
    <m/>
    <s v="GSD Commander; CMC Member"/>
    <n v="8"/>
    <x v="2"/>
    <s v="Chief of Air Staff"/>
    <x v="0"/>
    <m/>
    <x v="0"/>
    <m/>
    <x v="1"/>
    <m/>
    <m/>
    <m/>
    <s v="CPP20020821000148"/>
    <m/>
  </r>
  <r>
    <x v="1"/>
    <x v="8"/>
    <s v="Europe and Central Asia"/>
    <s v="No Specific Relationship"/>
    <s v="NATO"/>
    <x v="3"/>
    <x v="58"/>
    <x v="11"/>
    <n v="8"/>
    <x v="4"/>
    <s v="Lei Mingqiu"/>
    <m/>
    <s v="Nanjing MR Political Commissar"/>
    <n v="6"/>
    <x v="1"/>
    <s v="Chief of General Staff"/>
    <x v="0"/>
    <m/>
    <x v="0"/>
    <m/>
    <x v="1"/>
    <m/>
    <m/>
    <m/>
    <s v="CPP20020816000076"/>
    <m/>
  </r>
  <r>
    <x v="1"/>
    <x v="6"/>
    <s v="Europe and Central Asia"/>
    <s v="Comprehensive Cooperative Partnership [全面合作伙伴关系]"/>
    <s v="None"/>
    <x v="1"/>
    <x v="30"/>
    <x v="11"/>
    <n v="8"/>
    <x v="4"/>
    <s v="Zheng Shouzeng"/>
    <m/>
    <s v="Lanzhou MR Politcal Commander"/>
    <n v="6"/>
    <x v="1"/>
    <s v="Defense Minister"/>
    <x v="0"/>
    <m/>
    <x v="0"/>
    <m/>
    <x v="1"/>
    <m/>
    <m/>
    <m/>
    <s v="CPP20020822000155"/>
    <m/>
  </r>
  <r>
    <x v="1"/>
    <x v="8"/>
    <s v="Europe and Central Asia"/>
    <s v="No Specific Relationship"/>
    <s v="NATO"/>
    <x v="3"/>
    <x v="59"/>
    <x v="11"/>
    <n v="8"/>
    <x v="3"/>
    <s v="Chi Haotian"/>
    <m/>
    <s v="Defense Minister; CMC Member"/>
    <n v="8"/>
    <x v="2"/>
    <s v="Chief of General Staff"/>
    <x v="0"/>
    <m/>
    <x v="0"/>
    <m/>
    <x v="1"/>
    <m/>
    <m/>
    <m/>
    <s v="CPP20020826000111"/>
    <m/>
  </r>
  <r>
    <x v="1"/>
    <x v="8"/>
    <s v="Europe and Central Asia"/>
    <s v="No Specific Relationship"/>
    <s v="NATO"/>
    <x v="3"/>
    <x v="59"/>
    <x v="11"/>
    <n v="8"/>
    <x v="4"/>
    <s v="Lei Mingqiu"/>
    <m/>
    <s v="Nanjing MR Political Commissar"/>
    <n v="6"/>
    <x v="1"/>
    <s v="Chief of General Staff"/>
    <x v="0"/>
    <m/>
    <x v="0"/>
    <m/>
    <x v="1"/>
    <m/>
    <m/>
    <m/>
    <s v="CPP20020811000001"/>
    <m/>
  </r>
  <r>
    <x v="1"/>
    <x v="4"/>
    <s v="Asia"/>
    <s v="Full-Scale Cooperative Partnership [全面合作伙伴关系]"/>
    <s v="Bilateral Defense Treaty"/>
    <x v="0"/>
    <x v="25"/>
    <x v="11"/>
    <n v="8"/>
    <x v="3"/>
    <s v="Chi Haotian"/>
    <m/>
    <s v="Defense Minister; CMC Member"/>
    <n v="8"/>
    <x v="2"/>
    <s v="Vice Minister of Defense"/>
    <x v="0"/>
    <m/>
    <x v="0"/>
    <m/>
    <x v="1"/>
    <m/>
    <m/>
    <m/>
    <s v="CPP20020827000087"/>
    <m/>
  </r>
  <r>
    <x v="1"/>
    <x v="6"/>
    <s v="Europe and Central Asia"/>
    <s v="No Specific Relationship"/>
    <s v="None"/>
    <x v="1"/>
    <x v="60"/>
    <x v="11"/>
    <n v="8"/>
    <x v="4"/>
    <s v="Chi Haotian"/>
    <m/>
    <s v="Defense Minister; CMC Member"/>
    <n v="8"/>
    <x v="1"/>
    <s v="Defense Minister"/>
    <x v="0"/>
    <m/>
    <x v="0"/>
    <m/>
    <x v="1"/>
    <m/>
    <m/>
    <m/>
    <s v="CPP20020815000138"/>
    <m/>
  </r>
  <r>
    <x v="1"/>
    <x v="7"/>
    <s v="West Asia and Africa"/>
    <s v="No Specific Relationship"/>
    <s v="None"/>
    <x v="4"/>
    <x v="16"/>
    <x v="11"/>
    <n v="8"/>
    <x v="3"/>
    <s v="Chi Haotian"/>
    <m/>
    <s v="Defense Minister; CMC Member"/>
    <n v="8"/>
    <x v="2"/>
    <s v="Commander of Defense Force"/>
    <x v="0"/>
    <m/>
    <x v="0"/>
    <m/>
    <x v="1"/>
    <m/>
    <m/>
    <m/>
    <s v="CPP20020821000118"/>
    <m/>
  </r>
  <r>
    <x v="1"/>
    <x v="2"/>
    <s v="America and Oceania"/>
    <s v="No Specific Relationship"/>
    <s v="N/A"/>
    <x v="2"/>
    <x v="4"/>
    <x v="11"/>
    <n v="8"/>
    <x v="3"/>
    <s v="Chi Haotian"/>
    <m/>
    <s v="Defense Minister; CMC Member"/>
    <n v="8"/>
    <x v="2"/>
    <s v="NDU CAPSTONE Delegation led by General (ret.) Robert Sennewald"/>
    <x v="0"/>
    <m/>
    <x v="0"/>
    <m/>
    <x v="1"/>
    <m/>
    <m/>
    <m/>
    <s v="CPP20020802000124"/>
    <m/>
  </r>
  <r>
    <x v="1"/>
    <x v="7"/>
    <s v="West Asia and Africa"/>
    <s v="No Specific Relationship"/>
    <s v="None"/>
    <x v="4"/>
    <x v="61"/>
    <x v="11"/>
    <n v="8"/>
    <x v="3"/>
    <s v="Fu Quanyou"/>
    <m/>
    <s v="GSD Commander; CMC Member"/>
    <n v="8"/>
    <x v="2"/>
    <s v="Army Commander"/>
    <x v="0"/>
    <m/>
    <x v="0"/>
    <m/>
    <x v="1"/>
    <m/>
    <m/>
    <m/>
    <s v="CPP20020807000105"/>
    <m/>
  </r>
  <r>
    <x v="1"/>
    <x v="10"/>
    <s v="America and Oceania"/>
    <s v="Comprehensive Partnership [全面伙伴关系]"/>
    <s v="Major Non-NATO Ally"/>
    <x v="5"/>
    <x v="62"/>
    <x v="11"/>
    <n v="9"/>
    <x v="3"/>
    <s v="Chi Haotian"/>
    <m/>
    <s v="Defense Minister; CMC Member"/>
    <n v="8"/>
    <x v="2"/>
    <s v="Chief of Staff"/>
    <x v="0"/>
    <m/>
    <x v="0"/>
    <m/>
    <x v="1"/>
    <m/>
    <m/>
    <m/>
    <s v="CPP20020903000148"/>
    <m/>
  </r>
  <r>
    <x v="1"/>
    <x v="8"/>
    <s v="Europe and Central Asia"/>
    <s v="No Specific Relationship"/>
    <s v="None"/>
    <x v="3"/>
    <x v="63"/>
    <x v="11"/>
    <n v="9"/>
    <x v="3"/>
    <s v="Zhang Wannian"/>
    <m/>
    <s v="CMC Vice Chairman"/>
    <n v="10"/>
    <x v="2"/>
    <s v="Chief of General Staff and Vice-Minister of Defense"/>
    <x v="0"/>
    <m/>
    <x v="0"/>
    <m/>
    <x v="1"/>
    <m/>
    <m/>
    <m/>
    <s v="CPP20020912000130; Xinhua 9-12-2002"/>
    <m/>
  </r>
  <r>
    <x v="1"/>
    <x v="7"/>
    <s v="West Asia and Africa"/>
    <s v="No Specific Relationship"/>
    <s v="None"/>
    <x v="4"/>
    <x v="64"/>
    <x v="11"/>
    <n v="9"/>
    <x v="4"/>
    <s v="Jiang Futang"/>
    <m/>
    <s v="Shenyang MR Political Commissar"/>
    <n v="6"/>
    <x v="1"/>
    <s v="Defense Minister"/>
    <x v="0"/>
    <m/>
    <x v="0"/>
    <m/>
    <x v="1"/>
    <m/>
    <m/>
    <m/>
    <s v="CPP20020909000069"/>
    <m/>
  </r>
  <r>
    <x v="1"/>
    <x v="7"/>
    <s v="West Asia and Africa"/>
    <s v="Friendly Cooperative Relationship [友好合作关系]"/>
    <s v="None"/>
    <x v="4"/>
    <x v="65"/>
    <x v="11"/>
    <n v="9"/>
    <x v="4"/>
    <s v="Jiang Futang"/>
    <m/>
    <s v="Shenyang MR Political Commissar"/>
    <n v="6"/>
    <x v="1"/>
    <s v="Defense Minister"/>
    <x v="0"/>
    <m/>
    <x v="0"/>
    <m/>
    <x v="1"/>
    <m/>
    <m/>
    <m/>
    <s v="CPP20020909000069"/>
    <m/>
  </r>
  <r>
    <x v="1"/>
    <x v="2"/>
    <s v="America and Oceania"/>
    <s v="Comprehensive Partnership [全面伙伴关系]"/>
    <s v="NATO"/>
    <x v="2"/>
    <x v="17"/>
    <x v="11"/>
    <n v="9"/>
    <x v="4"/>
    <s v="Chi Haotian"/>
    <m/>
    <s v="Defense Minister; CMC Member"/>
    <n v="8"/>
    <x v="1"/>
    <s v="Prime Minister"/>
    <x v="0"/>
    <m/>
    <x v="0"/>
    <m/>
    <x v="1"/>
    <m/>
    <m/>
    <m/>
    <s v="CPP20020911000059"/>
    <m/>
  </r>
  <r>
    <x v="1"/>
    <x v="10"/>
    <s v="America and Oceania"/>
    <s v="No Specific Relationship"/>
    <s v="None"/>
    <x v="5"/>
    <x v="66"/>
    <x v="11"/>
    <n v="9"/>
    <x v="3"/>
    <s v="Chi Haotian"/>
    <m/>
    <s v="Defense Minister; CMC Member"/>
    <n v="8"/>
    <x v="2"/>
    <s v="Vice Minister of Defense"/>
    <x v="0"/>
    <m/>
    <x v="0"/>
    <m/>
    <x v="1"/>
    <m/>
    <m/>
    <m/>
    <s v="CPP20020905000082"/>
    <m/>
  </r>
  <r>
    <x v="1"/>
    <x v="7"/>
    <s v="West Asia and Africa"/>
    <s v="No Specific Relationship"/>
    <s v="None"/>
    <x v="4"/>
    <x v="67"/>
    <x v="11"/>
    <n v="9"/>
    <x v="4"/>
    <s v="Jiang Futang"/>
    <m/>
    <s v="Shenyang MR Political Commissar"/>
    <n v="6"/>
    <x v="1"/>
    <s v="Defense Minister"/>
    <x v="0"/>
    <m/>
    <x v="0"/>
    <m/>
    <x v="1"/>
    <m/>
    <m/>
    <m/>
    <s v="CPP20020909000069"/>
    <m/>
  </r>
  <r>
    <x v="1"/>
    <x v="1"/>
    <s v="Asia"/>
    <s v="No Specific Relationship"/>
    <s v="None"/>
    <x v="0"/>
    <x v="8"/>
    <x v="11"/>
    <n v="9"/>
    <x v="4"/>
    <s v="Chi Haotian"/>
    <m/>
    <s v="Defense Minister; CMC Member"/>
    <n v="8"/>
    <x v="1"/>
    <s v="President"/>
    <x v="0"/>
    <m/>
    <x v="0"/>
    <m/>
    <x v="1"/>
    <m/>
    <m/>
    <m/>
    <s v="CPP20020919000110"/>
    <m/>
  </r>
  <r>
    <x v="1"/>
    <x v="1"/>
    <s v="Asia"/>
    <s v="No Specific Relationship"/>
    <s v="Bilateral Defense Treaty"/>
    <x v="0"/>
    <x v="11"/>
    <x v="11"/>
    <n v="9"/>
    <x v="3"/>
    <s v="Chi Haotian"/>
    <m/>
    <s v="Defense Minister; CMC Member"/>
    <n v="8"/>
    <x v="2"/>
    <s v="President"/>
    <x v="0"/>
    <m/>
    <x v="0"/>
    <m/>
    <x v="1"/>
    <m/>
    <m/>
    <m/>
    <s v="CPP20020928000069"/>
    <m/>
  </r>
  <r>
    <x v="1"/>
    <x v="5"/>
    <s v="America and Oceania"/>
    <s v="No Specific Relationship"/>
    <s v="ANZUS Treaty"/>
    <x v="0"/>
    <x v="12"/>
    <x v="11"/>
    <n v="10"/>
    <x v="3"/>
    <s v="Xiong Guangkai"/>
    <m/>
    <s v="GSD DCGS"/>
    <n v="6"/>
    <x v="2"/>
    <s v="Defense College Delegation led by Commander Jim Molan, President"/>
    <x v="0"/>
    <m/>
    <x v="0"/>
    <m/>
    <x v="1"/>
    <m/>
    <m/>
    <m/>
    <s v="CPP20021016000213"/>
    <m/>
  </r>
  <r>
    <x v="1"/>
    <x v="8"/>
    <s v="Europe and Central Asia"/>
    <s v="No Specific Relationship"/>
    <s v="NATO"/>
    <x v="3"/>
    <x v="68"/>
    <x v="11"/>
    <n v="10"/>
    <x v="3"/>
    <s v="Chi Haotian"/>
    <m/>
    <s v="Defense Minister; CMC Member"/>
    <n v="8"/>
    <x v="2"/>
    <s v="Defense Minister"/>
    <x v="0"/>
    <m/>
    <x v="0"/>
    <m/>
    <x v="1"/>
    <m/>
    <m/>
    <m/>
    <s v="CPP20021028000122"/>
    <m/>
  </r>
  <r>
    <x v="1"/>
    <x v="8"/>
    <s v="Europe and Central Asia"/>
    <s v="No Specific Relationship"/>
    <s v="NATO"/>
    <x v="3"/>
    <x v="35"/>
    <x v="11"/>
    <n v="10"/>
    <x v="3"/>
    <s v="Chi Haotian"/>
    <m/>
    <s v="Defense Minister; CMC Member"/>
    <n v="8"/>
    <x v="2"/>
    <s v="Parliamentary Speaker"/>
    <x v="0"/>
    <m/>
    <x v="0"/>
    <m/>
    <x v="1"/>
    <m/>
    <m/>
    <m/>
    <s v="CPP20021025000087"/>
    <m/>
  </r>
  <r>
    <x v="1"/>
    <x v="8"/>
    <s v="Europe and Central Asia"/>
    <s v="No Specific Relationship"/>
    <s v="NATO"/>
    <x v="3"/>
    <x v="20"/>
    <x v="11"/>
    <n v="10"/>
    <x v="3"/>
    <s v="Chi Haotian"/>
    <m/>
    <s v="Defense Minister; CMC Member"/>
    <n v="8"/>
    <x v="2"/>
    <s v="Vice Minister of Defense"/>
    <x v="0"/>
    <m/>
    <x v="0"/>
    <m/>
    <x v="1"/>
    <m/>
    <m/>
    <m/>
    <s v="CPP20021031000122"/>
    <m/>
  </r>
  <r>
    <x v="2"/>
    <x v="6"/>
    <s v="Europe and Central Asia"/>
    <s v="No Specific Relationship"/>
    <s v="None"/>
    <x v="1"/>
    <x v="31"/>
    <x v="11"/>
    <n v="10"/>
    <x v="5"/>
    <m/>
    <m/>
    <m/>
    <m/>
    <x v="0"/>
    <m/>
    <x v="1"/>
    <s v="Exercise-01"/>
    <x v="1"/>
    <m/>
    <x v="1"/>
    <m/>
    <m/>
    <m/>
    <s v="CPP20021010000274; de Haas Journal of Slavic Military Studies 29:3 (2016)"/>
    <s v="Under SCO auspices, but coded as Kyrgyzstan because it is a BL exercise."/>
  </r>
  <r>
    <x v="1"/>
    <x v="0"/>
    <s v="Asia"/>
    <s v="Strategic Partnership [战略伙伴关系]"/>
    <s v="Major Non-NATO Ally"/>
    <x v="1"/>
    <x v="2"/>
    <x v="11"/>
    <n v="10"/>
    <x v="3"/>
    <s v="Fu Quanyou"/>
    <m/>
    <s v="GSD Commander; CMC Member"/>
    <n v="8"/>
    <x v="2"/>
    <s v="Lieutenant General"/>
    <x v="0"/>
    <m/>
    <x v="0"/>
    <m/>
    <x v="1"/>
    <m/>
    <m/>
    <m/>
    <s v="CPP20021029000133"/>
    <m/>
  </r>
  <r>
    <x v="1"/>
    <x v="8"/>
    <s v="Europe and Central Asia"/>
    <s v="No Specific Relationship"/>
    <s v="NATO"/>
    <x v="3"/>
    <x v="33"/>
    <x v="11"/>
    <n v="10"/>
    <x v="3"/>
    <s v="Fu Quanyou"/>
    <m/>
    <s v="GSD Commander; CMC Member"/>
    <n v="8"/>
    <x v="2"/>
    <s v="General Inspector of Armed Forces"/>
    <x v="0"/>
    <m/>
    <x v="0"/>
    <m/>
    <x v="1"/>
    <m/>
    <m/>
    <m/>
    <s v="CPP20021015000073"/>
    <m/>
  </r>
  <r>
    <x v="1"/>
    <x v="4"/>
    <s v="Asia"/>
    <s v="Full-Scale Cooperative Partnership [全面合作伙伴关系]"/>
    <s v="Bilateral Defense Treaty"/>
    <x v="0"/>
    <x v="25"/>
    <x v="11"/>
    <n v="10"/>
    <x v="3"/>
    <s v="Fu Quanyou"/>
    <m/>
    <s v="GSD Commander; CMC Member"/>
    <n v="8"/>
    <x v="2"/>
    <s v="Defense Minister"/>
    <x v="0"/>
    <m/>
    <x v="0"/>
    <m/>
    <x v="1"/>
    <m/>
    <m/>
    <m/>
    <s v="CPP20021002000148"/>
    <m/>
  </r>
  <r>
    <x v="1"/>
    <x v="8"/>
    <s v="Europe and Central Asia"/>
    <s v="No Specific Relationship"/>
    <s v="NATO"/>
    <x v="3"/>
    <x v="21"/>
    <x v="11"/>
    <n v="10"/>
    <x v="3"/>
    <s v="Xiong Guangkai"/>
    <m/>
    <s v="GSD DCGS"/>
    <n v="6"/>
    <x v="2"/>
    <s v="Delegation from Royal College of Defense Studies led by LTG Sir Christopher Wallace"/>
    <x v="0"/>
    <m/>
    <x v="0"/>
    <m/>
    <x v="1"/>
    <m/>
    <m/>
    <m/>
    <s v="CPP20021017000141"/>
    <m/>
  </r>
  <r>
    <x v="1"/>
    <x v="2"/>
    <s v="America and Oceania"/>
    <s v="No Specific Relationship"/>
    <s v="N/A"/>
    <x v="2"/>
    <x v="4"/>
    <x v="11"/>
    <n v="10"/>
    <x v="3"/>
    <s v="Chi Haotian"/>
    <m/>
    <s v="Defense Minister; CMC Member"/>
    <n v="8"/>
    <x v="2"/>
    <s v="NDU President"/>
    <x v="0"/>
    <m/>
    <x v="0"/>
    <m/>
    <x v="1"/>
    <m/>
    <m/>
    <m/>
    <s v="CPP20021009000121"/>
    <m/>
  </r>
  <r>
    <x v="1"/>
    <x v="1"/>
    <s v="Asia"/>
    <s v="No Specific Relationship"/>
    <s v="None"/>
    <x v="0"/>
    <x v="23"/>
    <x v="11"/>
    <n v="10"/>
    <x v="3"/>
    <s v="Zhang Wannian"/>
    <m/>
    <s v="CMC Vice Chairman"/>
    <n v="10"/>
    <x v="2"/>
    <s v="Director of Vietnam Military GPD Le Van Dung"/>
    <x v="0"/>
    <m/>
    <x v="0"/>
    <m/>
    <x v="1"/>
    <m/>
    <m/>
    <m/>
    <s v="CPP20021016000203; Xinhua 10-16-2002"/>
    <m/>
  </r>
  <r>
    <x v="1"/>
    <x v="10"/>
    <s v="America and Oceania"/>
    <s v="No Specific Relationship"/>
    <s v="None"/>
    <x v="5"/>
    <x v="66"/>
    <x v="11"/>
    <n v="11"/>
    <x v="3"/>
    <s v="Chi Haotian"/>
    <m/>
    <s v="Defense Minister; CMC Member"/>
    <n v="8"/>
    <x v="2"/>
    <s v="Director of Armed Forces"/>
    <x v="0"/>
    <m/>
    <x v="0"/>
    <m/>
    <x v="1"/>
    <m/>
    <m/>
    <m/>
    <s v="CPP20021106000098"/>
    <m/>
  </r>
  <r>
    <x v="1"/>
    <x v="8"/>
    <s v="Europe and Central Asia"/>
    <s v="No Specific Relationship"/>
    <s v="NATO"/>
    <x v="3"/>
    <x v="35"/>
    <x v="11"/>
    <n v="11"/>
    <x v="3"/>
    <s v="Xiong Guangkai"/>
    <m/>
    <s v="GSD DCGS"/>
    <n v="6"/>
    <x v="2"/>
    <s v="Commander of Air Force"/>
    <x v="0"/>
    <m/>
    <x v="0"/>
    <m/>
    <x v="1"/>
    <m/>
    <m/>
    <m/>
    <s v="CPP20021121000151"/>
    <m/>
  </r>
  <r>
    <x v="1"/>
    <x v="0"/>
    <s v="Asia"/>
    <s v="No Specific Relationship"/>
    <s v="None"/>
    <x v="0"/>
    <x v="6"/>
    <x v="11"/>
    <n v="11"/>
    <x v="3"/>
    <s v="Liang Guanglie"/>
    <m/>
    <s v="GSD Commander; CMC Member"/>
    <n v="8"/>
    <x v="2"/>
    <s v="Commander in Chief"/>
    <x v="0"/>
    <m/>
    <x v="0"/>
    <m/>
    <x v="1"/>
    <m/>
    <m/>
    <m/>
    <s v="CPP20021125000151"/>
    <m/>
  </r>
  <r>
    <x v="1"/>
    <x v="7"/>
    <s v="West Asia and Africa"/>
    <s v="No Specific Relationship"/>
    <s v="None"/>
    <x v="4"/>
    <x v="69"/>
    <x v="11"/>
    <n v="11"/>
    <x v="3"/>
    <s v="Liang Guanglie"/>
    <m/>
    <s v="GSD Commander; CMC Member"/>
    <n v="8"/>
    <x v="2"/>
    <s v="Chief of General Staff"/>
    <x v="0"/>
    <m/>
    <x v="0"/>
    <m/>
    <x v="1"/>
    <m/>
    <m/>
    <m/>
    <s v="CPP20021129000065"/>
    <m/>
  </r>
  <r>
    <x v="1"/>
    <x v="4"/>
    <s v="Asia"/>
    <s v="Bilateral Defense Treaty"/>
    <s v="None"/>
    <x v="0"/>
    <x v="9"/>
    <x v="11"/>
    <n v="11"/>
    <x v="3"/>
    <s v="Chi Haotian"/>
    <m/>
    <s v="Defense Minister; CMC Member"/>
    <n v="8"/>
    <x v="2"/>
    <s v="KPA military foreign affairs delegation led by Sin Tong-Kun"/>
    <x v="0"/>
    <m/>
    <x v="0"/>
    <m/>
    <x v="1"/>
    <m/>
    <m/>
    <m/>
    <s v="KPP20021122000044"/>
    <m/>
  </r>
  <r>
    <x v="1"/>
    <x v="0"/>
    <s v="Asia"/>
    <s v="Strategic Partnership [战略伙伴关系]"/>
    <s v="Major Non-NATO Ally"/>
    <x v="1"/>
    <x v="2"/>
    <x v="11"/>
    <n v="11"/>
    <x v="3"/>
    <s v="Liang Guanglie"/>
    <m/>
    <s v="GSD Commander; CMC Member"/>
    <n v="8"/>
    <x v="2"/>
    <s v="Chief of General Staff"/>
    <x v="0"/>
    <m/>
    <x v="0"/>
    <m/>
    <x v="1"/>
    <m/>
    <m/>
    <m/>
    <s v="CPP20021223000048"/>
    <m/>
  </r>
  <r>
    <x v="1"/>
    <x v="1"/>
    <s v="Asia"/>
    <s v="No Specific Relationship"/>
    <s v="None"/>
    <x v="0"/>
    <x v="39"/>
    <x v="11"/>
    <n v="11"/>
    <x v="3"/>
    <s v="Chi Haotian"/>
    <m/>
    <s v="Defense Minister; CMC Member"/>
    <n v="8"/>
    <x v="2"/>
    <s v="Chief of Air Force"/>
    <x v="0"/>
    <m/>
    <x v="0"/>
    <m/>
    <x v="1"/>
    <m/>
    <m/>
    <m/>
    <s v="CPP20021106000121"/>
    <m/>
  </r>
  <r>
    <x v="1"/>
    <x v="7"/>
    <s v="West Asia and Africa"/>
    <s v="No Specific Relationship"/>
    <s v="None"/>
    <x v="4"/>
    <x v="15"/>
    <x v="11"/>
    <n v="11"/>
    <x v="3"/>
    <s v="Xiong Guangkai"/>
    <m/>
    <s v="GSD DCGS"/>
    <n v="6"/>
    <x v="2"/>
    <s v="Vice Admiral"/>
    <x v="0"/>
    <m/>
    <x v="0"/>
    <m/>
    <x v="1"/>
    <m/>
    <m/>
    <m/>
    <s v="CPP20021119000057"/>
    <m/>
  </r>
  <r>
    <x v="1"/>
    <x v="8"/>
    <s v="Europe and Central Asia"/>
    <s v="No Specific Relationship"/>
    <s v="NATO"/>
    <x v="3"/>
    <x v="70"/>
    <x v="11"/>
    <n v="11"/>
    <x v="3"/>
    <s v="Xiong Guangkai"/>
    <m/>
    <s v="GSD DCGS"/>
    <n v="6"/>
    <x v="2"/>
    <s v="Admiral Chief"/>
    <x v="0"/>
    <m/>
    <x v="0"/>
    <m/>
    <x v="1"/>
    <m/>
    <m/>
    <m/>
    <s v="CPP20021121000151"/>
    <m/>
  </r>
  <r>
    <x v="1"/>
    <x v="2"/>
    <s v="America and Oceania"/>
    <s v="No Specific Relationship"/>
    <s v="N/A"/>
    <x v="2"/>
    <x v="4"/>
    <x v="11"/>
    <n v="11"/>
    <x v="3"/>
    <s v="Chi Haotian"/>
    <m/>
    <s v="Defense Minister; CMC Member"/>
    <n v="8"/>
    <x v="2"/>
    <s v="Former Official"/>
    <x v="0"/>
    <m/>
    <x v="0"/>
    <m/>
    <x v="1"/>
    <m/>
    <m/>
    <m/>
    <s v="CPP20021122000080"/>
    <m/>
  </r>
  <r>
    <x v="1"/>
    <x v="7"/>
    <s v="West Asia and Africa"/>
    <s v="Comprehensive Strategic Cooperative Partnership [全面战略合作伙伴关系]"/>
    <s v="None"/>
    <x v="4"/>
    <x v="71"/>
    <x v="11"/>
    <n v="12"/>
    <x v="3"/>
    <s v="Chi Haotian"/>
    <m/>
    <s v="Defense Minister; CMC Member"/>
    <n v="8"/>
    <x v="2"/>
    <s v="Defense Minister"/>
    <x v="0"/>
    <m/>
    <x v="0"/>
    <m/>
    <x v="1"/>
    <m/>
    <m/>
    <m/>
    <s v="CPP20021225000074"/>
    <m/>
  </r>
  <r>
    <x v="1"/>
    <x v="9"/>
    <s v="West Asia and Africa"/>
    <s v="No Specific Relationship"/>
    <s v="Major Non-NATO Ally"/>
    <x v="1"/>
    <x v="72"/>
    <x v="11"/>
    <n v="12"/>
    <x v="3"/>
    <s v="Cao Gangchuan"/>
    <m/>
    <s v="CMC Vice Chairman; Defense Minister"/>
    <n v="10"/>
    <x v="2"/>
    <s v="COGS Alimohammad Al-Mumen"/>
    <x v="0"/>
    <m/>
    <x v="0"/>
    <m/>
    <x v="1"/>
    <m/>
    <m/>
    <m/>
    <s v="CPP20021220000085; Xinhua 12-20-2002"/>
    <m/>
  </r>
  <r>
    <x v="1"/>
    <x v="1"/>
    <s v="Asia"/>
    <s v="No Specific Relationship"/>
    <s v="None"/>
    <x v="0"/>
    <x v="52"/>
    <x v="11"/>
    <n v="12"/>
    <x v="3"/>
    <s v="Chi Haotian"/>
    <m/>
    <s v="Defense Minister; CMC Member"/>
    <n v="8"/>
    <x v="2"/>
    <s v="Defense Minister"/>
    <x v="0"/>
    <m/>
    <x v="0"/>
    <m/>
    <x v="1"/>
    <m/>
    <m/>
    <m/>
    <s v="CPP20021217000063"/>
    <m/>
  </r>
  <r>
    <x v="1"/>
    <x v="4"/>
    <s v="Asia"/>
    <s v="No Specific Relationship"/>
    <s v="None"/>
    <x v="0"/>
    <x v="53"/>
    <x v="11"/>
    <n v="12"/>
    <x v="3"/>
    <s v="Chi Haotian"/>
    <m/>
    <s v="Defense Minister; CMC Member"/>
    <n v="8"/>
    <x v="2"/>
    <s v="Defense Minister"/>
    <x v="0"/>
    <m/>
    <x v="0"/>
    <m/>
    <x v="1"/>
    <m/>
    <m/>
    <m/>
    <s v="CPP20021219000120"/>
    <m/>
  </r>
  <r>
    <x v="1"/>
    <x v="1"/>
    <s v="Asia"/>
    <s v="No Specific Relationship"/>
    <s v="None"/>
    <x v="0"/>
    <x v="1"/>
    <x v="11"/>
    <n v="12"/>
    <x v="3"/>
    <s v="Cao Gangchuan"/>
    <m/>
    <s v="CMC Vice Chairman; Defense Minister"/>
    <n v="10"/>
    <x v="2"/>
    <s v="COGS Thura Shwe Mann"/>
    <x v="0"/>
    <m/>
    <x v="0"/>
    <m/>
    <x v="1"/>
    <m/>
    <m/>
    <m/>
    <s v="CPP20021205000123; Xinhua 12-5-2002"/>
    <m/>
  </r>
  <r>
    <x v="1"/>
    <x v="7"/>
    <s v="West Asia and Africa"/>
    <s v="No Specific Relationship"/>
    <s v="None"/>
    <x v="4"/>
    <x v="36"/>
    <x v="11"/>
    <n v="12"/>
    <x v="3"/>
    <s v="Chi Haotian"/>
    <m/>
    <s v="Defense Minister; CMC Member"/>
    <n v="8"/>
    <x v="2"/>
    <s v="Defense Minister"/>
    <x v="0"/>
    <m/>
    <x v="0"/>
    <m/>
    <x v="1"/>
    <m/>
    <m/>
    <m/>
    <s v="CPP20021226000094"/>
    <m/>
  </r>
  <r>
    <x v="1"/>
    <x v="8"/>
    <s v="Europe and Central Asia"/>
    <s v="No Specific Relationship"/>
    <s v="NATO"/>
    <x v="3"/>
    <x v="33"/>
    <x v="11"/>
    <n v="12"/>
    <x v="3"/>
    <s v="Cao Gangchuan"/>
    <m/>
    <s v="CMC Vice Chairman; Defense Minister"/>
    <n v="10"/>
    <x v="2"/>
    <s v="COGS Mihail Popescu"/>
    <x v="0"/>
    <m/>
    <x v="0"/>
    <m/>
    <x v="1"/>
    <m/>
    <m/>
    <m/>
    <s v="CPP20021210000061; Xinhua 12-10-2002"/>
    <m/>
  </r>
  <r>
    <x v="1"/>
    <x v="3"/>
    <s v="Europe and Central Asia"/>
    <s v="Strategic Partnership of Coordination [战略协作伙伴关系]"/>
    <s v="None"/>
    <x v="3"/>
    <x v="7"/>
    <x v="11"/>
    <n v="12"/>
    <x v="3"/>
    <s v="Chi Haotian"/>
    <m/>
    <s v="Defense Minister; CMC Member"/>
    <n v="8"/>
    <x v="2"/>
    <s v="Chief of General Staff"/>
    <x v="0"/>
    <m/>
    <x v="0"/>
    <m/>
    <x v="1"/>
    <m/>
    <m/>
    <m/>
    <s v="CPP20021217000127"/>
    <m/>
  </r>
  <r>
    <x v="1"/>
    <x v="6"/>
    <s v="Europe and Central Asia"/>
    <s v="No Specific Relationship"/>
    <s v="None"/>
    <x v="1"/>
    <x v="55"/>
    <x v="11"/>
    <n v="12"/>
    <x v="3"/>
    <s v="Chi Haotian"/>
    <m/>
    <s v="Defense Minister; CMC Member"/>
    <n v="8"/>
    <x v="2"/>
    <s v="Vice Premier"/>
    <x v="0"/>
    <m/>
    <x v="0"/>
    <m/>
    <x v="1"/>
    <m/>
    <m/>
    <m/>
    <s v="CPP20021220000186"/>
    <m/>
  </r>
  <r>
    <x v="1"/>
    <x v="2"/>
    <s v="America and Oceania"/>
    <s v="No Specific Relationship"/>
    <s v="N/A"/>
    <x v="2"/>
    <x v="4"/>
    <x v="11"/>
    <n v="12"/>
    <x v="3"/>
    <s v="Liang Guanglie"/>
    <m/>
    <s v="GSD Commander; CMC Member"/>
    <n v="8"/>
    <x v="2"/>
    <s v="Deputy Secretary of State"/>
    <x v="0"/>
    <m/>
    <x v="0"/>
    <m/>
    <x v="1"/>
    <m/>
    <m/>
    <m/>
    <s v="CPP20021211000135"/>
    <m/>
  </r>
  <r>
    <x v="1"/>
    <x v="2"/>
    <s v="America and Oceania"/>
    <s v="No Specific Relationship"/>
    <s v="N/A"/>
    <x v="2"/>
    <x v="4"/>
    <x v="11"/>
    <n v="12"/>
    <x v="4"/>
    <s v="Xiong Guangkai"/>
    <m/>
    <s v="GSD DCGS"/>
    <n v="6"/>
    <x v="1"/>
    <s v="Admiral"/>
    <x v="0"/>
    <m/>
    <x v="0"/>
    <m/>
    <x v="1"/>
    <m/>
    <m/>
    <m/>
    <s v="CPP20021205000029"/>
    <m/>
  </r>
  <r>
    <x v="1"/>
    <x v="6"/>
    <s v="Europe and Central Asia"/>
    <s v="No Specific Relationship"/>
    <s v="None"/>
    <x v="1"/>
    <x v="73"/>
    <x v="11"/>
    <n v="12"/>
    <x v="4"/>
    <s v="Chi Haotian"/>
    <m/>
    <s v="Defense Minister; CMC Member"/>
    <n v="8"/>
    <x v="1"/>
    <s v="Defense Minister"/>
    <x v="0"/>
    <m/>
    <x v="0"/>
    <m/>
    <x v="1"/>
    <m/>
    <m/>
    <m/>
    <s v="CPP20021224000019"/>
    <m/>
  </r>
  <r>
    <x v="0"/>
    <x v="8"/>
    <s v="Europe "/>
    <s v="No Specific Relationship"/>
    <s v="NATO"/>
    <x v="3"/>
    <x v="22"/>
    <x v="11"/>
    <m/>
    <x v="0"/>
    <m/>
    <m/>
    <m/>
    <m/>
    <x v="0"/>
    <m/>
    <x v="0"/>
    <m/>
    <x v="0"/>
    <m/>
    <x v="0"/>
    <m/>
    <m/>
    <m/>
    <m/>
    <m/>
  </r>
  <r>
    <x v="1"/>
    <x v="8"/>
    <s v="Europe and Central Asia"/>
    <s v="No Specific Relationship"/>
    <s v="NATO"/>
    <x v="3"/>
    <x v="20"/>
    <x v="12"/>
    <n v="1"/>
    <x v="3"/>
    <s v="Liang Guanglie"/>
    <m/>
    <s v="GSD Commander; CMC Member"/>
    <n v="8"/>
    <x v="2"/>
    <s v="Army Chief of Staff"/>
    <x v="0"/>
    <m/>
    <x v="0"/>
    <m/>
    <x v="1"/>
    <m/>
    <m/>
    <m/>
    <s v="Defense White Paper Appendix"/>
    <m/>
  </r>
  <r>
    <x v="1"/>
    <x v="10"/>
    <s v="America and Oceania"/>
    <s v="Comprehensive Partnership [全面伙伴关系]"/>
    <s v="Major Non-NATO Ally"/>
    <x v="5"/>
    <x v="62"/>
    <x v="12"/>
    <n v="2"/>
    <x v="4"/>
    <s v="Xiong Guangkai"/>
    <m/>
    <s v="GSD DCGS"/>
    <n v="6"/>
    <x v="1"/>
    <m/>
    <x v="0"/>
    <m/>
    <x v="0"/>
    <m/>
    <x v="1"/>
    <m/>
    <m/>
    <m/>
    <s v="Defense White Paper Appendix"/>
    <m/>
  </r>
  <r>
    <x v="1"/>
    <x v="10"/>
    <s v="America and Oceania"/>
    <s v="Strategic Partnership [战略伙伴关系]"/>
    <s v="None"/>
    <x v="5"/>
    <x v="43"/>
    <x v="12"/>
    <n v="2"/>
    <x v="4"/>
    <s v="Xiong Guangkai"/>
    <m/>
    <s v="GSD DCGS"/>
    <n v="6"/>
    <x v="1"/>
    <m/>
    <x v="0"/>
    <m/>
    <x v="0"/>
    <m/>
    <x v="1"/>
    <m/>
    <m/>
    <m/>
    <s v="Defense White Paper Appendix"/>
    <m/>
  </r>
  <r>
    <x v="1"/>
    <x v="10"/>
    <s v="America and Oceania"/>
    <s v="No Specific Relationship"/>
    <s v="None"/>
    <x v="5"/>
    <x v="66"/>
    <x v="12"/>
    <n v="2"/>
    <x v="4"/>
    <s v="Xiong Guangkai"/>
    <m/>
    <s v="GSD DCGS"/>
    <n v="6"/>
    <x v="1"/>
    <m/>
    <x v="0"/>
    <m/>
    <x v="0"/>
    <m/>
    <x v="1"/>
    <m/>
    <m/>
    <m/>
    <s v="Defense White Paper Appendix"/>
    <m/>
  </r>
  <r>
    <x v="1"/>
    <x v="9"/>
    <s v="West Asia and Africa"/>
    <s v="Strategic Cooperative Partnership [战略合作伙伴关系]"/>
    <s v="Major Non-NATO Ally"/>
    <x v="1"/>
    <x v="24"/>
    <x v="12"/>
    <n v="2"/>
    <x v="4"/>
    <s v="Liu Shunyao"/>
    <m/>
    <s v="PLAAF Commander"/>
    <n v="8"/>
    <x v="1"/>
    <m/>
    <x v="0"/>
    <m/>
    <x v="0"/>
    <m/>
    <x v="1"/>
    <m/>
    <m/>
    <m/>
    <s v="Defense White Paper Appendix"/>
    <m/>
  </r>
  <r>
    <x v="1"/>
    <x v="7"/>
    <s v="West Asia and Africa"/>
    <s v="No Specific Relationship"/>
    <s v="None"/>
    <x v="4"/>
    <x v="74"/>
    <x v="12"/>
    <n v="2"/>
    <x v="4"/>
    <s v="Liu Shunyao"/>
    <m/>
    <s v="PLAAF Commander"/>
    <n v="8"/>
    <x v="1"/>
    <m/>
    <x v="0"/>
    <m/>
    <x v="0"/>
    <m/>
    <x v="1"/>
    <m/>
    <m/>
    <m/>
    <s v="Defense White Paper Appendix"/>
    <m/>
  </r>
  <r>
    <x v="1"/>
    <x v="10"/>
    <s v="America and Oceania"/>
    <s v="No Specific Relationship"/>
    <s v="None"/>
    <x v="5"/>
    <x v="49"/>
    <x v="12"/>
    <n v="3"/>
    <x v="4"/>
    <s v="Xiong Guangkai"/>
    <m/>
    <s v="GSD DCGS"/>
    <n v="6"/>
    <x v="1"/>
    <m/>
    <x v="0"/>
    <m/>
    <x v="0"/>
    <m/>
    <x v="1"/>
    <m/>
    <m/>
    <m/>
    <s v="Defense White Paper Appendix"/>
    <m/>
  </r>
  <r>
    <x v="1"/>
    <x v="4"/>
    <s v="Asia"/>
    <s v="Comprehensive Cooperative Partnership [全面合作伙伴关系]"/>
    <s v="Bilateral Defense Treaty"/>
    <x v="0"/>
    <x v="25"/>
    <x v="12"/>
    <n v="3"/>
    <x v="4"/>
    <s v="Xiong Guangkai"/>
    <m/>
    <s v="GSD DCGS"/>
    <n v="6"/>
    <x v="1"/>
    <m/>
    <x v="0"/>
    <m/>
    <x v="0"/>
    <m/>
    <x v="1"/>
    <m/>
    <m/>
    <m/>
    <s v="Defense White Paper Appendix"/>
    <m/>
  </r>
  <r>
    <x v="1"/>
    <x v="10"/>
    <s v="America and Oceania"/>
    <s v="No Specific Relationship"/>
    <s v="None"/>
    <x v="5"/>
    <x v="75"/>
    <x v="12"/>
    <n v="3"/>
    <x v="4"/>
    <s v="Xiong Guangkai"/>
    <m/>
    <s v="GSD DCGS"/>
    <n v="6"/>
    <x v="1"/>
    <m/>
    <x v="0"/>
    <m/>
    <x v="0"/>
    <m/>
    <x v="1"/>
    <m/>
    <m/>
    <m/>
    <s v="Defense White Paper Appendix"/>
    <m/>
  </r>
  <r>
    <x v="1"/>
    <x v="7"/>
    <s v="West Asia and Africa"/>
    <s v="No Specific Relationship"/>
    <s v="None"/>
    <x v="4"/>
    <x v="76"/>
    <x v="12"/>
    <n v="4"/>
    <x v="4"/>
    <s v="Liu Yongzhi"/>
    <m/>
    <s v="PLAN Political Commissar"/>
    <n v="6"/>
    <x v="1"/>
    <m/>
    <x v="0"/>
    <m/>
    <x v="0"/>
    <m/>
    <x v="1"/>
    <m/>
    <m/>
    <m/>
    <s v="Defense White Paper Appendix"/>
    <m/>
  </r>
  <r>
    <x v="1"/>
    <x v="8"/>
    <s v="Europe and Central Asia"/>
    <s v="Comprehensive Cooperative Partnership [全面合作伙伴关系]"/>
    <s v="None"/>
    <x v="3"/>
    <x v="34"/>
    <x v="12"/>
    <n v="4"/>
    <x v="3"/>
    <s v="Li Jinai"/>
    <m/>
    <s v="GAD Director; CMC Member"/>
    <n v="8"/>
    <x v="2"/>
    <s v="COGS "/>
    <x v="0"/>
    <m/>
    <x v="0"/>
    <m/>
    <x v="1"/>
    <m/>
    <m/>
    <m/>
    <s v="Defense White Paper Appendix"/>
    <m/>
  </r>
  <r>
    <x v="1"/>
    <x v="0"/>
    <s v="Asia"/>
    <s v="Comprehensive Cooperative Partnership [全面合作伙伴关系]"/>
    <s v="None"/>
    <x v="0"/>
    <x v="6"/>
    <x v="12"/>
    <n v="4"/>
    <x v="3"/>
    <s v="Cao Gangchuan"/>
    <m/>
    <s v="CMC Vice Chairman; Defense Minister"/>
    <n v="10"/>
    <x v="2"/>
    <s v="Defense Minister"/>
    <x v="0"/>
    <m/>
    <x v="0"/>
    <m/>
    <x v="1"/>
    <m/>
    <m/>
    <m/>
    <s v="Defense White Paper Appendix"/>
    <s v="Cao was defense minister at time of this visit"/>
  </r>
  <r>
    <x v="1"/>
    <x v="2"/>
    <s v="America and Oceania"/>
    <s v="Strategic Cooperative Partnership [战略合作伙伴关系]"/>
    <s v="None"/>
    <x v="2"/>
    <x v="77"/>
    <x v="12"/>
    <n v="4"/>
    <x v="4"/>
    <s v="Liu Yongzhi"/>
    <m/>
    <s v="PLAN Political Commissar"/>
    <n v="6"/>
    <x v="1"/>
    <m/>
    <x v="0"/>
    <m/>
    <x v="0"/>
    <m/>
    <x v="1"/>
    <m/>
    <m/>
    <m/>
    <s v="Defense White Paper Appendix"/>
    <m/>
  </r>
  <r>
    <x v="1"/>
    <x v="4"/>
    <s v="Asia"/>
    <s v="No Specific Relationship"/>
    <s v="None"/>
    <x v="0"/>
    <x v="53"/>
    <x v="12"/>
    <n v="4"/>
    <x v="3"/>
    <s v="Xiong Guangkai"/>
    <m/>
    <s v="GSD DCGS"/>
    <n v="6"/>
    <x v="2"/>
    <s v="Chief of General Department of Border"/>
    <x v="0"/>
    <m/>
    <x v="0"/>
    <m/>
    <x v="1"/>
    <m/>
    <m/>
    <m/>
    <s v="Defense White Paper Appendix"/>
    <m/>
  </r>
  <r>
    <x v="1"/>
    <x v="4"/>
    <s v="Asia"/>
    <s v="Bilateral Defense Treaty"/>
    <s v="None"/>
    <x v="0"/>
    <x v="9"/>
    <x v="12"/>
    <n v="4"/>
    <x v="3"/>
    <s v="Guo Boxiong"/>
    <m/>
    <s v="CMC Vice Chairman"/>
    <n v="10"/>
    <x v="2"/>
    <s v="First Vice-Chairman of DPRK National Defense Commission "/>
    <x v="0"/>
    <m/>
    <x v="0"/>
    <m/>
    <x v="1"/>
    <m/>
    <m/>
    <m/>
    <s v="Defense White Paper Appendix"/>
    <m/>
  </r>
  <r>
    <x v="1"/>
    <x v="8"/>
    <s v="Europe and Central Asia"/>
    <s v="No Specific Relationship"/>
    <s v="None"/>
    <x v="3"/>
    <x v="78"/>
    <x v="12"/>
    <n v="4"/>
    <x v="3"/>
    <s v="Xiong Guangkai"/>
    <m/>
    <s v="GSD DCGS"/>
    <n v="6"/>
    <x v="2"/>
    <s v="Defense Minister"/>
    <x v="0"/>
    <m/>
    <x v="0"/>
    <m/>
    <x v="1"/>
    <m/>
    <m/>
    <m/>
    <s v="Defense White Paper Appendix"/>
    <m/>
  </r>
  <r>
    <x v="1"/>
    <x v="8"/>
    <s v="Europe and Central Asia"/>
    <s v="No Specific Relationship"/>
    <s v="NATO"/>
    <x v="3"/>
    <x v="79"/>
    <x v="12"/>
    <n v="5"/>
    <x v="3"/>
    <s v="Cao Gangchuan"/>
    <m/>
    <s v="CMC Vice Chairman; Defense Minister"/>
    <n v="10"/>
    <x v="2"/>
    <s v="Defense Minister"/>
    <x v="0"/>
    <m/>
    <x v="0"/>
    <m/>
    <x v="1"/>
    <m/>
    <m/>
    <m/>
    <s v="Defense White Paper Appendix"/>
    <m/>
  </r>
  <r>
    <x v="1"/>
    <x v="2"/>
    <s v="America and Oceania"/>
    <s v="Comprehensive Partnership [全面伙伴关系]"/>
    <s v="NATO"/>
    <x v="2"/>
    <x v="17"/>
    <x v="12"/>
    <n v="5"/>
    <x v="3"/>
    <s v="Cao Gangchuan"/>
    <m/>
    <s v="CMC Vice Chairman; Defense Minister"/>
    <n v="10"/>
    <x v="2"/>
    <s v="Defense Minister"/>
    <x v="0"/>
    <m/>
    <x v="0"/>
    <m/>
    <x v="1"/>
    <m/>
    <m/>
    <m/>
    <s v="Defense White Paper Appendix"/>
    <m/>
  </r>
  <r>
    <x v="1"/>
    <x v="10"/>
    <s v="America and Oceania"/>
    <s v="No Specific Relationship"/>
    <s v="None"/>
    <x v="5"/>
    <x v="66"/>
    <x v="12"/>
    <n v="5"/>
    <x v="3"/>
    <s v="Cao Gangchuan"/>
    <m/>
    <s v="CMC Vice Chairman; Defense Minister"/>
    <n v="10"/>
    <x v="2"/>
    <s v="CinC Navy"/>
    <x v="0"/>
    <m/>
    <x v="0"/>
    <m/>
    <x v="1"/>
    <m/>
    <m/>
    <m/>
    <s v="Defense White Paper Appendix"/>
    <m/>
  </r>
  <r>
    <x v="1"/>
    <x v="7"/>
    <s v="West Asia and Africa"/>
    <s v="No Specific Relationship"/>
    <s v="None"/>
    <x v="4"/>
    <x v="28"/>
    <x v="12"/>
    <n v="5"/>
    <x v="3"/>
    <s v="Cao Gangchuan"/>
    <m/>
    <s v="CMC Vice Chairman; Defense Minister"/>
    <n v="10"/>
    <x v="2"/>
    <s v="Minister Delegate in the Presidency in Charge of National Defense"/>
    <x v="0"/>
    <m/>
    <x v="0"/>
    <m/>
    <x v="1"/>
    <m/>
    <m/>
    <m/>
    <s v="Defense White Paper Appendix"/>
    <m/>
  </r>
  <r>
    <x v="1"/>
    <x v="8"/>
    <s v="Europe and Central Asia"/>
    <s v="Comprehensive Partnership [全面伙伴关系]"/>
    <s v="NATO"/>
    <x v="3"/>
    <x v="22"/>
    <x v="12"/>
    <n v="5"/>
    <x v="3"/>
    <s v="Cao Gangchuan"/>
    <m/>
    <s v="CMC Vice Chairman; Defense Minister"/>
    <n v="10"/>
    <x v="2"/>
    <s v="Defense Minister"/>
    <x v="0"/>
    <m/>
    <x v="0"/>
    <m/>
    <x v="1"/>
    <m/>
    <m/>
    <m/>
    <s v="Defense White Paper Appendix"/>
    <m/>
  </r>
  <r>
    <x v="1"/>
    <x v="8"/>
    <s v="Europe and Central Asia"/>
    <s v="Comprehensive Partnership [全面伙伴关系]"/>
    <s v="NATO"/>
    <x v="3"/>
    <x v="22"/>
    <x v="12"/>
    <n v="5"/>
    <x v="4"/>
    <s v="Xiong Guangkai"/>
    <m/>
    <s v="GSD DCGS"/>
    <n v="6"/>
    <x v="1"/>
    <m/>
    <x v="0"/>
    <m/>
    <x v="0"/>
    <m/>
    <x v="1"/>
    <m/>
    <m/>
    <m/>
    <s v="Defense White Paper Appendix"/>
    <m/>
  </r>
  <r>
    <x v="1"/>
    <x v="6"/>
    <s v="Europe and Central Asia"/>
    <s v="Comprehensive Cooperative Partnership [全面合作伙伴关系]"/>
    <s v="None"/>
    <x v="1"/>
    <x v="30"/>
    <x v="12"/>
    <n v="5"/>
    <x v="3"/>
    <s v="Cao Gangchuan"/>
    <m/>
    <s v="CMC Vice Chairman; Defense Minister"/>
    <n v="10"/>
    <x v="2"/>
    <m/>
    <x v="0"/>
    <m/>
    <x v="0"/>
    <m/>
    <x v="1"/>
    <m/>
    <m/>
    <m/>
    <s v="Defense White Paper Appendix"/>
    <m/>
  </r>
  <r>
    <x v="1"/>
    <x v="6"/>
    <s v="Europe and Central Asia"/>
    <s v="No Specific Relationship"/>
    <s v="None"/>
    <x v="1"/>
    <x v="31"/>
    <x v="12"/>
    <n v="5"/>
    <x v="3"/>
    <s v="Cao Gangchuan"/>
    <m/>
    <s v="CMC Vice Chairman; Defense Minister"/>
    <n v="10"/>
    <x v="2"/>
    <m/>
    <x v="0"/>
    <m/>
    <x v="0"/>
    <m/>
    <x v="1"/>
    <m/>
    <m/>
    <m/>
    <s v="Defense White Paper Appendix"/>
    <m/>
  </r>
  <r>
    <x v="1"/>
    <x v="7"/>
    <s v="West Asia and Africa"/>
    <s v="No Specific Relationship"/>
    <s v="Major Non-NATO Ally"/>
    <x v="4"/>
    <x v="27"/>
    <x v="12"/>
    <n v="5"/>
    <x v="4"/>
    <s v="Liang Guanglie"/>
    <m/>
    <s v="GSD Commander; CMC Member"/>
    <n v="8"/>
    <x v="1"/>
    <m/>
    <x v="0"/>
    <m/>
    <x v="0"/>
    <m/>
    <x v="1"/>
    <m/>
    <m/>
    <m/>
    <s v="Defense White Paper Appendix"/>
    <m/>
  </r>
  <r>
    <x v="1"/>
    <x v="3"/>
    <s v="Europe and Central Asia"/>
    <s v="Strategic Partnership of Coordination [战略协作伙伴关系]"/>
    <s v="None"/>
    <x v="3"/>
    <x v="7"/>
    <x v="12"/>
    <n v="5"/>
    <x v="3"/>
    <s v="Cao Gangchuan"/>
    <m/>
    <s v="CMC Vice Chairman; Defense Minister"/>
    <n v="10"/>
    <x v="2"/>
    <s v="Russian Ambassador to China"/>
    <x v="0"/>
    <m/>
    <x v="0"/>
    <m/>
    <x v="1"/>
    <m/>
    <m/>
    <m/>
    <s v="Defense White Paper Appendix"/>
    <m/>
  </r>
  <r>
    <x v="1"/>
    <x v="3"/>
    <s v="Europe and Central Asia"/>
    <s v="Strategic Partnership of Coordination [战略协作伙伴关系]"/>
    <s v="None"/>
    <x v="3"/>
    <x v="7"/>
    <x v="12"/>
    <n v="5"/>
    <x v="4"/>
    <s v="Cao Gangchuan"/>
    <m/>
    <s v="CMC Vice Chairman; Defense Minister"/>
    <n v="8"/>
    <x v="1"/>
    <m/>
    <x v="0"/>
    <m/>
    <x v="0"/>
    <m/>
    <x v="1"/>
    <m/>
    <m/>
    <m/>
    <s v="Defense White Paper Appendix"/>
    <m/>
  </r>
  <r>
    <x v="1"/>
    <x v="6"/>
    <s v="Europe and Central Asia"/>
    <s v="Member"/>
    <s v="None"/>
    <x v="1"/>
    <x v="14"/>
    <x v="12"/>
    <n v="5"/>
    <x v="1"/>
    <s v="Cao Gangchuan"/>
    <m/>
    <s v="CMC Vice Chairman; Defense Minister"/>
    <n v="8"/>
    <x v="2"/>
    <s v="Third official meeting of the SCO Ministers' of Defense in Moscow; Other countries: Kazakhstan, Kyrgyztan, Russia, Tajikistan, Uzbekistan"/>
    <x v="0"/>
    <m/>
    <x v="0"/>
    <m/>
    <x v="1"/>
    <m/>
    <m/>
    <m/>
    <s v="http://cc.pacforum.org/2003/10/russian-chinese-oil-politik/"/>
    <m/>
  </r>
  <r>
    <x v="1"/>
    <x v="7"/>
    <s v="West Asia and Africa"/>
    <s v="No Specific Relationship"/>
    <s v="None"/>
    <x v="4"/>
    <x v="15"/>
    <x v="12"/>
    <n v="5"/>
    <x v="4"/>
    <s v="Liang Guanglie"/>
    <m/>
    <s v="GSD Commander; CMC Member"/>
    <n v="8"/>
    <x v="1"/>
    <m/>
    <x v="0"/>
    <m/>
    <x v="0"/>
    <m/>
    <x v="1"/>
    <m/>
    <m/>
    <m/>
    <s v="Defense White Paper Appendix"/>
    <m/>
  </r>
  <r>
    <x v="1"/>
    <x v="6"/>
    <s v="Europe and Central Asia"/>
    <s v="No Specific Relationship"/>
    <s v="None"/>
    <x v="1"/>
    <x v="60"/>
    <x v="12"/>
    <n v="5"/>
    <x v="3"/>
    <s v="Cao Gangchuan"/>
    <m/>
    <s v="CMC Vice Chairman; Defense Minister"/>
    <n v="10"/>
    <x v="2"/>
    <m/>
    <x v="0"/>
    <m/>
    <x v="0"/>
    <m/>
    <x v="1"/>
    <m/>
    <m/>
    <m/>
    <s v="Defense White Paper Appendix"/>
    <m/>
  </r>
  <r>
    <x v="1"/>
    <x v="7"/>
    <s v="West Asia and Africa"/>
    <s v="No Specific Relationship"/>
    <s v="None"/>
    <x v="4"/>
    <x v="16"/>
    <x v="12"/>
    <n v="5"/>
    <x v="4"/>
    <s v="Liang Guanglie"/>
    <m/>
    <s v="GSD Commander; CMC Member"/>
    <n v="8"/>
    <x v="1"/>
    <m/>
    <x v="0"/>
    <m/>
    <x v="0"/>
    <m/>
    <x v="1"/>
    <m/>
    <m/>
    <m/>
    <s v="Defense White Paper Appendix"/>
    <m/>
  </r>
  <r>
    <x v="1"/>
    <x v="2"/>
    <s v="America and Oceania"/>
    <s v="No Specific Relationship"/>
    <s v="N/A"/>
    <x v="2"/>
    <x v="4"/>
    <x v="12"/>
    <n v="5"/>
    <x v="4"/>
    <s v="Xu Caihou"/>
    <m/>
    <s v="GPD Director; CMC Member"/>
    <n v="8"/>
    <x v="1"/>
    <m/>
    <x v="0"/>
    <m/>
    <x v="0"/>
    <m/>
    <x v="1"/>
    <m/>
    <m/>
    <m/>
    <s v="Defense White Paper Appendix"/>
    <m/>
  </r>
  <r>
    <x v="1"/>
    <x v="7"/>
    <s v="West Asia and Africa"/>
    <s v="No Specific Relationship"/>
    <s v="None"/>
    <x v="4"/>
    <x v="61"/>
    <x v="12"/>
    <n v="5"/>
    <x v="3"/>
    <s v="Cao Gangchuan"/>
    <m/>
    <s v="CMC Vice Chairman; Defense Minister"/>
    <n v="10"/>
    <x v="2"/>
    <s v="Permanent Secretary of Ministry of Defense"/>
    <x v="0"/>
    <m/>
    <x v="0"/>
    <m/>
    <x v="1"/>
    <m/>
    <m/>
    <m/>
    <s v="Defense White Paper Appendix"/>
    <m/>
  </r>
  <r>
    <x v="1"/>
    <x v="7"/>
    <s v="West Asia and Africa"/>
    <s v="No Specific Relationship"/>
    <s v="None"/>
    <x v="4"/>
    <x v="80"/>
    <x v="12"/>
    <n v="7"/>
    <x v="3"/>
    <s v="Liang Guanglie"/>
    <m/>
    <s v="GSD Commander; CMC Member"/>
    <n v="8"/>
    <x v="2"/>
    <s v="COGS Guinean Armed Forces"/>
    <x v="0"/>
    <m/>
    <x v="0"/>
    <m/>
    <x v="1"/>
    <m/>
    <m/>
    <m/>
    <s v="Defense White Paper Appendix"/>
    <m/>
  </r>
  <r>
    <x v="1"/>
    <x v="8"/>
    <s v="Europe and Central Asia"/>
    <s v="No Specific Relationship"/>
    <s v="NATO"/>
    <x v="3"/>
    <x v="58"/>
    <x v="12"/>
    <n v="8"/>
    <x v="4"/>
    <s v="Chi Wanchun"/>
    <m/>
    <s v="GAD Political Commissar"/>
    <n v="6"/>
    <x v="1"/>
    <m/>
    <x v="0"/>
    <m/>
    <x v="0"/>
    <m/>
    <x v="1"/>
    <m/>
    <m/>
    <m/>
    <s v="Defense White Paper Appendix"/>
    <m/>
  </r>
  <r>
    <x v="1"/>
    <x v="9"/>
    <s v="West Asia and Africa"/>
    <s v="Strategic Cooperative Partnership [战略合作伙伴关系]"/>
    <s v="Major Non-NATO Ally"/>
    <x v="1"/>
    <x v="24"/>
    <x v="12"/>
    <n v="8"/>
    <x v="4"/>
    <s v="Liu Yongzhi"/>
    <m/>
    <s v="AMS Political Commissar"/>
    <n v="6"/>
    <x v="1"/>
    <m/>
    <x v="0"/>
    <m/>
    <x v="0"/>
    <m/>
    <x v="1"/>
    <m/>
    <m/>
    <m/>
    <s v="Defense White Paper Appendix"/>
    <m/>
  </r>
  <r>
    <x v="1"/>
    <x v="1"/>
    <s v="Asia"/>
    <s v="No Specific Relationship"/>
    <s v="None"/>
    <x v="0"/>
    <x v="1"/>
    <x v="12"/>
    <n v="8"/>
    <x v="3"/>
    <s v="Cao Gangchuan"/>
    <m/>
    <s v="CMC Vice Chairman; Defense Minister"/>
    <n v="10"/>
    <x v="2"/>
    <s v="Vice Chairman of State Peace and Development Council, Deputy CinC Defense Services, CinC Army"/>
    <x v="0"/>
    <m/>
    <x v="0"/>
    <m/>
    <x v="1"/>
    <m/>
    <m/>
    <m/>
    <s v="Defense White Paper Appendix"/>
    <m/>
  </r>
  <r>
    <x v="1"/>
    <x v="4"/>
    <s v="Asia"/>
    <s v="Bilateral Defense Treaty"/>
    <s v="None"/>
    <x v="0"/>
    <x v="9"/>
    <x v="12"/>
    <n v="8"/>
    <x v="4"/>
    <s v="Xu Caihou"/>
    <m/>
    <s v="GPD Director; CMC Member"/>
    <n v="8"/>
    <x v="1"/>
    <s v="Vice Chairman of DPRK Defense Commission"/>
    <x v="0"/>
    <m/>
    <x v="0"/>
    <m/>
    <x v="1"/>
    <m/>
    <m/>
    <m/>
    <s v="Defense White Paper Appendix"/>
    <m/>
  </r>
  <r>
    <x v="1"/>
    <x v="10"/>
    <s v="America and Oceania"/>
    <s v="No Specific Relationship"/>
    <s v="None"/>
    <x v="5"/>
    <x v="54"/>
    <x v="12"/>
    <n v="8"/>
    <x v="3"/>
    <s v="Liang Guanglie"/>
    <m/>
    <s v="GSD Commander; CMC Member"/>
    <n v="8"/>
    <x v="2"/>
    <s v="Chairman JCS"/>
    <x v="0"/>
    <m/>
    <x v="0"/>
    <m/>
    <x v="1"/>
    <m/>
    <m/>
    <m/>
    <s v="Defense White Paper Appendix"/>
    <m/>
  </r>
  <r>
    <x v="1"/>
    <x v="8"/>
    <s v="Europe and Central Asia"/>
    <s v="No Specific Relationship"/>
    <s v="NATO"/>
    <x v="3"/>
    <x v="59"/>
    <x v="12"/>
    <n v="8"/>
    <x v="4"/>
    <s v="Chi Wanchun"/>
    <m/>
    <s v="GAD Political Commissar"/>
    <n v="6"/>
    <x v="1"/>
    <m/>
    <x v="0"/>
    <m/>
    <x v="0"/>
    <m/>
    <x v="1"/>
    <m/>
    <m/>
    <m/>
    <s v="Defense White Paper Appendix"/>
    <m/>
  </r>
  <r>
    <x v="2"/>
    <x v="6"/>
    <s v="Europe and Central Asia"/>
    <s v="Member"/>
    <s v="None"/>
    <x v="1"/>
    <x v="14"/>
    <x v="12"/>
    <n v="8"/>
    <x v="6"/>
    <m/>
    <m/>
    <m/>
    <m/>
    <x v="0"/>
    <m/>
    <x v="1"/>
    <s v="Coalition 2003"/>
    <x v="1"/>
    <s v="Exercise took place on August 6-10 in the Semipalatinsk Region in Kazakhstan and on August 11-12 in China's Xinjiang region.  NOTE: PLA sends observers to Kazakhstan and only deploys forces during the Xinjiang phase. More than 1300 troops, aircraft, artillery and armored vehicles"/>
    <x v="1"/>
    <m/>
    <m/>
    <m/>
    <s v="de Haas Journal of Slavic Military Studies 29:3 (2016)"/>
    <m/>
  </r>
  <r>
    <x v="1"/>
    <x v="8"/>
    <s v="Europe and Central Asia"/>
    <s v="No Specific Relationship"/>
    <s v="NATO"/>
    <x v="3"/>
    <x v="40"/>
    <x v="12"/>
    <n v="8"/>
    <x v="4"/>
    <s v="Chi Wanchun"/>
    <m/>
    <s v="GAD Political Commissar"/>
    <n v="6"/>
    <x v="1"/>
    <m/>
    <x v="0"/>
    <m/>
    <x v="0"/>
    <m/>
    <x v="1"/>
    <m/>
    <m/>
    <m/>
    <s v="Defense White Paper Appendix"/>
    <m/>
  </r>
  <r>
    <x v="1"/>
    <x v="5"/>
    <s v="America and Oceania"/>
    <s v="No Specific Relationship"/>
    <s v="ANZUS Treaty"/>
    <x v="0"/>
    <x v="12"/>
    <x v="12"/>
    <n v="9"/>
    <x v="3"/>
    <s v="Xiong Guangkai"/>
    <m/>
    <s v="GSD DCGS"/>
    <n v="6"/>
    <x v="2"/>
    <s v="Defense Minister"/>
    <x v="0"/>
    <m/>
    <x v="0"/>
    <m/>
    <x v="1"/>
    <m/>
    <m/>
    <m/>
    <s v="https://dlib.eastview.com/browse/doc/14643704"/>
    <m/>
  </r>
  <r>
    <x v="1"/>
    <x v="8"/>
    <s v="Europe and Central Asia"/>
    <s v="Comprehensive Cooperative Partnership [全面合作伙伴关系]"/>
    <s v="None"/>
    <x v="3"/>
    <x v="34"/>
    <x v="12"/>
    <n v="9"/>
    <x v="4"/>
    <s v="Xu Caihou"/>
    <m/>
    <s v="GPD Director; CMC Member"/>
    <n v="8"/>
    <x v="1"/>
    <m/>
    <x v="0"/>
    <m/>
    <x v="0"/>
    <m/>
    <x v="1"/>
    <m/>
    <m/>
    <m/>
    <s v="Defense White Paper Appendix"/>
    <m/>
  </r>
  <r>
    <x v="1"/>
    <x v="1"/>
    <s v="Asia"/>
    <s v="No Specific Relationship"/>
    <s v="None"/>
    <x v="0"/>
    <x v="44"/>
    <x v="12"/>
    <n v="9"/>
    <x v="4"/>
    <s v="Liang Guanglie"/>
    <m/>
    <s v="GSD Commander; CMC Member"/>
    <n v="8"/>
    <x v="1"/>
    <m/>
    <x v="0"/>
    <m/>
    <x v="0"/>
    <m/>
    <x v="1"/>
    <m/>
    <m/>
    <m/>
    <s v="Defense White Paper Appendix"/>
    <m/>
  </r>
  <r>
    <x v="1"/>
    <x v="8"/>
    <s v="Europe and Central Asia"/>
    <s v="No Specific Relationship"/>
    <s v="NATO"/>
    <x v="3"/>
    <x v="35"/>
    <x v="12"/>
    <n v="9"/>
    <x v="3"/>
    <s v="Cao Gangchuan"/>
    <m/>
    <s v="CMC Vice Chairman; Defense Minister"/>
    <n v="10"/>
    <x v="2"/>
    <s v="Vice-Premier and concurrent Defense Minister"/>
    <x v="0"/>
    <m/>
    <x v="0"/>
    <m/>
    <x v="1"/>
    <m/>
    <m/>
    <m/>
    <s v="Defense White Paper Appendix"/>
    <m/>
  </r>
  <r>
    <x v="1"/>
    <x v="8"/>
    <s v="Europe and Central Asia"/>
    <s v="No Specific Relationship"/>
    <s v="None"/>
    <x v="3"/>
    <x v="81"/>
    <x v="12"/>
    <n v="9"/>
    <x v="4"/>
    <s v="Xiong Guangkai"/>
    <m/>
    <s v="GSD DCGS"/>
    <n v="6"/>
    <x v="1"/>
    <m/>
    <x v="0"/>
    <m/>
    <x v="0"/>
    <m/>
    <x v="1"/>
    <m/>
    <m/>
    <m/>
    <s v="Defense White Paper Appendix"/>
    <m/>
  </r>
  <r>
    <x v="1"/>
    <x v="8"/>
    <s v="Europe and Central Asia"/>
    <s v="Comprehensive Partnership [全面伙伴关系]"/>
    <s v="NATO"/>
    <x v="3"/>
    <x v="22"/>
    <x v="12"/>
    <n v="9"/>
    <x v="3"/>
    <s v="Liang Guanglie"/>
    <m/>
    <s v="GSD Commander; CMC Member"/>
    <n v="8"/>
    <x v="2"/>
    <s v="Chief of Staff Armed Forces"/>
    <x v="0"/>
    <m/>
    <x v="0"/>
    <m/>
    <x v="1"/>
    <m/>
    <m/>
    <m/>
    <s v="Defense White Paper Appendix"/>
    <m/>
  </r>
  <r>
    <x v="1"/>
    <x v="8"/>
    <s v="Europe and Central Asia"/>
    <s v="No Specific Relationship"/>
    <s v="NATO"/>
    <x v="3"/>
    <x v="29"/>
    <x v="12"/>
    <n v="9"/>
    <x v="4"/>
    <s v="Xiong Guangkai"/>
    <m/>
    <s v="GSD DCGS"/>
    <n v="6"/>
    <x v="1"/>
    <m/>
    <x v="0"/>
    <m/>
    <x v="0"/>
    <m/>
    <x v="1"/>
    <m/>
    <m/>
    <m/>
    <s v="Defense White Paper Appendix"/>
    <m/>
  </r>
  <r>
    <x v="1"/>
    <x v="8"/>
    <s v="Europe and Central Asia"/>
    <s v="No Specific Relationship"/>
    <s v="NATO"/>
    <x v="3"/>
    <x v="82"/>
    <x v="12"/>
    <n v="9"/>
    <x v="4"/>
    <s v="Xu Caihou"/>
    <m/>
    <s v="GPD Director; CMC Member"/>
    <n v="8"/>
    <x v="1"/>
    <m/>
    <x v="0"/>
    <m/>
    <x v="0"/>
    <m/>
    <x v="1"/>
    <m/>
    <m/>
    <m/>
    <s v="Defense White Paper Appendix"/>
    <m/>
  </r>
  <r>
    <x v="1"/>
    <x v="8"/>
    <s v="Europe and Central Asia"/>
    <s v="No Specific Relationship"/>
    <s v="NATO"/>
    <x v="3"/>
    <x v="20"/>
    <x v="12"/>
    <n v="9"/>
    <x v="3"/>
    <s v="Cao Gangchuan"/>
    <m/>
    <s v="CMC Vice Chairman; Defense Minister"/>
    <n v="10"/>
    <x v="2"/>
    <s v="Vice Defense Minister"/>
    <x v="0"/>
    <m/>
    <x v="0"/>
    <m/>
    <x v="1"/>
    <m/>
    <m/>
    <m/>
    <s v="Defense White Paper Appendix"/>
    <m/>
  </r>
  <r>
    <x v="1"/>
    <x v="4"/>
    <s v="Asia"/>
    <s v="Partnership of Friendship and Cooperation for Peace and Development [致力于和平发展的友好合作关系]"/>
    <s v="Bilateral Defense Treaty"/>
    <x v="0"/>
    <x v="83"/>
    <x v="12"/>
    <n v="9"/>
    <x v="3"/>
    <s v="Cao Gangchuan"/>
    <m/>
    <s v="CMC Vice Chairman; Defense Minister"/>
    <n v="10"/>
    <x v="2"/>
    <s v="Director-General of JDA"/>
    <x v="0"/>
    <m/>
    <x v="0"/>
    <m/>
    <x v="1"/>
    <m/>
    <m/>
    <m/>
    <s v="Defense White Paper Appendix"/>
    <m/>
  </r>
  <r>
    <x v="1"/>
    <x v="1"/>
    <s v="Asia"/>
    <s v="Strategic Cooperative Partnership [战略合作伙伴关系]"/>
    <s v="None"/>
    <x v="0"/>
    <x v="10"/>
    <x v="12"/>
    <n v="9"/>
    <x v="4"/>
    <s v="Liang Guanglie"/>
    <m/>
    <s v="GSD Commander; CMC Member"/>
    <n v="8"/>
    <x v="1"/>
    <m/>
    <x v="0"/>
    <m/>
    <x v="0"/>
    <m/>
    <x v="1"/>
    <m/>
    <m/>
    <m/>
    <s v="Defense White Paper Appendix"/>
    <m/>
  </r>
  <r>
    <x v="1"/>
    <x v="2"/>
    <s v="America and Oceania"/>
    <s v="Strategic Cooperative Partnership [战略合作伙伴关系]"/>
    <s v="None"/>
    <x v="2"/>
    <x v="77"/>
    <x v="12"/>
    <n v="9"/>
    <x v="4"/>
    <s v="Xu Caihou"/>
    <m/>
    <s v="GPD Director; CMC Member"/>
    <n v="8"/>
    <x v="1"/>
    <m/>
    <x v="0"/>
    <m/>
    <x v="0"/>
    <m/>
    <x v="1"/>
    <m/>
    <m/>
    <m/>
    <s v="Defense White Paper Appendix"/>
    <m/>
  </r>
  <r>
    <x v="1"/>
    <x v="7"/>
    <s v="West Asia and Africa"/>
    <s v="No Specific Relationship"/>
    <s v="None"/>
    <x v="4"/>
    <x v="84"/>
    <x v="12"/>
    <n v="9"/>
    <x v="3"/>
    <s v="Cao Gangchuan"/>
    <m/>
    <s v="CMC Vice Chairman; Defense Minister"/>
    <n v="10"/>
    <x v="2"/>
    <s v="Minster of Veterans Affairs"/>
    <x v="0"/>
    <m/>
    <x v="0"/>
    <m/>
    <x v="1"/>
    <m/>
    <m/>
    <m/>
    <s v="Defense White Paper Appendix"/>
    <m/>
  </r>
  <r>
    <x v="1"/>
    <x v="0"/>
    <s v="Asia"/>
    <s v="Strategic Partnership [战略伙伴关系]"/>
    <s v="Major Non-NATO Ally"/>
    <x v="1"/>
    <x v="2"/>
    <x v="12"/>
    <n v="9"/>
    <x v="4"/>
    <s v="Liang Guanglie"/>
    <m/>
    <s v="GSD Commander; CMC Member"/>
    <n v="8"/>
    <x v="1"/>
    <m/>
    <x v="0"/>
    <m/>
    <x v="0"/>
    <m/>
    <x v="1"/>
    <m/>
    <m/>
    <m/>
    <s v="Defense White Paper Appendix"/>
    <m/>
  </r>
  <r>
    <x v="1"/>
    <x v="7"/>
    <s v="West Asia and Africa"/>
    <s v="No Specific Relationship"/>
    <s v="None"/>
    <x v="4"/>
    <x v="16"/>
    <x v="12"/>
    <n v="9"/>
    <x v="3"/>
    <s v="Cao Gangchuan"/>
    <m/>
    <s v="CMC Vice Chairman; Defense Minister"/>
    <n v="10"/>
    <x v="2"/>
    <s v="Defense Minister"/>
    <x v="0"/>
    <m/>
    <x v="0"/>
    <m/>
    <x v="1"/>
    <m/>
    <m/>
    <m/>
    <s v="Defense White Paper Appendix"/>
    <m/>
  </r>
  <r>
    <x v="1"/>
    <x v="7"/>
    <s v="West Asia and Africa"/>
    <s v="No Specific Relationship"/>
    <s v="Major Non-NATO Ally"/>
    <x v="4"/>
    <x v="85"/>
    <x v="12"/>
    <n v="9"/>
    <x v="4"/>
    <s v="Zhang Wentai"/>
    <m/>
    <s v="GLD Political Commissar"/>
    <n v="6"/>
    <x v="1"/>
    <m/>
    <x v="0"/>
    <m/>
    <x v="0"/>
    <m/>
    <x v="1"/>
    <m/>
    <m/>
    <m/>
    <s v="Defense White Paper Appendix"/>
    <m/>
  </r>
  <r>
    <x v="1"/>
    <x v="7"/>
    <s v="West Asia and Africa"/>
    <s v="No Specific Relationship"/>
    <s v="None"/>
    <x v="4"/>
    <x v="61"/>
    <x v="12"/>
    <n v="9"/>
    <x v="4"/>
    <s v="Zhang Wentai"/>
    <m/>
    <s v="GLD Political Commissar"/>
    <n v="6"/>
    <x v="1"/>
    <m/>
    <x v="0"/>
    <m/>
    <x v="0"/>
    <m/>
    <x v="1"/>
    <m/>
    <m/>
    <m/>
    <s v="Defense White Paper Appendix"/>
    <m/>
  </r>
  <r>
    <x v="1"/>
    <x v="7"/>
    <s v="West Asia and Africa"/>
    <s v="No Specific Relationship"/>
    <s v="None"/>
    <x v="4"/>
    <x v="86"/>
    <x v="12"/>
    <n v="9"/>
    <x v="4"/>
    <s v="Zhang Wentai"/>
    <m/>
    <s v="GLD Political Commissar"/>
    <n v="6"/>
    <x v="1"/>
    <m/>
    <x v="0"/>
    <m/>
    <x v="0"/>
    <m/>
    <x v="1"/>
    <m/>
    <m/>
    <m/>
    <s v="Defense White Paper Appendix"/>
    <m/>
  </r>
  <r>
    <x v="0"/>
    <x v="1"/>
    <s v="Asia"/>
    <s v="No Specific Relationship"/>
    <s v="None"/>
    <x v="0"/>
    <x v="44"/>
    <x v="12"/>
    <n v="10"/>
    <x v="0"/>
    <m/>
    <m/>
    <m/>
    <m/>
    <x v="0"/>
    <m/>
    <x v="0"/>
    <m/>
    <x v="0"/>
    <m/>
    <x v="0"/>
    <s v="2002-10 DD167 Shenzhen"/>
    <s v="South Sea Fleet"/>
    <s v="Luhai destroyer Shenzhen 167, replenishment ship Qinghaihu 885"/>
    <m/>
    <m/>
  </r>
  <r>
    <x v="1"/>
    <x v="9"/>
    <s v="West Asia and Africa"/>
    <s v="Strategic Cooperative Partnership [战略合作伙伴关系]"/>
    <s v="Major Non-NATO Ally"/>
    <x v="1"/>
    <x v="24"/>
    <x v="12"/>
    <n v="10"/>
    <x v="3"/>
    <s v="Liang Guanglie"/>
    <m/>
    <s v="GSD Commander; CMC Member"/>
    <n v="8"/>
    <x v="2"/>
    <s v="Commander Air Defense Force"/>
    <x v="0"/>
    <m/>
    <x v="0"/>
    <m/>
    <x v="1"/>
    <m/>
    <m/>
    <m/>
    <s v="Defense White Paper Appendix"/>
    <m/>
  </r>
  <r>
    <x v="1"/>
    <x v="8"/>
    <s v="Europe and Central Asia"/>
    <s v="No Specific Relationship"/>
    <s v="NATO"/>
    <x v="3"/>
    <x v="18"/>
    <x v="12"/>
    <n v="10"/>
    <x v="3"/>
    <s v="Liang Guanglie"/>
    <m/>
    <s v="GSD Commander; CMC Member"/>
    <n v="8"/>
    <x v="2"/>
    <s v="General Inspector of Armed Forces"/>
    <x v="0"/>
    <m/>
    <x v="0"/>
    <m/>
    <x v="1"/>
    <m/>
    <m/>
    <m/>
    <s v="Defense White Paper Appendix"/>
    <m/>
  </r>
  <r>
    <x v="1"/>
    <x v="7"/>
    <s v="West Asia and Africa"/>
    <s v="No Specific Relationship"/>
    <s v="None"/>
    <x v="4"/>
    <x v="87"/>
    <x v="12"/>
    <n v="10"/>
    <x v="3"/>
    <s v="Cao Gangchuan"/>
    <m/>
    <s v="CMC Vice Chairman; Defense Minister"/>
    <n v="10"/>
    <x v="2"/>
    <s v="Defense Minister"/>
    <x v="0"/>
    <m/>
    <x v="0"/>
    <m/>
    <x v="1"/>
    <m/>
    <m/>
    <m/>
    <s v="Defense White Paper Appendix"/>
    <m/>
  </r>
  <r>
    <x v="1"/>
    <x v="8"/>
    <s v="Europe and Central Asia"/>
    <s v="No Specific Relationship"/>
    <s v="NATO"/>
    <x v="3"/>
    <x v="29"/>
    <x v="12"/>
    <n v="10"/>
    <x v="3"/>
    <s v="Liang Guanglie"/>
    <m/>
    <s v="GSD Commander; CMC Member"/>
    <n v="8"/>
    <x v="2"/>
    <s v="Chief of National Defense General Staff"/>
    <x v="0"/>
    <m/>
    <x v="0"/>
    <m/>
    <x v="1"/>
    <m/>
    <m/>
    <m/>
    <s v="Defense White Paper Appendix"/>
    <m/>
  </r>
  <r>
    <x v="1"/>
    <x v="10"/>
    <s v="America and Oceania"/>
    <s v="No Specific Relationship"/>
    <s v="None"/>
    <x v="5"/>
    <x v="88"/>
    <x v="12"/>
    <n v="10"/>
    <x v="3"/>
    <s v="Cao Gangchuan"/>
    <m/>
    <s v="CMC Vice Chairman; Defense Minister"/>
    <n v="10"/>
    <x v="2"/>
    <s v="Chief of Staff National Defense Forces"/>
    <x v="0"/>
    <m/>
    <x v="0"/>
    <m/>
    <x v="1"/>
    <m/>
    <m/>
    <m/>
    <s v="Defense White Paper Appendix"/>
    <m/>
  </r>
  <r>
    <x v="1"/>
    <x v="9"/>
    <s v="West Asia and Africa"/>
    <s v="No Specific Relationship"/>
    <s v="None"/>
    <x v="1"/>
    <x v="89"/>
    <x v="12"/>
    <n v="10"/>
    <x v="3"/>
    <s v="Qian Shugen"/>
    <m/>
    <s v="GSD DCGS"/>
    <n v="8"/>
    <x v="2"/>
    <s v="Commander Mobilization Force IRGC"/>
    <x v="0"/>
    <m/>
    <x v="0"/>
    <m/>
    <x v="1"/>
    <m/>
    <m/>
    <m/>
    <s v="https://dlib.eastview.com/browse/doc/14631790"/>
    <m/>
  </r>
  <r>
    <x v="1"/>
    <x v="4"/>
    <s v="Asia"/>
    <s v="No Specific Relationship"/>
    <s v="None"/>
    <x v="0"/>
    <x v="53"/>
    <x v="12"/>
    <n v="10"/>
    <x v="3"/>
    <s v="Liang Guanglie"/>
    <m/>
    <s v="GSD Commander; CMC Member"/>
    <n v="8"/>
    <x v="2"/>
    <s v="COGS "/>
    <x v="0"/>
    <m/>
    <x v="0"/>
    <m/>
    <x v="1"/>
    <m/>
    <m/>
    <m/>
    <s v="Defense White Paper Appendix"/>
    <m/>
  </r>
  <r>
    <x v="1"/>
    <x v="0"/>
    <s v="Asia"/>
    <s v="Strategic Partnership [战略伙伴关系]"/>
    <s v="Major Non-NATO Ally"/>
    <x v="1"/>
    <x v="2"/>
    <x v="12"/>
    <n v="10"/>
    <x v="3"/>
    <s v="Cao Gangchuan"/>
    <m/>
    <s v="CMC Vice Chairman; Defense Minister"/>
    <n v="10"/>
    <x v="2"/>
    <s v="Air Force Chief of Staff"/>
    <x v="0"/>
    <m/>
    <x v="0"/>
    <m/>
    <x v="1"/>
    <m/>
    <m/>
    <m/>
    <s v="Defense White Paper Appendix"/>
    <m/>
  </r>
  <r>
    <x v="2"/>
    <x v="0"/>
    <s v="Asia"/>
    <s v="Strategic Partnership [战略伙伴关系]"/>
    <s v="Major Non-NATO Ally"/>
    <x v="1"/>
    <x v="2"/>
    <x v="12"/>
    <n v="10"/>
    <x v="5"/>
    <m/>
    <m/>
    <m/>
    <m/>
    <x v="0"/>
    <m/>
    <x v="2"/>
    <s v="Unknown"/>
    <x v="2"/>
    <s v="SAREX"/>
    <x v="1"/>
    <m/>
    <m/>
    <m/>
    <s v="Defense White Paper Appendix"/>
    <m/>
  </r>
  <r>
    <x v="1"/>
    <x v="8"/>
    <s v="Europe and Central Asia"/>
    <s v="No Specific Relationship"/>
    <s v="NATO"/>
    <x v="3"/>
    <x v="33"/>
    <x v="12"/>
    <n v="10"/>
    <x v="3"/>
    <s v="Cao Gangchuan"/>
    <m/>
    <s v="CMC Vice Chairman; Defense Minister"/>
    <n v="10"/>
    <x v="2"/>
    <s v="Defense Minister"/>
    <x v="0"/>
    <m/>
    <x v="0"/>
    <m/>
    <x v="1"/>
    <m/>
    <m/>
    <m/>
    <s v="Defense White Paper Appendix"/>
    <m/>
  </r>
  <r>
    <x v="1"/>
    <x v="7"/>
    <s v="West Asia and Africa"/>
    <s v="No Specific Relationship"/>
    <s v="None"/>
    <x v="4"/>
    <x v="90"/>
    <x v="12"/>
    <n v="10"/>
    <x v="3"/>
    <s v="Guo Boxiong"/>
    <m/>
    <s v="CMC Vice Chairman"/>
    <n v="10"/>
    <x v="2"/>
    <s v="Vice Defense Minister"/>
    <x v="0"/>
    <m/>
    <x v="0"/>
    <m/>
    <x v="1"/>
    <m/>
    <m/>
    <m/>
    <s v="Defense White Paper Appendix"/>
    <m/>
  </r>
  <r>
    <x v="0"/>
    <x v="1"/>
    <s v="Asia"/>
    <s v="No Specific Relationship"/>
    <s v="None"/>
    <x v="0"/>
    <x v="39"/>
    <x v="12"/>
    <n v="10"/>
    <x v="0"/>
    <m/>
    <m/>
    <m/>
    <m/>
    <x v="0"/>
    <m/>
    <x v="0"/>
    <m/>
    <x v="0"/>
    <m/>
    <x v="0"/>
    <s v="2003-10 DD167 Shenzhen"/>
    <s v="South Sea Fleet"/>
    <s v="Luhai destroyer Shenzhen 167, replenishment ship Qinghaihu 885"/>
    <m/>
    <m/>
  </r>
  <r>
    <x v="1"/>
    <x v="10"/>
    <s v="America and Oceania"/>
    <s v="No Specific Relationship"/>
    <s v="None"/>
    <x v="5"/>
    <x v="91"/>
    <x v="12"/>
    <n v="10"/>
    <x v="3"/>
    <s v="Cao Gangchuan"/>
    <m/>
    <s v="CMC Vice Chairman; Defense Minister"/>
    <n v="10"/>
    <x v="2"/>
    <s v="Commander National Defense Forces"/>
    <x v="0"/>
    <m/>
    <x v="0"/>
    <m/>
    <x v="1"/>
    <m/>
    <m/>
    <m/>
    <s v="Defense White Paper Appendix"/>
    <m/>
  </r>
  <r>
    <x v="1"/>
    <x v="8"/>
    <s v="Europe and Central Asia"/>
    <s v="No Specific Relationship"/>
    <s v="None"/>
    <x v="3"/>
    <x v="92"/>
    <x v="12"/>
    <n v="10"/>
    <x v="3"/>
    <s v="Liang Guanglie"/>
    <m/>
    <s v="GSD Commander; CMC Member"/>
    <n v="8"/>
    <x v="2"/>
    <s v="Deputy CinC Armed Forces "/>
    <x v="0"/>
    <m/>
    <x v="0"/>
    <m/>
    <x v="1"/>
    <m/>
    <m/>
    <m/>
    <s v="Defense White Paper Appendix"/>
    <m/>
  </r>
  <r>
    <x v="1"/>
    <x v="2"/>
    <s v="America and Oceania"/>
    <s v="No Specific Relationship"/>
    <s v="N/A"/>
    <x v="2"/>
    <x v="4"/>
    <x v="12"/>
    <n v="10"/>
    <x v="4"/>
    <s v="Cao Gangchuan"/>
    <m/>
    <s v="CMC Vice Chairman; Defense Minister"/>
    <n v="10"/>
    <x v="1"/>
    <s v="SecDef"/>
    <x v="0"/>
    <m/>
    <x v="0"/>
    <m/>
    <x v="1"/>
    <m/>
    <m/>
    <m/>
    <s v="Defense White Paper Appendix"/>
    <m/>
  </r>
  <r>
    <x v="0"/>
    <x v="2"/>
    <s v="America and Oceania"/>
    <s v="No Specific Relationship"/>
    <s v="None"/>
    <x v="2"/>
    <x v="4"/>
    <x v="12"/>
    <n v="10"/>
    <x v="0"/>
    <m/>
    <m/>
    <m/>
    <m/>
    <x v="0"/>
    <m/>
    <x v="0"/>
    <m/>
    <x v="0"/>
    <m/>
    <x v="0"/>
    <s v="2002-10 DD167 Shenzhen"/>
    <s v="South Sea Fleet"/>
    <s v="Luhai destroyer Shenzhen 167, replenishment ship Qinghaihu 885"/>
    <m/>
    <m/>
  </r>
  <r>
    <x v="1"/>
    <x v="1"/>
    <s v="Asia"/>
    <s v="No Specific Relationship"/>
    <s v="None"/>
    <x v="0"/>
    <x v="23"/>
    <x v="12"/>
    <n v="10"/>
    <x v="3"/>
    <s v="Liang Guanglie"/>
    <m/>
    <s v="GSD Commander; CMC Member"/>
    <n v="8"/>
    <x v="2"/>
    <s v="COGS"/>
    <x v="0"/>
    <m/>
    <x v="0"/>
    <m/>
    <x v="1"/>
    <m/>
    <m/>
    <m/>
    <s v="Defense White Paper Appendix"/>
    <m/>
  </r>
  <r>
    <x v="1"/>
    <x v="8"/>
    <s v="Europe and Central Asia"/>
    <s v="Comprehensive Cooperative Partnership [全面合作伙伴关系]"/>
    <s v="None"/>
    <x v="3"/>
    <x v="34"/>
    <x v="12"/>
    <n v="11"/>
    <x v="3"/>
    <s v="Cao Gangchuan"/>
    <m/>
    <s v="CMC Vice Chairman; Defense Minister"/>
    <n v="10"/>
    <x v="2"/>
    <s v="State Affairs Secretary of NSC"/>
    <x v="0"/>
    <m/>
    <x v="0"/>
    <m/>
    <x v="1"/>
    <m/>
    <m/>
    <m/>
    <s v="Defense White Paper Appendix"/>
    <m/>
  </r>
  <r>
    <x v="1"/>
    <x v="7"/>
    <s v="West Asia and Africa"/>
    <s v="No Specific Relationship"/>
    <s v="None"/>
    <x v="4"/>
    <x v="93"/>
    <x v="12"/>
    <n v="11"/>
    <x v="4"/>
    <s v="Lei Mingqiu"/>
    <m/>
    <s v="Nanjing MR Political Commissar"/>
    <n v="6"/>
    <x v="1"/>
    <m/>
    <x v="0"/>
    <m/>
    <x v="0"/>
    <m/>
    <x v="1"/>
    <m/>
    <m/>
    <m/>
    <s v="Defense White Paper Appendix"/>
    <m/>
  </r>
  <r>
    <x v="1"/>
    <x v="10"/>
    <s v="America and Oceania"/>
    <s v="Strategic Partnership [战略伙伴关系]"/>
    <s v="None"/>
    <x v="5"/>
    <x v="43"/>
    <x v="12"/>
    <n v="11"/>
    <x v="3"/>
    <s v="Cao Gangchuan"/>
    <m/>
    <s v="CMC Vice Chairman; Defense Minister"/>
    <n v="10"/>
    <x v="2"/>
    <s v="Defense Minister"/>
    <x v="0"/>
    <m/>
    <x v="0"/>
    <m/>
    <x v="1"/>
    <m/>
    <m/>
    <m/>
    <s v="Defense White Paper Appendix"/>
    <m/>
  </r>
  <r>
    <x v="1"/>
    <x v="1"/>
    <s v="Asia"/>
    <s v="No Specific Relationship"/>
    <s v="None"/>
    <x v="0"/>
    <x v="94"/>
    <x v="12"/>
    <n v="11"/>
    <x v="3"/>
    <s v="Liang Guanglie"/>
    <m/>
    <s v="GSD Commander; CMC Member"/>
    <n v="8"/>
    <x v="2"/>
    <s v="Deputy CinC Armed Forces"/>
    <x v="0"/>
    <m/>
    <x v="0"/>
    <m/>
    <x v="1"/>
    <m/>
    <m/>
    <m/>
    <s v="Defense White Paper Appendix"/>
    <m/>
  </r>
  <r>
    <x v="1"/>
    <x v="2"/>
    <s v="America and Oceania"/>
    <s v="Comprehensive Partnership [全面伙伴关系]"/>
    <s v="NATO"/>
    <x v="2"/>
    <x v="17"/>
    <x v="12"/>
    <n v="11"/>
    <x v="4"/>
    <s v="Zhu Wenquan"/>
    <m/>
    <s v="Nanjing MR Commander"/>
    <n v="6"/>
    <x v="1"/>
    <m/>
    <x v="0"/>
    <m/>
    <x v="0"/>
    <m/>
    <x v="1"/>
    <m/>
    <m/>
    <m/>
    <s v="Defense White Paper Appendix"/>
    <m/>
  </r>
  <r>
    <x v="1"/>
    <x v="8"/>
    <s v="Europe and Central Asia"/>
    <s v="No Specific Relationship"/>
    <s v="NATO"/>
    <x v="3"/>
    <x v="35"/>
    <x v="12"/>
    <n v="11"/>
    <x v="4"/>
    <s v="Liu Yongzhi"/>
    <m/>
    <s v="Lanzhou MR Political Commissar"/>
    <n v="6"/>
    <x v="1"/>
    <m/>
    <x v="0"/>
    <m/>
    <x v="0"/>
    <m/>
    <x v="1"/>
    <m/>
    <m/>
    <m/>
    <s v="Defense White Paper Appendix"/>
    <m/>
  </r>
  <r>
    <x v="1"/>
    <x v="9"/>
    <s v="West Asia and Africa"/>
    <s v="Strategic Cooperative Partnership [战略合作伙伴关系]"/>
    <s v="Major Non-NATO Ally"/>
    <x v="1"/>
    <x v="24"/>
    <x v="12"/>
    <n v="11"/>
    <x v="4"/>
    <s v="Xu Caihou"/>
    <m/>
    <s v="GPD Director; CMC Member"/>
    <n v="8"/>
    <x v="1"/>
    <m/>
    <x v="0"/>
    <m/>
    <x v="0"/>
    <m/>
    <x v="1"/>
    <m/>
    <m/>
    <m/>
    <s v="Defense White Paper Appendix"/>
    <m/>
  </r>
  <r>
    <x v="1"/>
    <x v="7"/>
    <s v="West Asia and Africa"/>
    <s v="No Specific Relationship"/>
    <s v="None"/>
    <x v="4"/>
    <x v="95"/>
    <x v="12"/>
    <n v="11"/>
    <x v="4"/>
    <s v="Lei Mingqiu"/>
    <m/>
    <s v="Nanjing MR Political Commissar"/>
    <n v="6"/>
    <x v="1"/>
    <m/>
    <x v="0"/>
    <m/>
    <x v="0"/>
    <m/>
    <x v="1"/>
    <m/>
    <m/>
    <m/>
    <s v="Defense White Paper Appendix"/>
    <m/>
  </r>
  <r>
    <x v="1"/>
    <x v="8"/>
    <s v="Europe and Central Asia"/>
    <s v="No Specific Relationship"/>
    <s v="NATO"/>
    <x v="3"/>
    <x v="29"/>
    <x v="12"/>
    <n v="11"/>
    <x v="4"/>
    <s v="Deng Changyou"/>
    <m/>
    <s v="PLAAF Political Commissar"/>
    <n v="6"/>
    <x v="1"/>
    <m/>
    <x v="0"/>
    <m/>
    <x v="0"/>
    <m/>
    <x v="1"/>
    <m/>
    <m/>
    <m/>
    <s v="Defense White Paper Appendix"/>
    <m/>
  </r>
  <r>
    <x v="2"/>
    <x v="0"/>
    <s v="Asia"/>
    <s v="Comprehensive Cooperative Partnership [全面合作伙伴关系]"/>
    <s v="None"/>
    <x v="0"/>
    <x v="6"/>
    <x v="12"/>
    <n v="11"/>
    <x v="5"/>
    <m/>
    <m/>
    <m/>
    <m/>
    <x v="0"/>
    <m/>
    <x v="2"/>
    <s v="Unknown"/>
    <x v="2"/>
    <s v="SAREX"/>
    <x v="1"/>
    <m/>
    <m/>
    <m/>
    <s v="Defense White Paper Appendix"/>
    <m/>
  </r>
  <r>
    <x v="1"/>
    <x v="8"/>
    <s v="Europe and Central Asia"/>
    <s v="No Specific Relationship"/>
    <s v="NATO"/>
    <x v="3"/>
    <x v="20"/>
    <x v="12"/>
    <n v="11"/>
    <x v="3"/>
    <s v="Xiong Guangkai"/>
    <m/>
    <s v="GSD DCGS"/>
    <n v="6"/>
    <x v="2"/>
    <s v="Deputy Defense Chief of Staff"/>
    <x v="0"/>
    <m/>
    <x v="0"/>
    <m/>
    <x v="1"/>
    <m/>
    <m/>
    <m/>
    <s v="Defense White Paper Appendix"/>
    <m/>
  </r>
  <r>
    <x v="1"/>
    <x v="6"/>
    <s v="Europe and Central Asia"/>
    <s v="No Specific Relationship"/>
    <s v="None"/>
    <x v="1"/>
    <x v="31"/>
    <x v="12"/>
    <n v="11"/>
    <x v="3"/>
    <s v="Cao Gangchuan"/>
    <m/>
    <s v="CMC Vice Chairman; Defense Minister"/>
    <n v="10"/>
    <x v="2"/>
    <s v="Defense Minister"/>
    <x v="0"/>
    <m/>
    <x v="0"/>
    <m/>
    <x v="1"/>
    <m/>
    <m/>
    <m/>
    <s v="Defense White Paper Appendix"/>
    <m/>
  </r>
  <r>
    <x v="1"/>
    <x v="5"/>
    <s v="America and Oceania"/>
    <s v="No Specific Relationship"/>
    <s v="ANZUS Treaty"/>
    <x v="0"/>
    <x v="13"/>
    <x v="12"/>
    <n v="11"/>
    <x v="3"/>
    <s v="Cao Gangchuan"/>
    <m/>
    <s v="CMC Vice Chairman; Defense Minister"/>
    <n v="10"/>
    <x v="2"/>
    <s v="Commander National Defense Forces"/>
    <x v="0"/>
    <m/>
    <x v="0"/>
    <m/>
    <x v="1"/>
    <m/>
    <m/>
    <m/>
    <s v="Defense White Paper Appendix"/>
    <m/>
  </r>
  <r>
    <x v="0"/>
    <x v="5"/>
    <s v="America and Oceania"/>
    <s v="No Specific Relationship"/>
    <s v="ANZUS Treaty"/>
    <x v="0"/>
    <x v="13"/>
    <x v="12"/>
    <n v="11"/>
    <x v="0"/>
    <m/>
    <m/>
    <m/>
    <m/>
    <x v="0"/>
    <m/>
    <x v="0"/>
    <m/>
    <x v="0"/>
    <m/>
    <x v="0"/>
    <s v="2003-11 FF564 Yichang"/>
    <s v="South Sea Fleet"/>
    <s v="Jiangwei frigate Yichang 564, replenishment ship Taicang 575"/>
    <m/>
    <m/>
  </r>
  <r>
    <x v="1"/>
    <x v="4"/>
    <s v="Asia"/>
    <s v="Bilateral Defense Treaty"/>
    <s v="None"/>
    <x v="0"/>
    <x v="9"/>
    <x v="12"/>
    <n v="11"/>
    <x v="3"/>
    <s v="Cao Gangchuan"/>
    <m/>
    <s v="CMC Vice Chairman; Defense Minister"/>
    <n v="10"/>
    <x v="2"/>
    <s v="Vice Minister People's Armed Forces DPRK"/>
    <x v="0"/>
    <m/>
    <x v="0"/>
    <m/>
    <x v="1"/>
    <m/>
    <m/>
    <m/>
    <s v="Defense White Paper Appendix"/>
    <m/>
  </r>
  <r>
    <x v="1"/>
    <x v="8"/>
    <s v="Europe and Central Asia"/>
    <s v="No Specific Relationship"/>
    <s v="NATO"/>
    <x v="3"/>
    <x v="48"/>
    <x v="12"/>
    <n v="11"/>
    <x v="4"/>
    <s v="Xu Caihou"/>
    <m/>
    <s v="GPD Director; CMC Member"/>
    <n v="8"/>
    <x v="1"/>
    <m/>
    <x v="0"/>
    <m/>
    <x v="0"/>
    <m/>
    <x v="1"/>
    <m/>
    <m/>
    <m/>
    <s v="Defense White Paper Appendix"/>
    <m/>
  </r>
  <r>
    <x v="1"/>
    <x v="8"/>
    <s v="Europe and Central Asia"/>
    <s v="No Specific Relationship"/>
    <s v="NATO"/>
    <x v="3"/>
    <x v="33"/>
    <x v="12"/>
    <n v="11"/>
    <x v="4"/>
    <s v="Liu Yongzhi"/>
    <m/>
    <s v="Lanzhou MR Political Commissar"/>
    <n v="6"/>
    <x v="1"/>
    <m/>
    <x v="0"/>
    <m/>
    <x v="0"/>
    <m/>
    <x v="1"/>
    <m/>
    <m/>
    <m/>
    <s v="Defense White Paper Appendix"/>
    <m/>
  </r>
  <r>
    <x v="1"/>
    <x v="3"/>
    <s v="Europe and Central Asia"/>
    <s v="Strategic Partnership of Coordination [战略协作伙伴关系]"/>
    <s v="None"/>
    <x v="3"/>
    <x v="7"/>
    <x v="12"/>
    <n v="11"/>
    <x v="3"/>
    <s v="Cao Gangchuan"/>
    <m/>
    <s v="CMC Vice Chairman; Defense Minister"/>
    <n v="10"/>
    <x v="2"/>
    <s v="First Deputy Director FSB"/>
    <x v="0"/>
    <m/>
    <x v="0"/>
    <m/>
    <x v="1"/>
    <m/>
    <m/>
    <m/>
    <s v="Defense White Paper Appendix"/>
    <m/>
  </r>
  <r>
    <x v="1"/>
    <x v="3"/>
    <s v="Europe and Central Asia"/>
    <s v="Strategic Partnership of Coordination [战略协作伙伴关系]"/>
    <s v="None"/>
    <x v="3"/>
    <x v="7"/>
    <x v="12"/>
    <n v="11"/>
    <x v="4"/>
    <s v="Deng Changyou"/>
    <m/>
    <s v="PLAAF Political Commissar"/>
    <n v="6"/>
    <x v="1"/>
    <m/>
    <x v="0"/>
    <m/>
    <x v="0"/>
    <m/>
    <x v="1"/>
    <m/>
    <m/>
    <m/>
    <s v="Defense White Paper Appendix"/>
    <m/>
  </r>
  <r>
    <x v="1"/>
    <x v="4"/>
    <s v="Asia"/>
    <s v="Comprehensive Cooperative Partnership [全面合作伙伴关系]"/>
    <s v="Bilateral Defense Treaty"/>
    <x v="0"/>
    <x v="25"/>
    <x v="12"/>
    <n v="11"/>
    <x v="3"/>
    <s v="Cao Gangchuan"/>
    <m/>
    <s v="CMC Vice Chairman; Defense Minister"/>
    <n v="10"/>
    <x v="2"/>
    <s v="Chairman JCS"/>
    <x v="0"/>
    <m/>
    <x v="0"/>
    <m/>
    <x v="1"/>
    <m/>
    <m/>
    <m/>
    <s v="Defense White Paper Appendix"/>
    <m/>
  </r>
  <r>
    <x v="1"/>
    <x v="8"/>
    <s v="Europe and Central Asia"/>
    <s v="No Specific Relationship"/>
    <s v="NATO"/>
    <x v="3"/>
    <x v="70"/>
    <x v="12"/>
    <n v="11"/>
    <x v="4"/>
    <s v="Xu Caihou"/>
    <m/>
    <s v="GPD Director; CMC Member"/>
    <n v="8"/>
    <x v="1"/>
    <m/>
    <x v="0"/>
    <m/>
    <x v="0"/>
    <m/>
    <x v="1"/>
    <m/>
    <m/>
    <m/>
    <s v="Defense White Paper Appendix"/>
    <m/>
  </r>
  <r>
    <x v="1"/>
    <x v="7"/>
    <s v="West Asia and Africa"/>
    <s v="No Specific Relationship"/>
    <s v="None"/>
    <x v="4"/>
    <x v="16"/>
    <x v="12"/>
    <n v="11"/>
    <x v="4"/>
    <s v="Xu Caihou"/>
    <m/>
    <s v="GPD Director; CMC Member"/>
    <n v="8"/>
    <x v="1"/>
    <m/>
    <x v="0"/>
    <m/>
    <x v="0"/>
    <m/>
    <x v="1"/>
    <m/>
    <m/>
    <m/>
    <s v="Defense White Paper Appendix"/>
    <m/>
  </r>
  <r>
    <x v="1"/>
    <x v="1"/>
    <s v="Asia"/>
    <s v="No Specific Relationship"/>
    <s v="Bilateral Defense Treaty"/>
    <x v="0"/>
    <x v="5"/>
    <x v="12"/>
    <n v="11"/>
    <x v="3"/>
    <s v="Cao Gangchuan"/>
    <m/>
    <s v="CMC Vice Chairman; Defense Minister"/>
    <n v="10"/>
    <x v="2"/>
    <s v="CinC Army"/>
    <x v="0"/>
    <m/>
    <x v="0"/>
    <m/>
    <x v="1"/>
    <m/>
    <m/>
    <m/>
    <s v="Defense White Paper Appendix"/>
    <m/>
  </r>
  <r>
    <x v="1"/>
    <x v="7"/>
    <s v="West Asia and Africa"/>
    <s v="Comprehensive Strategic Cooperative Partnership [全面战略合作伙伴关系]"/>
    <s v="None"/>
    <x v="4"/>
    <x v="96"/>
    <x v="12"/>
    <n v="11"/>
    <x v="3"/>
    <s v="Cao Gangchuan"/>
    <m/>
    <s v="CMC Vice Chairman; Defense Minister"/>
    <n v="10"/>
    <x v="2"/>
    <s v="Defense Minister"/>
    <x v="0"/>
    <m/>
    <x v="0"/>
    <m/>
    <x v="1"/>
    <m/>
    <m/>
    <m/>
    <s v="Defense White Paper Appendix"/>
    <m/>
  </r>
  <r>
    <x v="1"/>
    <x v="7"/>
    <s v="West Asia and Africa"/>
    <s v="No Specific Relationship"/>
    <s v="None"/>
    <x v="4"/>
    <x v="97"/>
    <x v="12"/>
    <n v="11"/>
    <x v="4"/>
    <s v="Lei Mingqiu"/>
    <m/>
    <s v="Nanjing MR Political Commissar"/>
    <n v="6"/>
    <x v="1"/>
    <m/>
    <x v="0"/>
    <m/>
    <x v="0"/>
    <m/>
    <x v="1"/>
    <m/>
    <m/>
    <m/>
    <s v="Defense White Paper Appendix"/>
    <m/>
  </r>
  <r>
    <x v="1"/>
    <x v="8"/>
    <s v="Europe and Central Asia"/>
    <s v="No Specific Relationship"/>
    <s v="NATO"/>
    <x v="3"/>
    <x v="21"/>
    <x v="12"/>
    <n v="11"/>
    <x v="4"/>
    <s v="Xu Caihou"/>
    <m/>
    <s v="GPD Director; CMC Member"/>
    <n v="8"/>
    <x v="1"/>
    <m/>
    <x v="0"/>
    <m/>
    <x v="0"/>
    <m/>
    <x v="1"/>
    <m/>
    <m/>
    <m/>
    <s v="Defense White Paper Appendix"/>
    <m/>
  </r>
  <r>
    <x v="1"/>
    <x v="2"/>
    <s v="America and Oceania"/>
    <s v="No Specific Relationship"/>
    <s v="N/A"/>
    <x v="2"/>
    <x v="4"/>
    <x v="12"/>
    <n v="11"/>
    <x v="4"/>
    <s v="Zhu Wenquan"/>
    <m/>
    <s v="Nanjing MR Commander"/>
    <n v="6"/>
    <x v="1"/>
    <m/>
    <x v="0"/>
    <m/>
    <x v="0"/>
    <m/>
    <x v="1"/>
    <m/>
    <m/>
    <m/>
    <s v="Defense White Paper Appendix"/>
    <m/>
  </r>
  <r>
    <x v="1"/>
    <x v="5"/>
    <s v="America and Oceania"/>
    <s v="No Specific Relationship"/>
    <s v="ANZUS Treaty"/>
    <x v="0"/>
    <x v="12"/>
    <x v="12"/>
    <n v="12"/>
    <x v="4"/>
    <s v="Xiong Guangkai"/>
    <m/>
    <s v="GSD DCGS"/>
    <n v="6"/>
    <x v="1"/>
    <m/>
    <x v="0"/>
    <m/>
    <x v="0"/>
    <m/>
    <x v="1"/>
    <m/>
    <m/>
    <m/>
    <s v="Defense White Paper Appendix"/>
    <m/>
  </r>
  <r>
    <x v="1"/>
    <x v="0"/>
    <s v="Asia"/>
    <s v="No Specific Relationship"/>
    <s v="None"/>
    <x v="0"/>
    <x v="0"/>
    <x v="12"/>
    <n v="12"/>
    <x v="4"/>
    <s v="Xiong Guangkai"/>
    <m/>
    <s v="GSD DCGS"/>
    <n v="6"/>
    <x v="1"/>
    <m/>
    <x v="0"/>
    <m/>
    <x v="0"/>
    <m/>
    <x v="1"/>
    <m/>
    <m/>
    <m/>
    <s v="Defense White Paper Appendix"/>
    <m/>
  </r>
  <r>
    <x v="1"/>
    <x v="10"/>
    <s v="America and Oceania"/>
    <s v="No Specific Relationship"/>
    <s v="None"/>
    <x v="5"/>
    <x v="49"/>
    <x v="12"/>
    <n v="12"/>
    <x v="4"/>
    <s v="Jiang Futang"/>
    <m/>
    <s v="Shenyang MR Political Commissar"/>
    <n v="6"/>
    <x v="1"/>
    <m/>
    <x v="0"/>
    <m/>
    <x v="0"/>
    <m/>
    <x v="1"/>
    <m/>
    <m/>
    <m/>
    <s v="Defense White Paper Appendix"/>
    <m/>
  </r>
  <r>
    <x v="1"/>
    <x v="8"/>
    <s v="Europe and Central Asia"/>
    <s v="No Specific Relationship"/>
    <s v="None"/>
    <x v="3"/>
    <x v="98"/>
    <x v="12"/>
    <n v="12"/>
    <x v="4"/>
    <s v="Xiong Guangkai"/>
    <m/>
    <s v="GSD DCGS"/>
    <n v="6"/>
    <x v="1"/>
    <m/>
    <x v="0"/>
    <m/>
    <x v="0"/>
    <m/>
    <x v="1"/>
    <m/>
    <m/>
    <m/>
    <s v="Defense White Paper Appendix"/>
    <m/>
  </r>
  <r>
    <x v="1"/>
    <x v="9"/>
    <s v="West Asia and Africa"/>
    <s v="Strategic Cooperative Partnership [战略合作伙伴关系]"/>
    <s v="Major Non-NATO Ally"/>
    <x v="1"/>
    <x v="24"/>
    <x v="12"/>
    <n v="12"/>
    <x v="3"/>
    <s v="Xiong Guangkai"/>
    <m/>
    <s v="GSD DCGS"/>
    <n v="8"/>
    <x v="2"/>
    <s v="CinC Air Force"/>
    <x v="0"/>
    <m/>
    <x v="0"/>
    <m/>
    <x v="1"/>
    <m/>
    <m/>
    <m/>
    <s v="Defense White Paper Appendix"/>
    <m/>
  </r>
  <r>
    <x v="1"/>
    <x v="8"/>
    <s v="Europe and Central Asia"/>
    <s v="No Specific Relationship"/>
    <s v="NATO"/>
    <x v="3"/>
    <x v="82"/>
    <x v="12"/>
    <n v="12"/>
    <x v="4"/>
    <s v="Liu Yongzhi"/>
    <m/>
    <s v="PLA NDU Political Commissar"/>
    <n v="6"/>
    <x v="1"/>
    <m/>
    <x v="0"/>
    <m/>
    <x v="0"/>
    <m/>
    <x v="1"/>
    <m/>
    <m/>
    <m/>
    <s v="Defense White Paper Appendix"/>
    <m/>
  </r>
  <r>
    <x v="1"/>
    <x v="0"/>
    <s v="Asia"/>
    <s v="Comprehensive Cooperative Partnership [全面合作伙伴关系]"/>
    <s v="None"/>
    <x v="0"/>
    <x v="6"/>
    <x v="12"/>
    <n v="12"/>
    <x v="4"/>
    <s v="Xiong Guangkai"/>
    <m/>
    <s v="GSD DCGS"/>
    <n v="6"/>
    <x v="1"/>
    <m/>
    <x v="0"/>
    <m/>
    <x v="0"/>
    <m/>
    <x v="1"/>
    <m/>
    <m/>
    <m/>
    <s v="Defense White Paper Appendix"/>
    <m/>
  </r>
  <r>
    <x v="1"/>
    <x v="8"/>
    <s v="Europe and Central Asia"/>
    <s v="No Specific Relationship"/>
    <s v="NATO"/>
    <x v="3"/>
    <x v="20"/>
    <x v="12"/>
    <n v="12"/>
    <x v="4"/>
    <s v="Liu Yongzhi"/>
    <m/>
    <s v="PLA NDU Political Commissar"/>
    <n v="6"/>
    <x v="1"/>
    <m/>
    <x v="0"/>
    <m/>
    <x v="0"/>
    <m/>
    <x v="1"/>
    <m/>
    <m/>
    <m/>
    <s v="Defense White Paper Appendix"/>
    <m/>
  </r>
  <r>
    <x v="1"/>
    <x v="7"/>
    <s v="West Asia and Africa"/>
    <s v="No Specific Relationship"/>
    <s v="None"/>
    <x v="4"/>
    <x v="47"/>
    <x v="12"/>
    <n v="12"/>
    <x v="4"/>
    <s v="Xiong Guangkai"/>
    <m/>
    <s v="GSD DCGS"/>
    <n v="6"/>
    <x v="1"/>
    <m/>
    <x v="0"/>
    <m/>
    <x v="0"/>
    <m/>
    <x v="1"/>
    <m/>
    <m/>
    <m/>
    <s v="Defense White Paper Appendix"/>
    <m/>
  </r>
  <r>
    <x v="1"/>
    <x v="9"/>
    <s v="West Asia and Africa"/>
    <s v="No Specific Relationship"/>
    <s v="Major Non-NATO Ally"/>
    <x v="1"/>
    <x v="72"/>
    <x v="12"/>
    <n v="12"/>
    <x v="3"/>
    <s v="Cao Gangchuan"/>
    <m/>
    <s v="CMC Vice Chairman; Defense Minister"/>
    <n v="10"/>
    <x v="2"/>
    <s v="Defense Minister"/>
    <x v="0"/>
    <m/>
    <x v="0"/>
    <m/>
    <x v="1"/>
    <m/>
    <m/>
    <m/>
    <s v="Defense White Paper Appendix"/>
    <m/>
  </r>
  <r>
    <x v="1"/>
    <x v="1"/>
    <s v="Asia"/>
    <s v="No Specific Relationship"/>
    <s v="None"/>
    <x v="0"/>
    <x v="1"/>
    <x v="12"/>
    <n v="12"/>
    <x v="4"/>
    <s v="Xiong Guangkai"/>
    <m/>
    <s v="GSD DCGS"/>
    <n v="6"/>
    <x v="1"/>
    <m/>
    <x v="0"/>
    <m/>
    <x v="0"/>
    <m/>
    <x v="1"/>
    <m/>
    <m/>
    <m/>
    <s v="Defense White Paper Appendix"/>
    <m/>
  </r>
  <r>
    <x v="1"/>
    <x v="5"/>
    <s v="America and Oceania"/>
    <s v="No Specific Relationship"/>
    <s v="ANZUS Treaty"/>
    <x v="0"/>
    <x v="13"/>
    <x v="12"/>
    <n v="12"/>
    <x v="4"/>
    <s v="Xiong Guangkai"/>
    <m/>
    <s v="GSD DCGS"/>
    <n v="6"/>
    <x v="1"/>
    <m/>
    <x v="0"/>
    <m/>
    <x v="0"/>
    <m/>
    <x v="1"/>
    <m/>
    <m/>
    <m/>
    <s v="Defense White Paper Appendix"/>
    <m/>
  </r>
  <r>
    <x v="1"/>
    <x v="1"/>
    <s v="Asia"/>
    <s v="No Specific Relationship"/>
    <s v="Bilateral Defense Treaty"/>
    <x v="0"/>
    <x v="11"/>
    <x v="12"/>
    <n v="12"/>
    <x v="4"/>
    <s v="Chen Bingde"/>
    <m/>
    <s v="Jinan MR Commander"/>
    <n v="6"/>
    <x v="1"/>
    <m/>
    <x v="0"/>
    <m/>
    <x v="0"/>
    <m/>
    <x v="1"/>
    <m/>
    <m/>
    <m/>
    <s v="Defense White Paper Appendix"/>
    <m/>
  </r>
  <r>
    <x v="1"/>
    <x v="3"/>
    <s v="Europe and Central Asia"/>
    <s v="Strategic Partnership of Coordination [战略协作伙伴关系]"/>
    <s v="None"/>
    <x v="3"/>
    <x v="7"/>
    <x v="12"/>
    <n v="12"/>
    <x v="4"/>
    <s v="Cao Gangchuan"/>
    <m/>
    <s v="CMC Vice Chairman; Defense Minister"/>
    <n v="10"/>
    <x v="1"/>
    <s v="Defense Minister"/>
    <x v="0"/>
    <m/>
    <x v="0"/>
    <m/>
    <x v="1"/>
    <m/>
    <m/>
    <m/>
    <s v="Defense White Paper Appendix"/>
    <m/>
  </r>
  <r>
    <x v="1"/>
    <x v="1"/>
    <s v="Asia"/>
    <s v="No Specific Relationship"/>
    <s v="None"/>
    <x v="0"/>
    <x v="39"/>
    <x v="12"/>
    <n v="12"/>
    <x v="4"/>
    <s v="Xiong Guangkai"/>
    <m/>
    <s v="GSD DCGS"/>
    <n v="6"/>
    <x v="1"/>
    <m/>
    <x v="0"/>
    <m/>
    <x v="0"/>
    <m/>
    <x v="1"/>
    <m/>
    <m/>
    <m/>
    <s v="Defense White Paper Appendix"/>
    <m/>
  </r>
  <r>
    <x v="1"/>
    <x v="7"/>
    <s v="West Asia and Africa"/>
    <s v="No Specific Relationship"/>
    <s v="None"/>
    <x v="4"/>
    <x v="74"/>
    <x v="12"/>
    <n v="12"/>
    <x v="3"/>
    <s v="Cao Gangchuan"/>
    <m/>
    <s v="CMC Vice Chairman; Defense Minister"/>
    <n v="10"/>
    <x v="2"/>
    <s v="Defense Minister"/>
    <x v="0"/>
    <m/>
    <x v="0"/>
    <m/>
    <x v="1"/>
    <m/>
    <m/>
    <m/>
    <s v="Defense White Paper Appendix"/>
    <m/>
  </r>
  <r>
    <x v="1"/>
    <x v="1"/>
    <s v="Asia"/>
    <s v="No Specific Relationship"/>
    <s v="Bilateral Defense Treaty"/>
    <x v="0"/>
    <x v="5"/>
    <x v="12"/>
    <n v="12"/>
    <x v="4"/>
    <s v="Chen Bingde"/>
    <m/>
    <s v="Jinan MR Commander"/>
    <n v="6"/>
    <x v="1"/>
    <m/>
    <x v="0"/>
    <m/>
    <x v="0"/>
    <m/>
    <x v="1"/>
    <m/>
    <m/>
    <m/>
    <s v="Defense White Paper Appendix"/>
    <m/>
  </r>
  <r>
    <x v="1"/>
    <x v="2"/>
    <s v="America and Oceania"/>
    <s v="No Specific Relationship"/>
    <s v="N/A"/>
    <x v="2"/>
    <x v="4"/>
    <x v="13"/>
    <n v="1"/>
    <x v="3"/>
    <s v="Guo Boxiong"/>
    <m/>
    <s v="CMC Vice Chairman"/>
    <n v="10"/>
    <x v="2"/>
    <s v="Chairman JCS"/>
    <x v="0"/>
    <m/>
    <x v="0"/>
    <m/>
    <x v="1"/>
    <m/>
    <m/>
    <m/>
    <s v="Defense White Paper Appendix"/>
    <m/>
  </r>
  <r>
    <x v="1"/>
    <x v="9"/>
    <s v="West Asia and Africa"/>
    <s v="Strategic Cooperative Partnership [战略合作伙伴关系]"/>
    <s v="Major Non-NATO Ally"/>
    <x v="1"/>
    <x v="24"/>
    <x v="13"/>
    <n v="2"/>
    <x v="4"/>
    <s v="Xiong Guangkai"/>
    <m/>
    <s v="GSD DCGS"/>
    <n v="8"/>
    <x v="1"/>
    <m/>
    <x v="0"/>
    <m/>
    <x v="0"/>
    <m/>
    <x v="1"/>
    <m/>
    <m/>
    <m/>
    <s v="Defense White Paper Appendix"/>
    <s v="DCOGS trip"/>
  </r>
  <r>
    <x v="1"/>
    <x v="8"/>
    <s v="Europe and Central Asia"/>
    <s v="No Specific Relationship"/>
    <s v="None"/>
    <x v="3"/>
    <x v="99"/>
    <x v="13"/>
    <n v="2"/>
    <x v="3"/>
    <s v="Cao Gangchuan"/>
    <m/>
    <s v="CMC Vice Chairman; Defense Minister"/>
    <n v="10"/>
    <x v="2"/>
    <s v="Defense Minister"/>
    <x v="0"/>
    <m/>
    <x v="0"/>
    <m/>
    <x v="1"/>
    <m/>
    <m/>
    <m/>
    <s v="Defense White Paper Appendix"/>
    <m/>
  </r>
  <r>
    <x v="1"/>
    <x v="1"/>
    <s v="Asia"/>
    <s v="No Specific Relationship"/>
    <s v="None"/>
    <x v="0"/>
    <x v="23"/>
    <x v="13"/>
    <n v="2"/>
    <x v="4"/>
    <s v="Xiong Guangkai"/>
    <m/>
    <s v="GSD DCGS"/>
    <n v="8"/>
    <x v="1"/>
    <m/>
    <x v="0"/>
    <m/>
    <x v="0"/>
    <m/>
    <x v="1"/>
    <m/>
    <m/>
    <m/>
    <s v="Defense White Paper Appendix"/>
    <s v="DCOGS trip"/>
  </r>
  <r>
    <x v="1"/>
    <x v="7"/>
    <s v="West Asia and Africa"/>
    <s v="No Specific Relationship"/>
    <s v="None"/>
    <x v="4"/>
    <x v="86"/>
    <x v="13"/>
    <n v="2"/>
    <x v="4"/>
    <s v="Xiong Guangkai"/>
    <m/>
    <s v="GSD DCGS"/>
    <n v="8"/>
    <x v="1"/>
    <m/>
    <x v="0"/>
    <m/>
    <x v="0"/>
    <m/>
    <x v="1"/>
    <m/>
    <m/>
    <m/>
    <s v="Defense White Paper Appendix"/>
    <s v="DCOGS trip"/>
  </r>
  <r>
    <x v="1"/>
    <x v="5"/>
    <s v="America and Oceania"/>
    <s v="No Specific Relationship"/>
    <s v="ANZUS Treaty"/>
    <x v="0"/>
    <x v="12"/>
    <x v="13"/>
    <n v="3"/>
    <x v="3"/>
    <s v="Ge Zhenfeng"/>
    <m/>
    <s v="GSD DCGS"/>
    <n v="6"/>
    <x v="2"/>
    <s v="Commander of the Australian Theater"/>
    <x v="0"/>
    <m/>
    <x v="0"/>
    <m/>
    <x v="1"/>
    <m/>
    <m/>
    <m/>
    <s v="Defense White Paper Appendix"/>
    <m/>
  </r>
  <r>
    <x v="2"/>
    <x v="8"/>
    <s v="Europe and Central Asia"/>
    <s v="Comprehensive Partnership [全面伙伴关系]"/>
    <s v="NATO"/>
    <x v="3"/>
    <x v="22"/>
    <x v="13"/>
    <n v="3"/>
    <x v="5"/>
    <m/>
    <m/>
    <m/>
    <m/>
    <x v="0"/>
    <m/>
    <x v="2"/>
    <s v="Unknown"/>
    <x v="2"/>
    <s v="SAREX"/>
    <x v="1"/>
    <m/>
    <m/>
    <m/>
    <s v="Defense White Paper Appendix"/>
    <m/>
  </r>
  <r>
    <x v="1"/>
    <x v="0"/>
    <s v="Asia"/>
    <s v="Comprehensive Cooperative Partnership [全面合作伙伴关系]"/>
    <s v="None"/>
    <x v="0"/>
    <x v="6"/>
    <x v="13"/>
    <n v="3"/>
    <x v="4"/>
    <s v="Cao Gangchuan"/>
    <m/>
    <s v="CMC Vice Chairman; Defense Minister"/>
    <n v="10"/>
    <x v="1"/>
    <m/>
    <x v="0"/>
    <m/>
    <x v="0"/>
    <m/>
    <x v="1"/>
    <m/>
    <m/>
    <m/>
    <s v="Defense White Paper Appendix"/>
    <m/>
  </r>
  <r>
    <x v="1"/>
    <x v="4"/>
    <s v="Asia"/>
    <s v="Partnership of Friendship and Cooperation for Peace and Development [致力于和平发展的友好合作关系]"/>
    <s v="Bilateral Defense Treaty"/>
    <x v="0"/>
    <x v="83"/>
    <x v="13"/>
    <n v="3"/>
    <x v="3"/>
    <s v="Cao Gangchuan"/>
    <m/>
    <s v="CMC Vice Chairman; Defense Minister"/>
    <n v="10"/>
    <x v="2"/>
    <s v="Delegation of middle ranking officers from Sasakawa China-Japan Foundation"/>
    <x v="0"/>
    <m/>
    <x v="0"/>
    <m/>
    <x v="1"/>
    <m/>
    <m/>
    <m/>
    <s v="Defense White Paper Appendix"/>
    <m/>
  </r>
  <r>
    <x v="1"/>
    <x v="0"/>
    <s v="Asia"/>
    <s v="Strategic Partnership [战略伙伴关系]"/>
    <s v="Major Non-NATO Ally"/>
    <x v="1"/>
    <x v="2"/>
    <x v="13"/>
    <n v="3"/>
    <x v="4"/>
    <s v="Cao Gangchuan"/>
    <m/>
    <s v="CMC Vice Chairman; Defense Minister"/>
    <n v="10"/>
    <x v="1"/>
    <s v="Defense Minister"/>
    <x v="0"/>
    <m/>
    <x v="0"/>
    <m/>
    <x v="1"/>
    <m/>
    <m/>
    <m/>
    <s v="Defense White Paper Appendix"/>
    <m/>
  </r>
  <r>
    <x v="1"/>
    <x v="3"/>
    <s v="Europe and Central Asia"/>
    <s v="Strategic Partnership of Coordination [战略协作伙伴关系]"/>
    <s v="None"/>
    <x v="3"/>
    <x v="7"/>
    <x v="13"/>
    <n v="3"/>
    <x v="3"/>
    <s v="Liang Guanglie"/>
    <m/>
    <s v="GSD Commander; CMC Member"/>
    <n v="8"/>
    <x v="2"/>
    <s v="First Deputy Chief of Staff Russian Armed Forces"/>
    <x v="0"/>
    <m/>
    <x v="0"/>
    <m/>
    <x v="1"/>
    <m/>
    <m/>
    <m/>
    <s v="Defense White Paper Appendix"/>
    <m/>
  </r>
  <r>
    <x v="1"/>
    <x v="1"/>
    <s v="Asia"/>
    <s v="No Specific Relationship"/>
    <s v="Bilateral Defense Treaty"/>
    <x v="0"/>
    <x v="5"/>
    <x v="13"/>
    <n v="3"/>
    <x v="4"/>
    <s v="Cao Gangchuan"/>
    <m/>
    <s v="CMC Vice Chairman; Defense Minister"/>
    <n v="10"/>
    <x v="1"/>
    <m/>
    <x v="0"/>
    <m/>
    <x v="0"/>
    <m/>
    <x v="1"/>
    <m/>
    <m/>
    <m/>
    <s v="Defense White Paper Appendix"/>
    <m/>
  </r>
  <r>
    <x v="1"/>
    <x v="7"/>
    <s v="West Asia and Africa"/>
    <s v="No Specific Relationship"/>
    <s v="None"/>
    <x v="4"/>
    <x v="86"/>
    <x v="13"/>
    <n v="3"/>
    <x v="3"/>
    <s v="Cao Gangchuan"/>
    <m/>
    <s v="CMC Vice Chairman; Defense Minister"/>
    <n v="10"/>
    <x v="2"/>
    <s v="Commander Defense Forces "/>
    <x v="0"/>
    <m/>
    <x v="0"/>
    <m/>
    <x v="1"/>
    <m/>
    <m/>
    <m/>
    <s v="Defense White Paper Appendix"/>
    <m/>
  </r>
  <r>
    <x v="1"/>
    <x v="8"/>
    <s v="Europe and Central Asia"/>
    <s v="No Specific Relationship"/>
    <s v="NATO"/>
    <x v="3"/>
    <x v="58"/>
    <x v="13"/>
    <n v="4"/>
    <x v="4"/>
    <s v="Li Jinai"/>
    <m/>
    <s v="GPD Deputy Director"/>
    <n v="8"/>
    <x v="1"/>
    <m/>
    <x v="0"/>
    <m/>
    <x v="0"/>
    <m/>
    <x v="1"/>
    <m/>
    <m/>
    <m/>
    <s v="Defense White Paper Appendix"/>
    <s v="Updated positions with DWP"/>
  </r>
  <r>
    <x v="1"/>
    <x v="9"/>
    <s v="West Asia and Africa"/>
    <s v="Strategic Cooperative Partnership [战略合作伙伴关系]"/>
    <s v="Major Non-NATO Ally"/>
    <x v="1"/>
    <x v="24"/>
    <x v="13"/>
    <n v="4"/>
    <x v="4"/>
    <s v="Liu Dongdong"/>
    <m/>
    <s v="Jinan MR Political Commissar"/>
    <n v="6"/>
    <x v="1"/>
    <m/>
    <x v="0"/>
    <m/>
    <x v="0"/>
    <m/>
    <x v="1"/>
    <m/>
    <m/>
    <m/>
    <s v="Defense White Paper Appendix"/>
    <m/>
  </r>
  <r>
    <x v="1"/>
    <x v="8"/>
    <s v="Europe and Central Asia"/>
    <s v="No Specific Relationship"/>
    <s v="None"/>
    <x v="3"/>
    <x v="81"/>
    <x v="13"/>
    <n v="4"/>
    <x v="3"/>
    <s v="Cao Gangchuan"/>
    <m/>
    <s v="CMC Vice Chairman; Defense Minister"/>
    <n v="10"/>
    <x v="2"/>
    <s v="CinC National Defense Forces"/>
    <x v="0"/>
    <m/>
    <x v="0"/>
    <m/>
    <x v="1"/>
    <m/>
    <m/>
    <m/>
    <s v="Defense White Paper Appendix"/>
    <m/>
  </r>
  <r>
    <x v="1"/>
    <x v="9"/>
    <s v="West Asia and Africa"/>
    <s v="No Specific Relationship"/>
    <s v="Major Non-NATO Ally"/>
    <x v="1"/>
    <x v="100"/>
    <x v="13"/>
    <n v="4"/>
    <x v="4"/>
    <s v="Pei Huailiang"/>
    <m/>
    <s v="PLA NDU President"/>
    <n v="6"/>
    <x v="1"/>
    <m/>
    <x v="0"/>
    <m/>
    <x v="0"/>
    <m/>
    <x v="1"/>
    <m/>
    <m/>
    <m/>
    <s v="Defense White Paper Appendix"/>
    <m/>
  </r>
  <r>
    <x v="1"/>
    <x v="4"/>
    <s v="Asia"/>
    <s v="Partnership of Friendship and Cooperation for Peace and Development [致力于和平发展的友好合作关系]"/>
    <s v="Bilateral Defense Treaty"/>
    <x v="0"/>
    <x v="83"/>
    <x v="13"/>
    <n v="4"/>
    <x v="3"/>
    <s v="Cao Gangchuan"/>
    <m/>
    <s v="CMC Vice Chairman; Defense Minister"/>
    <n v="10"/>
    <x v="2"/>
    <s v="JADSF Chief of Staff"/>
    <x v="0"/>
    <m/>
    <x v="0"/>
    <m/>
    <x v="1"/>
    <m/>
    <m/>
    <m/>
    <s v="Defense White Paper Appendix"/>
    <m/>
  </r>
  <r>
    <x v="1"/>
    <x v="9"/>
    <s v="West Asia and Africa"/>
    <s v="No Specific Relationship"/>
    <s v="Major Non-NATO Ally"/>
    <x v="1"/>
    <x v="101"/>
    <x v="13"/>
    <n v="4"/>
    <x v="4"/>
    <s v="Pei Huailiang"/>
    <m/>
    <s v="PLA NDU President"/>
    <n v="6"/>
    <x v="1"/>
    <m/>
    <x v="0"/>
    <m/>
    <x v="0"/>
    <m/>
    <x v="1"/>
    <m/>
    <m/>
    <m/>
    <s v="Defense White Paper Appendix"/>
    <m/>
  </r>
  <r>
    <x v="1"/>
    <x v="6"/>
    <s v="Europe and Central Asia"/>
    <s v="Comprehensive Cooperative Partnership [全面合作伙伴关系]"/>
    <s v="None"/>
    <x v="1"/>
    <x v="30"/>
    <x v="13"/>
    <n v="4"/>
    <x v="3"/>
    <s v="Cao Gangchuan"/>
    <m/>
    <s v="CMC Vice Chairman; Defense Minister"/>
    <n v="10"/>
    <x v="2"/>
    <s v="Defense Minister"/>
    <x v="0"/>
    <m/>
    <x v="0"/>
    <m/>
    <x v="1"/>
    <m/>
    <m/>
    <m/>
    <s v="Defense White Paper Appendix"/>
    <m/>
  </r>
  <r>
    <x v="1"/>
    <x v="8"/>
    <s v="Europe and Central Asia"/>
    <s v="No Specific Relationship"/>
    <s v="NATO"/>
    <x v="3"/>
    <x v="37"/>
    <x v="13"/>
    <n v="4"/>
    <x v="3"/>
    <s v="Cao Gangchuan"/>
    <m/>
    <s v="CMC Vice Chairman; Defense Minister"/>
    <n v="10"/>
    <x v="2"/>
    <s v="Defense Minister"/>
    <x v="0"/>
    <m/>
    <x v="0"/>
    <m/>
    <x v="1"/>
    <m/>
    <m/>
    <m/>
    <s v="Defense White Paper Appendix"/>
    <m/>
  </r>
  <r>
    <x v="1"/>
    <x v="1"/>
    <s v="Asia"/>
    <s v="No Specific Relationship"/>
    <s v="Bilateral Defense Treaty"/>
    <x v="0"/>
    <x v="11"/>
    <x v="13"/>
    <n v="4"/>
    <x v="3"/>
    <s v="Liang Guanglie"/>
    <m/>
    <s v="GSD Commander; CMC Member"/>
    <n v="8"/>
    <x v="2"/>
    <s v="Commander, Air Force"/>
    <x v="0"/>
    <m/>
    <x v="0"/>
    <m/>
    <x v="1"/>
    <m/>
    <m/>
    <m/>
    <s v="Defense White Paper Appendix"/>
    <m/>
  </r>
  <r>
    <x v="1"/>
    <x v="3"/>
    <s v="Europe and Central Asia"/>
    <s v="Strategic Partnership of Coordination [战略协作伙伴关系]"/>
    <s v="None"/>
    <x v="3"/>
    <x v="7"/>
    <x v="13"/>
    <n v="4"/>
    <x v="3"/>
    <s v="Cao Gangchuan"/>
    <m/>
    <s v="CMC Vice Chairman; Defense Minister"/>
    <n v="10"/>
    <x v="2"/>
    <s v="Defense Minister"/>
    <x v="0"/>
    <m/>
    <x v="0"/>
    <m/>
    <x v="1"/>
    <m/>
    <m/>
    <m/>
    <s v="Defense White Paper Appendix"/>
    <m/>
  </r>
  <r>
    <x v="1"/>
    <x v="4"/>
    <s v="Asia"/>
    <s v="Comprehensive Cooperative Partnership [全面合作伙伴关系]"/>
    <s v="Bilateral Defense Treaty"/>
    <x v="0"/>
    <x v="25"/>
    <x v="13"/>
    <n v="4"/>
    <x v="3"/>
    <s v="Xiong Guangkai"/>
    <m/>
    <s v="GSD DCGS"/>
    <n v="6"/>
    <x v="2"/>
    <s v="ROK NDU President"/>
    <x v="0"/>
    <m/>
    <x v="0"/>
    <m/>
    <x v="1"/>
    <m/>
    <m/>
    <m/>
    <s v="Defense White Paper Appendix"/>
    <m/>
  </r>
  <r>
    <x v="1"/>
    <x v="9"/>
    <s v="West Asia and Africa"/>
    <s v="No Specific Relationship"/>
    <s v="None"/>
    <x v="1"/>
    <x v="102"/>
    <x v="13"/>
    <n v="4"/>
    <x v="4"/>
    <s v="Liu Dongdong"/>
    <m/>
    <s v="Jinan MR Political Commissar"/>
    <n v="6"/>
    <x v="1"/>
    <m/>
    <x v="0"/>
    <m/>
    <x v="0"/>
    <m/>
    <x v="1"/>
    <m/>
    <m/>
    <m/>
    <s v="Defense White Paper Appendix"/>
    <m/>
  </r>
  <r>
    <x v="1"/>
    <x v="8"/>
    <s v="Europe and Central Asia"/>
    <s v="No Specific Relationship"/>
    <s v="None"/>
    <x v="3"/>
    <x v="26"/>
    <x v="13"/>
    <n v="4"/>
    <x v="4"/>
    <s v="Pei Huailiang"/>
    <m/>
    <s v="PLA NDU President"/>
    <n v="6"/>
    <x v="1"/>
    <m/>
    <x v="0"/>
    <m/>
    <x v="0"/>
    <m/>
    <x v="1"/>
    <m/>
    <m/>
    <m/>
    <s v="Defense White Paper Appendix"/>
    <m/>
  </r>
  <r>
    <x v="1"/>
    <x v="10"/>
    <s v="America and Oceania"/>
    <s v="No Specific Relationship"/>
    <s v="None"/>
    <x v="5"/>
    <x v="103"/>
    <x v="13"/>
    <n v="5"/>
    <x v="3"/>
    <s v="Cao Gangchuan"/>
    <m/>
    <s v="CMC Vice Chairman; Defense Minister"/>
    <n v="10"/>
    <x v="2"/>
    <s v="Chief of Staff National Defense Forces"/>
    <x v="0"/>
    <m/>
    <x v="0"/>
    <m/>
    <x v="1"/>
    <m/>
    <m/>
    <m/>
    <s v="Defense White Paper Appendix"/>
    <m/>
  </r>
  <r>
    <x v="1"/>
    <x v="10"/>
    <s v="America and Oceania"/>
    <s v="Comprehensive Strategic Partnership [全面战略伙伴关系]"/>
    <s v="None"/>
    <x v="5"/>
    <x v="43"/>
    <x v="13"/>
    <n v="5"/>
    <x v="3"/>
    <s v="Cao Gangchuan"/>
    <m/>
    <s v="CMC Vice Chairman; Defense Minister"/>
    <n v="10"/>
    <x v="2"/>
    <s v="Air Force Commander "/>
    <x v="0"/>
    <m/>
    <x v="0"/>
    <m/>
    <x v="1"/>
    <m/>
    <m/>
    <m/>
    <s v="Defense White Paper Appendix"/>
    <m/>
  </r>
  <r>
    <x v="1"/>
    <x v="1"/>
    <s v="Asia"/>
    <s v="No Specific Relationship"/>
    <s v="None"/>
    <x v="0"/>
    <x v="94"/>
    <x v="13"/>
    <n v="5"/>
    <x v="3"/>
    <s v="Cao Gangchuan"/>
    <m/>
    <s v="CMC Vice Chairman; Defense Minister"/>
    <n v="10"/>
    <x v="2"/>
    <s v="Director General of General Logistics and Finance"/>
    <x v="0"/>
    <m/>
    <x v="0"/>
    <m/>
    <x v="1"/>
    <m/>
    <m/>
    <m/>
    <s v="Defense White Paper Appendix"/>
    <m/>
  </r>
  <r>
    <x v="1"/>
    <x v="2"/>
    <s v="America and Oceania"/>
    <s v="Comprehensive Partnership [全面伙伴关系]"/>
    <s v="NATO"/>
    <x v="2"/>
    <x v="17"/>
    <x v="13"/>
    <n v="5"/>
    <x v="4"/>
    <s v="Wen Zongren"/>
    <m/>
    <s v="AMS Political Commissar"/>
    <n v="6"/>
    <x v="1"/>
    <m/>
    <x v="0"/>
    <m/>
    <x v="0"/>
    <m/>
    <x v="1"/>
    <m/>
    <m/>
    <m/>
    <s v="Defense White Paper Appendix"/>
    <m/>
  </r>
  <r>
    <x v="1"/>
    <x v="10"/>
    <s v="America and Oceania"/>
    <s v="Comprehensive Partnership [全面伙伴关系]"/>
    <s v="None"/>
    <x v="5"/>
    <x v="66"/>
    <x v="13"/>
    <n v="5"/>
    <x v="3"/>
    <s v="Cao Gangchuan"/>
    <m/>
    <s v="CMC Vice Chairman; Defense Minister"/>
    <n v="10"/>
    <x v="2"/>
    <s v="Defense Minister"/>
    <x v="0"/>
    <m/>
    <x v="0"/>
    <m/>
    <x v="1"/>
    <m/>
    <m/>
    <m/>
    <s v="Defense White Paper Appendix"/>
    <m/>
  </r>
  <r>
    <x v="1"/>
    <x v="10"/>
    <s v="America and Oceania"/>
    <s v="No Specific Relationship"/>
    <s v="None"/>
    <x v="5"/>
    <x v="49"/>
    <x v="13"/>
    <n v="5"/>
    <x v="4"/>
    <s v="Chi Wanchun"/>
    <m/>
    <s v="GAD Political Commissar"/>
    <n v="6"/>
    <x v="1"/>
    <m/>
    <x v="0"/>
    <m/>
    <x v="0"/>
    <m/>
    <x v="1"/>
    <m/>
    <m/>
    <m/>
    <s v="Defense White Paper Appendix"/>
    <m/>
  </r>
  <r>
    <x v="1"/>
    <x v="8"/>
    <s v="Europe and Central Asia"/>
    <s v="Comprehensive Partnership [全面伙伴关系]"/>
    <s v="NATO"/>
    <x v="3"/>
    <x v="22"/>
    <x v="13"/>
    <n v="5"/>
    <x v="4"/>
    <s v="Liang Guanglie"/>
    <m/>
    <s v="GSD Commander; CMC Member"/>
    <n v="8"/>
    <x v="1"/>
    <m/>
    <x v="0"/>
    <m/>
    <x v="0"/>
    <m/>
    <x v="1"/>
    <m/>
    <m/>
    <m/>
    <s v="Defense White Paper Appendix"/>
    <m/>
  </r>
  <r>
    <x v="1"/>
    <x v="8"/>
    <s v="Europe and Central Asia"/>
    <s v="No Specific Relationship"/>
    <s v="NATO"/>
    <x v="3"/>
    <x v="29"/>
    <x v="13"/>
    <n v="5"/>
    <x v="3"/>
    <s v="Cao Gangchuan"/>
    <m/>
    <s v="CMC Vice Chairman; Defense Minister"/>
    <n v="10"/>
    <x v="2"/>
    <s v="Chief of Staff, Air Force"/>
    <x v="0"/>
    <m/>
    <x v="0"/>
    <m/>
    <x v="1"/>
    <m/>
    <m/>
    <m/>
    <s v="Defense White Paper Appendix"/>
    <m/>
  </r>
  <r>
    <x v="0"/>
    <x v="4"/>
    <s v="Asia"/>
    <s v="N/A"/>
    <s v="None"/>
    <x v="0"/>
    <x v="19"/>
    <x v="13"/>
    <n v="5"/>
    <x v="0"/>
    <m/>
    <m/>
    <m/>
    <m/>
    <x v="0"/>
    <m/>
    <x v="0"/>
    <m/>
    <x v="0"/>
    <m/>
    <x v="0"/>
    <s v="2004-05 Unknown "/>
    <s v="Unknown"/>
    <s v="8 vessels"/>
    <m/>
    <m/>
  </r>
  <r>
    <x v="1"/>
    <x v="8"/>
    <s v="Europe and Central Asia"/>
    <s v="No Specific Relationship"/>
    <s v="NATO"/>
    <x v="3"/>
    <x v="82"/>
    <x v="13"/>
    <n v="5"/>
    <x v="3"/>
    <s v="Cao Gangchuan"/>
    <m/>
    <s v="CMC Vice Chairman; Defense Minister"/>
    <n v="10"/>
    <x v="2"/>
    <s v="State Affairs Secretary"/>
    <x v="0"/>
    <m/>
    <x v="0"/>
    <m/>
    <x v="1"/>
    <m/>
    <m/>
    <m/>
    <s v="Defense White Paper Appendix"/>
    <m/>
  </r>
  <r>
    <x v="1"/>
    <x v="4"/>
    <s v="Asia"/>
    <s v="Partnership of Friendship and Cooperation for Peace and Development [致力于和平发展的友好合作关系]"/>
    <s v="Bilateral Defense Treaty"/>
    <x v="0"/>
    <x v="83"/>
    <x v="13"/>
    <n v="5"/>
    <x v="3"/>
    <s v="Cao Gangchuan"/>
    <m/>
    <s v="CMC Vice Chairman; Defense Minister"/>
    <n v="10"/>
    <x v="2"/>
    <s v="former Chairman JCS"/>
    <x v="0"/>
    <m/>
    <x v="0"/>
    <m/>
    <x v="1"/>
    <m/>
    <m/>
    <m/>
    <s v="Defense White Paper Appendix"/>
    <m/>
  </r>
  <r>
    <x v="1"/>
    <x v="1"/>
    <s v="Asia"/>
    <s v="No Specific Relationship"/>
    <s v="None"/>
    <x v="0"/>
    <x v="52"/>
    <x v="13"/>
    <n v="5"/>
    <x v="3"/>
    <s v="Cao Gangchuan"/>
    <m/>
    <s v="CMC Vice Chairman; Defense Minister"/>
    <n v="10"/>
    <x v="2"/>
    <s v="Chief, GPD "/>
    <x v="0"/>
    <m/>
    <x v="0"/>
    <m/>
    <x v="1"/>
    <m/>
    <m/>
    <m/>
    <s v="Defense White Paper Appendix"/>
    <m/>
  </r>
  <r>
    <x v="1"/>
    <x v="7"/>
    <s v="West Asia and Africa"/>
    <s v="No Specific Relationship"/>
    <s v="None"/>
    <x v="4"/>
    <x v="69"/>
    <x v="13"/>
    <n v="5"/>
    <x v="3"/>
    <s v="Cao Gangchuan"/>
    <m/>
    <s v="CMC Vice Chairman; Defense Minister"/>
    <n v="10"/>
    <x v="2"/>
    <s v="Defense Minister"/>
    <x v="0"/>
    <m/>
    <x v="0"/>
    <m/>
    <x v="1"/>
    <m/>
    <m/>
    <m/>
    <s v="Defense White Paper Appendix"/>
    <m/>
  </r>
  <r>
    <x v="1"/>
    <x v="7"/>
    <s v="West Asia and Africa"/>
    <s v="No Specific Relationship"/>
    <s v="None"/>
    <x v="4"/>
    <x v="69"/>
    <x v="13"/>
    <n v="5"/>
    <x v="4"/>
    <s v="Xiong Guangkai"/>
    <m/>
    <s v="GSD DCGS"/>
    <n v="6"/>
    <x v="1"/>
    <m/>
    <x v="0"/>
    <m/>
    <x v="0"/>
    <m/>
    <x v="1"/>
    <m/>
    <m/>
    <m/>
    <s v="Defense White Paper Appendix"/>
    <m/>
  </r>
  <r>
    <x v="1"/>
    <x v="7"/>
    <s v="West Asia and Africa"/>
    <s v="No Specific Relationship"/>
    <s v="None"/>
    <x v="4"/>
    <x v="104"/>
    <x v="13"/>
    <n v="5"/>
    <x v="3"/>
    <s v="Cao Gangchuan"/>
    <m/>
    <s v="CMC Vice Chairman; Defense Minister"/>
    <n v="10"/>
    <x v="2"/>
    <s v="COGS"/>
    <x v="0"/>
    <m/>
    <x v="0"/>
    <m/>
    <x v="1"/>
    <m/>
    <m/>
    <m/>
    <s v="Defense White Paper Appendix"/>
    <m/>
  </r>
  <r>
    <x v="1"/>
    <x v="7"/>
    <s v="West Asia and Africa"/>
    <s v="No Specific Relationship"/>
    <s v="None"/>
    <x v="4"/>
    <x v="36"/>
    <x v="13"/>
    <n v="5"/>
    <x v="3"/>
    <s v="Cao Gangchuan"/>
    <m/>
    <s v="CMC Vice Chairman; Defense Minister"/>
    <n v="10"/>
    <x v="2"/>
    <s v="Defense Minister"/>
    <x v="0"/>
    <m/>
    <x v="0"/>
    <m/>
    <x v="1"/>
    <m/>
    <m/>
    <m/>
    <s v="Defense White Paper Appendix"/>
    <m/>
  </r>
  <r>
    <x v="1"/>
    <x v="4"/>
    <s v="Asia"/>
    <s v="Bilateral Defense Treaty"/>
    <s v="None"/>
    <x v="0"/>
    <x v="9"/>
    <x v="13"/>
    <n v="5"/>
    <x v="3"/>
    <s v="Cao Gangchuan"/>
    <m/>
    <s v="CMC Vice Chairman; Defense Minister"/>
    <n v="10"/>
    <x v="2"/>
    <s v="Defense Minister"/>
    <x v="0"/>
    <m/>
    <x v="0"/>
    <m/>
    <x v="1"/>
    <m/>
    <m/>
    <m/>
    <s v="Defense White Paper Appendix"/>
    <m/>
  </r>
  <r>
    <x v="1"/>
    <x v="0"/>
    <s v="Asia"/>
    <s v="Strategic Partnership [战略伙伴关系]"/>
    <s v="Major Non-NATO Ally"/>
    <x v="1"/>
    <x v="2"/>
    <x v="13"/>
    <n v="5"/>
    <x v="3"/>
    <s v="Cao Gangchuan"/>
    <m/>
    <s v="CMC Vice Chairman; Defense Minister"/>
    <n v="10"/>
    <x v="2"/>
    <s v="Chief of Naval Staff, Pakistan"/>
    <x v="0"/>
    <m/>
    <x v="0"/>
    <m/>
    <x v="1"/>
    <m/>
    <m/>
    <m/>
    <s v="Defense White Paper Appendix"/>
    <m/>
  </r>
  <r>
    <x v="1"/>
    <x v="0"/>
    <s v="Asia"/>
    <s v="Strategic Partnership [战略伙伴关系]"/>
    <s v="Major Non-NATO Ally"/>
    <x v="1"/>
    <x v="2"/>
    <x v="13"/>
    <n v="5"/>
    <x v="3"/>
    <s v="Cao Gangchuan"/>
    <m/>
    <s v="CMC Vice Chairman; Defense Minister"/>
    <n v="10"/>
    <x v="2"/>
    <s v="Commandant Pakistan National Defense College"/>
    <x v="0"/>
    <m/>
    <x v="0"/>
    <m/>
    <x v="1"/>
    <m/>
    <m/>
    <m/>
    <s v="Defense White Paper Appendix"/>
    <m/>
  </r>
  <r>
    <x v="1"/>
    <x v="8"/>
    <s v="Europe and Central Asia"/>
    <s v="No Specific Relationship"/>
    <s v="NATO"/>
    <x v="3"/>
    <x v="59"/>
    <x v="13"/>
    <n v="5"/>
    <x v="4"/>
    <s v="Li Jinai"/>
    <m/>
    <s v="GPD Deputy Director"/>
    <n v="8"/>
    <x v="1"/>
    <m/>
    <x v="0"/>
    <m/>
    <x v="0"/>
    <m/>
    <x v="1"/>
    <m/>
    <m/>
    <m/>
    <s v="Defense White Paper Appendix"/>
    <s v="Updated positions with DWP"/>
  </r>
  <r>
    <x v="1"/>
    <x v="8"/>
    <s v="Europe and Central Asia"/>
    <s v="Comprehensive Friendly Cooperative Partnership [全面友好合作伙伴关系]"/>
    <s v="NATO"/>
    <x v="3"/>
    <x v="33"/>
    <x v="13"/>
    <n v="5"/>
    <x v="4"/>
    <s v="Liang Guanglie"/>
    <m/>
    <s v="GSD Commander; CMC Member"/>
    <n v="8"/>
    <x v="1"/>
    <m/>
    <x v="0"/>
    <m/>
    <x v="0"/>
    <m/>
    <x v="1"/>
    <m/>
    <m/>
    <m/>
    <s v="Defense White Paper Appendix"/>
    <m/>
  </r>
  <r>
    <x v="1"/>
    <x v="3"/>
    <s v="Europe and Central Asia"/>
    <s v="Strategic Partnership of Coordination [战略协作伙伴关系]"/>
    <s v="None"/>
    <x v="3"/>
    <x v="7"/>
    <x v="13"/>
    <n v="5"/>
    <x v="4"/>
    <s v="Liang Guanglie"/>
    <m/>
    <s v="GSD Commander; CMC Member"/>
    <n v="8"/>
    <x v="1"/>
    <m/>
    <x v="0"/>
    <m/>
    <x v="0"/>
    <m/>
    <x v="1"/>
    <m/>
    <m/>
    <m/>
    <s v="Defense White Paper Appendix"/>
    <m/>
  </r>
  <r>
    <x v="1"/>
    <x v="8"/>
    <s v="Europe and Central Asia"/>
    <s v="No Specific Relationship"/>
    <s v="NATO"/>
    <x v="3"/>
    <x v="40"/>
    <x v="13"/>
    <n v="5"/>
    <x v="4"/>
    <s v="Li Jinai"/>
    <m/>
    <s v="GPD Deputy Director"/>
    <n v="8"/>
    <x v="1"/>
    <m/>
    <x v="0"/>
    <m/>
    <x v="0"/>
    <m/>
    <x v="1"/>
    <m/>
    <m/>
    <m/>
    <s v="Defense White Paper Appendix"/>
    <s v="Updated positions with DWP"/>
  </r>
  <r>
    <x v="1"/>
    <x v="7"/>
    <s v="West Asia and Africa"/>
    <s v="No Specific Relationship"/>
    <s v="None"/>
    <x v="4"/>
    <x v="16"/>
    <x v="13"/>
    <n v="5"/>
    <x v="4"/>
    <s v="Xiong Guangkai"/>
    <m/>
    <s v="GSD DCGS"/>
    <n v="6"/>
    <x v="1"/>
    <m/>
    <x v="0"/>
    <m/>
    <x v="0"/>
    <m/>
    <x v="1"/>
    <m/>
    <m/>
    <m/>
    <s v="Defense White Paper Appendix"/>
    <m/>
  </r>
  <r>
    <x v="1"/>
    <x v="8"/>
    <s v="Europe and Central Asia"/>
    <s v="Comprehensive Strategic Partnership [全面战略伙伴关系]"/>
    <s v="NATO"/>
    <x v="3"/>
    <x v="21"/>
    <x v="13"/>
    <n v="5"/>
    <x v="4"/>
    <s v="Liang Guanglie"/>
    <m/>
    <s v="GSD Commander; CMC Member"/>
    <n v="8"/>
    <x v="1"/>
    <m/>
    <x v="0"/>
    <m/>
    <x v="0"/>
    <m/>
    <x v="1"/>
    <m/>
    <m/>
    <m/>
    <s v="Defense White Paper Appendix"/>
    <m/>
  </r>
  <r>
    <x v="1"/>
    <x v="0"/>
    <s v="Asia"/>
    <s v="Good-Neighborly Partnership [世代友好的睦邻伙伴关系]"/>
    <s v="None"/>
    <x v="0"/>
    <x v="32"/>
    <x v="13"/>
    <n v="6"/>
    <x v="3"/>
    <s v="Liang Guanglie"/>
    <m/>
    <s v="GSD Commander; CMC Member"/>
    <n v="8"/>
    <x v="2"/>
    <s v="Army Chief of Staff"/>
    <x v="0"/>
    <m/>
    <x v="0"/>
    <m/>
    <x v="1"/>
    <m/>
    <m/>
    <m/>
    <s v="Defense White Paper Appendix"/>
    <s v="Recoded as South Asia"/>
  </r>
  <r>
    <x v="1"/>
    <x v="4"/>
    <s v="Asia"/>
    <s v="Bilateral Defense Treaty"/>
    <s v="None"/>
    <x v="0"/>
    <x v="9"/>
    <x v="13"/>
    <n v="6"/>
    <x v="4"/>
    <s v="Li Yu"/>
    <m/>
    <s v="GSD Assistant Commander"/>
    <n v="5"/>
    <x v="1"/>
    <m/>
    <x v="0"/>
    <m/>
    <x v="0"/>
    <m/>
    <x v="1"/>
    <m/>
    <m/>
    <m/>
    <s v="Defense White Paper Appendix"/>
    <m/>
  </r>
  <r>
    <x v="1"/>
    <x v="8"/>
    <s v="Europe and Central Asia"/>
    <s v="Comprehensive Friendly Cooperative Partnership [全面友好合作伙伴关系]"/>
    <s v="NATO"/>
    <x v="3"/>
    <x v="33"/>
    <x v="13"/>
    <n v="6"/>
    <x v="3"/>
    <s v="Liang Guanglie"/>
    <m/>
    <s v="GSD Commander; CMC Member"/>
    <n v="8"/>
    <x v="2"/>
    <s v="State Affairs Secretary and concurrent Chief of General Ordnance Department"/>
    <x v="0"/>
    <m/>
    <x v="0"/>
    <m/>
    <x v="1"/>
    <m/>
    <m/>
    <m/>
    <s v="Defense White Paper Appendix"/>
    <m/>
  </r>
  <r>
    <x v="2"/>
    <x v="8"/>
    <s v="Europe and Central Asia"/>
    <s v="Comprehensive Strategic Partnership [全面战略伙伴关系]"/>
    <s v="NATO"/>
    <x v="3"/>
    <x v="21"/>
    <x v="13"/>
    <n v="6"/>
    <x v="5"/>
    <m/>
    <m/>
    <m/>
    <m/>
    <x v="0"/>
    <m/>
    <x v="2"/>
    <s v="Unknown"/>
    <x v="2"/>
    <s v="SAREX"/>
    <x v="1"/>
    <m/>
    <m/>
    <m/>
    <s v="Defense White Paper Appendix"/>
    <m/>
  </r>
  <r>
    <x v="1"/>
    <x v="10"/>
    <s v="America and Oceania"/>
    <s v="No Specific Relationship"/>
    <s v="None"/>
    <x v="5"/>
    <x v="49"/>
    <x v="13"/>
    <n v="7"/>
    <x v="4"/>
    <s v="Zhang Wentai"/>
    <m/>
    <s v="GLD Political Commissar"/>
    <n v="6"/>
    <x v="1"/>
    <m/>
    <x v="0"/>
    <m/>
    <x v="0"/>
    <m/>
    <x v="1"/>
    <m/>
    <m/>
    <m/>
    <s v="Defense White Paper Appendix"/>
    <m/>
  </r>
  <r>
    <x v="1"/>
    <x v="9"/>
    <s v="West Asia and Africa"/>
    <s v="Strategic Cooperative Partnership [战略合作伙伴关系]"/>
    <s v="Major Non-NATO Ally"/>
    <x v="1"/>
    <x v="24"/>
    <x v="13"/>
    <n v="7"/>
    <x v="4"/>
    <s v="Guo Boxiong"/>
    <m/>
    <s v="CMC Vice Chairman"/>
    <n v="10"/>
    <x v="1"/>
    <s v="Defense Minister"/>
    <x v="0"/>
    <m/>
    <x v="0"/>
    <m/>
    <x v="1"/>
    <m/>
    <m/>
    <m/>
    <s v="Defense White Paper Appendix"/>
    <m/>
  </r>
  <r>
    <x v="1"/>
    <x v="8"/>
    <s v="Europe and Central Asia"/>
    <s v="No Specific Relationship"/>
    <s v="NATO"/>
    <x v="3"/>
    <x v="18"/>
    <x v="13"/>
    <n v="7"/>
    <x v="3"/>
    <s v="Liang Guanglie"/>
    <m/>
    <s v="GSD Commander; CMC Member"/>
    <n v="8"/>
    <x v="2"/>
    <s v="Deputy General Inspector Armed Forces"/>
    <x v="0"/>
    <m/>
    <x v="0"/>
    <m/>
    <x v="1"/>
    <m/>
    <m/>
    <m/>
    <s v="Defense White Paper Appendix"/>
    <m/>
  </r>
  <r>
    <x v="1"/>
    <x v="8"/>
    <s v="Europe and Central Asia"/>
    <s v="No Specific Relationship"/>
    <s v="NATO"/>
    <x v="3"/>
    <x v="37"/>
    <x v="13"/>
    <n v="7"/>
    <x v="4"/>
    <s v="Xiong Guangkai"/>
    <m/>
    <s v="GSD DCGS"/>
    <n v="6"/>
    <x v="1"/>
    <m/>
    <x v="0"/>
    <m/>
    <x v="0"/>
    <m/>
    <x v="1"/>
    <m/>
    <m/>
    <m/>
    <s v="Defense White Paper Appendix"/>
    <m/>
  </r>
  <r>
    <x v="1"/>
    <x v="8"/>
    <s v="Europe and Central Asia"/>
    <s v="No Specific Relationship"/>
    <s v="NATO"/>
    <x v="3"/>
    <x v="59"/>
    <x v="13"/>
    <n v="7"/>
    <x v="4"/>
    <s v="Zhao Keming"/>
    <m/>
    <s v="PLA NDU Political Commissar"/>
    <n v="6"/>
    <x v="1"/>
    <m/>
    <x v="0"/>
    <m/>
    <x v="0"/>
    <m/>
    <x v="1"/>
    <m/>
    <m/>
    <m/>
    <s v="Defense White Paper Appendix"/>
    <m/>
  </r>
  <r>
    <x v="1"/>
    <x v="3"/>
    <s v="Europe and Central Asia"/>
    <s v="Strategic Partnership of Coordination [战略协作伙伴关系]"/>
    <s v="None"/>
    <x v="3"/>
    <x v="7"/>
    <x v="13"/>
    <n v="7"/>
    <x v="4"/>
    <s v="Guo Boxiong"/>
    <m/>
    <s v="CMC Vice Chairman"/>
    <n v="10"/>
    <x v="1"/>
    <s v="Defense Minister"/>
    <x v="0"/>
    <m/>
    <x v="0"/>
    <m/>
    <x v="1"/>
    <m/>
    <m/>
    <m/>
    <s v="Defense White Paper Appendix"/>
    <m/>
  </r>
  <r>
    <x v="1"/>
    <x v="6"/>
    <s v="Europe and Central Asia"/>
    <s v="Member"/>
    <s v="None"/>
    <x v="1"/>
    <x v="14"/>
    <x v="13"/>
    <n v="7"/>
    <x v="2"/>
    <s v="Xiong Guangkai"/>
    <m/>
    <s v="GSD DCGS"/>
    <n v="8"/>
    <x v="2"/>
    <s v="first defense security seminar of the Shanghai Cooperation Organization"/>
    <x v="0"/>
    <m/>
    <x v="0"/>
    <m/>
    <x v="1"/>
    <m/>
    <m/>
    <m/>
    <s v="https://dlib.eastview.com/browse/doc/14666368"/>
    <m/>
  </r>
  <r>
    <x v="1"/>
    <x v="7"/>
    <s v="West Asia and Africa"/>
    <s v="Strategic Partnership [战略伙伴关系]"/>
    <s v="None"/>
    <x v="4"/>
    <x v="15"/>
    <x v="13"/>
    <n v="7"/>
    <x v="4"/>
    <s v="Guo Boxiong"/>
    <m/>
    <s v="CMC Vice Chairman"/>
    <n v="10"/>
    <x v="1"/>
    <m/>
    <x v="0"/>
    <m/>
    <x v="0"/>
    <m/>
    <x v="1"/>
    <m/>
    <m/>
    <m/>
    <s v="Defense White Paper Appendix"/>
    <m/>
  </r>
  <r>
    <x v="1"/>
    <x v="2"/>
    <s v="America and Oceania"/>
    <s v="No Specific Relationship"/>
    <s v="N/A"/>
    <x v="2"/>
    <x v="4"/>
    <x v="13"/>
    <n v="7"/>
    <x v="3"/>
    <s v="Liang Guanglie"/>
    <m/>
    <s v="GSD Commander; CMC Member"/>
    <n v="8"/>
    <x v="2"/>
    <s v="PACOM Commander"/>
    <x v="0"/>
    <m/>
    <x v="0"/>
    <m/>
    <x v="1"/>
    <m/>
    <m/>
    <m/>
    <s v="Defense White Paper Appendix"/>
    <m/>
  </r>
  <r>
    <x v="1"/>
    <x v="7"/>
    <s v="West Asia and Africa"/>
    <s v="No Specific Relationship"/>
    <s v="None"/>
    <x v="4"/>
    <x v="105"/>
    <x v="13"/>
    <n v="8"/>
    <x v="4"/>
    <s v="Li Qianyuan"/>
    <m/>
    <s v="Lanzhou MR Commander"/>
    <n v="6"/>
    <x v="1"/>
    <m/>
    <x v="0"/>
    <m/>
    <x v="0"/>
    <m/>
    <x v="1"/>
    <m/>
    <m/>
    <m/>
    <s v="Defense White Paper Appendix"/>
    <m/>
  </r>
  <r>
    <x v="1"/>
    <x v="5"/>
    <s v="America and Oceania"/>
    <s v="No Specific Relationship"/>
    <s v="ANZUS Treaty"/>
    <x v="0"/>
    <x v="12"/>
    <x v="13"/>
    <n v="8"/>
    <x v="3"/>
    <s v="Liang Guanglie"/>
    <m/>
    <s v="GSD Commander; CMC Member"/>
    <n v="8"/>
    <x v="2"/>
    <s v="Commander National Defense Forces"/>
    <x v="0"/>
    <m/>
    <x v="0"/>
    <m/>
    <x v="1"/>
    <m/>
    <m/>
    <m/>
    <s v="Defense White Paper Appendix"/>
    <m/>
  </r>
  <r>
    <x v="1"/>
    <x v="10"/>
    <s v="America and Oceania"/>
    <s v="Comprehensive Partnership [全面伙伴关系]"/>
    <s v="None"/>
    <x v="5"/>
    <x v="66"/>
    <x v="13"/>
    <n v="8"/>
    <x v="4"/>
    <s v="Fan Changlong"/>
    <m/>
    <s v="Jinan MR Commander"/>
    <n v="6"/>
    <x v="1"/>
    <m/>
    <x v="0"/>
    <m/>
    <x v="0"/>
    <m/>
    <x v="1"/>
    <m/>
    <m/>
    <m/>
    <s v="Defense White Paper Appendix"/>
    <m/>
  </r>
  <r>
    <x v="1"/>
    <x v="10"/>
    <s v="America and Oceania"/>
    <s v="No Specific Relationship"/>
    <s v="None"/>
    <x v="5"/>
    <x v="49"/>
    <x v="13"/>
    <n v="8"/>
    <x v="4"/>
    <s v="Li Yu"/>
    <m/>
    <s v="GSD Assistant Commander"/>
    <n v="5"/>
    <x v="1"/>
    <m/>
    <x v="0"/>
    <m/>
    <x v="0"/>
    <m/>
    <x v="1"/>
    <m/>
    <m/>
    <m/>
    <s v="Defense White Paper Appendix"/>
    <m/>
  </r>
  <r>
    <x v="1"/>
    <x v="2"/>
    <s v="America and Oceania"/>
    <s v="Strategic Cooperative Partnership [战略合作伙伴关系]"/>
    <s v="None"/>
    <x v="2"/>
    <x v="77"/>
    <x v="13"/>
    <n v="8"/>
    <x v="4"/>
    <s v="Li Yu"/>
    <m/>
    <s v="GSD Assistant Commander"/>
    <n v="5"/>
    <x v="1"/>
    <m/>
    <x v="0"/>
    <m/>
    <x v="0"/>
    <m/>
    <x v="1"/>
    <m/>
    <m/>
    <m/>
    <s v="Defense White Paper Appendix"/>
    <m/>
  </r>
  <r>
    <x v="2"/>
    <x v="0"/>
    <s v="Asia"/>
    <s v="Strategic Partnership [战略伙伴关系]"/>
    <s v="Major Non-NATO Ally"/>
    <x v="1"/>
    <x v="2"/>
    <x v="13"/>
    <n v="8"/>
    <x v="5"/>
    <m/>
    <m/>
    <m/>
    <m/>
    <x v="0"/>
    <m/>
    <x v="1"/>
    <s v="Unknown"/>
    <x v="1"/>
    <s v="Anti-terrorism"/>
    <x v="1"/>
    <m/>
    <m/>
    <m/>
    <s v="Defense White Paper Appendix"/>
    <m/>
  </r>
  <r>
    <x v="1"/>
    <x v="7"/>
    <s v="West Asia and Africa"/>
    <s v="No Specific Relationship"/>
    <s v="None"/>
    <x v="4"/>
    <x v="16"/>
    <x v="13"/>
    <n v="8"/>
    <x v="4"/>
    <s v="Deng Changyou"/>
    <m/>
    <s v="PLAAF Political Commissar"/>
    <n v="6"/>
    <x v="1"/>
    <m/>
    <x v="0"/>
    <m/>
    <x v="0"/>
    <m/>
    <x v="1"/>
    <m/>
    <m/>
    <m/>
    <s v="Defense White Paper Appendix"/>
    <m/>
  </r>
  <r>
    <x v="1"/>
    <x v="10"/>
    <s v="America and Oceania"/>
    <s v="No Specific Relationship"/>
    <s v="None"/>
    <x v="5"/>
    <x v="75"/>
    <x v="13"/>
    <n v="8"/>
    <x v="4"/>
    <s v="Li Yu"/>
    <m/>
    <s v="GSD Assistant Commander"/>
    <n v="5"/>
    <x v="1"/>
    <m/>
    <x v="0"/>
    <m/>
    <x v="0"/>
    <m/>
    <x v="1"/>
    <m/>
    <m/>
    <m/>
    <s v="Defense White Paper Appendix"/>
    <m/>
  </r>
  <r>
    <x v="1"/>
    <x v="9"/>
    <s v="West Asia and Africa"/>
    <s v="No Specific Relationship"/>
    <s v="None"/>
    <x v="1"/>
    <x v="106"/>
    <x v="13"/>
    <n v="8"/>
    <x v="3"/>
    <s v="Liang Guanglie"/>
    <m/>
    <s v="GSD Commander; CMC Member"/>
    <n v="8"/>
    <x v="2"/>
    <s v="Army Commander"/>
    <x v="0"/>
    <m/>
    <x v="0"/>
    <m/>
    <x v="1"/>
    <m/>
    <m/>
    <m/>
    <s v="https://dlib-eastview-com.ezproxy.princeton.edu/search/simple/doc?pager.offset=0&amp;id=14666421&amp;hl=%E9%98%BF%E8%81%94https://dlib.eastview.com/browse/doc/14666421"/>
    <m/>
  </r>
  <r>
    <x v="1"/>
    <x v="10"/>
    <s v="America and Oceania"/>
    <s v="No Specific Relationship"/>
    <s v="None"/>
    <x v="5"/>
    <x v="107"/>
    <x v="13"/>
    <n v="8"/>
    <x v="4"/>
    <s v="Fan Changlong"/>
    <m/>
    <s v="Jinan MR Commander"/>
    <n v="6"/>
    <x v="1"/>
    <m/>
    <x v="0"/>
    <m/>
    <x v="0"/>
    <m/>
    <x v="1"/>
    <m/>
    <m/>
    <m/>
    <s v="Defense White Paper Appendix"/>
    <m/>
  </r>
  <r>
    <x v="1"/>
    <x v="7"/>
    <s v="West Asia and Africa"/>
    <s v="No Specific Relationship"/>
    <s v="None"/>
    <x v="4"/>
    <x v="61"/>
    <x v="13"/>
    <n v="8"/>
    <x v="4"/>
    <s v="Li Qianyuan"/>
    <m/>
    <s v="Lanzhou MR Commander"/>
    <n v="6"/>
    <x v="1"/>
    <m/>
    <x v="0"/>
    <m/>
    <x v="0"/>
    <m/>
    <x v="1"/>
    <m/>
    <m/>
    <m/>
    <s v="Defense White Paper Appendix"/>
    <m/>
  </r>
  <r>
    <x v="1"/>
    <x v="8"/>
    <s v="Europe and Central Asia"/>
    <s v="No Specific Relationship"/>
    <s v="NATO"/>
    <x v="3"/>
    <x v="108"/>
    <x v="13"/>
    <n v="9"/>
    <x v="3"/>
    <s v="Liang Guanglie"/>
    <m/>
    <s v="GSD Commander; CMC Member"/>
    <n v="8"/>
    <x v="2"/>
    <s v="COGS Austrian Army"/>
    <x v="0"/>
    <m/>
    <x v="0"/>
    <m/>
    <x v="1"/>
    <m/>
    <m/>
    <m/>
    <s v="Defense White Paper Appendix"/>
    <m/>
  </r>
  <r>
    <x v="1"/>
    <x v="0"/>
    <s v="Asia"/>
    <s v="No Specific Relationship"/>
    <s v="None"/>
    <x v="0"/>
    <x v="0"/>
    <x v="13"/>
    <n v="9"/>
    <x v="3"/>
    <s v="Xiong Guangkai"/>
    <m/>
    <s v="GSD Commander; CMC Member"/>
    <n v="8"/>
    <x v="2"/>
    <s v="Army Chief of Staff"/>
    <x v="0"/>
    <m/>
    <x v="0"/>
    <m/>
    <x v="1"/>
    <m/>
    <m/>
    <m/>
    <s v="Defense White Paper Appendix"/>
    <m/>
  </r>
  <r>
    <x v="1"/>
    <x v="1"/>
    <s v="Asia"/>
    <s v="No Specific Relationship"/>
    <s v="None"/>
    <x v="0"/>
    <x v="44"/>
    <x v="13"/>
    <n v="9"/>
    <x v="3"/>
    <s v="Cao Gangchuan"/>
    <m/>
    <s v="CMC Vice Chairman; Defense Minister"/>
    <n v="10"/>
    <x v="2"/>
    <s v="Commander, Armed Forces"/>
    <x v="0"/>
    <m/>
    <x v="0"/>
    <m/>
    <x v="1"/>
    <m/>
    <m/>
    <m/>
    <s v="Defense White Paper Appendix"/>
    <m/>
  </r>
  <r>
    <x v="1"/>
    <x v="8"/>
    <s v="Europe and Central Asia"/>
    <s v="No Specific Relationship"/>
    <s v="NATO"/>
    <x v="3"/>
    <x v="35"/>
    <x v="13"/>
    <n v="9"/>
    <x v="4"/>
    <s v="Lei Mingqiu"/>
    <m/>
    <s v="Nanjing MR Political Commissar"/>
    <n v="6"/>
    <x v="1"/>
    <m/>
    <x v="0"/>
    <m/>
    <x v="0"/>
    <m/>
    <x v="1"/>
    <m/>
    <m/>
    <m/>
    <s v="Defense White Paper Appendix"/>
    <m/>
  </r>
  <r>
    <x v="1"/>
    <x v="10"/>
    <s v="America and Oceania"/>
    <s v="No Specific Relationship"/>
    <s v="None"/>
    <x v="5"/>
    <x v="49"/>
    <x v="13"/>
    <n v="9"/>
    <x v="3"/>
    <s v="Cao Gangchuan"/>
    <m/>
    <s v="CMC Vice Chairman; Defense Minister"/>
    <n v="10"/>
    <x v="2"/>
    <s v="Commander, western army"/>
    <x v="0"/>
    <m/>
    <x v="0"/>
    <m/>
    <x v="1"/>
    <m/>
    <m/>
    <m/>
    <s v="Defense White Paper Appendix"/>
    <m/>
  </r>
  <r>
    <x v="1"/>
    <x v="9"/>
    <s v="West Asia and Africa"/>
    <s v="Strategic Cooperative Partnership [战略合作伙伴关系]"/>
    <s v="Major Non-NATO Ally"/>
    <x v="1"/>
    <x v="24"/>
    <x v="13"/>
    <n v="9"/>
    <x v="3"/>
    <s v="Cao Gangchuan"/>
    <m/>
    <s v="CMC Vice Chairman; Defense Minister"/>
    <n v="10"/>
    <x v="2"/>
    <s v="Defense Minister"/>
    <x v="0"/>
    <m/>
    <x v="0"/>
    <m/>
    <x v="1"/>
    <m/>
    <m/>
    <m/>
    <s v="Defense White Paper Appendix"/>
    <m/>
  </r>
  <r>
    <x v="1"/>
    <x v="8"/>
    <s v="Europe and Central Asia"/>
    <s v="No Specific Relationship"/>
    <s v="NATO"/>
    <x v="3"/>
    <x v="18"/>
    <x v="13"/>
    <n v="9"/>
    <x v="4"/>
    <s v="Li Yu"/>
    <m/>
    <s v="GSD Assistant Commander"/>
    <n v="5"/>
    <x v="1"/>
    <m/>
    <x v="0"/>
    <m/>
    <x v="0"/>
    <m/>
    <x v="1"/>
    <m/>
    <m/>
    <m/>
    <s v="Defense White Paper Appendix"/>
    <m/>
  </r>
  <r>
    <x v="1"/>
    <x v="7"/>
    <s v="West Asia and Africa"/>
    <s v="No Specific Relationship"/>
    <s v="None"/>
    <x v="4"/>
    <x v="109"/>
    <x v="13"/>
    <n v="9"/>
    <x v="3"/>
    <s v="Cao Gangchuan"/>
    <m/>
    <s v="CMC Vice Chairman; Defense Minister"/>
    <n v="10"/>
    <x v="2"/>
    <s v="Defense Minister"/>
    <x v="0"/>
    <m/>
    <x v="0"/>
    <m/>
    <x v="1"/>
    <m/>
    <m/>
    <m/>
    <s v="Defense White Paper Appendix"/>
    <m/>
  </r>
  <r>
    <x v="1"/>
    <x v="8"/>
    <s v="Europe and Central Asia"/>
    <s v="No Specific Relationship"/>
    <s v="NATO"/>
    <x v="3"/>
    <x v="82"/>
    <x v="13"/>
    <n v="9"/>
    <x v="4"/>
    <s v="Liu Yongzhi"/>
    <m/>
    <s v="Lanzhou MR Political Commissar"/>
    <n v="6"/>
    <x v="1"/>
    <m/>
    <x v="0"/>
    <m/>
    <x v="0"/>
    <m/>
    <x v="1"/>
    <m/>
    <m/>
    <m/>
    <s v="Defense White Paper Appendix"/>
    <m/>
  </r>
  <r>
    <x v="1"/>
    <x v="8"/>
    <s v="Europe and Central Asia"/>
    <s v="Comprehensive Strategic Partnership [全面战略伙伴关系]"/>
    <s v="NATO"/>
    <x v="3"/>
    <x v="20"/>
    <x v="13"/>
    <n v="9"/>
    <x v="4"/>
    <s v="Li Yu"/>
    <m/>
    <s v="GSD Assistant Commander"/>
    <n v="5"/>
    <x v="1"/>
    <m/>
    <x v="0"/>
    <m/>
    <x v="0"/>
    <m/>
    <x v="1"/>
    <m/>
    <m/>
    <m/>
    <s v="Defense White Paper Appendix"/>
    <m/>
  </r>
  <r>
    <x v="1"/>
    <x v="9"/>
    <s v="West Asia and Africa"/>
    <s v="No Specific Relationship"/>
    <s v="Major Non-NATO Ally"/>
    <x v="1"/>
    <x v="101"/>
    <x v="13"/>
    <n v="9"/>
    <x v="3"/>
    <s v="Cao Gangchuan"/>
    <m/>
    <s v="CMC Vice Chairman; Defense Minister"/>
    <n v="10"/>
    <x v="2"/>
    <s v="Chairman JCS"/>
    <x v="0"/>
    <m/>
    <x v="0"/>
    <m/>
    <x v="1"/>
    <m/>
    <m/>
    <m/>
    <s v="Defense White Paper Appendix"/>
    <m/>
  </r>
  <r>
    <x v="1"/>
    <x v="6"/>
    <s v="Europe and Central Asia"/>
    <s v="Comprehensive Cooperative Partnership [全面合作伙伴关系]"/>
    <s v="None"/>
    <x v="1"/>
    <x v="30"/>
    <x v="13"/>
    <n v="9"/>
    <x v="3"/>
    <s v="Cao Gangchuan"/>
    <m/>
    <s v="CMC Vice Chairman; Defense Minister"/>
    <n v="10"/>
    <x v="2"/>
    <s v="Vice Chairman, Committee of Chief of Staff and Chief of Dept of Operation Planning of Defense Ministry"/>
    <x v="0"/>
    <m/>
    <x v="0"/>
    <m/>
    <x v="1"/>
    <m/>
    <m/>
    <m/>
    <s v="Defense White Paper Appendix"/>
    <m/>
  </r>
  <r>
    <x v="1"/>
    <x v="6"/>
    <s v="Europe and Central Asia"/>
    <s v="No Specific Relationship"/>
    <s v="None"/>
    <x v="1"/>
    <x v="31"/>
    <x v="13"/>
    <n v="9"/>
    <x v="3"/>
    <s v="Cao Gangchuan"/>
    <m/>
    <s v="CMC Vice Chairman; Defense Minister"/>
    <n v="10"/>
    <x v="2"/>
    <s v="Deputy Defense Minister"/>
    <x v="0"/>
    <m/>
    <x v="0"/>
    <m/>
    <x v="1"/>
    <m/>
    <m/>
    <m/>
    <s v="Defense White Paper Appendix"/>
    <m/>
  </r>
  <r>
    <x v="1"/>
    <x v="9"/>
    <s v="West Asia and Africa"/>
    <s v="No Specific Relationship"/>
    <s v="None"/>
    <x v="1"/>
    <x v="110"/>
    <x v="13"/>
    <n v="9"/>
    <x v="4"/>
    <s v="Liu Zhenwu"/>
    <m/>
    <s v="Guangzhou MR Commander"/>
    <n v="6"/>
    <x v="1"/>
    <m/>
    <x v="0"/>
    <m/>
    <x v="0"/>
    <m/>
    <x v="1"/>
    <m/>
    <m/>
    <m/>
    <s v="Defense White Paper Appendix"/>
    <m/>
  </r>
  <r>
    <x v="1"/>
    <x v="8"/>
    <s v="Europe and Central Asia"/>
    <s v="Friendly Cooperative Partnership [友好合作伙伴关系]"/>
    <s v="NATO"/>
    <x v="3"/>
    <x v="111"/>
    <x v="13"/>
    <n v="9"/>
    <x v="3"/>
    <s v="Cao Gangchuan"/>
    <m/>
    <s v="CMC Vice Chairman; Defense Minister"/>
    <n v="8"/>
    <x v="2"/>
    <s v="Defense Minister"/>
    <x v="0"/>
    <m/>
    <x v="0"/>
    <m/>
    <x v="1"/>
    <m/>
    <m/>
    <m/>
    <s v="https://dlib.eastview.com/browse/doc/14386032"/>
    <m/>
  </r>
  <r>
    <x v="1"/>
    <x v="1"/>
    <s v="Asia"/>
    <s v="No Specific Relationship"/>
    <s v="Bilateral Defense Treaty"/>
    <x v="0"/>
    <x v="11"/>
    <x v="13"/>
    <n v="9"/>
    <x v="3"/>
    <s v="Cao Gangchuan"/>
    <m/>
    <s v="CMC Vice Chairman; Defense Minister"/>
    <n v="10"/>
    <x v="2"/>
    <s v="COGS"/>
    <x v="0"/>
    <m/>
    <x v="0"/>
    <m/>
    <x v="1"/>
    <m/>
    <m/>
    <m/>
    <s v="Defense White Paper Appendix"/>
    <m/>
  </r>
  <r>
    <x v="1"/>
    <x v="8"/>
    <s v="Europe and Central Asia"/>
    <s v="Comprehensive Friendly Cooperative Partnership [全面友好合作伙伴关系]"/>
    <s v="NATO"/>
    <x v="3"/>
    <x v="33"/>
    <x v="13"/>
    <n v="9"/>
    <x v="4"/>
    <s v="Lei Mingqiu"/>
    <m/>
    <s v="Nanjing MR Political Commissar"/>
    <n v="6"/>
    <x v="1"/>
    <m/>
    <x v="0"/>
    <m/>
    <x v="0"/>
    <m/>
    <x v="1"/>
    <m/>
    <m/>
    <m/>
    <s v="Defense White Paper Appendix"/>
    <m/>
  </r>
  <r>
    <x v="1"/>
    <x v="3"/>
    <s v="Europe and Central Asia"/>
    <s v="Strategic Partnership of Coordination [战略协作伙伴关系]"/>
    <s v="None"/>
    <x v="3"/>
    <x v="7"/>
    <x v="13"/>
    <n v="9"/>
    <x v="4"/>
    <s v="Liu Yongzhi"/>
    <m/>
    <s v="Lanzhou MR Political Commissar"/>
    <n v="6"/>
    <x v="1"/>
    <m/>
    <x v="0"/>
    <m/>
    <x v="0"/>
    <m/>
    <x v="1"/>
    <m/>
    <m/>
    <m/>
    <s v="Defense White Paper Appendix"/>
    <m/>
  </r>
  <r>
    <x v="1"/>
    <x v="8"/>
    <s v="Europe and Central Asia"/>
    <s v="No Specific Relationship"/>
    <s v="None"/>
    <x v="3"/>
    <x v="112"/>
    <x v="13"/>
    <n v="9"/>
    <x v="3"/>
    <s v="Cao Gangchuan"/>
    <m/>
    <s v="CMC Vice Chairman; Defense Minister"/>
    <n v="10"/>
    <x v="2"/>
    <s v="Defense Minister"/>
    <x v="0"/>
    <m/>
    <x v="0"/>
    <m/>
    <x v="1"/>
    <m/>
    <m/>
    <m/>
    <s v="Defense White Paper Appendix"/>
    <m/>
  </r>
  <r>
    <x v="1"/>
    <x v="8"/>
    <s v="Europe and Central Asia"/>
    <s v="No Specific Relationship"/>
    <s v="NATO"/>
    <x v="3"/>
    <x v="70"/>
    <x v="13"/>
    <n v="9"/>
    <x v="3"/>
    <s v="Wu Shengli"/>
    <m/>
    <s v="PLAN Commander "/>
    <n v="8"/>
    <x v="2"/>
    <s v="Army Chief of Staff"/>
    <x v="0"/>
    <m/>
    <x v="0"/>
    <m/>
    <x v="1"/>
    <m/>
    <m/>
    <m/>
    <s v="https://dlib.eastview.com/browse/doc/14660911"/>
    <m/>
  </r>
  <r>
    <x v="1"/>
    <x v="7"/>
    <s v="West Asia and Africa"/>
    <s v="No Specific Relationship"/>
    <s v="Major Non-NATO Ally"/>
    <x v="4"/>
    <x v="85"/>
    <x v="13"/>
    <n v="9"/>
    <x v="3"/>
    <s v="Liang Guanglie"/>
    <m/>
    <s v="GSD Commander; CMC Member"/>
    <n v="8"/>
    <x v="2"/>
    <s v="Army Chief of Staff"/>
    <x v="0"/>
    <m/>
    <x v="0"/>
    <m/>
    <x v="1"/>
    <m/>
    <m/>
    <m/>
    <s v="https://dlib.eastview.com/browse/doc/14386034"/>
    <m/>
  </r>
  <r>
    <x v="1"/>
    <x v="8"/>
    <s v="Europe and Central Asia"/>
    <s v="Comprehensive Strategic Partnership [全面战略伙伴关系]"/>
    <s v="NATO"/>
    <x v="3"/>
    <x v="21"/>
    <x v="13"/>
    <n v="9"/>
    <x v="3"/>
    <s v="Cao Gangchuan"/>
    <m/>
    <s v="CMC Vice Chairman; Defense Minister"/>
    <n v="10"/>
    <x v="2"/>
    <s v="Defense Secretary"/>
    <x v="0"/>
    <m/>
    <x v="0"/>
    <m/>
    <x v="1"/>
    <m/>
    <m/>
    <m/>
    <s v="Defense White Paper Appendix"/>
    <m/>
  </r>
  <r>
    <x v="1"/>
    <x v="10"/>
    <s v="America and Oceania"/>
    <s v="No Specific Relationship"/>
    <s v="None"/>
    <x v="5"/>
    <x v="107"/>
    <x v="13"/>
    <n v="9"/>
    <x v="3"/>
    <s v="Qiao Qingchen"/>
    <m/>
    <s v="PLAAF Commander"/>
    <n v="8"/>
    <x v="2"/>
    <s v="Commander, Air Force"/>
    <x v="0"/>
    <m/>
    <x v="0"/>
    <m/>
    <x v="1"/>
    <m/>
    <m/>
    <m/>
    <s v="Defense White Paper Appendix"/>
    <m/>
  </r>
  <r>
    <x v="1"/>
    <x v="5"/>
    <s v="America and Oceania"/>
    <s v="No Specific Relationship"/>
    <s v="ANZUS Treaty"/>
    <x v="0"/>
    <x v="12"/>
    <x v="13"/>
    <n v="10"/>
    <x v="4"/>
    <s v="Liang Guanglie"/>
    <m/>
    <s v="GSD Commander; CMC Member"/>
    <n v="8"/>
    <x v="1"/>
    <m/>
    <x v="0"/>
    <m/>
    <x v="0"/>
    <m/>
    <x v="1"/>
    <m/>
    <m/>
    <m/>
    <s v="Defense White Paper Appendix"/>
    <m/>
  </r>
  <r>
    <x v="2"/>
    <x v="5"/>
    <s v="America and Oceania"/>
    <s v="No Specific Relationship"/>
    <s v="ANZUS Treaty"/>
    <x v="0"/>
    <x v="12"/>
    <x v="13"/>
    <n v="10"/>
    <x v="5"/>
    <m/>
    <m/>
    <m/>
    <m/>
    <x v="0"/>
    <m/>
    <x v="2"/>
    <s v="Unknown"/>
    <x v="2"/>
    <s v="SAREX"/>
    <x v="1"/>
    <m/>
    <m/>
    <m/>
    <s v="Defense White Paper Appendix"/>
    <m/>
  </r>
  <r>
    <x v="1"/>
    <x v="8"/>
    <s v="Europe and Central Asia"/>
    <s v="No Specific Relationship"/>
    <s v="NATO"/>
    <x v="3"/>
    <x v="68"/>
    <x v="13"/>
    <n v="10"/>
    <x v="4"/>
    <s v="Cao Gangchuan"/>
    <m/>
    <s v="CMC Vice Chairman; Defense Minister"/>
    <n v="10"/>
    <x v="1"/>
    <m/>
    <x v="0"/>
    <m/>
    <x v="0"/>
    <m/>
    <x v="1"/>
    <m/>
    <m/>
    <m/>
    <s v="Defense White Paper Appendix"/>
    <m/>
  </r>
  <r>
    <x v="1"/>
    <x v="10"/>
    <s v="America and Oceania"/>
    <s v="Comprehensive Strategic Partnership [全面战略伙伴关系]"/>
    <s v="None"/>
    <x v="5"/>
    <x v="43"/>
    <x v="13"/>
    <n v="10"/>
    <x v="4"/>
    <s v="Cao Gangchuan"/>
    <m/>
    <s v="CMC Vice Chairman; Defense Minister"/>
    <n v="10"/>
    <x v="1"/>
    <m/>
    <x v="0"/>
    <m/>
    <x v="0"/>
    <m/>
    <x v="1"/>
    <m/>
    <m/>
    <m/>
    <s v="Defense White Paper Appendix"/>
    <m/>
  </r>
  <r>
    <x v="1"/>
    <x v="1"/>
    <s v="Asia"/>
    <s v="No Specific Relationship"/>
    <s v="None"/>
    <x v="0"/>
    <x v="94"/>
    <x v="13"/>
    <n v="10"/>
    <x v="3"/>
    <s v="Xu Caihou"/>
    <m/>
    <s v="CMC Vice Chairman"/>
    <n v="10"/>
    <x v="2"/>
    <s v="Royal Army Chief"/>
    <x v="0"/>
    <m/>
    <x v="0"/>
    <m/>
    <x v="1"/>
    <m/>
    <m/>
    <m/>
    <s v="https://dlib.eastview.com/browse/doc/14663334"/>
    <m/>
  </r>
  <r>
    <x v="1"/>
    <x v="10"/>
    <s v="America and Oceania"/>
    <s v="Comprehensive Partnership [全面伙伴关系]"/>
    <s v="None"/>
    <x v="5"/>
    <x v="66"/>
    <x v="13"/>
    <n v="10"/>
    <x v="3"/>
    <s v="Liang Guanglie"/>
    <m/>
    <s v="GSD Commander; CMC Member"/>
    <n v="8"/>
    <x v="2"/>
    <s v="CinC Army"/>
    <x v="0"/>
    <m/>
    <x v="0"/>
    <m/>
    <x v="1"/>
    <m/>
    <m/>
    <m/>
    <s v="Defense White Paper Appendix"/>
    <m/>
  </r>
  <r>
    <x v="1"/>
    <x v="8"/>
    <s v="Europe and Central Asia"/>
    <s v="No Specific Relationship"/>
    <s v="None"/>
    <x v="3"/>
    <x v="81"/>
    <x v="13"/>
    <n v="10"/>
    <x v="4"/>
    <s v="Zhu Wenquan"/>
    <m/>
    <s v="Nanjing MR Commander"/>
    <n v="6"/>
    <x v="1"/>
    <m/>
    <x v="0"/>
    <m/>
    <x v="0"/>
    <m/>
    <x v="1"/>
    <m/>
    <m/>
    <m/>
    <s v="Defense White Paper Appendix"/>
    <m/>
  </r>
  <r>
    <x v="1"/>
    <x v="8"/>
    <s v="Europe and Central Asia"/>
    <s v="Comprehensive Partnership [全面伙伴关系]"/>
    <s v="NATO"/>
    <x v="3"/>
    <x v="22"/>
    <x v="13"/>
    <n v="10"/>
    <x v="4"/>
    <s v="Cao Gangchuan"/>
    <m/>
    <s v="CMC Vice Chairman; Defense Minister"/>
    <n v="10"/>
    <x v="1"/>
    <s v="Defense Minister"/>
    <x v="0"/>
    <m/>
    <x v="0"/>
    <m/>
    <x v="1"/>
    <m/>
    <m/>
    <m/>
    <s v="Defense White Paper Appendix"/>
    <m/>
  </r>
  <r>
    <x v="1"/>
    <x v="8"/>
    <s v="Europe and Central Asia"/>
    <s v="Comprehensive Strategic Partnership [全面战略伙伴关系]"/>
    <s v="NATO"/>
    <x v="3"/>
    <x v="20"/>
    <x v="13"/>
    <n v="10"/>
    <x v="3"/>
    <s v="Cao Gangchuan"/>
    <m/>
    <s v="CMC Vice Chairman; Defense Minister"/>
    <n v="8"/>
    <x v="2"/>
    <s v="Vice Defense Minister"/>
    <x v="0"/>
    <m/>
    <x v="0"/>
    <m/>
    <x v="1"/>
    <m/>
    <m/>
    <m/>
    <s v="Defense White Paper Appendix"/>
    <s v="No corroborating reporting on this visit; assess Cao Gangchuan as likely counterpart"/>
  </r>
  <r>
    <x v="1"/>
    <x v="8"/>
    <s v="Europe and Central Asia"/>
    <s v="Comprehensive Strategic Partnership [全面战略伙伴关系]"/>
    <s v="NATO"/>
    <x v="3"/>
    <x v="20"/>
    <x v="13"/>
    <n v="10"/>
    <x v="3"/>
    <s v="Liang Guanglie"/>
    <m/>
    <s v="GSD Commander; CMC Member"/>
    <n v="8"/>
    <x v="2"/>
    <s v="Air Force Chief of Staff"/>
    <x v="0"/>
    <m/>
    <x v="0"/>
    <m/>
    <x v="1"/>
    <m/>
    <m/>
    <m/>
    <s v="Defense White Paper Appendix"/>
    <m/>
  </r>
  <r>
    <x v="1"/>
    <x v="4"/>
    <s v="Asia"/>
    <s v="Partnership of Friendship and Cooperation for Peace and Development [致力于和平发展的友好合作关系]"/>
    <s v="Bilateral Defense Treaty"/>
    <x v="0"/>
    <x v="83"/>
    <x v="13"/>
    <n v="10"/>
    <x v="4"/>
    <s v="Xiong Guangkai"/>
    <m/>
    <s v="GSD DCGS"/>
    <n v="6"/>
    <x v="1"/>
    <m/>
    <x v="0"/>
    <m/>
    <x v="0"/>
    <m/>
    <x v="1"/>
    <m/>
    <m/>
    <m/>
    <s v="Defense White Paper Appendix"/>
    <m/>
  </r>
  <r>
    <x v="1"/>
    <x v="9"/>
    <s v="West Asia and Africa"/>
    <s v="No Specific Relationship"/>
    <s v="None"/>
    <x v="1"/>
    <x v="110"/>
    <x v="13"/>
    <n v="10"/>
    <x v="3"/>
    <s v="Xu Caihou"/>
    <m/>
    <s v="CMC Vice Chairman"/>
    <n v="10"/>
    <x v="2"/>
    <s v="Army Chief of Staff"/>
    <x v="0"/>
    <m/>
    <x v="0"/>
    <m/>
    <x v="1"/>
    <m/>
    <m/>
    <m/>
    <s v="Defense White Paper Appendix"/>
    <m/>
  </r>
  <r>
    <x v="1"/>
    <x v="5"/>
    <s v="America and Oceania"/>
    <s v="No Specific Relationship"/>
    <s v="ANZUS Treaty"/>
    <x v="0"/>
    <x v="13"/>
    <x v="13"/>
    <n v="10"/>
    <x v="4"/>
    <s v="Liang Guanglie"/>
    <m/>
    <s v="GSD Commander; CMC Member"/>
    <n v="8"/>
    <x v="1"/>
    <m/>
    <x v="0"/>
    <m/>
    <x v="0"/>
    <m/>
    <x v="1"/>
    <m/>
    <m/>
    <m/>
    <s v="Defense White Paper Appendix"/>
    <m/>
  </r>
  <r>
    <x v="1"/>
    <x v="8"/>
    <s v="Europe and Central Asia"/>
    <s v="No Specific Relationship"/>
    <s v="None"/>
    <x v="3"/>
    <x v="92"/>
    <x v="13"/>
    <n v="10"/>
    <x v="4"/>
    <s v="Zhu Wenquan"/>
    <m/>
    <s v="Nanjing MR Commander"/>
    <n v="6"/>
    <x v="1"/>
    <m/>
    <x v="0"/>
    <m/>
    <x v="0"/>
    <m/>
    <x v="1"/>
    <m/>
    <m/>
    <m/>
    <s v="Defense White Paper Appendix"/>
    <m/>
  </r>
  <r>
    <x v="1"/>
    <x v="8"/>
    <s v="Europe and Central Asia"/>
    <s v="No Specific Relationship"/>
    <s v="None"/>
    <x v="3"/>
    <x v="78"/>
    <x v="13"/>
    <n v="10"/>
    <x v="4"/>
    <s v="Cao Gangchuan"/>
    <m/>
    <s v="CMC Vice Chairman; Defense Minister"/>
    <n v="10"/>
    <x v="1"/>
    <s v="Defense Minister and VP of Swiss Confederation"/>
    <x v="0"/>
    <m/>
    <x v="0"/>
    <m/>
    <x v="1"/>
    <m/>
    <m/>
    <m/>
    <s v="Defense White Paper Appendix"/>
    <m/>
  </r>
  <r>
    <x v="1"/>
    <x v="1"/>
    <s v="Asia"/>
    <s v="No Specific Relationship"/>
    <s v="Bilateral Defense Treaty"/>
    <x v="0"/>
    <x v="5"/>
    <x v="13"/>
    <n v="10"/>
    <x v="4"/>
    <s v="Xiong Guangkai"/>
    <m/>
    <s v="GSD DCGS"/>
    <n v="6"/>
    <x v="1"/>
    <m/>
    <x v="0"/>
    <m/>
    <x v="0"/>
    <m/>
    <x v="1"/>
    <m/>
    <m/>
    <m/>
    <s v="Defense White Paper Appendix"/>
    <m/>
  </r>
  <r>
    <x v="1"/>
    <x v="2"/>
    <s v="America and Oceania"/>
    <s v="No Specific Relationship"/>
    <s v="N/A"/>
    <x v="2"/>
    <x v="4"/>
    <x v="13"/>
    <n v="10"/>
    <x v="4"/>
    <s v="Liang Guanglie"/>
    <m/>
    <s v="GSD Commander; CMC Member"/>
    <n v="8"/>
    <x v="1"/>
    <s v="Chairman JCS"/>
    <x v="0"/>
    <m/>
    <x v="0"/>
    <m/>
    <x v="1"/>
    <m/>
    <m/>
    <m/>
    <s v="Defense White Paper Appendix"/>
    <m/>
  </r>
  <r>
    <x v="1"/>
    <x v="8"/>
    <s v="Europe and Central Asia"/>
    <s v="No Specific Relationship"/>
    <s v="NATO"/>
    <x v="3"/>
    <x v="113"/>
    <x v="13"/>
    <n v="11"/>
    <x v="3"/>
    <s v="Cao Gangchuan"/>
    <m/>
    <s v="CMC Vice Chairman; Defense Minister"/>
    <n v="10"/>
    <x v="2"/>
    <s v="Defense Minister"/>
    <x v="0"/>
    <m/>
    <x v="0"/>
    <m/>
    <x v="1"/>
    <m/>
    <m/>
    <m/>
    <s v="Defense White Paper Appendix"/>
    <m/>
  </r>
  <r>
    <x v="1"/>
    <x v="5"/>
    <s v="America and Oceania"/>
    <s v="No Specific Relationship"/>
    <s v="ANZUS Treaty"/>
    <x v="0"/>
    <x v="12"/>
    <x v="13"/>
    <n v="11"/>
    <x v="3"/>
    <s v="Liang Guanglie"/>
    <m/>
    <s v="GSD Commander; CMC Member"/>
    <n v="8"/>
    <x v="2"/>
    <s v="Chief Commander of the ADF"/>
    <x v="0"/>
    <m/>
    <x v="0"/>
    <m/>
    <x v="1"/>
    <m/>
    <m/>
    <m/>
    <s v="Defense White Paper Appendix"/>
    <m/>
  </r>
  <r>
    <x v="1"/>
    <x v="8"/>
    <s v="Europe and Central Asia"/>
    <s v="Comprehensive Cooperative Partnership [全面合作伙伴关系]"/>
    <s v="None"/>
    <x v="3"/>
    <x v="34"/>
    <x v="13"/>
    <n v="11"/>
    <x v="3"/>
    <s v="Cao Gangchuan"/>
    <m/>
    <s v="CMC Vice Chairman; Defense Minister"/>
    <n v="10"/>
    <x v="2"/>
    <s v="Vice Defense Minister"/>
    <x v="0"/>
    <m/>
    <x v="0"/>
    <m/>
    <x v="1"/>
    <m/>
    <m/>
    <m/>
    <s v="Defense White Paper Appendix"/>
    <m/>
  </r>
  <r>
    <x v="1"/>
    <x v="10"/>
    <s v="America and Oceania"/>
    <s v="No Specific Relationship"/>
    <s v="None"/>
    <x v="5"/>
    <x v="42"/>
    <x v="13"/>
    <n v="11"/>
    <x v="3"/>
    <s v="Cao Gangchuan"/>
    <m/>
    <s v="CMC Vice Chairman; Defense Minister"/>
    <n v="10"/>
    <x v="2"/>
    <s v="Defense Minister"/>
    <x v="0"/>
    <m/>
    <x v="0"/>
    <m/>
    <x v="1"/>
    <m/>
    <m/>
    <m/>
    <s v="Defense White Paper Appendix"/>
    <m/>
  </r>
  <r>
    <x v="1"/>
    <x v="1"/>
    <s v="Asia"/>
    <s v="No Specific Relationship"/>
    <s v="None"/>
    <x v="0"/>
    <x v="44"/>
    <x v="13"/>
    <n v="11"/>
    <x v="4"/>
    <s v="Qian Nanzhong"/>
    <m/>
    <s v="Shenyang MR Commander"/>
    <n v="6"/>
    <x v="1"/>
    <m/>
    <x v="0"/>
    <m/>
    <x v="0"/>
    <m/>
    <x v="1"/>
    <m/>
    <m/>
    <m/>
    <s v="Defense White Paper Appendix"/>
    <m/>
  </r>
  <r>
    <x v="1"/>
    <x v="2"/>
    <s v="America and Oceania"/>
    <s v="Comprehensive Partnership [全面伙伴关系]"/>
    <s v="NATO"/>
    <x v="2"/>
    <x v="17"/>
    <x v="13"/>
    <n v="11"/>
    <x v="3"/>
    <s v="Liang Guanglie"/>
    <m/>
    <s v="GSD Commander; CMC Member"/>
    <n v="8"/>
    <x v="2"/>
    <s v="Chief of the Defense Staff"/>
    <x v="0"/>
    <m/>
    <x v="0"/>
    <m/>
    <x v="1"/>
    <m/>
    <m/>
    <m/>
    <s v="Defense White Paper Appendix"/>
    <m/>
  </r>
  <r>
    <x v="1"/>
    <x v="10"/>
    <s v="America and Oceania"/>
    <s v="No Specific Relationship"/>
    <s v="None"/>
    <x v="5"/>
    <x v="45"/>
    <x v="13"/>
    <n v="11"/>
    <x v="3"/>
    <s v="Cao Gangchuan"/>
    <m/>
    <s v="CMC Vice Chairman; Defense Minister"/>
    <n v="8"/>
    <x v="2"/>
    <s v="CinC Armed Forces"/>
    <x v="0"/>
    <m/>
    <x v="0"/>
    <m/>
    <x v="1"/>
    <m/>
    <m/>
    <m/>
    <s v="Defense White Paper Appendix"/>
    <s v="No corroborating reporting on this visit; assess Cao Gangchuan as likely counterpart"/>
  </r>
  <r>
    <x v="1"/>
    <x v="5"/>
    <s v="America and Oceania"/>
    <s v="No Specific Relationship"/>
    <s v="ANZUS Treaty"/>
    <x v="0"/>
    <x v="13"/>
    <x v="13"/>
    <n v="11"/>
    <x v="3"/>
    <s v="Cao Gangchuan"/>
    <m/>
    <s v="CMC Vice Chairman; Defense Minister"/>
    <n v="10"/>
    <x v="2"/>
    <s v="CinC Navy"/>
    <x v="0"/>
    <m/>
    <x v="0"/>
    <m/>
    <x v="1"/>
    <m/>
    <m/>
    <m/>
    <s v="Defense White Paper Appendix"/>
    <s v="Updated positions with DWP"/>
  </r>
  <r>
    <x v="1"/>
    <x v="1"/>
    <s v="Asia"/>
    <s v="No Specific Relationship"/>
    <s v="Bilateral Defense Treaty"/>
    <x v="0"/>
    <x v="11"/>
    <x v="13"/>
    <n v="11"/>
    <x v="3"/>
    <s v="Cao Gangchuan"/>
    <m/>
    <s v="CMC Vice Chairman; Defense Minister"/>
    <n v="10"/>
    <x v="2"/>
    <s v="Defense Minister"/>
    <x v="0"/>
    <m/>
    <x v="0"/>
    <m/>
    <x v="1"/>
    <m/>
    <m/>
    <m/>
    <s v="Defense White Paper Appendix"/>
    <s v="Updated positions with DWP"/>
  </r>
  <r>
    <x v="1"/>
    <x v="4"/>
    <s v="Asia"/>
    <s v="Comprehensive Cooperative Partnership [全面合作伙伴关系]"/>
    <s v="Bilateral Defense Treaty"/>
    <x v="0"/>
    <x v="25"/>
    <x v="13"/>
    <n v="11"/>
    <x v="4"/>
    <s v="Qian Nanzhong"/>
    <m/>
    <s v="Shenyang MR Commander"/>
    <n v="6"/>
    <x v="1"/>
    <m/>
    <x v="0"/>
    <m/>
    <x v="0"/>
    <m/>
    <x v="1"/>
    <m/>
    <m/>
    <m/>
    <s v="Defense White Paper Appendix"/>
    <m/>
  </r>
  <r>
    <x v="1"/>
    <x v="7"/>
    <s v="West Asia and Africa"/>
    <s v="No Specific Relationship"/>
    <s v="None"/>
    <x v="4"/>
    <x v="97"/>
    <x v="13"/>
    <n v="11"/>
    <x v="4"/>
    <s v="Li Jinai"/>
    <m/>
    <s v="GPD Deputy Director"/>
    <n v="8"/>
    <x v="1"/>
    <m/>
    <x v="0"/>
    <m/>
    <x v="0"/>
    <m/>
    <x v="1"/>
    <m/>
    <m/>
    <m/>
    <s v="Defense White Paper Appendix"/>
    <s v="Updated positions with DWP"/>
  </r>
  <r>
    <x v="1"/>
    <x v="8"/>
    <s v="Europe and Central Asia"/>
    <s v="Comprehensive Strategic Partnership [全面战略伙伴关系]"/>
    <s v="NATO"/>
    <x v="3"/>
    <x v="21"/>
    <x v="13"/>
    <n v="11"/>
    <x v="3"/>
    <s v="Cao Gangchuan"/>
    <m/>
    <s v="CMC Vice Chairman; Defense Minister"/>
    <n v="10"/>
    <x v="2"/>
    <s v="First Sea Lord and Chief of Naval Staff"/>
    <x v="0"/>
    <m/>
    <x v="0"/>
    <m/>
    <x v="1"/>
    <m/>
    <m/>
    <m/>
    <s v="Defense White Paper Appendix"/>
    <m/>
  </r>
  <r>
    <x v="1"/>
    <x v="7"/>
    <s v="West Asia and Africa"/>
    <s v="No Specific Relationship"/>
    <s v="None"/>
    <x v="4"/>
    <x v="61"/>
    <x v="13"/>
    <n v="11"/>
    <x v="4"/>
    <s v="Li Jinai"/>
    <m/>
    <s v="GPD Deputy Director"/>
    <n v="8"/>
    <x v="1"/>
    <m/>
    <x v="0"/>
    <m/>
    <x v="0"/>
    <m/>
    <x v="1"/>
    <m/>
    <m/>
    <m/>
    <s v="Defense White Paper Appendix"/>
    <s v="Updated positions with DWP"/>
  </r>
  <r>
    <x v="1"/>
    <x v="5"/>
    <s v="America and Oceania"/>
    <s v="No Specific Relationship"/>
    <s v="ANZUS Treaty"/>
    <x v="0"/>
    <x v="12"/>
    <x v="13"/>
    <n v="12"/>
    <x v="3"/>
    <s v="Qiao Qingchen"/>
    <m/>
    <s v="PLAAF Commander"/>
    <n v="8"/>
    <x v="2"/>
    <s v="Air Force Commander"/>
    <x v="0"/>
    <m/>
    <x v="0"/>
    <m/>
    <x v="1"/>
    <m/>
    <m/>
    <m/>
    <s v="https://dlib.eastview.com/browse/doc/14653038"/>
    <m/>
  </r>
  <r>
    <x v="1"/>
    <x v="10"/>
    <s v="America and Oceania"/>
    <s v="No Specific Relationship"/>
    <s v="None"/>
    <x v="5"/>
    <x v="51"/>
    <x v="13"/>
    <n v="12"/>
    <x v="3"/>
    <s v="Xu Caihou"/>
    <m/>
    <s v="CMC Vice Chairman"/>
    <n v="10"/>
    <x v="2"/>
    <s v="Chief of Joint Command"/>
    <x v="0"/>
    <m/>
    <x v="0"/>
    <m/>
    <x v="1"/>
    <m/>
    <m/>
    <m/>
    <s v="Defense White Paper Appendix"/>
    <m/>
  </r>
  <r>
    <x v="1"/>
    <x v="0"/>
    <s v="Asia"/>
    <s v="Comprehensive Cooperative Partnership [全面合作伙伴关系]"/>
    <s v="None"/>
    <x v="0"/>
    <x v="6"/>
    <x v="13"/>
    <n v="12"/>
    <x v="3"/>
    <s v="Cao Gangchuan"/>
    <m/>
    <s v="CMC Vice Chairman; Defense Minister"/>
    <n v="10"/>
    <x v="2"/>
    <s v="Army Chief"/>
    <x v="0"/>
    <m/>
    <x v="0"/>
    <m/>
    <x v="1"/>
    <m/>
    <m/>
    <m/>
    <s v="Defense White Paper Appendix"/>
    <m/>
  </r>
  <r>
    <x v="1"/>
    <x v="1"/>
    <s v="Asia"/>
    <s v="No Specific Relationship"/>
    <s v="None"/>
    <x v="0"/>
    <x v="52"/>
    <x v="13"/>
    <n v="12"/>
    <x v="4"/>
    <s v="Li Jinai"/>
    <m/>
    <s v="GPD Deputy Director"/>
    <n v="8"/>
    <x v="1"/>
    <m/>
    <x v="0"/>
    <m/>
    <x v="0"/>
    <m/>
    <x v="1"/>
    <m/>
    <m/>
    <m/>
    <s v="Defense White Paper Appendix"/>
    <s v="Updated positions with DWP"/>
  </r>
  <r>
    <x v="1"/>
    <x v="1"/>
    <s v="Asia"/>
    <s v="No Specific Relationship"/>
    <s v="None"/>
    <x v="0"/>
    <x v="1"/>
    <x v="13"/>
    <n v="12"/>
    <x v="4"/>
    <s v="Xiong Guangkai"/>
    <m/>
    <s v="GSD DCGS"/>
    <n v="6"/>
    <x v="1"/>
    <m/>
    <x v="0"/>
    <m/>
    <x v="0"/>
    <m/>
    <x v="1"/>
    <m/>
    <m/>
    <m/>
    <s v="Defense White Paper Appendix"/>
    <m/>
  </r>
  <r>
    <x v="1"/>
    <x v="3"/>
    <s v="Europe and Central Asia"/>
    <s v="Strategic Partnership of Coordination [战略协作伙伴关系]"/>
    <s v="None"/>
    <x v="3"/>
    <x v="7"/>
    <x v="13"/>
    <n v="12"/>
    <x v="3"/>
    <s v="Cao Gangchuan"/>
    <m/>
    <s v="CMC Vice Chairman; Defense Minister"/>
    <n v="10"/>
    <x v="2"/>
    <s v="Defense Minister"/>
    <x v="0"/>
    <m/>
    <x v="0"/>
    <m/>
    <x v="1"/>
    <m/>
    <m/>
    <m/>
    <s v="Defense White Paper Appendix"/>
    <m/>
  </r>
  <r>
    <x v="1"/>
    <x v="1"/>
    <s v="Asia"/>
    <s v="No Specific Relationship"/>
    <s v="Bilateral Defense Treaty"/>
    <x v="0"/>
    <x v="5"/>
    <x v="13"/>
    <n v="12"/>
    <x v="4"/>
    <s v="Li Jinai"/>
    <m/>
    <s v="GPD Deputy Director"/>
    <n v="8"/>
    <x v="1"/>
    <m/>
    <x v="0"/>
    <m/>
    <x v="0"/>
    <m/>
    <x v="1"/>
    <m/>
    <m/>
    <m/>
    <s v="Defense White Paper Appendix"/>
    <s v="Updated positions with DWP"/>
  </r>
  <r>
    <x v="1"/>
    <x v="8"/>
    <s v="Europe and Central Asia"/>
    <s v="No Specific Relationship"/>
    <s v="NATO"/>
    <x v="3"/>
    <x v="38"/>
    <x v="13"/>
    <n v="12"/>
    <x v="3"/>
    <s v="Zhang Li"/>
    <m/>
    <s v="GSD DCGS"/>
    <n v="8"/>
    <x v="2"/>
    <s v="Defense Minister"/>
    <x v="0"/>
    <m/>
    <x v="0"/>
    <m/>
    <x v="1"/>
    <m/>
    <m/>
    <m/>
    <s v="Defense White Paper Appendix"/>
    <s v="https://dlib.eastview.com/browse/doc/14656319"/>
  </r>
  <r>
    <x v="1"/>
    <x v="1"/>
    <s v="Asia"/>
    <s v="No Specific Relationship"/>
    <s v="None"/>
    <x v="0"/>
    <x v="23"/>
    <x v="13"/>
    <n v="12"/>
    <x v="4"/>
    <s v="Li Jinai"/>
    <m/>
    <s v="GPD Deputy Director"/>
    <n v="8"/>
    <x v="1"/>
    <m/>
    <x v="0"/>
    <m/>
    <x v="0"/>
    <m/>
    <x v="1"/>
    <m/>
    <m/>
    <m/>
    <s v="Defense White Paper Appendix"/>
    <s v=" "/>
  </r>
  <r>
    <x v="1"/>
    <x v="10"/>
    <s v="America and Oceania"/>
    <s v="No Specific Relationship"/>
    <s v="None"/>
    <x v="5"/>
    <x v="45"/>
    <x v="14"/>
    <n v="1"/>
    <x v="3"/>
    <s v="Cao Gangchuan"/>
    <m/>
    <s v="CMC Vice Chairman; Defense Minister"/>
    <n v="10"/>
    <x v="2"/>
    <s v="CinC Armed Forces"/>
    <x v="0"/>
    <m/>
    <x v="0"/>
    <m/>
    <x v="1"/>
    <m/>
    <m/>
    <m/>
    <s v="Defense White Paper Appendix"/>
    <m/>
  </r>
  <r>
    <x v="1"/>
    <x v="0"/>
    <s v="Asia"/>
    <s v="Strategic Partnership [战略伙伴关系]"/>
    <s v="Major Non-NATO Ally"/>
    <x v="1"/>
    <x v="2"/>
    <x v="14"/>
    <n v="1"/>
    <x v="3"/>
    <s v="Cao Gangchuan"/>
    <m/>
    <s v="CMC Vice Chairman; Defense Minister"/>
    <n v="10"/>
    <x v="2"/>
    <s v="Defense Minister"/>
    <x v="0"/>
    <m/>
    <x v="0"/>
    <m/>
    <x v="1"/>
    <m/>
    <m/>
    <m/>
    <s v="Defense White Paper Appendix"/>
    <m/>
  </r>
  <r>
    <x v="1"/>
    <x v="2"/>
    <s v="America and Oceania"/>
    <s v="No Specific Relationship"/>
    <s v="N/A"/>
    <x v="2"/>
    <x v="4"/>
    <x v="14"/>
    <n v="1"/>
    <x v="3"/>
    <s v="Cao Gangchuan"/>
    <m/>
    <s v="CMC Vice Chairman; Defense Minister"/>
    <n v="10"/>
    <x v="2"/>
    <s v="Co-heads of US House Armed Services Committee"/>
    <x v="0"/>
    <m/>
    <x v="0"/>
    <m/>
    <x v="1"/>
    <m/>
    <m/>
    <m/>
    <s v="Defense White Paper Appendix"/>
    <m/>
  </r>
  <r>
    <x v="1"/>
    <x v="8"/>
    <s v="Europe and Central Asia"/>
    <s v="Comprehensive Strategic Partnership [全面战略伙伴关系]"/>
    <s v="NATO"/>
    <x v="3"/>
    <x v="20"/>
    <x v="14"/>
    <n v="2"/>
    <x v="3"/>
    <s v="Cao Gangchuan"/>
    <m/>
    <s v="CMC Vice Chairman; Defense Minister"/>
    <n v="10"/>
    <x v="2"/>
    <s v="Chief of Defense Staff"/>
    <x v="0"/>
    <m/>
    <x v="0"/>
    <m/>
    <x v="1"/>
    <m/>
    <m/>
    <m/>
    <s v="Defense White Paper Appendix"/>
    <m/>
  </r>
  <r>
    <x v="1"/>
    <x v="8"/>
    <s v="Europe and Central Asia"/>
    <s v="Strategic Partnership [战略伙伴关系]"/>
    <s v="None"/>
    <x v="3"/>
    <x v="34"/>
    <x v="14"/>
    <n v="3"/>
    <x v="3"/>
    <s v="Cao Gangchuan"/>
    <m/>
    <s v="CMC Vice Chairman; Defense Minister"/>
    <n v="10"/>
    <x v="2"/>
    <s v="Air Force Commander"/>
    <x v="0"/>
    <m/>
    <x v="0"/>
    <m/>
    <x v="1"/>
    <m/>
    <m/>
    <m/>
    <s v="Defense White Paper Appendix"/>
    <m/>
  </r>
  <r>
    <x v="1"/>
    <x v="10"/>
    <s v="America and Oceania"/>
    <s v="Comprehensive Strategic Partnership [全面战略伙伴关系]"/>
    <s v="None"/>
    <x v="5"/>
    <x v="43"/>
    <x v="14"/>
    <n v="3"/>
    <x v="4"/>
    <s v="Qiao Qingchen"/>
    <m/>
    <s v="PLAAF Commander"/>
    <n v="6"/>
    <x v="1"/>
    <m/>
    <x v="0"/>
    <m/>
    <x v="0"/>
    <m/>
    <x v="1"/>
    <m/>
    <m/>
    <m/>
    <s v="Defense White Paper Appendix"/>
    <m/>
  </r>
  <r>
    <x v="1"/>
    <x v="10"/>
    <s v="America and Oceania"/>
    <s v="No Specific Relationship"/>
    <s v="None"/>
    <x v="5"/>
    <x v="49"/>
    <x v="14"/>
    <n v="3"/>
    <x v="4"/>
    <s v="Yang Deqing"/>
    <m/>
    <s v="Guangzhou MR Political Commissar"/>
    <n v="6"/>
    <x v="1"/>
    <m/>
    <x v="0"/>
    <m/>
    <x v="0"/>
    <m/>
    <x v="1"/>
    <m/>
    <m/>
    <m/>
    <s v="Defense White Paper Appendix"/>
    <m/>
  </r>
  <r>
    <x v="1"/>
    <x v="8"/>
    <s v="Europe and Central Asia"/>
    <s v="Comprehensive Strategic Partnership [全面战略伙伴关系]"/>
    <s v="NATO"/>
    <x v="3"/>
    <x v="20"/>
    <x v="14"/>
    <n v="3"/>
    <x v="3"/>
    <s v="Cao Gangchuan"/>
    <m/>
    <s v="CMC Vice Chairman; Defense Minister"/>
    <n v="10"/>
    <x v="2"/>
    <s v="CinC Military Police"/>
    <x v="0"/>
    <m/>
    <x v="0"/>
    <m/>
    <x v="1"/>
    <m/>
    <m/>
    <m/>
    <s v="Defense White Paper Appendix"/>
    <m/>
  </r>
  <r>
    <x v="1"/>
    <x v="4"/>
    <s v="Asia"/>
    <s v="Partnership of Friendship and Cooperation for Peace and Development [致力于和平发展的友好合作关系]"/>
    <s v="Bilateral Defense Treaty"/>
    <x v="0"/>
    <x v="83"/>
    <x v="14"/>
    <n v="3"/>
    <x v="3"/>
    <s v="Xiong Guangkai"/>
    <m/>
    <s v="GSD DCGS"/>
    <n v="6"/>
    <x v="2"/>
    <s v="Deputy Minister of State for Defense"/>
    <x v="0"/>
    <m/>
    <x v="0"/>
    <m/>
    <x v="1"/>
    <m/>
    <m/>
    <m/>
    <s v="Defense White Paper Appendix"/>
    <m/>
  </r>
  <r>
    <x v="1"/>
    <x v="6"/>
    <s v="Europe and Central Asia"/>
    <s v="No Specific Relationship"/>
    <s v="None"/>
    <x v="1"/>
    <x v="31"/>
    <x v="14"/>
    <n v="3"/>
    <x v="3"/>
    <s v="Xiong Guangkai"/>
    <m/>
    <s v="GSD DCGS"/>
    <n v="6"/>
    <x v="2"/>
    <s v="Defense Minister"/>
    <x v="0"/>
    <m/>
    <x v="0"/>
    <m/>
    <x v="1"/>
    <m/>
    <m/>
    <m/>
    <s v="Defense White Paper Appendix"/>
    <m/>
  </r>
  <r>
    <x v="1"/>
    <x v="7"/>
    <s v="West Asia and Africa"/>
    <s v="No Specific Relationship"/>
    <s v="None"/>
    <x v="4"/>
    <x v="114"/>
    <x v="14"/>
    <n v="3"/>
    <x v="3"/>
    <s v="Cao Gangchuan"/>
    <m/>
    <s v="CMC Vice Chairman; Defense Minister"/>
    <n v="10"/>
    <x v="2"/>
    <s v="Chief of Defense Forces"/>
    <x v="0"/>
    <m/>
    <x v="0"/>
    <m/>
    <x v="1"/>
    <m/>
    <m/>
    <m/>
    <s v="Defense White Paper Appendix"/>
    <m/>
  </r>
  <r>
    <x v="1"/>
    <x v="7"/>
    <s v="West Asia and Africa"/>
    <s v="No Specific Relationship"/>
    <s v="None"/>
    <x v="4"/>
    <x v="115"/>
    <x v="14"/>
    <n v="3"/>
    <x v="3"/>
    <s v="Cao Gangchuan"/>
    <m/>
    <s v="CMC Vice Chairman; Defense Minister"/>
    <n v="8"/>
    <x v="2"/>
    <s v="Defense Minister"/>
    <x v="0"/>
    <m/>
    <x v="0"/>
    <m/>
    <x v="1"/>
    <m/>
    <m/>
    <m/>
    <s v="https://dlib.eastview.com/browse/doc/14712209"/>
    <m/>
  </r>
  <r>
    <x v="1"/>
    <x v="3"/>
    <s v="Europe and Central Asia"/>
    <s v="Strategic Partnership of Coordination [战略协作伙伴关系]"/>
    <s v="None"/>
    <x v="3"/>
    <x v="7"/>
    <x v="14"/>
    <n v="3"/>
    <x v="3"/>
    <s v="Cao Gangchuan"/>
    <m/>
    <s v="CMC Vice Chairman; Defense Minister"/>
    <n v="10"/>
    <x v="2"/>
    <s v="COGS"/>
    <x v="0"/>
    <m/>
    <x v="0"/>
    <m/>
    <x v="1"/>
    <m/>
    <m/>
    <m/>
    <s v="Defense White Paper Appendix"/>
    <m/>
  </r>
  <r>
    <x v="1"/>
    <x v="4"/>
    <s v="Asia"/>
    <s v="Comprehensive Cooperative Partnership [全面合作伙伴关系]"/>
    <s v="Bilateral Defense Treaty"/>
    <x v="0"/>
    <x v="25"/>
    <x v="14"/>
    <n v="3"/>
    <x v="3"/>
    <s v="Cao Gangchuan"/>
    <m/>
    <s v="CMC Vice Chairman; Defense Minister"/>
    <n v="10"/>
    <x v="2"/>
    <s v="Defense Minister"/>
    <x v="0"/>
    <m/>
    <x v="0"/>
    <m/>
    <x v="1"/>
    <m/>
    <m/>
    <m/>
    <s v="Defense White Paper Appendix"/>
    <m/>
  </r>
  <r>
    <x v="1"/>
    <x v="8"/>
    <s v="Europe and Central Asia"/>
    <s v="Comprehensive Strategic Partnership [全面战略伙伴关系]"/>
    <s v="NATO"/>
    <x v="3"/>
    <x v="70"/>
    <x v="14"/>
    <n v="3"/>
    <x v="4"/>
    <s v="Qiao Qingchen"/>
    <m/>
    <s v="PLAAF Commander"/>
    <n v="6"/>
    <x v="1"/>
    <m/>
    <x v="0"/>
    <m/>
    <x v="0"/>
    <m/>
    <x v="1"/>
    <m/>
    <m/>
    <m/>
    <s v="Defense White Paper Appendix"/>
    <m/>
  </r>
  <r>
    <x v="1"/>
    <x v="8"/>
    <s v="Europe and Central Asia"/>
    <s v="No Specific Relationship"/>
    <s v="None"/>
    <x v="3"/>
    <x v="92"/>
    <x v="14"/>
    <n v="3"/>
    <x v="4"/>
    <s v="Qiao Qingchen"/>
    <m/>
    <s v="PLAAF Commander; CMC Member"/>
    <n v="8"/>
    <x v="1"/>
    <m/>
    <x v="0"/>
    <m/>
    <x v="0"/>
    <m/>
    <x v="1"/>
    <m/>
    <m/>
    <m/>
    <s v="Defense White Paper Appendix"/>
    <m/>
  </r>
  <r>
    <x v="1"/>
    <x v="10"/>
    <s v="America and Oceania"/>
    <s v="No Specific Relationship"/>
    <s v="None"/>
    <x v="5"/>
    <x v="42"/>
    <x v="14"/>
    <n v="4"/>
    <x v="4"/>
    <s v="Sun Dafa"/>
    <m/>
    <s v="GLD Political Commissar"/>
    <n v="6"/>
    <x v="1"/>
    <m/>
    <x v="0"/>
    <m/>
    <x v="0"/>
    <m/>
    <x v="1"/>
    <m/>
    <m/>
    <m/>
    <s v="Defense White Paper Appendix"/>
    <m/>
  </r>
  <r>
    <x v="1"/>
    <x v="10"/>
    <s v="America and Oceania"/>
    <s v="Comprehensive Strategic Partnership [全面战略伙伴关系]"/>
    <s v="None"/>
    <x v="5"/>
    <x v="43"/>
    <x v="14"/>
    <n v="4"/>
    <x v="3"/>
    <s v="Cao Gangchuan"/>
    <m/>
    <s v="CMC Vice Chairman; Defense Minister"/>
    <n v="10"/>
    <x v="2"/>
    <s v="Army Commander"/>
    <x v="0"/>
    <m/>
    <x v="0"/>
    <m/>
    <x v="1"/>
    <m/>
    <m/>
    <m/>
    <s v="Defense White Paper Appendix"/>
    <m/>
  </r>
  <r>
    <x v="1"/>
    <x v="10"/>
    <s v="America and Oceania"/>
    <s v="No Specific Relationship"/>
    <s v="None"/>
    <x v="5"/>
    <x v="49"/>
    <x v="14"/>
    <n v="4"/>
    <x v="3"/>
    <s v="Xiong Guangkai"/>
    <m/>
    <s v="GSD DCGS"/>
    <n v="8"/>
    <x v="2"/>
    <s v="DCOGS"/>
    <x v="0"/>
    <m/>
    <x v="0"/>
    <m/>
    <x v="1"/>
    <m/>
    <m/>
    <m/>
    <s v="Defense White Paper Appendix"/>
    <s v="No corroborating reporting on this visit; assess Xiong Guangkai as likely counterpart"/>
  </r>
  <r>
    <x v="1"/>
    <x v="8"/>
    <s v="Europe and Central Asia"/>
    <s v="No Specific Relationship"/>
    <s v="NATO"/>
    <x v="3"/>
    <x v="116"/>
    <x v="14"/>
    <n v="4"/>
    <x v="4"/>
    <s v="Cao Gangchuan"/>
    <m/>
    <s v="CMC Vice Chairman; Defense Minister"/>
    <n v="10"/>
    <x v="1"/>
    <m/>
    <x v="0"/>
    <m/>
    <x v="0"/>
    <m/>
    <x v="1"/>
    <m/>
    <m/>
    <m/>
    <s v="Defense White Paper Appendix"/>
    <m/>
  </r>
  <r>
    <x v="1"/>
    <x v="9"/>
    <s v="West Asia and Africa"/>
    <s v="Strategic Cooperative Partnership [战略合作伙伴关系]"/>
    <s v="Major Non-NATO Ally"/>
    <x v="1"/>
    <x v="24"/>
    <x v="14"/>
    <n v="4"/>
    <x v="4"/>
    <s v="Cao Gangchuan"/>
    <m/>
    <s v="CMC Vice Chairman; Defense Minister"/>
    <n v="10"/>
    <x v="1"/>
    <s v="Defense Minister"/>
    <x v="0"/>
    <m/>
    <x v="0"/>
    <m/>
    <x v="1"/>
    <m/>
    <m/>
    <m/>
    <s v="Defense White Paper Appendix"/>
    <m/>
  </r>
  <r>
    <x v="1"/>
    <x v="8"/>
    <s v="Europe and Central Asia"/>
    <s v="No Specific Relationship"/>
    <s v="NATO"/>
    <x v="3"/>
    <x v="29"/>
    <x v="14"/>
    <n v="4"/>
    <x v="4"/>
    <s v="Jiang Futang"/>
    <m/>
    <s v="Shenyang MR Political Commissar"/>
    <n v="6"/>
    <x v="1"/>
    <m/>
    <x v="0"/>
    <m/>
    <x v="0"/>
    <m/>
    <x v="1"/>
    <m/>
    <m/>
    <m/>
    <s v="Defense White Paper Appendix"/>
    <m/>
  </r>
  <r>
    <x v="1"/>
    <x v="8"/>
    <s v="Europe and Central Asia"/>
    <s v="Comprehensive Strategic Partnership [全面战略伙伴关系]"/>
    <s v="NATO"/>
    <x v="3"/>
    <x v="20"/>
    <x v="14"/>
    <n v="4"/>
    <x v="3"/>
    <s v="Xu Caihou"/>
    <m/>
    <s v="CMC Vice Chairman"/>
    <n v="10"/>
    <x v="2"/>
    <s v="Chief of Naval Staff"/>
    <x v="0"/>
    <m/>
    <x v="0"/>
    <m/>
    <x v="1"/>
    <m/>
    <m/>
    <m/>
    <s v="Defense White Paper Appendix"/>
    <m/>
  </r>
  <r>
    <x v="1"/>
    <x v="8"/>
    <s v="Europe and Central Asia"/>
    <s v="No Specific Relationship"/>
    <s v="NATO"/>
    <x v="3"/>
    <x v="117"/>
    <x v="14"/>
    <n v="4"/>
    <x v="4"/>
    <s v="Cao Gangchuan"/>
    <m/>
    <s v="CMC Vice Chairman; Defense Minister"/>
    <n v="10"/>
    <x v="1"/>
    <s v="Defense Minister"/>
    <x v="0"/>
    <m/>
    <x v="0"/>
    <m/>
    <x v="1"/>
    <m/>
    <m/>
    <m/>
    <s v="Defense White Paper Appendix"/>
    <m/>
  </r>
  <r>
    <x v="1"/>
    <x v="4"/>
    <s v="Asia"/>
    <s v="Bilateral Defense Treaty"/>
    <s v="None"/>
    <x v="0"/>
    <x v="9"/>
    <x v="14"/>
    <n v="4"/>
    <x v="3"/>
    <s v="Guo Boxiong"/>
    <m/>
    <s v="CMC Vice Chairman"/>
    <n v="10"/>
    <x v="2"/>
    <s v="Director of Army"/>
    <x v="0"/>
    <m/>
    <x v="0"/>
    <m/>
    <x v="1"/>
    <m/>
    <m/>
    <m/>
    <s v="Defense White Paper Appendix"/>
    <m/>
  </r>
  <r>
    <x v="1"/>
    <x v="0"/>
    <s v="Asia"/>
    <s v="Strategic Partnership [战略伙伴关系]"/>
    <s v="Major Non-NATO Ally"/>
    <x v="1"/>
    <x v="2"/>
    <x v="14"/>
    <n v="4"/>
    <x v="3"/>
    <s v="Cao Gangchuan"/>
    <m/>
    <s v="CMC Vice Chairman; Defense Minister"/>
    <n v="10"/>
    <x v="2"/>
    <s v="Deputy Chief of Army Staff"/>
    <x v="0"/>
    <m/>
    <x v="0"/>
    <m/>
    <x v="1"/>
    <m/>
    <m/>
    <m/>
    <s v="Defense White Paper Appendix"/>
    <m/>
  </r>
  <r>
    <x v="1"/>
    <x v="8"/>
    <s v="Europe and Central Asia"/>
    <s v="No Specific Relationship"/>
    <s v="NATO"/>
    <x v="3"/>
    <x v="40"/>
    <x v="14"/>
    <n v="4"/>
    <x v="4"/>
    <s v="Jiang Futang"/>
    <m/>
    <s v="Shenyang MR Political Commissar"/>
    <n v="6"/>
    <x v="1"/>
    <m/>
    <x v="0"/>
    <m/>
    <x v="0"/>
    <m/>
    <x v="1"/>
    <m/>
    <m/>
    <m/>
    <s v="Defense White Paper Appendix"/>
    <m/>
  </r>
  <r>
    <x v="1"/>
    <x v="7"/>
    <s v="West Asia and Africa"/>
    <s v="No Specific Relationship"/>
    <s v="None"/>
    <x v="4"/>
    <x v="16"/>
    <x v="14"/>
    <n v="4"/>
    <x v="4"/>
    <s v="Cao Gangchuan"/>
    <m/>
    <s v="CMC Vice Chairman; Defense Minister"/>
    <n v="10"/>
    <x v="1"/>
    <s v="Defense Minister"/>
    <x v="0"/>
    <m/>
    <x v="0"/>
    <m/>
    <x v="1"/>
    <m/>
    <m/>
    <m/>
    <s v="Defense White Paper Appendix"/>
    <m/>
  </r>
  <r>
    <x v="1"/>
    <x v="8"/>
    <s v="Europe and Central Asia"/>
    <s v="No Specific Relationship"/>
    <s v="NATO"/>
    <x v="3"/>
    <x v="38"/>
    <x v="14"/>
    <n v="4"/>
    <x v="3"/>
    <s v="Liang Guanglie"/>
    <m/>
    <s v="GSD Commander; CMC Member"/>
    <n v="8"/>
    <x v="2"/>
    <s v="Air Force Commander"/>
    <x v="0"/>
    <m/>
    <x v="0"/>
    <m/>
    <x v="1"/>
    <m/>
    <m/>
    <m/>
    <s v="Defense White Paper Appendix"/>
    <m/>
  </r>
  <r>
    <x v="1"/>
    <x v="2"/>
    <s v="America and Oceania"/>
    <s v="No Specific Relationship"/>
    <s v="N/A"/>
    <x v="2"/>
    <x v="4"/>
    <x v="14"/>
    <n v="4"/>
    <x v="4"/>
    <s v="Xiong Guangkai"/>
    <m/>
    <s v="GSD DCGS"/>
    <n v="6"/>
    <x v="1"/>
    <m/>
    <x v="0"/>
    <m/>
    <x v="0"/>
    <m/>
    <x v="1"/>
    <m/>
    <m/>
    <m/>
    <s v="Defense White Paper Appendix"/>
    <m/>
  </r>
  <r>
    <x v="1"/>
    <x v="10"/>
    <s v="America and Oceania"/>
    <s v="No Specific Relationship"/>
    <s v="None"/>
    <x v="5"/>
    <x v="107"/>
    <x v="14"/>
    <n v="4"/>
    <x v="4"/>
    <s v="Sun Dafa"/>
    <m/>
    <s v="GLD Political Commissar"/>
    <n v="6"/>
    <x v="1"/>
    <m/>
    <x v="0"/>
    <m/>
    <x v="0"/>
    <m/>
    <x v="1"/>
    <m/>
    <m/>
    <m/>
    <s v="Defense White Paper Appendix"/>
    <m/>
  </r>
  <r>
    <x v="1"/>
    <x v="7"/>
    <s v="West Asia and Africa"/>
    <s v="No Specific Relationship"/>
    <s v="None"/>
    <x v="4"/>
    <x v="76"/>
    <x v="14"/>
    <n v="5"/>
    <x v="3"/>
    <s v="Cao Gangchuan"/>
    <m/>
    <s v="CMC Vice Chairman; Defense Minister"/>
    <n v="10"/>
    <x v="2"/>
    <s v="Navy Commander"/>
    <x v="0"/>
    <m/>
    <x v="0"/>
    <m/>
    <x v="1"/>
    <m/>
    <m/>
    <m/>
    <s v="Defense White Paper Appendix"/>
    <m/>
  </r>
  <r>
    <x v="1"/>
    <x v="7"/>
    <s v="West Asia and Africa"/>
    <s v="No Specific Relationship"/>
    <s v="None"/>
    <x v="4"/>
    <x v="105"/>
    <x v="14"/>
    <n v="5"/>
    <x v="3"/>
    <s v="Cao Gangchuan"/>
    <m/>
    <s v="CMC Vice Chairman; Defense Minister"/>
    <n v="10"/>
    <x v="2"/>
    <s v="COGS"/>
    <x v="0"/>
    <m/>
    <x v="0"/>
    <m/>
    <x v="1"/>
    <m/>
    <m/>
    <m/>
    <s v="Defense White Paper Appendix"/>
    <m/>
  </r>
  <r>
    <x v="1"/>
    <x v="5"/>
    <s v="America and Oceania"/>
    <s v="No Specific Relationship"/>
    <s v="ANZUS Treaty"/>
    <x v="0"/>
    <x v="12"/>
    <x v="14"/>
    <n v="5"/>
    <x v="3"/>
    <s v="Cao Gangchuan"/>
    <m/>
    <s v="CMC Vice Chairman; Defense Minister"/>
    <n v="10"/>
    <x v="2"/>
    <s v="Defense Minister"/>
    <x v="0"/>
    <m/>
    <x v="0"/>
    <m/>
    <x v="1"/>
    <m/>
    <m/>
    <m/>
    <s v="Defense White Paper Appendix"/>
    <m/>
  </r>
  <r>
    <x v="1"/>
    <x v="0"/>
    <s v="Asia"/>
    <s v="Comprehensive Cooperative Partnership [全面合作伙伴关系]"/>
    <s v="None"/>
    <x v="0"/>
    <x v="0"/>
    <x v="14"/>
    <n v="5"/>
    <x v="4"/>
    <s v="Liang Guanglie"/>
    <m/>
    <s v="GSD Commander; CMC Member"/>
    <n v="8"/>
    <x v="1"/>
    <m/>
    <x v="0"/>
    <m/>
    <x v="0"/>
    <m/>
    <x v="1"/>
    <m/>
    <m/>
    <m/>
    <s v="Defense White Paper Appendix"/>
    <m/>
  </r>
  <r>
    <x v="1"/>
    <x v="8"/>
    <s v="Europe and Central Asia"/>
    <s v="Strategic Partnership [战略伙伴关系]"/>
    <s v="None"/>
    <x v="3"/>
    <x v="34"/>
    <x v="14"/>
    <n v="5"/>
    <x v="3"/>
    <s v="Cao Gangchuan"/>
    <m/>
    <s v="CMC Vice Chairman; Defense Minister"/>
    <n v="10"/>
    <x v="2"/>
    <s v="Defense Minister"/>
    <x v="0"/>
    <m/>
    <x v="0"/>
    <m/>
    <x v="1"/>
    <m/>
    <m/>
    <m/>
    <s v="Defense White Paper Appendix"/>
    <m/>
  </r>
  <r>
    <x v="1"/>
    <x v="8"/>
    <s v="Europe and Central Asia"/>
    <s v="No Specific Relationship"/>
    <s v="NATO"/>
    <x v="3"/>
    <x v="68"/>
    <x v="14"/>
    <n v="5"/>
    <x v="3"/>
    <s v="Cao Gangchuan"/>
    <m/>
    <s v="CMC Vice Chairman; Defense Minister"/>
    <n v="10"/>
    <x v="2"/>
    <s v="Chief of Defense Staff"/>
    <x v="0"/>
    <m/>
    <x v="0"/>
    <m/>
    <x v="1"/>
    <m/>
    <m/>
    <m/>
    <s v="Defense White Paper Appendix"/>
    <m/>
  </r>
  <r>
    <x v="1"/>
    <x v="7"/>
    <s v="West Asia and Africa"/>
    <s v="Friendly Cooperative Partnership [友好合作伙伴关系]"/>
    <s v="None"/>
    <x v="4"/>
    <x v="118"/>
    <x v="14"/>
    <n v="5"/>
    <x v="3"/>
    <s v="Cao Gangchuan"/>
    <m/>
    <s v="CMC Vice Chairman; Defense Minister"/>
    <n v="10"/>
    <x v="2"/>
    <s v="Chief of Staff Armed Forces"/>
    <x v="0"/>
    <m/>
    <x v="0"/>
    <m/>
    <x v="1"/>
    <m/>
    <m/>
    <m/>
    <s v="Defense White Paper Appendix"/>
    <m/>
  </r>
  <r>
    <x v="1"/>
    <x v="8"/>
    <s v="Europe and Central Asia"/>
    <s v="Comprehensive Cooperative Partnership [全面合作伙伴关系]"/>
    <s v="NATO"/>
    <x v="3"/>
    <x v="35"/>
    <x v="14"/>
    <n v="5"/>
    <x v="4"/>
    <s v="Fan Changlong"/>
    <m/>
    <s v="Jinan MR Commander"/>
    <n v="6"/>
    <x v="1"/>
    <m/>
    <x v="0"/>
    <m/>
    <x v="0"/>
    <m/>
    <x v="1"/>
    <m/>
    <m/>
    <m/>
    <s v="Defense White Paper Appendix"/>
    <m/>
  </r>
  <r>
    <x v="1"/>
    <x v="9"/>
    <s v="West Asia and Africa"/>
    <s v="No Specific Relationship"/>
    <s v="None"/>
    <x v="1"/>
    <x v="119"/>
    <x v="14"/>
    <n v="5"/>
    <x v="3"/>
    <s v="Cao Gangchuan"/>
    <m/>
    <s v="CMC Vice Chairman; Defense Minister"/>
    <n v="10"/>
    <x v="2"/>
    <s v="Chief of Staff Armed Forces"/>
    <x v="0"/>
    <m/>
    <x v="0"/>
    <m/>
    <x v="1"/>
    <m/>
    <m/>
    <m/>
    <s v="Defense White Paper Appendix"/>
    <m/>
  </r>
  <r>
    <x v="1"/>
    <x v="8"/>
    <s v="Europe and Central Asia"/>
    <s v="No Specific Relationship"/>
    <s v="None"/>
    <x v="3"/>
    <x v="81"/>
    <x v="14"/>
    <n v="5"/>
    <x v="3"/>
    <s v="Cao Gangchuan"/>
    <m/>
    <s v="CMC Vice Chairman; Defense Minister"/>
    <n v="10"/>
    <x v="2"/>
    <s v="COGS"/>
    <x v="0"/>
    <m/>
    <x v="0"/>
    <m/>
    <x v="1"/>
    <m/>
    <m/>
    <m/>
    <s v="Defense White Paper Appendix"/>
    <m/>
  </r>
  <r>
    <x v="1"/>
    <x v="8"/>
    <s v="Europe and Central Asia"/>
    <s v="No Specific Relationship"/>
    <s v="None"/>
    <x v="3"/>
    <x v="81"/>
    <x v="14"/>
    <n v="5"/>
    <x v="4"/>
    <s v="Xiong Guangkai"/>
    <m/>
    <s v="GSD DCGS"/>
    <n v="6"/>
    <x v="1"/>
    <m/>
    <x v="0"/>
    <m/>
    <x v="0"/>
    <m/>
    <x v="1"/>
    <m/>
    <m/>
    <m/>
    <s v="Defense White Paper Appendix"/>
    <m/>
  </r>
  <r>
    <x v="1"/>
    <x v="8"/>
    <s v="Europe and Central Asia"/>
    <s v="Comprehensive Partnership [全面伙伴关系]"/>
    <s v="NATO"/>
    <x v="3"/>
    <x v="22"/>
    <x v="14"/>
    <n v="5"/>
    <x v="4"/>
    <s v="Xiong Guangkai"/>
    <m/>
    <s v="GSD DCGS"/>
    <n v="6"/>
    <x v="1"/>
    <m/>
    <x v="0"/>
    <m/>
    <x v="0"/>
    <m/>
    <x v="1"/>
    <m/>
    <m/>
    <m/>
    <s v="Defense White Paper Appendix"/>
    <m/>
  </r>
  <r>
    <x v="1"/>
    <x v="7"/>
    <s v="West Asia and Africa"/>
    <s v="No Specific Relationship"/>
    <s v="None"/>
    <x v="4"/>
    <x v="67"/>
    <x v="14"/>
    <n v="5"/>
    <x v="3"/>
    <s v="Cao Gangchuan"/>
    <m/>
    <s v="CMC Vice Chairman; Defense Minister"/>
    <n v="10"/>
    <x v="2"/>
    <s v="Secretary-General of Defense Ministry"/>
    <x v="0"/>
    <m/>
    <x v="0"/>
    <m/>
    <x v="1"/>
    <m/>
    <m/>
    <m/>
    <s v="Defense White Paper Appendix"/>
    <m/>
  </r>
  <r>
    <x v="1"/>
    <x v="8"/>
    <s v="Europe and Central Asia"/>
    <s v="No Specific Relationship"/>
    <s v="NATO"/>
    <x v="3"/>
    <x v="18"/>
    <x v="14"/>
    <n v="5"/>
    <x v="4"/>
    <s v="Liang Guanglie"/>
    <m/>
    <s v="GSD Commander; CMC Member"/>
    <n v="8"/>
    <x v="1"/>
    <m/>
    <x v="0"/>
    <m/>
    <x v="0"/>
    <m/>
    <x v="1"/>
    <m/>
    <m/>
    <m/>
    <s v="Defense White Paper Appendix"/>
    <m/>
  </r>
  <r>
    <x v="1"/>
    <x v="8"/>
    <s v="Europe and Central Asia"/>
    <s v="No Specific Relationship"/>
    <s v="NATO"/>
    <x v="3"/>
    <x v="29"/>
    <x v="14"/>
    <n v="5"/>
    <x v="3"/>
    <s v="Cao Gangchuan"/>
    <m/>
    <s v="CMC Vice Chairman; Defense Minister"/>
    <n v="10"/>
    <x v="2"/>
    <s v="Defense Minister"/>
    <x v="0"/>
    <m/>
    <x v="0"/>
    <m/>
    <x v="1"/>
    <m/>
    <m/>
    <m/>
    <s v="Defense White Paper Appendix"/>
    <m/>
  </r>
  <r>
    <x v="1"/>
    <x v="10"/>
    <s v="America and Oceania"/>
    <s v="No Specific Relationship"/>
    <s v="None"/>
    <x v="5"/>
    <x v="88"/>
    <x v="14"/>
    <n v="5"/>
    <x v="3"/>
    <s v="Xu Caihou"/>
    <m/>
    <s v="CMC Vice Chairman"/>
    <n v="10"/>
    <x v="2"/>
    <s v="Chief of the Defense Staff"/>
    <x v="0"/>
    <m/>
    <x v="0"/>
    <m/>
    <x v="1"/>
    <m/>
    <m/>
    <m/>
    <s v="Defense White Paper Appendix"/>
    <m/>
  </r>
  <r>
    <x v="1"/>
    <x v="8"/>
    <s v="Europe and Central Asia"/>
    <s v="No Specific Relationship"/>
    <s v="NATO"/>
    <x v="3"/>
    <x v="82"/>
    <x v="14"/>
    <n v="5"/>
    <x v="3"/>
    <s v="Cao Gangchuan"/>
    <m/>
    <s v="CMC Vice Chairman; Defense Minister"/>
    <n v="10"/>
    <x v="2"/>
    <s v="Defense Minister"/>
    <x v="0"/>
    <m/>
    <x v="0"/>
    <m/>
    <x v="1"/>
    <m/>
    <m/>
    <m/>
    <s v="Defense White Paper Appendix"/>
    <m/>
  </r>
  <r>
    <x v="1"/>
    <x v="0"/>
    <s v="Asia"/>
    <s v="Strategic Partnership for Peace and Prosperity [战略伙伴关系]"/>
    <s v="None"/>
    <x v="0"/>
    <x v="6"/>
    <x v="14"/>
    <n v="5"/>
    <x v="4"/>
    <s v="Liang Guanglie"/>
    <m/>
    <s v="GSD Commander; CMC Member"/>
    <n v="8"/>
    <x v="1"/>
    <s v="Defense Minister"/>
    <x v="0"/>
    <m/>
    <x v="0"/>
    <m/>
    <x v="1"/>
    <m/>
    <m/>
    <m/>
    <s v="Defense White Paper Appendix"/>
    <m/>
  </r>
  <r>
    <x v="1"/>
    <x v="8"/>
    <s v="Europe and Central Asia"/>
    <s v="Comprehensive Strategic Partnership [全面战略伙伴关系]"/>
    <s v="NATO"/>
    <x v="3"/>
    <x v="20"/>
    <x v="14"/>
    <n v="5"/>
    <x v="3"/>
    <s v="Cao Gangchuan"/>
    <m/>
    <s v="CMC Vice Chairman; Defense Minister"/>
    <n v="10"/>
    <x v="2"/>
    <s v="Chief of Italian Army"/>
    <x v="0"/>
    <m/>
    <x v="0"/>
    <m/>
    <x v="1"/>
    <m/>
    <m/>
    <m/>
    <s v="Defense White Paper Appendix"/>
    <m/>
  </r>
  <r>
    <x v="1"/>
    <x v="8"/>
    <s v="Europe and Central Asia"/>
    <s v="Comprehensive Strategic Partnership [全面战略伙伴关系]"/>
    <s v="NATO"/>
    <x v="3"/>
    <x v="20"/>
    <x v="14"/>
    <n v="5"/>
    <x v="4"/>
    <s v="Chen Bingde"/>
    <m/>
    <s v="GAD Director; CMC Member"/>
    <n v="8"/>
    <x v="1"/>
    <m/>
    <x v="0"/>
    <m/>
    <x v="0"/>
    <m/>
    <x v="1"/>
    <m/>
    <m/>
    <m/>
    <s v="Defense White Paper Appendix"/>
    <m/>
  </r>
  <r>
    <x v="1"/>
    <x v="6"/>
    <s v="Europe and Central Asia"/>
    <s v="Strategic Partnership [战略伙伴关系]"/>
    <s v="None"/>
    <x v="1"/>
    <x v="30"/>
    <x v="14"/>
    <n v="5"/>
    <x v="3"/>
    <s v="Cao Gangchuan"/>
    <m/>
    <s v="CMC Vice Chairman; Defense Minister"/>
    <n v="10"/>
    <x v="2"/>
    <s v="Deputy Defense Minister"/>
    <x v="0"/>
    <m/>
    <x v="0"/>
    <m/>
    <x v="1"/>
    <m/>
    <m/>
    <m/>
    <s v="Defense White Paper Appendix"/>
    <m/>
  </r>
  <r>
    <x v="1"/>
    <x v="6"/>
    <s v="Europe and Central Asia"/>
    <s v="No Specific Relationship"/>
    <s v="None"/>
    <x v="1"/>
    <x v="31"/>
    <x v="14"/>
    <n v="5"/>
    <x v="3"/>
    <s v="Cao Gangchuan"/>
    <m/>
    <s v="CMC Vice Chairman; Defense Minister"/>
    <n v="10"/>
    <x v="2"/>
    <s v="Defense Minister"/>
    <x v="0"/>
    <m/>
    <x v="0"/>
    <m/>
    <x v="1"/>
    <m/>
    <m/>
    <m/>
    <s v="Defense White Paper Appendix"/>
    <m/>
  </r>
  <r>
    <x v="1"/>
    <x v="7"/>
    <s v="West Asia and Africa"/>
    <s v="No Specific Relationship"/>
    <s v="None"/>
    <x v="4"/>
    <x v="84"/>
    <x v="14"/>
    <n v="5"/>
    <x v="3"/>
    <s v="Cao Gangchuan"/>
    <m/>
    <s v="CMC Vice Chairman; Defense Minister"/>
    <n v="10"/>
    <x v="2"/>
    <s v="Defense Minister"/>
    <x v="0"/>
    <m/>
    <x v="0"/>
    <m/>
    <x v="1"/>
    <m/>
    <m/>
    <m/>
    <s v="Defense White Paper Appendix"/>
    <m/>
  </r>
  <r>
    <x v="1"/>
    <x v="10"/>
    <s v="America and Oceania"/>
    <s v="Comprehensive Partnership [全面伙伴关系]"/>
    <s v="None"/>
    <x v="5"/>
    <x v="54"/>
    <x v="14"/>
    <n v="5"/>
    <x v="3"/>
    <s v="Cao Gangchuan"/>
    <m/>
    <s v="CMC Vice Chairman; Defense Minister"/>
    <n v="10"/>
    <x v="2"/>
    <s v="Defense Minister"/>
    <x v="0"/>
    <m/>
    <x v="0"/>
    <m/>
    <x v="1"/>
    <m/>
    <m/>
    <m/>
    <s v="Defense White Paper Appendix"/>
    <m/>
  </r>
  <r>
    <x v="1"/>
    <x v="8"/>
    <s v="Europe and Central Asia"/>
    <s v="Comprehensive Friendly Cooperative Partnership [全面友好合作伙伴关系]"/>
    <s v="NATO"/>
    <x v="3"/>
    <x v="33"/>
    <x v="14"/>
    <n v="5"/>
    <x v="3"/>
    <s v="Xu Caihou"/>
    <m/>
    <s v="CMC Vice Chairman"/>
    <n v="10"/>
    <x v="2"/>
    <s v="Chief of Land Forces"/>
    <x v="0"/>
    <m/>
    <x v="0"/>
    <m/>
    <x v="1"/>
    <m/>
    <m/>
    <m/>
    <s v="Defense White Paper Appendix"/>
    <m/>
  </r>
  <r>
    <x v="1"/>
    <x v="3"/>
    <s v="Europe and Central Asia"/>
    <s v="Strategic Partnership of Coordination [战略协作伙伴关系]"/>
    <s v="None"/>
    <x v="3"/>
    <x v="7"/>
    <x v="14"/>
    <n v="5"/>
    <x v="3"/>
    <s v="Cao Gangchuan"/>
    <m/>
    <s v="CMC Vice Chairman; Defense Minister"/>
    <n v="10"/>
    <x v="2"/>
    <s v="Defense Minister"/>
    <x v="0"/>
    <m/>
    <x v="0"/>
    <m/>
    <x v="1"/>
    <m/>
    <m/>
    <m/>
    <s v="Defense White Paper Appendix"/>
    <m/>
  </r>
  <r>
    <x v="1"/>
    <x v="3"/>
    <s v="Europe and Central Asia"/>
    <s v="Strategic Partnership of Coordination [战略协作伙伴关系]"/>
    <s v="None"/>
    <x v="3"/>
    <x v="7"/>
    <x v="14"/>
    <n v="5"/>
    <x v="4"/>
    <s v="Fan Changlong"/>
    <m/>
    <s v="Jinan MR Commander"/>
    <n v="6"/>
    <x v="1"/>
    <m/>
    <x v="0"/>
    <m/>
    <x v="0"/>
    <m/>
    <x v="1"/>
    <m/>
    <m/>
    <m/>
    <s v="Defense White Paper Appendix"/>
    <m/>
  </r>
  <r>
    <x v="1"/>
    <x v="7"/>
    <s v="West Asia and Africa"/>
    <s v="Strategic Partnership [战略伙伴关系]"/>
    <s v="None"/>
    <x v="4"/>
    <x v="15"/>
    <x v="14"/>
    <n v="5"/>
    <x v="3"/>
    <s v="Cao Gangchuan"/>
    <m/>
    <s v="CMC Vice Chairman; Defense Minister"/>
    <n v="10"/>
    <x v="2"/>
    <s v="Secretary of Defense"/>
    <x v="0"/>
    <m/>
    <x v="0"/>
    <m/>
    <x v="1"/>
    <m/>
    <m/>
    <m/>
    <s v="Defense White Paper Appendix"/>
    <m/>
  </r>
  <r>
    <x v="1"/>
    <x v="4"/>
    <s v="Asia"/>
    <s v="Comprehensive Cooperative Partnership [全面合作伙伴关系]"/>
    <s v="Bilateral Defense Treaty"/>
    <x v="0"/>
    <x v="25"/>
    <x v="14"/>
    <n v="5"/>
    <x v="3"/>
    <s v="Cao Gangchuan"/>
    <m/>
    <s v="CMC Vice Chairman; Defense Minister"/>
    <n v="10"/>
    <x v="2"/>
    <s v="COGS ROKAF"/>
    <x v="0"/>
    <m/>
    <x v="0"/>
    <m/>
    <x v="1"/>
    <m/>
    <m/>
    <m/>
    <s v="Defense White Paper Appendix"/>
    <m/>
  </r>
  <r>
    <x v="1"/>
    <x v="7"/>
    <s v="West Asia and Africa"/>
    <s v="No Specific Relationship"/>
    <s v="None"/>
    <x v="4"/>
    <x v="74"/>
    <x v="14"/>
    <n v="5"/>
    <x v="3"/>
    <s v="Cao Gangchuan"/>
    <m/>
    <s v="CMC Vice Chairman; Defense Minister"/>
    <n v="10"/>
    <x v="2"/>
    <s v="COGS "/>
    <x v="0"/>
    <m/>
    <x v="0"/>
    <m/>
    <x v="1"/>
    <m/>
    <m/>
    <m/>
    <s v="Defense White Paper Appendix"/>
    <m/>
  </r>
  <r>
    <x v="1"/>
    <x v="6"/>
    <s v="Europe and Central Asia"/>
    <s v="No Specific Relationship"/>
    <s v="None"/>
    <x v="1"/>
    <x v="60"/>
    <x v="14"/>
    <n v="5"/>
    <x v="3"/>
    <s v="Cao Gangchuan"/>
    <m/>
    <s v="CMC Vice Chairman; Defense Minister"/>
    <n v="10"/>
    <x v="2"/>
    <s v="Defense Minister"/>
    <x v="0"/>
    <m/>
    <x v="0"/>
    <m/>
    <x v="1"/>
    <m/>
    <m/>
    <m/>
    <s v="Defense White Paper Appendix"/>
    <m/>
  </r>
  <r>
    <x v="1"/>
    <x v="1"/>
    <s v="Asia"/>
    <s v="No Specific Relationship"/>
    <s v="Bilateral Defense Treaty"/>
    <x v="0"/>
    <x v="5"/>
    <x v="14"/>
    <n v="5"/>
    <x v="3"/>
    <s v="Cao Gangchuan"/>
    <m/>
    <s v="CMC Vice Chairman; Defense Minister"/>
    <n v="10"/>
    <x v="2"/>
    <s v="CinC Army"/>
    <x v="0"/>
    <m/>
    <x v="0"/>
    <m/>
    <x v="1"/>
    <m/>
    <m/>
    <m/>
    <s v="Defense White Paper Appendix"/>
    <m/>
  </r>
  <r>
    <x v="1"/>
    <x v="8"/>
    <s v="Europe and Central Asia"/>
    <s v="No Specific Relationship"/>
    <s v="NATO"/>
    <x v="3"/>
    <x v="38"/>
    <x v="14"/>
    <n v="5"/>
    <x v="3"/>
    <s v="Cao Gangchuan"/>
    <m/>
    <s v="CMC Vice Chairman; Defense Minister"/>
    <n v="10"/>
    <x v="2"/>
    <s v="Gendarmerie Commander"/>
    <x v="0"/>
    <m/>
    <x v="0"/>
    <m/>
    <x v="1"/>
    <m/>
    <m/>
    <m/>
    <s v="Defense White Paper Appendix"/>
    <m/>
  </r>
  <r>
    <x v="1"/>
    <x v="8"/>
    <s v="Europe and Central Asia"/>
    <s v="No Specific Relationship"/>
    <s v="NATO"/>
    <x v="3"/>
    <x v="38"/>
    <x v="14"/>
    <n v="5"/>
    <x v="4"/>
    <s v="Liang Guanglie"/>
    <m/>
    <s v="GSD Commander; CMC Member"/>
    <n v="8"/>
    <x v="1"/>
    <s v="Defense Minister"/>
    <x v="0"/>
    <m/>
    <x v="0"/>
    <m/>
    <x v="1"/>
    <m/>
    <m/>
    <m/>
    <s v="Defense White Paper Appendix"/>
    <m/>
  </r>
  <r>
    <x v="1"/>
    <x v="8"/>
    <s v="Europe and Central Asia"/>
    <s v="Comprehensive Strategic Partnership [全面战略伙伴关系]"/>
    <s v="NATO"/>
    <x v="3"/>
    <x v="21"/>
    <x v="14"/>
    <n v="5"/>
    <x v="4"/>
    <s v="Chen Bingde"/>
    <m/>
    <s v="GAD Director; CMC Member"/>
    <n v="8"/>
    <x v="1"/>
    <m/>
    <x v="0"/>
    <m/>
    <x v="0"/>
    <m/>
    <x v="1"/>
    <m/>
    <m/>
    <m/>
    <s v="Defense White Paper Appendix"/>
    <m/>
  </r>
  <r>
    <x v="1"/>
    <x v="6"/>
    <s v="Europe and Central Asia"/>
    <s v="No Specific Relationship"/>
    <s v="None"/>
    <x v="1"/>
    <x v="73"/>
    <x v="14"/>
    <n v="5"/>
    <x v="3"/>
    <s v="Cao Gangchuan"/>
    <m/>
    <s v="CMC Vice Chairman; Defense Minister"/>
    <n v="10"/>
    <x v="2"/>
    <s v="Deputy Defense Minister"/>
    <x v="0"/>
    <m/>
    <x v="0"/>
    <m/>
    <x v="1"/>
    <m/>
    <m/>
    <m/>
    <s v="Defense White Paper Appendix"/>
    <m/>
  </r>
  <r>
    <x v="1"/>
    <x v="10"/>
    <s v="America and Oceania"/>
    <s v="No Specific Relationship"/>
    <s v="None"/>
    <x v="5"/>
    <x v="49"/>
    <x v="14"/>
    <n v="6"/>
    <x v="4"/>
    <s v="Li Jinai"/>
    <m/>
    <s v="GPD Deputy Director"/>
    <n v="8"/>
    <x v="1"/>
    <m/>
    <x v="0"/>
    <m/>
    <x v="0"/>
    <m/>
    <x v="1"/>
    <m/>
    <m/>
    <m/>
    <s v="Defense White Paper Appendix"/>
    <s v="Updated positions with DWP"/>
  </r>
  <r>
    <x v="1"/>
    <x v="9"/>
    <s v="West Asia and Africa"/>
    <s v="Strategic Cooperative Partnership [战略合作伙伴关系]"/>
    <s v="Major Non-NATO Ally"/>
    <x v="1"/>
    <x v="24"/>
    <x v="14"/>
    <n v="6"/>
    <x v="4"/>
    <s v="Fu Tinggui"/>
    <m/>
    <s v="Beijing MR Political Commissar"/>
    <n v="6"/>
    <x v="1"/>
    <m/>
    <x v="0"/>
    <m/>
    <x v="0"/>
    <m/>
    <x v="1"/>
    <m/>
    <m/>
    <m/>
    <s v="Defense White Paper Appendix"/>
    <m/>
  </r>
  <r>
    <x v="1"/>
    <x v="8"/>
    <s v="Europe and Central Asia"/>
    <s v="Comprehensive Partnership [全面伙伴关系]"/>
    <s v="NATO"/>
    <x v="3"/>
    <x v="22"/>
    <x v="14"/>
    <n v="6"/>
    <x v="4"/>
    <s v="Xiong Guangkai"/>
    <m/>
    <s v="GSD DCGS"/>
    <n v="6"/>
    <x v="1"/>
    <m/>
    <x v="0"/>
    <m/>
    <x v="0"/>
    <m/>
    <x v="1"/>
    <m/>
    <m/>
    <m/>
    <s v="Defense White Paper Appendix"/>
    <m/>
  </r>
  <r>
    <x v="1"/>
    <x v="8"/>
    <s v="Europe and Central Asia"/>
    <s v="No Specific Relationship"/>
    <s v="NATO"/>
    <x v="3"/>
    <x v="18"/>
    <x v="14"/>
    <n v="6"/>
    <x v="4"/>
    <s v="Zheng Shenxia"/>
    <m/>
    <s v="AMS President"/>
    <n v="6"/>
    <x v="1"/>
    <m/>
    <x v="0"/>
    <m/>
    <x v="0"/>
    <m/>
    <x v="1"/>
    <m/>
    <m/>
    <m/>
    <s v="Defense White Paper Appendix"/>
    <m/>
  </r>
  <r>
    <x v="1"/>
    <x v="7"/>
    <s v="West Asia and Africa"/>
    <s v="No Specific Relationship"/>
    <s v="None"/>
    <x v="4"/>
    <x v="47"/>
    <x v="14"/>
    <n v="6"/>
    <x v="4"/>
    <m/>
    <m/>
    <s v="GLD Deputy Director"/>
    <n v="8"/>
    <x v="1"/>
    <m/>
    <x v="0"/>
    <m/>
    <x v="0"/>
    <m/>
    <x v="1"/>
    <m/>
    <m/>
    <m/>
    <s v="Defense White Paper Appendix"/>
    <s v="Updated positions with DWP"/>
  </r>
  <r>
    <x v="1"/>
    <x v="2"/>
    <s v="America and Oceania"/>
    <s v="Strategic Cooperative Partnership [战略合作伙伴关系]"/>
    <s v="None"/>
    <x v="2"/>
    <x v="77"/>
    <x v="14"/>
    <n v="6"/>
    <x v="4"/>
    <s v="Li Jinai"/>
    <m/>
    <s v="GPD Deputy Director"/>
    <n v="8"/>
    <x v="1"/>
    <m/>
    <x v="0"/>
    <m/>
    <x v="0"/>
    <m/>
    <x v="1"/>
    <m/>
    <m/>
    <m/>
    <s v="Defense White Paper Appendix"/>
    <s v="Updated positions with DWP"/>
  </r>
  <r>
    <x v="1"/>
    <x v="1"/>
    <s v="Asia"/>
    <s v="Strategic Cooperative Partnership [战略合作伙伴关系]"/>
    <s v="Bilateral Defense Treaty"/>
    <x v="0"/>
    <x v="11"/>
    <x v="14"/>
    <n v="6"/>
    <x v="4"/>
    <m/>
    <m/>
    <s v="GLD Deputy Director"/>
    <n v="8"/>
    <x v="1"/>
    <m/>
    <x v="0"/>
    <m/>
    <x v="0"/>
    <m/>
    <x v="1"/>
    <m/>
    <m/>
    <m/>
    <s v="Defense White Paper Appendix"/>
    <s v="Updated positions with DWP"/>
  </r>
  <r>
    <x v="1"/>
    <x v="3"/>
    <s v="Europe and Central Asia"/>
    <s v="Strategic Partnership of Coordination [战略协作伙伴关系]"/>
    <s v="None"/>
    <x v="3"/>
    <x v="7"/>
    <x v="14"/>
    <n v="6"/>
    <x v="4"/>
    <s v="Xiong Guangkai"/>
    <m/>
    <s v="GSD DCGS"/>
    <n v="8"/>
    <x v="1"/>
    <m/>
    <x v="0"/>
    <m/>
    <x v="0"/>
    <m/>
    <x v="1"/>
    <m/>
    <m/>
    <m/>
    <s v="Defense White Paper Appendix"/>
    <s v="Updated positions with DWP"/>
  </r>
  <r>
    <x v="1"/>
    <x v="9"/>
    <s v="West Asia and Africa"/>
    <s v="No Specific Relationship"/>
    <s v="None"/>
    <x v="1"/>
    <x v="102"/>
    <x v="14"/>
    <n v="6"/>
    <x v="4"/>
    <s v="Fu Tinggui"/>
    <m/>
    <s v="Beijing MR Political Commissar"/>
    <n v="6"/>
    <x v="1"/>
    <m/>
    <x v="0"/>
    <m/>
    <x v="0"/>
    <m/>
    <x v="1"/>
    <m/>
    <m/>
    <m/>
    <s v="Defense White Paper Appendix"/>
    <m/>
  </r>
  <r>
    <x v="1"/>
    <x v="6"/>
    <s v="Europe and Central Asia"/>
    <s v="No Specific Relationship"/>
    <s v="None"/>
    <x v="1"/>
    <x v="60"/>
    <x v="14"/>
    <n v="6"/>
    <x v="3"/>
    <s v="He Yong"/>
    <m/>
    <s v="Member of Secretariat "/>
    <n v="6"/>
    <x v="2"/>
    <s v="Commander, National Guard"/>
    <x v="0"/>
    <m/>
    <x v="0"/>
    <m/>
    <x v="1"/>
    <m/>
    <m/>
    <m/>
    <s v="Defense White Paper Appendix"/>
    <m/>
  </r>
  <r>
    <x v="1"/>
    <x v="7"/>
    <s v="West Asia and Africa"/>
    <s v="No Specific Relationship"/>
    <s v="None"/>
    <x v="4"/>
    <x v="16"/>
    <x v="14"/>
    <n v="6"/>
    <x v="4"/>
    <m/>
    <m/>
    <s v="GLD Deputy Director"/>
    <n v="8"/>
    <x v="1"/>
    <m/>
    <x v="0"/>
    <m/>
    <x v="0"/>
    <m/>
    <x v="1"/>
    <m/>
    <m/>
    <m/>
    <s v="Defense White Paper Appendix"/>
    <s v="Updated positions with DWP"/>
  </r>
  <r>
    <x v="1"/>
    <x v="8"/>
    <s v="Europe and Central Asia"/>
    <s v="No Specific Relationship"/>
    <s v="None"/>
    <x v="3"/>
    <x v="26"/>
    <x v="14"/>
    <n v="6"/>
    <x v="4"/>
    <s v="Zheng Shenxia"/>
    <m/>
    <s v="AMS President"/>
    <n v="6"/>
    <x v="1"/>
    <m/>
    <x v="0"/>
    <m/>
    <x v="0"/>
    <m/>
    <x v="1"/>
    <m/>
    <m/>
    <m/>
    <s v="Defense White Paper Appendix"/>
    <m/>
  </r>
  <r>
    <x v="1"/>
    <x v="8"/>
    <s v="Europe and Central Asia"/>
    <s v="Comprehensive Strategic Partnership [全面战略伙伴关系]"/>
    <s v="NATO"/>
    <x v="3"/>
    <x v="21"/>
    <x v="14"/>
    <n v="6"/>
    <x v="3"/>
    <s v="Xu Qiliang"/>
    <m/>
    <s v="GSD DCGS"/>
    <n v="6"/>
    <x v="2"/>
    <s v="Director, Royal College of Defense Studies"/>
    <x v="0"/>
    <m/>
    <x v="0"/>
    <m/>
    <x v="1"/>
    <m/>
    <m/>
    <m/>
    <s v="https://dlib.eastview.com/browse/doc/14694891"/>
    <m/>
  </r>
  <r>
    <x v="1"/>
    <x v="2"/>
    <s v="America and Oceania"/>
    <s v="No Specific Relationship"/>
    <s v="N/A"/>
    <x v="2"/>
    <x v="4"/>
    <x v="14"/>
    <n v="6"/>
    <x v="3"/>
    <s v="Xu Qiliang"/>
    <m/>
    <s v="GSD DCGS"/>
    <n v="6"/>
    <x v="2"/>
    <s v="Superintendent USMA West Point"/>
    <x v="0"/>
    <m/>
    <x v="0"/>
    <m/>
    <x v="1"/>
    <m/>
    <m/>
    <m/>
    <s v="https://dlib.eastview.com/browse/doc/14696449"/>
    <m/>
  </r>
  <r>
    <x v="1"/>
    <x v="0"/>
    <s v="Asia"/>
    <s v="Comprehensive Cooperative Partnership [全面合作伙伴关系]"/>
    <s v="None"/>
    <x v="0"/>
    <x v="0"/>
    <x v="14"/>
    <n v="7"/>
    <x v="3"/>
    <s v="Zhang Dingfa"/>
    <m/>
    <s v="PLAN Commander "/>
    <n v="8"/>
    <x v="2"/>
    <s v="Chief of Naval Staff"/>
    <x v="0"/>
    <m/>
    <x v="0"/>
    <m/>
    <x v="1"/>
    <m/>
    <m/>
    <m/>
    <s v="Defense White Paper Appendix"/>
    <s v="No corroborating reporting on this visit; assess PLAN commander as likely counterpart"/>
  </r>
  <r>
    <x v="1"/>
    <x v="8"/>
    <s v="Europe and Central Asia"/>
    <s v="No Specific Relationship"/>
    <s v="NATO"/>
    <x v="3"/>
    <x v="79"/>
    <x v="14"/>
    <n v="7"/>
    <x v="4"/>
    <s v="Li Jinai"/>
    <m/>
    <s v="GPD Deputy Director"/>
    <n v="8"/>
    <x v="1"/>
    <m/>
    <x v="0"/>
    <m/>
    <x v="0"/>
    <m/>
    <x v="1"/>
    <m/>
    <m/>
    <m/>
    <s v="Defense White Paper Appendix"/>
    <s v="Updated positions with DWP"/>
  </r>
  <r>
    <x v="1"/>
    <x v="8"/>
    <s v="Europe and Central Asia"/>
    <s v="Comprehensive Friendly Cooperative Partnership [全面友好合作伙伴关系]"/>
    <s v="NATO"/>
    <x v="3"/>
    <x v="33"/>
    <x v="14"/>
    <n v="7"/>
    <x v="3"/>
    <s v="Liang Guanglie"/>
    <m/>
    <s v="GSD Commander; CMC Member"/>
    <n v="8"/>
    <x v="2"/>
    <s v="COGS"/>
    <x v="0"/>
    <m/>
    <x v="0"/>
    <m/>
    <x v="1"/>
    <m/>
    <m/>
    <m/>
    <s v="Defense White Paper Appendix"/>
    <m/>
  </r>
  <r>
    <x v="1"/>
    <x v="8"/>
    <s v="Europe and Central Asia"/>
    <s v="No Specific Relationship"/>
    <s v="None"/>
    <x v="3"/>
    <x v="78"/>
    <x v="14"/>
    <n v="7"/>
    <x v="4"/>
    <s v="Li Jinai"/>
    <m/>
    <s v="GPD Deputy Director"/>
    <n v="8"/>
    <x v="1"/>
    <m/>
    <x v="0"/>
    <m/>
    <x v="0"/>
    <m/>
    <x v="1"/>
    <m/>
    <m/>
    <m/>
    <s v="Defense White Paper Appendix"/>
    <s v="Updated positions with DWP"/>
  </r>
  <r>
    <x v="1"/>
    <x v="1"/>
    <s v="Asia"/>
    <s v="No Specific Relationship"/>
    <s v="Bilateral Defense Treaty"/>
    <x v="0"/>
    <x v="5"/>
    <x v="14"/>
    <n v="7"/>
    <x v="3"/>
    <s v="Cao Gangchuan"/>
    <m/>
    <s v="CMC Vice Chairman; Defense Minister"/>
    <n v="8"/>
    <x v="2"/>
    <s v="Assistant Defense Minister"/>
    <x v="0"/>
    <m/>
    <x v="0"/>
    <m/>
    <x v="1"/>
    <m/>
    <m/>
    <m/>
    <s v="https://dlib.eastview.com/browse/doc/14675628"/>
    <m/>
  </r>
  <r>
    <x v="1"/>
    <x v="2"/>
    <s v="America and Oceania"/>
    <s v="No Specific Relationship"/>
    <s v="N/A"/>
    <x v="2"/>
    <x v="4"/>
    <x v="14"/>
    <n v="7"/>
    <x v="4"/>
    <s v="Liu Zhenwu"/>
    <m/>
    <s v="Guangzhou MR Commander"/>
    <n v="6"/>
    <x v="1"/>
    <m/>
    <x v="0"/>
    <m/>
    <x v="0"/>
    <m/>
    <x v="1"/>
    <m/>
    <m/>
    <m/>
    <s v="Defense White Paper Appendix"/>
    <m/>
  </r>
  <r>
    <x v="1"/>
    <x v="5"/>
    <s v="America and Oceania"/>
    <s v="No Specific Relationship"/>
    <s v="None"/>
    <x v="0"/>
    <x v="120"/>
    <x v="14"/>
    <n v="7"/>
    <x v="3"/>
    <s v="Cao Gangchuan"/>
    <m/>
    <s v="CMC Vice Chairman; Defense Minister"/>
    <n v="10"/>
    <x v="2"/>
    <s v="Minister of Home Affairs"/>
    <x v="0"/>
    <m/>
    <x v="0"/>
    <m/>
    <x v="1"/>
    <m/>
    <m/>
    <m/>
    <s v="Defense White Paper Appendix"/>
    <m/>
  </r>
  <r>
    <x v="1"/>
    <x v="1"/>
    <s v="Asia"/>
    <s v="No Specific Relationship"/>
    <s v="None"/>
    <x v="0"/>
    <x v="23"/>
    <x v="14"/>
    <n v="7"/>
    <x v="3"/>
    <s v="Liang Guanglie"/>
    <m/>
    <s v="GSD Commander; CMC Member"/>
    <n v="8"/>
    <x v="2"/>
    <s v="Deputy Defense Minister"/>
    <x v="0"/>
    <m/>
    <x v="0"/>
    <m/>
    <x v="1"/>
    <m/>
    <m/>
    <m/>
    <s v="https://dlib.eastview.com/browse/doc/14698980"/>
    <m/>
  </r>
  <r>
    <x v="1"/>
    <x v="7"/>
    <s v="West Asia and Africa"/>
    <s v="No Specific Relationship"/>
    <s v="None"/>
    <x v="4"/>
    <x v="61"/>
    <x v="14"/>
    <n v="7"/>
    <x v="3"/>
    <s v="Cao Gangchuan"/>
    <m/>
    <s v="CMC Vice Chairman; Defense Minister"/>
    <n v="8"/>
    <x v="2"/>
    <s v="Defense Minister"/>
    <x v="0"/>
    <m/>
    <x v="0"/>
    <m/>
    <x v="1"/>
    <m/>
    <m/>
    <m/>
    <s v="https://dlib.eastview.com/browse/doc/14680808"/>
    <m/>
  </r>
  <r>
    <x v="1"/>
    <x v="7"/>
    <s v="West Asia and Africa"/>
    <s v="Comprehensive Strategic Cooperative Partnership [全面战略合作伙伴关系]"/>
    <s v="None"/>
    <x v="4"/>
    <x v="71"/>
    <x v="14"/>
    <n v="8"/>
    <x v="4"/>
    <s v="Zhu Wenquan"/>
    <m/>
    <s v="Nanjing MR Commander"/>
    <n v="6"/>
    <x v="1"/>
    <m/>
    <x v="0"/>
    <m/>
    <x v="0"/>
    <m/>
    <x v="1"/>
    <m/>
    <m/>
    <m/>
    <s v="Defense White Paper Appendix"/>
    <m/>
  </r>
  <r>
    <x v="1"/>
    <x v="7"/>
    <s v="West Asia and Africa"/>
    <s v="No Specific Relationship"/>
    <s v="None"/>
    <x v="4"/>
    <x v="95"/>
    <x v="14"/>
    <n v="8"/>
    <x v="4"/>
    <s v="Zhu Wenquan"/>
    <m/>
    <s v="Nanjing MR Commander"/>
    <n v="6"/>
    <x v="1"/>
    <m/>
    <x v="0"/>
    <m/>
    <x v="0"/>
    <m/>
    <x v="1"/>
    <m/>
    <m/>
    <m/>
    <s v="Defense White Paper Appendix"/>
    <m/>
  </r>
  <r>
    <x v="1"/>
    <x v="9"/>
    <s v="West Asia and Africa"/>
    <s v="No Specific Relationship"/>
    <s v="None"/>
    <x v="1"/>
    <x v="89"/>
    <x v="14"/>
    <n v="8"/>
    <x v="4"/>
    <s v="Zhu Wenquan"/>
    <m/>
    <s v="Nanjing MR Commander"/>
    <n v="6"/>
    <x v="1"/>
    <m/>
    <x v="0"/>
    <m/>
    <x v="0"/>
    <m/>
    <x v="1"/>
    <m/>
    <m/>
    <m/>
    <s v="Defense White Paper Appendix"/>
    <m/>
  </r>
  <r>
    <x v="1"/>
    <x v="7"/>
    <s v="West Asia and Africa"/>
    <s v="No Specific Relationship"/>
    <s v="None"/>
    <x v="4"/>
    <x v="121"/>
    <x v="14"/>
    <n v="8"/>
    <x v="3"/>
    <s v="Cao Gangchuan"/>
    <m/>
    <s v="CMC Vice Chairman; Defense Minister"/>
    <n v="10"/>
    <x v="2"/>
    <s v="Minister of Defense and Retired Servicemen"/>
    <x v="0"/>
    <m/>
    <x v="0"/>
    <m/>
    <x v="1"/>
    <m/>
    <m/>
    <m/>
    <s v="Defense White Paper Appendix"/>
    <m/>
  </r>
  <r>
    <x v="2"/>
    <x v="3"/>
    <s v="Europe and Central Asia"/>
    <s v="Strategic Partnership of Coordination [战略协作伙伴关系]"/>
    <s v="None"/>
    <x v="3"/>
    <x v="7"/>
    <x v="14"/>
    <n v="8"/>
    <x v="5"/>
    <m/>
    <m/>
    <m/>
    <m/>
    <x v="0"/>
    <m/>
    <x v="3"/>
    <s v="Peace Mission 2005"/>
    <x v="3"/>
    <s v="Army, Navy, Air Force, SOF; nominal anti-terrorism focus.  August 18–25"/>
    <x v="1"/>
    <m/>
    <m/>
    <m/>
    <s v="Defense White Paper Appendix"/>
    <s v="Under SCO auspices, but coded as Russia because it is a BL exercise."/>
  </r>
  <r>
    <x v="1"/>
    <x v="10"/>
    <s v="America and Oceania"/>
    <s v="Strategic Partnership [战略伙伴关系]"/>
    <s v="Major Non-NATO Ally"/>
    <x v="5"/>
    <x v="62"/>
    <x v="14"/>
    <n v="9"/>
    <x v="4"/>
    <s v="Li Jinai"/>
    <m/>
    <s v="GPD Director; CMC Member"/>
    <n v="8"/>
    <x v="1"/>
    <m/>
    <x v="0"/>
    <m/>
    <x v="0"/>
    <m/>
    <x v="1"/>
    <m/>
    <m/>
    <m/>
    <s v="Defense White Paper Appendix"/>
    <m/>
  </r>
  <r>
    <x v="1"/>
    <x v="5"/>
    <s v="America and Oceania"/>
    <s v="No Specific Relationship"/>
    <s v="ANZUS Treaty"/>
    <x v="0"/>
    <x v="12"/>
    <x v="14"/>
    <n v="9"/>
    <x v="3"/>
    <s v="Cao Gangchuan"/>
    <m/>
    <s v="CMC Vice Chairman; Defense Minister"/>
    <n v="10"/>
    <x v="2"/>
    <s v="Navy Commander"/>
    <x v="0"/>
    <m/>
    <x v="0"/>
    <m/>
    <x v="1"/>
    <m/>
    <m/>
    <m/>
    <s v="Defense White Paper Appendix"/>
    <m/>
  </r>
  <r>
    <x v="1"/>
    <x v="8"/>
    <s v="Europe and Central Asia"/>
    <s v="No Specific Relationship"/>
    <s v="NATO"/>
    <x v="3"/>
    <x v="79"/>
    <x v="14"/>
    <n v="9"/>
    <x v="4"/>
    <m/>
    <m/>
    <s v="GLD Deputy Director"/>
    <n v="8"/>
    <x v="1"/>
    <m/>
    <x v="0"/>
    <m/>
    <x v="0"/>
    <m/>
    <x v="1"/>
    <m/>
    <m/>
    <m/>
    <s v="Defense White Paper Appendix"/>
    <s v="Updated positions with DWP"/>
  </r>
  <r>
    <x v="1"/>
    <x v="10"/>
    <s v="America and Oceania"/>
    <s v="Comprehensive Partnership [全面伙伴关系]"/>
    <s v="None"/>
    <x v="5"/>
    <x v="66"/>
    <x v="14"/>
    <n v="9"/>
    <x v="4"/>
    <s v="Xiong Guangkai"/>
    <m/>
    <s v="GSD DCGS"/>
    <n v="6"/>
    <x v="1"/>
    <m/>
    <x v="0"/>
    <m/>
    <x v="0"/>
    <m/>
    <x v="1"/>
    <m/>
    <m/>
    <m/>
    <s v="Defense White Paper Appendix"/>
    <m/>
  </r>
  <r>
    <x v="1"/>
    <x v="10"/>
    <s v="America and Oceania"/>
    <s v="No Specific Relationship"/>
    <s v="None"/>
    <x v="5"/>
    <x v="45"/>
    <x v="14"/>
    <n v="9"/>
    <x v="4"/>
    <s v="Xiong Guangkai"/>
    <m/>
    <s v="GSD DCGS"/>
    <n v="6"/>
    <x v="1"/>
    <m/>
    <x v="0"/>
    <m/>
    <x v="0"/>
    <m/>
    <x v="1"/>
    <m/>
    <m/>
    <m/>
    <s v="Defense White Paper Appendix"/>
    <m/>
  </r>
  <r>
    <x v="1"/>
    <x v="8"/>
    <s v="Europe and Central Asia"/>
    <s v="No Specific Relationship"/>
    <s v="NATO"/>
    <x v="3"/>
    <x v="58"/>
    <x v="14"/>
    <n v="9"/>
    <x v="4"/>
    <m/>
    <m/>
    <s v="GLD Deputy Director"/>
    <n v="8"/>
    <x v="1"/>
    <m/>
    <x v="0"/>
    <m/>
    <x v="0"/>
    <m/>
    <x v="1"/>
    <m/>
    <m/>
    <m/>
    <s v="Defense White Paper Appendix"/>
    <s v="Updated positions with DWP"/>
  </r>
  <r>
    <x v="1"/>
    <x v="8"/>
    <s v="Europe and Central Asia"/>
    <s v="No Specific Relationship"/>
    <s v="NATO"/>
    <x v="3"/>
    <x v="116"/>
    <x v="14"/>
    <n v="9"/>
    <x v="4"/>
    <s v="Xiong Guangkai"/>
    <m/>
    <s v="GSD DCGS"/>
    <n v="6"/>
    <x v="1"/>
    <m/>
    <x v="0"/>
    <m/>
    <x v="0"/>
    <m/>
    <x v="1"/>
    <m/>
    <m/>
    <m/>
    <s v="Defense White Paper Appendix"/>
    <m/>
  </r>
  <r>
    <x v="1"/>
    <x v="8"/>
    <s v="Europe and Central Asia"/>
    <s v="No Specific Relationship"/>
    <s v="NATO"/>
    <x v="3"/>
    <x v="82"/>
    <x v="14"/>
    <n v="9"/>
    <x v="4"/>
    <s v="Xiong Guangkai"/>
    <m/>
    <s v="GSD DCGS"/>
    <n v="6"/>
    <x v="1"/>
    <m/>
    <x v="0"/>
    <m/>
    <x v="0"/>
    <m/>
    <x v="1"/>
    <m/>
    <m/>
    <m/>
    <s v="Defense White Paper Appendix"/>
    <m/>
  </r>
  <r>
    <x v="1"/>
    <x v="8"/>
    <s v="Europe and Central Asia"/>
    <s v="Comprehensive Strategic Partnership [全面战略伙伴关系]"/>
    <s v="NATO"/>
    <x v="3"/>
    <x v="20"/>
    <x v="14"/>
    <n v="9"/>
    <x v="3"/>
    <s v="Cao Gangchuan"/>
    <m/>
    <s v="CMC Vice Chairman; Defense Minister"/>
    <n v="10"/>
    <x v="2"/>
    <s v="Deputy Defense Minister"/>
    <x v="0"/>
    <m/>
    <x v="0"/>
    <m/>
    <x v="1"/>
    <m/>
    <m/>
    <m/>
    <s v="Defense White Paper Appendix"/>
    <m/>
  </r>
  <r>
    <x v="1"/>
    <x v="6"/>
    <s v="Europe and Central Asia"/>
    <s v="Strategic Partnership [战略伙伴关系]"/>
    <s v="None"/>
    <x v="1"/>
    <x v="30"/>
    <x v="14"/>
    <n v="9"/>
    <x v="4"/>
    <s v="Cao Gangchuan"/>
    <m/>
    <s v="CMC Vice Chairman; Defense Minister"/>
    <n v="10"/>
    <x v="1"/>
    <s v="Defense Minister"/>
    <x v="0"/>
    <m/>
    <x v="0"/>
    <m/>
    <x v="1"/>
    <m/>
    <m/>
    <m/>
    <s v="Defense White Paper Appendix"/>
    <m/>
  </r>
  <r>
    <x v="1"/>
    <x v="1"/>
    <s v="Asia"/>
    <s v="Strategic Cooperative Partnership [战略合作伙伴关系]"/>
    <s v="None"/>
    <x v="0"/>
    <x v="10"/>
    <x v="14"/>
    <n v="9"/>
    <x v="3"/>
    <s v="Cao Gangchuan"/>
    <m/>
    <s v="CMC Vice Chairman; Defense Minister"/>
    <n v="10"/>
    <x v="2"/>
    <s v="Deputy Prime Minister and Defense Minister"/>
    <x v="0"/>
    <m/>
    <x v="0"/>
    <m/>
    <x v="1"/>
    <m/>
    <m/>
    <m/>
    <s v="Defense White Paper Appendix"/>
    <m/>
  </r>
  <r>
    <x v="1"/>
    <x v="5"/>
    <s v="America and Oceania"/>
    <s v="No Specific Relationship"/>
    <s v="ANZUS Treaty"/>
    <x v="0"/>
    <x v="13"/>
    <x v="14"/>
    <n v="9"/>
    <x v="4"/>
    <s v="Xiong Guangkai"/>
    <m/>
    <s v="GSD DCGS"/>
    <n v="6"/>
    <x v="1"/>
    <m/>
    <x v="0"/>
    <m/>
    <x v="0"/>
    <m/>
    <x v="1"/>
    <m/>
    <m/>
    <m/>
    <s v="Defense White Paper Appendix"/>
    <m/>
  </r>
  <r>
    <x v="1"/>
    <x v="0"/>
    <s v="Asia"/>
    <s v="Strategic Partnership [战略伙伴关系]"/>
    <s v="Major Non-NATO Ally"/>
    <x v="1"/>
    <x v="2"/>
    <x v="14"/>
    <n v="9"/>
    <x v="3"/>
    <s v="Guo Boxiong"/>
    <m/>
    <s v="CMC Vice Chairman"/>
    <n v="10"/>
    <x v="2"/>
    <s v="Chairman JCS"/>
    <x v="0"/>
    <m/>
    <x v="0"/>
    <m/>
    <x v="1"/>
    <m/>
    <m/>
    <m/>
    <s v="Defense White Paper Appendix"/>
    <m/>
  </r>
  <r>
    <x v="1"/>
    <x v="1"/>
    <s v="America and Oceania"/>
    <s v="No Specific Relationship"/>
    <s v="None"/>
    <x v="0"/>
    <x v="122"/>
    <x v="14"/>
    <n v="9"/>
    <x v="3"/>
    <s v="Cao Gangchuan"/>
    <m/>
    <s v="CMC Vice Chairman; Defense Minister"/>
    <n v="10"/>
    <x v="2"/>
    <s v="Defense Minister"/>
    <x v="0"/>
    <m/>
    <x v="0"/>
    <m/>
    <x v="1"/>
    <m/>
    <m/>
    <m/>
    <s v="Defense White Paper Appendix"/>
    <m/>
  </r>
  <r>
    <x v="1"/>
    <x v="8"/>
    <s v="Europe and Central Asia"/>
    <s v="No Specific Relationship"/>
    <s v="NATO"/>
    <x v="3"/>
    <x v="59"/>
    <x v="14"/>
    <n v="9"/>
    <x v="4"/>
    <m/>
    <m/>
    <s v="GLD Deputy Director"/>
    <n v="8"/>
    <x v="1"/>
    <m/>
    <x v="0"/>
    <m/>
    <x v="0"/>
    <m/>
    <x v="1"/>
    <m/>
    <m/>
    <m/>
    <s v="Defense White Paper Appendix"/>
    <s v="Updated positions with DWP"/>
  </r>
  <r>
    <x v="1"/>
    <x v="8"/>
    <s v="Europe and Central Asia"/>
    <s v="Comprehensive Friendly Cooperative Partnership [全面友好合作伙伴关系]"/>
    <s v="NATO"/>
    <x v="3"/>
    <x v="33"/>
    <x v="14"/>
    <n v="9"/>
    <x v="3"/>
    <s v="Cao Gangchuan"/>
    <m/>
    <s v="CMC Vice Chairman; Defense Minister"/>
    <n v="10"/>
    <x v="2"/>
    <s v="Secretary of State of Ministry of Defense"/>
    <x v="0"/>
    <m/>
    <x v="0"/>
    <m/>
    <x v="1"/>
    <m/>
    <m/>
    <m/>
    <s v="Defense White Paper Appendix"/>
    <m/>
  </r>
  <r>
    <x v="1"/>
    <x v="3"/>
    <s v="Europe and Central Asia"/>
    <s v="Strategic Partnership of Coordination [战略协作伙伴关系]"/>
    <s v="None"/>
    <x v="3"/>
    <x v="7"/>
    <x v="14"/>
    <n v="9"/>
    <x v="4"/>
    <s v="Cao Gangchuan"/>
    <m/>
    <s v="CMC Vice Chairman; Defense Minister"/>
    <n v="10"/>
    <x v="1"/>
    <s v="Defense Minister"/>
    <x v="0"/>
    <m/>
    <x v="0"/>
    <m/>
    <x v="1"/>
    <m/>
    <m/>
    <m/>
    <s v="Defense White Paper Appendix"/>
    <m/>
  </r>
  <r>
    <x v="1"/>
    <x v="0"/>
    <s v="Asia"/>
    <s v="Comprehensive Cooperative Partnership [全面合作伙伴关系]"/>
    <s v="None"/>
    <x v="0"/>
    <x v="3"/>
    <x v="14"/>
    <n v="9"/>
    <x v="3"/>
    <s v="Cao Gangchuan"/>
    <m/>
    <s v="CMC Vice Chairman; Defense Minister"/>
    <n v="10"/>
    <x v="2"/>
    <s v="President and Defense Minister"/>
    <x v="0"/>
    <m/>
    <x v="0"/>
    <m/>
    <x v="1"/>
    <m/>
    <m/>
    <m/>
    <s v="Defense White Paper Appendix"/>
    <m/>
  </r>
  <r>
    <x v="1"/>
    <x v="6"/>
    <s v="Europe and Central Asia"/>
    <s v="No Specific Relationship"/>
    <s v="None"/>
    <x v="1"/>
    <x v="60"/>
    <x v="14"/>
    <n v="9"/>
    <x v="4"/>
    <s v="Cao Gangchuan"/>
    <m/>
    <s v="CMC Vice Chairman; Defense Minister"/>
    <n v="10"/>
    <x v="1"/>
    <s v="Defense Minister"/>
    <x v="0"/>
    <m/>
    <x v="0"/>
    <m/>
    <x v="1"/>
    <m/>
    <m/>
    <m/>
    <s v="Defense White Paper Appendix"/>
    <m/>
  </r>
  <r>
    <x v="1"/>
    <x v="7"/>
    <s v="West Asia and Africa"/>
    <s v="No Specific Relationship"/>
    <s v="None"/>
    <x v="4"/>
    <x v="16"/>
    <x v="14"/>
    <n v="9"/>
    <x v="3"/>
    <s v="Cao Gangchuan"/>
    <m/>
    <s v="CMC Vice Chairman; Defense Minister"/>
    <n v="10"/>
    <x v="2"/>
    <s v="Chief of People's Defense Force"/>
    <x v="0"/>
    <m/>
    <x v="0"/>
    <m/>
    <x v="1"/>
    <m/>
    <m/>
    <m/>
    <s v="Defense White Paper Appendix"/>
    <m/>
  </r>
  <r>
    <x v="1"/>
    <x v="2"/>
    <s v="America and Oceania"/>
    <s v="No Specific Relationship"/>
    <s v="N/A"/>
    <x v="2"/>
    <x v="4"/>
    <x v="14"/>
    <n v="9"/>
    <x v="3"/>
    <s v="Guo Boxiong"/>
    <m/>
    <s v="CMC Vice Chairman"/>
    <n v="10"/>
    <x v="2"/>
    <s v="PACOM Commander"/>
    <x v="0"/>
    <m/>
    <x v="0"/>
    <m/>
    <x v="1"/>
    <m/>
    <m/>
    <m/>
    <s v="Defense White Paper Appendix"/>
    <m/>
  </r>
  <r>
    <x v="2"/>
    <x v="2"/>
    <s v="America and Oceania"/>
    <s v="No Specific Relationship"/>
    <s v="N/A"/>
    <x v="2"/>
    <x v="4"/>
    <x v="14"/>
    <n v="9"/>
    <x v="5"/>
    <m/>
    <m/>
    <m/>
    <m/>
    <x v="0"/>
    <m/>
    <x v="2"/>
    <s v="Unknown"/>
    <x v="2"/>
    <s v="SAREX"/>
    <x v="1"/>
    <m/>
    <m/>
    <m/>
    <s v="Defense White Paper Appendix"/>
    <m/>
  </r>
  <r>
    <x v="1"/>
    <x v="10"/>
    <s v="America and Oceania"/>
    <s v="Strategic Development Partnership [战略发展伙伴关系]"/>
    <s v="None"/>
    <x v="5"/>
    <x v="56"/>
    <x v="14"/>
    <n v="9"/>
    <x v="4"/>
    <s v="Li Jinai"/>
    <m/>
    <s v="GPD Director; CMC Member"/>
    <n v="8"/>
    <x v="1"/>
    <m/>
    <x v="0"/>
    <m/>
    <x v="0"/>
    <m/>
    <x v="1"/>
    <m/>
    <m/>
    <m/>
    <s v="Defense White Paper Appendix"/>
    <m/>
  </r>
  <r>
    <x v="1"/>
    <x v="0"/>
    <s v="Europe and Central Asia"/>
    <s v="Comprehensive Cooperative Partnership [全面合作伙伴关系]"/>
    <s v="Major Non-NATO Ally"/>
    <x v="1"/>
    <x v="123"/>
    <x v="14"/>
    <n v="10"/>
    <x v="3"/>
    <s v="Cao Gangchuan"/>
    <m/>
    <s v="CMC Vice Chairman; Defense Minister"/>
    <n v="10"/>
    <x v="2"/>
    <s v="Deputy Defense Minister"/>
    <x v="0"/>
    <m/>
    <x v="0"/>
    <m/>
    <x v="1"/>
    <m/>
    <m/>
    <m/>
    <s v="Defense White Paper Appendix"/>
    <m/>
  </r>
  <r>
    <x v="1"/>
    <x v="10"/>
    <s v="America and Oceania"/>
    <s v="Strategic Partnership [战略伙伴关系]"/>
    <s v="Major Non-NATO Ally"/>
    <x v="5"/>
    <x v="62"/>
    <x v="14"/>
    <n v="10"/>
    <x v="4"/>
    <s v="Liang Guanglie"/>
    <m/>
    <s v="GSD Commander; CMC Member"/>
    <n v="8"/>
    <x v="1"/>
    <m/>
    <x v="0"/>
    <m/>
    <x v="0"/>
    <m/>
    <x v="1"/>
    <m/>
    <m/>
    <m/>
    <s v="Defense White Paper Appendix"/>
    <m/>
  </r>
  <r>
    <x v="1"/>
    <x v="5"/>
    <s v="America and Oceania"/>
    <s v="No Specific Relationship"/>
    <s v="ANZUS Treaty"/>
    <x v="0"/>
    <x v="12"/>
    <x v="14"/>
    <n v="10"/>
    <x v="3"/>
    <s v="Liang Guanglie"/>
    <m/>
    <s v="GSD Commander; CMC Member"/>
    <n v="8"/>
    <x v="2"/>
    <s v="Deputy Chief ADF"/>
    <x v="0"/>
    <m/>
    <x v="0"/>
    <m/>
    <x v="1"/>
    <m/>
    <m/>
    <m/>
    <s v="https://dlib.eastview.com/browse/doc/14690844"/>
    <m/>
  </r>
  <r>
    <x v="1"/>
    <x v="8"/>
    <s v="Europe and Central Asia"/>
    <s v="No Specific Relationship"/>
    <s v="NATO"/>
    <x v="3"/>
    <x v="68"/>
    <x v="14"/>
    <n v="10"/>
    <x v="3"/>
    <s v="Cao Gangchuan"/>
    <m/>
    <s v="CMC Vice Chairman; Defense Minister"/>
    <n v="10"/>
    <x v="2"/>
    <s v="Defense Minister"/>
    <x v="0"/>
    <m/>
    <x v="0"/>
    <m/>
    <x v="1"/>
    <m/>
    <m/>
    <m/>
    <s v="Defense White Paper Appendix"/>
    <m/>
  </r>
  <r>
    <x v="1"/>
    <x v="10"/>
    <s v="America and Oceania"/>
    <s v="No Specific Relationship"/>
    <s v="None"/>
    <x v="5"/>
    <x v="42"/>
    <x v="14"/>
    <n v="10"/>
    <x v="3"/>
    <s v="Cao Gangchuan"/>
    <m/>
    <s v="CMC Vice Chairman; Defense Minister"/>
    <n v="10"/>
    <x v="2"/>
    <s v="CinC Armed Forces"/>
    <x v="0"/>
    <m/>
    <x v="0"/>
    <m/>
    <x v="1"/>
    <m/>
    <m/>
    <m/>
    <s v="Defense White Paper Appendix"/>
    <m/>
  </r>
  <r>
    <x v="1"/>
    <x v="1"/>
    <s v="Asia"/>
    <s v="No Specific Relationship"/>
    <s v="None"/>
    <x v="0"/>
    <x v="44"/>
    <x v="14"/>
    <n v="10"/>
    <x v="3"/>
    <s v="Cao Gangchuan"/>
    <m/>
    <s v="CMC Vice Chairman; Defense Minister"/>
    <n v="10"/>
    <x v="2"/>
    <s v="Deputy Defense Minister"/>
    <x v="0"/>
    <m/>
    <x v="0"/>
    <m/>
    <x v="1"/>
    <m/>
    <m/>
    <m/>
    <s v="Defense White Paper Appendix"/>
    <m/>
  </r>
  <r>
    <x v="1"/>
    <x v="10"/>
    <s v="America and Oceania"/>
    <s v="Comprehensive Partnership [全面伙伴关系]"/>
    <s v="None"/>
    <x v="5"/>
    <x v="66"/>
    <x v="14"/>
    <n v="10"/>
    <x v="3"/>
    <s v="Cao Gangchuan"/>
    <m/>
    <s v="CMC Vice Chairman; Defense Minister"/>
    <n v="10"/>
    <x v="2"/>
    <s v="CinC Air Force"/>
    <x v="0"/>
    <m/>
    <x v="0"/>
    <m/>
    <x v="1"/>
    <m/>
    <m/>
    <m/>
    <s v="Defense White Paper Appendix"/>
    <m/>
  </r>
  <r>
    <x v="1"/>
    <x v="10"/>
    <s v="America and Oceania"/>
    <s v="No Specific Relationship"/>
    <s v="None"/>
    <x v="5"/>
    <x v="49"/>
    <x v="14"/>
    <n v="10"/>
    <x v="4"/>
    <s v="Liang Guanglie"/>
    <m/>
    <s v="GSD Commander; CMC Member"/>
    <n v="8"/>
    <x v="1"/>
    <m/>
    <x v="0"/>
    <m/>
    <x v="0"/>
    <m/>
    <x v="1"/>
    <m/>
    <m/>
    <m/>
    <s v="Defense White Paper Appendix"/>
    <m/>
  </r>
  <r>
    <x v="1"/>
    <x v="8"/>
    <s v="Europe and Central Asia"/>
    <s v="No Specific Relationship"/>
    <s v="NATO"/>
    <x v="3"/>
    <x v="116"/>
    <x v="14"/>
    <n v="10"/>
    <x v="3"/>
    <s v="Cao Gangchuan"/>
    <m/>
    <s v="CMC Vice Chairman; Defense Minister"/>
    <n v="10"/>
    <x v="2"/>
    <s v="Chief of Defense"/>
    <x v="0"/>
    <m/>
    <x v="0"/>
    <m/>
    <x v="1"/>
    <m/>
    <m/>
    <m/>
    <s v="Defense White Paper Appendix"/>
    <m/>
  </r>
  <r>
    <x v="1"/>
    <x v="8"/>
    <s v="Europe and Central Asia"/>
    <s v="No Specific Relationship"/>
    <s v="None"/>
    <x v="3"/>
    <x v="81"/>
    <x v="14"/>
    <n v="10"/>
    <x v="3"/>
    <s v="Cao Gangchuan"/>
    <m/>
    <s v="CMC Vice Chairman; Defense Minister"/>
    <n v="10"/>
    <x v="2"/>
    <s v="Defense Minister"/>
    <x v="0"/>
    <m/>
    <x v="0"/>
    <m/>
    <x v="1"/>
    <m/>
    <m/>
    <m/>
    <s v="Defense White Paper Appendix"/>
    <m/>
  </r>
  <r>
    <x v="1"/>
    <x v="0"/>
    <s v="Asia"/>
    <s v="Good-Neighborly Partnership [世代友好的睦邻伙伴关系]"/>
    <s v="None"/>
    <x v="0"/>
    <x v="32"/>
    <x v="14"/>
    <n v="10"/>
    <x v="3"/>
    <s v="Liang Guanglie"/>
    <m/>
    <s v="GSD Commander; CMC Member"/>
    <n v="8"/>
    <x v="2"/>
    <s v="COGS"/>
    <x v="0"/>
    <m/>
    <x v="0"/>
    <m/>
    <x v="1"/>
    <m/>
    <m/>
    <m/>
    <s v="https://dlib.eastview.com/browse/doc/14702697"/>
    <s v="Recoded as South Asia"/>
  </r>
  <r>
    <x v="1"/>
    <x v="7"/>
    <s v="West Asia and Africa"/>
    <s v="No Specific Relationship"/>
    <s v="None"/>
    <x v="4"/>
    <x v="74"/>
    <x v="14"/>
    <n v="10"/>
    <x v="4"/>
    <s v="Xu Caihou"/>
    <m/>
    <s v="CMC Vice Chairman"/>
    <n v="10"/>
    <x v="1"/>
    <m/>
    <x v="0"/>
    <m/>
    <x v="0"/>
    <m/>
    <x v="1"/>
    <m/>
    <m/>
    <m/>
    <s v="Defense White Paper Appendix"/>
    <m/>
  </r>
  <r>
    <x v="1"/>
    <x v="6"/>
    <s v="Europe and Central Asia"/>
    <s v="No Specific Relationship"/>
    <s v="None"/>
    <x v="1"/>
    <x v="60"/>
    <x v="14"/>
    <n v="10"/>
    <x v="3"/>
    <s v="Chen Bingde"/>
    <m/>
    <s v="GAD Director; CMC Member"/>
    <n v="8"/>
    <x v="2"/>
    <s v="First Deputy Defense Minister"/>
    <x v="0"/>
    <m/>
    <x v="0"/>
    <m/>
    <x v="1"/>
    <m/>
    <m/>
    <m/>
    <s v="Defense White Paper Appendix"/>
    <m/>
  </r>
  <r>
    <x v="1"/>
    <x v="8"/>
    <s v="Europe and Central Asia"/>
    <s v="No Specific Relationship"/>
    <s v="NATO"/>
    <x v="3"/>
    <x v="38"/>
    <x v="14"/>
    <n v="10"/>
    <x v="4"/>
    <s v="Xu Caihou"/>
    <m/>
    <s v="CMC Vice Chairman"/>
    <n v="10"/>
    <x v="1"/>
    <m/>
    <x v="0"/>
    <m/>
    <x v="0"/>
    <m/>
    <x v="1"/>
    <m/>
    <m/>
    <m/>
    <s v="Defense White Paper Appendix"/>
    <m/>
  </r>
  <r>
    <x v="1"/>
    <x v="2"/>
    <s v="America and Oceania"/>
    <s v="No Specific Relationship"/>
    <s v="N/A"/>
    <x v="2"/>
    <x v="4"/>
    <x v="14"/>
    <n v="10"/>
    <x v="3"/>
    <s v="Cao Gangchuan"/>
    <m/>
    <s v="CMC Vice Chairman; Defense Minister"/>
    <n v="10"/>
    <x v="2"/>
    <s v="Secretary of Defense"/>
    <x v="0"/>
    <m/>
    <x v="0"/>
    <m/>
    <x v="1"/>
    <m/>
    <m/>
    <m/>
    <s v="Defense White Paper Appendix"/>
    <m/>
  </r>
  <r>
    <x v="1"/>
    <x v="10"/>
    <s v="America and Oceania"/>
    <s v="No Specific Relationship"/>
    <s v="None"/>
    <x v="5"/>
    <x v="107"/>
    <x v="14"/>
    <n v="10"/>
    <x v="4"/>
    <s v="Liang Guanglie"/>
    <m/>
    <s v="GSD Commander; CMC Member"/>
    <n v="8"/>
    <x v="1"/>
    <m/>
    <x v="0"/>
    <m/>
    <x v="0"/>
    <m/>
    <x v="1"/>
    <m/>
    <m/>
    <m/>
    <s v="Defense White Paper Appendix"/>
    <m/>
  </r>
  <r>
    <x v="1"/>
    <x v="1"/>
    <s v="Asia"/>
    <s v="No Specific Relationship"/>
    <s v="None"/>
    <x v="0"/>
    <x v="23"/>
    <x v="14"/>
    <n v="10"/>
    <x v="4"/>
    <s v="Pei Huailiang"/>
    <m/>
    <s v="PLA NDU President"/>
    <n v="6"/>
    <x v="1"/>
    <m/>
    <x v="0"/>
    <m/>
    <x v="0"/>
    <m/>
    <x v="1"/>
    <m/>
    <m/>
    <m/>
    <s v="Defense White Paper Appendix"/>
    <m/>
  </r>
  <r>
    <x v="1"/>
    <x v="7"/>
    <s v="West Asia and Africa"/>
    <s v="No Specific Relationship"/>
    <s v="None"/>
    <x v="4"/>
    <x v="76"/>
    <x v="14"/>
    <n v="11"/>
    <x v="4"/>
    <s v="Jing Zhiyuan"/>
    <m/>
    <s v="PLASAF Commander; CMC Member"/>
    <n v="8"/>
    <x v="1"/>
    <m/>
    <x v="0"/>
    <m/>
    <x v="0"/>
    <m/>
    <x v="1"/>
    <m/>
    <m/>
    <m/>
    <s v="Defense White Paper Appendix"/>
    <m/>
  </r>
  <r>
    <x v="1"/>
    <x v="5"/>
    <s v="America and Oceania"/>
    <s v="No Specific Relationship"/>
    <s v="ANZUS Treaty"/>
    <x v="0"/>
    <x v="12"/>
    <x v="14"/>
    <n v="11"/>
    <x v="4"/>
    <s v="Xiong Guangkai"/>
    <m/>
    <s v="GSD DCGS"/>
    <n v="6"/>
    <x v="1"/>
    <m/>
    <x v="0"/>
    <m/>
    <x v="0"/>
    <m/>
    <x v="1"/>
    <m/>
    <m/>
    <m/>
    <s v="Defense White Paper Appendix"/>
    <m/>
  </r>
  <r>
    <x v="1"/>
    <x v="8"/>
    <s v="Europe and Central Asia"/>
    <s v="No Specific Relationship"/>
    <s v="NATO"/>
    <x v="3"/>
    <x v="108"/>
    <x v="14"/>
    <n v="11"/>
    <x v="3"/>
    <s v="Cao Gangchuan"/>
    <m/>
    <s v="CMC Vice Chairman; Defense Minister"/>
    <n v="10"/>
    <x v="2"/>
    <s v="Defense Minister"/>
    <x v="0"/>
    <m/>
    <x v="0"/>
    <m/>
    <x v="1"/>
    <m/>
    <m/>
    <m/>
    <s v="Defense White Paper Appendix"/>
    <m/>
  </r>
  <r>
    <x v="1"/>
    <x v="8"/>
    <s v="Europe and Central Asia"/>
    <s v="Strategic Partnership [战略伙伴关系]"/>
    <s v="None"/>
    <x v="3"/>
    <x v="34"/>
    <x v="14"/>
    <n v="11"/>
    <x v="4"/>
    <s v="Li Qianyuan"/>
    <m/>
    <s v="Lanzhou MR Commander"/>
    <n v="6"/>
    <x v="1"/>
    <m/>
    <x v="0"/>
    <m/>
    <x v="0"/>
    <m/>
    <x v="1"/>
    <m/>
    <m/>
    <m/>
    <s v="Defense White Paper Appendix"/>
    <m/>
  </r>
  <r>
    <x v="1"/>
    <x v="8"/>
    <s v="Europe and Central Asia"/>
    <s v="No Specific Relationship"/>
    <s v="None"/>
    <x v="3"/>
    <x v="124"/>
    <x v="14"/>
    <n v="11"/>
    <x v="3"/>
    <s v="Cao Gangchuan"/>
    <m/>
    <s v="CMC Vice Chairman; Defense Minister"/>
    <n v="10"/>
    <x v="2"/>
    <s v="First Deputy Defense Minister"/>
    <x v="0"/>
    <m/>
    <x v="0"/>
    <m/>
    <x v="1"/>
    <m/>
    <m/>
    <m/>
    <s v="Defense White Paper Appendix"/>
    <m/>
  </r>
  <r>
    <x v="1"/>
    <x v="8"/>
    <s v="Europe and Central Asia"/>
    <s v="No Specific Relationship"/>
    <s v="NATO"/>
    <x v="3"/>
    <x v="79"/>
    <x v="14"/>
    <n v="11"/>
    <x v="3"/>
    <s v="Cao Gangchuan"/>
    <m/>
    <s v="CMC Vice Chairman; Defense Minister"/>
    <n v="10"/>
    <x v="2"/>
    <s v="COGS"/>
    <x v="0"/>
    <m/>
    <x v="0"/>
    <m/>
    <x v="1"/>
    <m/>
    <m/>
    <m/>
    <s v="Defense White Paper Appendix"/>
    <m/>
  </r>
  <r>
    <x v="1"/>
    <x v="7"/>
    <s v="West Asia and Africa"/>
    <s v="No Specific Relationship"/>
    <s v="None"/>
    <x v="4"/>
    <x v="125"/>
    <x v="14"/>
    <n v="11"/>
    <x v="3"/>
    <s v="Cao Gangchuan"/>
    <m/>
    <s v="CMC Vice Chairman; Defense Minister"/>
    <n v="10"/>
    <x v="2"/>
    <s v="COGS"/>
    <x v="0"/>
    <m/>
    <x v="0"/>
    <m/>
    <x v="1"/>
    <m/>
    <m/>
    <m/>
    <s v="Defense White Paper Appendix"/>
    <m/>
  </r>
  <r>
    <x v="1"/>
    <x v="8"/>
    <s v="Europe and Central Asia"/>
    <s v="Comprehensive Cooperative Partnership [全面合作伙伴关系]"/>
    <s v="NATO"/>
    <x v="3"/>
    <x v="35"/>
    <x v="14"/>
    <n v="11"/>
    <x v="3"/>
    <s v="Cao Gangchuan"/>
    <m/>
    <s v="CMC Vice Chairman; Defense Minister"/>
    <n v="10"/>
    <x v="2"/>
    <s v="COGS"/>
    <x v="0"/>
    <m/>
    <x v="0"/>
    <m/>
    <x v="1"/>
    <m/>
    <m/>
    <m/>
    <s v="Defense White Paper Appendix"/>
    <m/>
  </r>
  <r>
    <x v="1"/>
    <x v="8"/>
    <s v="Europe and Central Asia"/>
    <s v="No Specific Relationship"/>
    <s v="NATO"/>
    <x v="3"/>
    <x v="29"/>
    <x v="14"/>
    <n v="11"/>
    <x v="4"/>
    <s v="Xiong Guangkai"/>
    <m/>
    <s v="GSD DCGS"/>
    <n v="6"/>
    <x v="1"/>
    <m/>
    <x v="0"/>
    <m/>
    <x v="0"/>
    <m/>
    <x v="1"/>
    <m/>
    <m/>
    <m/>
    <s v="Defense White Paper Appendix"/>
    <m/>
  </r>
  <r>
    <x v="1"/>
    <x v="8"/>
    <s v="Europe and Central Asia"/>
    <s v="No Specific Relationship"/>
    <s v="NATO"/>
    <x v="3"/>
    <x v="82"/>
    <x v="14"/>
    <n v="11"/>
    <x v="4"/>
    <s v="Li Qianyuan"/>
    <m/>
    <s v="Lanzhou MR Commander"/>
    <n v="6"/>
    <x v="1"/>
    <m/>
    <x v="0"/>
    <m/>
    <x v="0"/>
    <m/>
    <x v="1"/>
    <m/>
    <m/>
    <m/>
    <s v="Defense White Paper Appendix"/>
    <m/>
  </r>
  <r>
    <x v="0"/>
    <x v="0"/>
    <s v="Asia"/>
    <s v="Strategic Partnership for Peace and Prosperity [战略伙伴关系]"/>
    <s v="None"/>
    <x v="0"/>
    <x v="6"/>
    <x v="14"/>
    <n v="11"/>
    <x v="0"/>
    <m/>
    <m/>
    <m/>
    <m/>
    <x v="0"/>
    <m/>
    <x v="0"/>
    <m/>
    <x v="0"/>
    <m/>
    <x v="0"/>
    <s v="2005-11  DD167 Shenzhen "/>
    <s v="South Sea Fleet"/>
    <s v="Luhai destroyer Shenzhen 167, replenishment ship Weishanhu 887"/>
    <m/>
    <m/>
  </r>
  <r>
    <x v="1"/>
    <x v="6"/>
    <s v="Europe and Central Asia"/>
    <s v="No Specific Relationship"/>
    <s v="None"/>
    <x v="1"/>
    <x v="31"/>
    <x v="14"/>
    <n v="11"/>
    <x v="3"/>
    <s v="Xiong Guangkai"/>
    <m/>
    <s v="GSD DCGS"/>
    <n v="6"/>
    <x v="2"/>
    <s v="Commander National Guard"/>
    <x v="0"/>
    <m/>
    <x v="0"/>
    <m/>
    <x v="1"/>
    <m/>
    <m/>
    <m/>
    <s v="Defense White Paper Appendix"/>
    <m/>
  </r>
  <r>
    <x v="1"/>
    <x v="8"/>
    <s v="Europe and Central Asia"/>
    <s v="Friendly Cooperative Partnership [友好合作伙伴关系]"/>
    <s v="None"/>
    <x v="3"/>
    <x v="126"/>
    <x v="14"/>
    <n v="11"/>
    <x v="3"/>
    <s v="Cao Gangchuan"/>
    <m/>
    <s v="CMC Vice Chairman; Defense Minister"/>
    <n v="10"/>
    <x v="2"/>
    <s v="Defense Minister"/>
    <x v="0"/>
    <m/>
    <x v="0"/>
    <m/>
    <x v="1"/>
    <m/>
    <m/>
    <m/>
    <s v="Defense White Paper Appendix"/>
    <m/>
  </r>
  <r>
    <x v="0"/>
    <x v="0"/>
    <s v="Asia"/>
    <s v="Strategic Partnership [战略伙伴关系]"/>
    <s v="Major Non-NATO Ally"/>
    <x v="1"/>
    <x v="2"/>
    <x v="14"/>
    <n v="11"/>
    <x v="0"/>
    <m/>
    <m/>
    <m/>
    <m/>
    <x v="0"/>
    <m/>
    <x v="0"/>
    <m/>
    <x v="0"/>
    <m/>
    <x v="0"/>
    <s v="NETF"/>
    <m/>
    <m/>
    <m/>
    <m/>
  </r>
  <r>
    <x v="0"/>
    <x v="0"/>
    <s v="Asia"/>
    <s v="Strategic Partnership [战略伙伴关系]"/>
    <s v="Major Non-NATO Ally"/>
    <x v="1"/>
    <x v="2"/>
    <x v="14"/>
    <n v="11"/>
    <x v="0"/>
    <m/>
    <m/>
    <m/>
    <m/>
    <x v="0"/>
    <m/>
    <x v="0"/>
    <m/>
    <x v="0"/>
    <m/>
    <x v="0"/>
    <s v="2005-11  DD167 Shenzhen "/>
    <s v="South Sea Fleet"/>
    <s v="Luhai destroyer Shenzhen 167, replenishment ship Weishanhu 887"/>
    <m/>
    <m/>
  </r>
  <r>
    <x v="2"/>
    <x v="0"/>
    <s v="Asia"/>
    <s v="Strategic Partnership [战略伙伴关系]"/>
    <s v="Major Non-NATO Ally"/>
    <x v="1"/>
    <x v="2"/>
    <x v="14"/>
    <n v="11"/>
    <x v="5"/>
    <m/>
    <m/>
    <m/>
    <m/>
    <x v="0"/>
    <m/>
    <x v="2"/>
    <s v="Unknown"/>
    <x v="2"/>
    <s v="SAREX"/>
    <x v="1"/>
    <m/>
    <m/>
    <m/>
    <s v="Defense White Paper Appendix"/>
    <m/>
  </r>
  <r>
    <x v="1"/>
    <x v="1"/>
    <s v="Asia"/>
    <s v="No Specific Relationship"/>
    <s v="None"/>
    <x v="0"/>
    <x v="39"/>
    <x v="14"/>
    <n v="11"/>
    <x v="3"/>
    <s v="Cao Gangchuan"/>
    <m/>
    <s v="CMC Vice Chairman; Defense Minister"/>
    <n v="10"/>
    <x v="2"/>
    <s v="Defense Minister"/>
    <x v="0"/>
    <m/>
    <x v="0"/>
    <m/>
    <x v="1"/>
    <m/>
    <m/>
    <m/>
    <s v="Defense White Paper Appendix"/>
    <m/>
  </r>
  <r>
    <x v="1"/>
    <x v="7"/>
    <s v="West Asia and Africa"/>
    <s v="No Specific Relationship"/>
    <s v="None"/>
    <x v="4"/>
    <x v="74"/>
    <x v="14"/>
    <n v="11"/>
    <x v="3"/>
    <s v="Xu Caihou"/>
    <m/>
    <s v="CMC Vice Chairman"/>
    <n v="10"/>
    <x v="2"/>
    <s v="DCOGS"/>
    <x v="0"/>
    <m/>
    <x v="0"/>
    <m/>
    <x v="1"/>
    <m/>
    <m/>
    <m/>
    <s v="Defense White Paper Appendix"/>
    <m/>
  </r>
  <r>
    <x v="1"/>
    <x v="9"/>
    <s v="West Asia and Africa"/>
    <s v="No Specific Relationship"/>
    <s v="None"/>
    <x v="1"/>
    <x v="102"/>
    <x v="14"/>
    <n v="11"/>
    <x v="3"/>
    <s v="Cao Gangchuan"/>
    <m/>
    <s v="CMC Vice Chairman; Defense Minister"/>
    <n v="8"/>
    <x v="2"/>
    <s v="Deputy Commander Armed Forces and Defense Minister"/>
    <x v="0"/>
    <m/>
    <x v="0"/>
    <m/>
    <x v="1"/>
    <m/>
    <m/>
    <m/>
    <s v="Defense White Paper Appendix"/>
    <s v="No corroborating reporting on this visit; assess Cao Gangchuan as likely counterpart"/>
  </r>
  <r>
    <x v="0"/>
    <x v="1"/>
    <s v="Asia"/>
    <s v="No Specific Relationship"/>
    <s v="Bilateral Defense Treaty"/>
    <x v="0"/>
    <x v="5"/>
    <x v="14"/>
    <n v="11"/>
    <x v="0"/>
    <m/>
    <m/>
    <m/>
    <m/>
    <x v="0"/>
    <m/>
    <x v="0"/>
    <m/>
    <x v="0"/>
    <m/>
    <x v="0"/>
    <s v="2005-11  DD167 Shenzhen "/>
    <s v="South Sea Fleet"/>
    <s v="Luhai destroyer Shenzhen 167, replenishment ship Weishanhu 887"/>
    <m/>
    <m/>
  </r>
  <r>
    <x v="1"/>
    <x v="7"/>
    <s v="West Asia and Africa"/>
    <s v="Comprehensive Strategic Cooperative Partnership [全面战略合作伙伴关系]"/>
    <s v="None"/>
    <x v="4"/>
    <x v="96"/>
    <x v="14"/>
    <n v="11"/>
    <x v="3"/>
    <s v="Cao Gangchuan"/>
    <m/>
    <s v="CMC Vice Chairman; Defense Minister"/>
    <n v="10"/>
    <x v="2"/>
    <s v="Minister Delegate in the Presidency in Charge of Defense and Veterans"/>
    <x v="0"/>
    <m/>
    <x v="0"/>
    <m/>
    <x v="1"/>
    <m/>
    <m/>
    <m/>
    <s v="Defense White Paper Appendix"/>
    <m/>
  </r>
  <r>
    <x v="1"/>
    <x v="7"/>
    <s v="West Asia and Africa"/>
    <s v="No Specific Relationship"/>
    <s v="Major Non-NATO Ally"/>
    <x v="4"/>
    <x v="85"/>
    <x v="14"/>
    <n v="11"/>
    <x v="4"/>
    <s v="Jing Zhiyuan"/>
    <m/>
    <s v="PLASAF Commander; CMC Member"/>
    <n v="8"/>
    <x v="1"/>
    <m/>
    <x v="0"/>
    <m/>
    <x v="0"/>
    <m/>
    <x v="1"/>
    <m/>
    <m/>
    <m/>
    <s v="Defense White Paper Appendix"/>
    <m/>
  </r>
  <r>
    <x v="1"/>
    <x v="10"/>
    <s v="America and Oceania"/>
    <s v="No Specific Relationship"/>
    <s v="None"/>
    <x v="5"/>
    <x v="41"/>
    <x v="14"/>
    <n v="12"/>
    <x v="3"/>
    <s v="Xiong Guangkai"/>
    <m/>
    <s v="GSD DCGS"/>
    <n v="6"/>
    <x v="2"/>
    <s v="Deputy Chief of Defense Force"/>
    <x v="0"/>
    <m/>
    <x v="0"/>
    <m/>
    <x v="1"/>
    <m/>
    <m/>
    <m/>
    <s v="Defense White Paper Appendix"/>
    <m/>
  </r>
  <r>
    <x v="1"/>
    <x v="7"/>
    <s v="West Asia and Africa"/>
    <s v="No Specific Relationship"/>
    <s v="None"/>
    <x v="4"/>
    <x v="28"/>
    <x v="14"/>
    <n v="12"/>
    <x v="3"/>
    <s v="Liang Guanglie"/>
    <m/>
    <s v="GSD Commander; CMC Member"/>
    <n v="8"/>
    <x v="2"/>
    <s v="COGS"/>
    <x v="0"/>
    <m/>
    <x v="0"/>
    <m/>
    <x v="1"/>
    <m/>
    <m/>
    <m/>
    <s v="Defense White Paper Appendix"/>
    <m/>
  </r>
  <r>
    <x v="1"/>
    <x v="7"/>
    <s v="West Asia and Africa"/>
    <s v="Comprehensive Strategic Partnership [全面战略伙伴关系]"/>
    <s v="None"/>
    <x v="4"/>
    <x v="127"/>
    <x v="14"/>
    <n v="12"/>
    <x v="3"/>
    <s v="Liang Guanglie"/>
    <m/>
    <s v="GSD Commander; CMC Member"/>
    <n v="8"/>
    <x v="2"/>
    <s v="COGS"/>
    <x v="0"/>
    <m/>
    <x v="0"/>
    <m/>
    <x v="1"/>
    <m/>
    <m/>
    <m/>
    <s v="Defense White Paper Appendix"/>
    <m/>
  </r>
  <r>
    <x v="1"/>
    <x v="5"/>
    <s v="America and Oceania"/>
    <s v="No Specific Relationship"/>
    <s v="None"/>
    <x v="0"/>
    <x v="128"/>
    <x v="14"/>
    <n v="12"/>
    <x v="3"/>
    <s v="Cao Gangchuan"/>
    <m/>
    <s v="CMC Vice Chairman; Defense Minister"/>
    <n v="10"/>
    <x v="2"/>
    <s v="Commander Armed Forces"/>
    <x v="0"/>
    <m/>
    <x v="0"/>
    <m/>
    <x v="1"/>
    <m/>
    <m/>
    <m/>
    <s v="Defense White Paper Appendix"/>
    <s v="Coded as Oceania instead of Southeast Asia"/>
  </r>
  <r>
    <x v="2"/>
    <x v="0"/>
    <s v="Asia"/>
    <s v="Strategic Partnership for Peace and Prosperity [战略伙伴关系]"/>
    <s v="None"/>
    <x v="0"/>
    <x v="6"/>
    <x v="14"/>
    <n v="12"/>
    <x v="5"/>
    <m/>
    <m/>
    <m/>
    <m/>
    <x v="0"/>
    <m/>
    <x v="2"/>
    <s v="Unknown"/>
    <x v="2"/>
    <s v="SAREX"/>
    <x v="1"/>
    <m/>
    <m/>
    <m/>
    <s v="Defense White Paper Appendix"/>
    <m/>
  </r>
  <r>
    <x v="1"/>
    <x v="7"/>
    <s v="West Asia and Africa"/>
    <s v="No Specific Relationship"/>
    <s v="None"/>
    <x v="4"/>
    <x v="69"/>
    <x v="14"/>
    <n v="12"/>
    <x v="3"/>
    <s v="Cao Gangchuan"/>
    <m/>
    <s v="CMC Vice Chairman; Defense Minister"/>
    <n v="10"/>
    <x v="2"/>
    <s v="Defense Minister"/>
    <x v="0"/>
    <m/>
    <x v="0"/>
    <m/>
    <x v="1"/>
    <m/>
    <m/>
    <m/>
    <s v="Defense White Paper Appendix"/>
    <m/>
  </r>
  <r>
    <x v="1"/>
    <x v="7"/>
    <s v="West Asia and Africa"/>
    <s v="No Specific Relationship"/>
    <s v="None"/>
    <x v="4"/>
    <x v="74"/>
    <x v="14"/>
    <n v="12"/>
    <x v="3"/>
    <s v="Liang Guanglie"/>
    <m/>
    <s v="GSD Commander; CMC Member"/>
    <n v="8"/>
    <x v="2"/>
    <s v="Air Force Commander"/>
    <x v="0"/>
    <m/>
    <x v="0"/>
    <m/>
    <x v="1"/>
    <m/>
    <m/>
    <m/>
    <s v="Defense White Paper Appendix"/>
    <m/>
  </r>
  <r>
    <x v="2"/>
    <x v="1"/>
    <s v="Asia"/>
    <s v="No Specific Relationship"/>
    <s v="Bilateral Defense Treaty"/>
    <x v="0"/>
    <x v="5"/>
    <x v="14"/>
    <n v="12"/>
    <x v="5"/>
    <m/>
    <m/>
    <m/>
    <m/>
    <x v="0"/>
    <m/>
    <x v="2"/>
    <s v="Unknown"/>
    <x v="2"/>
    <s v="SAREX"/>
    <x v="1"/>
    <m/>
    <m/>
    <m/>
    <s v="Defense White Paper Appendix"/>
    <m/>
  </r>
  <r>
    <x v="1"/>
    <x v="6"/>
    <s v="Europe and Central Asia"/>
    <s v="No Specific Relationship"/>
    <s v="None"/>
    <x v="1"/>
    <x v="73"/>
    <x v="14"/>
    <n v="12"/>
    <x v="3"/>
    <s v="Cao Gangchuan"/>
    <m/>
    <s v="CMC Vice Chairman; Defense Minister"/>
    <n v="10"/>
    <x v="2"/>
    <s v="Defense Minister"/>
    <x v="0"/>
    <m/>
    <x v="0"/>
    <m/>
    <x v="1"/>
    <m/>
    <m/>
    <m/>
    <s v="Defense White Paper Appendix"/>
    <m/>
  </r>
  <r>
    <x v="1"/>
    <x v="8"/>
    <s v="Europe and Central Asia"/>
    <s v="Comprehensive Strategic Partnership [全面战略伙伴关系]"/>
    <s v="NATO"/>
    <x v="3"/>
    <x v="48"/>
    <x v="15"/>
    <n v="1"/>
    <x v="3"/>
    <s v="Cao Gangchuan"/>
    <m/>
    <s v="CMC Vice Chairman; Defense Minister"/>
    <n v="8"/>
    <x v="2"/>
    <s v="Defense Minister"/>
    <x v="0"/>
    <m/>
    <x v="0"/>
    <m/>
    <x v="1"/>
    <m/>
    <m/>
    <m/>
    <s v="http://www.chinavitae.com/vip/index.php?mode=show&amp;id=4545"/>
    <s v="Changed from Zeng Qinghong"/>
  </r>
  <r>
    <x v="1"/>
    <x v="1"/>
    <s v="Asia"/>
    <s v="No Specific Relationship"/>
    <s v="None"/>
    <x v="0"/>
    <x v="50"/>
    <x v="15"/>
    <n v="2"/>
    <x v="3"/>
    <s v="Cao Gangchuan"/>
    <m/>
    <s v="CMC Vice Chairman; Defense Minister"/>
    <n v="8"/>
    <x v="2"/>
    <s v="Defense Minster"/>
    <x v="0"/>
    <m/>
    <x v="0"/>
    <m/>
    <x v="1"/>
    <m/>
    <m/>
    <m/>
    <s v="https://dlib.eastview.com/browse/doc/14704768"/>
    <m/>
  </r>
  <r>
    <x v="1"/>
    <x v="8"/>
    <s v="Europe and Central Asia"/>
    <s v="No Specific Relationship"/>
    <s v="None"/>
    <x v="3"/>
    <x v="78"/>
    <x v="15"/>
    <n v="2"/>
    <x v="3"/>
    <s v="Cao Gangchuan"/>
    <m/>
    <s v="CMC Vice Chairman; Defense Minister"/>
    <n v="8"/>
    <x v="2"/>
    <s v="Defense Minster"/>
    <x v="0"/>
    <m/>
    <x v="0"/>
    <m/>
    <x v="1"/>
    <m/>
    <m/>
    <m/>
    <s v="https://dlib.eastview.com/browse/doc/14711056"/>
    <m/>
  </r>
  <r>
    <x v="1"/>
    <x v="10"/>
    <s v="America and Oceania"/>
    <s v="Strategic Partnership [战略伙伴关系]"/>
    <s v="Major Non-NATO Ally"/>
    <x v="5"/>
    <x v="62"/>
    <x v="15"/>
    <n v="3"/>
    <x v="4"/>
    <s v="Ma Xiaotian"/>
    <m/>
    <s v="GSD DCGS"/>
    <n v="6"/>
    <x v="1"/>
    <m/>
    <x v="0"/>
    <m/>
    <x v="0"/>
    <m/>
    <x v="1"/>
    <m/>
    <m/>
    <m/>
    <s v="Defense White Paper Appendix"/>
    <m/>
  </r>
  <r>
    <x v="1"/>
    <x v="10"/>
    <s v="America and Oceania"/>
    <s v="No Specific Relationship"/>
    <s v="None"/>
    <x v="5"/>
    <x v="49"/>
    <x v="15"/>
    <n v="3"/>
    <x v="4"/>
    <s v="Peng Xiaofeng"/>
    <m/>
    <s v="PLASAF Political Commissar"/>
    <n v="6"/>
    <x v="1"/>
    <m/>
    <x v="0"/>
    <m/>
    <x v="0"/>
    <m/>
    <x v="1"/>
    <m/>
    <m/>
    <m/>
    <s v="Defense White Paper Appendix"/>
    <m/>
  </r>
  <r>
    <x v="1"/>
    <x v="10"/>
    <s v="America and Oceania"/>
    <s v="No Specific Relationship"/>
    <s v="None"/>
    <x v="5"/>
    <x v="51"/>
    <x v="15"/>
    <n v="3"/>
    <x v="3"/>
    <s v="Cao Gangchuan"/>
    <m/>
    <s v="CMC Vice Chairman; Defense Minister"/>
    <n v="10"/>
    <x v="2"/>
    <s v="Ecuador"/>
    <x v="0"/>
    <m/>
    <x v="0"/>
    <m/>
    <x v="1"/>
    <m/>
    <m/>
    <m/>
    <s v="Defense White Paper Appendix"/>
    <m/>
  </r>
  <r>
    <x v="1"/>
    <x v="6"/>
    <s v="Europe and Central Asia"/>
    <s v="No Specific Relationship"/>
    <s v="None"/>
    <x v="1"/>
    <x v="31"/>
    <x v="15"/>
    <n v="3"/>
    <x v="3"/>
    <s v="Cao Gangchuan"/>
    <m/>
    <s v="CMC Vice Chairman; Defense Minister"/>
    <n v="10"/>
    <x v="2"/>
    <s v="Commander Border Forces"/>
    <x v="0"/>
    <m/>
    <x v="0"/>
    <m/>
    <x v="1"/>
    <m/>
    <m/>
    <m/>
    <s v="Defense White Paper Appendix"/>
    <m/>
  </r>
  <r>
    <x v="1"/>
    <x v="2"/>
    <s v="America and Oceania"/>
    <s v="Strategic Cooperative Partnership [战略合作伙伴关系]"/>
    <s v="None"/>
    <x v="2"/>
    <x v="77"/>
    <x v="15"/>
    <n v="3"/>
    <x v="4"/>
    <s v="Ma Xiaotian"/>
    <m/>
    <s v="GSD DCGS"/>
    <n v="6"/>
    <x v="1"/>
    <m/>
    <x v="0"/>
    <m/>
    <x v="0"/>
    <m/>
    <x v="1"/>
    <m/>
    <m/>
    <m/>
    <s v="Defense White Paper Appendix"/>
    <m/>
  </r>
  <r>
    <x v="1"/>
    <x v="3"/>
    <s v="Europe and Central Asia"/>
    <s v="Strategic Partnership of Coordination [战略协作伙伴关系]"/>
    <s v="None"/>
    <x v="3"/>
    <x v="7"/>
    <x v="15"/>
    <n v="3"/>
    <x v="3"/>
    <s v="Ge Zhenfeng"/>
    <m/>
    <s v="GSD DCGS"/>
    <n v="8"/>
    <x v="2"/>
    <s v="Army Commander"/>
    <x v="0"/>
    <m/>
    <x v="0"/>
    <m/>
    <x v="1"/>
    <m/>
    <m/>
    <m/>
    <s v="https://dlib.eastview.com/browse/doc/14712481"/>
    <m/>
  </r>
  <r>
    <x v="1"/>
    <x v="7"/>
    <s v="West Asia and Africa"/>
    <s v="No Specific Relationship"/>
    <s v="None"/>
    <x v="4"/>
    <x v="129"/>
    <x v="15"/>
    <n v="3"/>
    <x v="3"/>
    <s v="Cao Gangchuan"/>
    <m/>
    <s v="CMC Vice Chairman; Defense Minister"/>
    <n v="10"/>
    <x v="2"/>
    <s v="Defense Minister"/>
    <x v="0"/>
    <m/>
    <x v="0"/>
    <m/>
    <x v="1"/>
    <m/>
    <m/>
    <m/>
    <s v="Defense White Paper Appendix"/>
    <m/>
  </r>
  <r>
    <x v="2"/>
    <x v="6"/>
    <s v="Europe and Central Asia"/>
    <s v="Member"/>
    <s v="None"/>
    <x v="1"/>
    <x v="14"/>
    <x v="15"/>
    <n v="3"/>
    <x v="6"/>
    <m/>
    <m/>
    <m/>
    <m/>
    <x v="0"/>
    <m/>
    <x v="1"/>
    <s v="East-Antiterror-2006"/>
    <x v="1"/>
    <s v="Special forces anti-terrorism exercise in Uzbekistan; Other countries: Russia, China, Kazakhstan; Krygyzstan; Tajikistan; Uzbekistan; "/>
    <x v="1"/>
    <m/>
    <m/>
    <m/>
    <s v="https://jamestown.org/program/uzbekistan-hosts-sco-anti-terrorist-drill/; de Haas Journal of Slavic Military Studies 29:3 (2016)"/>
    <m/>
  </r>
  <r>
    <x v="1"/>
    <x v="7"/>
    <s v="West Asia and Africa"/>
    <s v="No Specific Relationship"/>
    <s v="None"/>
    <x v="4"/>
    <x v="74"/>
    <x v="15"/>
    <n v="3"/>
    <x v="3"/>
    <s v="Cao Gangchuan"/>
    <m/>
    <s v="CMC Vice Chairman; Defense Minister"/>
    <n v="10"/>
    <x v="2"/>
    <s v="Defense Minister"/>
    <x v="0"/>
    <m/>
    <x v="0"/>
    <m/>
    <x v="1"/>
    <m/>
    <m/>
    <m/>
    <s v="Defense White Paper Appendix"/>
    <m/>
  </r>
  <r>
    <x v="1"/>
    <x v="10"/>
    <s v="America and Oceania"/>
    <s v="Strategic Partnership [战略伙伴关系]"/>
    <s v="Major Non-NATO Ally"/>
    <x v="5"/>
    <x v="62"/>
    <x v="15"/>
    <n v="4"/>
    <x v="4"/>
    <s v="Deng Changyou"/>
    <m/>
    <s v="PLAAF Political Commissar"/>
    <n v="6"/>
    <x v="1"/>
    <m/>
    <x v="0"/>
    <m/>
    <x v="0"/>
    <m/>
    <x v="1"/>
    <m/>
    <m/>
    <m/>
    <s v="Defense White Paper Appendix"/>
    <m/>
  </r>
  <r>
    <x v="1"/>
    <x v="8"/>
    <s v="Europe and Central Asia"/>
    <s v="Strategic Partnership [战略伙伴关系]"/>
    <s v="None"/>
    <x v="3"/>
    <x v="34"/>
    <x v="15"/>
    <n v="4"/>
    <x v="3"/>
    <s v="Li Yu"/>
    <m/>
    <s v="GSD Assistant Commander"/>
    <n v="5"/>
    <x v="2"/>
    <s v="COGS"/>
    <x v="0"/>
    <m/>
    <x v="0"/>
    <m/>
    <x v="1"/>
    <m/>
    <m/>
    <m/>
    <s v="Defense White Paper Appendix"/>
    <m/>
  </r>
  <r>
    <x v="1"/>
    <x v="7"/>
    <s v="West Asia and Africa"/>
    <s v="Friendly Cooperative Relationship [友好合作关系]"/>
    <s v="None"/>
    <x v="4"/>
    <x v="65"/>
    <x v="15"/>
    <n v="4"/>
    <x v="4"/>
    <s v="Ma Xiaotian"/>
    <m/>
    <s v="GSD DCGS"/>
    <n v="6"/>
    <x v="1"/>
    <m/>
    <x v="0"/>
    <m/>
    <x v="0"/>
    <m/>
    <x v="1"/>
    <m/>
    <m/>
    <m/>
    <s v="Defense White Paper Appendix"/>
    <m/>
  </r>
  <r>
    <x v="1"/>
    <x v="10"/>
    <s v="America and Oceania"/>
    <s v="Comprehensive Partnership [全面伙伴关系]"/>
    <s v="None"/>
    <x v="5"/>
    <x v="66"/>
    <x v="15"/>
    <n v="4"/>
    <x v="4"/>
    <s v="Li Yu"/>
    <m/>
    <s v="GSD Assistant Commander"/>
    <n v="5"/>
    <x v="1"/>
    <m/>
    <x v="0"/>
    <m/>
    <x v="0"/>
    <m/>
    <x v="1"/>
    <m/>
    <m/>
    <m/>
    <s v="Defense White Paper Appendix"/>
    <m/>
  </r>
  <r>
    <x v="1"/>
    <x v="8"/>
    <s v="Europe and Central Asia"/>
    <s v="No Specific Relationship"/>
    <s v="NATO"/>
    <x v="3"/>
    <x v="82"/>
    <x v="15"/>
    <n v="4"/>
    <x v="4"/>
    <s v="Zhu Qi"/>
    <m/>
    <s v="Beijing MR Commander"/>
    <n v="6"/>
    <x v="1"/>
    <m/>
    <x v="0"/>
    <m/>
    <x v="0"/>
    <m/>
    <x v="1"/>
    <m/>
    <m/>
    <m/>
    <s v="Defense White Paper Appendix"/>
    <m/>
  </r>
  <r>
    <x v="1"/>
    <x v="6"/>
    <s v="Europe and Central Asia"/>
    <s v="Strategic Partnership [战略伙伴关系]"/>
    <s v="None"/>
    <x v="1"/>
    <x v="30"/>
    <x v="15"/>
    <n v="4"/>
    <x v="7"/>
    <s v="Cao Gangchuan"/>
    <m/>
    <s v="CMC Vice Chairman; Defense Minister"/>
    <n v="10"/>
    <x v="2"/>
    <s v="Deputy Defense Minister"/>
    <x v="0"/>
    <m/>
    <x v="0"/>
    <m/>
    <x v="1"/>
    <m/>
    <m/>
    <m/>
    <s v="Defense White Paper Appendix"/>
    <s v="SCO Defense Ministers' Sidelines"/>
  </r>
  <r>
    <x v="1"/>
    <x v="6"/>
    <s v="Europe and Central Asia"/>
    <s v="No Specific Relationship"/>
    <s v="None"/>
    <x v="1"/>
    <x v="31"/>
    <x v="15"/>
    <n v="4"/>
    <x v="7"/>
    <s v="Cao Gangchuan"/>
    <m/>
    <s v="CMC Vice Chairman; Defense Minister"/>
    <n v="10"/>
    <x v="2"/>
    <s v="Defense Minister"/>
    <x v="0"/>
    <m/>
    <x v="0"/>
    <m/>
    <x v="1"/>
    <m/>
    <m/>
    <m/>
    <s v="Defense White Paper Appendix"/>
    <s v="SCO Defense Ministers' Sidelines"/>
  </r>
  <r>
    <x v="1"/>
    <x v="1"/>
    <s v="Asia"/>
    <s v="Strategic Cooperative Partnership [战略合作伙伴关系]"/>
    <s v="None"/>
    <x v="0"/>
    <x v="10"/>
    <x v="15"/>
    <n v="4"/>
    <x v="4"/>
    <s v="Cao Gangchuan"/>
    <m/>
    <s v="CMC Vice Chairman; Defense Minister"/>
    <n v="10"/>
    <x v="1"/>
    <m/>
    <x v="0"/>
    <m/>
    <x v="0"/>
    <m/>
    <x v="1"/>
    <m/>
    <m/>
    <m/>
    <s v="Defense White Paper Appendix"/>
    <m/>
  </r>
  <r>
    <x v="1"/>
    <x v="2"/>
    <s v="America and Oceania"/>
    <s v="Strategic Cooperative Partnership [战略合作伙伴关系]"/>
    <s v="None"/>
    <x v="2"/>
    <x v="77"/>
    <x v="15"/>
    <n v="4"/>
    <x v="4"/>
    <s v="Li Yu"/>
    <m/>
    <s v="GSD Assistant Commander"/>
    <n v="5"/>
    <x v="1"/>
    <m/>
    <x v="0"/>
    <m/>
    <x v="0"/>
    <m/>
    <x v="1"/>
    <m/>
    <m/>
    <m/>
    <s v="Defense White Paper Appendix"/>
    <m/>
  </r>
  <r>
    <x v="1"/>
    <x v="4"/>
    <s v="Asia"/>
    <s v="Bilateral Defense Treaty"/>
    <s v="None"/>
    <x v="0"/>
    <x v="9"/>
    <x v="15"/>
    <n v="4"/>
    <x v="4"/>
    <s v="Cao Gangchuan"/>
    <m/>
    <s v="CMC Vice Chairman; Defense Minister"/>
    <n v="10"/>
    <x v="1"/>
    <m/>
    <x v="0"/>
    <m/>
    <x v="0"/>
    <m/>
    <x v="1"/>
    <m/>
    <m/>
    <m/>
    <s v="Defense White Paper Appendix"/>
    <m/>
  </r>
  <r>
    <x v="1"/>
    <x v="10"/>
    <s v="America and Oceania"/>
    <s v="Comprehensive Partnership [全面伙伴关系]"/>
    <s v="None"/>
    <x v="5"/>
    <x v="54"/>
    <x v="15"/>
    <n v="4"/>
    <x v="4"/>
    <s v="Deng Changyou"/>
    <m/>
    <s v="PLAAF Political Commissar"/>
    <n v="6"/>
    <x v="1"/>
    <m/>
    <x v="0"/>
    <m/>
    <x v="0"/>
    <m/>
    <x v="1"/>
    <m/>
    <m/>
    <m/>
    <s v="Defense White Paper Appendix"/>
    <m/>
  </r>
  <r>
    <x v="1"/>
    <x v="8"/>
    <s v="Europe and Central Asia"/>
    <s v="Comprehensive Friendly Cooperative Partnership [全面友好合作伙伴关系]"/>
    <s v="NATO"/>
    <x v="3"/>
    <x v="33"/>
    <x v="15"/>
    <n v="4"/>
    <x v="4"/>
    <s v="Zhu Qi"/>
    <m/>
    <s v="Beijing MR Commander"/>
    <n v="6"/>
    <x v="1"/>
    <m/>
    <x v="0"/>
    <m/>
    <x v="0"/>
    <m/>
    <x v="1"/>
    <m/>
    <m/>
    <m/>
    <s v="Defense White Paper Appendix"/>
    <m/>
  </r>
  <r>
    <x v="1"/>
    <x v="3"/>
    <s v="Europe and Central Asia"/>
    <s v="Strategic Partnership of Coordination [战略协作伙伴关系]"/>
    <s v="None"/>
    <x v="3"/>
    <x v="7"/>
    <x v="15"/>
    <n v="4"/>
    <x v="7"/>
    <s v="Cao Gangchuan"/>
    <m/>
    <s v="CMC Vice Chairman; Defense Minister"/>
    <n v="10"/>
    <x v="2"/>
    <s v="Defense Minister"/>
    <x v="0"/>
    <m/>
    <x v="0"/>
    <m/>
    <x v="1"/>
    <m/>
    <m/>
    <m/>
    <s v="Defense White Paper Appendix"/>
    <m/>
  </r>
  <r>
    <x v="1"/>
    <x v="6"/>
    <s v="Europe and Central Asia"/>
    <s v="Member"/>
    <s v="None"/>
    <x v="1"/>
    <x v="14"/>
    <x v="15"/>
    <n v="4"/>
    <x v="2"/>
    <s v="Cao Gangchuan"/>
    <m/>
    <s v="CMC Vice Chairman; Defense Minister"/>
    <n v="10"/>
    <x v="2"/>
    <s v="Fourth official meeting of the SCO Ministers' of Defense in Shanghai; Other countries: Kazakhstan, Kyrgyztan, Russia, Tajikistan, Uzbekistan"/>
    <x v="0"/>
    <m/>
    <x v="0"/>
    <m/>
    <x v="1"/>
    <m/>
    <m/>
    <m/>
    <s v="http://www.chinaconsulatesf.org/eng/xw/t249533.htm#:~:text=On%20April%2026%2C%202006%2C%20Premier,SCO)%20Defense%20Ministers'%20Meeting."/>
    <m/>
  </r>
  <r>
    <x v="1"/>
    <x v="1"/>
    <s v="Asia"/>
    <s v="No Specific Relationship"/>
    <s v="None"/>
    <x v="0"/>
    <x v="39"/>
    <x v="15"/>
    <n v="4"/>
    <x v="4"/>
    <s v="Cao Gangchuan"/>
    <m/>
    <s v="CMC Vice Chairman; Defense Minister"/>
    <n v="10"/>
    <x v="1"/>
    <m/>
    <x v="0"/>
    <m/>
    <x v="0"/>
    <m/>
    <x v="1"/>
    <m/>
    <m/>
    <m/>
    <s v="Defense White Paper Appendix"/>
    <m/>
  </r>
  <r>
    <x v="1"/>
    <x v="4"/>
    <s v="Asia"/>
    <s v="Comprehensive Cooperative Partnership [全面合作伙伴关系]"/>
    <s v="Bilateral Defense Treaty"/>
    <x v="0"/>
    <x v="25"/>
    <x v="15"/>
    <n v="4"/>
    <x v="4"/>
    <s v="Cao Gangchuan"/>
    <m/>
    <s v="CMC Vice Chairman; Defense Minister"/>
    <n v="10"/>
    <x v="1"/>
    <m/>
    <x v="0"/>
    <m/>
    <x v="0"/>
    <m/>
    <x v="1"/>
    <m/>
    <m/>
    <m/>
    <s v="Defense White Paper Appendix"/>
    <m/>
  </r>
  <r>
    <x v="1"/>
    <x v="9"/>
    <s v="West Asia and Africa"/>
    <s v="No Specific Relationship"/>
    <s v="None"/>
    <x v="1"/>
    <x v="102"/>
    <x v="15"/>
    <n v="4"/>
    <x v="4"/>
    <s v="Ma Xiaotian"/>
    <m/>
    <s v="GSD DCGS"/>
    <n v="6"/>
    <x v="1"/>
    <m/>
    <x v="0"/>
    <m/>
    <x v="0"/>
    <m/>
    <x v="1"/>
    <m/>
    <m/>
    <m/>
    <s v="Defense White Paper Appendix"/>
    <m/>
  </r>
  <r>
    <x v="1"/>
    <x v="6"/>
    <s v="Europe and Central Asia"/>
    <s v="No Specific Relationship"/>
    <s v="None"/>
    <x v="1"/>
    <x v="60"/>
    <x v="15"/>
    <n v="4"/>
    <x v="7"/>
    <s v="Cao Gangchuan"/>
    <m/>
    <s v="CMC Vice Chairman; Defense Minister"/>
    <n v="10"/>
    <x v="2"/>
    <s v="Defense Minister"/>
    <x v="0"/>
    <m/>
    <x v="0"/>
    <m/>
    <x v="1"/>
    <m/>
    <m/>
    <m/>
    <s v="Defense White Paper Appendix"/>
    <m/>
  </r>
  <r>
    <x v="1"/>
    <x v="2"/>
    <s v="America and Oceania"/>
    <s v="No Specific Relationship"/>
    <s v="N/A"/>
    <x v="2"/>
    <x v="4"/>
    <x v="15"/>
    <n v="4"/>
    <x v="3"/>
    <s v="Liang Guanglie"/>
    <m/>
    <s v="GSD Commander; CMC Member"/>
    <n v="8"/>
    <x v="2"/>
    <s v="US NDU President"/>
    <x v="0"/>
    <m/>
    <x v="0"/>
    <m/>
    <x v="1"/>
    <m/>
    <m/>
    <m/>
    <s v="https://dlib.eastview.com/browse/doc/14686566"/>
    <m/>
  </r>
  <r>
    <x v="1"/>
    <x v="6"/>
    <s v="Europe and Central Asia"/>
    <s v="No Specific Relationship"/>
    <s v="None"/>
    <x v="1"/>
    <x v="73"/>
    <x v="15"/>
    <n v="4"/>
    <x v="7"/>
    <s v="Cao Gangchuan"/>
    <m/>
    <s v="CMC Vice Chairman; Defense Minister"/>
    <n v="10"/>
    <x v="2"/>
    <s v="Defense Minister"/>
    <x v="0"/>
    <m/>
    <x v="0"/>
    <m/>
    <x v="1"/>
    <m/>
    <m/>
    <m/>
    <s v="Defense White Paper Appendix"/>
    <m/>
  </r>
  <r>
    <x v="1"/>
    <x v="1"/>
    <s v="Asia"/>
    <s v="No Specific Relationship"/>
    <s v="None"/>
    <x v="0"/>
    <x v="23"/>
    <x v="15"/>
    <n v="4"/>
    <x v="4"/>
    <s v="Cao Gangchuan"/>
    <m/>
    <s v="CMC Vice Chairman; Defense Minister"/>
    <n v="10"/>
    <x v="1"/>
    <m/>
    <x v="0"/>
    <m/>
    <x v="0"/>
    <m/>
    <x v="1"/>
    <m/>
    <m/>
    <m/>
    <s v="Defense White Paper Appendix"/>
    <m/>
  </r>
  <r>
    <x v="1"/>
    <x v="0"/>
    <s v="Europe and Central Asia"/>
    <s v="Comprehensive Cooperative Partnership [全面合作伙伴关系]"/>
    <s v="Major Non-NATO Ally"/>
    <x v="1"/>
    <x v="123"/>
    <x v="15"/>
    <n v="5"/>
    <x v="3"/>
    <s v="Cao Gangchuan"/>
    <m/>
    <s v="CMC Vice Chairman; Defense Minister"/>
    <n v="10"/>
    <x v="2"/>
    <s v="Defense Minister"/>
    <x v="0"/>
    <m/>
    <x v="0"/>
    <m/>
    <x v="1"/>
    <m/>
    <m/>
    <m/>
    <s v="Defense White Paper Appendix"/>
    <m/>
  </r>
  <r>
    <x v="1"/>
    <x v="0"/>
    <s v="Asia"/>
    <s v="Comprehensive Cooperative Partnership [全面合作伙伴关系]"/>
    <s v="None"/>
    <x v="0"/>
    <x v="0"/>
    <x v="15"/>
    <n v="5"/>
    <x v="3"/>
    <s v="Cao Gangchuan"/>
    <m/>
    <s v="CMC Vice Chairman; Defense Minister"/>
    <n v="10"/>
    <x v="2"/>
    <s v="Army Chief of Staff"/>
    <x v="0"/>
    <m/>
    <x v="0"/>
    <m/>
    <x v="1"/>
    <m/>
    <m/>
    <m/>
    <s v="Defense White Paper Appendix"/>
    <m/>
  </r>
  <r>
    <x v="1"/>
    <x v="7"/>
    <s v="West Asia and Africa"/>
    <s v="No Specific Relationship"/>
    <s v="None"/>
    <x v="4"/>
    <x v="130"/>
    <x v="15"/>
    <n v="5"/>
    <x v="3"/>
    <s v="Cao Gangchuan"/>
    <m/>
    <s v="CMC Vice Chairman; Defense Minister"/>
    <n v="10"/>
    <x v="2"/>
    <s v="Defense Minister"/>
    <x v="0"/>
    <m/>
    <x v="0"/>
    <m/>
    <x v="1"/>
    <m/>
    <m/>
    <m/>
    <s v="Defense White Paper Appendix"/>
    <m/>
  </r>
  <r>
    <x v="1"/>
    <x v="8"/>
    <s v="Europe and Central Asia"/>
    <s v="No Specific Relationship"/>
    <s v="NATO"/>
    <x v="3"/>
    <x v="116"/>
    <x v="15"/>
    <n v="5"/>
    <x v="4"/>
    <s v="Liang Guanglie"/>
    <m/>
    <s v="GSD Commander; CMC Member"/>
    <n v="8"/>
    <x v="1"/>
    <m/>
    <x v="0"/>
    <m/>
    <x v="0"/>
    <m/>
    <x v="1"/>
    <m/>
    <m/>
    <m/>
    <s v="Defense White Paper Appendix"/>
    <m/>
  </r>
  <r>
    <x v="1"/>
    <x v="7"/>
    <s v="West Asia and Africa"/>
    <s v="Comprehensive Strategic Cooperative Partnership [全面战略合作伙伴关系]"/>
    <s v="None"/>
    <x v="4"/>
    <x v="71"/>
    <x v="15"/>
    <n v="5"/>
    <x v="3"/>
    <s v="Cao Gangchuan"/>
    <m/>
    <s v="CMC Vice Chairman; Defense Minister"/>
    <n v="10"/>
    <x v="2"/>
    <s v="Defense Minister"/>
    <x v="0"/>
    <m/>
    <x v="0"/>
    <m/>
    <x v="1"/>
    <m/>
    <m/>
    <m/>
    <s v="Defense White Paper Appendix"/>
    <m/>
  </r>
  <r>
    <x v="1"/>
    <x v="0"/>
    <s v="Asia"/>
    <s v="Strategic Partnership for Peace and Prosperity [战略伙伴关系]"/>
    <s v="None"/>
    <x v="0"/>
    <x v="6"/>
    <x v="15"/>
    <n v="5"/>
    <x v="3"/>
    <s v="Cao Gangchuan"/>
    <m/>
    <s v="CMC Vice Chairman; Defense Minister"/>
    <n v="10"/>
    <x v="2"/>
    <s v="Defense Minister"/>
    <x v="0"/>
    <m/>
    <x v="0"/>
    <m/>
    <x v="1"/>
    <m/>
    <m/>
    <m/>
    <s v="Defense White Paper Appendix"/>
    <m/>
  </r>
  <r>
    <x v="1"/>
    <x v="1"/>
    <s v="Asia"/>
    <s v="Strategic Partnership [战略伙伴关系]"/>
    <s v="None"/>
    <x v="0"/>
    <x v="8"/>
    <x v="15"/>
    <n v="5"/>
    <x v="4"/>
    <s v="Li Yu"/>
    <m/>
    <s v="GSD Assistant Commander"/>
    <n v="5"/>
    <x v="1"/>
    <m/>
    <x v="0"/>
    <m/>
    <x v="0"/>
    <m/>
    <x v="1"/>
    <m/>
    <m/>
    <m/>
    <s v="Defense White Paper Appendix"/>
    <m/>
  </r>
  <r>
    <x v="1"/>
    <x v="7"/>
    <s v="West Asia and Africa"/>
    <s v="No Specific Relationship"/>
    <s v="None"/>
    <x v="4"/>
    <x v="47"/>
    <x v="15"/>
    <n v="5"/>
    <x v="3"/>
    <s v="Cao Gangchuan"/>
    <m/>
    <s v="CMC Vice Chairman; Defense Minister"/>
    <n v="10"/>
    <x v="2"/>
    <s v="Minister of State for Defense"/>
    <x v="0"/>
    <m/>
    <x v="0"/>
    <m/>
    <x v="1"/>
    <m/>
    <m/>
    <m/>
    <s v="Defense White Paper Appendix"/>
    <m/>
  </r>
  <r>
    <x v="1"/>
    <x v="1"/>
    <s v="Asia"/>
    <s v="Strategic Cooperative Partnership [战略合作伙伴关系]"/>
    <s v="None"/>
    <x v="0"/>
    <x v="10"/>
    <x v="15"/>
    <n v="5"/>
    <x v="3"/>
    <s v="Liang Guanglie"/>
    <m/>
    <s v="GSD Commander; CMC Member"/>
    <n v="8"/>
    <x v="2"/>
    <s v="Commander Armed Forces"/>
    <x v="0"/>
    <m/>
    <x v="0"/>
    <m/>
    <x v="1"/>
    <m/>
    <m/>
    <m/>
    <s v="Defense White Paper Appendix"/>
    <m/>
  </r>
  <r>
    <x v="1"/>
    <x v="8"/>
    <s v="Europe and Central Asia"/>
    <s v="No Specific Relationship"/>
    <s v="NATO"/>
    <x v="3"/>
    <x v="37"/>
    <x v="15"/>
    <n v="5"/>
    <x v="4"/>
    <s v="Liang Guanglie"/>
    <m/>
    <s v="GSD Commander; CMC Member"/>
    <n v="8"/>
    <x v="1"/>
    <m/>
    <x v="0"/>
    <m/>
    <x v="0"/>
    <m/>
    <x v="1"/>
    <m/>
    <m/>
    <m/>
    <s v="Defense White Paper Appendix"/>
    <m/>
  </r>
  <r>
    <x v="1"/>
    <x v="0"/>
    <s v="Asia"/>
    <s v="Strategic Partnership [战略伙伴关系]"/>
    <s v="Major Non-NATO Ally"/>
    <x v="1"/>
    <x v="2"/>
    <x v="15"/>
    <n v="5"/>
    <x v="3"/>
    <s v="Cao Gangchuan"/>
    <m/>
    <s v="CMC Vice Chairman; Defense Minister"/>
    <n v="10"/>
    <x v="2"/>
    <s v="Navy Chief of Staff"/>
    <x v="0"/>
    <m/>
    <x v="0"/>
    <m/>
    <x v="1"/>
    <m/>
    <m/>
    <m/>
    <s v="Defense White Paper Appendix"/>
    <m/>
  </r>
  <r>
    <x v="1"/>
    <x v="1"/>
    <s v="Asia"/>
    <s v="Strategic Cooperative Partnership [战略合作伙伴关系]"/>
    <s v="Bilateral Defense Treaty"/>
    <x v="0"/>
    <x v="11"/>
    <x v="15"/>
    <n v="5"/>
    <x v="3"/>
    <s v="Cao Gangchuan"/>
    <m/>
    <s v="CMC Vice Chairman; Defense Minister"/>
    <n v="10"/>
    <x v="2"/>
    <s v="COGS"/>
    <x v="0"/>
    <m/>
    <x v="0"/>
    <m/>
    <x v="1"/>
    <m/>
    <m/>
    <m/>
    <s v="Defense White Paper Appendix"/>
    <m/>
  </r>
  <r>
    <x v="1"/>
    <x v="3"/>
    <s v="Europe and Central Asia"/>
    <s v="Strategic Partnership of Coordination [战略协作伙伴关系]"/>
    <s v="None"/>
    <x v="3"/>
    <x v="7"/>
    <x v="15"/>
    <n v="5"/>
    <x v="4"/>
    <s v="Liang Guanglie"/>
    <m/>
    <s v="GSD Commander; CMC Member"/>
    <n v="8"/>
    <x v="1"/>
    <m/>
    <x v="0"/>
    <m/>
    <x v="0"/>
    <m/>
    <x v="1"/>
    <m/>
    <m/>
    <m/>
    <s v="Defense White Paper Appendix"/>
    <m/>
  </r>
  <r>
    <x v="1"/>
    <x v="1"/>
    <s v="Asia"/>
    <s v="No Specific Relationship"/>
    <s v="None"/>
    <x v="0"/>
    <x v="39"/>
    <x v="15"/>
    <n v="5"/>
    <x v="3"/>
    <s v="Cao Gangchuan"/>
    <m/>
    <s v="CMC Vice Chairman; Defense Minister"/>
    <n v="10"/>
    <x v="2"/>
    <s v="COGS"/>
    <x v="0"/>
    <m/>
    <x v="0"/>
    <m/>
    <x v="1"/>
    <m/>
    <m/>
    <m/>
    <s v="Defense White Paper Appendix"/>
    <m/>
  </r>
  <r>
    <x v="1"/>
    <x v="8"/>
    <s v="Europe and Central Asia"/>
    <s v="No Specific Relationship"/>
    <s v="NATO"/>
    <x v="3"/>
    <x v="40"/>
    <x v="15"/>
    <n v="5"/>
    <x v="4"/>
    <s v="Yu Linxiang"/>
    <m/>
    <s v="Lanzhou MR Political Commissar"/>
    <n v="6"/>
    <x v="1"/>
    <m/>
    <x v="0"/>
    <m/>
    <x v="0"/>
    <m/>
    <x v="1"/>
    <m/>
    <m/>
    <m/>
    <s v="Defense White Paper Appendix"/>
    <m/>
  </r>
  <r>
    <x v="1"/>
    <x v="4"/>
    <s v="Asia"/>
    <s v="Comprehensive Cooperative Partnership [全面合作伙伴关系]"/>
    <s v="Bilateral Defense Treaty"/>
    <x v="0"/>
    <x v="25"/>
    <x v="15"/>
    <n v="5"/>
    <x v="3"/>
    <s v="Cao Gangchuan"/>
    <m/>
    <s v="CMC Vice Chairman; Defense Minister"/>
    <n v="10"/>
    <x v="2"/>
    <s v="Navy Chief of Staff"/>
    <x v="0"/>
    <m/>
    <x v="0"/>
    <m/>
    <x v="1"/>
    <m/>
    <m/>
    <m/>
    <s v="Defense White Paper Appendix"/>
    <m/>
  </r>
  <r>
    <x v="1"/>
    <x v="8"/>
    <s v="Europe and Central Asia"/>
    <s v="Comprehensive Strategic Partnership [全面战略伙伴关系]"/>
    <s v="NATO"/>
    <x v="3"/>
    <x v="70"/>
    <x v="15"/>
    <n v="5"/>
    <x v="3"/>
    <s v="Ma Xiaotian"/>
    <m/>
    <s v="GSD DCGS"/>
    <n v="6"/>
    <x v="2"/>
    <s v="Chief of Air Staff"/>
    <x v="0"/>
    <m/>
    <x v="0"/>
    <m/>
    <x v="1"/>
    <m/>
    <m/>
    <m/>
    <s v="Defense White Paper Appendix"/>
    <m/>
  </r>
  <r>
    <x v="1"/>
    <x v="1"/>
    <s v="Asia"/>
    <s v="No Specific Relationship"/>
    <s v="Bilateral Defense Treaty"/>
    <x v="0"/>
    <x v="5"/>
    <x v="15"/>
    <n v="5"/>
    <x v="3"/>
    <s v="Cao Gangchuan"/>
    <m/>
    <s v="CMC Vice Chairman; Defense Minister"/>
    <n v="10"/>
    <x v="2"/>
    <s v="Supreme Commander Armed Forces"/>
    <x v="0"/>
    <m/>
    <x v="0"/>
    <m/>
    <x v="1"/>
    <m/>
    <m/>
    <m/>
    <s v="Defense White Paper Appendix"/>
    <m/>
  </r>
  <r>
    <x v="1"/>
    <x v="2"/>
    <s v="America and Oceania"/>
    <s v="No Specific Relationship"/>
    <s v="N/A"/>
    <x v="2"/>
    <x v="4"/>
    <x v="15"/>
    <n v="5"/>
    <x v="3"/>
    <s v="Cao Gangchuan"/>
    <m/>
    <s v="CMC Vice Chairman; Defense Minister"/>
    <n v="10"/>
    <x v="2"/>
    <s v="PACOM Commander"/>
    <x v="0"/>
    <m/>
    <x v="0"/>
    <m/>
    <x v="1"/>
    <m/>
    <m/>
    <m/>
    <s v="Defense White Paper Appendix"/>
    <m/>
  </r>
  <r>
    <x v="1"/>
    <x v="8"/>
    <s v="Europe and Central Asia"/>
    <s v="No Specific Relationship"/>
    <s v="NATO"/>
    <x v="3"/>
    <x v="108"/>
    <x v="15"/>
    <n v="6"/>
    <x v="4"/>
    <s v="Chen Bingde"/>
    <m/>
    <s v="GAD Director; CMC Member"/>
    <n v="8"/>
    <x v="1"/>
    <m/>
    <x v="0"/>
    <m/>
    <x v="0"/>
    <m/>
    <x v="1"/>
    <m/>
    <m/>
    <m/>
    <s v="Defense White Paper Appendix"/>
    <m/>
  </r>
  <r>
    <x v="1"/>
    <x v="10"/>
    <s v="America and Oceania"/>
    <s v="Comprehensive Partnership [全面伙伴关系]"/>
    <s v="None"/>
    <x v="5"/>
    <x v="66"/>
    <x v="15"/>
    <n v="6"/>
    <x v="3"/>
    <s v="Liang Guanglie"/>
    <m/>
    <s v="Defense Minister; CMC Member"/>
    <n v="8"/>
    <x v="2"/>
    <s v="Chief of Navy"/>
    <x v="0"/>
    <m/>
    <x v="0"/>
    <m/>
    <x v="1"/>
    <m/>
    <m/>
    <m/>
    <s v="Defense White Paper Appendix"/>
    <m/>
  </r>
  <r>
    <x v="1"/>
    <x v="9"/>
    <s v="West Asia and Africa"/>
    <s v="Strategic Cooperative Partnership [战略合作伙伴关系]"/>
    <s v="Major Non-NATO Ally"/>
    <x v="1"/>
    <x v="24"/>
    <x v="15"/>
    <n v="6"/>
    <x v="4"/>
    <s v="Zhao Keming"/>
    <m/>
    <s v="PLA NDU Political Commissar"/>
    <n v="6"/>
    <x v="1"/>
    <m/>
    <x v="0"/>
    <m/>
    <x v="0"/>
    <m/>
    <x v="1"/>
    <m/>
    <m/>
    <m/>
    <s v="Defense White Paper Appendix"/>
    <m/>
  </r>
  <r>
    <x v="1"/>
    <x v="7"/>
    <s v="West Asia and Africa"/>
    <s v="No Specific Relationship"/>
    <s v="None"/>
    <x v="4"/>
    <x v="80"/>
    <x v="15"/>
    <n v="6"/>
    <x v="3"/>
    <s v="Cao Gangchuan"/>
    <m/>
    <s v="CMC Vice Chairman; Defense Minister"/>
    <n v="10"/>
    <x v="2"/>
    <s v="Chief of General Office, Ministry of Defense"/>
    <x v="0"/>
    <m/>
    <x v="0"/>
    <m/>
    <x v="1"/>
    <m/>
    <m/>
    <m/>
    <s v="Defense White Paper Appendix"/>
    <m/>
  </r>
  <r>
    <x v="1"/>
    <x v="7"/>
    <s v="West Asia and Africa"/>
    <s v="No Specific Relationship"/>
    <s v="None"/>
    <x v="4"/>
    <x v="109"/>
    <x v="15"/>
    <n v="6"/>
    <x v="3"/>
    <s v="Cao Gangchuan"/>
    <m/>
    <s v="CMC Vice Chairman; Defense Minister"/>
    <n v="10"/>
    <x v="2"/>
    <s v="Chief of Staff Armed Forces"/>
    <x v="0"/>
    <m/>
    <x v="0"/>
    <m/>
    <x v="1"/>
    <m/>
    <m/>
    <m/>
    <s v="Defense White Paper Appendix"/>
    <m/>
  </r>
  <r>
    <x v="1"/>
    <x v="1"/>
    <s v="Asia"/>
    <s v="Strategic Cooperative Partnership [战略合作伙伴关系]"/>
    <s v="None"/>
    <x v="0"/>
    <x v="10"/>
    <x v="15"/>
    <n v="6"/>
    <x v="3"/>
    <s v="Ma Xiaotian"/>
    <m/>
    <s v="GSD DCGS"/>
    <n v="6"/>
    <x v="2"/>
    <s v="Navy Commander"/>
    <x v="0"/>
    <m/>
    <x v="0"/>
    <m/>
    <x v="1"/>
    <m/>
    <m/>
    <m/>
    <s v="Defense White Paper Appendix"/>
    <m/>
  </r>
  <r>
    <x v="1"/>
    <x v="4"/>
    <s v="Asia"/>
    <s v="Bilateral Defense Treaty"/>
    <s v="None"/>
    <x v="0"/>
    <x v="9"/>
    <x v="15"/>
    <n v="6"/>
    <x v="3"/>
    <s v="Liang Guanglie"/>
    <m/>
    <s v="GSD Commander; CMC Member"/>
    <n v="8"/>
    <x v="2"/>
    <s v="KPA army commander"/>
    <x v="0"/>
    <m/>
    <x v="0"/>
    <m/>
    <x v="1"/>
    <m/>
    <m/>
    <m/>
    <s v="Defense White Paper Appendix"/>
    <m/>
  </r>
  <r>
    <x v="1"/>
    <x v="9"/>
    <s v="West Asia and Africa"/>
    <s v="No Specific Relationship"/>
    <s v="None"/>
    <x v="1"/>
    <x v="131"/>
    <x v="15"/>
    <n v="6"/>
    <x v="3"/>
    <s v="Liang Guanglie"/>
    <m/>
    <s v="GSD Commander; CMC Member"/>
    <n v="8"/>
    <x v="2"/>
    <s v="COGS"/>
    <x v="0"/>
    <m/>
    <x v="0"/>
    <m/>
    <x v="1"/>
    <m/>
    <m/>
    <m/>
    <s v="Defense White Paper Appendix"/>
    <m/>
  </r>
  <r>
    <x v="1"/>
    <x v="7"/>
    <s v="West Asia and Africa"/>
    <s v="Strategic Partnership [战略伙伴关系]"/>
    <s v="None"/>
    <x v="4"/>
    <x v="15"/>
    <x v="15"/>
    <n v="6"/>
    <x v="4"/>
    <s v="Chen Bingde"/>
    <m/>
    <s v="GAD Director; CMC Member"/>
    <n v="8"/>
    <x v="1"/>
    <m/>
    <x v="0"/>
    <m/>
    <x v="0"/>
    <m/>
    <x v="1"/>
    <m/>
    <m/>
    <m/>
    <s v="Defense White Paper Appendix"/>
    <m/>
  </r>
  <r>
    <x v="1"/>
    <x v="7"/>
    <s v="West Asia and Africa"/>
    <s v="No Specific Relationship"/>
    <s v="None"/>
    <x v="4"/>
    <x v="16"/>
    <x v="15"/>
    <n v="6"/>
    <x v="4"/>
    <m/>
    <m/>
    <s v="GLD Deputy Director"/>
    <n v="8"/>
    <x v="1"/>
    <m/>
    <x v="0"/>
    <m/>
    <x v="0"/>
    <m/>
    <x v="1"/>
    <m/>
    <m/>
    <m/>
    <s v="Defense White Paper Appendix"/>
    <s v="Updated positions with DWP"/>
  </r>
  <r>
    <x v="1"/>
    <x v="8"/>
    <s v="Europe and Central Asia"/>
    <s v="No Specific Relationship"/>
    <s v="NATO"/>
    <x v="3"/>
    <x v="38"/>
    <x v="15"/>
    <n v="6"/>
    <x v="4"/>
    <s v="Zhao Keming"/>
    <m/>
    <s v="PLA NDU Political Commissar"/>
    <n v="6"/>
    <x v="1"/>
    <m/>
    <x v="0"/>
    <m/>
    <x v="0"/>
    <m/>
    <x v="1"/>
    <m/>
    <m/>
    <m/>
    <s v="Defense White Paper Appendix"/>
    <m/>
  </r>
  <r>
    <x v="1"/>
    <x v="6"/>
    <s v="Europe and Central Asia"/>
    <s v="No Specific Relationship"/>
    <s v="None"/>
    <x v="1"/>
    <x v="55"/>
    <x v="15"/>
    <n v="6"/>
    <x v="3"/>
    <s v="Ma Xiaotian"/>
    <m/>
    <s v="GSD DCGS"/>
    <n v="6"/>
    <x v="2"/>
    <s v="First Deputy Defense Minister"/>
    <x v="0"/>
    <m/>
    <x v="0"/>
    <m/>
    <x v="1"/>
    <m/>
    <m/>
    <m/>
    <s v="Defense White Paper Appendix"/>
    <m/>
  </r>
  <r>
    <x v="1"/>
    <x v="7"/>
    <s v="West Asia and Africa"/>
    <s v="No Specific Relationship"/>
    <s v="None"/>
    <x v="4"/>
    <x v="61"/>
    <x v="15"/>
    <n v="6"/>
    <x v="4"/>
    <m/>
    <m/>
    <s v="GLD Deputy Director"/>
    <n v="8"/>
    <x v="1"/>
    <m/>
    <x v="0"/>
    <m/>
    <x v="0"/>
    <m/>
    <x v="1"/>
    <m/>
    <m/>
    <m/>
    <s v="Defense White Paper Appendix"/>
    <s v="Updated positions with DWP"/>
  </r>
  <r>
    <x v="1"/>
    <x v="5"/>
    <s v="America and Oceania"/>
    <s v="No Specific Relationship"/>
    <s v="ANZUS Treaty"/>
    <x v="0"/>
    <x v="12"/>
    <x v="15"/>
    <n v="7"/>
    <x v="3"/>
    <s v="Ge Zhenfeng"/>
    <m/>
    <s v="GSD DCGS"/>
    <n v="6"/>
    <x v="2"/>
    <s v="Chief of Special Operations"/>
    <x v="0"/>
    <m/>
    <x v="0"/>
    <m/>
    <x v="1"/>
    <m/>
    <m/>
    <m/>
    <s v="https://dlib.eastview.com/browse/doc/14707183"/>
    <m/>
  </r>
  <r>
    <x v="1"/>
    <x v="8"/>
    <s v="Europe and Central Asia"/>
    <s v="Comprehensive Partnership [全面伙伴关系]"/>
    <s v="NATO"/>
    <x v="3"/>
    <x v="22"/>
    <x v="15"/>
    <n v="7"/>
    <x v="4"/>
    <s v="Guo Boxiong"/>
    <m/>
    <s v="CMC Vice Chairman"/>
    <n v="10"/>
    <x v="1"/>
    <m/>
    <x v="0"/>
    <m/>
    <x v="0"/>
    <m/>
    <x v="1"/>
    <m/>
    <m/>
    <m/>
    <s v="Defense White Paper Appendix"/>
    <m/>
  </r>
  <r>
    <x v="1"/>
    <x v="1"/>
    <s v="Asia"/>
    <s v="Strategic Partnership [战略伙伴关系]"/>
    <s v="None"/>
    <x v="0"/>
    <x v="8"/>
    <x v="15"/>
    <n v="7"/>
    <x v="3"/>
    <s v="Ma Xiaotian"/>
    <m/>
    <s v="GSD DCGS"/>
    <n v="6"/>
    <x v="2"/>
    <s v="Chief of Army Staff"/>
    <x v="0"/>
    <m/>
    <x v="0"/>
    <m/>
    <x v="1"/>
    <m/>
    <m/>
    <m/>
    <s v="Defense White Paper Appendix"/>
    <m/>
  </r>
  <r>
    <x v="1"/>
    <x v="8"/>
    <s v="Europe and Central Asia"/>
    <s v="No Specific Relationship"/>
    <s v="None"/>
    <x v="3"/>
    <x v="78"/>
    <x v="15"/>
    <n v="7"/>
    <x v="3"/>
    <s v="Liang Guanglie"/>
    <m/>
    <s v="GSD Commander; CMC Member"/>
    <n v="8"/>
    <x v="2"/>
    <s v="Chief of Armed Forces"/>
    <x v="0"/>
    <m/>
    <x v="0"/>
    <m/>
    <x v="1"/>
    <m/>
    <m/>
    <m/>
    <s v="Defense White Paper Appendix"/>
    <m/>
  </r>
  <r>
    <x v="1"/>
    <x v="1"/>
    <s v="Asia"/>
    <s v="No Specific Relationship"/>
    <s v="Bilateral Defense Treaty"/>
    <x v="0"/>
    <x v="5"/>
    <x v="15"/>
    <n v="7"/>
    <x v="3"/>
    <s v="Ma Xiaotian"/>
    <m/>
    <s v="GSD DCGS"/>
    <n v="6"/>
    <x v="2"/>
    <s v="Air Force Commander"/>
    <x v="0"/>
    <m/>
    <x v="0"/>
    <m/>
    <x v="1"/>
    <m/>
    <m/>
    <m/>
    <s v="Defense White Paper Appendix"/>
    <m/>
  </r>
  <r>
    <x v="1"/>
    <x v="7"/>
    <s v="West Asia and Africa"/>
    <s v="Strategic Partnership [战略伙伴关系]"/>
    <s v="None"/>
    <x v="4"/>
    <x v="76"/>
    <x v="15"/>
    <n v="8"/>
    <x v="3"/>
    <s v="Xu Caihou"/>
    <m/>
    <s v="CMC Vice Chairman"/>
    <n v="10"/>
    <x v="2"/>
    <s v="Chief of Staff"/>
    <x v="0"/>
    <m/>
    <x v="0"/>
    <m/>
    <x v="1"/>
    <m/>
    <m/>
    <m/>
    <s v="Defense White Paper Appendix"/>
    <m/>
  </r>
  <r>
    <x v="1"/>
    <x v="7"/>
    <s v="West Asia and Africa"/>
    <s v="Friendly Cooperative Relationship [友好合作关系]"/>
    <s v="None"/>
    <x v="4"/>
    <x v="64"/>
    <x v="15"/>
    <n v="8"/>
    <x v="4"/>
    <s v="Qi Zhengxiang"/>
    <m/>
    <s v="Jinan MR Political Commissar"/>
    <n v="6"/>
    <x v="1"/>
    <m/>
    <x v="0"/>
    <m/>
    <x v="0"/>
    <m/>
    <x v="1"/>
    <m/>
    <m/>
    <m/>
    <s v="Defense White Paper Appendix"/>
    <m/>
  </r>
  <r>
    <x v="0"/>
    <x v="2"/>
    <s v="America and Oceania"/>
    <s v="Strategic Partnership [战略伙伴关系]"/>
    <s v="NATO"/>
    <x v="2"/>
    <x v="17"/>
    <x v="15"/>
    <n v="8"/>
    <x v="0"/>
    <m/>
    <m/>
    <m/>
    <m/>
    <x v="0"/>
    <m/>
    <x v="0"/>
    <m/>
    <x v="0"/>
    <m/>
    <x v="0"/>
    <s v="2006-08 DDG113 Qingdao"/>
    <s v="North Sea Fleet"/>
    <s v="Luhu destroyer Qingdao 113, replenishment ship Hongzehu 881"/>
    <m/>
    <m/>
  </r>
  <r>
    <x v="1"/>
    <x v="10"/>
    <s v="America and Oceania"/>
    <s v="Comprehensive Partnership [全面伙伴关系]"/>
    <s v="None"/>
    <x v="5"/>
    <x v="66"/>
    <x v="15"/>
    <n v="8"/>
    <x v="3"/>
    <s v="Xu Caihou"/>
    <m/>
    <s v="CMC Vice Chairman"/>
    <n v="10"/>
    <x v="2"/>
    <s v="Chief of Defense Staff"/>
    <x v="0"/>
    <m/>
    <x v="0"/>
    <m/>
    <x v="1"/>
    <m/>
    <m/>
    <m/>
    <s v="Defense White Paper Appendix"/>
    <m/>
  </r>
  <r>
    <x v="1"/>
    <x v="9"/>
    <s v="West Asia and Africa"/>
    <s v="Strategic Cooperative Partnership [战略合作伙伴关系]"/>
    <s v="Major Non-NATO Ally"/>
    <x v="1"/>
    <x v="24"/>
    <x v="15"/>
    <n v="8"/>
    <x v="4"/>
    <s v="Ma Xiaotian"/>
    <m/>
    <s v="GSD DCGS"/>
    <n v="6"/>
    <x v="1"/>
    <m/>
    <x v="0"/>
    <m/>
    <x v="0"/>
    <m/>
    <x v="1"/>
    <m/>
    <m/>
    <m/>
    <s v="Defense White Paper Appendix"/>
    <m/>
  </r>
  <r>
    <x v="1"/>
    <x v="8"/>
    <s v="Europe and Central Asia"/>
    <s v="No Specific Relationship"/>
    <s v="None"/>
    <x v="3"/>
    <x v="81"/>
    <x v="15"/>
    <n v="8"/>
    <x v="4"/>
    <m/>
    <m/>
    <s v="GLD Deputy Director"/>
    <n v="8"/>
    <x v="1"/>
    <m/>
    <x v="0"/>
    <m/>
    <x v="0"/>
    <m/>
    <x v="1"/>
    <m/>
    <m/>
    <m/>
    <s v="Defense White Paper Appendix"/>
    <m/>
  </r>
  <r>
    <x v="1"/>
    <x v="8"/>
    <s v="Europe and Central Asia"/>
    <s v="No Specific Relationship"/>
    <s v="NATO"/>
    <x v="3"/>
    <x v="18"/>
    <x v="15"/>
    <n v="8"/>
    <x v="4"/>
    <s v="Ma Xiaotian"/>
    <m/>
    <s v="GSD DCGS"/>
    <n v="6"/>
    <x v="1"/>
    <m/>
    <x v="0"/>
    <m/>
    <x v="0"/>
    <m/>
    <x v="1"/>
    <m/>
    <m/>
    <m/>
    <s v="Defense White Paper Appendix"/>
    <m/>
  </r>
  <r>
    <x v="2"/>
    <x v="6"/>
    <s v="Europe and Central Asia"/>
    <s v="Strategic Partnership [战略伙伴关系]"/>
    <s v="None"/>
    <x v="1"/>
    <x v="30"/>
    <x v="15"/>
    <n v="8"/>
    <x v="5"/>
    <m/>
    <m/>
    <m/>
    <m/>
    <x v="0"/>
    <m/>
    <x v="1"/>
    <s v="Tianshan-1"/>
    <x v="4"/>
    <s v="First PAP cooperation with foreign security forces"/>
    <x v="1"/>
    <m/>
    <m/>
    <m/>
    <s v="https://www.jstor.org/stable/pdf/resrep11945.11.pdf?refreqid=excelsior%3A4fac441d45c51d61db50c8bc19c2628f"/>
    <m/>
  </r>
  <r>
    <x v="1"/>
    <x v="0"/>
    <s v="Asia"/>
    <s v="Strategic Partnership [战略伙伴关系]"/>
    <s v="Major Non-NATO Ally"/>
    <x v="1"/>
    <x v="2"/>
    <x v="15"/>
    <n v="8"/>
    <x v="4"/>
    <s v="Li Yu"/>
    <m/>
    <s v="GSD Assistant Commander"/>
    <n v="5"/>
    <x v="1"/>
    <m/>
    <x v="0"/>
    <m/>
    <x v="0"/>
    <m/>
    <x v="1"/>
    <m/>
    <m/>
    <m/>
    <s v="Defense White Paper Appendix"/>
    <m/>
  </r>
  <r>
    <x v="0"/>
    <x v="1"/>
    <s v="Asia"/>
    <s v="Strategic Cooperative Partnership [战略合作伙伴关系]"/>
    <s v="Bilateral Defense Treaty"/>
    <x v="0"/>
    <x v="11"/>
    <x v="15"/>
    <n v="8"/>
    <x v="0"/>
    <m/>
    <m/>
    <m/>
    <m/>
    <x v="0"/>
    <m/>
    <x v="0"/>
    <m/>
    <x v="0"/>
    <m/>
    <x v="0"/>
    <s v="2006-08 DDG113 Qingdao"/>
    <s v="North Sea Fleet"/>
    <s v="Luhu destroyer Qingdao 113, replenishment ship Hongzehu 881"/>
    <m/>
    <m/>
  </r>
  <r>
    <x v="1"/>
    <x v="8"/>
    <s v="Europe and Central Asia"/>
    <s v="No Specific Relationship"/>
    <s v="None"/>
    <x v="3"/>
    <x v="92"/>
    <x v="15"/>
    <n v="8"/>
    <x v="4"/>
    <m/>
    <m/>
    <s v="GLD Deputy Director"/>
    <n v="8"/>
    <x v="1"/>
    <m/>
    <x v="0"/>
    <m/>
    <x v="0"/>
    <m/>
    <x v="1"/>
    <m/>
    <m/>
    <m/>
    <s v="Defense White Paper Appendix"/>
    <m/>
  </r>
  <r>
    <x v="1"/>
    <x v="7"/>
    <s v="West Asia and Africa"/>
    <s v="No Specific Relationship"/>
    <s v="None"/>
    <x v="4"/>
    <x v="16"/>
    <x v="15"/>
    <n v="8"/>
    <x v="4"/>
    <s v="Qi Zhengxiang"/>
    <m/>
    <s v="Jinan MR Political Commissar"/>
    <n v="6"/>
    <x v="1"/>
    <m/>
    <x v="0"/>
    <m/>
    <x v="0"/>
    <m/>
    <x v="1"/>
    <m/>
    <m/>
    <m/>
    <s v="Defense White Paper Appendix"/>
    <m/>
  </r>
  <r>
    <x v="1"/>
    <x v="1"/>
    <s v="Asia"/>
    <s v="No Specific Relationship"/>
    <s v="Bilateral Defense Treaty"/>
    <x v="0"/>
    <x v="5"/>
    <x v="15"/>
    <n v="8"/>
    <x v="4"/>
    <s v="Li Yu"/>
    <m/>
    <s v="GSD Assistant Commander"/>
    <n v="5"/>
    <x v="1"/>
    <m/>
    <x v="0"/>
    <m/>
    <x v="0"/>
    <m/>
    <x v="1"/>
    <m/>
    <m/>
    <m/>
    <s v="Defense White Paper Appendix"/>
    <m/>
  </r>
  <r>
    <x v="1"/>
    <x v="7"/>
    <s v="West Asia and Africa"/>
    <s v="Comprehensive Strategic Cooperative Partnership [全面战略合作伙伴关系]"/>
    <s v="None"/>
    <x v="4"/>
    <x v="96"/>
    <x v="15"/>
    <n v="8"/>
    <x v="4"/>
    <s v="Qi Zhengxiang"/>
    <m/>
    <s v="Jinan MR Political Commissar"/>
    <n v="6"/>
    <x v="1"/>
    <m/>
    <x v="0"/>
    <m/>
    <x v="0"/>
    <m/>
    <x v="1"/>
    <m/>
    <m/>
    <m/>
    <s v="Defense White Paper Appendix"/>
    <m/>
  </r>
  <r>
    <x v="1"/>
    <x v="2"/>
    <s v="America and Oceania"/>
    <s v="No Specific Relationship"/>
    <s v="N/A"/>
    <x v="2"/>
    <x v="4"/>
    <x v="15"/>
    <n v="8"/>
    <x v="3"/>
    <s v="UNK"/>
    <m/>
    <s v="North Sea Fleet Commander"/>
    <n v="6"/>
    <x v="2"/>
    <s v="PACOM Commander visit to Harbin"/>
    <x v="0"/>
    <m/>
    <x v="0"/>
    <m/>
    <x v="1"/>
    <m/>
    <m/>
    <m/>
    <s v="https://www.npr.org/templates/story/story.php?storyId=6135356 "/>
    <s v="No counterpart identified; assess North Sea Fleet Commander given Harbin location"/>
  </r>
  <r>
    <x v="0"/>
    <x v="2"/>
    <s v="America and Oceania"/>
    <s v="No Specific Relationship"/>
    <s v="N/A"/>
    <x v="2"/>
    <x v="4"/>
    <x v="15"/>
    <n v="8"/>
    <x v="0"/>
    <m/>
    <m/>
    <m/>
    <m/>
    <x v="0"/>
    <m/>
    <x v="0"/>
    <m/>
    <x v="0"/>
    <m/>
    <x v="0"/>
    <s v="2006-08 DDG113 Qingdao"/>
    <s v="North Sea Fleet"/>
    <s v="Luhu destroyer Qingdao 113, replenishment ship Hongzehu 881"/>
    <m/>
    <m/>
  </r>
  <r>
    <x v="1"/>
    <x v="5"/>
    <s v="America and Oceania"/>
    <s v="No Specific Relationship"/>
    <s v="ANZUS Treaty"/>
    <x v="0"/>
    <x v="12"/>
    <x v="15"/>
    <n v="9"/>
    <x v="4"/>
    <s v="Xu Caihou"/>
    <m/>
    <s v="CMC Vice Chairman"/>
    <n v="10"/>
    <x v="1"/>
    <m/>
    <x v="0"/>
    <m/>
    <x v="0"/>
    <m/>
    <x v="1"/>
    <m/>
    <m/>
    <m/>
    <s v="Defense White Paper Appendix"/>
    <m/>
  </r>
  <r>
    <x v="1"/>
    <x v="8"/>
    <s v="Europe and Central Asia"/>
    <s v="Strategic Partnership [战略伙伴关系]"/>
    <s v="None"/>
    <x v="3"/>
    <x v="34"/>
    <x v="15"/>
    <n v="9"/>
    <x v="4"/>
    <s v="Cao Gangchuan"/>
    <m/>
    <s v="CMC Vice Chairman; Defense Minister"/>
    <n v="10"/>
    <x v="1"/>
    <m/>
    <x v="0"/>
    <m/>
    <x v="0"/>
    <m/>
    <x v="1"/>
    <m/>
    <m/>
    <m/>
    <s v="Defense White Paper Appendix"/>
    <m/>
  </r>
  <r>
    <x v="1"/>
    <x v="10"/>
    <s v="America and Oceania"/>
    <s v="No Specific Relationship"/>
    <s v="None"/>
    <x v="5"/>
    <x v="42"/>
    <x v="15"/>
    <n v="9"/>
    <x v="3"/>
    <s v="Cao Gangchuan"/>
    <m/>
    <s v="CMC Vice Chairman; Defense Minister"/>
    <n v="10"/>
    <x v="2"/>
    <s v="Defense Minister"/>
    <x v="0"/>
    <m/>
    <x v="0"/>
    <m/>
    <x v="1"/>
    <m/>
    <m/>
    <m/>
    <s v="Defense White Paper Appendix"/>
    <m/>
  </r>
  <r>
    <x v="1"/>
    <x v="10"/>
    <s v="America and Oceania"/>
    <s v="Comprehensive Strategic Partnership [全面战略伙伴关系]"/>
    <s v="None"/>
    <x v="5"/>
    <x v="43"/>
    <x v="15"/>
    <n v="9"/>
    <x v="4"/>
    <s v="Sun Dafa"/>
    <m/>
    <s v="GLD Political Commissar"/>
    <n v="6"/>
    <x v="1"/>
    <m/>
    <x v="0"/>
    <m/>
    <x v="0"/>
    <m/>
    <x v="1"/>
    <m/>
    <m/>
    <m/>
    <s v="Defense White Paper Appendix"/>
    <m/>
  </r>
  <r>
    <x v="1"/>
    <x v="8"/>
    <s v="Europe and Central Asia"/>
    <s v="No Specific Relationship"/>
    <s v="NATO"/>
    <x v="3"/>
    <x v="79"/>
    <x v="15"/>
    <n v="9"/>
    <x v="4"/>
    <s v="Cao Gangchuan"/>
    <m/>
    <s v="CMC Vice Chairman; Defense Minister"/>
    <n v="10"/>
    <x v="1"/>
    <m/>
    <x v="0"/>
    <m/>
    <x v="0"/>
    <m/>
    <x v="1"/>
    <m/>
    <m/>
    <m/>
    <s v="Defense White Paper Appendix"/>
    <m/>
  </r>
  <r>
    <x v="1"/>
    <x v="7"/>
    <s v="West Asia and Africa"/>
    <s v="No Specific Relationship"/>
    <s v="None"/>
    <x v="4"/>
    <x v="132"/>
    <x v="15"/>
    <n v="9"/>
    <x v="3"/>
    <s v="Guo Boxiong"/>
    <m/>
    <s v="CMC Vice Chairman"/>
    <n v="10"/>
    <x v="2"/>
    <s v="Chief of Staff Armed Forces"/>
    <x v="0"/>
    <m/>
    <x v="0"/>
    <m/>
    <x v="1"/>
    <m/>
    <m/>
    <m/>
    <s v="Defense White Paper Appendix"/>
    <m/>
  </r>
  <r>
    <x v="1"/>
    <x v="10"/>
    <s v="America and Oceania"/>
    <s v="Comprehensive Partnership [全面伙伴关系]"/>
    <s v="None"/>
    <x v="5"/>
    <x v="66"/>
    <x v="15"/>
    <n v="9"/>
    <x v="4"/>
    <s v="Sun Dafa"/>
    <m/>
    <s v="GLD Political Commissar"/>
    <n v="6"/>
    <x v="1"/>
    <m/>
    <x v="0"/>
    <m/>
    <x v="0"/>
    <m/>
    <x v="1"/>
    <m/>
    <m/>
    <m/>
    <s v="Defense White Paper Appendix"/>
    <m/>
  </r>
  <r>
    <x v="1"/>
    <x v="10"/>
    <s v="America and Oceania"/>
    <s v="No Specific Relationship"/>
    <s v="None"/>
    <x v="5"/>
    <x v="45"/>
    <x v="15"/>
    <n v="9"/>
    <x v="4"/>
    <s v="Li Qianyuan"/>
    <m/>
    <s v="Lanzhou MR Commander"/>
    <n v="6"/>
    <x v="1"/>
    <m/>
    <x v="0"/>
    <m/>
    <x v="0"/>
    <m/>
    <x v="1"/>
    <m/>
    <m/>
    <m/>
    <s v="Defense White Paper Appendix"/>
    <m/>
  </r>
  <r>
    <x v="1"/>
    <x v="9"/>
    <s v="West Asia and Africa"/>
    <s v="Strategic Cooperative Partnership [战略合作伙伴关系]"/>
    <s v="Major Non-NATO Ally"/>
    <x v="1"/>
    <x v="24"/>
    <x v="15"/>
    <n v="9"/>
    <x v="4"/>
    <s v="Zheng Shenxia"/>
    <m/>
    <s v="AMS President"/>
    <n v="6"/>
    <x v="1"/>
    <m/>
    <x v="0"/>
    <m/>
    <x v="0"/>
    <m/>
    <x v="1"/>
    <m/>
    <m/>
    <m/>
    <s v="Defense White Paper Appendix"/>
    <m/>
  </r>
  <r>
    <x v="1"/>
    <x v="8"/>
    <s v="Europe and Central Asia"/>
    <s v="No Specific Relationship"/>
    <s v="None"/>
    <x v="3"/>
    <x v="81"/>
    <x v="15"/>
    <n v="9"/>
    <x v="4"/>
    <s v="Li Jinai"/>
    <m/>
    <s v="GPD Director; CMC Member"/>
    <n v="8"/>
    <x v="1"/>
    <m/>
    <x v="0"/>
    <m/>
    <x v="0"/>
    <m/>
    <x v="1"/>
    <m/>
    <m/>
    <m/>
    <s v="Defense White Paper Appendix"/>
    <m/>
  </r>
  <r>
    <x v="1"/>
    <x v="7"/>
    <s v="West Asia and Africa"/>
    <s v="No Specific Relationship"/>
    <s v="None"/>
    <x v="4"/>
    <x v="67"/>
    <x v="15"/>
    <n v="9"/>
    <x v="3"/>
    <s v="Cao Gangchuan"/>
    <m/>
    <s v="CMC Vice Chairman; Defense Minister"/>
    <n v="10"/>
    <x v="2"/>
    <s v="Minister of State for Defense"/>
    <x v="0"/>
    <m/>
    <x v="0"/>
    <m/>
    <x v="1"/>
    <m/>
    <m/>
    <m/>
    <s v="Defense White Paper Appendix"/>
    <m/>
  </r>
  <r>
    <x v="1"/>
    <x v="8"/>
    <s v="Europe and Central Asia"/>
    <s v="Comprehensive Strategic Partnership [全面战略伙伴关系]"/>
    <s v="NATO"/>
    <x v="3"/>
    <x v="29"/>
    <x v="15"/>
    <n v="9"/>
    <x v="4"/>
    <s v="Li Jinai"/>
    <m/>
    <s v="GPD Director; CMC Member"/>
    <n v="8"/>
    <x v="1"/>
    <m/>
    <x v="0"/>
    <m/>
    <x v="0"/>
    <m/>
    <x v="1"/>
    <m/>
    <m/>
    <m/>
    <s v="Defense White Paper Appendix"/>
    <m/>
  </r>
  <r>
    <x v="1"/>
    <x v="8"/>
    <s v="Europe and Central Asia"/>
    <s v="No Specific Relationship"/>
    <s v="NATO"/>
    <x v="3"/>
    <x v="82"/>
    <x v="15"/>
    <n v="9"/>
    <x v="4"/>
    <s v="Cao Gangchuan"/>
    <m/>
    <s v="CMC Vice Chairman; Defense Minister"/>
    <n v="10"/>
    <x v="1"/>
    <m/>
    <x v="0"/>
    <m/>
    <x v="0"/>
    <m/>
    <x v="1"/>
    <m/>
    <m/>
    <m/>
    <s v="Defense White Paper Appendix"/>
    <m/>
  </r>
  <r>
    <x v="1"/>
    <x v="7"/>
    <s v="West Asia and Africa"/>
    <s v="No Specific Relationship"/>
    <s v="None"/>
    <x v="4"/>
    <x v="115"/>
    <x v="15"/>
    <n v="9"/>
    <x v="3"/>
    <s v="Cao Gangchuan"/>
    <m/>
    <s v="CMC Vice Chairman; Defense Minister"/>
    <n v="6"/>
    <x v="2"/>
    <s v="Defense Minister"/>
    <x v="0"/>
    <m/>
    <x v="0"/>
    <m/>
    <x v="1"/>
    <m/>
    <m/>
    <m/>
    <s v="https://dlib.eastview.com/browse/doc/14711783"/>
    <m/>
  </r>
  <r>
    <x v="1"/>
    <x v="2"/>
    <s v="America and Oceania"/>
    <s v="Strategic Cooperative Partnership [战略合作伙伴关系]"/>
    <s v="None"/>
    <x v="2"/>
    <x v="77"/>
    <x v="15"/>
    <n v="9"/>
    <x v="4"/>
    <s v="Huang Xianzhong"/>
    <m/>
    <s v="Shenyang MR Political Commissar"/>
    <n v="6"/>
    <x v="1"/>
    <m/>
    <x v="0"/>
    <m/>
    <x v="0"/>
    <m/>
    <x v="1"/>
    <m/>
    <m/>
    <m/>
    <s v="Defense White Paper Appendix"/>
    <m/>
  </r>
  <r>
    <x v="1"/>
    <x v="5"/>
    <s v="America and Oceania"/>
    <s v="No Specific Relationship"/>
    <s v="ANZUS Treaty"/>
    <x v="0"/>
    <x v="13"/>
    <x v="15"/>
    <n v="9"/>
    <x v="4"/>
    <s v="Xu Caihou"/>
    <m/>
    <s v="CMC Vice Chairman"/>
    <n v="10"/>
    <x v="1"/>
    <m/>
    <x v="0"/>
    <m/>
    <x v="0"/>
    <m/>
    <x v="1"/>
    <m/>
    <m/>
    <m/>
    <s v="Defense White Paper Appendix"/>
    <m/>
  </r>
  <r>
    <x v="1"/>
    <x v="10"/>
    <s v="America and Oceania"/>
    <s v="Comprehensive Partnership [全面伙伴关系]"/>
    <s v="None"/>
    <x v="5"/>
    <x v="54"/>
    <x v="15"/>
    <n v="9"/>
    <x v="3"/>
    <s v="Liang Guanglie"/>
    <m/>
    <s v="GSD Commander; CMC Member"/>
    <n v="8"/>
    <x v="2"/>
    <s v="Air Force Commander"/>
    <x v="0"/>
    <m/>
    <x v="0"/>
    <m/>
    <x v="1"/>
    <m/>
    <m/>
    <m/>
    <s v="Defense White Paper Appendix"/>
    <m/>
  </r>
  <r>
    <x v="1"/>
    <x v="8"/>
    <s v="Europe and Central Asia"/>
    <s v="Comprehensive Friendly Cooperative Partnership [全面友好合作伙伴关系]"/>
    <s v="NATO"/>
    <x v="3"/>
    <x v="33"/>
    <x v="15"/>
    <n v="9"/>
    <x v="4"/>
    <s v="Cao Gangchuan"/>
    <m/>
    <s v="CMC Vice Chairman; Defense Minister"/>
    <n v="10"/>
    <x v="1"/>
    <m/>
    <x v="0"/>
    <m/>
    <x v="0"/>
    <m/>
    <x v="1"/>
    <m/>
    <m/>
    <m/>
    <s v="Defense White Paper Appendix"/>
    <m/>
  </r>
  <r>
    <x v="1"/>
    <x v="7"/>
    <s v="West Asia and Africa"/>
    <s v="Strategic Partnership [战略伙伴关系]"/>
    <s v="None"/>
    <x v="4"/>
    <x v="15"/>
    <x v="15"/>
    <n v="9"/>
    <x v="4"/>
    <s v="Zheng Shenxia"/>
    <m/>
    <s v="AMS President"/>
    <n v="6"/>
    <x v="1"/>
    <m/>
    <x v="0"/>
    <m/>
    <x v="0"/>
    <m/>
    <x v="1"/>
    <m/>
    <m/>
    <m/>
    <s v="Defense White Paper Appendix"/>
    <m/>
  </r>
  <r>
    <x v="2"/>
    <x v="6"/>
    <s v="Europe and Central Asia"/>
    <s v="No Specific Relationship"/>
    <s v="None"/>
    <x v="1"/>
    <x v="60"/>
    <x v="15"/>
    <n v="9"/>
    <x v="5"/>
    <m/>
    <m/>
    <m/>
    <m/>
    <x v="0"/>
    <m/>
    <x v="1"/>
    <s v="Coordination-2006"/>
    <x v="1"/>
    <s v="First joint anti-terrorism military exercise; in Tajikistan; 450 troops; TJ artillery, infantry, airborne; PLA reinforced company of 150+ troops"/>
    <x v="1"/>
    <m/>
    <m/>
    <m/>
    <s v="Defense White Paper Appendix; de Haas Journal of Slavic Military Studies 29:3 (2016)"/>
    <s v="Miscoded as 2005 exercise in previous DB"/>
  </r>
  <r>
    <x v="1"/>
    <x v="6"/>
    <s v="Europe and Central Asia"/>
    <s v="No Specific Relationship"/>
    <s v="None"/>
    <x v="1"/>
    <x v="60"/>
    <x v="15"/>
    <n v="9"/>
    <x v="4"/>
    <s v="Ma Xiaotian"/>
    <m/>
    <s v="GSD DCGS"/>
    <n v="6"/>
    <x v="1"/>
    <m/>
    <x v="0"/>
    <m/>
    <x v="0"/>
    <m/>
    <x v="1"/>
    <m/>
    <m/>
    <m/>
    <s v="Defense White Paper Appendix"/>
    <m/>
  </r>
  <r>
    <x v="1"/>
    <x v="10"/>
    <s v="America and Oceania"/>
    <s v="No Specific Relationship"/>
    <s v="None"/>
    <x v="5"/>
    <x v="107"/>
    <x v="15"/>
    <n v="9"/>
    <x v="3"/>
    <s v="Liang Guanglie"/>
    <m/>
    <s v="Defense Minister; CMC Member"/>
    <n v="8"/>
    <x v="2"/>
    <s v="Commander of Army and Navy"/>
    <x v="0"/>
    <m/>
    <x v="0"/>
    <m/>
    <x v="1"/>
    <m/>
    <m/>
    <m/>
    <s v="Defense White Paper Appendix"/>
    <m/>
  </r>
  <r>
    <x v="1"/>
    <x v="0"/>
    <s v="Europe and Central Asia"/>
    <s v="Comprehensive Cooperative Partnership [全面合作伙伴关系]"/>
    <s v="Major Non-NATO Ally"/>
    <x v="1"/>
    <x v="123"/>
    <x v="15"/>
    <n v="10"/>
    <x v="3"/>
    <s v="Cao Gangchuan"/>
    <m/>
    <s v="CMC Vice Chairman; Defense Minister"/>
    <n v="10"/>
    <x v="2"/>
    <s v="Defense Minister"/>
    <x v="0"/>
    <m/>
    <x v="0"/>
    <m/>
    <x v="1"/>
    <m/>
    <m/>
    <m/>
    <s v="Defense White Paper Appendix"/>
    <m/>
  </r>
  <r>
    <x v="1"/>
    <x v="7"/>
    <s v="West Asia and Africa"/>
    <s v="Strategic Partnership [战略伙伴关系]"/>
    <s v="None"/>
    <x v="4"/>
    <x v="76"/>
    <x v="15"/>
    <n v="10"/>
    <x v="4"/>
    <s v="Chi Wanchun"/>
    <m/>
    <s v="GAD Political Commissar"/>
    <n v="6"/>
    <x v="1"/>
    <m/>
    <x v="0"/>
    <m/>
    <x v="0"/>
    <m/>
    <x v="1"/>
    <m/>
    <m/>
    <m/>
    <s v="Defense White Paper Appendix"/>
    <m/>
  </r>
  <r>
    <x v="1"/>
    <x v="5"/>
    <s v="America and Oceania"/>
    <s v="No Specific Relationship"/>
    <s v="ANZUS Treaty"/>
    <x v="0"/>
    <x v="12"/>
    <x v="15"/>
    <n v="10"/>
    <x v="3"/>
    <s v="Cao Gangchuan"/>
    <m/>
    <s v="CMC Vice Chairman; Defense Minister"/>
    <n v="10"/>
    <x v="2"/>
    <s v="Chief of Army"/>
    <x v="0"/>
    <m/>
    <x v="0"/>
    <m/>
    <x v="1"/>
    <m/>
    <m/>
    <m/>
    <s v="Defense White Paper Appendix"/>
    <m/>
  </r>
  <r>
    <x v="1"/>
    <x v="1"/>
    <s v="Asia"/>
    <s v="Comprehensive Cooperative Partnership [全面合作伙伴关系]"/>
    <s v="None"/>
    <x v="0"/>
    <x v="94"/>
    <x v="15"/>
    <n v="10"/>
    <x v="4"/>
    <s v="Liang Guanglie"/>
    <m/>
    <s v="GSD Commander; CMC Member"/>
    <n v="8"/>
    <x v="1"/>
    <m/>
    <x v="0"/>
    <m/>
    <x v="0"/>
    <m/>
    <x v="1"/>
    <m/>
    <m/>
    <m/>
    <s v="Defense White Paper Appendix"/>
    <m/>
  </r>
  <r>
    <x v="1"/>
    <x v="7"/>
    <s v="West Asia and Africa"/>
    <s v="No Specific Relationship"/>
    <s v="None"/>
    <x v="4"/>
    <x v="133"/>
    <x v="15"/>
    <n v="10"/>
    <x v="3"/>
    <s v="Cao Gangchuan"/>
    <m/>
    <s v="CMC Vice Chairman; Defense Minister"/>
    <n v="10"/>
    <x v="2"/>
    <s v="Defense Minister"/>
    <x v="0"/>
    <m/>
    <x v="0"/>
    <m/>
    <x v="1"/>
    <m/>
    <m/>
    <m/>
    <s v="Defense White Paper Appendix"/>
    <m/>
  </r>
  <r>
    <x v="1"/>
    <x v="8"/>
    <s v="Europe and Central Asia"/>
    <s v="No Specific Relationship"/>
    <s v="NATO"/>
    <x v="3"/>
    <x v="134"/>
    <x v="15"/>
    <n v="10"/>
    <x v="3"/>
    <s v="Zhang Li"/>
    <m/>
    <s v="GSD DCGS"/>
    <n v="8"/>
    <x v="2"/>
    <s v="Defense Minister"/>
    <x v="0"/>
    <m/>
    <x v="0"/>
    <m/>
    <x v="1"/>
    <m/>
    <m/>
    <m/>
    <s v="https://dlib.eastview.com/browse/doc/14697011"/>
    <m/>
  </r>
  <r>
    <x v="1"/>
    <x v="8"/>
    <s v="Europe and Central Asia"/>
    <s v="No Specific Relationship"/>
    <s v="NATO"/>
    <x v="3"/>
    <x v="18"/>
    <x v="15"/>
    <n v="10"/>
    <x v="3"/>
    <s v="Cao Gangchuan"/>
    <m/>
    <s v="CMC Vice Chairman; Defense Minister"/>
    <n v="10"/>
    <x v="2"/>
    <s v="Inspector General of Armed Forces"/>
    <x v="0"/>
    <m/>
    <x v="0"/>
    <m/>
    <x v="1"/>
    <m/>
    <m/>
    <m/>
    <s v="Defense White Paper Appendix"/>
    <m/>
  </r>
  <r>
    <x v="1"/>
    <x v="0"/>
    <s v="Asia"/>
    <s v="Strategic Partnership for Peace and Prosperity [战略伙伴关系]"/>
    <s v="None"/>
    <x v="0"/>
    <x v="6"/>
    <x v="15"/>
    <n v="10"/>
    <x v="4"/>
    <s v="Qiao Qingchen"/>
    <m/>
    <s v="PLAAF Commander; CMC Member"/>
    <n v="8"/>
    <x v="1"/>
    <m/>
    <x v="0"/>
    <m/>
    <x v="0"/>
    <m/>
    <x v="1"/>
    <m/>
    <m/>
    <m/>
    <s v="Defense White Paper Appendix"/>
    <m/>
  </r>
  <r>
    <x v="1"/>
    <x v="7"/>
    <s v="West Asia and Africa"/>
    <s v="No Specific Relationship"/>
    <s v="None"/>
    <x v="4"/>
    <x v="47"/>
    <x v="15"/>
    <n v="10"/>
    <x v="3"/>
    <s v="Cao Gangchuan"/>
    <m/>
    <s v="CMC Vice Chairman; Defense Minister"/>
    <n v="8"/>
    <x v="2"/>
    <s v="COGS"/>
    <x v="0"/>
    <m/>
    <x v="0"/>
    <m/>
    <x v="1"/>
    <m/>
    <m/>
    <m/>
    <s v="https://dlib.eastview.com/browse/doc/14715624"/>
    <m/>
  </r>
  <r>
    <x v="1"/>
    <x v="1"/>
    <s v="Asia"/>
    <s v="Comprehensive Cooperative Partnership [全面合作伙伴关系]"/>
    <s v="None"/>
    <x v="0"/>
    <x v="52"/>
    <x v="15"/>
    <n v="10"/>
    <x v="4"/>
    <s v="Liang Guanglie"/>
    <m/>
    <s v="GSD Commander; CMC Member"/>
    <n v="8"/>
    <x v="1"/>
    <m/>
    <x v="0"/>
    <m/>
    <x v="0"/>
    <m/>
    <x v="1"/>
    <m/>
    <m/>
    <m/>
    <s v="Defense White Paper Appendix"/>
    <m/>
  </r>
  <r>
    <x v="1"/>
    <x v="1"/>
    <s v="Asia"/>
    <s v="No Specific Relationship"/>
    <s v="None"/>
    <x v="0"/>
    <x v="1"/>
    <x v="15"/>
    <n v="10"/>
    <x v="4"/>
    <s v="Liang Guanglie"/>
    <m/>
    <s v="GSD Commander; CMC Member"/>
    <n v="8"/>
    <x v="1"/>
    <m/>
    <x v="0"/>
    <m/>
    <x v="0"/>
    <m/>
    <x v="1"/>
    <m/>
    <m/>
    <m/>
    <s v="Defense White Paper Appendix"/>
    <m/>
  </r>
  <r>
    <x v="1"/>
    <x v="7"/>
    <s v="West Asia and Africa"/>
    <s v="No Specific Relationship"/>
    <s v="None"/>
    <x v="4"/>
    <x v="69"/>
    <x v="15"/>
    <n v="10"/>
    <x v="4"/>
    <s v="Chi Wanchun"/>
    <m/>
    <s v="GAD Political Commissar"/>
    <n v="6"/>
    <x v="1"/>
    <m/>
    <x v="0"/>
    <m/>
    <x v="0"/>
    <m/>
    <x v="1"/>
    <m/>
    <m/>
    <m/>
    <s v="Defense White Paper Appendix"/>
    <m/>
  </r>
  <r>
    <x v="1"/>
    <x v="5"/>
    <s v="America and Oceania"/>
    <s v="No Specific Relationship"/>
    <s v="ANZUS Treaty"/>
    <x v="0"/>
    <x v="13"/>
    <x v="15"/>
    <n v="10"/>
    <x v="3"/>
    <s v="Cao Gangchuan"/>
    <m/>
    <s v="CMC Vice Chairman; Defense Minister"/>
    <n v="6"/>
    <x v="2"/>
    <s v="Chief of Defense Forces"/>
    <x v="0"/>
    <m/>
    <x v="0"/>
    <m/>
    <x v="1"/>
    <m/>
    <m/>
    <m/>
    <s v="https://dlib.eastview.com/browse/doc/14688205"/>
    <m/>
  </r>
  <r>
    <x v="1"/>
    <x v="0"/>
    <s v="Asia"/>
    <s v="Strategic Partnership [战略伙伴关系]"/>
    <s v="Major Non-NATO Ally"/>
    <x v="1"/>
    <x v="2"/>
    <x v="15"/>
    <n v="10"/>
    <x v="4"/>
    <s v="Qiao Qingchen"/>
    <m/>
    <s v="PLAAF Commander; CMC Member"/>
    <n v="8"/>
    <x v="1"/>
    <m/>
    <x v="0"/>
    <m/>
    <x v="0"/>
    <m/>
    <x v="1"/>
    <m/>
    <m/>
    <m/>
    <s v="Defense White Paper Appendix"/>
    <m/>
  </r>
  <r>
    <x v="1"/>
    <x v="3"/>
    <s v="Europe and Central Asia"/>
    <s v="Strategic Partnership of Coordination [战略协作伙伴关系]"/>
    <s v="None"/>
    <x v="3"/>
    <x v="7"/>
    <x v="15"/>
    <n v="10"/>
    <x v="4"/>
    <s v="Li Yu"/>
    <m/>
    <s v="GSD Assistant Commander"/>
    <n v="5"/>
    <x v="1"/>
    <m/>
    <x v="0"/>
    <m/>
    <x v="0"/>
    <m/>
    <x v="1"/>
    <m/>
    <m/>
    <m/>
    <s v="Defense White Paper Appendix"/>
    <m/>
  </r>
  <r>
    <x v="1"/>
    <x v="1"/>
    <s v="Asia"/>
    <s v="No Specific Relationship"/>
    <s v="Bilateral Defense Treaty"/>
    <x v="0"/>
    <x v="5"/>
    <x v="15"/>
    <n v="10"/>
    <x v="4"/>
    <s v="Liang Guanglie"/>
    <m/>
    <s v="GSD Commander; CMC Member"/>
    <n v="8"/>
    <x v="1"/>
    <m/>
    <x v="0"/>
    <m/>
    <x v="0"/>
    <m/>
    <x v="1"/>
    <m/>
    <m/>
    <m/>
    <s v="Defense White Paper Appendix"/>
    <m/>
  </r>
  <r>
    <x v="1"/>
    <x v="8"/>
    <s v="Europe and Central Asia"/>
    <s v="No Specific Relationship"/>
    <s v="NATO"/>
    <x v="3"/>
    <x v="38"/>
    <x v="15"/>
    <n v="10"/>
    <x v="4"/>
    <s v="Qiao Qingchen"/>
    <m/>
    <s v="PLAAF Commander; CMC Member"/>
    <n v="8"/>
    <x v="1"/>
    <m/>
    <x v="0"/>
    <m/>
    <x v="0"/>
    <m/>
    <x v="1"/>
    <m/>
    <m/>
    <m/>
    <s v="Defense White Paper Appendix"/>
    <m/>
  </r>
  <r>
    <x v="1"/>
    <x v="1"/>
    <s v="Asia"/>
    <s v="No Specific Relationship"/>
    <s v="None"/>
    <x v="0"/>
    <x v="23"/>
    <x v="15"/>
    <n v="10"/>
    <x v="3"/>
    <s v="Cao Gangchuan"/>
    <m/>
    <s v="CMC Vice Chairman; Defense Minister"/>
    <n v="10"/>
    <x v="2"/>
    <s v="Chief of General Political Department"/>
    <x v="0"/>
    <m/>
    <x v="0"/>
    <m/>
    <x v="1"/>
    <m/>
    <m/>
    <m/>
    <s v="Defense White Paper Appendix"/>
    <m/>
  </r>
  <r>
    <x v="1"/>
    <x v="9"/>
    <s v="West Asia and Africa"/>
    <s v="Strategic Cooperative Partnership [战略合作伙伴关系]"/>
    <s v="Major Non-NATO Ally"/>
    <x v="1"/>
    <x v="24"/>
    <x v="15"/>
    <n v="11"/>
    <x v="4"/>
    <s v="Li Jinai"/>
    <m/>
    <s v="GPD Deputy Director"/>
    <n v="8"/>
    <x v="1"/>
    <m/>
    <x v="0"/>
    <m/>
    <x v="0"/>
    <m/>
    <x v="1"/>
    <m/>
    <m/>
    <m/>
    <s v="Defense White Paper Appendix"/>
    <m/>
  </r>
  <r>
    <x v="1"/>
    <x v="5"/>
    <s v="America and Oceania"/>
    <s v="No Specific Relationship"/>
    <s v="ANZUS Treaty"/>
    <x v="0"/>
    <x v="13"/>
    <x v="15"/>
    <n v="11"/>
    <x v="3"/>
    <s v="Cao Gangchuan"/>
    <m/>
    <s v="CMC Vice Chairman; Defense Minister"/>
    <n v="10"/>
    <x v="2"/>
    <s v="Defense Minister"/>
    <x v="0"/>
    <m/>
    <x v="0"/>
    <m/>
    <x v="1"/>
    <m/>
    <m/>
    <m/>
    <s v="Defense White Paper Appendix"/>
    <m/>
  </r>
  <r>
    <x v="1"/>
    <x v="8"/>
    <s v="Europe and Central Asia"/>
    <s v="Comprehensive Friendly Cooperative Partnership [全面友好合作伙伴关系]"/>
    <s v="NATO"/>
    <x v="3"/>
    <x v="33"/>
    <x v="15"/>
    <n v="11"/>
    <x v="3"/>
    <s v="Xu Caihou"/>
    <m/>
    <s v="CMC Vice Chairman"/>
    <n v="10"/>
    <x v="2"/>
    <s v="DCOGS"/>
    <x v="0"/>
    <m/>
    <x v="0"/>
    <m/>
    <x v="1"/>
    <m/>
    <m/>
    <m/>
    <s v="Defense White Paper Appendix"/>
    <m/>
  </r>
  <r>
    <x v="1"/>
    <x v="8"/>
    <s v="Europe and Central Asia"/>
    <s v="No Specific Relationship"/>
    <s v="NATO"/>
    <x v="3"/>
    <x v="40"/>
    <x v="15"/>
    <n v="11"/>
    <x v="3"/>
    <s v="Cao Gangchuan"/>
    <m/>
    <s v="CMC Vice Chairman; Defense Minister"/>
    <n v="10"/>
    <x v="2"/>
    <s v="COGS"/>
    <x v="0"/>
    <m/>
    <x v="0"/>
    <m/>
    <x v="1"/>
    <m/>
    <m/>
    <m/>
    <s v="Defense White Paper Appendix"/>
    <m/>
  </r>
  <r>
    <x v="1"/>
    <x v="7"/>
    <s v="West Asia and Africa"/>
    <s v="No Specific Relationship"/>
    <s v="Major Non-NATO Ally"/>
    <x v="4"/>
    <x v="85"/>
    <x v="15"/>
    <n v="11"/>
    <x v="4"/>
    <s v="Ma Xiaotian"/>
    <m/>
    <s v="GSD DCGS"/>
    <n v="6"/>
    <x v="1"/>
    <m/>
    <x v="0"/>
    <m/>
    <x v="0"/>
    <m/>
    <x v="1"/>
    <m/>
    <m/>
    <m/>
    <s v="Defense White Paper Appendix"/>
    <m/>
  </r>
  <r>
    <x v="1"/>
    <x v="7"/>
    <s v="West Asia and Africa"/>
    <s v="No Specific Relationship"/>
    <s v="None"/>
    <x v="4"/>
    <x v="97"/>
    <x v="15"/>
    <n v="11"/>
    <x v="4"/>
    <s v="Li Jinai"/>
    <m/>
    <s v="GPD Deputy Director"/>
    <n v="8"/>
    <x v="1"/>
    <m/>
    <x v="0"/>
    <m/>
    <x v="0"/>
    <m/>
    <x v="1"/>
    <m/>
    <m/>
    <m/>
    <s v="Defense White Paper Appendix"/>
    <m/>
  </r>
  <r>
    <x v="2"/>
    <x v="2"/>
    <s v="America and Oceania"/>
    <s v="No Specific Relationship"/>
    <s v="N/A"/>
    <x v="2"/>
    <x v="4"/>
    <x v="15"/>
    <n v="11"/>
    <x v="5"/>
    <m/>
    <m/>
    <m/>
    <m/>
    <x v="0"/>
    <m/>
    <x v="2"/>
    <s v="Unknown"/>
    <x v="2"/>
    <s v="SAREX"/>
    <x v="1"/>
    <m/>
    <m/>
    <m/>
    <s v="Defense White Paper Appendix"/>
    <m/>
  </r>
  <r>
    <x v="1"/>
    <x v="9"/>
    <s v="West Asia and Africa"/>
    <s v="No Specific Relationship"/>
    <s v="None"/>
    <x v="1"/>
    <x v="135"/>
    <x v="15"/>
    <n v="11"/>
    <x v="4"/>
    <s v="Ma Xiaotian"/>
    <m/>
    <s v="GSD DCGS"/>
    <n v="6"/>
    <x v="1"/>
    <m/>
    <x v="0"/>
    <m/>
    <x v="0"/>
    <m/>
    <x v="1"/>
    <m/>
    <m/>
    <m/>
    <s v="Defense White Paper Appendix"/>
    <m/>
  </r>
  <r>
    <x v="1"/>
    <x v="10"/>
    <s v="America and Oceania"/>
    <s v="Strategic Partnership [战略伙伴关系]"/>
    <s v="Major Non-NATO Ally"/>
    <x v="5"/>
    <x v="62"/>
    <x v="15"/>
    <n v="12"/>
    <x v="4"/>
    <s v="Jing Zhiyuan"/>
    <m/>
    <s v="PLASAF Commander; CMC Member"/>
    <n v="8"/>
    <x v="1"/>
    <m/>
    <x v="0"/>
    <m/>
    <x v="0"/>
    <m/>
    <x v="1"/>
    <m/>
    <m/>
    <m/>
    <s v="Defense White Paper Appendix"/>
    <m/>
  </r>
  <r>
    <x v="1"/>
    <x v="8"/>
    <s v="Europe and Central Asia"/>
    <s v="Strategic Partnership [战略伙伴关系]"/>
    <s v="None"/>
    <x v="3"/>
    <x v="34"/>
    <x v="15"/>
    <n v="12"/>
    <x v="4"/>
    <s v="Fu Tinggui"/>
    <m/>
    <s v="Beijing MR Political Commissar"/>
    <n v="6"/>
    <x v="1"/>
    <m/>
    <x v="0"/>
    <m/>
    <x v="0"/>
    <m/>
    <x v="1"/>
    <m/>
    <m/>
    <m/>
    <s v="Defense White Paper Appendix"/>
    <m/>
  </r>
  <r>
    <x v="1"/>
    <x v="7"/>
    <s v="West Asia and Africa"/>
    <s v="Friendly Cooperative Relationship [友好合作关系]"/>
    <s v="None"/>
    <x v="4"/>
    <x v="64"/>
    <x v="15"/>
    <n v="12"/>
    <x v="3"/>
    <s v="Cao Gangchuan"/>
    <m/>
    <s v="CMC Vice Chairman; Defense Minister"/>
    <n v="8"/>
    <x v="2"/>
    <s v="COGS"/>
    <x v="0"/>
    <m/>
    <x v="0"/>
    <m/>
    <x v="1"/>
    <m/>
    <m/>
    <m/>
    <s v="https://dlib.eastview.com/browse/doc/14714804"/>
    <m/>
  </r>
  <r>
    <x v="1"/>
    <x v="10"/>
    <s v="America and Oceania"/>
    <s v="Comprehensive Partnership [全面伙伴关系]"/>
    <s v="None"/>
    <x v="5"/>
    <x v="66"/>
    <x v="15"/>
    <n v="12"/>
    <x v="4"/>
    <s v="Jing Zhiyuan"/>
    <m/>
    <s v="PLASAF Commander; CMC Member"/>
    <n v="8"/>
    <x v="1"/>
    <m/>
    <x v="0"/>
    <m/>
    <x v="0"/>
    <m/>
    <x v="1"/>
    <m/>
    <m/>
    <m/>
    <s v="Defense White Paper Appendix"/>
    <m/>
  </r>
  <r>
    <x v="1"/>
    <x v="10"/>
    <s v="America and Oceania"/>
    <s v="No Specific Relationship"/>
    <s v="None"/>
    <x v="5"/>
    <x v="49"/>
    <x v="15"/>
    <n v="12"/>
    <x v="4"/>
    <s v="Zhao Keming"/>
    <m/>
    <s v="PLA NDU Political Commissar"/>
    <n v="6"/>
    <x v="1"/>
    <m/>
    <x v="0"/>
    <m/>
    <x v="0"/>
    <m/>
    <x v="1"/>
    <m/>
    <m/>
    <m/>
    <s v="Defense White Paper Appendix"/>
    <m/>
  </r>
  <r>
    <x v="1"/>
    <x v="0"/>
    <s v="Asia"/>
    <s v="Strategic Partnership for Peace and Prosperity [战略伙伴关系]"/>
    <s v="None"/>
    <x v="0"/>
    <x v="6"/>
    <x v="15"/>
    <n v="12"/>
    <x v="4"/>
    <s v="Zhang Haiyang"/>
    <m/>
    <s v="Chengdu MR Political Commissar"/>
    <n v="6"/>
    <x v="1"/>
    <m/>
    <x v="0"/>
    <m/>
    <x v="0"/>
    <m/>
    <x v="1"/>
    <m/>
    <m/>
    <m/>
    <s v="Defense White Paper Appendix"/>
    <m/>
  </r>
  <r>
    <x v="1"/>
    <x v="4"/>
    <s v="Asia"/>
    <s v="Partnership of Friendship and Cooperation for Peace and Development [致力于和平发展的友好合作关系]"/>
    <s v="Bilateral Defense Treaty"/>
    <x v="0"/>
    <x v="83"/>
    <x v="15"/>
    <n v="12"/>
    <x v="4"/>
    <s v="Li Yu"/>
    <m/>
    <s v="GSD Assistant Commander"/>
    <n v="5"/>
    <x v="1"/>
    <m/>
    <x v="0"/>
    <m/>
    <x v="0"/>
    <m/>
    <x v="1"/>
    <m/>
    <m/>
    <m/>
    <s v="https://web.archive.org/web/20120322070501/http://news.163.com/09/1231/17/5RSLONPS000120GU.html"/>
    <m/>
  </r>
  <r>
    <x v="2"/>
    <x v="0"/>
    <s v="Asia"/>
    <s v="Strategic Partnership [战略伙伴关系]"/>
    <s v="Major Non-NATO Ally"/>
    <x v="1"/>
    <x v="2"/>
    <x v="15"/>
    <n v="12"/>
    <x v="5"/>
    <m/>
    <m/>
    <m/>
    <m/>
    <x v="0"/>
    <m/>
    <x v="1"/>
    <s v="Unknown"/>
    <x v="1"/>
    <s v="Anti-terrorism"/>
    <x v="1"/>
    <m/>
    <m/>
    <m/>
    <s v="Defense White Paper Appendix"/>
    <m/>
  </r>
  <r>
    <x v="1"/>
    <x v="8"/>
    <s v="Europe and Central Asia"/>
    <s v="No Specific Relationship"/>
    <s v="NATO"/>
    <x v="3"/>
    <x v="59"/>
    <x v="15"/>
    <n v="12"/>
    <x v="4"/>
    <s v="Fu Tinggui"/>
    <m/>
    <s v="Beijing MR Political Commissar"/>
    <n v="6"/>
    <x v="1"/>
    <m/>
    <x v="0"/>
    <m/>
    <x v="0"/>
    <m/>
    <x v="1"/>
    <m/>
    <m/>
    <m/>
    <s v="Defense White Paper Appendix"/>
    <m/>
  </r>
  <r>
    <x v="1"/>
    <x v="7"/>
    <s v="West Asia and Africa"/>
    <s v="Strategic Partnership [战略伙伴关系]"/>
    <s v="None"/>
    <x v="4"/>
    <x v="15"/>
    <x v="15"/>
    <n v="12"/>
    <x v="4"/>
    <s v="Li Yu"/>
    <m/>
    <s v="GSD Assistant Commander"/>
    <n v="5"/>
    <x v="1"/>
    <m/>
    <x v="0"/>
    <m/>
    <x v="0"/>
    <m/>
    <x v="1"/>
    <m/>
    <m/>
    <m/>
    <s v="Defense White Paper Appendix"/>
    <m/>
  </r>
  <r>
    <x v="1"/>
    <x v="8"/>
    <s v="Europe and Central Asia"/>
    <s v="No Specific Relationship"/>
    <s v="None"/>
    <x v="3"/>
    <x v="92"/>
    <x v="15"/>
    <n v="12"/>
    <x v="3"/>
    <s v="Cao Gangchuan"/>
    <m/>
    <s v="CMC Vice Chairman; Defense Minister"/>
    <n v="8"/>
    <x v="2"/>
    <s v="Chief of Air Staff"/>
    <x v="0"/>
    <m/>
    <x v="0"/>
    <m/>
    <x v="1"/>
    <m/>
    <m/>
    <m/>
    <s v="https://dlib.eastview.com/browse/doc/14713441"/>
    <m/>
  </r>
  <r>
    <x v="1"/>
    <x v="1"/>
    <s v="Asia"/>
    <s v="No Specific Relationship"/>
    <s v="Bilateral Defense Treaty"/>
    <x v="0"/>
    <x v="5"/>
    <x v="15"/>
    <n v="12"/>
    <x v="4"/>
    <s v="Li Yu"/>
    <m/>
    <s v="GSD Assistant Commander"/>
    <n v="5"/>
    <x v="1"/>
    <m/>
    <x v="0"/>
    <m/>
    <x v="0"/>
    <m/>
    <x v="1"/>
    <m/>
    <m/>
    <m/>
    <s v="Defense White Paper Appendix"/>
    <m/>
  </r>
  <r>
    <x v="1"/>
    <x v="1"/>
    <s v="Asia"/>
    <s v="No Specific Relationship"/>
    <s v="None"/>
    <x v="0"/>
    <x v="23"/>
    <x v="15"/>
    <n v="12"/>
    <x v="4"/>
    <s v="Zhang Haiyang"/>
    <m/>
    <s v="Chengdu MR Political Commissar"/>
    <n v="6"/>
    <x v="1"/>
    <m/>
    <x v="0"/>
    <m/>
    <x v="0"/>
    <m/>
    <x v="1"/>
    <m/>
    <m/>
    <m/>
    <s v="Defense White Paper Appendix"/>
    <m/>
  </r>
  <r>
    <x v="1"/>
    <x v="8"/>
    <s v="Europe and Central Asia"/>
    <s v="No Specific Relationship"/>
    <s v="NATO"/>
    <x v="3"/>
    <x v="58"/>
    <x v="16"/>
    <n v="1"/>
    <x v="3"/>
    <s v="Cao Gangchuan"/>
    <m/>
    <s v="CMC Vice Chairman; Defense Minister"/>
    <n v="10"/>
    <x v="2"/>
    <s v="COGS"/>
    <x v="0"/>
    <m/>
    <x v="0"/>
    <m/>
    <x v="1"/>
    <m/>
    <m/>
    <m/>
    <s v="Defense White Paper Appendix"/>
    <m/>
  </r>
  <r>
    <x v="1"/>
    <x v="4"/>
    <s v="Asia"/>
    <s v="Comprehensive Cooperative Partnership [全面合作伙伴关系]"/>
    <s v="Bilateral Defense Treaty"/>
    <x v="0"/>
    <x v="25"/>
    <x v="16"/>
    <n v="1"/>
    <x v="4"/>
    <s v="Ma Xiaotian"/>
    <m/>
    <s v="GSD DCGS"/>
    <n v="6"/>
    <x v="1"/>
    <m/>
    <x v="0"/>
    <m/>
    <x v="0"/>
    <m/>
    <x v="1"/>
    <m/>
    <m/>
    <m/>
    <s v="Defense White Paper Appendix"/>
    <m/>
  </r>
  <r>
    <x v="1"/>
    <x v="1"/>
    <s v="Asia"/>
    <s v="Strategic Partnership [战略伙伴关系]"/>
    <s v="Bilateral Defense Treaty"/>
    <x v="0"/>
    <x v="5"/>
    <x v="16"/>
    <n v="1"/>
    <x v="3"/>
    <s v="Cao Gangchuan"/>
    <m/>
    <s v="CMC Vice Chairman; Defense Minister"/>
    <n v="10"/>
    <x v="2"/>
    <s v="Defense Minister"/>
    <x v="0"/>
    <m/>
    <x v="0"/>
    <m/>
    <x v="1"/>
    <m/>
    <m/>
    <m/>
    <s v="Defense White Paper Appendix"/>
    <m/>
  </r>
  <r>
    <x v="1"/>
    <x v="2"/>
    <s v="America and Oceania"/>
    <s v="No Specific Relationship"/>
    <s v="N/A"/>
    <x v="2"/>
    <x v="4"/>
    <x v="16"/>
    <n v="1"/>
    <x v="4"/>
    <s v="Ma Xiaotian"/>
    <m/>
    <s v="GSD DCGS"/>
    <n v="6"/>
    <x v="1"/>
    <m/>
    <x v="0"/>
    <m/>
    <x v="0"/>
    <m/>
    <x v="1"/>
    <m/>
    <m/>
    <m/>
    <s v="Defense White Paper Appendix"/>
    <m/>
  </r>
  <r>
    <x v="1"/>
    <x v="1"/>
    <s v="Asia"/>
    <s v="Strategic Partnership [战略伙伴关系]"/>
    <s v="None"/>
    <x v="0"/>
    <x v="8"/>
    <x v="16"/>
    <n v="2"/>
    <x v="3"/>
    <s v="Zhang Li"/>
    <m/>
    <s v="GLD Deputy Director"/>
    <n v="6"/>
    <x v="2"/>
    <s v="Chief of Staff Navy"/>
    <x v="0"/>
    <m/>
    <x v="0"/>
    <m/>
    <x v="1"/>
    <m/>
    <m/>
    <m/>
    <s v="Defense White Paper Appendix"/>
    <m/>
  </r>
  <r>
    <x v="1"/>
    <x v="4"/>
    <s v="Asia"/>
    <s v="Partnership of Friendship and Cooperation for Peace and Development [致力于和平发展的友好合作关系]"/>
    <s v="Bilateral Defense Treaty"/>
    <x v="0"/>
    <x v="83"/>
    <x v="16"/>
    <n v="2"/>
    <x v="3"/>
    <s v="Cao Gangchuan"/>
    <m/>
    <s v="CMC Vice Chairman; Defense Minister"/>
    <n v="10"/>
    <x v="2"/>
    <s v="Former director-general of JDA"/>
    <x v="0"/>
    <m/>
    <x v="0"/>
    <m/>
    <x v="1"/>
    <m/>
    <m/>
    <m/>
    <s v="Defense White Paper Appendix"/>
    <m/>
  </r>
  <r>
    <x v="1"/>
    <x v="1"/>
    <s v="Asia"/>
    <s v="No Specific Relationship"/>
    <s v="None"/>
    <x v="0"/>
    <x v="39"/>
    <x v="16"/>
    <n v="2"/>
    <x v="3"/>
    <s v="Liang Guanglie"/>
    <m/>
    <s v="Defense Minister; CMC Member"/>
    <n v="8"/>
    <x v="2"/>
    <s v="COGS Army"/>
    <x v="0"/>
    <m/>
    <x v="0"/>
    <m/>
    <x v="1"/>
    <m/>
    <m/>
    <m/>
    <s v="Defense White Paper Appendix"/>
    <m/>
  </r>
  <r>
    <x v="1"/>
    <x v="10"/>
    <s v="America and Oceania"/>
    <s v="Strategic Partnership [战略伙伴关系]"/>
    <s v="Major Non-NATO Ally"/>
    <x v="5"/>
    <x v="62"/>
    <x v="16"/>
    <n v="3"/>
    <x v="4"/>
    <s v="Zhang Li"/>
    <m/>
    <s v="GLD Deputy Director"/>
    <n v="6"/>
    <x v="1"/>
    <m/>
    <x v="0"/>
    <m/>
    <x v="0"/>
    <m/>
    <x v="1"/>
    <m/>
    <m/>
    <m/>
    <s v="Defense White Paper Appendix"/>
    <m/>
  </r>
  <r>
    <x v="1"/>
    <x v="10"/>
    <s v="America and Oceania"/>
    <s v="No Specific Relationship"/>
    <s v="None"/>
    <x v="5"/>
    <x v="49"/>
    <x v="16"/>
    <n v="3"/>
    <x v="4"/>
    <s v="Zhao Keshi"/>
    <m/>
    <s v="Nanjing MR Commander"/>
    <n v="6"/>
    <x v="1"/>
    <m/>
    <x v="0"/>
    <m/>
    <x v="0"/>
    <m/>
    <x v="1"/>
    <m/>
    <m/>
    <m/>
    <s v="Defense White Paper Appendix"/>
    <m/>
  </r>
  <r>
    <x v="1"/>
    <x v="10"/>
    <s v="America and Oceania"/>
    <s v="No Specific Relationship"/>
    <s v="None"/>
    <x v="5"/>
    <x v="51"/>
    <x v="16"/>
    <n v="3"/>
    <x v="4"/>
    <s v="Zhang Li"/>
    <m/>
    <s v="GLD Deputy Director"/>
    <n v="6"/>
    <x v="1"/>
    <m/>
    <x v="0"/>
    <m/>
    <x v="0"/>
    <m/>
    <x v="1"/>
    <m/>
    <m/>
    <m/>
    <s v="Defense White Paper Appendix"/>
    <m/>
  </r>
  <r>
    <x v="1"/>
    <x v="8"/>
    <s v="Europe and Central Asia"/>
    <s v="Comprehensive Partnership [全面伙伴关系]"/>
    <s v="NATO"/>
    <x v="3"/>
    <x v="22"/>
    <x v="16"/>
    <n v="3"/>
    <x v="3"/>
    <s v="Cao Gangchuan"/>
    <m/>
    <s v="CMC Vice Chairman; Defense Minister"/>
    <n v="10"/>
    <x v="2"/>
    <s v="Defense Minister"/>
    <x v="0"/>
    <m/>
    <x v="0"/>
    <m/>
    <x v="1"/>
    <m/>
    <m/>
    <m/>
    <s v="Defense White Paper Appendix"/>
    <m/>
  </r>
  <r>
    <x v="1"/>
    <x v="9"/>
    <s v="West Asia and Africa"/>
    <s v="No Specific Relationship"/>
    <s v="Major Non-NATO Ally"/>
    <x v="1"/>
    <x v="101"/>
    <x v="16"/>
    <n v="3"/>
    <x v="3"/>
    <s v="Qiao Qingchen"/>
    <m/>
    <s v="PLAAF Commander; CMC Member"/>
    <n v="8"/>
    <x v="2"/>
    <s v="Air Force Commander"/>
    <x v="0"/>
    <m/>
    <x v="0"/>
    <m/>
    <x v="1"/>
    <m/>
    <m/>
    <m/>
    <s v="Defense White Paper Appendix"/>
    <m/>
  </r>
  <r>
    <x v="1"/>
    <x v="1"/>
    <s v="Asia"/>
    <s v="Comprehensive Cooperative Partnership [全面合作伙伴关系]"/>
    <s v="None"/>
    <x v="0"/>
    <x v="52"/>
    <x v="16"/>
    <n v="3"/>
    <x v="3"/>
    <s v="Cao Gangchuan"/>
    <m/>
    <s v="CMC Vice Chairman; Defense Minister"/>
    <n v="10"/>
    <x v="2"/>
    <s v="Defense Minister"/>
    <x v="0"/>
    <m/>
    <x v="0"/>
    <m/>
    <x v="1"/>
    <m/>
    <m/>
    <m/>
    <s v="Defense White Paper Appendix"/>
    <m/>
  </r>
  <r>
    <x v="2"/>
    <x v="0"/>
    <s v="Asia"/>
    <s v="Strategic Partnership [战略伙伴关系]"/>
    <s v="Major Non-NATO Ally"/>
    <x v="1"/>
    <x v="2"/>
    <x v="16"/>
    <n v="3"/>
    <x v="6"/>
    <m/>
    <m/>
    <m/>
    <m/>
    <x v="0"/>
    <m/>
    <x v="2"/>
    <s v="Aman"/>
    <x v="2"/>
    <s v="Maritime in Arabian Sea; Pakistan and 10 other countries"/>
    <x v="1"/>
    <m/>
    <m/>
    <m/>
    <s v="Defense White Paper Appendix"/>
    <m/>
  </r>
  <r>
    <x v="1"/>
    <x v="1"/>
    <s v="Asia"/>
    <s v="Strategic Cooperative Partnership [战略合作伙伴关系]"/>
    <s v="Bilateral Defense Treaty"/>
    <x v="0"/>
    <x v="11"/>
    <x v="16"/>
    <n v="3"/>
    <x v="3"/>
    <s v="Liao Xilong"/>
    <m/>
    <s v="GLD Director; CMC Member"/>
    <n v="8"/>
    <x v="2"/>
    <s v="Deputy Chief of Staff"/>
    <x v="0"/>
    <m/>
    <x v="0"/>
    <m/>
    <x v="1"/>
    <m/>
    <m/>
    <m/>
    <s v="Defense White Paper Appendix"/>
    <m/>
  </r>
  <r>
    <x v="1"/>
    <x v="3"/>
    <s v="Europe and Central Asia"/>
    <s v="Strategic Partnership of Coordination [战略协作伙伴关系]"/>
    <s v="None"/>
    <x v="3"/>
    <x v="7"/>
    <x v="16"/>
    <n v="3"/>
    <x v="3"/>
    <s v="Cao Gangchuan"/>
    <m/>
    <s v="CMC Vice Chairman; Defense Minister"/>
    <n v="10"/>
    <x v="2"/>
    <s v="COGS"/>
    <x v="0"/>
    <m/>
    <x v="0"/>
    <m/>
    <x v="1"/>
    <m/>
    <m/>
    <m/>
    <s v="Defense White Paper Appendix"/>
    <m/>
  </r>
  <r>
    <x v="1"/>
    <x v="2"/>
    <s v="America and Oceania"/>
    <s v="No Specific Relationship"/>
    <s v="N/A"/>
    <x v="2"/>
    <x v="4"/>
    <x v="16"/>
    <n v="3"/>
    <x v="3"/>
    <s v="Guo Boxiong"/>
    <m/>
    <s v="CMC Vice Chairman"/>
    <n v="10"/>
    <x v="2"/>
    <m/>
    <x v="0"/>
    <m/>
    <x v="0"/>
    <m/>
    <x v="1"/>
    <m/>
    <m/>
    <m/>
    <s v="Defense White Paper Appendix"/>
    <m/>
  </r>
  <r>
    <x v="1"/>
    <x v="10"/>
    <s v="America and Oceania"/>
    <s v="Strategic Development Partnership [战略发展伙伴关系]"/>
    <s v="None"/>
    <x v="5"/>
    <x v="56"/>
    <x v="16"/>
    <n v="3"/>
    <x v="4"/>
    <s v="Zhang Li"/>
    <m/>
    <s v="GLD Deputy Director"/>
    <n v="6"/>
    <x v="1"/>
    <m/>
    <x v="0"/>
    <m/>
    <x v="0"/>
    <m/>
    <x v="1"/>
    <m/>
    <m/>
    <m/>
    <s v="Defense White Paper Appendix"/>
    <m/>
  </r>
  <r>
    <x v="1"/>
    <x v="7"/>
    <s v="West Asia and Africa"/>
    <s v="No Specific Relationship"/>
    <s v="None"/>
    <x v="4"/>
    <x v="86"/>
    <x v="16"/>
    <n v="3"/>
    <x v="3"/>
    <s v="Zhang Li"/>
    <m/>
    <s v="GLD Deputy Director"/>
    <n v="6"/>
    <x v="2"/>
    <s v="Chief of Staff of Defense Force"/>
    <x v="0"/>
    <m/>
    <x v="0"/>
    <m/>
    <x v="1"/>
    <m/>
    <m/>
    <m/>
    <s v="Defense White Paper Appendix"/>
    <m/>
  </r>
  <r>
    <x v="1"/>
    <x v="8"/>
    <s v="Europe and Central Asia"/>
    <s v="Strategic Partnership [战略伙伴关系]"/>
    <s v="None"/>
    <x v="3"/>
    <x v="34"/>
    <x v="16"/>
    <n v="4"/>
    <x v="3"/>
    <s v="Cao Gangchuan"/>
    <m/>
    <s v="CMC Vice Chairman; Defense Minister"/>
    <n v="8"/>
    <x v="2"/>
    <s v="Defense Minister"/>
    <x v="0"/>
    <m/>
    <x v="0"/>
    <m/>
    <x v="1"/>
    <m/>
    <m/>
    <m/>
    <s v="https://dlib.eastview.com/browse/doc/24491764"/>
    <m/>
  </r>
  <r>
    <x v="1"/>
    <x v="8"/>
    <s v="Europe and Central Asia"/>
    <s v="No Specific Relationship"/>
    <s v="NATO"/>
    <x v="3"/>
    <x v="68"/>
    <x v="16"/>
    <n v="4"/>
    <x v="4"/>
    <s v="Zhang Li"/>
    <m/>
    <s v="GLD Deputy Director"/>
    <n v="6"/>
    <x v="1"/>
    <m/>
    <x v="0"/>
    <m/>
    <x v="0"/>
    <m/>
    <x v="1"/>
    <m/>
    <m/>
    <m/>
    <s v="Defense White Paper Appendix"/>
    <m/>
  </r>
  <r>
    <x v="1"/>
    <x v="10"/>
    <s v="America and Oceania"/>
    <s v="No Specific Relationship"/>
    <s v="None"/>
    <x v="5"/>
    <x v="42"/>
    <x v="16"/>
    <n v="4"/>
    <x v="3"/>
    <s v="Cao Gangchuan"/>
    <m/>
    <s v="CMC Vice Chairman; Defense Minister"/>
    <n v="10"/>
    <x v="2"/>
    <s v="Chief of the Armed Forces"/>
    <x v="0"/>
    <m/>
    <x v="0"/>
    <m/>
    <x v="1"/>
    <m/>
    <m/>
    <m/>
    <s v="Defense White Paper Appendix"/>
    <m/>
  </r>
  <r>
    <x v="1"/>
    <x v="1"/>
    <s v="Asia"/>
    <s v="Comprehensive Cooperative Partnership [全面合作伙伴关系]"/>
    <s v="None"/>
    <x v="0"/>
    <x v="94"/>
    <x v="16"/>
    <n v="4"/>
    <x v="3"/>
    <s v="Cao Gangchuan"/>
    <m/>
    <s v="CMC Vice Chairman; Defense Minister"/>
    <n v="10"/>
    <x v="2"/>
    <s v="Secretary of Defense"/>
    <x v="0"/>
    <m/>
    <x v="0"/>
    <m/>
    <x v="1"/>
    <m/>
    <m/>
    <m/>
    <s v="Defense White Paper Appendix"/>
    <m/>
  </r>
  <r>
    <x v="1"/>
    <x v="8"/>
    <s v="Europe and Central Asia"/>
    <s v="Comprehensive Partnership [全面伙伴关系]"/>
    <s v="NATO"/>
    <x v="3"/>
    <x v="22"/>
    <x v="16"/>
    <n v="4"/>
    <x v="4"/>
    <s v="Wu Shengli"/>
    <m/>
    <s v="PLAN Commander; CMC Member"/>
    <n v="8"/>
    <x v="1"/>
    <m/>
    <x v="0"/>
    <m/>
    <x v="0"/>
    <m/>
    <x v="1"/>
    <m/>
    <m/>
    <m/>
    <s v="Defense White Paper Appendix"/>
    <m/>
  </r>
  <r>
    <x v="1"/>
    <x v="7"/>
    <s v="West Asia and Africa"/>
    <s v="No Specific Relationship"/>
    <s v="None"/>
    <x v="4"/>
    <x v="67"/>
    <x v="16"/>
    <n v="4"/>
    <x v="3"/>
    <s v="Cao Gangchuan"/>
    <m/>
    <s v="CMC Vice Chairman; Defense Minister"/>
    <n v="10"/>
    <x v="2"/>
    <s v="Defense Minister"/>
    <x v="0"/>
    <m/>
    <x v="0"/>
    <m/>
    <x v="1"/>
    <m/>
    <m/>
    <m/>
    <s v="Defense White Paper Appendix"/>
    <m/>
  </r>
  <r>
    <x v="1"/>
    <x v="8"/>
    <s v="Europe and Central Asia"/>
    <s v="No Specific Relationship"/>
    <s v="NATO"/>
    <x v="3"/>
    <x v="18"/>
    <x v="16"/>
    <n v="4"/>
    <x v="3"/>
    <s v="Cao Gangchuan"/>
    <m/>
    <s v="CMC Vice Chairman; Defense Minister"/>
    <n v="10"/>
    <x v="2"/>
    <s v="Defense Minister"/>
    <x v="0"/>
    <m/>
    <x v="0"/>
    <m/>
    <x v="1"/>
    <m/>
    <m/>
    <m/>
    <s v="Defense White Paper Appendix"/>
    <m/>
  </r>
  <r>
    <x v="1"/>
    <x v="1"/>
    <s v="Asia"/>
    <s v="Strategic Partnership [战略伙伴关系]"/>
    <s v="None"/>
    <x v="0"/>
    <x v="8"/>
    <x v="16"/>
    <n v="4"/>
    <x v="3"/>
    <s v="Zhang Li"/>
    <m/>
    <s v="GLD Deputy Director"/>
    <n v="6"/>
    <x v="2"/>
    <s v="General Secretary of Defense Ministry"/>
    <x v="0"/>
    <m/>
    <x v="0"/>
    <m/>
    <x v="1"/>
    <m/>
    <m/>
    <m/>
    <s v="Defense White Paper Appendix"/>
    <m/>
  </r>
  <r>
    <x v="1"/>
    <x v="7"/>
    <s v="West Asia and Africa"/>
    <s v="No Specific Relationship"/>
    <s v="Major Non-NATO Ally"/>
    <x v="4"/>
    <x v="27"/>
    <x v="16"/>
    <n v="4"/>
    <x v="4"/>
    <s v="Zhang Li"/>
    <m/>
    <s v="GLD Deputy Director"/>
    <n v="6"/>
    <x v="1"/>
    <m/>
    <x v="0"/>
    <m/>
    <x v="0"/>
    <m/>
    <x v="1"/>
    <m/>
    <m/>
    <m/>
    <s v="Defense White Paper Appendix"/>
    <m/>
  </r>
  <r>
    <x v="1"/>
    <x v="7"/>
    <s v="West Asia and Africa"/>
    <s v="No Specific Relationship"/>
    <s v="None"/>
    <x v="4"/>
    <x v="84"/>
    <x v="16"/>
    <n v="4"/>
    <x v="4"/>
    <s v="Deng Changyou"/>
    <m/>
    <s v="PLAAF Political Commissar"/>
    <n v="6"/>
    <x v="1"/>
    <m/>
    <x v="0"/>
    <m/>
    <x v="0"/>
    <m/>
    <x v="1"/>
    <m/>
    <m/>
    <m/>
    <s v="Defense White Paper Appendix"/>
    <m/>
  </r>
  <r>
    <x v="1"/>
    <x v="7"/>
    <s v="West Asia and Africa"/>
    <s v="Strategic Partnership [战略伙伴关系]"/>
    <s v="None"/>
    <x v="4"/>
    <x v="36"/>
    <x v="16"/>
    <n v="4"/>
    <x v="3"/>
    <s v="Cao Gangchuan"/>
    <m/>
    <s v="CMC Vice Chairman; Defense Minister"/>
    <n v="10"/>
    <x v="2"/>
    <s v="Defense Minister"/>
    <x v="0"/>
    <m/>
    <x v="0"/>
    <m/>
    <x v="1"/>
    <m/>
    <m/>
    <m/>
    <s v="Defense White Paper Appendix"/>
    <m/>
  </r>
  <r>
    <x v="1"/>
    <x v="0"/>
    <s v="Asia"/>
    <s v="Strategic Partnership [战略伙伴关系]"/>
    <s v="Major Non-NATO Ally"/>
    <x v="1"/>
    <x v="2"/>
    <x v="16"/>
    <n v="4"/>
    <x v="3"/>
    <s v="Cao Gangchuan"/>
    <m/>
    <s v="CMC Vice Chairman; Defense Minister"/>
    <n v="10"/>
    <x v="2"/>
    <s v="Chairman JCS"/>
    <x v="0"/>
    <m/>
    <x v="0"/>
    <m/>
    <x v="1"/>
    <m/>
    <m/>
    <m/>
    <s v="Defense White Paper Appendix"/>
    <m/>
  </r>
  <r>
    <x v="1"/>
    <x v="4"/>
    <s v="Asia"/>
    <s v="Comprehensive Cooperative Partnership [全面合作伙伴关系]"/>
    <s v="Bilateral Defense Treaty"/>
    <x v="0"/>
    <x v="25"/>
    <x v="16"/>
    <n v="4"/>
    <x v="3"/>
    <s v="Liang Guanglie"/>
    <m/>
    <s v="Defense Minister; CMC Member"/>
    <n v="8"/>
    <x v="2"/>
    <s v="Defense Minister"/>
    <x v="0"/>
    <m/>
    <x v="0"/>
    <m/>
    <x v="1"/>
    <m/>
    <m/>
    <m/>
    <s v="Defense White Paper Appendix"/>
    <m/>
  </r>
  <r>
    <x v="1"/>
    <x v="7"/>
    <s v="West Asia and Africa"/>
    <s v="No Specific Relationship"/>
    <s v="None"/>
    <x v="4"/>
    <x v="74"/>
    <x v="16"/>
    <n v="4"/>
    <x v="3"/>
    <s v="Liang Guanglie"/>
    <m/>
    <s v="Defense Minister; CMC Member"/>
    <n v="8"/>
    <x v="2"/>
    <s v="Chief of the Joint Staff"/>
    <x v="0"/>
    <m/>
    <x v="0"/>
    <m/>
    <x v="1"/>
    <m/>
    <m/>
    <m/>
    <s v="Defense White Paper Appendix"/>
    <m/>
  </r>
  <r>
    <x v="1"/>
    <x v="8"/>
    <s v="Europe and Central Asia"/>
    <s v="No Specific Relationship"/>
    <s v="None"/>
    <x v="3"/>
    <x v="78"/>
    <x v="16"/>
    <n v="4"/>
    <x v="3"/>
    <s v="Qiao Qingchen"/>
    <m/>
    <s v="PLAAF Commander; CMC Member"/>
    <n v="8"/>
    <x v="2"/>
    <s v="Air Force Commander"/>
    <x v="0"/>
    <m/>
    <x v="0"/>
    <m/>
    <x v="1"/>
    <m/>
    <m/>
    <m/>
    <s v="https://dlib.eastview.com/browse/doc/24536821"/>
    <m/>
  </r>
  <r>
    <x v="1"/>
    <x v="8"/>
    <s v="Europe and Central Asia"/>
    <s v="Comprehensive Strategic Partnership [全面战略伙伴关系]"/>
    <s v="NATO"/>
    <x v="3"/>
    <x v="21"/>
    <x v="16"/>
    <n v="4"/>
    <x v="4"/>
    <s v="Cao Gangchuan"/>
    <m/>
    <s v="CMC Vice Chairman; Defense Minister"/>
    <n v="8"/>
    <x v="2"/>
    <s v="COGS"/>
    <x v="0"/>
    <m/>
    <x v="0"/>
    <m/>
    <x v="1"/>
    <m/>
    <m/>
    <m/>
    <s v="Defense White Paper Appendix"/>
    <m/>
  </r>
  <r>
    <x v="1"/>
    <x v="2"/>
    <s v="America and Oceania"/>
    <s v="No Specific Relationship"/>
    <s v="N/A"/>
    <x v="2"/>
    <x v="4"/>
    <x v="16"/>
    <n v="4"/>
    <x v="4"/>
    <s v="Wu Shengli"/>
    <m/>
    <s v="PLAN Commander; CMC Member"/>
    <n v="8"/>
    <x v="2"/>
    <s v="Chief of Staff Air Force"/>
    <x v="0"/>
    <m/>
    <x v="0"/>
    <m/>
    <x v="1"/>
    <m/>
    <m/>
    <m/>
    <s v="Defense White Paper Appendix"/>
    <m/>
  </r>
  <r>
    <x v="1"/>
    <x v="7"/>
    <s v="West Asia and Africa"/>
    <s v="No Specific Relationship"/>
    <s v="None"/>
    <x v="4"/>
    <x v="61"/>
    <x v="16"/>
    <n v="4"/>
    <x v="4"/>
    <s v="Deng Changyou"/>
    <m/>
    <s v="PLAAF Political Commissar"/>
    <n v="6"/>
    <x v="1"/>
    <m/>
    <x v="0"/>
    <m/>
    <x v="0"/>
    <m/>
    <x v="1"/>
    <m/>
    <m/>
    <m/>
    <s v="Defense White Paper Appendix"/>
    <m/>
  </r>
  <r>
    <x v="1"/>
    <x v="7"/>
    <s v="West Asia and Africa"/>
    <s v="No Specific Relationship"/>
    <s v="None"/>
    <x v="4"/>
    <x v="86"/>
    <x v="16"/>
    <n v="4"/>
    <x v="4"/>
    <s v="Deng Changyou"/>
    <m/>
    <s v="PLAAF Political Commissar"/>
    <n v="6"/>
    <x v="1"/>
    <m/>
    <x v="0"/>
    <m/>
    <x v="0"/>
    <m/>
    <x v="1"/>
    <m/>
    <m/>
    <m/>
    <s v="Defense White Paper Appendix"/>
    <m/>
  </r>
  <r>
    <x v="1"/>
    <x v="10"/>
    <s v="America and Oceania"/>
    <s v="Strategic Partnership [战略伙伴关系]"/>
    <s v="Major Non-NATO Ally"/>
    <x v="5"/>
    <x v="62"/>
    <x v="16"/>
    <n v="5"/>
    <x v="4"/>
    <s v="Cao Gangchuan"/>
    <m/>
    <s v="CMC Vice Chairman; Defense Minister"/>
    <n v="10"/>
    <x v="1"/>
    <s v="Defense Minister"/>
    <x v="0"/>
    <m/>
    <x v="0"/>
    <m/>
    <x v="1"/>
    <m/>
    <m/>
    <m/>
    <s v="Defense White Paper Appendix"/>
    <m/>
  </r>
  <r>
    <x v="1"/>
    <x v="10"/>
    <s v="America and Oceania"/>
    <s v="Strategic Partnership [战略伙伴关系]"/>
    <s v="Major Non-NATO Ally"/>
    <x v="5"/>
    <x v="62"/>
    <x v="16"/>
    <n v="5"/>
    <x v="3"/>
    <s v="Cao Gangchuan"/>
    <m/>
    <s v="CMC Vice Chairman; Defense Minister"/>
    <n v="10"/>
    <x v="2"/>
    <s v="Defense Minister"/>
    <x v="0"/>
    <m/>
    <x v="0"/>
    <m/>
    <x v="1"/>
    <m/>
    <m/>
    <m/>
    <s v="Defense White Paper Appendix"/>
    <m/>
  </r>
  <r>
    <x v="1"/>
    <x v="5"/>
    <s v="America and Oceania"/>
    <s v="No Specific Relationship"/>
    <s v="ANZUS Treaty"/>
    <x v="0"/>
    <x v="12"/>
    <x v="16"/>
    <n v="5"/>
    <x v="4"/>
    <s v="Zhang Yang"/>
    <m/>
    <s v="Guangzhou MR Political Commissar"/>
    <n v="6"/>
    <x v="1"/>
    <m/>
    <x v="0"/>
    <m/>
    <x v="0"/>
    <m/>
    <x v="1"/>
    <m/>
    <m/>
    <m/>
    <s v="Defense White Paper Appendix"/>
    <m/>
  </r>
  <r>
    <x v="1"/>
    <x v="8"/>
    <s v="Europe and Central Asia"/>
    <s v="No Specific Relationship"/>
    <s v="None"/>
    <x v="3"/>
    <x v="57"/>
    <x v="16"/>
    <n v="5"/>
    <x v="3"/>
    <s v="Cao Gangchuan"/>
    <m/>
    <s v="CMC Vice Chairman; Defense Minister"/>
    <n v="10"/>
    <x v="2"/>
    <s v="COGS"/>
    <x v="0"/>
    <m/>
    <x v="0"/>
    <m/>
    <x v="1"/>
    <m/>
    <m/>
    <m/>
    <s v="Defense White Paper Appendix"/>
    <m/>
  </r>
  <r>
    <x v="1"/>
    <x v="0"/>
    <s v="Asia"/>
    <s v="Comprehensive Cooperative Partnership [全面合作伙伴关系]"/>
    <s v="None"/>
    <x v="0"/>
    <x v="0"/>
    <x v="16"/>
    <n v="5"/>
    <x v="3"/>
    <s v="Cao Gangchuan"/>
    <m/>
    <s v="CMC Vice Chairman; Defense Minister"/>
    <n v="10"/>
    <x v="2"/>
    <s v="Air Force Chief of Staff"/>
    <x v="0"/>
    <m/>
    <x v="0"/>
    <m/>
    <x v="1"/>
    <m/>
    <m/>
    <m/>
    <s v="Defense White Paper Appendix"/>
    <m/>
  </r>
  <r>
    <x v="1"/>
    <x v="10"/>
    <s v="America and Oceania"/>
    <s v="Comprehensive Strategic Partnership [全面战略伙伴关系]"/>
    <s v="None"/>
    <x v="5"/>
    <x v="43"/>
    <x v="16"/>
    <n v="5"/>
    <x v="4"/>
    <s v="Ma Xiaotian"/>
    <m/>
    <s v="GSD DCGS"/>
    <n v="6"/>
    <x v="1"/>
    <m/>
    <x v="0"/>
    <m/>
    <x v="0"/>
    <m/>
    <x v="1"/>
    <m/>
    <m/>
    <m/>
    <s v="Defense White Paper Appendix"/>
    <m/>
  </r>
  <r>
    <x v="1"/>
    <x v="10"/>
    <s v="America and Oceania"/>
    <s v="Comprehensive Partnership [全面伙伴关系]"/>
    <s v="None"/>
    <x v="5"/>
    <x v="66"/>
    <x v="16"/>
    <n v="5"/>
    <x v="4"/>
    <s v="Cao Gangchuan"/>
    <m/>
    <s v="CMC Vice Chairman; Defense Minister"/>
    <n v="10"/>
    <x v="1"/>
    <s v="Army Commander"/>
    <x v="0"/>
    <m/>
    <x v="0"/>
    <m/>
    <x v="1"/>
    <m/>
    <m/>
    <m/>
    <s v="Defense White Paper Appendix"/>
    <s v="MISCODED as hosted visit in V3.0"/>
  </r>
  <r>
    <x v="1"/>
    <x v="10"/>
    <s v="America and Oceania"/>
    <s v="No Specific Relationship"/>
    <s v="None"/>
    <x v="5"/>
    <x v="49"/>
    <x v="16"/>
    <n v="5"/>
    <x v="4"/>
    <s v="Cao Gangchuan"/>
    <m/>
    <s v="CMC Vice Chairman; Defense Minister"/>
    <n v="10"/>
    <x v="1"/>
    <m/>
    <x v="0"/>
    <m/>
    <x v="0"/>
    <m/>
    <x v="1"/>
    <m/>
    <m/>
    <m/>
    <s v="Defense White Paper Appendix"/>
    <m/>
  </r>
  <r>
    <x v="1"/>
    <x v="8"/>
    <s v="Europe and Central Asia"/>
    <s v="Comprehensive Strategic Partnership [全面战略伙伴关系]"/>
    <s v="NATO"/>
    <x v="3"/>
    <x v="29"/>
    <x v="16"/>
    <n v="5"/>
    <x v="4"/>
    <s v="Cao Gangchuan"/>
    <m/>
    <s v="CMC Vice Chairman; Defense Minister"/>
    <n v="10"/>
    <x v="1"/>
    <s v="Defense Minister"/>
    <x v="0"/>
    <m/>
    <x v="0"/>
    <m/>
    <x v="1"/>
    <m/>
    <m/>
    <m/>
    <s v="Defense White Paper Appendix"/>
    <m/>
  </r>
  <r>
    <x v="1"/>
    <x v="8"/>
    <s v="Europe and Central Asia"/>
    <s v="No Specific Relationship"/>
    <s v="NATO"/>
    <x v="3"/>
    <x v="82"/>
    <x v="16"/>
    <n v="5"/>
    <x v="3"/>
    <s v="Cao Gangchuan"/>
    <m/>
    <s v="CMC Vice Chairman; Defense Minister"/>
    <n v="10"/>
    <x v="2"/>
    <s v="Defense Minister"/>
    <x v="0"/>
    <m/>
    <x v="0"/>
    <m/>
    <x v="1"/>
    <m/>
    <m/>
    <m/>
    <s v="Defense White Paper Appendix"/>
    <m/>
  </r>
  <r>
    <x v="1"/>
    <x v="0"/>
    <s v="Asia"/>
    <s v="Strategic Partnership for Peace and Prosperity [战略伙伴关系]"/>
    <s v="None"/>
    <x v="0"/>
    <x v="6"/>
    <x v="16"/>
    <n v="5"/>
    <x v="3"/>
    <s v="Guo Boxiong"/>
    <m/>
    <s v="CMC Vice Chairman"/>
    <n v="10"/>
    <x v="2"/>
    <s v="Army Chief of Staff"/>
    <x v="0"/>
    <m/>
    <x v="0"/>
    <m/>
    <x v="1"/>
    <m/>
    <m/>
    <m/>
    <s v="Defense White Paper Appendix"/>
    <m/>
  </r>
  <r>
    <x v="1"/>
    <x v="8"/>
    <s v="Europe and Central Asia"/>
    <s v="Comprehensive Strategic Partnership [全面战略伙伴关系]"/>
    <s v="NATO"/>
    <x v="3"/>
    <x v="20"/>
    <x v="16"/>
    <n v="5"/>
    <x v="4"/>
    <s v="Chang Wanquan"/>
    <m/>
    <s v="GAD Director; CMC Member"/>
    <n v="8"/>
    <x v="1"/>
    <m/>
    <x v="0"/>
    <m/>
    <x v="0"/>
    <m/>
    <x v="1"/>
    <m/>
    <m/>
    <m/>
    <s v="Defense White Paper Appendix"/>
    <m/>
  </r>
  <r>
    <x v="1"/>
    <x v="2"/>
    <s v="America and Oceania"/>
    <s v="Strategic Cooperative Partnership [战略合作伙伴关系]"/>
    <s v="None"/>
    <x v="2"/>
    <x v="77"/>
    <x v="16"/>
    <n v="5"/>
    <x v="4"/>
    <s v="Ma Xiaotian"/>
    <m/>
    <s v="GSD DCGS"/>
    <n v="6"/>
    <x v="1"/>
    <m/>
    <x v="0"/>
    <m/>
    <x v="0"/>
    <m/>
    <x v="1"/>
    <m/>
    <m/>
    <m/>
    <s v="Defense White Paper Appendix"/>
    <m/>
  </r>
  <r>
    <x v="1"/>
    <x v="4"/>
    <s v="Asia"/>
    <s v="No Specific Relationship"/>
    <s v="None"/>
    <x v="0"/>
    <x v="53"/>
    <x v="16"/>
    <n v="5"/>
    <x v="4"/>
    <s v="Chen Bingde"/>
    <m/>
    <s v="GSD Commander; CMC Member"/>
    <n v="8"/>
    <x v="1"/>
    <m/>
    <x v="0"/>
    <m/>
    <x v="0"/>
    <m/>
    <x v="1"/>
    <m/>
    <m/>
    <m/>
    <s v="Defense White Paper Appendix"/>
    <m/>
  </r>
  <r>
    <x v="1"/>
    <x v="7"/>
    <s v="West Asia and Africa"/>
    <s v="No Specific Relationship"/>
    <s v="Major Non-NATO Ally"/>
    <x v="4"/>
    <x v="27"/>
    <x v="16"/>
    <n v="5"/>
    <x v="3"/>
    <s v="Cao Gangchuan"/>
    <m/>
    <s v="CMC Vice Chairman; Defense Minister"/>
    <n v="10"/>
    <x v="2"/>
    <s v="Inspector General of Armed Forces"/>
    <x v="0"/>
    <m/>
    <x v="0"/>
    <m/>
    <x v="1"/>
    <m/>
    <m/>
    <m/>
    <s v="Defense White Paper Appendix"/>
    <m/>
  </r>
  <r>
    <x v="1"/>
    <x v="7"/>
    <s v="West Asia and Africa"/>
    <s v="No Specific Relationship"/>
    <s v="None"/>
    <x v="4"/>
    <x v="69"/>
    <x v="16"/>
    <n v="5"/>
    <x v="3"/>
    <s v="Guo Boxiong"/>
    <m/>
    <s v="CMC Vice Chairman"/>
    <n v="10"/>
    <x v="2"/>
    <s v="Chief of Defense Force"/>
    <x v="0"/>
    <m/>
    <x v="0"/>
    <m/>
    <x v="1"/>
    <m/>
    <m/>
    <m/>
    <s v="Defense White Paper Appendix"/>
    <m/>
  </r>
  <r>
    <x v="1"/>
    <x v="5"/>
    <s v="America and Oceania"/>
    <s v="No Specific Relationship"/>
    <s v="ANZUS Treaty"/>
    <x v="0"/>
    <x v="13"/>
    <x v="16"/>
    <n v="5"/>
    <x v="4"/>
    <s v="Zhang Yang"/>
    <m/>
    <s v="Guangzhou MR Political Commissar"/>
    <n v="6"/>
    <x v="1"/>
    <m/>
    <x v="0"/>
    <m/>
    <x v="0"/>
    <m/>
    <x v="1"/>
    <m/>
    <m/>
    <m/>
    <s v="Defense White Paper Appendix"/>
    <m/>
  </r>
  <r>
    <x v="1"/>
    <x v="1"/>
    <s v="Asia"/>
    <s v="Strategic Cooperative Partnership [战略合作伙伴关系]"/>
    <s v="Bilateral Defense Treaty"/>
    <x v="0"/>
    <x v="11"/>
    <x v="16"/>
    <n v="5"/>
    <x v="4"/>
    <s v="Ma Xiaotian"/>
    <m/>
    <s v="GSD DCGS"/>
    <n v="6"/>
    <x v="1"/>
    <m/>
    <x v="0"/>
    <m/>
    <x v="0"/>
    <m/>
    <x v="1"/>
    <m/>
    <m/>
    <m/>
    <s v="Defense White Paper Appendix"/>
    <m/>
  </r>
  <r>
    <x v="1"/>
    <x v="7"/>
    <s v="West Asia and Africa"/>
    <s v="No Specific Relationship"/>
    <s v="None"/>
    <x v="4"/>
    <x v="129"/>
    <x v="16"/>
    <n v="5"/>
    <x v="4"/>
    <s v="Zhang Youxia"/>
    <m/>
    <s v="Shenyang MR Commander"/>
    <n v="6"/>
    <x v="1"/>
    <m/>
    <x v="0"/>
    <m/>
    <x v="0"/>
    <m/>
    <x v="1"/>
    <m/>
    <m/>
    <m/>
    <s v="Defense White Paper Appendix"/>
    <m/>
  </r>
  <r>
    <x v="2"/>
    <x v="6"/>
    <s v="Europe and Central Asia"/>
    <s v="Member"/>
    <s v="None"/>
    <x v="1"/>
    <x v="14"/>
    <x v="16"/>
    <n v="5"/>
    <x v="6"/>
    <m/>
    <m/>
    <m/>
    <m/>
    <x v="0"/>
    <m/>
    <x v="1"/>
    <s v="Issyuk-Kul Antiterror-2007"/>
    <x v="1"/>
    <s v="anti-terrorism exercise in Kyrgyzstan; Countries: Russia, China, Tajikistan, Kazakhstan, Uzbekistan and Kyrgyzstan; intelligence services, special forces, and law enforcement; exercises in mountains and hostage scenarios"/>
    <x v="1"/>
    <m/>
    <m/>
    <m/>
    <s v="de Haas Journal of Slavic Military Studies 29:3 (2016)"/>
    <m/>
  </r>
  <r>
    <x v="1"/>
    <x v="8"/>
    <s v="Europe and Central Asia"/>
    <s v="No Specific Relationship"/>
    <s v="None"/>
    <x v="3"/>
    <x v="112"/>
    <x v="16"/>
    <n v="5"/>
    <x v="3"/>
    <s v="Cao Gangchuan"/>
    <m/>
    <s v="CMC Vice Chairman; Defense Minister"/>
    <n v="10"/>
    <x v="2"/>
    <s v="COGS"/>
    <x v="0"/>
    <m/>
    <x v="0"/>
    <m/>
    <x v="1"/>
    <m/>
    <m/>
    <m/>
    <s v="Defense White Paper Appendix"/>
    <m/>
  </r>
  <r>
    <x v="0"/>
    <x v="1"/>
    <s v="Asia"/>
    <s v="No Specific Relationship"/>
    <s v="None"/>
    <x v="0"/>
    <x v="39"/>
    <x v="16"/>
    <n v="5"/>
    <x v="0"/>
    <m/>
    <m/>
    <m/>
    <m/>
    <x v="0"/>
    <m/>
    <x v="0"/>
    <m/>
    <x v="0"/>
    <m/>
    <x v="0"/>
    <s v="NETF"/>
    <m/>
    <s v="PLAN Frigate IMDEX07"/>
    <s v="https://jamestown.org/program/the-chinese-navys-emerging-support-network-in-the-indian-ocean/"/>
    <m/>
  </r>
  <r>
    <x v="1"/>
    <x v="8"/>
    <s v="Europe and Central Asia"/>
    <s v="No Specific Relationship"/>
    <s v="NATO"/>
    <x v="3"/>
    <x v="40"/>
    <x v="16"/>
    <n v="5"/>
    <x v="3"/>
    <s v="Cao Gangchuan"/>
    <m/>
    <s v="CMC Vice Chairman; Defense Minister"/>
    <n v="10"/>
    <x v="2"/>
    <s v="Defense Minister"/>
    <x v="0"/>
    <m/>
    <x v="0"/>
    <m/>
    <x v="1"/>
    <m/>
    <m/>
    <m/>
    <s v="Defense White Paper Appendix"/>
    <m/>
  </r>
  <r>
    <x v="1"/>
    <x v="4"/>
    <s v="Asia"/>
    <s v="Comprehensive Cooperative Partnership [全面合作伙伴关系]"/>
    <s v="Bilateral Defense Treaty"/>
    <x v="0"/>
    <x v="25"/>
    <x v="16"/>
    <n v="5"/>
    <x v="4"/>
    <s v="Chen Bingde"/>
    <m/>
    <s v="GSD Commander; CMC Member"/>
    <n v="8"/>
    <x v="1"/>
    <m/>
    <x v="0"/>
    <m/>
    <x v="0"/>
    <m/>
    <x v="1"/>
    <m/>
    <m/>
    <m/>
    <s v="Defense White Paper Appendix"/>
    <m/>
  </r>
  <r>
    <x v="1"/>
    <x v="7"/>
    <s v="West Asia and Africa"/>
    <s v="No Specific Relationship"/>
    <s v="None"/>
    <x v="4"/>
    <x v="74"/>
    <x v="16"/>
    <n v="5"/>
    <x v="4"/>
    <s v="Zhang Youxia"/>
    <m/>
    <s v="Shenyang MR Commander"/>
    <n v="6"/>
    <x v="1"/>
    <m/>
    <x v="0"/>
    <m/>
    <x v="0"/>
    <m/>
    <x v="1"/>
    <m/>
    <m/>
    <m/>
    <s v="Defense White Paper Appendix"/>
    <m/>
  </r>
  <r>
    <x v="1"/>
    <x v="8"/>
    <s v="Europe and Central Asia"/>
    <s v="No Specific Relationship"/>
    <s v="None"/>
    <x v="3"/>
    <x v="78"/>
    <x v="16"/>
    <n v="5"/>
    <x v="4"/>
    <s v="Cao Gangchuan"/>
    <m/>
    <s v="CMC Vice Chairman; Defense Minister"/>
    <n v="10"/>
    <x v="1"/>
    <m/>
    <x v="0"/>
    <m/>
    <x v="0"/>
    <m/>
    <x v="1"/>
    <m/>
    <m/>
    <m/>
    <s v="Defense White Paper Appendix"/>
    <m/>
  </r>
  <r>
    <x v="1"/>
    <x v="7"/>
    <s v="West Asia and Africa"/>
    <s v="No Specific Relationship"/>
    <s v="None"/>
    <x v="4"/>
    <x v="16"/>
    <x v="16"/>
    <n v="5"/>
    <x v="3"/>
    <s v="Cao Gangchuan"/>
    <m/>
    <s v="CMC Vice Chairman; Defense Minister"/>
    <n v="10"/>
    <x v="2"/>
    <s v="Defense Minister"/>
    <x v="0"/>
    <m/>
    <x v="0"/>
    <m/>
    <x v="1"/>
    <m/>
    <m/>
    <m/>
    <s v="Defense White Paper Appendix"/>
    <m/>
  </r>
  <r>
    <x v="1"/>
    <x v="1"/>
    <s v="Asia"/>
    <s v="Strategic Partnership [战略伙伴关系]"/>
    <s v="Bilateral Defense Treaty"/>
    <x v="0"/>
    <x v="5"/>
    <x v="16"/>
    <n v="5"/>
    <x v="3"/>
    <s v="Cao Gangchuan"/>
    <m/>
    <s v="CMC Vice Chairman; Defense Minister"/>
    <n v="10"/>
    <x v="2"/>
    <s v="Army Commander"/>
    <x v="0"/>
    <m/>
    <x v="0"/>
    <m/>
    <x v="1"/>
    <m/>
    <m/>
    <m/>
    <s v="Defense White Paper Appendix"/>
    <m/>
  </r>
  <r>
    <x v="1"/>
    <x v="1"/>
    <s v="Asia"/>
    <s v="Strategic Partnership [战略伙伴关系]"/>
    <s v="Bilateral Defense Treaty"/>
    <x v="0"/>
    <x v="5"/>
    <x v="16"/>
    <n v="5"/>
    <x v="3"/>
    <s v="Cao Gangchuan"/>
    <m/>
    <s v="CMC Vice Chairman; Defense Minister"/>
    <n v="10"/>
    <x v="1"/>
    <m/>
    <x v="0"/>
    <m/>
    <x v="0"/>
    <m/>
    <x v="1"/>
    <m/>
    <m/>
    <m/>
    <s v="Defense White Paper Appendix"/>
    <m/>
  </r>
  <r>
    <x v="1"/>
    <x v="7"/>
    <s v="West Asia and Africa"/>
    <s v="No Specific Relationship"/>
    <s v="Major Non-NATO Ally"/>
    <x v="4"/>
    <x v="85"/>
    <x v="16"/>
    <n v="5"/>
    <x v="3"/>
    <s v="Cao Gangchuan"/>
    <m/>
    <s v="CMC Vice Chairman; Defense Minister"/>
    <n v="10"/>
    <x v="2"/>
    <s v="Navy Chief"/>
    <x v="0"/>
    <m/>
    <x v="0"/>
    <m/>
    <x v="1"/>
    <m/>
    <m/>
    <m/>
    <s v="Defense White Paper Appendix"/>
    <m/>
  </r>
  <r>
    <x v="1"/>
    <x v="8"/>
    <s v="Europe and Central Asia"/>
    <s v="Comprehensive Strategic Partnership [全面战略伙伴关系]"/>
    <s v="NATO"/>
    <x v="3"/>
    <x v="21"/>
    <x v="16"/>
    <n v="5"/>
    <x v="3"/>
    <s v="Wu Shengli"/>
    <m/>
    <s v="PLAN Commander; CMC Member"/>
    <n v="8"/>
    <x v="1"/>
    <m/>
    <x v="0"/>
    <m/>
    <x v="0"/>
    <m/>
    <x v="1"/>
    <m/>
    <m/>
    <m/>
    <s v="Defense White Paper Appendix"/>
    <m/>
  </r>
  <r>
    <x v="1"/>
    <x v="2"/>
    <s v="America and Oceania"/>
    <s v="No Specific Relationship"/>
    <s v="N/A"/>
    <x v="2"/>
    <x v="4"/>
    <x v="16"/>
    <n v="5"/>
    <x v="3"/>
    <s v="Cao Gangchuan"/>
    <m/>
    <s v="CMC Vice Chairman; Defense Minister"/>
    <n v="10"/>
    <x v="1"/>
    <m/>
    <x v="0"/>
    <m/>
    <x v="0"/>
    <m/>
    <x v="1"/>
    <m/>
    <m/>
    <m/>
    <s v="Defense White Paper Appendix"/>
    <m/>
  </r>
  <r>
    <x v="1"/>
    <x v="2"/>
    <s v="America and Oceania"/>
    <s v="No Specific Relationship"/>
    <s v="N/A"/>
    <x v="2"/>
    <x v="4"/>
    <x v="16"/>
    <n v="5"/>
    <x v="4"/>
    <s v="Liu Chengjun"/>
    <m/>
    <s v="AMS President"/>
    <n v="6"/>
    <x v="1"/>
    <s v="Chairman JCS"/>
    <x v="0"/>
    <m/>
    <x v="0"/>
    <m/>
    <x v="1"/>
    <m/>
    <m/>
    <m/>
    <s v="Defense White Paper Appendix"/>
    <m/>
  </r>
  <r>
    <x v="1"/>
    <x v="6"/>
    <s v="Europe and Central Asia"/>
    <s v="No Specific Relationship"/>
    <s v="None"/>
    <x v="1"/>
    <x v="73"/>
    <x v="16"/>
    <n v="5"/>
    <x v="3"/>
    <s v="Cao Gangchuan"/>
    <m/>
    <s v="CMC Vice Chairman; Defense Minister"/>
    <n v="10"/>
    <x v="2"/>
    <s v="Deputy Defense Minister"/>
    <x v="0"/>
    <m/>
    <x v="0"/>
    <m/>
    <x v="1"/>
    <m/>
    <m/>
    <m/>
    <s v="Defense White Paper Appendix"/>
    <m/>
  </r>
  <r>
    <x v="1"/>
    <x v="10"/>
    <s v="America and Oceania"/>
    <s v="Strategic Development Partnership [战略发展伙伴关系]"/>
    <s v="None"/>
    <x v="5"/>
    <x v="56"/>
    <x v="16"/>
    <n v="5"/>
    <x v="4"/>
    <s v="Ma Xiaotian"/>
    <m/>
    <s v="GSD DCGS"/>
    <n v="6"/>
    <x v="1"/>
    <m/>
    <x v="0"/>
    <m/>
    <x v="0"/>
    <m/>
    <x v="1"/>
    <m/>
    <m/>
    <m/>
    <s v="Defense White Paper Appendix"/>
    <m/>
  </r>
  <r>
    <x v="1"/>
    <x v="1"/>
    <s v="Asia"/>
    <s v="No Specific Relationship"/>
    <s v="None"/>
    <x v="0"/>
    <x v="23"/>
    <x v="16"/>
    <n v="5"/>
    <x v="3"/>
    <s v="Cao Gangchuan"/>
    <m/>
    <s v="CMC Vice Chairman; Defense Minister"/>
    <n v="10"/>
    <x v="2"/>
    <s v="Defense Minister"/>
    <x v="0"/>
    <m/>
    <x v="0"/>
    <m/>
    <x v="1"/>
    <m/>
    <m/>
    <m/>
    <s v="Defense White Paper Appendix"/>
    <m/>
  </r>
  <r>
    <x v="1"/>
    <x v="1"/>
    <s v="Asia"/>
    <s v="No Specific Relationship"/>
    <s v="None"/>
    <x v="0"/>
    <x v="23"/>
    <x v="16"/>
    <n v="5"/>
    <x v="4"/>
    <s v="Chen Bingde"/>
    <m/>
    <s v="GSD Commander; CMC Member"/>
    <n v="8"/>
    <x v="1"/>
    <m/>
    <x v="0"/>
    <m/>
    <x v="0"/>
    <m/>
    <x v="1"/>
    <m/>
    <m/>
    <m/>
    <s v="Defense White Paper Appendix"/>
    <m/>
  </r>
  <r>
    <x v="2"/>
    <x v="4"/>
    <s v="N/A"/>
    <s v="Member"/>
    <s v="None"/>
    <x v="0"/>
    <x v="136"/>
    <x v="16"/>
    <n v="5"/>
    <x v="6"/>
    <m/>
    <m/>
    <m/>
    <m/>
    <x v="0"/>
    <m/>
    <x v="2"/>
    <s v="WPNS 2007 Maritime Exercise (MMEx)"/>
    <x v="2"/>
    <s v="Maritime; HADR; anti-piracy; WPNS 2007 attendees +7"/>
    <x v="1"/>
    <m/>
    <m/>
    <m/>
    <s v="https://www.nas.gov.sg/archivesonline/data/pdfdoc/20070516999.htm"/>
    <s v="Chinese TV coverage suggests PLAN participated."/>
  </r>
  <r>
    <x v="1"/>
    <x v="8"/>
    <s v="Europe and Central Asia"/>
    <s v="No Specific Relationship"/>
    <s v="NATO"/>
    <x v="3"/>
    <x v="79"/>
    <x v="16"/>
    <n v="6"/>
    <x v="4"/>
    <s v="Zhang Qinsheng"/>
    <m/>
    <s v="Guangzhou MR Commander"/>
    <n v="6"/>
    <x v="1"/>
    <m/>
    <x v="0"/>
    <m/>
    <x v="0"/>
    <m/>
    <x v="1"/>
    <m/>
    <m/>
    <m/>
    <s v="Defense White Paper Appendix"/>
    <m/>
  </r>
  <r>
    <x v="1"/>
    <x v="10"/>
    <s v="America and Oceania"/>
    <s v="No Specific Relationship"/>
    <s v="None"/>
    <x v="5"/>
    <x v="45"/>
    <x v="16"/>
    <n v="6"/>
    <x v="4"/>
    <s v="Zhang Li"/>
    <m/>
    <s v="GLD Deputy Director"/>
    <n v="6"/>
    <x v="1"/>
    <m/>
    <x v="0"/>
    <m/>
    <x v="0"/>
    <m/>
    <x v="1"/>
    <m/>
    <m/>
    <m/>
    <s v="Defense White Paper Appendix"/>
    <m/>
  </r>
  <r>
    <x v="1"/>
    <x v="8"/>
    <s v="Europe and Central Asia"/>
    <s v="Comprehensive Strategic Partnership [全面战略伙伴关系]"/>
    <s v="NATO"/>
    <x v="3"/>
    <x v="29"/>
    <x v="16"/>
    <n v="6"/>
    <x v="4"/>
    <s v="Chi Wanchun"/>
    <m/>
    <s v="GAD Political Commissar"/>
    <n v="6"/>
    <x v="1"/>
    <m/>
    <x v="0"/>
    <m/>
    <x v="0"/>
    <m/>
    <x v="1"/>
    <m/>
    <m/>
    <m/>
    <s v="Defense White Paper Appendix"/>
    <m/>
  </r>
  <r>
    <x v="1"/>
    <x v="1"/>
    <s v="Asia"/>
    <s v="No Specific Relationship"/>
    <s v="None"/>
    <x v="0"/>
    <x v="137"/>
    <x v="16"/>
    <n v="6"/>
    <x v="1"/>
    <s v="Zhang Qinsheng"/>
    <m/>
    <s v="GSD DCGS"/>
    <n v="6"/>
    <x v="1"/>
    <s v="6th Shangri-La Dialogue"/>
    <x v="0"/>
    <m/>
    <x v="0"/>
    <m/>
    <x v="1"/>
    <m/>
    <m/>
    <m/>
    <s v="http://eng.chinamil.com.cn/view/2019-05/31/content_9519879.htm "/>
    <m/>
  </r>
  <r>
    <x v="1"/>
    <x v="8"/>
    <s v="Europe and Central Asia"/>
    <s v="Comprehensive Strategic Partnership [全面战略伙伴关系]"/>
    <s v="NATO"/>
    <x v="3"/>
    <x v="20"/>
    <x v="16"/>
    <n v="6"/>
    <x v="4"/>
    <s v="Chi Wanchun"/>
    <m/>
    <s v="GAD Political Commissar"/>
    <n v="6"/>
    <x v="1"/>
    <m/>
    <x v="0"/>
    <m/>
    <x v="0"/>
    <m/>
    <x v="1"/>
    <m/>
    <m/>
    <m/>
    <s v="Defense White Paper Appendix"/>
    <m/>
  </r>
  <r>
    <x v="1"/>
    <x v="6"/>
    <s v="Europe and Central Asia"/>
    <s v="No Specific Relationship"/>
    <s v="None"/>
    <x v="1"/>
    <x v="31"/>
    <x v="16"/>
    <n v="6"/>
    <x v="4"/>
    <s v="Cao Gangchuan"/>
    <m/>
    <s v="CMC Vice Chairman; Defense Minister"/>
    <n v="10"/>
    <x v="1"/>
    <m/>
    <x v="0"/>
    <m/>
    <x v="0"/>
    <m/>
    <x v="1"/>
    <m/>
    <m/>
    <m/>
    <s v="Defense White Paper Appendix"/>
    <m/>
  </r>
  <r>
    <x v="1"/>
    <x v="7"/>
    <s v="West Asia and Africa"/>
    <s v="No Specific Relationship"/>
    <s v="None"/>
    <x v="4"/>
    <x v="84"/>
    <x v="16"/>
    <n v="6"/>
    <x v="3"/>
    <s v="Xu Caihou"/>
    <m/>
    <s v="CMC Vice Chairman"/>
    <n v="10"/>
    <x v="2"/>
    <s v="COGS"/>
    <x v="0"/>
    <m/>
    <x v="0"/>
    <m/>
    <x v="1"/>
    <m/>
    <m/>
    <m/>
    <s v="Defense White Paper Appendix"/>
    <m/>
  </r>
  <r>
    <x v="1"/>
    <x v="5"/>
    <s v="America and Oceania"/>
    <s v="No Specific Relationship"/>
    <s v="ANZUS Treaty"/>
    <x v="0"/>
    <x v="13"/>
    <x v="16"/>
    <n v="6"/>
    <x v="4"/>
    <s v="Tong Shiping"/>
    <m/>
    <s v="PLA NDU Political Commissar"/>
    <n v="6"/>
    <x v="1"/>
    <m/>
    <x v="0"/>
    <m/>
    <x v="0"/>
    <m/>
    <x v="1"/>
    <m/>
    <m/>
    <m/>
    <s v="Defense White Paper Appendix"/>
    <m/>
  </r>
  <r>
    <x v="1"/>
    <x v="3"/>
    <s v="Europe and Central Asia"/>
    <s v="Strategic Partnership of Coordination [战略协作伙伴关系]"/>
    <s v="None"/>
    <x v="3"/>
    <x v="7"/>
    <x v="16"/>
    <n v="6"/>
    <x v="4"/>
    <s v="Zhang Qinsheng"/>
    <m/>
    <s v="Guangzhou MR Commander"/>
    <n v="6"/>
    <x v="1"/>
    <m/>
    <x v="0"/>
    <m/>
    <x v="0"/>
    <m/>
    <x v="1"/>
    <m/>
    <m/>
    <m/>
    <s v="Defense White Paper Appendix"/>
    <m/>
  </r>
  <r>
    <x v="1"/>
    <x v="6"/>
    <s v="Europe and Central Asia"/>
    <s v="Member"/>
    <s v="None"/>
    <x v="1"/>
    <x v="14"/>
    <x v="16"/>
    <n v="6"/>
    <x v="1"/>
    <s v="Cao Gangchuan"/>
    <m/>
    <s v="CMC Vice Chairman; Defense Minister"/>
    <n v="10"/>
    <x v="2"/>
    <s v="Fifth official meeting of the SCO Ministers' of Defense in Bishkek; Other countries: Kazakhstan, Kyrgyztan, Russia, Tajikistan, Uzbekistan"/>
    <x v="0"/>
    <m/>
    <x v="0"/>
    <m/>
    <x v="1"/>
    <m/>
    <m/>
    <m/>
    <s v="https://www.fmprc.gov.cn/mfa_eng/wjdt_665385/2649_665393/t355665.shtml"/>
    <m/>
  </r>
  <r>
    <x v="1"/>
    <x v="1"/>
    <s v="Asia"/>
    <s v="No Specific Relationship"/>
    <s v="None"/>
    <x v="0"/>
    <x v="39"/>
    <x v="16"/>
    <n v="6"/>
    <x v="4"/>
    <s v="Ma Xiaotian"/>
    <m/>
    <s v="GSD DCGS"/>
    <n v="6"/>
    <x v="1"/>
    <m/>
    <x v="0"/>
    <m/>
    <x v="0"/>
    <m/>
    <x v="1"/>
    <m/>
    <m/>
    <m/>
    <s v="Defense White Paper Appendix"/>
    <m/>
  </r>
  <r>
    <x v="1"/>
    <x v="4"/>
    <s v="Asia"/>
    <s v="Comprehensive Cooperative Partnership [全面合作伙伴关系]"/>
    <s v="Bilateral Defense Treaty"/>
    <x v="0"/>
    <x v="25"/>
    <x v="16"/>
    <n v="6"/>
    <x v="4"/>
    <s v="Tong Shiping"/>
    <m/>
    <s v="PLA NDU Political Commissar"/>
    <n v="6"/>
    <x v="1"/>
    <m/>
    <x v="0"/>
    <m/>
    <x v="0"/>
    <m/>
    <x v="1"/>
    <m/>
    <m/>
    <m/>
    <s v="Defense White Paper Appendix"/>
    <m/>
  </r>
  <r>
    <x v="1"/>
    <x v="8"/>
    <s v="Europe and Central Asia"/>
    <s v="No Specific Relationship"/>
    <s v="NATO"/>
    <x v="3"/>
    <x v="38"/>
    <x v="16"/>
    <n v="6"/>
    <x v="3"/>
    <s v="Ma Xiaotian"/>
    <m/>
    <s v="GSD DCGS"/>
    <n v="6"/>
    <x v="1"/>
    <m/>
    <x v="0"/>
    <m/>
    <x v="0"/>
    <m/>
    <x v="1"/>
    <m/>
    <m/>
    <m/>
    <s v="Defense White Paper Appendix"/>
    <m/>
  </r>
  <r>
    <x v="1"/>
    <x v="2"/>
    <s v="America and Oceania"/>
    <s v="No Specific Relationship"/>
    <s v="N/A"/>
    <x v="2"/>
    <x v="4"/>
    <x v="16"/>
    <n v="6"/>
    <x v="7"/>
    <s v="Zhang Qinsheng"/>
    <m/>
    <s v="GSD DCGS"/>
    <n v="6"/>
    <x v="1"/>
    <s v="Chairman JCS"/>
    <x v="0"/>
    <m/>
    <x v="0"/>
    <m/>
    <x v="1"/>
    <m/>
    <m/>
    <m/>
    <s v="China's &quot;New&quot; Diplomacy: Tactical or Fundamental Change?, page 204"/>
    <m/>
  </r>
  <r>
    <x v="1"/>
    <x v="7"/>
    <s v="West Asia and Africa"/>
    <s v="No Specific Relationship"/>
    <s v="None"/>
    <x v="4"/>
    <x v="61"/>
    <x v="16"/>
    <n v="6"/>
    <x v="3"/>
    <s v="Cao Gangchuan"/>
    <m/>
    <s v="CMC Vice Chairman; Defense Minister"/>
    <n v="10"/>
    <x v="2"/>
    <s v="Defense Minister"/>
    <x v="0"/>
    <m/>
    <x v="0"/>
    <m/>
    <x v="1"/>
    <m/>
    <m/>
    <m/>
    <s v="Defense White Paper Appendix"/>
    <m/>
  </r>
  <r>
    <x v="1"/>
    <x v="7"/>
    <s v="West Asia and Africa"/>
    <s v="No Specific Relationship"/>
    <s v="None"/>
    <x v="4"/>
    <x v="86"/>
    <x v="16"/>
    <n v="6"/>
    <x v="3"/>
    <s v="Cao Gangchuan"/>
    <m/>
    <s v="CMC Vice Chairman; Defense Minister"/>
    <n v="10"/>
    <x v="2"/>
    <s v="Defense Minister"/>
    <x v="0"/>
    <m/>
    <x v="0"/>
    <m/>
    <x v="1"/>
    <m/>
    <m/>
    <m/>
    <s v="Defense White Paper Appendix"/>
    <m/>
  </r>
  <r>
    <x v="1"/>
    <x v="5"/>
    <s v="America and Oceania"/>
    <s v="No Specific Relationship"/>
    <s v="ANZUS Treaty"/>
    <x v="0"/>
    <x v="12"/>
    <x v="16"/>
    <n v="7"/>
    <x v="3"/>
    <s v="Cao Gangchuan"/>
    <m/>
    <s v="CMC Vice Chairman; Defense Minister"/>
    <n v="8"/>
    <x v="2"/>
    <s v="Defense Minister"/>
    <x v="0"/>
    <m/>
    <x v="0"/>
    <m/>
    <x v="1"/>
    <m/>
    <m/>
    <m/>
    <s v="https://dlib.eastview.com/browse/doc/24489731"/>
    <m/>
  </r>
  <r>
    <x v="1"/>
    <x v="8"/>
    <s v="Europe and Central Asia"/>
    <s v="No Specific Relationship"/>
    <s v="NATO"/>
    <x v="3"/>
    <x v="79"/>
    <x v="16"/>
    <n v="7"/>
    <x v="3"/>
    <s v="Chen Xiaogong "/>
    <m/>
    <s v="GSD DCGS"/>
    <n v="6"/>
    <x v="2"/>
    <s v="Navy Chief of Staff"/>
    <x v="0"/>
    <m/>
    <x v="0"/>
    <m/>
    <x v="1"/>
    <m/>
    <m/>
    <m/>
    <s v="https://dlib.eastview.com/browse/doc/24529512"/>
    <m/>
  </r>
  <r>
    <x v="1"/>
    <x v="10"/>
    <s v="America and Oceania"/>
    <s v="Comprehensive Partnership [全面伙伴关系]"/>
    <s v="None"/>
    <x v="5"/>
    <x v="66"/>
    <x v="16"/>
    <n v="7"/>
    <x v="4"/>
    <s v="Hu Yanlin"/>
    <m/>
    <s v="PLAN Political Commissar"/>
    <n v="6"/>
    <x v="1"/>
    <m/>
    <x v="0"/>
    <m/>
    <x v="0"/>
    <m/>
    <x v="1"/>
    <m/>
    <m/>
    <m/>
    <s v="Defense White Paper Appendix"/>
    <m/>
  </r>
  <r>
    <x v="1"/>
    <x v="7"/>
    <s v="West Asia and Africa"/>
    <s v="Comprehensive Strategic Partnership [全面战略伙伴关系]"/>
    <s v="None"/>
    <x v="4"/>
    <x v="127"/>
    <x v="16"/>
    <n v="7"/>
    <x v="3"/>
    <s v="Cao Gangchuan"/>
    <m/>
    <s v="CMC Vice Chairman; Defense Minister"/>
    <n v="10"/>
    <x v="2"/>
    <s v="Defense Minister"/>
    <x v="0"/>
    <m/>
    <x v="0"/>
    <m/>
    <x v="1"/>
    <m/>
    <m/>
    <m/>
    <s v="Defense White Paper Appendix"/>
    <m/>
  </r>
  <r>
    <x v="1"/>
    <x v="10"/>
    <s v="America and Oceania"/>
    <s v="No Specific Relationship"/>
    <s v="None"/>
    <x v="5"/>
    <x v="51"/>
    <x v="16"/>
    <n v="7"/>
    <x v="3"/>
    <s v="Xu Caihou"/>
    <m/>
    <s v="CMC Vice Chairman"/>
    <n v="10"/>
    <x v="2"/>
    <s v="Chief of Joint Command"/>
    <x v="0"/>
    <m/>
    <x v="0"/>
    <m/>
    <x v="1"/>
    <m/>
    <m/>
    <m/>
    <s v="Defense White Paper Appendix"/>
    <m/>
  </r>
  <r>
    <x v="1"/>
    <x v="10"/>
    <s v="America and Oceania"/>
    <s v="No Specific Relationship"/>
    <s v="None"/>
    <x v="5"/>
    <x v="138"/>
    <x v="16"/>
    <n v="7"/>
    <x v="3"/>
    <s v="Cao Gangchuan"/>
    <m/>
    <s v="CMC Vice Chairman; Defense Minister"/>
    <n v="10"/>
    <x v="2"/>
    <s v="Defense Minister"/>
    <x v="0"/>
    <m/>
    <x v="0"/>
    <m/>
    <x v="1"/>
    <m/>
    <m/>
    <m/>
    <s v="Defense White Paper Appendix"/>
    <m/>
  </r>
  <r>
    <x v="1"/>
    <x v="0"/>
    <s v="Asia"/>
    <s v="Strategic Partnership [战略伙伴关系]"/>
    <s v="Major Non-NATO Ally"/>
    <x v="1"/>
    <x v="2"/>
    <x v="16"/>
    <n v="7"/>
    <x v="4"/>
    <s v="Hu Yanlin"/>
    <m/>
    <s v="PLAN Political Commissar"/>
    <n v="6"/>
    <x v="1"/>
    <m/>
    <x v="0"/>
    <m/>
    <x v="0"/>
    <m/>
    <x v="1"/>
    <m/>
    <m/>
    <m/>
    <s v="Defense White Paper Appendix"/>
    <m/>
  </r>
  <r>
    <x v="1"/>
    <x v="7"/>
    <s v="West Asia and Africa"/>
    <s v="Strategic Partnership [战略伙伴关系]"/>
    <s v="None"/>
    <x v="4"/>
    <x v="15"/>
    <x v="16"/>
    <n v="7"/>
    <x v="3"/>
    <s v="Xu Caihou"/>
    <m/>
    <s v="CMC Vice Chairman"/>
    <n v="10"/>
    <x v="2"/>
    <s v="Air Force Commander"/>
    <x v="0"/>
    <m/>
    <x v="0"/>
    <m/>
    <x v="1"/>
    <m/>
    <m/>
    <m/>
    <s v="Defense White Paper Appendix"/>
    <m/>
  </r>
  <r>
    <x v="1"/>
    <x v="4"/>
    <s v="Asia"/>
    <s v="Comprehensive Cooperative Partnership [全面合作伙伴关系]"/>
    <s v="Bilateral Defense Treaty"/>
    <x v="0"/>
    <x v="25"/>
    <x v="16"/>
    <n v="7"/>
    <x v="4"/>
    <s v="Fan Changlong"/>
    <m/>
    <s v="Jinan MR Commander"/>
    <n v="6"/>
    <x v="1"/>
    <m/>
    <x v="0"/>
    <m/>
    <x v="0"/>
    <m/>
    <x v="1"/>
    <m/>
    <m/>
    <m/>
    <s v="Defense White Paper Appendix"/>
    <m/>
  </r>
  <r>
    <x v="2"/>
    <x v="1"/>
    <s v="Asia"/>
    <s v="Strategic Partnership [战略伙伴关系]"/>
    <s v="Bilateral Defense Treaty"/>
    <x v="0"/>
    <x v="5"/>
    <x v="16"/>
    <n v="7"/>
    <x v="5"/>
    <m/>
    <m/>
    <m/>
    <m/>
    <x v="0"/>
    <m/>
    <x v="1"/>
    <s v="Strike 2007"/>
    <x v="1"/>
    <s v="Anti-terrorism"/>
    <x v="1"/>
    <m/>
    <m/>
    <m/>
    <s v="Defense White Paper Appendix"/>
    <m/>
  </r>
  <r>
    <x v="1"/>
    <x v="0"/>
    <s v="Asia"/>
    <s v="Comprehensive Cooperative Partnership [全面合作伙伴关系]"/>
    <s v="None"/>
    <x v="0"/>
    <x v="0"/>
    <x v="16"/>
    <n v="8"/>
    <x v="4"/>
    <s v="Chang Wanquan"/>
    <m/>
    <s v="GAD Director; CMC Member"/>
    <n v="8"/>
    <x v="1"/>
    <m/>
    <x v="0"/>
    <m/>
    <x v="0"/>
    <m/>
    <x v="1"/>
    <m/>
    <m/>
    <m/>
    <s v="Defense White Paper Appendix"/>
    <m/>
  </r>
  <r>
    <x v="1"/>
    <x v="7"/>
    <s v="West Asia and Africa"/>
    <s v="No Specific Relationship"/>
    <s v="None"/>
    <x v="4"/>
    <x v="93"/>
    <x v="16"/>
    <n v="8"/>
    <x v="3"/>
    <s v="Xu Caihou"/>
    <m/>
    <s v="CMC Vice Chairman"/>
    <n v="10"/>
    <x v="2"/>
    <s v="Commander Defense Force"/>
    <x v="0"/>
    <m/>
    <x v="0"/>
    <m/>
    <x v="1"/>
    <m/>
    <m/>
    <m/>
    <s v="https://dlib.eastview.com/browse/doc/24489383"/>
    <m/>
  </r>
  <r>
    <x v="1"/>
    <x v="1"/>
    <s v="Asia"/>
    <s v="No Specific Relationship"/>
    <s v="None"/>
    <x v="0"/>
    <x v="44"/>
    <x v="16"/>
    <n v="8"/>
    <x v="4"/>
    <s v="Chang Wanquan"/>
    <m/>
    <s v="GAD Director; CMC Member"/>
    <n v="8"/>
    <x v="1"/>
    <m/>
    <x v="0"/>
    <m/>
    <x v="0"/>
    <m/>
    <x v="1"/>
    <m/>
    <m/>
    <m/>
    <s v="Defense White Paper Appendix"/>
    <m/>
  </r>
  <r>
    <x v="1"/>
    <x v="1"/>
    <s v="Asia"/>
    <s v="Comprehensive Cooperative Partnership [全面合作伙伴关系]"/>
    <s v="None"/>
    <x v="0"/>
    <x v="94"/>
    <x v="16"/>
    <n v="8"/>
    <x v="4"/>
    <s v="Liu Dongdong"/>
    <m/>
    <s v="Jinan MR Political Commissar"/>
    <n v="6"/>
    <x v="1"/>
    <m/>
    <x v="0"/>
    <m/>
    <x v="0"/>
    <m/>
    <x v="1"/>
    <m/>
    <m/>
    <m/>
    <s v="Defense White Paper Appendix"/>
    <m/>
  </r>
  <r>
    <x v="1"/>
    <x v="1"/>
    <s v="Asia"/>
    <s v="Strategic Partnership [战略伙伴关系]"/>
    <s v="None"/>
    <x v="0"/>
    <x v="8"/>
    <x v="16"/>
    <n v="8"/>
    <x v="4"/>
    <s v="Chang Wanquan"/>
    <m/>
    <s v="GAD Director; CMC Member"/>
    <n v="8"/>
    <x v="1"/>
    <m/>
    <x v="0"/>
    <m/>
    <x v="0"/>
    <m/>
    <x v="1"/>
    <m/>
    <m/>
    <m/>
    <s v="Defense White Paper Appendix"/>
    <m/>
  </r>
  <r>
    <x v="1"/>
    <x v="1"/>
    <s v="Asia"/>
    <s v="Comprehensive Cooperative Partnership [全面合作伙伴关系]"/>
    <s v="None"/>
    <x v="0"/>
    <x v="52"/>
    <x v="16"/>
    <n v="8"/>
    <x v="4"/>
    <s v="Liu Dongdong"/>
    <m/>
    <s v="Jinan MR Political Commissar"/>
    <n v="6"/>
    <x v="1"/>
    <m/>
    <x v="0"/>
    <m/>
    <x v="0"/>
    <m/>
    <x v="1"/>
    <m/>
    <m/>
    <m/>
    <s v="Defense White Paper Appendix"/>
    <m/>
  </r>
  <r>
    <x v="1"/>
    <x v="7"/>
    <s v="West Asia and Africa"/>
    <s v="No Specific Relationship"/>
    <s v="None"/>
    <x v="4"/>
    <x v="121"/>
    <x v="16"/>
    <n v="8"/>
    <x v="3"/>
    <s v="Cao Gangchuan"/>
    <m/>
    <s v="CMC Vice Chairman; Defense Minister"/>
    <n v="10"/>
    <x v="2"/>
    <s v="COGS"/>
    <x v="0"/>
    <m/>
    <x v="0"/>
    <m/>
    <x v="1"/>
    <m/>
    <m/>
    <m/>
    <s v="Defense White Paper Appendix"/>
    <m/>
  </r>
  <r>
    <x v="1"/>
    <x v="1"/>
    <s v="Asia"/>
    <s v="No Specific Relationship"/>
    <s v="None"/>
    <x v="0"/>
    <x v="1"/>
    <x v="16"/>
    <n v="8"/>
    <x v="4"/>
    <s v="Liu Dongdong"/>
    <m/>
    <s v="Jinan MR Political Commissar"/>
    <n v="6"/>
    <x v="1"/>
    <m/>
    <x v="0"/>
    <m/>
    <x v="0"/>
    <m/>
    <x v="1"/>
    <m/>
    <m/>
    <m/>
    <s v="Defense White Paper Appendix"/>
    <m/>
  </r>
  <r>
    <x v="1"/>
    <x v="4"/>
    <s v="Asia"/>
    <s v="Bilateral Defense Treaty"/>
    <s v="None"/>
    <x v="0"/>
    <x v="9"/>
    <x v="16"/>
    <n v="8"/>
    <x v="4"/>
    <s v="Zhang Li"/>
    <m/>
    <s v="GLD Deputy Director"/>
    <n v="6"/>
    <x v="1"/>
    <m/>
    <x v="0"/>
    <m/>
    <x v="0"/>
    <m/>
    <x v="1"/>
    <m/>
    <m/>
    <m/>
    <s v="Defense White Paper Appendix"/>
    <m/>
  </r>
  <r>
    <x v="1"/>
    <x v="8"/>
    <s v="Europe and Central Asia"/>
    <s v="Comprehensive Friendly Cooperative Partnership [全面友好合作伙伴关系]"/>
    <s v="NATO"/>
    <x v="3"/>
    <x v="33"/>
    <x v="16"/>
    <n v="8"/>
    <x v="4"/>
    <s v="Zhang Li"/>
    <m/>
    <s v="GLD Deputy Director"/>
    <n v="6"/>
    <x v="1"/>
    <m/>
    <x v="0"/>
    <m/>
    <x v="0"/>
    <m/>
    <x v="1"/>
    <m/>
    <m/>
    <m/>
    <s v="Defense White Paper Appendix"/>
    <m/>
  </r>
  <r>
    <x v="1"/>
    <x v="3"/>
    <s v="Europe and Central Asia"/>
    <s v="Strategic Partnership of Coordination [战略协作伙伴关系]"/>
    <s v="None"/>
    <x v="3"/>
    <x v="7"/>
    <x v="16"/>
    <n v="8"/>
    <x v="4"/>
    <s v="Zhang Li"/>
    <m/>
    <s v="GLD Deputy Director"/>
    <n v="6"/>
    <x v="1"/>
    <m/>
    <x v="0"/>
    <m/>
    <x v="0"/>
    <m/>
    <x v="1"/>
    <m/>
    <m/>
    <m/>
    <s v="Defense White Paper Appendix"/>
    <m/>
  </r>
  <r>
    <x v="2"/>
    <x v="6"/>
    <s v="Europe and Central Asia"/>
    <s v="Member"/>
    <s v="None"/>
    <x v="1"/>
    <x v="14"/>
    <x v="16"/>
    <n v="8"/>
    <x v="6"/>
    <m/>
    <m/>
    <m/>
    <m/>
    <x v="0"/>
    <m/>
    <x v="3"/>
    <s v="Peace Mission 2007"/>
    <x v="3"/>
    <s v="Army, Navy, Air Force, SOF. Countries: Russia, Tajikistan, Kazakhstan, Uzbekistan and Kyrgyzstan.  Aug. 9 to Aug. 17."/>
    <x v="1"/>
    <m/>
    <m/>
    <m/>
    <s v="http://en.people.cn/90002/91620/index.html "/>
    <m/>
  </r>
  <r>
    <x v="1"/>
    <x v="10"/>
    <s v="America and Oceania"/>
    <s v="No Specific Relationship"/>
    <s v="None"/>
    <x v="5"/>
    <x v="107"/>
    <x v="16"/>
    <n v="8"/>
    <x v="3"/>
    <s v="Cao Gangchuan"/>
    <m/>
    <s v="CMC Vice Chairman; Defense Minister"/>
    <n v="8"/>
    <x v="2"/>
    <s v="Secretary of Defense"/>
    <x v="0"/>
    <m/>
    <x v="0"/>
    <m/>
    <x v="1"/>
    <m/>
    <m/>
    <m/>
    <s v="Defense White Paper Appendix"/>
    <m/>
  </r>
  <r>
    <x v="1"/>
    <x v="10"/>
    <s v="America and Oceania"/>
    <s v="Comprehensive Strategic Partnership [全面战略伙伴关系]"/>
    <s v="None"/>
    <x v="5"/>
    <x v="43"/>
    <x v="16"/>
    <n v="9"/>
    <x v="3"/>
    <s v="Ma Xiaotian"/>
    <m/>
    <s v="GSD DCGS"/>
    <n v="6"/>
    <x v="2"/>
    <s v="Army Chief of Staff"/>
    <x v="0"/>
    <m/>
    <x v="0"/>
    <m/>
    <x v="1"/>
    <m/>
    <m/>
    <m/>
    <s v="Defense White Paper Appendix"/>
    <m/>
  </r>
  <r>
    <x v="1"/>
    <x v="8"/>
    <s v="Europe and Central Asia"/>
    <s v="No Specific Relationship"/>
    <s v="NATO"/>
    <x v="3"/>
    <x v="79"/>
    <x v="16"/>
    <n v="9"/>
    <x v="3"/>
    <s v="Cao Gangchuan"/>
    <m/>
    <s v="CMC Vice Chairman; Defense Minister"/>
    <n v="10"/>
    <x v="2"/>
    <s v="Defense Minister"/>
    <x v="0"/>
    <m/>
    <x v="0"/>
    <m/>
    <x v="1"/>
    <m/>
    <m/>
    <m/>
    <s v="Defense White Paper Appendix"/>
    <m/>
  </r>
  <r>
    <x v="1"/>
    <x v="7"/>
    <s v="West Asia and Africa"/>
    <s v="No Specific Relationship"/>
    <s v="None"/>
    <x v="4"/>
    <x v="132"/>
    <x v="16"/>
    <n v="9"/>
    <x v="3"/>
    <s v="Cao Gangchuan"/>
    <m/>
    <s v="CMC Vice Chairman; Defense Minister"/>
    <n v="10"/>
    <x v="2"/>
    <s v="Defense Minister"/>
    <x v="0"/>
    <m/>
    <x v="0"/>
    <m/>
    <x v="1"/>
    <m/>
    <m/>
    <m/>
    <s v="Defense White Paper Appendix"/>
    <m/>
  </r>
  <r>
    <x v="1"/>
    <x v="7"/>
    <s v="West Asia and Africa"/>
    <s v="No Specific Relationship"/>
    <s v="None"/>
    <x v="4"/>
    <x v="125"/>
    <x v="16"/>
    <n v="9"/>
    <x v="3"/>
    <s v="Cao Gangchuan"/>
    <m/>
    <s v="CMC Vice Chairman; Defense Minister"/>
    <n v="8"/>
    <x v="2"/>
    <s v="COGS"/>
    <x v="0"/>
    <m/>
    <x v="0"/>
    <m/>
    <x v="1"/>
    <m/>
    <m/>
    <m/>
    <s v="Defense White Paper Appendix"/>
    <m/>
  </r>
  <r>
    <x v="1"/>
    <x v="10"/>
    <s v="America and Oceania"/>
    <s v="Comprehensive Partnership [全面伙伴关系]"/>
    <s v="None"/>
    <x v="5"/>
    <x v="66"/>
    <x v="16"/>
    <n v="9"/>
    <x v="4"/>
    <s v="Xu Qiliang"/>
    <m/>
    <s v="PLAAF Commander; CMC Member"/>
    <n v="8"/>
    <x v="1"/>
    <m/>
    <x v="0"/>
    <m/>
    <x v="0"/>
    <m/>
    <x v="1"/>
    <m/>
    <m/>
    <m/>
    <s v="Defense White Paper Appendix"/>
    <m/>
  </r>
  <r>
    <x v="1"/>
    <x v="10"/>
    <s v="America and Oceania"/>
    <s v="No Specific Relationship"/>
    <s v="None"/>
    <x v="5"/>
    <x v="49"/>
    <x v="16"/>
    <n v="9"/>
    <x v="4"/>
    <s v="Zhang Li"/>
    <m/>
    <s v="GLD Deputy Director"/>
    <n v="6"/>
    <x v="1"/>
    <m/>
    <x v="0"/>
    <m/>
    <x v="0"/>
    <m/>
    <x v="1"/>
    <m/>
    <m/>
    <m/>
    <s v="Defense White Paper Appendix"/>
    <m/>
  </r>
  <r>
    <x v="1"/>
    <x v="10"/>
    <s v="America and Oceania"/>
    <s v="No Specific Relationship"/>
    <s v="None"/>
    <x v="5"/>
    <x v="51"/>
    <x v="16"/>
    <n v="9"/>
    <x v="4"/>
    <s v="Ma Xiaotian"/>
    <m/>
    <s v="GSD DCGS"/>
    <n v="6"/>
    <x v="1"/>
    <m/>
    <x v="0"/>
    <m/>
    <x v="0"/>
    <m/>
    <x v="1"/>
    <m/>
    <m/>
    <m/>
    <s v="Defense White Paper Appendix"/>
    <m/>
  </r>
  <r>
    <x v="1"/>
    <x v="8"/>
    <s v="Europe and Central Asia"/>
    <s v="No Specific Relationship"/>
    <s v="None"/>
    <x v="3"/>
    <x v="81"/>
    <x v="16"/>
    <n v="9"/>
    <x v="4"/>
    <s v="Xu Qiliang"/>
    <m/>
    <s v="PLAAF Commander; CMC Member"/>
    <n v="8"/>
    <x v="1"/>
    <m/>
    <x v="0"/>
    <m/>
    <x v="0"/>
    <m/>
    <x v="1"/>
    <m/>
    <m/>
    <m/>
    <s v="Defense White Paper Appendix"/>
    <m/>
  </r>
  <r>
    <x v="1"/>
    <x v="8"/>
    <s v="Europe and Central Asia"/>
    <s v="Comprehensive Partnership [全面伙伴关系]"/>
    <s v="NATO"/>
    <x v="3"/>
    <x v="22"/>
    <x v="16"/>
    <n v="9"/>
    <x v="3"/>
    <s v="Cao Gangchuan"/>
    <m/>
    <s v="CMC Vice Chairman; Defense Minister"/>
    <n v="10"/>
    <x v="2"/>
    <s v="Navy Chief of Staff"/>
    <x v="0"/>
    <m/>
    <x v="0"/>
    <m/>
    <x v="1"/>
    <m/>
    <m/>
    <m/>
    <s v="Defense White Paper Appendix"/>
    <m/>
  </r>
  <r>
    <x v="0"/>
    <x v="8"/>
    <s v="Europe and Central Asia"/>
    <s v="Comprehensive Partnership [全面伙伴关系]"/>
    <s v="NATO"/>
    <x v="3"/>
    <x v="22"/>
    <x v="16"/>
    <n v="9"/>
    <x v="0"/>
    <m/>
    <m/>
    <m/>
    <m/>
    <x v="0"/>
    <m/>
    <x v="0"/>
    <m/>
    <x v="0"/>
    <m/>
    <x v="0"/>
    <s v="NETF"/>
    <m/>
    <m/>
    <s v="https://csis-website-prod.s3.amazonaws.com/s3fs-public/legacy_files/files/media/csis/pubs/080507-gill-chinaeuroperelations-web.pdf"/>
    <m/>
  </r>
  <r>
    <x v="1"/>
    <x v="4"/>
    <s v="Asia"/>
    <s v="Partnership of Friendship and Cooperation for Peace and Development [致力于和平发展的友好合作关系]"/>
    <s v="Bilateral Defense Treaty"/>
    <x v="0"/>
    <x v="83"/>
    <x v="16"/>
    <n v="9"/>
    <x v="4"/>
    <s v="Cao Gangchuan"/>
    <m/>
    <s v="CMC Vice Chairman; Defense Minister"/>
    <n v="8"/>
    <x v="1"/>
    <m/>
    <x v="0"/>
    <m/>
    <x v="0"/>
    <m/>
    <x v="1"/>
    <m/>
    <m/>
    <m/>
    <s v="Defense White Paper Appendix"/>
    <m/>
  </r>
  <r>
    <x v="1"/>
    <x v="2"/>
    <s v="America and Oceania"/>
    <s v="Strategic Cooperative Partnership [战略合作伙伴关系]"/>
    <s v="None"/>
    <x v="2"/>
    <x v="77"/>
    <x v="16"/>
    <n v="9"/>
    <x v="4"/>
    <s v="Ma Xiaotian"/>
    <m/>
    <s v="GSD DCGS"/>
    <n v="6"/>
    <x v="1"/>
    <m/>
    <x v="0"/>
    <m/>
    <x v="0"/>
    <m/>
    <x v="1"/>
    <m/>
    <m/>
    <m/>
    <s v="Defense White Paper Appendix"/>
    <m/>
  </r>
  <r>
    <x v="1"/>
    <x v="1"/>
    <s v="Asia"/>
    <s v="Strategic Cooperative Partnership [战略合作伙伴关系]"/>
    <s v="Bilateral Defense Treaty"/>
    <x v="0"/>
    <x v="11"/>
    <x v="16"/>
    <n v="9"/>
    <x v="4"/>
    <s v="Cao Gangchuan"/>
    <m/>
    <s v="CMC Vice Chairman; Defense Minister"/>
    <n v="8"/>
    <x v="1"/>
    <m/>
    <x v="0"/>
    <m/>
    <x v="0"/>
    <m/>
    <x v="1"/>
    <m/>
    <m/>
    <m/>
    <s v="Defense White Paper Appendix"/>
    <m/>
  </r>
  <r>
    <x v="1"/>
    <x v="8"/>
    <s v="Europe and Central Asia"/>
    <s v="No Specific Relationship"/>
    <s v="NATO"/>
    <x v="3"/>
    <x v="59"/>
    <x v="16"/>
    <n v="9"/>
    <x v="4"/>
    <s v="Zhang Li"/>
    <m/>
    <s v="GLD Deputy Director"/>
    <n v="6"/>
    <x v="1"/>
    <m/>
    <x v="0"/>
    <m/>
    <x v="0"/>
    <m/>
    <x v="1"/>
    <m/>
    <m/>
    <m/>
    <s v="Defense White Paper Appendix"/>
    <m/>
  </r>
  <r>
    <x v="2"/>
    <x v="3"/>
    <s v="Europe and Central Asia"/>
    <s v="Strategic Partnership of Coordination [战略协作伙伴关系]"/>
    <s v="None"/>
    <x v="3"/>
    <x v="7"/>
    <x v="16"/>
    <n v="9"/>
    <x v="5"/>
    <m/>
    <m/>
    <m/>
    <m/>
    <x v="0"/>
    <m/>
    <x v="1"/>
    <s v="Cooperation 2007"/>
    <x v="4"/>
    <s v="Snow Leopard commando unit"/>
    <x v="1"/>
    <m/>
    <m/>
    <m/>
    <s v="https://www.jstor.org/stable/resrep11945.11?seq=1#metadata_info_tab_contents"/>
    <m/>
  </r>
  <r>
    <x v="0"/>
    <x v="3"/>
    <s v="Europe and Central Asia"/>
    <s v="Strategic Partnership of Coordination [战略协作伙伴关系]"/>
    <s v="N/A"/>
    <x v="3"/>
    <x v="7"/>
    <x v="16"/>
    <n v="9"/>
    <x v="0"/>
    <m/>
    <m/>
    <m/>
    <m/>
    <x v="0"/>
    <m/>
    <x v="0"/>
    <m/>
    <x v="0"/>
    <m/>
    <x v="0"/>
    <s v="NETF"/>
    <m/>
    <m/>
    <s v="https://csis-website-prod.s3.amazonaws.com/s3fs-public/legacy_files/files/media/csis/pubs/080507-gill-chinaeuroperelations-web.pdf"/>
    <m/>
  </r>
  <r>
    <x v="1"/>
    <x v="7"/>
    <s v="West Asia and Africa"/>
    <s v="No Specific Relationship"/>
    <s v="None"/>
    <x v="4"/>
    <x v="139"/>
    <x v="16"/>
    <n v="9"/>
    <x v="3"/>
    <s v="Cao Gangchuan"/>
    <m/>
    <s v="CMC Vice Chairman; Defense Minister"/>
    <n v="10"/>
    <x v="2"/>
    <s v="Commander Defense Force"/>
    <x v="0"/>
    <m/>
    <x v="0"/>
    <m/>
    <x v="1"/>
    <m/>
    <m/>
    <m/>
    <s v="Defense White Paper Appendix"/>
    <m/>
  </r>
  <r>
    <x v="0"/>
    <x v="8"/>
    <s v="Europe and Central Asia"/>
    <s v="Comprehensive Strategic Partnership [全面战略伙伴关系]"/>
    <s v="NATO"/>
    <x v="3"/>
    <x v="70"/>
    <x v="16"/>
    <n v="9"/>
    <x v="0"/>
    <m/>
    <m/>
    <m/>
    <m/>
    <x v="0"/>
    <m/>
    <x v="0"/>
    <m/>
    <x v="0"/>
    <m/>
    <x v="0"/>
    <s v="NETF"/>
    <m/>
    <m/>
    <s v="https://csis-website-prod.s3.amazonaws.com/s3fs-public/legacy_files/files/media/csis/pubs/080507-gill-chinaeuroperelations-web.pdf"/>
    <m/>
  </r>
  <r>
    <x v="1"/>
    <x v="7"/>
    <s v="West Asia and Africa"/>
    <s v="No Specific Relationship"/>
    <s v="None"/>
    <x v="4"/>
    <x v="97"/>
    <x v="16"/>
    <n v="9"/>
    <x v="3"/>
    <s v="Cao Gangchuan"/>
    <m/>
    <s v="CMC Vice Chairman; Defense Minister"/>
    <n v="8"/>
    <x v="2"/>
    <s v="Commander Defense Force"/>
    <x v="0"/>
    <m/>
    <x v="0"/>
    <m/>
    <x v="1"/>
    <m/>
    <m/>
    <m/>
    <s v="Defense White Paper Appendix"/>
    <m/>
  </r>
  <r>
    <x v="0"/>
    <x v="8"/>
    <s v="Europe and Central Asia"/>
    <s v="Comprehensive Strategic Partnership [全面战略伙伴关系]"/>
    <s v="NATO"/>
    <x v="3"/>
    <x v="21"/>
    <x v="16"/>
    <n v="9"/>
    <x v="0"/>
    <m/>
    <m/>
    <m/>
    <m/>
    <x v="0"/>
    <m/>
    <x v="0"/>
    <m/>
    <x v="0"/>
    <m/>
    <x v="0"/>
    <s v="NETF"/>
    <m/>
    <m/>
    <s v="https://csis-website-prod.s3.amazonaws.com/s3fs-public/legacy_files/files/media/csis/pubs/080507-gill-chinaeuroperelations-web.pdf"/>
    <m/>
  </r>
  <r>
    <x v="2"/>
    <x v="5"/>
    <s v="America and Oceania"/>
    <s v="No Specific Relationship"/>
    <s v="ANZUS Treaty"/>
    <x v="0"/>
    <x v="12"/>
    <x v="16"/>
    <n v="10"/>
    <x v="6"/>
    <m/>
    <m/>
    <m/>
    <m/>
    <x v="0"/>
    <m/>
    <x v="2"/>
    <s v="Joint Maritime SAREX"/>
    <x v="2"/>
    <s v="SAREX. Other countries: New Zeland "/>
    <x v="1"/>
    <m/>
    <m/>
    <m/>
    <s v="Defense White Paper Appendix"/>
    <m/>
  </r>
  <r>
    <x v="1"/>
    <x v="0"/>
    <s v="Europe and Central Asia"/>
    <s v="Comprehensive Cooperative Partnership [全面合作伙伴关系]"/>
    <s v="Major Non-NATO Ally"/>
    <x v="1"/>
    <x v="123"/>
    <x v="16"/>
    <n v="11"/>
    <x v="3"/>
    <s v="Cao Gangchuan"/>
    <m/>
    <s v="CMC Vice Chairman; Defense Minister"/>
    <n v="8"/>
    <x v="2"/>
    <s v="COGS"/>
    <x v="0"/>
    <m/>
    <x v="0"/>
    <m/>
    <x v="1"/>
    <m/>
    <m/>
    <m/>
    <s v="Defense White Paper Appendix"/>
    <m/>
  </r>
  <r>
    <x v="1"/>
    <x v="8"/>
    <s v="Europe and Central Asia"/>
    <s v="No Specific Relationship"/>
    <s v="NATO"/>
    <x v="3"/>
    <x v="79"/>
    <x v="16"/>
    <n v="11"/>
    <x v="4"/>
    <s v="Jing Zhiyuan"/>
    <m/>
    <s v="PLASAF Commander; CMC Member"/>
    <n v="8"/>
    <x v="1"/>
    <m/>
    <x v="0"/>
    <m/>
    <x v="0"/>
    <m/>
    <x v="1"/>
    <m/>
    <m/>
    <m/>
    <s v="Defense White Paper Appendix"/>
    <m/>
  </r>
  <r>
    <x v="1"/>
    <x v="9"/>
    <s v="West Asia and Africa"/>
    <s v="Strategic Cooperative Partnership [战略合作伙伴关系]"/>
    <s v="Major Non-NATO Ally"/>
    <x v="1"/>
    <x v="24"/>
    <x v="16"/>
    <n v="11"/>
    <x v="4"/>
    <s v="Sun Dafa"/>
    <m/>
    <s v="GLD Political Commissar"/>
    <n v="6"/>
    <x v="1"/>
    <m/>
    <x v="0"/>
    <m/>
    <x v="0"/>
    <m/>
    <x v="1"/>
    <m/>
    <m/>
    <m/>
    <s v="Defense White Paper Appendix"/>
    <m/>
  </r>
  <r>
    <x v="1"/>
    <x v="0"/>
    <s v="Asia"/>
    <s v="Strategic Partnership for Peace and Prosperity [战略伙伴关系]"/>
    <s v="None"/>
    <x v="0"/>
    <x v="6"/>
    <x v="16"/>
    <n v="11"/>
    <x v="3"/>
    <s v="Chen Bingde"/>
    <m/>
    <s v="GSD Commander; CMC Member"/>
    <n v="8"/>
    <x v="2"/>
    <s v="Joint Secretary of Ministry of Defense"/>
    <x v="0"/>
    <m/>
    <x v="0"/>
    <m/>
    <x v="1"/>
    <m/>
    <m/>
    <m/>
    <s v="Defense White Paper Appendix"/>
    <m/>
  </r>
  <r>
    <x v="1"/>
    <x v="1"/>
    <s v="Asia"/>
    <s v="Strategic Partnership [战略伙伴关系]"/>
    <s v="None"/>
    <x v="0"/>
    <x v="8"/>
    <x v="16"/>
    <n v="11"/>
    <x v="3"/>
    <s v="Cao Gangchuan"/>
    <m/>
    <s v="CMC Vice Chairman; Defense Minister"/>
    <n v="10"/>
    <x v="2"/>
    <s v="Defense Minister"/>
    <x v="0"/>
    <m/>
    <x v="0"/>
    <m/>
    <x v="1"/>
    <m/>
    <m/>
    <m/>
    <s v="Defense White Paper Appendix"/>
    <m/>
  </r>
  <r>
    <x v="1"/>
    <x v="7"/>
    <s v="West Asia and Africa"/>
    <s v="No Specific Relationship"/>
    <s v="None"/>
    <x v="4"/>
    <x v="140"/>
    <x v="16"/>
    <n v="11"/>
    <x v="3"/>
    <s v="Cao Gangchuan"/>
    <m/>
    <s v="CMC Vice Chairman; Defense Minister"/>
    <n v="8"/>
    <x v="2"/>
    <s v="Defense Minister"/>
    <x v="0"/>
    <m/>
    <x v="0"/>
    <m/>
    <x v="1"/>
    <m/>
    <m/>
    <m/>
    <s v="Defense White Paper Appendix"/>
    <m/>
  </r>
  <r>
    <x v="0"/>
    <x v="4"/>
    <s v="Asia"/>
    <s v="Partnership of Friendship and Cooperation for Peace and Development [致力于和平发展的友好合作关系]"/>
    <s v="Bilateral Defense Treaty"/>
    <x v="0"/>
    <x v="83"/>
    <x v="16"/>
    <n v="11"/>
    <x v="0"/>
    <m/>
    <m/>
    <m/>
    <m/>
    <x v="0"/>
    <m/>
    <x v="0"/>
    <m/>
    <x v="0"/>
    <m/>
    <x v="0"/>
    <s v="NETF"/>
    <s v="South Sea Fleet"/>
    <s v="Shenzhen"/>
    <s v="http://au.china-embassy.org/eng/xw/t385273.htm"/>
    <m/>
  </r>
  <r>
    <x v="1"/>
    <x v="7"/>
    <s v="West Asia and Africa"/>
    <s v="No Specific Relationship"/>
    <s v="None"/>
    <x v="4"/>
    <x v="47"/>
    <x v="16"/>
    <n v="11"/>
    <x v="4"/>
    <s v="Cao Gangchuan"/>
    <m/>
    <s v="CMC Vice Chairman; Defense Minister"/>
    <n v="8"/>
    <x v="1"/>
    <m/>
    <x v="0"/>
    <m/>
    <x v="0"/>
    <m/>
    <x v="1"/>
    <m/>
    <m/>
    <m/>
    <s v="Defense White Paper Appendix"/>
    <m/>
  </r>
  <r>
    <x v="1"/>
    <x v="9"/>
    <s v="West Asia and Africa"/>
    <s v="No Specific Relationship"/>
    <s v="Major Non-NATO Ally"/>
    <x v="1"/>
    <x v="72"/>
    <x v="16"/>
    <n v="11"/>
    <x v="4"/>
    <s v="Cao Gangchuan"/>
    <m/>
    <s v="CMC Vice Chairman; Defense Minister"/>
    <n v="8"/>
    <x v="1"/>
    <m/>
    <x v="0"/>
    <m/>
    <x v="0"/>
    <m/>
    <x v="1"/>
    <m/>
    <m/>
    <m/>
    <s v="Defense White Paper Appendix"/>
    <m/>
  </r>
  <r>
    <x v="1"/>
    <x v="1"/>
    <s v="Asia"/>
    <s v="Comprehensive Cooperative Partnership [全面合作伙伴关系]"/>
    <s v="None"/>
    <x v="0"/>
    <x v="52"/>
    <x v="16"/>
    <n v="11"/>
    <x v="4"/>
    <s v="Li Jinai"/>
    <m/>
    <s v="GPD Director; CMC Member"/>
    <n v="8"/>
    <x v="1"/>
    <m/>
    <x v="0"/>
    <m/>
    <x v="0"/>
    <m/>
    <x v="1"/>
    <m/>
    <m/>
    <m/>
    <s v="Defense White Paper Appendix"/>
    <m/>
  </r>
  <r>
    <x v="1"/>
    <x v="10"/>
    <s v="America and Oceania"/>
    <s v="Comprehensive Partnership [全面伙伴关系]"/>
    <s v="None"/>
    <x v="5"/>
    <x v="54"/>
    <x v="16"/>
    <n v="11"/>
    <x v="3"/>
    <s v="Cao Gangchuan"/>
    <m/>
    <s v="CMC Vice Chairman; Defense Minister"/>
    <n v="8"/>
    <x v="2"/>
    <s v="Defense Minister"/>
    <x v="0"/>
    <m/>
    <x v="0"/>
    <m/>
    <x v="1"/>
    <m/>
    <m/>
    <m/>
    <s v="Defense White Paper Appendix"/>
    <m/>
  </r>
  <r>
    <x v="1"/>
    <x v="4"/>
    <s v="Asia"/>
    <s v="Comprehensive Cooperative Partnership [全面合作伙伴关系]"/>
    <s v="Bilateral Defense Treaty"/>
    <x v="0"/>
    <x v="25"/>
    <x v="16"/>
    <n v="11"/>
    <x v="3"/>
    <s v="Cao Gangchuan"/>
    <m/>
    <s v="CMC Vice Chairman; Defense Minister"/>
    <n v="8"/>
    <x v="2"/>
    <s v="Chairman JCS"/>
    <x v="0"/>
    <m/>
    <x v="0"/>
    <m/>
    <x v="1"/>
    <m/>
    <m/>
    <m/>
    <s v="Defense White Paper Appendix"/>
    <m/>
  </r>
  <r>
    <x v="1"/>
    <x v="8"/>
    <s v="Europe and Central Asia"/>
    <s v="No Specific Relationship"/>
    <s v="None"/>
    <x v="3"/>
    <x v="92"/>
    <x v="16"/>
    <n v="11"/>
    <x v="4"/>
    <s v="Jing Zhiyuan"/>
    <m/>
    <s v="PLASAF Commander; CMC Member"/>
    <n v="8"/>
    <x v="1"/>
    <m/>
    <x v="0"/>
    <m/>
    <x v="0"/>
    <m/>
    <x v="1"/>
    <m/>
    <m/>
    <m/>
    <s v="Defense White Paper Appendix"/>
    <m/>
  </r>
  <r>
    <x v="1"/>
    <x v="9"/>
    <s v="West Asia and Africa"/>
    <s v="No Specific Relationship"/>
    <s v="None"/>
    <x v="1"/>
    <x v="102"/>
    <x v="16"/>
    <n v="11"/>
    <x v="4"/>
    <s v="Sun Dafa"/>
    <m/>
    <s v="GLD Political Commissar"/>
    <n v="6"/>
    <x v="1"/>
    <m/>
    <x v="0"/>
    <m/>
    <x v="0"/>
    <m/>
    <x v="1"/>
    <m/>
    <m/>
    <m/>
    <s v="Defense White Paper Appendix"/>
    <m/>
  </r>
  <r>
    <x v="1"/>
    <x v="1"/>
    <s v="Asia"/>
    <s v="Strategic Partnership [战略伙伴关系]"/>
    <s v="Bilateral Defense Treaty"/>
    <x v="0"/>
    <x v="5"/>
    <x v="16"/>
    <n v="11"/>
    <x v="4"/>
    <s v="Cao Gangchuan"/>
    <m/>
    <s v="CMC Vice Chairman; Defense Minister"/>
    <n v="8"/>
    <x v="2"/>
    <s v="Supreme Commander Armed Forces"/>
    <x v="0"/>
    <m/>
    <x v="0"/>
    <m/>
    <x v="1"/>
    <m/>
    <m/>
    <m/>
    <s v="Defense White Paper Appendix"/>
    <m/>
  </r>
  <r>
    <x v="1"/>
    <x v="6"/>
    <s v="Europe and Central Asia"/>
    <s v="No Specific Relationship"/>
    <s v="None"/>
    <x v="1"/>
    <x v="55"/>
    <x v="16"/>
    <n v="11"/>
    <x v="3"/>
    <s v="Cao Gangchuan"/>
    <m/>
    <s v="CMC Vice Chairman; Defense Minister"/>
    <n v="6"/>
    <x v="2"/>
    <s v="Army Commander"/>
    <x v="0"/>
    <m/>
    <x v="0"/>
    <m/>
    <x v="1"/>
    <m/>
    <m/>
    <m/>
    <s v="https://dlib.eastview.com/browse/doc/24526495"/>
    <m/>
  </r>
  <r>
    <x v="1"/>
    <x v="2"/>
    <s v="America and Oceania"/>
    <s v="No Specific Relationship"/>
    <s v="N/A"/>
    <x v="2"/>
    <x v="4"/>
    <x v="16"/>
    <n v="11"/>
    <x v="3"/>
    <s v="Xu Caihou"/>
    <m/>
    <s v="CMC Vice Chairman"/>
    <n v="10"/>
    <x v="2"/>
    <s v="Secretary of Defense"/>
    <x v="0"/>
    <m/>
    <x v="0"/>
    <m/>
    <x v="1"/>
    <m/>
    <m/>
    <m/>
    <s v="Defense White Paper Appendix"/>
    <m/>
  </r>
  <r>
    <x v="1"/>
    <x v="1"/>
    <s v="Asia"/>
    <s v="No Specific Relationship"/>
    <s v="None"/>
    <x v="0"/>
    <x v="23"/>
    <x v="16"/>
    <n v="11"/>
    <x v="4"/>
    <s v="Li Jinai"/>
    <m/>
    <s v="GPD Director; CMC Member"/>
    <n v="8"/>
    <x v="1"/>
    <m/>
    <x v="0"/>
    <m/>
    <x v="0"/>
    <m/>
    <x v="1"/>
    <m/>
    <m/>
    <m/>
    <s v="Defense White Paper Appendix"/>
    <m/>
  </r>
  <r>
    <x v="1"/>
    <x v="7"/>
    <s v="West Asia and Africa"/>
    <s v="No Specific Relationship"/>
    <s v="None"/>
    <x v="4"/>
    <x v="87"/>
    <x v="16"/>
    <n v="12"/>
    <x v="3"/>
    <s v="Cao Gangchuan"/>
    <m/>
    <s v="CMC Vice Chairman; Defense Minister"/>
    <n v="10"/>
    <x v="2"/>
    <s v="Defense Minister"/>
    <x v="0"/>
    <m/>
    <x v="0"/>
    <m/>
    <x v="1"/>
    <m/>
    <m/>
    <m/>
    <s v="Defense White Paper Appendix"/>
    <m/>
  </r>
  <r>
    <x v="2"/>
    <x v="0"/>
    <s v="Asia"/>
    <s v="Strategic Partnership for Peace and Prosperity [战略伙伴关系]"/>
    <s v="None"/>
    <x v="0"/>
    <x v="6"/>
    <x v="16"/>
    <n v="12"/>
    <x v="5"/>
    <m/>
    <m/>
    <m/>
    <m/>
    <x v="0"/>
    <m/>
    <x v="1"/>
    <s v="Hand-in-Hand 2007"/>
    <x v="1"/>
    <s v="Anti-terrorism"/>
    <x v="1"/>
    <m/>
    <m/>
    <m/>
    <s v="Defense White Paper Appendix"/>
    <m/>
  </r>
  <r>
    <x v="1"/>
    <x v="9"/>
    <s v="West Asia and Africa"/>
    <s v="No Specific Relationship"/>
    <s v="Major Non-NATO Ally"/>
    <x v="1"/>
    <x v="100"/>
    <x v="16"/>
    <n v="12"/>
    <x v="4"/>
    <s v="Ma Xiaotian"/>
    <m/>
    <s v="GSD DCGS"/>
    <n v="6"/>
    <x v="1"/>
    <m/>
    <x v="0"/>
    <m/>
    <x v="0"/>
    <m/>
    <x v="1"/>
    <m/>
    <m/>
    <m/>
    <s v="Defense White Paper Appendix"/>
    <m/>
  </r>
  <r>
    <x v="1"/>
    <x v="9"/>
    <s v="West Asia and Africa"/>
    <s v="No Specific Relationship"/>
    <s v="Major Non-NATO Ally"/>
    <x v="1"/>
    <x v="101"/>
    <x v="16"/>
    <n v="12"/>
    <x v="4"/>
    <s v="Fu Tinggui"/>
    <m/>
    <s v="Beijing MR Political Commissar"/>
    <n v="6"/>
    <x v="1"/>
    <m/>
    <x v="0"/>
    <m/>
    <x v="0"/>
    <m/>
    <x v="1"/>
    <m/>
    <m/>
    <m/>
    <s v="Defense White Paper Appendix"/>
    <m/>
  </r>
  <r>
    <x v="1"/>
    <x v="7"/>
    <s v="West Asia and Africa"/>
    <s v="No Specific Relationship"/>
    <s v="None"/>
    <x v="4"/>
    <x v="141"/>
    <x v="16"/>
    <n v="12"/>
    <x v="4"/>
    <s v="Fu Tinggui"/>
    <m/>
    <s v="Beijing MR Political Commissar"/>
    <n v="6"/>
    <x v="1"/>
    <m/>
    <x v="0"/>
    <m/>
    <x v="0"/>
    <m/>
    <x v="1"/>
    <m/>
    <m/>
    <m/>
    <s v="Defense White Paper Appendix"/>
    <m/>
  </r>
  <r>
    <x v="1"/>
    <x v="1"/>
    <s v="Asia"/>
    <s v="Strategic Cooperative Partnership [战略合作伙伴关系]"/>
    <s v="None"/>
    <x v="0"/>
    <x v="10"/>
    <x v="16"/>
    <n v="12"/>
    <x v="4"/>
    <s v="Zhang Li"/>
    <m/>
    <s v="GLD Deputy Director"/>
    <n v="6"/>
    <x v="1"/>
    <m/>
    <x v="0"/>
    <m/>
    <x v="0"/>
    <m/>
    <x v="1"/>
    <m/>
    <m/>
    <m/>
    <s v="Defense White Paper Appendix"/>
    <m/>
  </r>
  <r>
    <x v="1"/>
    <x v="7"/>
    <s v="West Asia and Africa"/>
    <s v="No Specific Relationship"/>
    <s v="Major Non-NATO Ally"/>
    <x v="4"/>
    <x v="27"/>
    <x v="16"/>
    <n v="12"/>
    <x v="3"/>
    <s v="Chen Bingde"/>
    <m/>
    <s v="GAD Director; CMC Member"/>
    <n v="8"/>
    <x v="2"/>
    <s v="Inspector of Navy"/>
    <x v="0"/>
    <m/>
    <x v="0"/>
    <m/>
    <x v="1"/>
    <m/>
    <m/>
    <m/>
    <s v="Defense White Paper Appendix"/>
    <m/>
  </r>
  <r>
    <x v="1"/>
    <x v="8"/>
    <s v="Europe and Central Asia"/>
    <s v="Comprehensive Friendly Cooperative Partnership [全面友好合作伙伴关系]"/>
    <s v="NATO"/>
    <x v="3"/>
    <x v="33"/>
    <x v="16"/>
    <n v="12"/>
    <x v="3"/>
    <s v="Chen Bingde"/>
    <m/>
    <s v="GSD Commander; CMC Member"/>
    <n v="8"/>
    <x v="2"/>
    <s v="Army Chief of Staff"/>
    <x v="0"/>
    <m/>
    <x v="0"/>
    <m/>
    <x v="1"/>
    <m/>
    <m/>
    <m/>
    <s v="https://dlib.eastview.com/browse/doc/14723065"/>
    <m/>
  </r>
  <r>
    <x v="1"/>
    <x v="8"/>
    <s v="Europe and Central Asia"/>
    <s v="No Specific Relationship"/>
    <s v="NATO"/>
    <x v="3"/>
    <x v="38"/>
    <x v="16"/>
    <n v="12"/>
    <x v="4"/>
    <s v="Zhang Li"/>
    <m/>
    <s v="GLD Deputy Director"/>
    <n v="6"/>
    <x v="1"/>
    <m/>
    <x v="0"/>
    <m/>
    <x v="0"/>
    <m/>
    <x v="1"/>
    <m/>
    <m/>
    <m/>
    <s v="Defense White Paper Appendix"/>
    <m/>
  </r>
  <r>
    <x v="1"/>
    <x v="8"/>
    <s v="Europe and Central Asia"/>
    <s v="No Specific Relationship"/>
    <s v="None"/>
    <x v="3"/>
    <x v="26"/>
    <x v="16"/>
    <n v="12"/>
    <x v="3"/>
    <s v="Cao Gangchuan"/>
    <m/>
    <s v="CMC Vice Chairman; Defense Minister"/>
    <n v="10"/>
    <x v="2"/>
    <s v="Commander Defense Force"/>
    <x v="0"/>
    <m/>
    <x v="0"/>
    <m/>
    <x v="1"/>
    <m/>
    <m/>
    <m/>
    <s v="Defense White Paper Appendix"/>
    <m/>
  </r>
  <r>
    <x v="1"/>
    <x v="2"/>
    <s v="America and Oceania"/>
    <s v="No Specific Relationship"/>
    <s v="N/A"/>
    <x v="2"/>
    <x v="4"/>
    <x v="16"/>
    <n v="12"/>
    <x v="4"/>
    <s v="Jing Zhiyuan"/>
    <m/>
    <s v="PLASAF Commander; CMC Member"/>
    <n v="8"/>
    <x v="2"/>
    <s v="Chairman Armed Services Committee US House of Representatives"/>
    <x v="0"/>
    <m/>
    <x v="0"/>
    <m/>
    <x v="1"/>
    <m/>
    <m/>
    <m/>
    <s v="Defense White Paper Appendix"/>
    <m/>
  </r>
  <r>
    <x v="1"/>
    <x v="1"/>
    <s v="Asia"/>
    <s v="No Specific Relationship"/>
    <s v="None"/>
    <x v="0"/>
    <x v="44"/>
    <x v="17"/>
    <n v="1"/>
    <x v="4"/>
    <s v="Cao Gangchuan"/>
    <m/>
    <s v="CMC Vice Chairman; Defense Minister"/>
    <n v="8"/>
    <x v="1"/>
    <m/>
    <x v="0"/>
    <m/>
    <x v="0"/>
    <m/>
    <x v="1"/>
    <m/>
    <m/>
    <m/>
    <s v="Defense White Paper Appendix"/>
    <m/>
  </r>
  <r>
    <x v="1"/>
    <x v="1"/>
    <s v="Asia"/>
    <s v="Strategic Partnership [战略伙伴关系]"/>
    <s v="None"/>
    <x v="0"/>
    <x v="8"/>
    <x v="17"/>
    <n v="1"/>
    <x v="4"/>
    <s v="Cao Gangchuan"/>
    <m/>
    <s v="CMC Vice Chairman; Defense Minister"/>
    <n v="8"/>
    <x v="1"/>
    <m/>
    <x v="0"/>
    <m/>
    <x v="0"/>
    <m/>
    <x v="1"/>
    <m/>
    <m/>
    <m/>
    <s v="Defense White Paper Appendix"/>
    <m/>
  </r>
  <r>
    <x v="1"/>
    <x v="0"/>
    <s v="Asia"/>
    <s v="Good-Neighborly Partnership [世代友好的睦邻伙伴关系]"/>
    <s v="None"/>
    <x v="0"/>
    <x v="32"/>
    <x v="17"/>
    <n v="1"/>
    <x v="3"/>
    <s v="Cao Gangchuan"/>
    <m/>
    <s v="CMC Vice Chairman; Defense Minister"/>
    <n v="8"/>
    <x v="2"/>
    <s v="Chief of Army Staff"/>
    <x v="0"/>
    <m/>
    <x v="0"/>
    <m/>
    <x v="1"/>
    <m/>
    <m/>
    <m/>
    <s v="Defense White Paper Appendix"/>
    <s v="Recoded as South Asia"/>
  </r>
  <r>
    <x v="1"/>
    <x v="9"/>
    <s v="West Asia and Africa"/>
    <s v="No Specific Relationship"/>
    <s v="None"/>
    <x v="1"/>
    <x v="142"/>
    <x v="17"/>
    <n v="1"/>
    <x v="4"/>
    <s v="Cao Gangchuan"/>
    <m/>
    <s v="CMC Vice Chairman; Defense Minister"/>
    <n v="8"/>
    <x v="1"/>
    <m/>
    <x v="0"/>
    <m/>
    <x v="0"/>
    <m/>
    <x v="1"/>
    <m/>
    <m/>
    <m/>
    <s v="Defense White Paper Appendix"/>
    <m/>
  </r>
  <r>
    <x v="1"/>
    <x v="1"/>
    <s v="Asia"/>
    <s v="No Specific Relationship"/>
    <s v="None"/>
    <x v="0"/>
    <x v="39"/>
    <x v="17"/>
    <n v="1"/>
    <x v="3"/>
    <s v="Cao Gangchuan"/>
    <m/>
    <s v="CMC Vice Chairman; Defense Minister"/>
    <n v="8"/>
    <x v="2"/>
    <s v="Permanent Secretary of Ministry of Defense"/>
    <x v="0"/>
    <m/>
    <x v="0"/>
    <m/>
    <x v="1"/>
    <m/>
    <m/>
    <m/>
    <s v="Defense White Paper Appendix"/>
    <m/>
  </r>
  <r>
    <x v="1"/>
    <x v="4"/>
    <s v="Asia"/>
    <s v="Strategic Cooperative Partnership [战略合作伙伴关系]"/>
    <s v="Bilateral Defense Treaty"/>
    <x v="0"/>
    <x v="25"/>
    <x v="17"/>
    <n v="1"/>
    <x v="3"/>
    <s v="Chen Xiaogong "/>
    <m/>
    <s v="GSD DCGS"/>
    <n v="6"/>
    <x v="2"/>
    <s v="Army COGS"/>
    <x v="0"/>
    <m/>
    <x v="0"/>
    <m/>
    <x v="1"/>
    <m/>
    <m/>
    <m/>
    <s v="https://dlib.eastview.com/browse/doc/18636239"/>
    <m/>
  </r>
  <r>
    <x v="1"/>
    <x v="2"/>
    <s v="America and Oceania"/>
    <s v="No Specific Relationship"/>
    <s v="N/A"/>
    <x v="2"/>
    <x v="4"/>
    <x v="17"/>
    <n v="1"/>
    <x v="3"/>
    <s v="Chen Bingde"/>
    <m/>
    <s v="GSD Commander; CMC Member"/>
    <n v="8"/>
    <x v="2"/>
    <s v="PACOM Commander"/>
    <x v="0"/>
    <m/>
    <x v="0"/>
    <m/>
    <x v="1"/>
    <m/>
    <m/>
    <m/>
    <s v="Defense White Paper Appendix"/>
    <m/>
  </r>
  <r>
    <x v="1"/>
    <x v="4"/>
    <s v="Asia"/>
    <s v="Mutually Beneficial Strategic Relationship [战略互惠关系]"/>
    <s v="Bilateral Defense Treaty"/>
    <x v="0"/>
    <x v="83"/>
    <x v="17"/>
    <n v="2"/>
    <x v="3"/>
    <s v="Cao Gangchuan"/>
    <m/>
    <s v="CMC Vice Chairman; Defense Minister"/>
    <n v="8"/>
    <x v="2"/>
    <s v="JCS"/>
    <x v="0"/>
    <m/>
    <x v="0"/>
    <m/>
    <x v="1"/>
    <m/>
    <m/>
    <m/>
    <s v="Defense White Paper Appendix"/>
    <m/>
  </r>
  <r>
    <x v="1"/>
    <x v="8"/>
    <s v="Europe and Central Asia"/>
    <s v="No Specific Relationship"/>
    <s v="None"/>
    <x v="3"/>
    <x v="78"/>
    <x v="17"/>
    <n v="2"/>
    <x v="3"/>
    <s v="Cao Gangchuan"/>
    <m/>
    <s v="CMC Vice Chairman; Defense Minister"/>
    <n v="8"/>
    <x v="2"/>
    <s v="Secretary General of Federal Department of Defense"/>
    <x v="0"/>
    <m/>
    <x v="0"/>
    <m/>
    <x v="1"/>
    <m/>
    <m/>
    <m/>
    <s v="Defense White Paper Appendix"/>
    <m/>
  </r>
  <r>
    <x v="1"/>
    <x v="8"/>
    <s v="Europe and Central Asia"/>
    <s v="Strategic Partnership [战略伙伴关系]"/>
    <s v="NATO"/>
    <x v="3"/>
    <x v="34"/>
    <x v="17"/>
    <n v="3"/>
    <x v="3"/>
    <s v="Cao Gangchuan"/>
    <m/>
    <s v="CMC Vice Chairman; Defense Minister"/>
    <n v="8"/>
    <x v="2"/>
    <s v="Defense Minister"/>
    <x v="0"/>
    <m/>
    <x v="0"/>
    <m/>
    <x v="1"/>
    <m/>
    <m/>
    <m/>
    <s v="Defense White Paper Appendix"/>
    <m/>
  </r>
  <r>
    <x v="1"/>
    <x v="7"/>
    <s v="West Asia and Africa"/>
    <s v="No Specific Relationship"/>
    <s v="None"/>
    <x v="4"/>
    <x v="143"/>
    <x v="17"/>
    <n v="3"/>
    <x v="3"/>
    <s v="Liang Guanglie"/>
    <m/>
    <s v="Defense Minister; CMC Member"/>
    <n v="8"/>
    <x v="2"/>
    <s v="Defense Minister"/>
    <x v="0"/>
    <m/>
    <x v="0"/>
    <m/>
    <x v="1"/>
    <m/>
    <m/>
    <m/>
    <s v="Defense White Paper Appendix"/>
    <m/>
  </r>
  <r>
    <x v="1"/>
    <x v="8"/>
    <s v="Europe and Central Asia"/>
    <s v="No Specific Relationship"/>
    <s v="None"/>
    <x v="3"/>
    <x v="79"/>
    <x v="17"/>
    <n v="4"/>
    <x v="4"/>
    <s v="Wang Guosheng"/>
    <m/>
    <s v="Lanzhou MR Commander"/>
    <n v="6"/>
    <x v="1"/>
    <m/>
    <x v="0"/>
    <m/>
    <x v="0"/>
    <m/>
    <x v="1"/>
    <m/>
    <m/>
    <m/>
    <s v="Defense White Paper Appendix"/>
    <m/>
  </r>
  <r>
    <x v="1"/>
    <x v="1"/>
    <s v="Asia"/>
    <s v="Strategic Cooperative Partnership [战略合作伙伴关系]"/>
    <s v="None"/>
    <x v="0"/>
    <x v="10"/>
    <x v="17"/>
    <n v="4"/>
    <x v="3"/>
    <s v="Liang Guanglie"/>
    <m/>
    <s v="Defense Minister; CMC Member"/>
    <n v="8"/>
    <x v="2"/>
    <s v="Air Force Commander"/>
    <x v="0"/>
    <m/>
    <x v="0"/>
    <m/>
    <x v="1"/>
    <m/>
    <m/>
    <m/>
    <s v="Defense White Paper Appendix"/>
    <m/>
  </r>
  <r>
    <x v="1"/>
    <x v="4"/>
    <s v="Asia"/>
    <s v="Bilateral Defense Treaty"/>
    <s v="None"/>
    <x v="0"/>
    <x v="9"/>
    <x v="17"/>
    <n v="4"/>
    <x v="3"/>
    <s v="Liang Guanglie"/>
    <m/>
    <s v="Defense Minister; CMC Member"/>
    <n v="8"/>
    <x v="2"/>
    <s v="Chief of Air Force"/>
    <x v="0"/>
    <m/>
    <x v="0"/>
    <m/>
    <x v="1"/>
    <m/>
    <m/>
    <m/>
    <s v="Defense White Paper Appendix"/>
    <m/>
  </r>
  <r>
    <x v="1"/>
    <x v="0"/>
    <s v="Asia"/>
    <s v="Strategic Partnership [战略伙伴关系]"/>
    <s v="Major Non-NATO Ally"/>
    <x v="1"/>
    <x v="2"/>
    <x v="17"/>
    <n v="4"/>
    <x v="3"/>
    <s v="Liang Guanglie"/>
    <m/>
    <s v="Defense Minister; CMC Member"/>
    <n v="8"/>
    <x v="2"/>
    <s v="Chief of Air Staff"/>
    <x v="0"/>
    <m/>
    <x v="0"/>
    <m/>
    <x v="1"/>
    <m/>
    <m/>
    <m/>
    <s v="Defense White Paper Appendix"/>
    <m/>
  </r>
  <r>
    <x v="1"/>
    <x v="8"/>
    <s v="Europe and Central Asia"/>
    <s v="Comprehensive Friendly Cooperative Partnership [全面友好合作伙伴关系]"/>
    <s v="NATO"/>
    <x v="3"/>
    <x v="33"/>
    <x v="17"/>
    <n v="4"/>
    <x v="4"/>
    <s v="Wang Guosheng"/>
    <m/>
    <s v="Lanzhou MR Commander"/>
    <n v="6"/>
    <x v="1"/>
    <m/>
    <x v="0"/>
    <m/>
    <x v="0"/>
    <m/>
    <x v="1"/>
    <m/>
    <m/>
    <m/>
    <s v="Defense White Paper Appendix"/>
    <m/>
  </r>
  <r>
    <x v="1"/>
    <x v="3"/>
    <s v="Europe and Central Asia"/>
    <s v="Strategic Partnership of Coordination [战略协作伙伴关系]"/>
    <s v="None"/>
    <x v="3"/>
    <x v="7"/>
    <x v="17"/>
    <n v="4"/>
    <x v="3"/>
    <s v="Liang Guanglie"/>
    <m/>
    <s v="Defense Minister; CMC Member"/>
    <n v="8"/>
    <x v="2"/>
    <s v="Chairman State Duma Defense Committee"/>
    <x v="0"/>
    <m/>
    <x v="0"/>
    <m/>
    <x v="1"/>
    <m/>
    <m/>
    <m/>
    <s v="Defense White Paper Appendix"/>
    <m/>
  </r>
  <r>
    <x v="1"/>
    <x v="4"/>
    <s v="Asia"/>
    <s v="Strategic Cooperative Partnership [战略合作伙伴关系]"/>
    <s v="Bilateral Defense Treaty"/>
    <x v="0"/>
    <x v="25"/>
    <x v="17"/>
    <n v="4"/>
    <x v="4"/>
    <s v="Liu Dongdong"/>
    <m/>
    <s v="Jinan MR Political Commissar"/>
    <n v="6"/>
    <x v="1"/>
    <m/>
    <x v="0"/>
    <m/>
    <x v="0"/>
    <m/>
    <x v="1"/>
    <m/>
    <m/>
    <m/>
    <s v="Defense White Paper Appendix"/>
    <m/>
  </r>
  <r>
    <x v="1"/>
    <x v="8"/>
    <s v="Europe and Central Asia"/>
    <s v="Comprehensive Strategic Partnership [全面战略伙伴关系]"/>
    <s v="NATO"/>
    <x v="3"/>
    <x v="70"/>
    <x v="17"/>
    <n v="4"/>
    <x v="3"/>
    <s v="Liang Guanglie"/>
    <m/>
    <s v="Defense Minister; CMC Member"/>
    <n v="8"/>
    <x v="2"/>
    <s v="Chief of Naval Staff"/>
    <x v="0"/>
    <m/>
    <x v="0"/>
    <m/>
    <x v="1"/>
    <m/>
    <m/>
    <m/>
    <s v="Defense White Paper Appendix"/>
    <m/>
  </r>
  <r>
    <x v="1"/>
    <x v="2"/>
    <s v="America and Oceania"/>
    <s v="No Specific Relationship"/>
    <s v="N/A"/>
    <x v="2"/>
    <x v="4"/>
    <x v="17"/>
    <n v="4"/>
    <x v="3"/>
    <s v="Liang Guanglie"/>
    <m/>
    <s v="Defense Minister; CMC Member"/>
    <n v="8"/>
    <x v="2"/>
    <s v="Commandant, USMC"/>
    <x v="0"/>
    <m/>
    <x v="0"/>
    <m/>
    <x v="1"/>
    <m/>
    <m/>
    <m/>
    <s v="Defense White Paper Appendix"/>
    <m/>
  </r>
  <r>
    <x v="1"/>
    <x v="10"/>
    <s v="America and Oceania"/>
    <s v="Comprehensive Partnership [全面伙伴关系]"/>
    <s v="None"/>
    <x v="5"/>
    <x v="66"/>
    <x v="17"/>
    <n v="5"/>
    <x v="3"/>
    <s v="Liang Guanglie"/>
    <m/>
    <s v="Defense Minister; CMC Member"/>
    <n v="8"/>
    <x v="2"/>
    <s v="Air Force Commander"/>
    <x v="0"/>
    <m/>
    <x v="0"/>
    <m/>
    <x v="1"/>
    <m/>
    <m/>
    <m/>
    <s v="Defense White Paper Appendix"/>
    <m/>
  </r>
  <r>
    <x v="1"/>
    <x v="1"/>
    <s v="Asia"/>
    <s v="No Specific Relationship"/>
    <s v="None"/>
    <x v="0"/>
    <x v="137"/>
    <x v="17"/>
    <n v="5"/>
    <x v="1"/>
    <s v="Ma Xiaotian"/>
    <m/>
    <s v="GSD DCGS"/>
    <n v="6"/>
    <x v="1"/>
    <s v="7th Shangri-La Dialogue"/>
    <x v="0"/>
    <m/>
    <x v="0"/>
    <m/>
    <x v="1"/>
    <m/>
    <m/>
    <m/>
    <s v="Defense White Paper Appendix"/>
    <m/>
  </r>
  <r>
    <x v="1"/>
    <x v="1"/>
    <s v="America and Oceania"/>
    <s v="No Specific Relationship"/>
    <s v="None"/>
    <x v="0"/>
    <x v="122"/>
    <x v="17"/>
    <n v="5"/>
    <x v="3"/>
    <s v="Liang Guanglie"/>
    <m/>
    <s v="Defense Minister; CMC Member"/>
    <n v="8"/>
    <x v="2"/>
    <s v="Defense Minister"/>
    <x v="0"/>
    <m/>
    <x v="0"/>
    <m/>
    <x v="1"/>
    <m/>
    <m/>
    <m/>
    <s v="Defense White Paper Appendix"/>
    <m/>
  </r>
  <r>
    <x v="1"/>
    <x v="6"/>
    <s v="Europe and Central Asia"/>
    <s v="Member"/>
    <s v="None"/>
    <x v="1"/>
    <x v="14"/>
    <x v="17"/>
    <n v="5"/>
    <x v="1"/>
    <s v="Liang Guanglie"/>
    <m/>
    <s v="Defense Minister; CMC Member"/>
    <n v="8"/>
    <x v="1"/>
    <s v="Sixth official meeting of the SCO Ministers' of Defense in Tajikistan; Other countries: Kazakhstan, Kyrgyztan, Russia, Tajikistan, Uzbekistan"/>
    <x v="0"/>
    <m/>
    <x v="0"/>
    <m/>
    <x v="1"/>
    <m/>
    <m/>
    <m/>
    <s v="https://www.fmprc.gov.cn/mfa_eng/wjdt_665385/2649_665393/t355665.shtml"/>
    <m/>
  </r>
  <r>
    <x v="1"/>
    <x v="1"/>
    <s v="Asia"/>
    <s v="No Specific Relationship"/>
    <s v="None"/>
    <x v="0"/>
    <x v="39"/>
    <x v="17"/>
    <n v="5"/>
    <x v="4"/>
    <s v="Ma Xiaotian"/>
    <m/>
    <s v="GSD DCGS"/>
    <n v="6"/>
    <x v="1"/>
    <s v="Defense Minister"/>
    <x v="0"/>
    <m/>
    <x v="0"/>
    <m/>
    <x v="1"/>
    <m/>
    <m/>
    <m/>
    <s v="Defense White Paper Appendix"/>
    <m/>
  </r>
  <r>
    <x v="1"/>
    <x v="10"/>
    <s v="America and Oceania"/>
    <s v="No Specific Relationship"/>
    <s v="None"/>
    <x v="5"/>
    <x v="91"/>
    <x v="17"/>
    <n v="5"/>
    <x v="3"/>
    <s v="Qi Jianguo"/>
    <m/>
    <s v="GSD Assistant Commander"/>
    <n v="5"/>
    <x v="2"/>
    <s v="Defense Minister"/>
    <x v="0"/>
    <m/>
    <x v="0"/>
    <m/>
    <x v="1"/>
    <m/>
    <m/>
    <m/>
    <s v="Defense White Paper Appendix"/>
    <m/>
  </r>
  <r>
    <x v="1"/>
    <x v="6"/>
    <s v="Europe and Central Asia"/>
    <s v="No Specific Relationship"/>
    <s v="None"/>
    <x v="1"/>
    <x v="60"/>
    <x v="17"/>
    <n v="5"/>
    <x v="4"/>
    <s v="Liang Guanglie"/>
    <m/>
    <s v="Defense Minister; CMC Member"/>
    <n v="8"/>
    <x v="1"/>
    <m/>
    <x v="0"/>
    <m/>
    <x v="0"/>
    <m/>
    <x v="1"/>
    <m/>
    <m/>
    <m/>
    <s v="Defense White Paper Appendix"/>
    <m/>
  </r>
  <r>
    <x v="1"/>
    <x v="5"/>
    <s v="America and Oceania"/>
    <s v="No Specific Relationship"/>
    <s v="None"/>
    <x v="0"/>
    <x v="144"/>
    <x v="17"/>
    <n v="5"/>
    <x v="3"/>
    <s v="Liang Guanglie"/>
    <m/>
    <s v="Defense Minister; CMC Member"/>
    <n v="8"/>
    <x v="2"/>
    <s v="Defense Minister"/>
    <x v="0"/>
    <m/>
    <x v="0"/>
    <m/>
    <x v="1"/>
    <m/>
    <m/>
    <m/>
    <s v="Defense White Paper Appendix"/>
    <m/>
  </r>
  <r>
    <x v="1"/>
    <x v="9"/>
    <s v="West Asia and Africa"/>
    <s v="Strategic Cooperative Partnership [战略合作伙伴关系]"/>
    <s v="Major Non-NATO Ally"/>
    <x v="1"/>
    <x v="24"/>
    <x v="17"/>
    <n v="6"/>
    <x v="3"/>
    <s v="Liang Guanglie"/>
    <m/>
    <s v="Defense Minister; CMC Member"/>
    <n v="8"/>
    <x v="2"/>
    <s v="COGS"/>
    <x v="0"/>
    <m/>
    <x v="0"/>
    <m/>
    <x v="1"/>
    <m/>
    <m/>
    <m/>
    <s v="Defense White Paper Appendix"/>
    <m/>
  </r>
  <r>
    <x v="1"/>
    <x v="8"/>
    <s v="Europe and Central Asia"/>
    <s v="No Specific Relationship"/>
    <s v="None"/>
    <x v="3"/>
    <x v="81"/>
    <x v="17"/>
    <n v="6"/>
    <x v="3"/>
    <s v="Liang Guanglie"/>
    <m/>
    <s v="Defense Minister; CMC Member"/>
    <n v="8"/>
    <x v="2"/>
    <s v="Defense Minister"/>
    <x v="0"/>
    <m/>
    <x v="0"/>
    <m/>
    <x v="1"/>
    <m/>
    <m/>
    <m/>
    <s v="Defense White Paper Appendix"/>
    <m/>
  </r>
  <r>
    <x v="1"/>
    <x v="8"/>
    <s v="Europe and Central Asia"/>
    <s v="Comprehensive Friendly Cooperative Partnership [全面友好合作伙伴关系]"/>
    <s v="NATO"/>
    <x v="3"/>
    <x v="33"/>
    <x v="17"/>
    <n v="6"/>
    <x v="3"/>
    <s v="Liang Guanglie"/>
    <m/>
    <s v="GSD Commander; CMC Member"/>
    <n v="8"/>
    <x v="2"/>
    <s v="Defense Minister"/>
    <x v="0"/>
    <m/>
    <x v="0"/>
    <m/>
    <x v="1"/>
    <m/>
    <m/>
    <m/>
    <s v="https://dlib.eastview.com/browse/doc/17685252"/>
    <m/>
  </r>
  <r>
    <x v="1"/>
    <x v="2"/>
    <s v="America and Oceania"/>
    <s v="No Specific Relationship"/>
    <s v="N/A"/>
    <x v="2"/>
    <x v="4"/>
    <x v="17"/>
    <n v="6"/>
    <x v="3"/>
    <s v="Xu Caihou"/>
    <m/>
    <s v="CMC Vice Chairman"/>
    <n v="10"/>
    <x v="2"/>
    <s v="former Secretary of Defense"/>
    <x v="0"/>
    <m/>
    <x v="0"/>
    <m/>
    <x v="1"/>
    <m/>
    <m/>
    <m/>
    <s v="Defense White Paper Appendix"/>
    <m/>
  </r>
  <r>
    <x v="1"/>
    <x v="5"/>
    <s v="America and Oceania"/>
    <s v="No Specific Relationship"/>
    <s v="ANZUS Treaty"/>
    <x v="0"/>
    <x v="12"/>
    <x v="17"/>
    <n v="7"/>
    <x v="3"/>
    <s v="Guo Boxiong"/>
    <m/>
    <s v="CMC Vice Chairman"/>
    <n v="10"/>
    <x v="2"/>
    <s v="Commander ADF"/>
    <x v="0"/>
    <m/>
    <x v="0"/>
    <m/>
    <x v="1"/>
    <m/>
    <m/>
    <m/>
    <s v="Defense White Paper Appendix"/>
    <m/>
  </r>
  <r>
    <x v="1"/>
    <x v="8"/>
    <s v="Europe and Central Asia"/>
    <s v="No Specific Relationship"/>
    <s v="None"/>
    <x v="3"/>
    <x v="79"/>
    <x v="17"/>
    <n v="7"/>
    <x v="3"/>
    <s v="Chen Xiaogong "/>
    <m/>
    <s v="GSD Assistant Commander"/>
    <n v="6"/>
    <x v="2"/>
    <s v="Chief of Army Staff"/>
    <x v="0"/>
    <m/>
    <x v="0"/>
    <m/>
    <x v="1"/>
    <m/>
    <m/>
    <m/>
    <s v="Defense White Paper Appendix"/>
    <m/>
  </r>
  <r>
    <x v="1"/>
    <x v="10"/>
    <s v="America and Oceania"/>
    <s v="No Specific Relationship"/>
    <s v="None"/>
    <x v="5"/>
    <x v="88"/>
    <x v="17"/>
    <n v="7"/>
    <x v="3"/>
    <s v="Liang Guanglie"/>
    <m/>
    <s v="Defense Minister; CMC Member"/>
    <n v="8"/>
    <x v="2"/>
    <s v="Chief of Staff Defense Force"/>
    <x v="0"/>
    <m/>
    <x v="0"/>
    <m/>
    <x v="1"/>
    <m/>
    <m/>
    <m/>
    <s v="Defense White Paper Appendix"/>
    <m/>
  </r>
  <r>
    <x v="1"/>
    <x v="5"/>
    <s v="America and Oceania"/>
    <s v="No Specific Relationship"/>
    <s v="ANZUS Treaty"/>
    <x v="0"/>
    <x v="13"/>
    <x v="17"/>
    <n v="7"/>
    <x v="3"/>
    <s v="Chen Bingde"/>
    <m/>
    <s v="GSD Commander; CMC Member"/>
    <n v="8"/>
    <x v="2"/>
    <s v="Army Commander"/>
    <x v="0"/>
    <m/>
    <x v="0"/>
    <m/>
    <x v="1"/>
    <m/>
    <m/>
    <m/>
    <s v="Defense White Paper Appendix"/>
    <m/>
  </r>
  <r>
    <x v="1"/>
    <x v="1"/>
    <s v="Asia"/>
    <s v="Strategic Partnership [战略伙伴关系]"/>
    <s v="Bilateral Defense Treaty"/>
    <x v="0"/>
    <x v="5"/>
    <x v="17"/>
    <n v="7"/>
    <x v="3"/>
    <s v="Liang Guanglie"/>
    <m/>
    <s v="Defense Minister; CMC Member"/>
    <n v="8"/>
    <x v="2"/>
    <s v="Defense Minister"/>
    <x v="0"/>
    <m/>
    <x v="0"/>
    <m/>
    <x v="1"/>
    <m/>
    <m/>
    <m/>
    <s v="Defense White Paper Appendix"/>
    <m/>
  </r>
  <r>
    <x v="2"/>
    <x v="1"/>
    <s v="Asia"/>
    <s v="Strategic Partnership [战略伙伴关系]"/>
    <s v="Bilateral Defense Treaty"/>
    <x v="0"/>
    <x v="5"/>
    <x v="17"/>
    <n v="7"/>
    <x v="5"/>
    <m/>
    <m/>
    <m/>
    <m/>
    <x v="0"/>
    <m/>
    <x v="1"/>
    <s v="Strike 2008"/>
    <x v="1"/>
    <s v="Anti-terrorism"/>
    <x v="1"/>
    <m/>
    <m/>
    <m/>
    <s v="Defense White Paper Appendix"/>
    <m/>
  </r>
  <r>
    <x v="1"/>
    <x v="2"/>
    <s v="America and Oceania"/>
    <s v="No Specific Relationship"/>
    <s v="N/A"/>
    <x v="2"/>
    <x v="4"/>
    <x v="17"/>
    <n v="7"/>
    <x v="4"/>
    <s v="Zhang Qinsheng"/>
    <m/>
    <s v="Guangzhou MR Commander"/>
    <n v="6"/>
    <x v="1"/>
    <m/>
    <x v="0"/>
    <m/>
    <x v="0"/>
    <m/>
    <x v="1"/>
    <m/>
    <m/>
    <m/>
    <s v="Defense White Paper Appendix"/>
    <m/>
  </r>
  <r>
    <x v="1"/>
    <x v="8"/>
    <s v="Europe and Central Asia"/>
    <s v="No Specific Relationship"/>
    <s v="None"/>
    <x v="3"/>
    <x v="79"/>
    <x v="17"/>
    <n v="8"/>
    <x v="3"/>
    <s v="Liang Guanglie"/>
    <m/>
    <s v="Defense Minister; CMC Member"/>
    <n v="8"/>
    <x v="2"/>
    <s v="Defense Minister"/>
    <x v="0"/>
    <m/>
    <x v="0"/>
    <m/>
    <x v="1"/>
    <m/>
    <m/>
    <m/>
    <s v="Defense White Paper Appendix"/>
    <m/>
  </r>
  <r>
    <x v="1"/>
    <x v="8"/>
    <s v="Europe and Central Asia"/>
    <s v="No Specific Relationship"/>
    <s v="NATO"/>
    <x v="3"/>
    <x v="18"/>
    <x v="17"/>
    <n v="8"/>
    <x v="3"/>
    <s v="Liang Guanglie"/>
    <m/>
    <s v="Defense Minister; CMC Member"/>
    <n v="8"/>
    <x v="2"/>
    <s v="Defense Minister"/>
    <x v="0"/>
    <m/>
    <x v="0"/>
    <m/>
    <x v="1"/>
    <m/>
    <m/>
    <m/>
    <s v="Defense White Paper Appendix"/>
    <m/>
  </r>
  <r>
    <x v="1"/>
    <x v="2"/>
    <s v="America and Oceania"/>
    <s v="Strategic Cooperative Partnership [战略合作伙伴关系]"/>
    <s v="None"/>
    <x v="2"/>
    <x v="77"/>
    <x v="17"/>
    <n v="8"/>
    <x v="4"/>
    <s v="Ma Xiaotian"/>
    <m/>
    <s v="GSD DCGS"/>
    <n v="6"/>
    <x v="1"/>
    <m/>
    <x v="0"/>
    <m/>
    <x v="0"/>
    <m/>
    <x v="1"/>
    <m/>
    <m/>
    <m/>
    <s v="Defense White Paper Appendix"/>
    <m/>
  </r>
  <r>
    <x v="1"/>
    <x v="4"/>
    <s v="Asia"/>
    <s v="No Specific Relationship"/>
    <s v="None"/>
    <x v="0"/>
    <x v="53"/>
    <x v="17"/>
    <n v="8"/>
    <x v="4"/>
    <s v="Qi Jianguo"/>
    <m/>
    <s v="GSD Assistant Commander"/>
    <n v="5"/>
    <x v="1"/>
    <m/>
    <x v="0"/>
    <m/>
    <x v="0"/>
    <m/>
    <x v="1"/>
    <m/>
    <m/>
    <m/>
    <s v="Defense White Paper Appendix"/>
    <m/>
  </r>
  <r>
    <x v="1"/>
    <x v="1"/>
    <s v="Asia"/>
    <s v="No Specific Relationship"/>
    <s v="None"/>
    <x v="0"/>
    <x v="1"/>
    <x v="17"/>
    <n v="8"/>
    <x v="3"/>
    <s v="Liang Guanglie"/>
    <m/>
    <s v="Defense Minister; CMC Member"/>
    <n v="8"/>
    <x v="2"/>
    <s v="Chief of Defense Industries"/>
    <x v="0"/>
    <m/>
    <x v="0"/>
    <m/>
    <x v="1"/>
    <m/>
    <m/>
    <m/>
    <s v="Defense White Paper Appendix"/>
    <m/>
  </r>
  <r>
    <x v="1"/>
    <x v="10"/>
    <s v="America and Oceania"/>
    <s v="No Specific Relationship"/>
    <s v="None"/>
    <x v="5"/>
    <x v="107"/>
    <x v="17"/>
    <n v="8"/>
    <x v="4"/>
    <s v="Ma Xiaotian"/>
    <m/>
    <s v="GSD DCGS"/>
    <n v="6"/>
    <x v="1"/>
    <m/>
    <x v="0"/>
    <m/>
    <x v="0"/>
    <m/>
    <x v="1"/>
    <m/>
    <m/>
    <m/>
    <s v="Defense White Paper Appendix"/>
    <m/>
  </r>
  <r>
    <x v="1"/>
    <x v="5"/>
    <s v="America and Oceania"/>
    <s v="No Specific Relationship"/>
    <s v="ANZUS Treaty"/>
    <x v="0"/>
    <x v="12"/>
    <x v="17"/>
    <n v="9"/>
    <x v="4"/>
    <s v="Peng Xiaofeng"/>
    <m/>
    <s v="PLASAF Political Commissar"/>
    <n v="6"/>
    <x v="1"/>
    <m/>
    <x v="0"/>
    <m/>
    <x v="0"/>
    <m/>
    <x v="1"/>
    <m/>
    <m/>
    <m/>
    <s v="Defense White Paper Appendix"/>
    <m/>
  </r>
  <r>
    <x v="1"/>
    <x v="8"/>
    <s v="Europe and Central Asia"/>
    <s v="Strategic Partnership [战略伙伴关系]"/>
    <s v="NATO"/>
    <x v="3"/>
    <x v="34"/>
    <x v="17"/>
    <n v="9"/>
    <x v="4"/>
    <s v="Liang Guanglie"/>
    <m/>
    <s v="Defense Minister; CMC Member"/>
    <n v="8"/>
    <x v="1"/>
    <m/>
    <x v="0"/>
    <m/>
    <x v="0"/>
    <m/>
    <x v="1"/>
    <m/>
    <m/>
    <m/>
    <s v="Defense White Paper Appendix"/>
    <m/>
  </r>
  <r>
    <x v="1"/>
    <x v="10"/>
    <s v="America and Oceania"/>
    <s v="Comprehensive Strategic Partnership [全面战略伙伴关系]"/>
    <s v="None"/>
    <x v="5"/>
    <x v="43"/>
    <x v="17"/>
    <n v="9"/>
    <x v="4"/>
    <s v="Ma Xiaotian"/>
    <m/>
    <s v="GSD DCGS"/>
    <n v="6"/>
    <x v="1"/>
    <m/>
    <x v="0"/>
    <m/>
    <x v="0"/>
    <m/>
    <x v="1"/>
    <m/>
    <m/>
    <m/>
    <s v="Defense White Paper Appendix"/>
    <m/>
  </r>
  <r>
    <x v="1"/>
    <x v="1"/>
    <s v="Asia"/>
    <s v="No Specific Relationship"/>
    <s v="None"/>
    <x v="0"/>
    <x v="44"/>
    <x v="17"/>
    <n v="9"/>
    <x v="3"/>
    <s v="Chen Bingde"/>
    <m/>
    <s v="GSD Commander; CMC Member"/>
    <n v="8"/>
    <x v="2"/>
    <s v="Commander Armed Forces"/>
    <x v="0"/>
    <m/>
    <x v="0"/>
    <m/>
    <x v="1"/>
    <m/>
    <m/>
    <m/>
    <s v="Defense White Paper Appendix"/>
    <m/>
  </r>
  <r>
    <x v="1"/>
    <x v="7"/>
    <s v="West Asia and Africa"/>
    <s v="Friendly Cooperative Relationship [友好合作关系]"/>
    <s v="None"/>
    <x v="4"/>
    <x v="65"/>
    <x v="17"/>
    <n v="9"/>
    <x v="3"/>
    <s v="Chen Bingde"/>
    <m/>
    <s v="GSD Commander; CMC Member"/>
    <n v="8"/>
    <x v="2"/>
    <s v="COGS"/>
    <x v="0"/>
    <m/>
    <x v="0"/>
    <m/>
    <x v="1"/>
    <m/>
    <m/>
    <m/>
    <s v="Defense White Paper Appendix"/>
    <m/>
  </r>
  <r>
    <x v="1"/>
    <x v="2"/>
    <s v="America and Oceania"/>
    <s v="Strategic Partnership [战略伙伴关系]"/>
    <s v="None"/>
    <x v="2"/>
    <x v="17"/>
    <x v="17"/>
    <n v="9"/>
    <x v="4"/>
    <s v="Wang Xibin"/>
    <m/>
    <s v="PLA NDU President"/>
    <n v="6"/>
    <x v="1"/>
    <m/>
    <x v="0"/>
    <m/>
    <x v="0"/>
    <m/>
    <x v="1"/>
    <m/>
    <m/>
    <m/>
    <s v="Defense White Paper Appendix"/>
    <m/>
  </r>
  <r>
    <x v="1"/>
    <x v="10"/>
    <s v="America and Oceania"/>
    <s v="Comprehensive Partnership [全面伙伴关系]"/>
    <s v="None"/>
    <x v="5"/>
    <x v="66"/>
    <x v="17"/>
    <n v="9"/>
    <x v="4"/>
    <s v="Xu Qiliang"/>
    <m/>
    <s v="PLAAF Commander; CMC Member"/>
    <n v="8"/>
    <x v="1"/>
    <m/>
    <x v="0"/>
    <m/>
    <x v="0"/>
    <m/>
    <x v="1"/>
    <m/>
    <m/>
    <m/>
    <s v="Defense White Paper Appendix"/>
    <m/>
  </r>
  <r>
    <x v="1"/>
    <x v="10"/>
    <s v="America and Oceania"/>
    <s v="No Specific Relationship"/>
    <s v="None"/>
    <x v="5"/>
    <x v="49"/>
    <x v="17"/>
    <n v="9"/>
    <x v="4"/>
    <s v="Xu Qiliang"/>
    <m/>
    <s v="PLAAF Commander; CMC Member"/>
    <n v="8"/>
    <x v="1"/>
    <m/>
    <x v="0"/>
    <m/>
    <x v="0"/>
    <m/>
    <x v="1"/>
    <m/>
    <m/>
    <m/>
    <s v="Defense White Paper Appendix"/>
    <m/>
  </r>
  <r>
    <x v="1"/>
    <x v="8"/>
    <s v="Europe and Central Asia"/>
    <s v="No Specific Relationship"/>
    <s v="NATO"/>
    <x v="3"/>
    <x v="18"/>
    <x v="17"/>
    <n v="9"/>
    <x v="4"/>
    <s v="Liang Guanglie"/>
    <m/>
    <s v="Defense Minister; CMC Member"/>
    <n v="8"/>
    <x v="1"/>
    <s v="Defense Minister"/>
    <x v="0"/>
    <m/>
    <x v="0"/>
    <m/>
    <x v="1"/>
    <m/>
    <m/>
    <m/>
    <s v="Defense White Paper Appendix"/>
    <m/>
  </r>
  <r>
    <x v="1"/>
    <x v="8"/>
    <s v="Europe and Central Asia"/>
    <s v="No Specific Relationship"/>
    <s v="NATO"/>
    <x v="3"/>
    <x v="82"/>
    <x v="17"/>
    <n v="9"/>
    <x v="4"/>
    <s v="Liang Guanglie"/>
    <m/>
    <s v="Defense Minister; CMC Member"/>
    <n v="8"/>
    <x v="1"/>
    <m/>
    <x v="0"/>
    <m/>
    <x v="0"/>
    <m/>
    <x v="1"/>
    <m/>
    <m/>
    <m/>
    <s v="Defense White Paper Appendix"/>
    <m/>
  </r>
  <r>
    <x v="1"/>
    <x v="8"/>
    <s v="Europe and Central Asia"/>
    <s v="Comprehensive Strategic Partnership [全面战略伙伴关系]"/>
    <s v="NATO"/>
    <x v="3"/>
    <x v="20"/>
    <x v="17"/>
    <n v="9"/>
    <x v="4"/>
    <s v="Liang Guanglie"/>
    <m/>
    <s v="Defense Minister; CMC Member"/>
    <n v="8"/>
    <x v="1"/>
    <m/>
    <x v="0"/>
    <m/>
    <x v="0"/>
    <m/>
    <x v="1"/>
    <m/>
    <m/>
    <m/>
    <s v="Defense White Paper Appendix"/>
    <m/>
  </r>
  <r>
    <x v="1"/>
    <x v="4"/>
    <s v="Asia"/>
    <s v="Mutually Beneficial Strategic Relationship [战略互惠关系]"/>
    <s v="Bilateral Defense Treaty"/>
    <x v="0"/>
    <x v="83"/>
    <x v="17"/>
    <n v="9"/>
    <x v="4"/>
    <s v="Xu Qiliang"/>
    <m/>
    <s v="PLAAF Commander; CMC Member"/>
    <n v="8"/>
    <x v="1"/>
    <m/>
    <x v="0"/>
    <m/>
    <x v="0"/>
    <m/>
    <x v="1"/>
    <m/>
    <m/>
    <m/>
    <s v="Defense White Paper Appendix"/>
    <m/>
  </r>
  <r>
    <x v="1"/>
    <x v="7"/>
    <s v="West Asia and Africa"/>
    <s v="No Specific Relationship"/>
    <s v="None"/>
    <x v="4"/>
    <x v="47"/>
    <x v="17"/>
    <n v="9"/>
    <x v="4"/>
    <s v="Fan Changlong"/>
    <m/>
    <s v="Jinan MR Commander"/>
    <n v="6"/>
    <x v="1"/>
    <m/>
    <x v="0"/>
    <m/>
    <x v="0"/>
    <m/>
    <x v="1"/>
    <m/>
    <m/>
    <m/>
    <s v="Defense White Paper Appendix"/>
    <m/>
  </r>
  <r>
    <x v="1"/>
    <x v="7"/>
    <s v="West Asia and Africa"/>
    <s v="No Specific Relationship"/>
    <s v="None"/>
    <x v="4"/>
    <x v="69"/>
    <x v="17"/>
    <n v="9"/>
    <x v="4"/>
    <s v="Fan Changlong"/>
    <m/>
    <s v="Jinan MR Commander"/>
    <n v="6"/>
    <x v="1"/>
    <m/>
    <x v="0"/>
    <m/>
    <x v="0"/>
    <m/>
    <x v="1"/>
    <m/>
    <m/>
    <m/>
    <s v="Defense White Paper Appendix"/>
    <m/>
  </r>
  <r>
    <x v="1"/>
    <x v="0"/>
    <s v="Asia"/>
    <s v="Good-Neighborly Partnership [世代友好的睦邻伙伴关系]"/>
    <s v="None"/>
    <x v="0"/>
    <x v="32"/>
    <x v="17"/>
    <n v="9"/>
    <x v="3"/>
    <s v="Guo Boxiong"/>
    <m/>
    <s v="CMC Vice Chairman"/>
    <n v="8"/>
    <x v="2"/>
    <s v="Defense Minister"/>
    <x v="0"/>
    <m/>
    <x v="0"/>
    <m/>
    <x v="1"/>
    <m/>
    <m/>
    <m/>
    <s v="https://dlib.eastview.com/browse/doc/18952140"/>
    <s v="Recoded as South Asia"/>
  </r>
  <r>
    <x v="1"/>
    <x v="5"/>
    <s v="America and Oceania"/>
    <s v="No Specific Relationship"/>
    <s v="ANZUS Treaty"/>
    <x v="0"/>
    <x v="13"/>
    <x v="17"/>
    <n v="9"/>
    <x v="4"/>
    <s v="Peng Xiaofeng"/>
    <m/>
    <s v="PLASAF Political Commissar"/>
    <n v="6"/>
    <x v="1"/>
    <m/>
    <x v="0"/>
    <m/>
    <x v="0"/>
    <m/>
    <x v="1"/>
    <m/>
    <m/>
    <m/>
    <s v="Defense White Paper Appendix"/>
    <m/>
  </r>
  <r>
    <x v="1"/>
    <x v="8"/>
    <s v="Europe and Central Asia"/>
    <s v="No Specific Relationship"/>
    <s v="NATO"/>
    <x v="3"/>
    <x v="37"/>
    <x v="17"/>
    <n v="9"/>
    <x v="4"/>
    <s v="Chen Bingde"/>
    <m/>
    <s v="GSD Commander; CMC Member"/>
    <n v="8"/>
    <x v="1"/>
    <m/>
    <x v="0"/>
    <m/>
    <x v="0"/>
    <m/>
    <x v="1"/>
    <m/>
    <m/>
    <m/>
    <s v="Defense White Paper Appendix"/>
    <m/>
  </r>
  <r>
    <x v="1"/>
    <x v="0"/>
    <s v="Asia"/>
    <s v="Strategic Partnership [战略伙伴关系]"/>
    <s v="Major Non-NATO Ally"/>
    <x v="1"/>
    <x v="2"/>
    <x v="17"/>
    <n v="9"/>
    <x v="3"/>
    <s v="Guo Boxiong"/>
    <m/>
    <s v="CMC Vice Chairman"/>
    <n v="10"/>
    <x v="2"/>
    <s v="Chief of Army Staff"/>
    <x v="0"/>
    <m/>
    <x v="0"/>
    <m/>
    <x v="1"/>
    <m/>
    <m/>
    <m/>
    <s v="Defense White Paper Appendix"/>
    <m/>
  </r>
  <r>
    <x v="1"/>
    <x v="8"/>
    <s v="Europe and Central Asia"/>
    <s v="No Specific Relationship"/>
    <s v="NATO"/>
    <x v="3"/>
    <x v="59"/>
    <x v="17"/>
    <n v="9"/>
    <x v="4"/>
    <s v="Huang Xianzhong"/>
    <m/>
    <s v="Shenyang MR Political Commissar"/>
    <n v="6"/>
    <x v="1"/>
    <m/>
    <x v="0"/>
    <m/>
    <x v="0"/>
    <m/>
    <x v="1"/>
    <m/>
    <m/>
    <m/>
    <s v="Defense White Paper Appendix"/>
    <m/>
  </r>
  <r>
    <x v="1"/>
    <x v="8"/>
    <s v="Europe and Central Asia"/>
    <s v="No Specific Relationship"/>
    <s v="None"/>
    <x v="3"/>
    <x v="112"/>
    <x v="17"/>
    <n v="9"/>
    <x v="4"/>
    <s v="Chen Bingde"/>
    <m/>
    <s v="GSD Commander; CMC Member"/>
    <n v="8"/>
    <x v="1"/>
    <s v="COGS"/>
    <x v="0"/>
    <m/>
    <x v="0"/>
    <m/>
    <x v="1"/>
    <m/>
    <m/>
    <m/>
    <s v="Defense White Paper Appendix"/>
    <m/>
  </r>
  <r>
    <x v="1"/>
    <x v="7"/>
    <s v="West Asia and Africa"/>
    <s v="Strategic Partnership [战略伙伴关系]"/>
    <s v="None"/>
    <x v="4"/>
    <x v="15"/>
    <x v="17"/>
    <n v="9"/>
    <x v="4"/>
    <s v="Tong Shiping"/>
    <m/>
    <s v="GPD Deputy Director"/>
    <n v="6"/>
    <x v="1"/>
    <m/>
    <x v="0"/>
    <m/>
    <x v="0"/>
    <m/>
    <x v="1"/>
    <m/>
    <m/>
    <m/>
    <s v="Defense White Paper Appendix"/>
    <m/>
  </r>
  <r>
    <x v="1"/>
    <x v="8"/>
    <s v="Europe and Central Asia"/>
    <s v="No Specific Relationship"/>
    <s v="None"/>
    <x v="3"/>
    <x v="78"/>
    <x v="17"/>
    <n v="9"/>
    <x v="3"/>
    <s v="Guo Boxiong"/>
    <m/>
    <s v="CMC Vice Chairman"/>
    <n v="10"/>
    <x v="2"/>
    <s v="Defense Minister"/>
    <x v="0"/>
    <m/>
    <x v="0"/>
    <m/>
    <x v="1"/>
    <m/>
    <m/>
    <m/>
    <s v="Defense White Paper Appendix"/>
    <m/>
  </r>
  <r>
    <x v="1"/>
    <x v="7"/>
    <s v="West Asia and Africa"/>
    <s v="No Specific Relationship"/>
    <s v="None"/>
    <x v="4"/>
    <x v="16"/>
    <x v="17"/>
    <n v="9"/>
    <x v="3"/>
    <s v="Ma Xiaotian"/>
    <m/>
    <s v="GSD DCGS"/>
    <n v="6"/>
    <x v="2"/>
    <s v="Chief of Staff Defense Force"/>
    <x v="0"/>
    <m/>
    <x v="0"/>
    <m/>
    <x v="1"/>
    <m/>
    <m/>
    <m/>
    <s v="https://dlib.eastview.com/browse/doc/18939547"/>
    <m/>
  </r>
  <r>
    <x v="1"/>
    <x v="8"/>
    <s v="Europe and Central Asia"/>
    <s v="Comprehensive Strategic Partnership [全面战略伙伴关系]"/>
    <s v="NATO"/>
    <x v="3"/>
    <x v="21"/>
    <x v="17"/>
    <n v="9"/>
    <x v="3"/>
    <s v="Liang Guanglie"/>
    <m/>
    <s v="Defense Minister; CMC Member"/>
    <n v="8"/>
    <x v="2"/>
    <s v="First Sea Lord and Chief of Naval Staff"/>
    <x v="0"/>
    <m/>
    <x v="0"/>
    <m/>
    <x v="1"/>
    <m/>
    <m/>
    <m/>
    <s v="Defense White Paper Appendix"/>
    <m/>
  </r>
  <r>
    <x v="1"/>
    <x v="2"/>
    <s v="America and Oceania"/>
    <s v="No Specific Relationship"/>
    <s v="N/A"/>
    <x v="2"/>
    <x v="4"/>
    <x v="17"/>
    <n v="9"/>
    <x v="4"/>
    <s v="Wang Xibin"/>
    <m/>
    <s v="PLA NDU President"/>
    <n v="6"/>
    <x v="1"/>
    <m/>
    <x v="0"/>
    <m/>
    <x v="0"/>
    <m/>
    <x v="1"/>
    <m/>
    <m/>
    <m/>
    <s v="Defense White Paper Appendix"/>
    <m/>
  </r>
  <r>
    <x v="1"/>
    <x v="7"/>
    <s v="West Asia and Africa"/>
    <s v="No Specific Relationship"/>
    <s v="None"/>
    <x v="4"/>
    <x v="93"/>
    <x v="17"/>
    <n v="10"/>
    <x v="4"/>
    <s v="Qi Jianguo"/>
    <m/>
    <s v="GSD Assistant Commander"/>
    <n v="5"/>
    <x v="1"/>
    <m/>
    <x v="0"/>
    <m/>
    <x v="0"/>
    <m/>
    <x v="1"/>
    <m/>
    <m/>
    <m/>
    <s v="Defense White Paper Appendix"/>
    <m/>
  </r>
  <r>
    <x v="1"/>
    <x v="1"/>
    <s v="Asia"/>
    <s v="Comprehensive Cooperative Partnership [全面合作伙伴关系]"/>
    <s v="None"/>
    <x v="0"/>
    <x v="94"/>
    <x v="17"/>
    <n v="10"/>
    <x v="4"/>
    <s v="Ma Xiaotian"/>
    <m/>
    <s v="GSD DCGS"/>
    <n v="6"/>
    <x v="1"/>
    <m/>
    <x v="0"/>
    <m/>
    <x v="0"/>
    <m/>
    <x v="1"/>
    <m/>
    <m/>
    <m/>
    <s v="Defense White Paper Appendix"/>
    <m/>
  </r>
  <r>
    <x v="1"/>
    <x v="10"/>
    <s v="America and Oceania"/>
    <s v="No Specific Relationship"/>
    <s v="None"/>
    <x v="5"/>
    <x v="45"/>
    <x v="17"/>
    <n v="10"/>
    <x v="3"/>
    <s v="Liang Guanglie"/>
    <m/>
    <s v="Defense Minister; CMC Member"/>
    <n v="8"/>
    <x v="2"/>
    <s v="Commander Armed Forces"/>
    <x v="0"/>
    <m/>
    <x v="0"/>
    <m/>
    <x v="1"/>
    <m/>
    <m/>
    <m/>
    <s v="Defense White Paper Appendix"/>
    <m/>
  </r>
  <r>
    <x v="1"/>
    <x v="7"/>
    <s v="West Asia and Africa"/>
    <s v="Friendly Cooperative Partnership [友好合作伙伴关系]"/>
    <s v="None"/>
    <x v="4"/>
    <x v="118"/>
    <x v="17"/>
    <n v="10"/>
    <x v="3"/>
    <s v="Liang Guanglie"/>
    <m/>
    <s v="Defense Minister; CMC Member"/>
    <n v="8"/>
    <x v="2"/>
    <s v="COGS"/>
    <x v="0"/>
    <m/>
    <x v="0"/>
    <m/>
    <x v="1"/>
    <m/>
    <m/>
    <m/>
    <s v="Defense White Paper Appendix"/>
    <m/>
  </r>
  <r>
    <x v="1"/>
    <x v="10"/>
    <s v="America and Oceania"/>
    <s v="No Specific Relationship"/>
    <s v="None"/>
    <x v="5"/>
    <x v="51"/>
    <x v="17"/>
    <n v="10"/>
    <x v="3"/>
    <s v="Liang Guanglie"/>
    <m/>
    <s v="Defense Minister; CMC Member"/>
    <n v="8"/>
    <x v="2"/>
    <s v="Defense Minister"/>
    <x v="0"/>
    <m/>
    <x v="0"/>
    <m/>
    <x v="1"/>
    <m/>
    <m/>
    <m/>
    <s v="Defense White Paper Appendix"/>
    <m/>
  </r>
  <r>
    <x v="1"/>
    <x v="9"/>
    <s v="West Asia and Africa"/>
    <s v="Strategic Cooperative Partnership [战略合作伙伴关系]"/>
    <s v="Major Non-NATO Ally"/>
    <x v="1"/>
    <x v="24"/>
    <x v="17"/>
    <n v="10"/>
    <x v="4"/>
    <s v="Zhang Haiyang"/>
    <m/>
    <s v="Chengdu MR Political Commissar"/>
    <n v="6"/>
    <x v="1"/>
    <m/>
    <x v="0"/>
    <m/>
    <x v="0"/>
    <m/>
    <x v="1"/>
    <m/>
    <m/>
    <m/>
    <s v="Defense White Paper Appendix"/>
    <m/>
  </r>
  <r>
    <x v="1"/>
    <x v="8"/>
    <s v="Europe and Central Asia"/>
    <s v="Comprehensive Strategic Partnership [全面战略伙伴关系]"/>
    <s v="NATO"/>
    <x v="3"/>
    <x v="29"/>
    <x v="17"/>
    <n v="10"/>
    <x v="4"/>
    <s v="Tong Shiping"/>
    <m/>
    <s v="GPD Deputy Director"/>
    <n v="6"/>
    <x v="1"/>
    <m/>
    <x v="0"/>
    <m/>
    <x v="0"/>
    <m/>
    <x v="1"/>
    <m/>
    <m/>
    <m/>
    <s v="Defense White Paper Appendix"/>
    <m/>
  </r>
  <r>
    <x v="1"/>
    <x v="8"/>
    <s v="Europe and Central Asia"/>
    <s v="No Specific Relationship"/>
    <s v="NATO"/>
    <x v="3"/>
    <x v="82"/>
    <x v="17"/>
    <n v="10"/>
    <x v="4"/>
    <s v="Liu Yuan"/>
    <m/>
    <s v="AMS Political Commissar"/>
    <n v="6"/>
    <x v="1"/>
    <m/>
    <x v="0"/>
    <m/>
    <x v="0"/>
    <m/>
    <x v="1"/>
    <m/>
    <m/>
    <m/>
    <s v="Defense White Paper Appendix"/>
    <m/>
  </r>
  <r>
    <x v="1"/>
    <x v="10"/>
    <s v="America and Oceania"/>
    <s v="Friendly Partnership [友好伙伴关系)]"/>
    <s v="None"/>
    <x v="5"/>
    <x v="145"/>
    <x v="17"/>
    <n v="10"/>
    <x v="3"/>
    <s v="Chen Bingde"/>
    <m/>
    <s v="GSD Commander; CMC Member"/>
    <n v="8"/>
    <x v="2"/>
    <s v="Chief of Defense Force"/>
    <x v="0"/>
    <m/>
    <x v="0"/>
    <m/>
    <x v="1"/>
    <m/>
    <m/>
    <m/>
    <s v="Defense White Paper Appendix"/>
    <m/>
  </r>
  <r>
    <x v="1"/>
    <x v="7"/>
    <s v="West Asia and Africa"/>
    <s v="No Specific Relationship"/>
    <s v="None"/>
    <x v="4"/>
    <x v="114"/>
    <x v="17"/>
    <n v="10"/>
    <x v="4"/>
    <s v="Qi Jianguo"/>
    <m/>
    <s v="GSD Assistant Commander"/>
    <n v="5"/>
    <x v="1"/>
    <m/>
    <x v="0"/>
    <m/>
    <x v="0"/>
    <m/>
    <x v="1"/>
    <m/>
    <m/>
    <m/>
    <s v="Defense White Paper Appendix"/>
    <m/>
  </r>
  <r>
    <x v="1"/>
    <x v="1"/>
    <s v="Asia"/>
    <s v="No Specific Relationship"/>
    <s v="None"/>
    <x v="0"/>
    <x v="1"/>
    <x v="17"/>
    <n v="10"/>
    <x v="4"/>
    <s v="Ma Xiaotian"/>
    <m/>
    <s v="GSD DCGS"/>
    <n v="6"/>
    <x v="1"/>
    <m/>
    <x v="0"/>
    <m/>
    <x v="0"/>
    <m/>
    <x v="1"/>
    <m/>
    <m/>
    <m/>
    <s v="Defense White Paper Appendix"/>
    <m/>
  </r>
  <r>
    <x v="1"/>
    <x v="1"/>
    <s v="Asia"/>
    <s v="Strategic Cooperative Partnership [战略合作伙伴关系]"/>
    <s v="Bilateral Defense Treaty"/>
    <x v="0"/>
    <x v="11"/>
    <x v="17"/>
    <n v="10"/>
    <x v="3"/>
    <s v="Liang Guanglie"/>
    <m/>
    <s v="Defense Minister; CMC Member"/>
    <n v="8"/>
    <x v="2"/>
    <s v="Air Force Commander"/>
    <x v="0"/>
    <m/>
    <x v="0"/>
    <m/>
    <x v="1"/>
    <m/>
    <m/>
    <m/>
    <s v="Defense White Paper Appendix"/>
    <m/>
  </r>
  <r>
    <x v="1"/>
    <x v="8"/>
    <s v="Europe and Central Asia"/>
    <s v="Comprehensive Friendly Cooperative Partnership [全面友好合作伙伴关系]"/>
    <s v="NATO"/>
    <x v="3"/>
    <x v="33"/>
    <x v="17"/>
    <n v="10"/>
    <x v="4"/>
    <s v="Liu Yuan"/>
    <m/>
    <s v="AMS Political Commissar"/>
    <n v="6"/>
    <x v="1"/>
    <m/>
    <x v="0"/>
    <m/>
    <x v="0"/>
    <m/>
    <x v="1"/>
    <m/>
    <m/>
    <m/>
    <s v="Defense White Paper Appendix"/>
    <m/>
  </r>
  <r>
    <x v="1"/>
    <x v="1"/>
    <s v="Asia"/>
    <s v="No Specific Relationship"/>
    <s v="None"/>
    <x v="0"/>
    <x v="39"/>
    <x v="17"/>
    <n v="10"/>
    <x v="3"/>
    <s v="Liang Guanglie"/>
    <m/>
    <s v="Defense Minister; CMC Member"/>
    <n v="8"/>
    <x v="2"/>
    <s v="Defense Minister"/>
    <x v="0"/>
    <m/>
    <x v="0"/>
    <m/>
    <x v="1"/>
    <m/>
    <m/>
    <m/>
    <s v="https://dlib.eastview.com/browse/doc/19041905"/>
    <m/>
  </r>
  <r>
    <x v="1"/>
    <x v="4"/>
    <s v="Asia"/>
    <s v="Strategic Cooperative Partnership [战略合作伙伴关系]"/>
    <s v="Bilateral Defense Treaty"/>
    <x v="0"/>
    <x v="25"/>
    <x v="17"/>
    <n v="10"/>
    <x v="4"/>
    <s v="Ma Xiaotian"/>
    <m/>
    <s v="GSD DCGS"/>
    <n v="6"/>
    <x v="1"/>
    <m/>
    <x v="0"/>
    <m/>
    <x v="0"/>
    <m/>
    <x v="1"/>
    <m/>
    <m/>
    <m/>
    <s v="Defense White Paper Appendix"/>
    <m/>
  </r>
  <r>
    <x v="1"/>
    <x v="8"/>
    <s v="Europe and Central Asia"/>
    <s v="No Specific Relationship"/>
    <s v="None"/>
    <x v="3"/>
    <x v="92"/>
    <x v="17"/>
    <n v="10"/>
    <x v="3"/>
    <s v="Liang Guanglie"/>
    <m/>
    <s v="Defense Minister; CMC Member"/>
    <n v="8"/>
    <x v="2"/>
    <s v="Supreme Commander Armed Forces"/>
    <x v="0"/>
    <m/>
    <x v="0"/>
    <m/>
    <x v="1"/>
    <m/>
    <m/>
    <m/>
    <s v="Defense White Paper Appendix"/>
    <m/>
  </r>
  <r>
    <x v="1"/>
    <x v="9"/>
    <s v="West Asia and Africa"/>
    <s v="No Specific Relationship"/>
    <s v="None"/>
    <x v="1"/>
    <x v="102"/>
    <x v="17"/>
    <n v="10"/>
    <x v="4"/>
    <s v="Zhang Haiyang"/>
    <m/>
    <s v="Chengdu MR Political Commissar"/>
    <n v="6"/>
    <x v="1"/>
    <m/>
    <x v="0"/>
    <m/>
    <x v="0"/>
    <m/>
    <x v="1"/>
    <m/>
    <m/>
    <m/>
    <s v="Defense White Paper Appendix"/>
    <m/>
  </r>
  <r>
    <x v="1"/>
    <x v="7"/>
    <s v="West Asia and Africa"/>
    <s v="No Specific Relationship"/>
    <s v="None"/>
    <x v="4"/>
    <x v="16"/>
    <x v="17"/>
    <n v="10"/>
    <x v="4"/>
    <s v="Jing Zhiyuan"/>
    <m/>
    <s v="PLASAF Commander; CMC Member"/>
    <n v="8"/>
    <x v="1"/>
    <m/>
    <x v="0"/>
    <m/>
    <x v="0"/>
    <m/>
    <x v="1"/>
    <m/>
    <m/>
    <m/>
    <s v="Defense White Paper Appendix"/>
    <m/>
  </r>
  <r>
    <x v="1"/>
    <x v="7"/>
    <s v="West Asia and Africa"/>
    <s v="No Specific Relationship"/>
    <s v="None"/>
    <x v="4"/>
    <x v="97"/>
    <x v="17"/>
    <n v="10"/>
    <x v="4"/>
    <s v="Jing Zhiyuan"/>
    <m/>
    <s v="PLASAF Commander; CMC Member"/>
    <n v="8"/>
    <x v="1"/>
    <m/>
    <x v="0"/>
    <m/>
    <x v="0"/>
    <m/>
    <x v="1"/>
    <m/>
    <m/>
    <m/>
    <s v="Defense White Paper Appendix"/>
    <m/>
  </r>
  <r>
    <x v="1"/>
    <x v="10"/>
    <s v="America and Oceania"/>
    <s v="Strategic Partnership [战略伙伴关系]"/>
    <s v="Major Non-NATO Ally"/>
    <x v="5"/>
    <x v="62"/>
    <x v="17"/>
    <n v="11"/>
    <x v="4"/>
    <s v="Liu Chengjun"/>
    <m/>
    <s v="AMS President"/>
    <n v="6"/>
    <x v="1"/>
    <m/>
    <x v="0"/>
    <m/>
    <x v="0"/>
    <m/>
    <x v="1"/>
    <m/>
    <m/>
    <m/>
    <s v="Defense White Paper Appendix"/>
    <m/>
  </r>
  <r>
    <x v="1"/>
    <x v="9"/>
    <s v="West Asia and Africa"/>
    <s v="Friendly Cooperative Partnership [友好合作伙伴关系]"/>
    <s v="Major Non-NATO Ally"/>
    <x v="1"/>
    <x v="146"/>
    <x v="17"/>
    <n v="11"/>
    <x v="4"/>
    <s v="Liang Guanglie"/>
    <m/>
    <s v="Defense Minister; CMC Member"/>
    <n v="8"/>
    <x v="1"/>
    <m/>
    <x v="0"/>
    <m/>
    <x v="0"/>
    <m/>
    <x v="1"/>
    <m/>
    <m/>
    <m/>
    <s v="Defense White Paper Appendix"/>
    <m/>
  </r>
  <r>
    <x v="1"/>
    <x v="10"/>
    <s v="America and Oceania"/>
    <s v="Comprehensive Strategic Partnership [全面战略伙伴关系]"/>
    <s v="None"/>
    <x v="5"/>
    <x v="43"/>
    <x v="17"/>
    <n v="11"/>
    <x v="4"/>
    <s v="Xu Caihou"/>
    <m/>
    <s v="CMC Vice Chairman"/>
    <n v="10"/>
    <x v="1"/>
    <m/>
    <x v="0"/>
    <m/>
    <x v="0"/>
    <m/>
    <x v="1"/>
    <m/>
    <m/>
    <m/>
    <s v="Defense White Paper Appendix"/>
    <m/>
  </r>
  <r>
    <x v="1"/>
    <x v="8"/>
    <s v="Europe and Central Asia"/>
    <s v="No Specific Relationship"/>
    <s v="None"/>
    <x v="3"/>
    <x v="79"/>
    <x v="17"/>
    <n v="11"/>
    <x v="3"/>
    <s v="Xu Caihou"/>
    <m/>
    <s v="CMC Vice Chairman"/>
    <n v="10"/>
    <x v="2"/>
    <s v="COGS"/>
    <x v="0"/>
    <m/>
    <x v="0"/>
    <m/>
    <x v="1"/>
    <m/>
    <m/>
    <m/>
    <s v="Defense White Paper Appendix"/>
    <m/>
  </r>
  <r>
    <x v="1"/>
    <x v="10"/>
    <s v="America and Oceania"/>
    <s v="Comprehensive Partnership [全面伙伴关系]"/>
    <s v="None"/>
    <x v="5"/>
    <x v="66"/>
    <x v="17"/>
    <n v="11"/>
    <x v="4"/>
    <s v="Xu Caihou"/>
    <m/>
    <s v="CMC Vice Chairman"/>
    <n v="10"/>
    <x v="1"/>
    <m/>
    <x v="0"/>
    <m/>
    <x v="0"/>
    <m/>
    <x v="1"/>
    <m/>
    <m/>
    <m/>
    <s v="Defense White Paper Appendix"/>
    <m/>
  </r>
  <r>
    <x v="1"/>
    <x v="7"/>
    <s v="West Asia and Africa"/>
    <s v="No Specific Relationship"/>
    <s v="None"/>
    <x v="4"/>
    <x v="95"/>
    <x v="17"/>
    <n v="11"/>
    <x v="4"/>
    <s v="Tong Shiping"/>
    <m/>
    <s v="GPD Deputy Director"/>
    <n v="6"/>
    <x v="1"/>
    <m/>
    <x v="0"/>
    <m/>
    <x v="0"/>
    <m/>
    <x v="1"/>
    <m/>
    <m/>
    <m/>
    <s v="Defense White Paper Appendix"/>
    <m/>
  </r>
  <r>
    <x v="1"/>
    <x v="8"/>
    <s v="Europe and Central Asia"/>
    <s v="No Specific Relationship"/>
    <s v="NATO"/>
    <x v="3"/>
    <x v="18"/>
    <x v="17"/>
    <n v="11"/>
    <x v="3"/>
    <s v="Liang Guanglie"/>
    <m/>
    <s v="Defense Minister; CMC Member"/>
    <n v="8"/>
    <x v="2"/>
    <s v="Inspector of Navy"/>
    <x v="0"/>
    <m/>
    <x v="0"/>
    <m/>
    <x v="1"/>
    <m/>
    <m/>
    <m/>
    <s v="Defense White Paper Appendix"/>
    <m/>
  </r>
  <r>
    <x v="1"/>
    <x v="0"/>
    <s v="Asia"/>
    <s v="Strategic Partnership for Peace and Prosperity [战略伙伴关系]"/>
    <s v="None"/>
    <x v="0"/>
    <x v="6"/>
    <x v="17"/>
    <n v="11"/>
    <x v="4"/>
    <s v="Wu Shengli"/>
    <m/>
    <s v="PLAN Commander; CMC Member"/>
    <n v="8"/>
    <x v="1"/>
    <m/>
    <x v="0"/>
    <m/>
    <x v="0"/>
    <m/>
    <x v="1"/>
    <m/>
    <m/>
    <m/>
    <s v="Defense White Paper Appendix"/>
    <m/>
  </r>
  <r>
    <x v="1"/>
    <x v="4"/>
    <s v="Asia"/>
    <s v="Mutually Beneficial Strategic Relationship [战略互惠关系]"/>
    <s v="Bilateral Defense Treaty"/>
    <x v="0"/>
    <x v="83"/>
    <x v="17"/>
    <n v="11"/>
    <x v="4"/>
    <s v="Wu Shengli"/>
    <m/>
    <s v="PLAN Commander; CMC Member"/>
    <n v="8"/>
    <x v="1"/>
    <m/>
    <x v="0"/>
    <m/>
    <x v="0"/>
    <m/>
    <x v="1"/>
    <m/>
    <m/>
    <m/>
    <s v="Defense White Paper Appendix"/>
    <m/>
  </r>
  <r>
    <x v="1"/>
    <x v="1"/>
    <s v="Asia"/>
    <s v="Comprehensive Cooperative Partnership [全面合作伙伴关系]"/>
    <s v="None"/>
    <x v="0"/>
    <x v="52"/>
    <x v="17"/>
    <n v="11"/>
    <x v="4"/>
    <s v="Ma Xiaotian"/>
    <m/>
    <s v="GSD DCGS"/>
    <n v="6"/>
    <x v="1"/>
    <m/>
    <x v="0"/>
    <m/>
    <x v="0"/>
    <m/>
    <x v="1"/>
    <m/>
    <m/>
    <m/>
    <s v="Defense White Paper Appendix"/>
    <m/>
  </r>
  <r>
    <x v="1"/>
    <x v="2"/>
    <s v="America and Oceania"/>
    <s v="Strategic Cooperative Partnership [战略合作伙伴关系]"/>
    <s v="None"/>
    <x v="2"/>
    <x v="77"/>
    <x v="17"/>
    <n v="11"/>
    <x v="4"/>
    <s v="Sun Dafa"/>
    <m/>
    <s v="GLD Political Commissar"/>
    <n v="6"/>
    <x v="1"/>
    <m/>
    <x v="0"/>
    <m/>
    <x v="0"/>
    <m/>
    <x v="1"/>
    <m/>
    <m/>
    <m/>
    <s v="Defense White Paper Appendix"/>
    <m/>
  </r>
  <r>
    <x v="1"/>
    <x v="7"/>
    <s v="West Asia and Africa"/>
    <s v="No Specific Relationship"/>
    <s v="Major Non-NATO Ally"/>
    <x v="4"/>
    <x v="27"/>
    <x v="17"/>
    <n v="11"/>
    <x v="4"/>
    <s v="Tong Shiping"/>
    <m/>
    <s v="GPD Deputy Director"/>
    <n v="6"/>
    <x v="1"/>
    <m/>
    <x v="0"/>
    <m/>
    <x v="0"/>
    <m/>
    <x v="1"/>
    <m/>
    <m/>
    <m/>
    <s v="Defense White Paper Appendix"/>
    <m/>
  </r>
  <r>
    <x v="1"/>
    <x v="9"/>
    <s v="West Asia and Africa"/>
    <s v="No Specific Relationship"/>
    <s v="None"/>
    <x v="1"/>
    <x v="147"/>
    <x v="17"/>
    <n v="11"/>
    <x v="4"/>
    <s v="Liang Guanglie"/>
    <m/>
    <s v="Defense Minister; CMC Member"/>
    <n v="8"/>
    <x v="1"/>
    <m/>
    <x v="0"/>
    <m/>
    <x v="0"/>
    <m/>
    <x v="1"/>
    <m/>
    <m/>
    <m/>
    <s v="Defense White Paper Appendix"/>
    <m/>
  </r>
  <r>
    <x v="1"/>
    <x v="9"/>
    <s v="West Asia and Africa"/>
    <s v="No Specific Relationship"/>
    <s v="None"/>
    <x v="1"/>
    <x v="131"/>
    <x v="17"/>
    <n v="11"/>
    <x v="4"/>
    <s v="Liang Guanglie"/>
    <m/>
    <s v="Defense Minister; CMC Member"/>
    <n v="8"/>
    <x v="1"/>
    <m/>
    <x v="0"/>
    <m/>
    <x v="0"/>
    <m/>
    <x v="1"/>
    <m/>
    <m/>
    <m/>
    <s v="Defense White Paper Appendix"/>
    <m/>
  </r>
  <r>
    <x v="1"/>
    <x v="8"/>
    <s v="Europe and Central Asia"/>
    <s v="Comprehensive Friendly Cooperative Partnership [全面友好合作伙伴关系]"/>
    <s v="NATO"/>
    <x v="3"/>
    <x v="33"/>
    <x v="17"/>
    <n v="11"/>
    <x v="3"/>
    <s v="Guo Boxiong"/>
    <m/>
    <s v="CMC Vice Chairman"/>
    <n v="10"/>
    <x v="2"/>
    <s v="COGS"/>
    <x v="0"/>
    <m/>
    <x v="0"/>
    <m/>
    <x v="1"/>
    <m/>
    <m/>
    <m/>
    <s v="Defense White Paper Appendix"/>
    <m/>
  </r>
  <r>
    <x v="1"/>
    <x v="8"/>
    <s v="Europe and Central Asia"/>
    <s v="No Specific Relationship"/>
    <s v="None"/>
    <x v="3"/>
    <x v="112"/>
    <x v="17"/>
    <n v="11"/>
    <x v="3"/>
    <s v="Liang Guanglie"/>
    <m/>
    <s v="Defense Minister; CMC Member"/>
    <n v="8"/>
    <x v="2"/>
    <s v="Defense Minister"/>
    <x v="0"/>
    <m/>
    <x v="0"/>
    <m/>
    <x v="1"/>
    <m/>
    <m/>
    <m/>
    <s v="Defense White Paper Appendix"/>
    <m/>
  </r>
  <r>
    <x v="1"/>
    <x v="4"/>
    <s v="Asia"/>
    <s v="Strategic Cooperative Partnership [战略合作伙伴关系]"/>
    <s v="Bilateral Defense Treaty"/>
    <x v="0"/>
    <x v="25"/>
    <x v="17"/>
    <n v="11"/>
    <x v="4"/>
    <s v="Wu Shengli"/>
    <m/>
    <s v="PLAN Commander; CMC Member"/>
    <n v="8"/>
    <x v="1"/>
    <m/>
    <x v="0"/>
    <m/>
    <x v="0"/>
    <m/>
    <x v="1"/>
    <m/>
    <m/>
    <m/>
    <s v="Defense White Paper Appendix"/>
    <m/>
  </r>
  <r>
    <x v="1"/>
    <x v="7"/>
    <s v="West Asia and Africa"/>
    <s v="No Specific Relationship"/>
    <s v="None"/>
    <x v="4"/>
    <x v="16"/>
    <x v="17"/>
    <n v="11"/>
    <x v="4"/>
    <s v="Tong Shiping"/>
    <m/>
    <s v="GPD Deputy Director"/>
    <n v="6"/>
    <x v="1"/>
    <m/>
    <x v="0"/>
    <m/>
    <x v="0"/>
    <m/>
    <x v="1"/>
    <m/>
    <m/>
    <m/>
    <s v="Defense White Paper Appendix"/>
    <m/>
  </r>
  <r>
    <x v="1"/>
    <x v="1"/>
    <s v="Asia"/>
    <s v="Strategic Partnership [战略伙伴关系]"/>
    <s v="Bilateral Defense Treaty"/>
    <x v="0"/>
    <x v="5"/>
    <x v="17"/>
    <n v="11"/>
    <x v="4"/>
    <s v="Wu Shengli"/>
    <m/>
    <s v="PLAN Commander; CMC Member"/>
    <n v="8"/>
    <x v="1"/>
    <m/>
    <x v="0"/>
    <m/>
    <x v="0"/>
    <m/>
    <x v="1"/>
    <m/>
    <m/>
    <m/>
    <s v="Defense White Paper Appendix"/>
    <m/>
  </r>
  <r>
    <x v="1"/>
    <x v="7"/>
    <s v="West Asia and Africa"/>
    <s v="No Specific Relationship"/>
    <s v="Major Non-NATO Ally"/>
    <x v="4"/>
    <x v="85"/>
    <x v="17"/>
    <n v="11"/>
    <x v="4"/>
    <s v="Tong Shiping"/>
    <m/>
    <s v="GPD Deputy Director"/>
    <n v="6"/>
    <x v="1"/>
    <m/>
    <x v="0"/>
    <m/>
    <x v="0"/>
    <m/>
    <x v="1"/>
    <m/>
    <m/>
    <m/>
    <s v="Defense White Paper Appendix"/>
    <m/>
  </r>
  <r>
    <x v="1"/>
    <x v="9"/>
    <s v="West Asia and Africa"/>
    <s v="No Specific Relationship"/>
    <s v="None"/>
    <x v="1"/>
    <x v="106"/>
    <x v="17"/>
    <n v="11"/>
    <x v="4"/>
    <s v="Liang Guanglie"/>
    <m/>
    <s v="Defense Minister; CMC Member"/>
    <n v="8"/>
    <x v="1"/>
    <m/>
    <x v="0"/>
    <m/>
    <x v="0"/>
    <m/>
    <x v="1"/>
    <m/>
    <m/>
    <m/>
    <s v="Defense White Paper Appendix"/>
    <m/>
  </r>
  <r>
    <x v="1"/>
    <x v="10"/>
    <s v="America and Oceania"/>
    <s v="Strategic Development Partnership [战略发展伙伴关系]"/>
    <s v="None"/>
    <x v="5"/>
    <x v="56"/>
    <x v="17"/>
    <n v="11"/>
    <x v="4"/>
    <s v="Liu Chengjun"/>
    <m/>
    <s v="AMS President"/>
    <n v="6"/>
    <x v="1"/>
    <m/>
    <x v="0"/>
    <m/>
    <x v="0"/>
    <m/>
    <x v="1"/>
    <m/>
    <m/>
    <m/>
    <s v="Defense White Paper Appendix"/>
    <m/>
  </r>
  <r>
    <x v="1"/>
    <x v="1"/>
    <s v="Asia"/>
    <s v="Comprehensive Strategic Cooperative Partnership [全面战略合作伙伴关系]"/>
    <s v="None"/>
    <x v="0"/>
    <x v="23"/>
    <x v="17"/>
    <n v="11"/>
    <x v="4"/>
    <s v="Ma Xiaotian"/>
    <m/>
    <s v="GSD DCGS"/>
    <n v="6"/>
    <x v="1"/>
    <m/>
    <x v="0"/>
    <m/>
    <x v="0"/>
    <m/>
    <x v="1"/>
    <m/>
    <m/>
    <m/>
    <s v="Defense White Paper Appendix"/>
    <m/>
  </r>
  <r>
    <x v="0"/>
    <x v="1"/>
    <s v="Asia"/>
    <s v="Comprehensive Strategic Cooperative Partnership [全面战略合作伙伴关系]"/>
    <s v="None"/>
    <x v="0"/>
    <x v="23"/>
    <x v="17"/>
    <n v="11"/>
    <x v="8"/>
    <m/>
    <m/>
    <m/>
    <m/>
    <x v="0"/>
    <m/>
    <x v="0"/>
    <m/>
    <x v="0"/>
    <m/>
    <x v="0"/>
    <s v="NETF"/>
    <m/>
    <m/>
    <s v="USCC Report 2009"/>
    <m/>
  </r>
  <r>
    <x v="1"/>
    <x v="9"/>
    <s v="West Asia and Africa"/>
    <s v="No Specific Relationship"/>
    <s v="None"/>
    <x v="1"/>
    <x v="135"/>
    <x v="17"/>
    <n v="11"/>
    <x v="4"/>
    <s v="Ma Xiaotian"/>
    <m/>
    <s v="GSD DCGS"/>
    <n v="6"/>
    <x v="1"/>
    <m/>
    <x v="0"/>
    <m/>
    <x v="0"/>
    <m/>
    <x v="1"/>
    <m/>
    <m/>
    <m/>
    <s v="Defense White Paper Appendix"/>
    <m/>
  </r>
  <r>
    <x v="1"/>
    <x v="8"/>
    <s v="Europe and Central Asia"/>
    <s v="No Specific Relationship"/>
    <s v="None"/>
    <x v="3"/>
    <x v="63"/>
    <x v="17"/>
    <n v="12"/>
    <x v="3"/>
    <s v="Guo Boxiong"/>
    <m/>
    <s v="CMC Vice Chairman"/>
    <n v="10"/>
    <x v="2"/>
    <s v="Defense Minister"/>
    <x v="0"/>
    <m/>
    <x v="0"/>
    <m/>
    <x v="1"/>
    <m/>
    <m/>
    <m/>
    <s v="Defense White Paper Appendix"/>
    <m/>
  </r>
  <r>
    <x v="1"/>
    <x v="8"/>
    <s v="Europe and Central Asia"/>
    <s v="No Specific Relationship"/>
    <s v="None"/>
    <x v="3"/>
    <x v="124"/>
    <x v="17"/>
    <n v="12"/>
    <x v="3"/>
    <s v="Liang Guanglie"/>
    <m/>
    <s v="GSD Commander; CMC Member"/>
    <n v="8"/>
    <x v="2"/>
    <s v="Head JCS"/>
    <x v="0"/>
    <m/>
    <x v="0"/>
    <m/>
    <x v="1"/>
    <m/>
    <m/>
    <m/>
    <s v="Defense White Paper Appendix"/>
    <m/>
  </r>
  <r>
    <x v="1"/>
    <x v="10"/>
    <s v="America and Oceania"/>
    <s v="Comprehensive Partnership [全面伙伴关系]"/>
    <s v="None"/>
    <x v="5"/>
    <x v="66"/>
    <x v="17"/>
    <n v="12"/>
    <x v="4"/>
    <s v="Chi Wanchun"/>
    <m/>
    <s v="GAD Political Commissar"/>
    <n v="6"/>
    <x v="1"/>
    <m/>
    <x v="0"/>
    <m/>
    <x v="0"/>
    <m/>
    <x v="1"/>
    <m/>
    <m/>
    <m/>
    <s v="Defense White Paper Appendix"/>
    <m/>
  </r>
  <r>
    <x v="1"/>
    <x v="7"/>
    <s v="West Asia and Africa"/>
    <s v="No Specific Relationship"/>
    <s v="None"/>
    <x v="4"/>
    <x v="67"/>
    <x v="17"/>
    <n v="12"/>
    <x v="3"/>
    <s v="Qi Jianguo"/>
    <m/>
    <s v="GSD Assistant Commander"/>
    <n v="5"/>
    <x v="2"/>
    <s v="Defense Minister"/>
    <x v="0"/>
    <m/>
    <x v="0"/>
    <m/>
    <x v="1"/>
    <m/>
    <m/>
    <m/>
    <s v="Defense White Paper Appendix"/>
    <m/>
  </r>
  <r>
    <x v="1"/>
    <x v="8"/>
    <s v="Europe and Central Asia"/>
    <s v="No Specific Relationship"/>
    <s v="NATO"/>
    <x v="3"/>
    <x v="82"/>
    <x v="17"/>
    <n v="12"/>
    <x v="3"/>
    <s v="Chen Bingde"/>
    <m/>
    <s v="GSD Commander; CMC Member"/>
    <n v="8"/>
    <x v="2"/>
    <s v="COGS"/>
    <x v="0"/>
    <m/>
    <x v="0"/>
    <m/>
    <x v="1"/>
    <m/>
    <m/>
    <m/>
    <s v="Defense White Paper Appendix"/>
    <m/>
  </r>
  <r>
    <x v="1"/>
    <x v="0"/>
    <s v="Asia"/>
    <s v="Strategic Partnership for Peace and Prosperity [战略伙伴关系]"/>
    <s v="None"/>
    <x v="0"/>
    <x v="6"/>
    <x v="17"/>
    <n v="12"/>
    <x v="4"/>
    <s v="Ma Xiaotian"/>
    <m/>
    <s v="GSD DCGS"/>
    <n v="6"/>
    <x v="1"/>
    <m/>
    <x v="0"/>
    <m/>
    <x v="0"/>
    <m/>
    <x v="1"/>
    <m/>
    <m/>
    <m/>
    <s v="Defense White Paper Appendix"/>
    <m/>
  </r>
  <r>
    <x v="2"/>
    <x v="0"/>
    <s v="Asia"/>
    <s v="Strategic Partnership for Peace and Prosperity [战略伙伴关系]"/>
    <s v="None"/>
    <x v="0"/>
    <x v="6"/>
    <x v="17"/>
    <n v="12"/>
    <x v="5"/>
    <m/>
    <m/>
    <m/>
    <m/>
    <x v="0"/>
    <m/>
    <x v="1"/>
    <s v="Hand-in-Hand 2008"/>
    <x v="1"/>
    <s v="Anti-terrorism"/>
    <x v="1"/>
    <m/>
    <m/>
    <m/>
    <s v="Defense White Paper Appendix"/>
    <m/>
  </r>
  <r>
    <x v="1"/>
    <x v="1"/>
    <s v="Asia"/>
    <s v="Strategic Partnership [战略伙伴关系]"/>
    <s v="None"/>
    <x v="0"/>
    <x v="8"/>
    <x v="17"/>
    <n v="12"/>
    <x v="4"/>
    <s v="Chi Wanchun"/>
    <m/>
    <s v="GAD Political Commissar"/>
    <n v="6"/>
    <x v="1"/>
    <m/>
    <x v="0"/>
    <m/>
    <x v="0"/>
    <m/>
    <x v="1"/>
    <m/>
    <m/>
    <m/>
    <s v="Defense White Paper Appendix"/>
    <m/>
  </r>
  <r>
    <x v="1"/>
    <x v="9"/>
    <s v="West Asia and Africa"/>
    <s v="No Specific Relationship"/>
    <s v="Major Non-NATO Ally"/>
    <x v="1"/>
    <x v="100"/>
    <x v="17"/>
    <n v="12"/>
    <x v="4"/>
    <s v="Qi Jianguo"/>
    <m/>
    <s v="GSD Assistant Commander"/>
    <n v="5"/>
    <x v="1"/>
    <m/>
    <x v="0"/>
    <m/>
    <x v="0"/>
    <m/>
    <x v="1"/>
    <m/>
    <m/>
    <m/>
    <s v="Defense White Paper Appendix"/>
    <m/>
  </r>
  <r>
    <x v="1"/>
    <x v="9"/>
    <s v="West Asia and Africa"/>
    <s v="No Specific Relationship"/>
    <s v="Major Non-NATO Ally"/>
    <x v="1"/>
    <x v="101"/>
    <x v="17"/>
    <n v="12"/>
    <x v="4"/>
    <s v="Zhao Keshi"/>
    <m/>
    <s v="Nanjing MR Commander"/>
    <n v="6"/>
    <x v="1"/>
    <m/>
    <x v="0"/>
    <m/>
    <x v="0"/>
    <m/>
    <x v="1"/>
    <m/>
    <m/>
    <m/>
    <s v="Defense White Paper Appendix"/>
    <m/>
  </r>
  <r>
    <x v="1"/>
    <x v="9"/>
    <s v="West Asia and Africa"/>
    <s v="No Specific Relationship"/>
    <s v="None"/>
    <x v="1"/>
    <x v="110"/>
    <x v="17"/>
    <n v="12"/>
    <x v="4"/>
    <s v="Zhao Keshi"/>
    <m/>
    <s v="Nanjing MR Commander"/>
    <n v="6"/>
    <x v="1"/>
    <m/>
    <x v="0"/>
    <m/>
    <x v="0"/>
    <m/>
    <x v="1"/>
    <m/>
    <m/>
    <m/>
    <s v="Defense White Paper Appendix"/>
    <m/>
  </r>
  <r>
    <x v="1"/>
    <x v="8"/>
    <s v="Europe and Central Asia"/>
    <s v="No Specific Relationship"/>
    <s v="None"/>
    <x v="3"/>
    <x v="148"/>
    <x v="17"/>
    <n v="12"/>
    <x v="4"/>
    <s v="Qi Jianguo"/>
    <m/>
    <s v="GSD Assistant Commander"/>
    <n v="5"/>
    <x v="1"/>
    <m/>
    <x v="0"/>
    <m/>
    <x v="0"/>
    <m/>
    <x v="1"/>
    <m/>
    <m/>
    <m/>
    <s v="Defense White Paper Appendix"/>
    <m/>
  </r>
  <r>
    <x v="1"/>
    <x v="1"/>
    <s v="Asia"/>
    <s v="No Specific Relationship"/>
    <s v="None"/>
    <x v="0"/>
    <x v="1"/>
    <x v="17"/>
    <n v="12"/>
    <x v="3"/>
    <s v="Chen Bingde"/>
    <m/>
    <s v="GSD Commander; CMC Member"/>
    <n v="8"/>
    <x v="2"/>
    <s v="COGS"/>
    <x v="0"/>
    <m/>
    <x v="0"/>
    <m/>
    <x v="1"/>
    <m/>
    <m/>
    <m/>
    <s v="Defense White Paper Appendix"/>
    <m/>
  </r>
  <r>
    <x v="1"/>
    <x v="0"/>
    <s v="Asia"/>
    <s v="Good-Neighborly Partnership [世代友好的睦邻伙伴关系]"/>
    <s v="None"/>
    <x v="0"/>
    <x v="32"/>
    <x v="17"/>
    <n v="12"/>
    <x v="4"/>
    <s v="Ma Xiaotian"/>
    <m/>
    <s v="GSD DCGS"/>
    <n v="6"/>
    <x v="1"/>
    <m/>
    <x v="0"/>
    <m/>
    <x v="0"/>
    <m/>
    <x v="1"/>
    <m/>
    <m/>
    <m/>
    <s v="Defense White Paper Appendix"/>
    <s v="Recoded as South Asia"/>
  </r>
  <r>
    <x v="1"/>
    <x v="0"/>
    <s v="Asia"/>
    <s v="Strategic Partnership [战略伙伴关系]"/>
    <s v="Major Non-NATO Ally"/>
    <x v="1"/>
    <x v="2"/>
    <x v="17"/>
    <n v="12"/>
    <x v="3"/>
    <s v="Liang Guanglie"/>
    <m/>
    <s v="Defense Minister; CMC Member"/>
    <n v="8"/>
    <x v="2"/>
    <s v="Chairman JCS"/>
    <x v="0"/>
    <m/>
    <x v="0"/>
    <m/>
    <x v="1"/>
    <m/>
    <m/>
    <m/>
    <s v="Defense White Paper Appendix"/>
    <m/>
  </r>
  <r>
    <x v="1"/>
    <x v="3"/>
    <s v="Europe and Central Asia"/>
    <s v="Strategic Partnership of Coordination [战略协作伙伴关系]"/>
    <s v="None"/>
    <x v="3"/>
    <x v="7"/>
    <x v="17"/>
    <n v="12"/>
    <x v="3"/>
    <s v="Guo Boxiong"/>
    <m/>
    <s v="CMC Vice Chairman"/>
    <n v="10"/>
    <x v="2"/>
    <s v="Defense Minister"/>
    <x v="0"/>
    <m/>
    <x v="0"/>
    <m/>
    <x v="1"/>
    <m/>
    <m/>
    <m/>
    <s v="Defense White Paper Appendix"/>
    <m/>
  </r>
  <r>
    <x v="1"/>
    <x v="1"/>
    <s v="Asia"/>
    <s v="No Specific Relationship"/>
    <s v="None"/>
    <x v="0"/>
    <x v="39"/>
    <x v="17"/>
    <n v="12"/>
    <x v="3"/>
    <s v="Liang Guanglie"/>
    <m/>
    <s v="Defense Minister; CMC Member"/>
    <n v="8"/>
    <x v="2"/>
    <s v="COGS"/>
    <x v="0"/>
    <m/>
    <x v="0"/>
    <m/>
    <x v="1"/>
    <m/>
    <m/>
    <m/>
    <s v="Defense White Paper Appendix"/>
    <m/>
  </r>
  <r>
    <x v="1"/>
    <x v="2"/>
    <s v="America and Oceania"/>
    <s v="No Specific Relationship"/>
    <s v="N/A"/>
    <x v="2"/>
    <x v="4"/>
    <x v="17"/>
    <n v="12"/>
    <x v="3"/>
    <s v="Liang Guanglie"/>
    <m/>
    <s v="Defense Minister; CMC Member"/>
    <n v="8"/>
    <x v="2"/>
    <s v="former Chairman JCS"/>
    <x v="0"/>
    <m/>
    <x v="0"/>
    <m/>
    <x v="1"/>
    <m/>
    <m/>
    <m/>
    <s v="Defense White Paper Appendix"/>
    <m/>
  </r>
  <r>
    <x v="1"/>
    <x v="1"/>
    <s v="Asia"/>
    <s v="Comprehensive Strategic Cooperative Partnership [全面战略合作伙伴关系]"/>
    <s v="None"/>
    <x v="0"/>
    <x v="23"/>
    <x v="17"/>
    <n v="12"/>
    <x v="3"/>
    <s v="Liang Guanglie"/>
    <m/>
    <s v="Defense Minister; CMC Member"/>
    <n v="6"/>
    <x v="2"/>
    <s v="COGS"/>
    <x v="0"/>
    <m/>
    <x v="0"/>
    <m/>
    <x v="1"/>
    <m/>
    <m/>
    <m/>
    <s v="https://dlib.eastview.com/browse/doc/19268531"/>
    <m/>
  </r>
  <r>
    <x v="1"/>
    <x v="8"/>
    <s v="Europe and Central Asia"/>
    <s v="No Specific Relationship"/>
    <s v="None"/>
    <x v="3"/>
    <x v="148"/>
    <x v="18"/>
    <n v="1"/>
    <x v="3"/>
    <s v="Chen Bingde"/>
    <m/>
    <s v="GSD Commander; CMC Member"/>
    <n v="8"/>
    <x v="2"/>
    <s v="Commander Armed Forces"/>
    <x v="0"/>
    <m/>
    <x v="0"/>
    <m/>
    <x v="1"/>
    <m/>
    <m/>
    <m/>
    <s v="Defense White Paper Appendix"/>
    <m/>
  </r>
  <r>
    <x v="1"/>
    <x v="8"/>
    <s v="Europe and Central Asia"/>
    <s v="No Specific Relationship"/>
    <s v="None"/>
    <x v="3"/>
    <x v="26"/>
    <x v="18"/>
    <n v="1"/>
    <x v="3"/>
    <s v="Liang Guanglie"/>
    <m/>
    <s v="Defense Minister; CMC Member"/>
    <n v="8"/>
    <x v="2"/>
    <s v="Defense Minister"/>
    <x v="0"/>
    <m/>
    <x v="0"/>
    <m/>
    <x v="1"/>
    <m/>
    <m/>
    <m/>
    <s v="Defense White Paper Appendix"/>
    <m/>
  </r>
  <r>
    <x v="1"/>
    <x v="1"/>
    <s v="Asia"/>
    <s v="No Specific Relationship"/>
    <s v="None"/>
    <x v="0"/>
    <x v="44"/>
    <x v="18"/>
    <n v="2"/>
    <x v="4"/>
    <s v="Ma Xiaotian"/>
    <m/>
    <s v="GSD DCGS"/>
    <n v="6"/>
    <x v="1"/>
    <m/>
    <x v="0"/>
    <m/>
    <x v="0"/>
    <m/>
    <x v="1"/>
    <m/>
    <m/>
    <m/>
    <s v="Defense White Paper Appendix"/>
    <m/>
  </r>
  <r>
    <x v="1"/>
    <x v="9"/>
    <s v="West Asia and Africa"/>
    <s v="Strategic Cooperative Partnership [战略合作伙伴关系]"/>
    <s v="Major Non-NATO Ally"/>
    <x v="1"/>
    <x v="24"/>
    <x v="18"/>
    <n v="2"/>
    <x v="3"/>
    <s v="Liang Guanglie"/>
    <m/>
    <s v="Defense Minister; CMC Member"/>
    <n v="8"/>
    <x v="2"/>
    <s v="Air Force Commander"/>
    <x v="0"/>
    <m/>
    <x v="0"/>
    <m/>
    <x v="1"/>
    <m/>
    <m/>
    <m/>
    <s v="Defense White Paper Appendix"/>
    <m/>
  </r>
  <r>
    <x v="1"/>
    <x v="8"/>
    <s v="Europe and Central Asia"/>
    <s v="No Specific Relationship"/>
    <s v="None"/>
    <x v="3"/>
    <x v="81"/>
    <x v="18"/>
    <n v="2"/>
    <x v="3"/>
    <s v="Liang Guanglie"/>
    <m/>
    <s v="Defense Minister; CMC Member"/>
    <n v="8"/>
    <x v="2"/>
    <s v="Defense Minister"/>
    <x v="0"/>
    <m/>
    <x v="0"/>
    <m/>
    <x v="1"/>
    <m/>
    <m/>
    <m/>
    <s v="Defense White Paper Appendix"/>
    <m/>
  </r>
  <r>
    <x v="1"/>
    <x v="4"/>
    <s v="Asia"/>
    <s v="Mutually Beneficial Strategic Relationship [战略互惠关系]"/>
    <s v="Bilateral Defense Treaty"/>
    <x v="0"/>
    <x v="83"/>
    <x v="18"/>
    <n v="2"/>
    <x v="4"/>
    <s v="Ma Xiaotian"/>
    <m/>
    <s v="GSD DCGS"/>
    <n v="6"/>
    <x v="1"/>
    <m/>
    <x v="0"/>
    <m/>
    <x v="0"/>
    <m/>
    <x v="1"/>
    <m/>
    <m/>
    <m/>
    <s v="Defense White Paper Appendix"/>
    <m/>
  </r>
  <r>
    <x v="1"/>
    <x v="0"/>
    <s v="West Asia and Africa"/>
    <s v="No Specific Relationship"/>
    <s v="None"/>
    <x v="0"/>
    <x v="149"/>
    <x v="18"/>
    <n v="2"/>
    <x v="3"/>
    <s v="Liang Guanglie"/>
    <m/>
    <s v="Defense Minister; CMC Member"/>
    <n v="8"/>
    <x v="2"/>
    <s v="Defense Minister"/>
    <x v="0"/>
    <m/>
    <x v="0"/>
    <m/>
    <x v="1"/>
    <m/>
    <m/>
    <m/>
    <s v="Defense White Paper Appendix"/>
    <m/>
  </r>
  <r>
    <x v="0"/>
    <x v="9"/>
    <s v="West Asia and Africa"/>
    <s v="No Specific Relationship"/>
    <s v="None"/>
    <x v="1"/>
    <x v="135"/>
    <x v="18"/>
    <n v="2"/>
    <x v="9"/>
    <m/>
    <m/>
    <m/>
    <m/>
    <x v="0"/>
    <m/>
    <x v="0"/>
    <m/>
    <x v="0"/>
    <m/>
    <x v="2"/>
    <s v="ETF-01 "/>
    <s v="South Sea Fleet"/>
    <s v="DDG169 Wuhan, DDG171 Haikou, AOR887 Weishan Hu; unknown, could also be ETF-2"/>
    <m/>
    <m/>
  </r>
  <r>
    <x v="1"/>
    <x v="5"/>
    <s v="America and Oceania"/>
    <s v="No Specific Relationship"/>
    <s v="ANZUS Treaty"/>
    <x v="0"/>
    <x v="12"/>
    <x v="18"/>
    <n v="3"/>
    <x v="3"/>
    <s v="Ma Xiaotian"/>
    <m/>
    <s v="GSD DCGS"/>
    <n v="6"/>
    <x v="1"/>
    <s v="Army Commander"/>
    <x v="0"/>
    <m/>
    <x v="0"/>
    <m/>
    <x v="1"/>
    <m/>
    <m/>
    <m/>
    <s v="Defense White Paper Appendix"/>
    <m/>
  </r>
  <r>
    <x v="1"/>
    <x v="0"/>
    <s v="Asia"/>
    <s v="Comprehensive Cooperative Partnership [全面合作伙伴关系]"/>
    <s v="None"/>
    <x v="0"/>
    <x v="0"/>
    <x v="18"/>
    <n v="3"/>
    <x v="4"/>
    <s v="Ma Xiaotian"/>
    <m/>
    <s v="GSD DCGS"/>
    <n v="6"/>
    <x v="1"/>
    <m/>
    <x v="0"/>
    <m/>
    <x v="0"/>
    <m/>
    <x v="1"/>
    <m/>
    <m/>
    <m/>
    <s v="Defense White Paper Appendix"/>
    <m/>
  </r>
  <r>
    <x v="1"/>
    <x v="10"/>
    <s v="America and Oceania"/>
    <s v="No Specific Relationship"/>
    <s v="None"/>
    <x v="5"/>
    <x v="49"/>
    <x v="18"/>
    <n v="3"/>
    <x v="4"/>
    <s v="Fu Tinggui"/>
    <m/>
    <s v="Beijing MR Political Commissar"/>
    <n v="6"/>
    <x v="1"/>
    <m/>
    <x v="0"/>
    <m/>
    <x v="0"/>
    <m/>
    <x v="1"/>
    <m/>
    <m/>
    <m/>
    <s v="Defense White Paper Appendix"/>
    <m/>
  </r>
  <r>
    <x v="1"/>
    <x v="4"/>
    <s v="Asia"/>
    <s v="Mutually Beneficial Strategic Relationship [战略互惠关系]"/>
    <s v="Bilateral Defense Treaty"/>
    <x v="0"/>
    <x v="83"/>
    <x v="18"/>
    <n v="3"/>
    <x v="3"/>
    <s v="Liang Guanglie"/>
    <m/>
    <s v="Defense Minister; CMC Member"/>
    <n v="8"/>
    <x v="2"/>
    <s v="Defense Minister"/>
    <x v="0"/>
    <m/>
    <x v="0"/>
    <m/>
    <x v="1"/>
    <m/>
    <m/>
    <m/>
    <s v="Defense White Paper Appendix"/>
    <m/>
  </r>
  <r>
    <x v="1"/>
    <x v="1"/>
    <s v="Asia"/>
    <s v="Strategic Cooperative Partnership [战略合作伙伴关系]"/>
    <s v="None"/>
    <x v="0"/>
    <x v="10"/>
    <x v="18"/>
    <n v="3"/>
    <x v="4"/>
    <s v="Ma Xiaotian"/>
    <m/>
    <s v="GSD DCGS"/>
    <n v="6"/>
    <x v="1"/>
    <m/>
    <x v="0"/>
    <m/>
    <x v="0"/>
    <m/>
    <x v="1"/>
    <m/>
    <m/>
    <m/>
    <s v="Defense White Paper Appendix"/>
    <m/>
  </r>
  <r>
    <x v="1"/>
    <x v="7"/>
    <s v="West Asia and Africa"/>
    <s v="No Specific Relationship"/>
    <s v="None"/>
    <x v="4"/>
    <x v="84"/>
    <x v="18"/>
    <n v="3"/>
    <x v="4"/>
    <s v="Ma Xiaotian"/>
    <m/>
    <s v="GSD DCGS"/>
    <n v="6"/>
    <x v="1"/>
    <m/>
    <x v="0"/>
    <m/>
    <x v="0"/>
    <m/>
    <x v="1"/>
    <m/>
    <m/>
    <m/>
    <s v="Defense White Paper Appendix"/>
    <m/>
  </r>
  <r>
    <x v="1"/>
    <x v="1"/>
    <s v="Asia"/>
    <s v="No Specific Relationship"/>
    <s v="None"/>
    <x v="0"/>
    <x v="1"/>
    <x v="18"/>
    <n v="3"/>
    <x v="4"/>
    <s v="Chen Bingde"/>
    <m/>
    <s v="GSD Commander; CMC Member"/>
    <n v="8"/>
    <x v="1"/>
    <m/>
    <x v="0"/>
    <m/>
    <x v="0"/>
    <m/>
    <x v="1"/>
    <m/>
    <m/>
    <m/>
    <s v="Defense White Paper Appendix"/>
    <m/>
  </r>
  <r>
    <x v="1"/>
    <x v="5"/>
    <s v="America and Oceania"/>
    <s v="No Specific Relationship"/>
    <s v="ANZUS Treaty"/>
    <x v="0"/>
    <x v="13"/>
    <x v="18"/>
    <n v="3"/>
    <x v="4"/>
    <s v="Ma Xiaotian"/>
    <m/>
    <s v="GSD DCGS"/>
    <n v="6"/>
    <x v="1"/>
    <s v="Defense Minister"/>
    <x v="0"/>
    <m/>
    <x v="0"/>
    <m/>
    <x v="1"/>
    <m/>
    <m/>
    <m/>
    <s v="Defense White Paper Appendix"/>
    <m/>
  </r>
  <r>
    <x v="1"/>
    <x v="0"/>
    <s v="Asia"/>
    <s v="Strategic Partnership [战略伙伴关系]"/>
    <s v="Major Non-NATO Ally"/>
    <x v="1"/>
    <x v="2"/>
    <x v="18"/>
    <n v="3"/>
    <x v="4"/>
    <s v="Ma Xiaotian"/>
    <m/>
    <s v="GSD DCGS"/>
    <n v="6"/>
    <x v="1"/>
    <m/>
    <x v="0"/>
    <m/>
    <x v="0"/>
    <m/>
    <x v="1"/>
    <m/>
    <m/>
    <m/>
    <s v="Defense White Paper Appendix"/>
    <m/>
  </r>
  <r>
    <x v="2"/>
    <x v="0"/>
    <s v="Asia"/>
    <s v="Strategic Partnership [战略伙伴关系]"/>
    <s v="Major Non-NATO Ally"/>
    <x v="1"/>
    <x v="2"/>
    <x v="18"/>
    <n v="3"/>
    <x v="6"/>
    <m/>
    <m/>
    <m/>
    <m/>
    <x v="0"/>
    <m/>
    <x v="2"/>
    <s v="Aman"/>
    <x v="2"/>
    <s v="Maritime in Arabian Sea; Pakistan and 10 other countries"/>
    <x v="1"/>
    <m/>
    <m/>
    <m/>
    <s v="Defense White Paper Appendix"/>
    <m/>
  </r>
  <r>
    <x v="1"/>
    <x v="1"/>
    <s v="Asia"/>
    <s v="No Specific Relationship"/>
    <s v="None"/>
    <x v="0"/>
    <x v="39"/>
    <x v="18"/>
    <n v="3"/>
    <x v="4"/>
    <s v="Ma Xiaotian"/>
    <m/>
    <s v="GSD DCGS"/>
    <n v="6"/>
    <x v="1"/>
    <m/>
    <x v="0"/>
    <m/>
    <x v="0"/>
    <m/>
    <x v="1"/>
    <m/>
    <m/>
    <m/>
    <s v="Defense White Paper Appendix"/>
    <m/>
  </r>
  <r>
    <x v="1"/>
    <x v="4"/>
    <s v="Asia"/>
    <s v="Strategic Cooperative Partnership [战略合作伙伴关系]"/>
    <s v="Bilateral Defense Treaty"/>
    <x v="0"/>
    <x v="25"/>
    <x v="18"/>
    <n v="3"/>
    <x v="4"/>
    <s v="Chen Bingde"/>
    <m/>
    <s v="GSD Commander; CMC Member"/>
    <n v="8"/>
    <x v="1"/>
    <m/>
    <x v="0"/>
    <m/>
    <x v="0"/>
    <m/>
    <x v="1"/>
    <m/>
    <m/>
    <m/>
    <s v="Defense White Paper Appendix"/>
    <m/>
  </r>
  <r>
    <x v="1"/>
    <x v="0"/>
    <s v="Asia"/>
    <s v="Comprehensive Cooperative Partnership [全面合作伙伴关系]"/>
    <s v="None"/>
    <x v="0"/>
    <x v="3"/>
    <x v="18"/>
    <n v="3"/>
    <x v="3"/>
    <s v="Ma Xiaotian"/>
    <m/>
    <s v="GSD DCGS"/>
    <n v="6"/>
    <x v="1"/>
    <s v="Permanent Secretary of Ministry of Defense"/>
    <x v="0"/>
    <m/>
    <x v="0"/>
    <m/>
    <x v="1"/>
    <m/>
    <m/>
    <m/>
    <s v="Defense White Paper Appendix"/>
    <m/>
  </r>
  <r>
    <x v="1"/>
    <x v="6"/>
    <s v="Europe and Central Asia"/>
    <s v="No Specific Relationship"/>
    <s v="None"/>
    <x v="1"/>
    <x v="60"/>
    <x v="18"/>
    <n v="3"/>
    <x v="3"/>
    <s v="Ma Xiaotian"/>
    <m/>
    <s v="GSD DCGS"/>
    <n v="6"/>
    <x v="1"/>
    <s v="Defense Minister"/>
    <x v="0"/>
    <m/>
    <x v="0"/>
    <m/>
    <x v="1"/>
    <m/>
    <m/>
    <m/>
    <s v="Defense White Paper Appendix"/>
    <m/>
  </r>
  <r>
    <x v="1"/>
    <x v="1"/>
    <s v="Asia"/>
    <s v="Comprehensive Strategic Cooperative Partnership [全面战略合作伙伴关系]"/>
    <s v="None"/>
    <x v="0"/>
    <x v="23"/>
    <x v="18"/>
    <n v="3"/>
    <x v="4"/>
    <s v="Chen Bingde"/>
    <m/>
    <s v="GSD Commander; CMC Member"/>
    <n v="8"/>
    <x v="1"/>
    <m/>
    <x v="0"/>
    <m/>
    <x v="0"/>
    <m/>
    <x v="1"/>
    <m/>
    <m/>
    <m/>
    <s v="Defense White Paper Appendix"/>
    <m/>
  </r>
  <r>
    <x v="1"/>
    <x v="7"/>
    <s v="West Asia and Africa"/>
    <s v="No Specific Relationship"/>
    <s v="None"/>
    <x v="4"/>
    <x v="61"/>
    <x v="18"/>
    <n v="3"/>
    <x v="4"/>
    <s v="Ma Xiaotian"/>
    <m/>
    <s v="GSD DCGS"/>
    <n v="6"/>
    <x v="1"/>
    <m/>
    <x v="0"/>
    <m/>
    <x v="0"/>
    <m/>
    <x v="1"/>
    <m/>
    <m/>
    <m/>
    <s v="Defense White Paper Appendix"/>
    <m/>
  </r>
  <r>
    <x v="1"/>
    <x v="10"/>
    <s v="America and Oceania"/>
    <s v="Strategic Partnership [战略伙伴关系]"/>
    <s v="Major Non-NATO Ally"/>
    <x v="5"/>
    <x v="62"/>
    <x v="18"/>
    <n v="4"/>
    <x v="4"/>
    <s v="Ma Xiaotian"/>
    <m/>
    <s v="GSD DCGS"/>
    <n v="6"/>
    <x v="1"/>
    <m/>
    <x v="0"/>
    <m/>
    <x v="0"/>
    <m/>
    <x v="1"/>
    <m/>
    <m/>
    <m/>
    <s v="Defense White Paper Appendix"/>
    <m/>
  </r>
  <r>
    <x v="1"/>
    <x v="0"/>
    <s v="Asia"/>
    <s v="Comprehensive Cooperative Partnership [全面合作伙伴关系]"/>
    <s v="None"/>
    <x v="0"/>
    <x v="0"/>
    <x v="18"/>
    <n v="4"/>
    <x v="3"/>
    <s v="Wu Shengli"/>
    <m/>
    <s v="PLAN Commander; CMC Member"/>
    <n v="8"/>
    <x v="2"/>
    <s v="Navy Commander"/>
    <x v="0"/>
    <m/>
    <x v="0"/>
    <m/>
    <x v="1"/>
    <m/>
    <m/>
    <m/>
    <s v="Defense White Paper Appendix"/>
    <m/>
  </r>
  <r>
    <x v="1"/>
    <x v="8"/>
    <s v="Europe and Central Asia"/>
    <s v="Strategic Partnership [战略伙伴关系]"/>
    <s v="NATO"/>
    <x v="3"/>
    <x v="34"/>
    <x v="18"/>
    <n v="4"/>
    <x v="4"/>
    <s v="Zhang Youxia"/>
    <m/>
    <s v="Shenyang MR Commander"/>
    <n v="6"/>
    <x v="1"/>
    <m/>
    <x v="0"/>
    <m/>
    <x v="0"/>
    <m/>
    <x v="1"/>
    <m/>
    <m/>
    <m/>
    <s v="Defense White Paper Appendix"/>
    <m/>
  </r>
  <r>
    <x v="1"/>
    <x v="10"/>
    <s v="America and Oceania"/>
    <s v="Comprehensive Strategic Partnership [全面战略伙伴关系]"/>
    <s v="None"/>
    <x v="5"/>
    <x v="43"/>
    <x v="18"/>
    <n v="4"/>
    <x v="4"/>
    <s v="Ma Xiaotian"/>
    <m/>
    <s v="GSD DCGS"/>
    <n v="6"/>
    <x v="1"/>
    <m/>
    <x v="0"/>
    <m/>
    <x v="0"/>
    <m/>
    <x v="1"/>
    <m/>
    <m/>
    <m/>
    <s v="Defense White Paper Appendix"/>
    <m/>
  </r>
  <r>
    <x v="1"/>
    <x v="1"/>
    <s v="Asia"/>
    <s v="Comprehensive Cooperative Partnership [全面合作伙伴关系]"/>
    <s v="None"/>
    <x v="0"/>
    <x v="94"/>
    <x v="18"/>
    <n v="4"/>
    <x v="4"/>
    <s v="Ma Xiaotian"/>
    <m/>
    <s v="GSD DCGS"/>
    <n v="6"/>
    <x v="1"/>
    <m/>
    <x v="0"/>
    <m/>
    <x v="0"/>
    <m/>
    <x v="1"/>
    <m/>
    <m/>
    <m/>
    <s v="Defense White Paper Appendix"/>
    <m/>
  </r>
  <r>
    <x v="1"/>
    <x v="10"/>
    <s v="America and Oceania"/>
    <s v="Comprehensive Partnership [全面伙伴关系]"/>
    <s v="None"/>
    <x v="5"/>
    <x v="66"/>
    <x v="18"/>
    <n v="4"/>
    <x v="3"/>
    <s v="Wu Shengli"/>
    <m/>
    <s v="PLAN Commander; CMC Member"/>
    <n v="8"/>
    <x v="2"/>
    <s v="Navy Commander"/>
    <x v="0"/>
    <m/>
    <x v="0"/>
    <m/>
    <x v="1"/>
    <m/>
    <m/>
    <m/>
    <s v="Defense White Paper Appendix"/>
    <m/>
  </r>
  <r>
    <x v="1"/>
    <x v="0"/>
    <s v="Asia"/>
    <s v="Strategic Partnership for Peace and Prosperity [战略伙伴关系]"/>
    <s v="None"/>
    <x v="0"/>
    <x v="6"/>
    <x v="18"/>
    <n v="4"/>
    <x v="3"/>
    <s v="Wu Shengli"/>
    <m/>
    <s v="PLAN Commander; CMC Member"/>
    <n v="8"/>
    <x v="2"/>
    <s v="Navy Commander"/>
    <x v="0"/>
    <m/>
    <x v="0"/>
    <m/>
    <x v="1"/>
    <m/>
    <m/>
    <m/>
    <s v="Defense White Paper Appendix"/>
    <m/>
  </r>
  <r>
    <x v="1"/>
    <x v="1"/>
    <s v="Asia"/>
    <s v="Strategic Partnership [战略伙伴关系]"/>
    <s v="None"/>
    <x v="0"/>
    <x v="8"/>
    <x v="18"/>
    <n v="4"/>
    <x v="3"/>
    <s v="Wu Shengli"/>
    <m/>
    <s v="PLAN Commander; CMC Member"/>
    <n v="8"/>
    <x v="2"/>
    <s v="Navy Commander"/>
    <x v="0"/>
    <m/>
    <x v="0"/>
    <m/>
    <x v="1"/>
    <m/>
    <m/>
    <m/>
    <s v="Defense White Paper Appendix"/>
    <m/>
  </r>
  <r>
    <x v="1"/>
    <x v="8"/>
    <s v="Europe and Central Asia"/>
    <s v="Comprehensive Strategic Partnership [全面战略伙伴关系]"/>
    <s v="NATO"/>
    <x v="3"/>
    <x v="20"/>
    <x v="18"/>
    <n v="4"/>
    <x v="4"/>
    <s v="Ma Xiaotian"/>
    <m/>
    <s v="GSD DCGS"/>
    <n v="6"/>
    <x v="1"/>
    <m/>
    <x v="0"/>
    <m/>
    <x v="0"/>
    <m/>
    <x v="1"/>
    <m/>
    <m/>
    <m/>
    <s v="Defense White Paper Appendix"/>
    <m/>
  </r>
  <r>
    <x v="1"/>
    <x v="1"/>
    <s v="Asia"/>
    <s v="Comprehensive Strategic Cooperative Partnership [全面战略合作伙伴关系]"/>
    <s v="None"/>
    <x v="0"/>
    <x v="52"/>
    <x v="18"/>
    <n v="4"/>
    <x v="4"/>
    <s v="Ma Xiaotian"/>
    <m/>
    <s v="GSD DCGS"/>
    <n v="6"/>
    <x v="1"/>
    <m/>
    <x v="0"/>
    <m/>
    <x v="0"/>
    <m/>
    <x v="1"/>
    <m/>
    <m/>
    <m/>
    <s v="Defense White Paper Appendix"/>
    <m/>
  </r>
  <r>
    <x v="1"/>
    <x v="1"/>
    <s v="Asia"/>
    <s v="Strategic Cooperative Partnership [战略合作伙伴关系]"/>
    <s v="None"/>
    <x v="0"/>
    <x v="10"/>
    <x v="18"/>
    <n v="4"/>
    <x v="4"/>
    <s v="Xu Qiliang"/>
    <m/>
    <s v="PLAAF Commander; CMC Member"/>
    <n v="8"/>
    <x v="1"/>
    <m/>
    <x v="0"/>
    <m/>
    <x v="0"/>
    <m/>
    <x v="1"/>
    <m/>
    <m/>
    <m/>
    <s v="Defense White Paper Appendix"/>
    <m/>
  </r>
  <r>
    <x v="1"/>
    <x v="0"/>
    <s v="Asia"/>
    <s v="Strategic Partnership [战略伙伴关系]"/>
    <s v="Major Non-NATO Ally"/>
    <x v="1"/>
    <x v="2"/>
    <x v="18"/>
    <n v="4"/>
    <x v="4"/>
    <s v="Xu Qiliang"/>
    <m/>
    <s v="PLAAF Commander; CMC Member"/>
    <n v="8"/>
    <x v="1"/>
    <m/>
    <x v="0"/>
    <m/>
    <x v="0"/>
    <m/>
    <x v="1"/>
    <m/>
    <m/>
    <m/>
    <s v="Defense White Paper Appendix"/>
    <m/>
  </r>
  <r>
    <x v="1"/>
    <x v="10"/>
    <s v="America and Oceania"/>
    <s v="Strategic Partnership [战略伙伴关系]"/>
    <s v="None"/>
    <x v="5"/>
    <x v="54"/>
    <x v="18"/>
    <n v="4"/>
    <x v="3"/>
    <s v="Wu Shengli"/>
    <m/>
    <s v="PLAN Commander; CMC Member"/>
    <n v="8"/>
    <x v="2"/>
    <s v="Navy Commander"/>
    <x v="0"/>
    <m/>
    <x v="0"/>
    <m/>
    <x v="1"/>
    <m/>
    <m/>
    <m/>
    <s v="Defense White Paper Appendix"/>
    <m/>
  </r>
  <r>
    <x v="1"/>
    <x v="3"/>
    <s v="Europe and Central Asia"/>
    <s v="Strategic Partnership of Coordination [战略协作伙伴关系]"/>
    <s v="None"/>
    <x v="3"/>
    <x v="7"/>
    <x v="18"/>
    <n v="4"/>
    <x v="4"/>
    <s v="Liang Guanglie"/>
    <m/>
    <s v="Defense Minister; CMC Member"/>
    <n v="8"/>
    <x v="1"/>
    <m/>
    <x v="0"/>
    <m/>
    <x v="0"/>
    <m/>
    <x v="1"/>
    <m/>
    <m/>
    <m/>
    <s v="Defense White Paper Appendix"/>
    <m/>
  </r>
  <r>
    <x v="1"/>
    <x v="6"/>
    <s v="Europe and Central Asia"/>
    <s v="Member"/>
    <s v="None"/>
    <x v="1"/>
    <x v="14"/>
    <x v="18"/>
    <n v="4"/>
    <x v="1"/>
    <s v="Liang Guanglie"/>
    <m/>
    <s v="Defense Minister; CMC Member"/>
    <n v="8"/>
    <x v="1"/>
    <s v="Seventh official meeting of the SCO Ministers' of Defense in Moscow; Other countries: Kazakhstan, Kyrgyztan, Russia, Tajikistan, Uzbekistan"/>
    <x v="0"/>
    <m/>
    <x v="0"/>
    <m/>
    <x v="1"/>
    <m/>
    <m/>
    <m/>
    <s v="http://infoshos.ru/en/?idn=4137"/>
    <m/>
  </r>
  <r>
    <x v="1"/>
    <x v="8"/>
    <s v="Europe and Central Asia"/>
    <s v="No Specific Relationship"/>
    <s v="NATO"/>
    <x v="3"/>
    <x v="40"/>
    <x v="18"/>
    <n v="4"/>
    <x v="4"/>
    <s v="Zhang Youxia"/>
    <m/>
    <s v="Shenyang MR Commander"/>
    <n v="6"/>
    <x v="1"/>
    <m/>
    <x v="0"/>
    <m/>
    <x v="0"/>
    <m/>
    <x v="1"/>
    <m/>
    <m/>
    <m/>
    <s v="Defense White Paper Appendix"/>
    <m/>
  </r>
  <r>
    <x v="1"/>
    <x v="7"/>
    <s v="West Asia and Africa"/>
    <s v="Strategic Partnership [战略伙伴关系]"/>
    <s v="None"/>
    <x v="4"/>
    <x v="15"/>
    <x v="18"/>
    <n v="4"/>
    <x v="3"/>
    <s v="Wu Shengli"/>
    <m/>
    <s v="PLAN Commander; CMC Member"/>
    <n v="8"/>
    <x v="2"/>
    <s v="Navy Commander"/>
    <x v="0"/>
    <m/>
    <x v="0"/>
    <m/>
    <x v="1"/>
    <m/>
    <m/>
    <m/>
    <s v="Defense White Paper Appendix"/>
    <m/>
  </r>
  <r>
    <x v="1"/>
    <x v="4"/>
    <s v="Asia"/>
    <s v="Strategic Cooperative Partnership [战略合作伙伴关系]"/>
    <s v="Bilateral Defense Treaty"/>
    <x v="0"/>
    <x v="25"/>
    <x v="18"/>
    <n v="4"/>
    <x v="3"/>
    <s v="Wu Shengli"/>
    <m/>
    <s v="PLAN Commander; CMC Member"/>
    <n v="8"/>
    <x v="2"/>
    <s v="Navy Commander"/>
    <x v="0"/>
    <m/>
    <x v="0"/>
    <m/>
    <x v="1"/>
    <m/>
    <m/>
    <m/>
    <s v="Defense White Paper Appendix"/>
    <m/>
  </r>
  <r>
    <x v="1"/>
    <x v="1"/>
    <s v="Asia"/>
    <s v="Strategic Partnership [战略伙伴关系]"/>
    <s v="Bilateral Defense Treaty"/>
    <x v="0"/>
    <x v="5"/>
    <x v="18"/>
    <n v="4"/>
    <x v="4"/>
    <s v="Ma Xiaotian"/>
    <m/>
    <s v="GSD DCGS"/>
    <n v="6"/>
    <x v="1"/>
    <m/>
    <x v="0"/>
    <m/>
    <x v="0"/>
    <m/>
    <x v="1"/>
    <m/>
    <m/>
    <m/>
    <s v="Defense White Paper Appendix"/>
    <m/>
  </r>
  <r>
    <x v="1"/>
    <x v="8"/>
    <s v="Europe and Central Asia"/>
    <s v="No Specific Relationship"/>
    <s v="NATO"/>
    <x v="3"/>
    <x v="38"/>
    <x v="18"/>
    <n v="4"/>
    <x v="4"/>
    <s v="Xu Qiliang"/>
    <m/>
    <s v="PLAAF Commander; CMC Member"/>
    <n v="8"/>
    <x v="1"/>
    <m/>
    <x v="0"/>
    <m/>
    <x v="0"/>
    <m/>
    <x v="1"/>
    <m/>
    <m/>
    <m/>
    <s v="Defense White Paper Appendix"/>
    <m/>
  </r>
  <r>
    <x v="1"/>
    <x v="2"/>
    <s v="America and Oceania"/>
    <s v="No Specific Relationship"/>
    <s v="N/A"/>
    <x v="2"/>
    <x v="4"/>
    <x v="18"/>
    <n v="4"/>
    <x v="3"/>
    <s v="Liang Guanglie"/>
    <m/>
    <s v="Defense Minister; CMC Member"/>
    <n v="8"/>
    <x v="2"/>
    <s v="CNO"/>
    <x v="0"/>
    <m/>
    <x v="0"/>
    <m/>
    <x v="1"/>
    <m/>
    <m/>
    <m/>
    <s v="Defense White Paper Appendix"/>
    <m/>
  </r>
  <r>
    <x v="1"/>
    <x v="10"/>
    <s v="America and Oceania"/>
    <s v="No Specific Relationship"/>
    <s v="None"/>
    <x v="5"/>
    <x v="107"/>
    <x v="18"/>
    <n v="4"/>
    <x v="3"/>
    <s v="Liang Guanglie"/>
    <m/>
    <s v="Defense Minister; CMC Member"/>
    <n v="8"/>
    <x v="2"/>
    <s v="Defense Minister"/>
    <x v="0"/>
    <m/>
    <x v="0"/>
    <m/>
    <x v="1"/>
    <m/>
    <m/>
    <m/>
    <s v="Defense White Paper Appendix"/>
    <m/>
  </r>
  <r>
    <x v="1"/>
    <x v="1"/>
    <s v="Asia"/>
    <s v="Comprehensive Strategic Cooperative Partnership [全面战略合作伙伴关系]"/>
    <s v="None"/>
    <x v="0"/>
    <x v="23"/>
    <x v="18"/>
    <n v="4"/>
    <x v="3"/>
    <s v="Wu Shengli"/>
    <m/>
    <s v="PLAN Commander; CMC Member"/>
    <n v="8"/>
    <x v="2"/>
    <s v="Navy Commander"/>
    <x v="0"/>
    <m/>
    <x v="0"/>
    <m/>
    <x v="1"/>
    <m/>
    <m/>
    <m/>
    <s v="Defense White Paper Appendix"/>
    <m/>
  </r>
  <r>
    <x v="0"/>
    <x v="9"/>
    <s v="West Asia and Africa"/>
    <s v="No Specific Relationship"/>
    <s v="None"/>
    <x v="1"/>
    <x v="135"/>
    <x v="18"/>
    <n v="4"/>
    <x v="9"/>
    <m/>
    <m/>
    <m/>
    <m/>
    <x v="0"/>
    <m/>
    <x v="0"/>
    <m/>
    <x v="0"/>
    <m/>
    <x v="2"/>
    <s v="ETF-01 "/>
    <s v="South Sea Fleet"/>
    <s v="DDG169 Wuhan, DDG171 Haikou, AOR887 Weishan Hu; unknown, could also be ETF-2"/>
    <m/>
    <m/>
  </r>
  <r>
    <x v="1"/>
    <x v="8"/>
    <s v="Europe and Central Asia"/>
    <s v="No Specific Relationship"/>
    <s v="NATO"/>
    <x v="3"/>
    <x v="108"/>
    <x v="18"/>
    <n v="5"/>
    <x v="4"/>
    <s v="Chang Wanquan"/>
    <m/>
    <s v="GAD Director; CMC Member"/>
    <n v="8"/>
    <x v="1"/>
    <m/>
    <x v="0"/>
    <m/>
    <x v="0"/>
    <m/>
    <x v="1"/>
    <m/>
    <m/>
    <m/>
    <s v="Defense White Paper Appendix"/>
    <m/>
  </r>
  <r>
    <x v="1"/>
    <x v="8"/>
    <s v="Europe and Central Asia"/>
    <s v="Strategic Partnership [战略伙伴关系]"/>
    <s v="NATO"/>
    <x v="3"/>
    <x v="34"/>
    <x v="18"/>
    <n v="5"/>
    <x v="4"/>
    <s v="Chang Wanquan"/>
    <m/>
    <s v="GAD Director; CMC Member"/>
    <n v="8"/>
    <x v="1"/>
    <m/>
    <x v="0"/>
    <m/>
    <x v="0"/>
    <m/>
    <x v="1"/>
    <m/>
    <m/>
    <m/>
    <s v="Defense White Paper Appendix"/>
    <m/>
  </r>
  <r>
    <x v="1"/>
    <x v="8"/>
    <s v="Europe and Central Asia"/>
    <s v="No Specific Relationship"/>
    <s v="None"/>
    <x v="3"/>
    <x v="79"/>
    <x v="18"/>
    <n v="5"/>
    <x v="4"/>
    <s v="Chen Guoling"/>
    <m/>
    <s v="Nanjing MR Political Commissar"/>
    <n v="6"/>
    <x v="1"/>
    <m/>
    <x v="0"/>
    <m/>
    <x v="0"/>
    <m/>
    <x v="1"/>
    <m/>
    <m/>
    <m/>
    <s v="Defense White Paper Appendix"/>
    <m/>
  </r>
  <r>
    <x v="1"/>
    <x v="8"/>
    <s v="Europe and Central Asia"/>
    <s v="No Specific Relationship"/>
    <s v="NATO"/>
    <x v="3"/>
    <x v="58"/>
    <x v="18"/>
    <n v="5"/>
    <x v="4"/>
    <s v="Deng Changyou"/>
    <m/>
    <s v="PLAAF Political Commissar"/>
    <n v="6"/>
    <x v="1"/>
    <m/>
    <x v="0"/>
    <m/>
    <x v="0"/>
    <m/>
    <x v="1"/>
    <m/>
    <m/>
    <m/>
    <s v="Defense White Paper Appendix"/>
    <m/>
  </r>
  <r>
    <x v="1"/>
    <x v="9"/>
    <s v="West Asia and Africa"/>
    <s v="Strategic Cooperative Partnership [战略合作伙伴关系]"/>
    <s v="Major Non-NATO Ally"/>
    <x v="1"/>
    <x v="24"/>
    <x v="18"/>
    <n v="5"/>
    <x v="3"/>
    <s v="Liang Guanglie"/>
    <m/>
    <s v="Defense Minister; CMC Member"/>
    <n v="8"/>
    <x v="2"/>
    <s v="CinC Armed Forces, Defense Minister and Military Production"/>
    <x v="0"/>
    <m/>
    <x v="0"/>
    <m/>
    <x v="1"/>
    <m/>
    <m/>
    <m/>
    <s v="Defense White Paper Appendix"/>
    <m/>
  </r>
  <r>
    <x v="1"/>
    <x v="8"/>
    <s v="Europe and Central Asia"/>
    <s v="No Specific Relationship"/>
    <s v="None"/>
    <x v="3"/>
    <x v="81"/>
    <x v="18"/>
    <n v="5"/>
    <x v="4"/>
    <s v="Guo Boxiong"/>
    <m/>
    <s v="CMC Vice Chairman"/>
    <n v="10"/>
    <x v="1"/>
    <m/>
    <x v="0"/>
    <m/>
    <x v="0"/>
    <m/>
    <x v="1"/>
    <m/>
    <m/>
    <m/>
    <s v="Defense White Paper Appendix"/>
    <m/>
  </r>
  <r>
    <x v="1"/>
    <x v="8"/>
    <s v="Europe and Central Asia"/>
    <s v="No Specific Relationship"/>
    <s v="NATO"/>
    <x v="3"/>
    <x v="18"/>
    <x v="18"/>
    <n v="5"/>
    <x v="4"/>
    <s v="Guo Boxiong"/>
    <m/>
    <s v="CMC Vice Chairman"/>
    <n v="10"/>
    <x v="1"/>
    <m/>
    <x v="0"/>
    <m/>
    <x v="0"/>
    <m/>
    <x v="1"/>
    <m/>
    <m/>
    <m/>
    <s v="Defense White Paper Appendix"/>
    <m/>
  </r>
  <r>
    <x v="1"/>
    <x v="8"/>
    <s v="Europe and Central Asia"/>
    <s v="No Specific Relationship"/>
    <s v="NATO"/>
    <x v="3"/>
    <x v="82"/>
    <x v="18"/>
    <n v="5"/>
    <x v="4"/>
    <s v="Deng Changyou"/>
    <m/>
    <s v="PLAAF Political Commissar"/>
    <n v="6"/>
    <x v="1"/>
    <m/>
    <x v="0"/>
    <m/>
    <x v="0"/>
    <m/>
    <x v="1"/>
    <m/>
    <m/>
    <m/>
    <s v="Defense White Paper Appendix"/>
    <m/>
  </r>
  <r>
    <x v="1"/>
    <x v="1"/>
    <s v="Asia"/>
    <s v="No Specific Relationship"/>
    <s v="None"/>
    <x v="0"/>
    <x v="137"/>
    <x v="18"/>
    <n v="5"/>
    <x v="1"/>
    <s v="Ma Xiaotian"/>
    <m/>
    <s v="GSD DCGS"/>
    <n v="6"/>
    <x v="1"/>
    <s v="8th Shangri-La Dialogue"/>
    <x v="0"/>
    <m/>
    <x v="0"/>
    <m/>
    <x v="1"/>
    <m/>
    <m/>
    <m/>
    <s v="Defense White Paper Appendix"/>
    <m/>
  </r>
  <r>
    <x v="1"/>
    <x v="7"/>
    <s v="West Asia and Africa"/>
    <s v="No Specific Relationship"/>
    <s v="None"/>
    <x v="4"/>
    <x v="47"/>
    <x v="18"/>
    <n v="5"/>
    <x v="4"/>
    <s v="Ma Xiaotian"/>
    <m/>
    <s v="GSD DCGS"/>
    <n v="6"/>
    <x v="1"/>
    <m/>
    <x v="0"/>
    <m/>
    <x v="0"/>
    <m/>
    <x v="1"/>
    <m/>
    <m/>
    <m/>
    <s v="Defense White Paper Appendix"/>
    <m/>
  </r>
  <r>
    <x v="1"/>
    <x v="6"/>
    <s v="Europe and Central Asia"/>
    <s v="No Specific Relationship"/>
    <s v="None"/>
    <x v="1"/>
    <x v="31"/>
    <x v="18"/>
    <n v="5"/>
    <x v="3"/>
    <s v="Liang Guanglie"/>
    <m/>
    <s v="Defense Minister; CMC Member"/>
    <n v="8"/>
    <x v="2"/>
    <s v="Commander Border Forces"/>
    <x v="0"/>
    <m/>
    <x v="0"/>
    <m/>
    <x v="1"/>
    <m/>
    <m/>
    <m/>
    <s v="Defense White Paper Appendix"/>
    <m/>
  </r>
  <r>
    <x v="1"/>
    <x v="7"/>
    <s v="West Asia and Africa"/>
    <s v="No Specific Relationship"/>
    <s v="None"/>
    <x v="4"/>
    <x v="115"/>
    <x v="18"/>
    <n v="5"/>
    <x v="3"/>
    <s v="Liang Guanglie"/>
    <m/>
    <s v="Defense Minister; CMC Member"/>
    <n v="8"/>
    <x v="2"/>
    <s v="Defense Minister"/>
    <x v="0"/>
    <m/>
    <x v="0"/>
    <m/>
    <x v="1"/>
    <m/>
    <m/>
    <m/>
    <s v="Defense White Paper Appendix"/>
    <m/>
  </r>
  <r>
    <x v="1"/>
    <x v="7"/>
    <s v="West Asia and Africa"/>
    <s v="No Specific Relationship"/>
    <s v="None"/>
    <x v="4"/>
    <x v="84"/>
    <x v="18"/>
    <n v="5"/>
    <x v="3"/>
    <s v="Liang Guanglie"/>
    <m/>
    <s v="Defense Minister; CMC Member"/>
    <n v="8"/>
    <x v="2"/>
    <s v="Defense Minister"/>
    <x v="0"/>
    <m/>
    <x v="0"/>
    <m/>
    <x v="1"/>
    <m/>
    <m/>
    <m/>
    <s v="Defense White Paper Appendix"/>
    <m/>
  </r>
  <r>
    <x v="1"/>
    <x v="7"/>
    <s v="West Asia and Africa"/>
    <s v="No Specific Relationship"/>
    <s v="None"/>
    <x v="4"/>
    <x v="69"/>
    <x v="18"/>
    <n v="5"/>
    <x v="4"/>
    <s v="Ma Xiaotian"/>
    <m/>
    <s v="GSD DCGS"/>
    <n v="6"/>
    <x v="1"/>
    <m/>
    <x v="0"/>
    <m/>
    <x v="0"/>
    <m/>
    <x v="1"/>
    <m/>
    <m/>
    <m/>
    <s v="Defense White Paper Appendix"/>
    <m/>
  </r>
  <r>
    <x v="1"/>
    <x v="8"/>
    <s v="Europe and Central Asia"/>
    <s v="Comprehensive Strategic Partnership [全面战略伙伴关系]"/>
    <s v="NATO"/>
    <x v="3"/>
    <x v="48"/>
    <x v="18"/>
    <n v="5"/>
    <x v="4"/>
    <s v="Deng Changyou"/>
    <m/>
    <s v="PLAAF Political Commissar"/>
    <n v="6"/>
    <x v="1"/>
    <m/>
    <x v="0"/>
    <m/>
    <x v="0"/>
    <m/>
    <x v="1"/>
    <m/>
    <m/>
    <m/>
    <s v="Defense White Paper Appendix"/>
    <m/>
  </r>
  <r>
    <x v="1"/>
    <x v="8"/>
    <s v="Europe and Central Asia"/>
    <s v="Comprehensive Friendly Cooperative Partnership [全面友好合作伙伴关系]"/>
    <s v="NATO"/>
    <x v="3"/>
    <x v="33"/>
    <x v="18"/>
    <n v="5"/>
    <x v="4"/>
    <s v="Chen Guoling"/>
    <m/>
    <s v="Nanjing MR Political Commissar"/>
    <n v="6"/>
    <x v="1"/>
    <m/>
    <x v="0"/>
    <m/>
    <x v="0"/>
    <m/>
    <x v="1"/>
    <m/>
    <m/>
    <m/>
    <s v="Defense White Paper Appendix"/>
    <m/>
  </r>
  <r>
    <x v="1"/>
    <x v="3"/>
    <s v="Europe and Central Asia"/>
    <s v="Strategic Partnership of Coordination [战略协作伙伴关系]"/>
    <s v="None"/>
    <x v="3"/>
    <x v="7"/>
    <x v="18"/>
    <n v="5"/>
    <x v="4"/>
    <s v="Chang Wanquan"/>
    <m/>
    <s v="GAD Director; CMC Member"/>
    <n v="8"/>
    <x v="1"/>
    <m/>
    <x v="0"/>
    <m/>
    <x v="0"/>
    <m/>
    <x v="1"/>
    <m/>
    <m/>
    <m/>
    <s v="Defense White Paper Appendix"/>
    <m/>
  </r>
  <r>
    <x v="1"/>
    <x v="4"/>
    <s v="Asia"/>
    <s v="Strategic Cooperative Partnership [战略合作伙伴关系]"/>
    <s v="Bilateral Defense Treaty"/>
    <x v="0"/>
    <x v="25"/>
    <x v="18"/>
    <n v="5"/>
    <x v="3"/>
    <s v="Liang Guanglie"/>
    <m/>
    <s v="Defense Minister; CMC Member"/>
    <n v="8"/>
    <x v="2"/>
    <s v="Defense Minister"/>
    <x v="0"/>
    <m/>
    <x v="0"/>
    <m/>
    <x v="1"/>
    <m/>
    <m/>
    <m/>
    <s v="Defense White Paper Appendix"/>
    <m/>
  </r>
  <r>
    <x v="1"/>
    <x v="8"/>
    <s v="Europe and Central Asia"/>
    <s v="Comprehensive Strategic Partnership [全面战略伙伴关系]"/>
    <s v="NATO"/>
    <x v="3"/>
    <x v="70"/>
    <x v="18"/>
    <n v="5"/>
    <x v="4"/>
    <s v="Ma Xiaotian"/>
    <m/>
    <s v="GSD DCGS"/>
    <n v="6"/>
    <x v="1"/>
    <m/>
    <x v="0"/>
    <m/>
    <x v="0"/>
    <m/>
    <x v="1"/>
    <m/>
    <m/>
    <m/>
    <s v="Defense White Paper Appendix"/>
    <m/>
  </r>
  <r>
    <x v="1"/>
    <x v="1"/>
    <s v="Asia"/>
    <s v="Strategic Partnership [战略伙伴关系]"/>
    <s v="Bilateral Defense Treaty"/>
    <x v="0"/>
    <x v="5"/>
    <x v="18"/>
    <n v="5"/>
    <x v="3"/>
    <s v="Liang Guanglie"/>
    <m/>
    <s v="Defense Minister; CMC Member"/>
    <n v="8"/>
    <x v="2"/>
    <s v="Chief of Defense Forces"/>
    <x v="0"/>
    <m/>
    <x v="0"/>
    <m/>
    <x v="1"/>
    <m/>
    <m/>
    <m/>
    <s v="Defense White Paper Appendix"/>
    <m/>
  </r>
  <r>
    <x v="1"/>
    <x v="8"/>
    <s v="Europe and Central Asia"/>
    <s v="No Specific Relationship"/>
    <s v="NATO"/>
    <x v="3"/>
    <x v="38"/>
    <x v="18"/>
    <n v="5"/>
    <x v="4"/>
    <s v="Guo Boxiong"/>
    <m/>
    <s v="CMC Vice Chairman"/>
    <n v="10"/>
    <x v="1"/>
    <m/>
    <x v="0"/>
    <m/>
    <x v="0"/>
    <m/>
    <x v="1"/>
    <m/>
    <m/>
    <m/>
    <s v="Defense White Paper Appendix"/>
    <m/>
  </r>
  <r>
    <x v="1"/>
    <x v="2"/>
    <s v="America and Oceania"/>
    <s v="No Specific Relationship"/>
    <s v="N/A"/>
    <x v="2"/>
    <x v="4"/>
    <x v="18"/>
    <n v="5"/>
    <x v="4"/>
    <s v="Ma Xiaotian"/>
    <m/>
    <s v="GSD DCGS"/>
    <n v="6"/>
    <x v="1"/>
    <s v="Secretary of Defense"/>
    <x v="0"/>
    <m/>
    <x v="0"/>
    <m/>
    <x v="1"/>
    <m/>
    <m/>
    <m/>
    <s v="Defense White Paper Appendix"/>
    <m/>
  </r>
  <r>
    <x v="1"/>
    <x v="8"/>
    <s v="Europe and Central Asia"/>
    <s v="No Specific Relationship"/>
    <s v="None"/>
    <x v="3"/>
    <x v="81"/>
    <x v="18"/>
    <n v="6"/>
    <x v="4"/>
    <s v="Ma Xiaotian"/>
    <m/>
    <s v="GSD DCGS"/>
    <n v="6"/>
    <x v="1"/>
    <m/>
    <x v="0"/>
    <m/>
    <x v="0"/>
    <m/>
    <x v="1"/>
    <m/>
    <m/>
    <m/>
    <s v="Defense White Paper Appendix"/>
    <m/>
  </r>
  <r>
    <x v="1"/>
    <x v="7"/>
    <s v="West Asia and Africa"/>
    <s v="No Specific Relationship"/>
    <s v="None"/>
    <x v="4"/>
    <x v="67"/>
    <x v="18"/>
    <n v="6"/>
    <x v="4"/>
    <s v="Ma Xiaotian"/>
    <m/>
    <s v="GSD DCGS"/>
    <n v="6"/>
    <x v="1"/>
    <m/>
    <x v="0"/>
    <m/>
    <x v="0"/>
    <m/>
    <x v="1"/>
    <m/>
    <m/>
    <m/>
    <s v="Defense White Paper Appendix"/>
    <m/>
  </r>
  <r>
    <x v="2"/>
    <x v="7"/>
    <s v="West Asia and Africa"/>
    <s v="No Specific Relationship"/>
    <s v="None"/>
    <x v="4"/>
    <x v="67"/>
    <x v="18"/>
    <n v="6"/>
    <x v="5"/>
    <m/>
    <m/>
    <m/>
    <m/>
    <x v="0"/>
    <m/>
    <x v="2"/>
    <s v="Peace Angel 2009"/>
    <x v="1"/>
    <s v="HADR"/>
    <x v="1"/>
    <m/>
    <m/>
    <m/>
    <s v="Defense White Paper Appendix"/>
    <m/>
  </r>
  <r>
    <x v="2"/>
    <x v="4"/>
    <s v="Asia"/>
    <s v="No Specific Relationship"/>
    <s v="None"/>
    <x v="0"/>
    <x v="53"/>
    <x v="18"/>
    <n v="6"/>
    <x v="5"/>
    <m/>
    <m/>
    <m/>
    <m/>
    <x v="0"/>
    <m/>
    <x v="2"/>
    <s v="Peacekeeping Mission"/>
    <x v="1"/>
    <s v="Peacekeeping"/>
    <x v="1"/>
    <m/>
    <m/>
    <m/>
    <s v="Defense White Paper Appendix"/>
    <m/>
  </r>
  <r>
    <x v="1"/>
    <x v="7"/>
    <s v="West Asia and Africa"/>
    <s v="No Specific Relationship"/>
    <s v="None"/>
    <x v="4"/>
    <x v="69"/>
    <x v="18"/>
    <n v="6"/>
    <x v="3"/>
    <s v="Liang Guanglie"/>
    <m/>
    <s v="Defense Minister; CMC Member"/>
    <n v="8"/>
    <x v="2"/>
    <s v="Chief of Defense Force"/>
    <x v="0"/>
    <m/>
    <x v="0"/>
    <m/>
    <x v="1"/>
    <m/>
    <m/>
    <m/>
    <s v="Defense White Paper Appendix"/>
    <m/>
  </r>
  <r>
    <x v="1"/>
    <x v="8"/>
    <s v="Europe and Central Asia"/>
    <s v="No Specific Relationship"/>
    <s v="NATO"/>
    <x v="3"/>
    <x v="37"/>
    <x v="18"/>
    <n v="6"/>
    <x v="4"/>
    <s v="Sun Dafa"/>
    <m/>
    <s v="GLD Political Commissar"/>
    <n v="6"/>
    <x v="1"/>
    <m/>
    <x v="0"/>
    <m/>
    <x v="0"/>
    <m/>
    <x v="1"/>
    <m/>
    <m/>
    <m/>
    <s v="Defense White Paper Appendix"/>
    <m/>
  </r>
  <r>
    <x v="0"/>
    <x v="9"/>
    <s v="West Asia and Africa"/>
    <s v="No Specific Relationship"/>
    <s v="None"/>
    <x v="1"/>
    <x v="147"/>
    <x v="18"/>
    <n v="6"/>
    <x v="9"/>
    <m/>
    <m/>
    <m/>
    <m/>
    <x v="0"/>
    <m/>
    <x v="0"/>
    <m/>
    <x v="0"/>
    <m/>
    <x v="2"/>
    <s v="ETF-02"/>
    <s v="South Sea Fleet"/>
    <s v="DDG167 Shenzhen, FFG570 Huangshan, AOR887 Weishan Hu; uncertain, could also be ETF-3"/>
    <m/>
    <m/>
  </r>
  <r>
    <x v="1"/>
    <x v="0"/>
    <s v="Asia"/>
    <s v="Strategic Partnership [战略伙伴关系]"/>
    <s v="Major Non-NATO Ally"/>
    <x v="1"/>
    <x v="2"/>
    <x v="18"/>
    <n v="6"/>
    <x v="3"/>
    <s v="Liang Guanglie"/>
    <m/>
    <s v="Defense Minister; CMC Member"/>
    <n v="8"/>
    <x v="2"/>
    <s v="Air Force Chief of Staff"/>
    <x v="0"/>
    <m/>
    <x v="0"/>
    <m/>
    <x v="1"/>
    <m/>
    <m/>
    <m/>
    <s v="Defense White Paper Appendix"/>
    <m/>
  </r>
  <r>
    <x v="1"/>
    <x v="1"/>
    <s v="America and Oceania"/>
    <s v="No Specific Relationship"/>
    <s v="None"/>
    <x v="0"/>
    <x v="122"/>
    <x v="18"/>
    <n v="6"/>
    <x v="3"/>
    <s v="Liang Guanglie"/>
    <m/>
    <s v="Defense Minister; CMC Member"/>
    <n v="8"/>
    <x v="2"/>
    <s v="Chief of Defense Force "/>
    <x v="0"/>
    <m/>
    <x v="0"/>
    <m/>
    <x v="1"/>
    <m/>
    <m/>
    <m/>
    <s v="Defense White Paper Appendix"/>
    <m/>
  </r>
  <r>
    <x v="2"/>
    <x v="1"/>
    <s v="Asia"/>
    <s v="No Specific Relationship"/>
    <s v="None"/>
    <x v="0"/>
    <x v="39"/>
    <x v="18"/>
    <n v="6"/>
    <x v="5"/>
    <m/>
    <m/>
    <m/>
    <m/>
    <x v="0"/>
    <m/>
    <x v="2"/>
    <s v="Cooperation 2009"/>
    <x v="1"/>
    <s v="Security training"/>
    <x v="1"/>
    <m/>
    <m/>
    <m/>
    <s v="Defense White Paper Appendix"/>
    <m/>
  </r>
  <r>
    <x v="1"/>
    <x v="8"/>
    <s v="Europe and Central Asia"/>
    <s v="Comprehensive Strategic Partnership [全面战略伙伴关系]"/>
    <s v="NATO"/>
    <x v="3"/>
    <x v="70"/>
    <x v="18"/>
    <n v="6"/>
    <x v="4"/>
    <s v="Liu Chengjun"/>
    <m/>
    <s v="AMS President"/>
    <n v="6"/>
    <x v="1"/>
    <m/>
    <x v="0"/>
    <m/>
    <x v="0"/>
    <m/>
    <x v="1"/>
    <m/>
    <m/>
    <m/>
    <s v="Defense White Paper Appendix"/>
    <m/>
  </r>
  <r>
    <x v="1"/>
    <x v="10"/>
    <s v="America and Oceania"/>
    <s v="No Specific Relationship"/>
    <s v="None"/>
    <x v="5"/>
    <x v="91"/>
    <x v="18"/>
    <n v="6"/>
    <x v="3"/>
    <s v="Chen Bingde"/>
    <m/>
    <s v="GSD Commander; CMC Member"/>
    <n v="8"/>
    <x v="2"/>
    <s v="Commander Defense Force"/>
    <x v="0"/>
    <m/>
    <x v="0"/>
    <m/>
    <x v="1"/>
    <m/>
    <m/>
    <m/>
    <s v="Defense White Paper Appendix"/>
    <m/>
  </r>
  <r>
    <x v="1"/>
    <x v="8"/>
    <s v="Europe and Central Asia"/>
    <s v="No Specific Relationship"/>
    <s v="None"/>
    <x v="3"/>
    <x v="92"/>
    <x v="18"/>
    <n v="6"/>
    <x v="4"/>
    <s v="Ma Xiaotian"/>
    <m/>
    <s v="GSD DCGS"/>
    <n v="6"/>
    <x v="1"/>
    <m/>
    <x v="0"/>
    <m/>
    <x v="0"/>
    <m/>
    <x v="1"/>
    <m/>
    <m/>
    <m/>
    <s v="Defense White Paper Appendix"/>
    <m/>
  </r>
  <r>
    <x v="1"/>
    <x v="8"/>
    <s v="Europe and Central Asia"/>
    <s v="No Specific Relationship"/>
    <s v="None"/>
    <x v="3"/>
    <x v="78"/>
    <x v="18"/>
    <n v="6"/>
    <x v="4"/>
    <s v="Sun Dafa"/>
    <m/>
    <s v="GLD Political Commissar"/>
    <n v="6"/>
    <x v="1"/>
    <m/>
    <x v="0"/>
    <m/>
    <x v="0"/>
    <m/>
    <x v="1"/>
    <m/>
    <m/>
    <m/>
    <s v="Defense White Paper Appendix"/>
    <m/>
  </r>
  <r>
    <x v="1"/>
    <x v="2"/>
    <s v="America and Oceania"/>
    <s v="No Specific Relationship"/>
    <s v="N/A"/>
    <x v="2"/>
    <x v="4"/>
    <x v="18"/>
    <n v="6"/>
    <x v="3"/>
    <s v="Liang Guanglie"/>
    <m/>
    <s v="Defense Minister; CMC Member"/>
    <n v="8"/>
    <x v="2"/>
    <s v="USDP"/>
    <x v="0"/>
    <m/>
    <x v="0"/>
    <m/>
    <x v="1"/>
    <m/>
    <m/>
    <m/>
    <s v="Defense White Paper Appendix"/>
    <m/>
  </r>
  <r>
    <x v="1"/>
    <x v="10"/>
    <s v="America and Oceania"/>
    <s v="No Specific Relationship"/>
    <s v="None"/>
    <x v="5"/>
    <x v="51"/>
    <x v="18"/>
    <n v="7"/>
    <x v="3"/>
    <s v="Chen Bingde"/>
    <m/>
    <s v="GSD Commander; CMC Member"/>
    <n v="8"/>
    <x v="2"/>
    <s v="Chief of Joint Command"/>
    <x v="0"/>
    <m/>
    <x v="0"/>
    <m/>
    <x v="1"/>
    <m/>
    <m/>
    <m/>
    <s v="Defense White Paper Appendix"/>
    <m/>
  </r>
  <r>
    <x v="1"/>
    <x v="4"/>
    <s v="Asia"/>
    <s v="Mutually Beneficial Strategic Relationship [战略互惠关系]"/>
    <s v="Bilateral Defense Treaty"/>
    <x v="0"/>
    <x v="83"/>
    <x v="18"/>
    <n v="7"/>
    <x v="3"/>
    <s v="Liang Guanglie"/>
    <m/>
    <s v="Defense Minister; CMC Member"/>
    <n v="8"/>
    <x v="2"/>
    <s v="Chief of Staff Navy"/>
    <x v="0"/>
    <m/>
    <x v="0"/>
    <m/>
    <x v="1"/>
    <m/>
    <m/>
    <m/>
    <s v="Defense White Paper Appendix"/>
    <m/>
  </r>
  <r>
    <x v="1"/>
    <x v="7"/>
    <s v="West Asia and Africa"/>
    <s v="No Specific Relationship"/>
    <s v="None"/>
    <x v="4"/>
    <x v="47"/>
    <x v="18"/>
    <n v="7"/>
    <x v="3"/>
    <s v="Chen Bingde"/>
    <m/>
    <s v="GSD Commander; CMC Member"/>
    <n v="8"/>
    <x v="2"/>
    <s v="Minister of State for Defense"/>
    <x v="0"/>
    <m/>
    <x v="0"/>
    <m/>
    <x v="1"/>
    <m/>
    <m/>
    <m/>
    <s v="Defense White Paper Appendix"/>
    <m/>
  </r>
  <r>
    <x v="1"/>
    <x v="1"/>
    <s v="Asia"/>
    <s v="Strategic Cooperative Partnership [战略合作伙伴关系]"/>
    <s v="None"/>
    <x v="0"/>
    <x v="10"/>
    <x v="18"/>
    <n v="7"/>
    <x v="3"/>
    <s v="Liang Guanglie"/>
    <m/>
    <s v="Defense Minister; CMC Member"/>
    <n v="8"/>
    <x v="2"/>
    <s v="Chief of Armed Forces"/>
    <x v="0"/>
    <m/>
    <x v="0"/>
    <m/>
    <x v="1"/>
    <m/>
    <m/>
    <m/>
    <s v="Defense White Paper Appendix"/>
    <m/>
  </r>
  <r>
    <x v="1"/>
    <x v="4"/>
    <s v="Asia"/>
    <s v="No Specific Relationship"/>
    <s v="None"/>
    <x v="0"/>
    <x v="53"/>
    <x v="18"/>
    <n v="7"/>
    <x v="3"/>
    <s v="Liang Guanglie"/>
    <m/>
    <s v="Defense Minister; CMC Member"/>
    <n v="8"/>
    <x v="2"/>
    <s v="State Secretary of Defense Ministry"/>
    <x v="0"/>
    <m/>
    <x v="0"/>
    <m/>
    <x v="1"/>
    <m/>
    <m/>
    <m/>
    <s v="Defense White Paper Appendix"/>
    <m/>
  </r>
  <r>
    <x v="1"/>
    <x v="0"/>
    <s v="Asia"/>
    <s v="Strategic Partnership [战略伙伴关系]"/>
    <s v="Major Non-NATO Ally"/>
    <x v="1"/>
    <x v="2"/>
    <x v="18"/>
    <n v="7"/>
    <x v="3"/>
    <s v="Liang Guanglie"/>
    <m/>
    <s v="Defense Minister; CMC Member"/>
    <n v="8"/>
    <x v="2"/>
    <s v="Chief of Naval Staff"/>
    <x v="0"/>
    <m/>
    <x v="0"/>
    <m/>
    <x v="1"/>
    <m/>
    <m/>
    <m/>
    <s v="Defense White Paper Appendix"/>
    <m/>
  </r>
  <r>
    <x v="1"/>
    <x v="3"/>
    <s v="Europe and Central Asia"/>
    <s v="Strategic Partnership of Coordination [战略协作伙伴关系]"/>
    <s v="None"/>
    <x v="3"/>
    <x v="7"/>
    <x v="18"/>
    <n v="7"/>
    <x v="3"/>
    <s v="Guo Boxiong"/>
    <m/>
    <s v="CMC Vice Chairman"/>
    <n v="10"/>
    <x v="2"/>
    <s v="COGS"/>
    <x v="0"/>
    <m/>
    <x v="0"/>
    <m/>
    <x v="1"/>
    <m/>
    <m/>
    <m/>
    <s v="Defense White Paper Appendix"/>
    <m/>
  </r>
  <r>
    <x v="2"/>
    <x v="3"/>
    <s v="Europe and Central Asia"/>
    <s v="Strategic Partnership of Coordination [战略协作伙伴关系]"/>
    <s v="None"/>
    <x v="3"/>
    <x v="7"/>
    <x v="18"/>
    <n v="7"/>
    <x v="5"/>
    <m/>
    <m/>
    <m/>
    <m/>
    <x v="0"/>
    <m/>
    <x v="3"/>
    <s v="Peace Mission 2009"/>
    <x v="3"/>
    <s v="Army, Navy, Air Force, SOF; anti-terrorism; Participant: Russia; Observer countries: Kazakhstan, Kyrgyzstan, Tajikistan and Uzbekistan. July 22 to 26"/>
    <x v="1"/>
    <m/>
    <m/>
    <m/>
    <s v="Defense White Paper Appendix"/>
    <s v="Under SCO auspices, but coded as Russia because it is a BL exercise and other SCO states are only observers."/>
  </r>
  <r>
    <x v="1"/>
    <x v="8"/>
    <s v="Europe and Central Asia"/>
    <s v="Strategic Partnership [战略伙伴关系]"/>
    <s v="None"/>
    <x v="3"/>
    <x v="112"/>
    <x v="18"/>
    <n v="7"/>
    <x v="3"/>
    <s v="Jing Zhiyuan"/>
    <m/>
    <s v="PLASAF Commander; CMC Member"/>
    <n v="8"/>
    <x v="2"/>
    <s v="President of Serbian Parliament"/>
    <x v="0"/>
    <m/>
    <x v="0"/>
    <m/>
    <x v="1"/>
    <m/>
    <m/>
    <m/>
    <s v="Defense White Paper Appendix"/>
    <m/>
  </r>
  <r>
    <x v="1"/>
    <x v="7"/>
    <s v="West Asia and Africa"/>
    <s v="No Specific Relationship"/>
    <s v="None"/>
    <x v="4"/>
    <x v="74"/>
    <x v="18"/>
    <n v="7"/>
    <x v="3"/>
    <s v="Liang Guanglie"/>
    <m/>
    <s v="Defense Minister; CMC Member"/>
    <n v="8"/>
    <x v="2"/>
    <s v="Defense Minister"/>
    <x v="0"/>
    <m/>
    <x v="0"/>
    <m/>
    <x v="1"/>
    <m/>
    <m/>
    <m/>
    <s v="Defense White Paper Appendix"/>
    <m/>
  </r>
  <r>
    <x v="1"/>
    <x v="1"/>
    <s v="Asia"/>
    <s v="Strategic Partnership [战略伙伴关系]"/>
    <s v="Bilateral Defense Treaty"/>
    <x v="0"/>
    <x v="5"/>
    <x v="18"/>
    <n v="7"/>
    <x v="3"/>
    <s v="Liang Guanglie"/>
    <m/>
    <s v="Defense Minister; CMC Member"/>
    <n v="8"/>
    <x v="2"/>
    <s v="Defense Minister"/>
    <x v="0"/>
    <m/>
    <x v="0"/>
    <m/>
    <x v="1"/>
    <m/>
    <m/>
    <m/>
    <s v="https://dlib.eastview.com/browse/doc/20378334"/>
    <m/>
  </r>
  <r>
    <x v="1"/>
    <x v="8"/>
    <s v="Europe and Central Asia"/>
    <s v="No Specific Relationship"/>
    <s v="None"/>
    <x v="3"/>
    <x v="26"/>
    <x v="18"/>
    <n v="7"/>
    <x v="4"/>
    <s v="Jing Zhiyuan"/>
    <m/>
    <s v="PLASAF Commander; CMC Member"/>
    <n v="8"/>
    <x v="1"/>
    <m/>
    <x v="0"/>
    <m/>
    <x v="0"/>
    <m/>
    <x v="1"/>
    <m/>
    <m/>
    <m/>
    <s v="Defense White Paper Appendix"/>
    <m/>
  </r>
  <r>
    <x v="0"/>
    <x v="9"/>
    <s v="West Asia and Africa"/>
    <s v="No Specific Relationship"/>
    <s v="None"/>
    <x v="1"/>
    <x v="135"/>
    <x v="18"/>
    <n v="7"/>
    <x v="9"/>
    <m/>
    <m/>
    <m/>
    <m/>
    <x v="0"/>
    <m/>
    <x v="0"/>
    <m/>
    <x v="0"/>
    <m/>
    <x v="2"/>
    <s v="ETF-02"/>
    <s v="South Sea Fleet"/>
    <s v="DDG167 Shenzhen, FFG570 Huangshan, AOR887 Weishan Hu; uncertain, could also be ETF-3"/>
    <m/>
    <m/>
  </r>
  <r>
    <x v="1"/>
    <x v="10"/>
    <s v="America and Oceania"/>
    <s v="Comprehensive Strategic Partnership [全面战略伙伴关系]"/>
    <s v="None"/>
    <x v="5"/>
    <x v="43"/>
    <x v="18"/>
    <n v="8"/>
    <x v="3"/>
    <s v="Chen Bingde"/>
    <m/>
    <s v="GSD Commander; CMC Member"/>
    <n v="8"/>
    <x v="2"/>
    <s v="Army Commander"/>
    <x v="0"/>
    <m/>
    <x v="0"/>
    <m/>
    <x v="1"/>
    <m/>
    <m/>
    <m/>
    <s v="Defense White Paper Appendix"/>
    <m/>
  </r>
  <r>
    <x v="1"/>
    <x v="8"/>
    <s v="Europe and Central Asia"/>
    <s v="No Specific Relationship"/>
    <s v="NATO"/>
    <x v="3"/>
    <x v="18"/>
    <x v="18"/>
    <n v="8"/>
    <x v="4"/>
    <s v="Wu Shengli"/>
    <m/>
    <s v="PLAN Commander; CMC Member"/>
    <n v="8"/>
    <x v="1"/>
    <m/>
    <x v="0"/>
    <m/>
    <x v="0"/>
    <m/>
    <x v="1"/>
    <m/>
    <m/>
    <m/>
    <s v="Defense White Paper Appendix"/>
    <m/>
  </r>
  <r>
    <x v="1"/>
    <x v="8"/>
    <s v="Europe and Central Asia"/>
    <s v="No Specific Relationship"/>
    <s v="NATO"/>
    <x v="3"/>
    <x v="82"/>
    <x v="18"/>
    <n v="8"/>
    <x v="4"/>
    <s v="Li Jinai"/>
    <m/>
    <s v="GPD Director; CMC Member"/>
    <n v="8"/>
    <x v="1"/>
    <m/>
    <x v="0"/>
    <m/>
    <x v="0"/>
    <m/>
    <x v="1"/>
    <m/>
    <m/>
    <m/>
    <s v="Defense White Paper Appendix"/>
    <m/>
  </r>
  <r>
    <x v="0"/>
    <x v="0"/>
    <s v="Asia"/>
    <s v="Strategic Partnership for Peace and Prosperity [战略伙伴关系]"/>
    <s v="None"/>
    <x v="0"/>
    <x v="6"/>
    <x v="18"/>
    <n v="8"/>
    <x v="0"/>
    <m/>
    <m/>
    <m/>
    <m/>
    <x v="0"/>
    <m/>
    <x v="0"/>
    <m/>
    <x v="0"/>
    <m/>
    <x v="2"/>
    <s v="ETF-02"/>
    <s v="South Sea Fleet"/>
    <s v="DDG167 Shenzhen, FFG570 Huangshan, AOR887 Weishan Hu"/>
    <m/>
    <m/>
  </r>
  <r>
    <x v="1"/>
    <x v="8"/>
    <s v="Europe and Central Asia"/>
    <s v="No Specific Relationship"/>
    <s v="NATO"/>
    <x v="3"/>
    <x v="37"/>
    <x v="18"/>
    <n v="8"/>
    <x v="4"/>
    <s v="Wu Shengli"/>
    <m/>
    <s v="PLAN Commander; CMC Member"/>
    <n v="8"/>
    <x v="1"/>
    <m/>
    <x v="0"/>
    <m/>
    <x v="0"/>
    <m/>
    <x v="1"/>
    <m/>
    <m/>
    <m/>
    <s v="Defense White Paper Appendix"/>
    <m/>
  </r>
  <r>
    <x v="0"/>
    <x v="9"/>
    <s v="West Asia and Africa"/>
    <s v="No Specific Relationship"/>
    <s v="None"/>
    <x v="1"/>
    <x v="147"/>
    <x v="18"/>
    <n v="8"/>
    <x v="9"/>
    <m/>
    <m/>
    <m/>
    <m/>
    <x v="0"/>
    <m/>
    <x v="0"/>
    <m/>
    <x v="0"/>
    <m/>
    <x v="2"/>
    <s v="ETF-03"/>
    <s v="East Sea Fleet"/>
    <s v="FFG529 Zhoushan, FFG530 Xuzhou, AOR886 Qiandao Hu"/>
    <m/>
    <m/>
  </r>
  <r>
    <x v="0"/>
    <x v="0"/>
    <s v="Asia"/>
    <s v="Strategic Partnership [战略伙伴关系]"/>
    <s v="Major Non-NATO Ally"/>
    <x v="1"/>
    <x v="2"/>
    <x v="18"/>
    <n v="8"/>
    <x v="10"/>
    <m/>
    <m/>
    <m/>
    <m/>
    <x v="0"/>
    <m/>
    <x v="0"/>
    <m/>
    <x v="0"/>
    <m/>
    <x v="2"/>
    <s v="ETF-02"/>
    <s v="South Sea Fleet"/>
    <s v="DDG167 Shenzhen, FFG570 Huangshan, AOR887 Weishan Hu"/>
    <m/>
    <m/>
  </r>
  <r>
    <x v="2"/>
    <x v="0"/>
    <s v="Asia"/>
    <s v="Strategic Partnership [战略伙伴关系]"/>
    <s v="Major Non-NATO Ally"/>
    <x v="1"/>
    <x v="2"/>
    <x v="18"/>
    <n v="8"/>
    <x v="5"/>
    <m/>
    <m/>
    <m/>
    <m/>
    <x v="0"/>
    <m/>
    <x v="4"/>
    <s v="Unknown Karachi 2009"/>
    <x v="2"/>
    <s v="5-8 August 2009, anti-piracy ETF joint drills and friendly visit, Six Years p. 129"/>
    <x v="1"/>
    <m/>
    <m/>
    <m/>
    <s v="Defense White Paper Appendix"/>
    <m/>
  </r>
  <r>
    <x v="1"/>
    <x v="8"/>
    <s v="Europe and Central Asia"/>
    <s v="No Specific Relationship"/>
    <s v="NATO"/>
    <x v="3"/>
    <x v="59"/>
    <x v="18"/>
    <n v="8"/>
    <x v="4"/>
    <s v="Li Jinai"/>
    <m/>
    <s v="GPD Director; CMC Member"/>
    <n v="8"/>
    <x v="1"/>
    <m/>
    <x v="0"/>
    <m/>
    <x v="0"/>
    <m/>
    <x v="1"/>
    <m/>
    <m/>
    <m/>
    <s v="Defense White Paper Appendix"/>
    <m/>
  </r>
  <r>
    <x v="1"/>
    <x v="8"/>
    <s v="Europe and Central Asia"/>
    <s v="Comprehensive Friendly Cooperative Partnership [全面友好合作伙伴关系]"/>
    <s v="NATO"/>
    <x v="3"/>
    <x v="33"/>
    <x v="18"/>
    <n v="8"/>
    <x v="4"/>
    <s v="Li Jinai"/>
    <m/>
    <s v="GPD Director; CMC Member"/>
    <n v="8"/>
    <x v="1"/>
    <m/>
    <x v="0"/>
    <m/>
    <x v="0"/>
    <m/>
    <x v="1"/>
    <m/>
    <m/>
    <m/>
    <s v="Defense White Paper Appendix"/>
    <m/>
  </r>
  <r>
    <x v="1"/>
    <x v="9"/>
    <s v="West Asia and Africa"/>
    <s v="No Specific Relationship"/>
    <s v="None"/>
    <x v="1"/>
    <x v="142"/>
    <x v="18"/>
    <n v="8"/>
    <x v="4"/>
    <s v="Chi Wanchun"/>
    <m/>
    <s v="GAD Political Commissar"/>
    <n v="6"/>
    <x v="1"/>
    <m/>
    <x v="0"/>
    <m/>
    <x v="0"/>
    <m/>
    <x v="1"/>
    <m/>
    <m/>
    <m/>
    <s v="Defense White Paper Appendix"/>
    <m/>
  </r>
  <r>
    <x v="1"/>
    <x v="8"/>
    <s v="Europe and Central Asia"/>
    <s v="No Specific Relationship"/>
    <s v="None"/>
    <x v="3"/>
    <x v="26"/>
    <x v="18"/>
    <n v="8"/>
    <x v="4"/>
    <s v="Ma Xiaotian"/>
    <m/>
    <s v="GSD DCGS"/>
    <n v="6"/>
    <x v="1"/>
    <m/>
    <x v="0"/>
    <m/>
    <x v="0"/>
    <m/>
    <x v="1"/>
    <m/>
    <m/>
    <m/>
    <s v="Defense White Paper Appendix"/>
    <m/>
  </r>
  <r>
    <x v="1"/>
    <x v="8"/>
    <s v="Europe and Central Asia"/>
    <s v="Comprehensive Strategic Partnership [全面战略伙伴关系]"/>
    <s v="NATO"/>
    <x v="3"/>
    <x v="21"/>
    <x v="18"/>
    <n v="8"/>
    <x v="4"/>
    <s v="Chi Wanchun"/>
    <m/>
    <s v="GAD Political Commissar"/>
    <n v="6"/>
    <x v="1"/>
    <m/>
    <x v="0"/>
    <m/>
    <x v="0"/>
    <m/>
    <x v="1"/>
    <m/>
    <m/>
    <m/>
    <s v="Defense White Paper Appendix"/>
    <m/>
  </r>
  <r>
    <x v="1"/>
    <x v="2"/>
    <s v="America and Oceania"/>
    <s v="No Specific Relationship"/>
    <s v="N/A"/>
    <x v="2"/>
    <x v="4"/>
    <x v="18"/>
    <n v="8"/>
    <x v="3"/>
    <s v="Chen Bingde"/>
    <m/>
    <s v="GSD Commander; CMC Member"/>
    <n v="8"/>
    <x v="2"/>
    <s v="Chief of Army Staff"/>
    <x v="0"/>
    <m/>
    <x v="0"/>
    <m/>
    <x v="1"/>
    <m/>
    <m/>
    <m/>
    <s v="Defense White Paper Appendix"/>
    <m/>
  </r>
  <r>
    <x v="0"/>
    <x v="1"/>
    <s v="Asia"/>
    <s v="Comprehensive Strategic Cooperative Partnership [全面战略合作伙伴关系]"/>
    <s v="None"/>
    <x v="0"/>
    <x v="23"/>
    <x v="18"/>
    <n v="8"/>
    <x v="0"/>
    <m/>
    <m/>
    <m/>
    <m/>
    <x v="0"/>
    <m/>
    <x v="0"/>
    <m/>
    <x v="0"/>
    <m/>
    <x v="0"/>
    <s v="NETF"/>
    <m/>
    <m/>
    <s v="Southeast Asian Affairs (2010), 397"/>
    <m/>
  </r>
  <r>
    <x v="1"/>
    <x v="8"/>
    <s v="Europe and Central Asia"/>
    <s v="No Specific Relationship"/>
    <s v="NATO"/>
    <x v="3"/>
    <x v="79"/>
    <x v="18"/>
    <n v="9"/>
    <x v="4"/>
    <s v="Liang Guanglie"/>
    <m/>
    <s v="Defense Minister; CMC Member"/>
    <n v="8"/>
    <x v="1"/>
    <m/>
    <x v="0"/>
    <m/>
    <x v="0"/>
    <m/>
    <x v="1"/>
    <m/>
    <m/>
    <m/>
    <s v="Defense White Paper Appendix"/>
    <m/>
  </r>
  <r>
    <x v="0"/>
    <x v="5"/>
    <s v="America and Oceania"/>
    <s v="No Specific Relationship"/>
    <s v="None"/>
    <x v="0"/>
    <x v="150"/>
    <x v="18"/>
    <n v="9"/>
    <x v="0"/>
    <m/>
    <m/>
    <m/>
    <m/>
    <x v="0"/>
    <m/>
    <x v="0"/>
    <m/>
    <x v="0"/>
    <m/>
    <x v="0"/>
    <s v="NETF"/>
    <m/>
    <m/>
    <m/>
    <m/>
  </r>
  <r>
    <x v="1"/>
    <x v="8"/>
    <s v="Europe and Central Asia"/>
    <s v="Friendly Cooperative Partnership [友好合作伙伴关系]"/>
    <s v="None"/>
    <x v="3"/>
    <x v="126"/>
    <x v="18"/>
    <n v="9"/>
    <x v="3"/>
    <s v="Chen Bingde"/>
    <m/>
    <s v="GSD Commander; CMC Member"/>
    <n v="8"/>
    <x v="2"/>
    <s v="COGS"/>
    <x v="0"/>
    <m/>
    <x v="0"/>
    <m/>
    <x v="1"/>
    <m/>
    <m/>
    <m/>
    <s v="Defense White Paper Appendix"/>
    <m/>
  </r>
  <r>
    <x v="1"/>
    <x v="4"/>
    <s v="Asia"/>
    <s v="No Specific Relationship"/>
    <s v="None"/>
    <x v="0"/>
    <x v="53"/>
    <x v="18"/>
    <n v="9"/>
    <x v="3"/>
    <s v="Liang Guanglie"/>
    <m/>
    <s v="Defense Minister; CMC Member"/>
    <n v="8"/>
    <x v="2"/>
    <s v="Defense Minister"/>
    <x v="0"/>
    <m/>
    <x v="0"/>
    <m/>
    <x v="1"/>
    <m/>
    <m/>
    <m/>
    <s v="Defense White Paper Appendix"/>
    <m/>
  </r>
  <r>
    <x v="1"/>
    <x v="5"/>
    <s v="America and Oceania"/>
    <s v="No Specific Relationship"/>
    <s v="ANZUS Treaty"/>
    <x v="0"/>
    <x v="13"/>
    <x v="18"/>
    <n v="9"/>
    <x v="3"/>
    <s v="Liang Guanglie"/>
    <m/>
    <s v="Defense Minister; CMC Member"/>
    <n v="8"/>
    <x v="2"/>
    <s v="Defense Minister"/>
    <x v="0"/>
    <m/>
    <x v="0"/>
    <m/>
    <x v="1"/>
    <m/>
    <m/>
    <m/>
    <s v="Defense White Paper Appendix"/>
    <m/>
  </r>
  <r>
    <x v="2"/>
    <x v="8"/>
    <s v="Europe and Central Asia"/>
    <s v="Comprehensive Friendly Cooperative Partnership [全面友好合作伙伴关系]"/>
    <s v="NATO"/>
    <x v="3"/>
    <x v="33"/>
    <x v="18"/>
    <n v="9"/>
    <x v="5"/>
    <m/>
    <m/>
    <m/>
    <m/>
    <x v="0"/>
    <m/>
    <x v="2"/>
    <s v="Friendship Operation 2009"/>
    <x v="1"/>
    <s v="Mountain troops"/>
    <x v="1"/>
    <m/>
    <m/>
    <m/>
    <s v="Defense White Paper Appendix"/>
    <m/>
  </r>
  <r>
    <x v="2"/>
    <x v="3"/>
    <s v="Europe and Central Asia"/>
    <s v="Strategic Partnership of Coordination [战略协作伙伴关系]"/>
    <s v="None"/>
    <x v="3"/>
    <x v="7"/>
    <x v="18"/>
    <n v="9"/>
    <x v="5"/>
    <m/>
    <m/>
    <m/>
    <m/>
    <x v="0"/>
    <m/>
    <x v="4"/>
    <s v="Peace Shield 2009"/>
    <x v="2"/>
    <s v="Maritime manuever in Gulf of Aden, 18 Sept. 2009"/>
    <x v="1"/>
    <m/>
    <m/>
    <m/>
    <s v="https://sputniknews.com/military/20090918156169511/"/>
    <m/>
  </r>
  <r>
    <x v="2"/>
    <x v="3"/>
    <s v="Europe and Central Asia"/>
    <s v="Strategic Partnership of Coordination [战略协作伙伴关系]"/>
    <s v="None"/>
    <x v="3"/>
    <x v="7"/>
    <x v="18"/>
    <n v="9"/>
    <x v="5"/>
    <m/>
    <m/>
    <m/>
    <m/>
    <x v="0"/>
    <m/>
    <x v="2"/>
    <s v="River/port Emergencies Exercises"/>
    <x v="4"/>
    <s v="“the first joint border blockading and controlling military exercise” conducted between China and Russia"/>
    <x v="1"/>
    <m/>
    <m/>
    <m/>
    <s v="https://www.jstor.org/stable/pdf/resrep11945.11.pdf?refreqid=excelsior%3A4fac441d45c51d61db50c8bc19c2628f"/>
    <m/>
  </r>
  <r>
    <x v="1"/>
    <x v="8"/>
    <s v="Europe and Central Asia"/>
    <s v="Strategic Partnership [战略伙伴关系]"/>
    <s v="None"/>
    <x v="3"/>
    <x v="112"/>
    <x v="18"/>
    <n v="9"/>
    <x v="4"/>
    <s v="Liang Guanglie"/>
    <m/>
    <s v="Defense Minister; CMC Member"/>
    <n v="8"/>
    <x v="1"/>
    <m/>
    <x v="0"/>
    <m/>
    <x v="0"/>
    <m/>
    <x v="1"/>
    <m/>
    <m/>
    <m/>
    <s v="Defense White Paper Appendix"/>
    <m/>
  </r>
  <r>
    <x v="1"/>
    <x v="8"/>
    <s v="Europe and Central Asia"/>
    <s v="No Specific Relationship"/>
    <s v="NATO"/>
    <x v="3"/>
    <x v="40"/>
    <x v="18"/>
    <n v="9"/>
    <x v="4"/>
    <s v="Liang Guanglie"/>
    <m/>
    <s v="Defense Minister; CMC Member"/>
    <n v="8"/>
    <x v="1"/>
    <m/>
    <x v="0"/>
    <m/>
    <x v="0"/>
    <m/>
    <x v="1"/>
    <m/>
    <m/>
    <m/>
    <s v="Defense White Paper Appendix"/>
    <m/>
  </r>
  <r>
    <x v="1"/>
    <x v="7"/>
    <s v="West Asia and Africa"/>
    <s v="No Specific Relationship"/>
    <s v="None"/>
    <x v="4"/>
    <x v="16"/>
    <x v="18"/>
    <n v="9"/>
    <x v="3"/>
    <s v="Liang Guanglie"/>
    <m/>
    <s v="Defense Minister; CMC Member"/>
    <n v="8"/>
    <x v="2"/>
    <s v="Defense Minister"/>
    <x v="0"/>
    <m/>
    <x v="0"/>
    <m/>
    <x v="1"/>
    <m/>
    <m/>
    <m/>
    <s v="Defense White Paper Appendix"/>
    <m/>
  </r>
  <r>
    <x v="1"/>
    <x v="1"/>
    <s v="Asia"/>
    <s v="Comprehensive Strategic Cooperative Partnership [全面战略合作伙伴关系]"/>
    <s v="None"/>
    <x v="0"/>
    <x v="23"/>
    <x v="18"/>
    <n v="9"/>
    <x v="3"/>
    <s v="Liang Guanglie"/>
    <m/>
    <s v="Defense Minister; CMC Member"/>
    <n v="8"/>
    <x v="2"/>
    <s v="DCOGS"/>
    <x v="0"/>
    <m/>
    <x v="0"/>
    <m/>
    <x v="1"/>
    <m/>
    <m/>
    <m/>
    <s v="Defense White Paper Appendix"/>
    <m/>
  </r>
  <r>
    <x v="1"/>
    <x v="1"/>
    <s v="Asia"/>
    <s v="Comprehensive Strategic Cooperative Partnership [全面战略合作伙伴关系]"/>
    <s v="None"/>
    <x v="0"/>
    <x v="23"/>
    <x v="18"/>
    <n v="9"/>
    <x v="3"/>
    <s v="Liang Guanglie"/>
    <m/>
    <s v="Defense Minister; CMC Member"/>
    <n v="8"/>
    <x v="2"/>
    <s v="General Director, GPD"/>
    <x v="0"/>
    <m/>
    <x v="0"/>
    <m/>
    <x v="1"/>
    <m/>
    <m/>
    <m/>
    <s v="https://dlib.eastview.com/browse/doc/20662675"/>
    <s v="BY position counterpart would be GPD director; Comparative Connections chronology for that quarter is missing"/>
  </r>
  <r>
    <x v="0"/>
    <x v="9"/>
    <s v="West Asia and Africa"/>
    <s v="No Specific Relationship"/>
    <s v="None"/>
    <x v="1"/>
    <x v="135"/>
    <x v="18"/>
    <n v="9"/>
    <x v="9"/>
    <m/>
    <m/>
    <m/>
    <m/>
    <x v="0"/>
    <m/>
    <x v="0"/>
    <m/>
    <x v="0"/>
    <m/>
    <x v="2"/>
    <s v="ETF-03"/>
    <s v="East Sea Fleet"/>
    <s v="FFG529 Zhoushan, FFG530 Xuzhou, AOR886 Qiandao Hu"/>
    <m/>
    <m/>
  </r>
  <r>
    <x v="1"/>
    <x v="5"/>
    <s v="America and Oceania"/>
    <s v="No Specific Relationship"/>
    <s v="ANZUS Treaty"/>
    <x v="0"/>
    <x v="12"/>
    <x v="18"/>
    <n v="10"/>
    <x v="4"/>
    <s v="Chen Bingde"/>
    <m/>
    <s v="GSD Commander; CMC Member"/>
    <n v="8"/>
    <x v="1"/>
    <m/>
    <x v="0"/>
    <m/>
    <x v="0"/>
    <m/>
    <x v="2"/>
    <m/>
    <m/>
    <m/>
    <s v="Defense White Paper Appendix"/>
    <m/>
  </r>
  <r>
    <x v="1"/>
    <x v="7"/>
    <s v="West Asia and Africa"/>
    <s v="Comprehensive Strategic Partnership [全面战略伙伴关系]"/>
    <s v="None"/>
    <x v="4"/>
    <x v="127"/>
    <x v="18"/>
    <n v="10"/>
    <x v="3"/>
    <s v="Liang Guanglie"/>
    <m/>
    <s v="Defense Minister; CMC Member"/>
    <n v="8"/>
    <x v="2"/>
    <s v="Defense Minister"/>
    <x v="0"/>
    <m/>
    <x v="0"/>
    <m/>
    <x v="1"/>
    <m/>
    <m/>
    <m/>
    <s v="Defense White Paper Appendix"/>
    <m/>
  </r>
  <r>
    <x v="1"/>
    <x v="8"/>
    <s v="Europe and Central Asia"/>
    <s v="Comprehensive Strategic Partnership [全面战略伙伴关系]"/>
    <s v="NATO"/>
    <x v="3"/>
    <x v="29"/>
    <x v="18"/>
    <n v="10"/>
    <x v="4"/>
    <s v="Zhang Yang"/>
    <m/>
    <s v="Guangzhou MR Political Commissar"/>
    <n v="6"/>
    <x v="1"/>
    <m/>
    <x v="0"/>
    <m/>
    <x v="0"/>
    <m/>
    <x v="1"/>
    <m/>
    <m/>
    <m/>
    <s v="Defense White Paper Appendix"/>
    <m/>
  </r>
  <r>
    <x v="1"/>
    <x v="8"/>
    <s v="Europe and Central Asia"/>
    <s v="No Specific Relationship"/>
    <s v="NATO"/>
    <x v="3"/>
    <x v="82"/>
    <x v="18"/>
    <n v="10"/>
    <x v="4"/>
    <s v="Zhang Yang"/>
    <m/>
    <s v="Guangzhou MR Political Commissar"/>
    <n v="6"/>
    <x v="1"/>
    <m/>
    <x v="0"/>
    <m/>
    <x v="0"/>
    <m/>
    <x v="1"/>
    <m/>
    <m/>
    <m/>
    <s v="Defense White Paper Appendix"/>
    <m/>
  </r>
  <r>
    <x v="1"/>
    <x v="1"/>
    <s v="Asia"/>
    <s v="Strategic Partnership [战略伙伴关系]"/>
    <s v="None"/>
    <x v="0"/>
    <x v="8"/>
    <x v="18"/>
    <n v="10"/>
    <x v="4"/>
    <s v="Ma Xiaotian"/>
    <m/>
    <s v="GSD DCGS"/>
    <n v="6"/>
    <x v="1"/>
    <m/>
    <x v="0"/>
    <m/>
    <x v="0"/>
    <m/>
    <x v="1"/>
    <m/>
    <m/>
    <m/>
    <s v="Defense White Paper Appendix"/>
    <m/>
  </r>
  <r>
    <x v="1"/>
    <x v="4"/>
    <s v="Asia"/>
    <s v="Mutually Beneficial Strategic Relationship [战略互惠关系]"/>
    <s v="Bilateral Defense Treaty"/>
    <x v="0"/>
    <x v="83"/>
    <x v="18"/>
    <n v="10"/>
    <x v="4"/>
    <s v="Ma Xiaotian"/>
    <m/>
    <s v="GSD DCGS"/>
    <n v="6"/>
    <x v="1"/>
    <m/>
    <x v="0"/>
    <m/>
    <x v="0"/>
    <m/>
    <x v="1"/>
    <m/>
    <m/>
    <m/>
    <s v="Defense White Paper Appendix"/>
    <m/>
  </r>
  <r>
    <x v="1"/>
    <x v="7"/>
    <s v="West Asia and Africa"/>
    <s v="No Specific Relationship"/>
    <s v="None"/>
    <x v="4"/>
    <x v="143"/>
    <x v="18"/>
    <n v="10"/>
    <x v="3"/>
    <s v="Liang Guanglie"/>
    <m/>
    <s v="Defense Minister; CMC Member"/>
    <n v="8"/>
    <x v="2"/>
    <s v="Defense Minister"/>
    <x v="0"/>
    <m/>
    <x v="0"/>
    <m/>
    <x v="1"/>
    <m/>
    <m/>
    <m/>
    <s v="Defense White Paper Appendix"/>
    <m/>
  </r>
  <r>
    <x v="1"/>
    <x v="4"/>
    <s v="Asia"/>
    <s v="Bilateral Defense Treaty"/>
    <s v="None"/>
    <x v="0"/>
    <x v="9"/>
    <x v="18"/>
    <n v="10"/>
    <x v="4"/>
    <s v="Ma Xiaotian"/>
    <m/>
    <s v="GSD DCGS"/>
    <n v="6"/>
    <x v="1"/>
    <m/>
    <x v="0"/>
    <m/>
    <x v="0"/>
    <m/>
    <x v="1"/>
    <m/>
    <m/>
    <m/>
    <s v="Defense White Paper Appendix"/>
    <m/>
  </r>
  <r>
    <x v="1"/>
    <x v="1"/>
    <s v="America and Oceania"/>
    <s v="No Specific Relationship"/>
    <s v="None"/>
    <x v="0"/>
    <x v="122"/>
    <x v="18"/>
    <n v="10"/>
    <x v="4"/>
    <s v="Chen Bingde"/>
    <m/>
    <s v="GSD Commander; CMC Member"/>
    <n v="8"/>
    <x v="1"/>
    <m/>
    <x v="0"/>
    <m/>
    <x v="0"/>
    <m/>
    <x v="1"/>
    <m/>
    <m/>
    <m/>
    <s v="Defense White Paper Appendix"/>
    <m/>
  </r>
  <r>
    <x v="1"/>
    <x v="1"/>
    <s v="Asia"/>
    <s v="No Specific Relationship"/>
    <s v="None"/>
    <x v="0"/>
    <x v="39"/>
    <x v="18"/>
    <n v="10"/>
    <x v="4"/>
    <s v="Chen Bingde"/>
    <m/>
    <s v="GSD Commander; CMC Member"/>
    <n v="8"/>
    <x v="1"/>
    <m/>
    <x v="0"/>
    <m/>
    <x v="0"/>
    <m/>
    <x v="1"/>
    <m/>
    <m/>
    <m/>
    <s v="Defense White Paper Appendix"/>
    <m/>
  </r>
  <r>
    <x v="1"/>
    <x v="4"/>
    <s v="Asia"/>
    <s v="Strategic Cooperative Partnership [战略合作伙伴关系]"/>
    <s v="Bilateral Defense Treaty"/>
    <x v="0"/>
    <x v="25"/>
    <x v="18"/>
    <n v="10"/>
    <x v="4"/>
    <s v="Ma Xiaotian"/>
    <m/>
    <s v="GSD DCGS"/>
    <n v="6"/>
    <x v="1"/>
    <m/>
    <x v="0"/>
    <m/>
    <x v="0"/>
    <m/>
    <x v="1"/>
    <m/>
    <m/>
    <m/>
    <s v="Defense White Paper Appendix"/>
    <m/>
  </r>
  <r>
    <x v="1"/>
    <x v="2"/>
    <s v="America and Oceania"/>
    <s v="No Specific Relationship"/>
    <s v="N/A"/>
    <x v="2"/>
    <x v="4"/>
    <x v="18"/>
    <n v="10"/>
    <x v="4"/>
    <s v="Xu Caihou"/>
    <m/>
    <s v="CMC Vice Chairman"/>
    <n v="10"/>
    <x v="1"/>
    <s v="Secretary of Defense"/>
    <x v="0"/>
    <m/>
    <x v="0"/>
    <m/>
    <x v="1"/>
    <m/>
    <m/>
    <m/>
    <s v="Defense White Paper Appendix"/>
    <m/>
  </r>
  <r>
    <x v="1"/>
    <x v="6"/>
    <s v="Europe and Central Asia"/>
    <s v="No Specific Relationship"/>
    <s v="None"/>
    <x v="1"/>
    <x v="73"/>
    <x v="18"/>
    <n v="10"/>
    <x v="3"/>
    <s v="Liang Guanglie"/>
    <m/>
    <s v="Defense Minister; CMC Member"/>
    <n v="8"/>
    <x v="2"/>
    <s v="Defense Minister"/>
    <x v="0"/>
    <m/>
    <x v="0"/>
    <m/>
    <x v="1"/>
    <m/>
    <m/>
    <m/>
    <s v="Defense White Paper Appendix"/>
    <m/>
  </r>
  <r>
    <x v="0"/>
    <x v="9"/>
    <s v="West Asia and Africa"/>
    <s v="No Specific Relationship"/>
    <s v="None"/>
    <x v="1"/>
    <x v="135"/>
    <x v="18"/>
    <n v="10"/>
    <x v="9"/>
    <m/>
    <m/>
    <m/>
    <m/>
    <x v="0"/>
    <m/>
    <x v="0"/>
    <m/>
    <x v="0"/>
    <m/>
    <x v="2"/>
    <s v="ETF-03"/>
    <s v="East Sea Fleet"/>
    <s v="FFG529 Zhoushan, FFG530 Xuzhou, AOR886 Qiandao Hu"/>
    <m/>
    <m/>
  </r>
  <r>
    <x v="1"/>
    <x v="9"/>
    <s v="West Asia and Africa"/>
    <s v="Friendly Cooperative Partnership [友好合作伙伴关系]"/>
    <s v="Major Non-NATO Ally"/>
    <x v="1"/>
    <x v="146"/>
    <x v="18"/>
    <n v="11"/>
    <x v="3"/>
    <s v="Liang Guanglie"/>
    <m/>
    <s v="Defense Minister; CMC Member"/>
    <n v="8"/>
    <x v="2"/>
    <s v="Minister of State for Defense"/>
    <x v="0"/>
    <m/>
    <x v="0"/>
    <m/>
    <x v="2"/>
    <m/>
    <m/>
    <m/>
    <s v="Defense White Paper Appendix"/>
    <m/>
  </r>
  <r>
    <x v="1"/>
    <x v="0"/>
    <s v="Asia"/>
    <s v="Comprehensive Cooperative Partnership [全面合作伙伴关系]"/>
    <s v="None"/>
    <x v="0"/>
    <x v="0"/>
    <x v="18"/>
    <n v="11"/>
    <x v="3"/>
    <s v="Xu Qiliang"/>
    <m/>
    <s v="PLAAF Commander; CMC Member"/>
    <n v="8"/>
    <x v="2"/>
    <s v="Air Force Commander"/>
    <x v="0"/>
    <m/>
    <x v="0"/>
    <m/>
    <x v="1"/>
    <m/>
    <m/>
    <m/>
    <s v="Defense White Paper Appendix"/>
    <m/>
  </r>
  <r>
    <x v="1"/>
    <x v="10"/>
    <s v="America and Oceania"/>
    <s v="Comprehensive Strategic Partnership [全面战略伙伴关系]"/>
    <s v="None"/>
    <x v="5"/>
    <x v="43"/>
    <x v="18"/>
    <n v="11"/>
    <x v="3"/>
    <s v="Xu Caihou"/>
    <m/>
    <s v="CMC Vice Chairman"/>
    <n v="10"/>
    <x v="2"/>
    <s v="Defense Minister"/>
    <x v="0"/>
    <m/>
    <x v="0"/>
    <m/>
    <x v="1"/>
    <m/>
    <m/>
    <m/>
    <s v="Defense White Paper Appendix"/>
    <m/>
  </r>
  <r>
    <x v="1"/>
    <x v="10"/>
    <s v="America and Oceania"/>
    <s v="Comprehensive Partnership [全面伙伴关系]"/>
    <s v="None"/>
    <x v="5"/>
    <x v="66"/>
    <x v="18"/>
    <n v="11"/>
    <x v="3"/>
    <s v="Xu Qiliang"/>
    <m/>
    <s v="PLAAF Commander; CMC Member"/>
    <n v="8"/>
    <x v="2"/>
    <s v="Air Force Commander"/>
    <x v="0"/>
    <m/>
    <x v="0"/>
    <m/>
    <x v="1"/>
    <m/>
    <m/>
    <m/>
    <s v="Defense White Paper Appendix"/>
    <m/>
  </r>
  <r>
    <x v="0"/>
    <x v="10"/>
    <s v="South America"/>
    <s v="Comprehensive Partnership [全面伙伴关系]"/>
    <s v="None"/>
    <x v="5"/>
    <x v="66"/>
    <x v="18"/>
    <n v="11"/>
    <x v="0"/>
    <m/>
    <m/>
    <m/>
    <m/>
    <x v="0"/>
    <m/>
    <x v="0"/>
    <m/>
    <x v="0"/>
    <m/>
    <x v="0"/>
    <s v="NETF"/>
    <m/>
    <m/>
    <s v="http://english.chinamil.com.cn/special-reports/2007zgjdgjtm/node_15411.htm"/>
    <m/>
  </r>
  <r>
    <x v="1"/>
    <x v="9"/>
    <s v="West Asia and Africa"/>
    <s v="Strategic Cooperative Partnership [战略合作伙伴关系]"/>
    <s v="Major Non-NATO Ally"/>
    <x v="1"/>
    <x v="24"/>
    <x v="18"/>
    <n v="11"/>
    <x v="3"/>
    <s v="Xu Qiliang"/>
    <m/>
    <s v="PLAAF Commander; CMC Member"/>
    <n v="8"/>
    <x v="2"/>
    <s v="Air Force Commander"/>
    <x v="0"/>
    <m/>
    <x v="0"/>
    <m/>
    <x v="1"/>
    <m/>
    <m/>
    <m/>
    <s v="Defense White Paper Appendix"/>
    <m/>
  </r>
  <r>
    <x v="1"/>
    <x v="8"/>
    <s v="Europe and Central Asia"/>
    <s v="Comprehensive Strategic Partnership [全面战略伙伴关系]"/>
    <s v="NATO"/>
    <x v="3"/>
    <x v="29"/>
    <x v="18"/>
    <n v="11"/>
    <x v="3"/>
    <s v="Ma Xiaotian"/>
    <m/>
    <s v="GSD DCGS"/>
    <n v="6"/>
    <x v="2"/>
    <s v="Chief of Staff Army"/>
    <x v="0"/>
    <m/>
    <x v="0"/>
    <m/>
    <x v="1"/>
    <m/>
    <m/>
    <m/>
    <s v="Defense White Paper Appendix"/>
    <m/>
  </r>
  <r>
    <x v="1"/>
    <x v="4"/>
    <s v="Asia"/>
    <s v="Mutually Beneficial Strategic Relationship [战略互惠关系]"/>
    <s v="Bilateral Defense Treaty"/>
    <x v="0"/>
    <x v="83"/>
    <x v="18"/>
    <n v="11"/>
    <x v="4"/>
    <s v="Liang Guanglie"/>
    <m/>
    <s v="Defense Minister; CMC Member"/>
    <n v="8"/>
    <x v="1"/>
    <m/>
    <x v="0"/>
    <m/>
    <x v="0"/>
    <m/>
    <x v="1"/>
    <m/>
    <m/>
    <m/>
    <s v="Defense White Paper Appendix"/>
    <m/>
  </r>
  <r>
    <x v="0"/>
    <x v="4"/>
    <s v="Asia"/>
    <s v="Mutually Beneficial Strategic Relationship [战略互惠关系]"/>
    <s v="Bilateral Defense Treaty"/>
    <x v="0"/>
    <x v="83"/>
    <x v="18"/>
    <n v="11"/>
    <x v="8"/>
    <m/>
    <m/>
    <m/>
    <m/>
    <x v="0"/>
    <m/>
    <x v="0"/>
    <m/>
    <x v="0"/>
    <m/>
    <x v="0"/>
    <s v="2009-11 Zhenghe "/>
    <s v="North Sea Fleet"/>
    <s v="Zheng He"/>
    <s v="https://www.japantimes.co.jp/news/2009/11/06/national/china-naval-vessel-makes-port-call/#.Xuz1WHt7nec"/>
    <m/>
  </r>
  <r>
    <x v="1"/>
    <x v="6"/>
    <s v="Europe and Central Asia"/>
    <s v="Strategic Partnership [战略伙伴关系]"/>
    <s v="None"/>
    <x v="1"/>
    <x v="30"/>
    <x v="18"/>
    <n v="11"/>
    <x v="3"/>
    <s v="Ma Xiaotian"/>
    <m/>
    <s v="GSD DCGS"/>
    <n v="6"/>
    <x v="1"/>
    <s v="Commander Border Forces"/>
    <x v="0"/>
    <m/>
    <x v="0"/>
    <m/>
    <x v="1"/>
    <m/>
    <m/>
    <m/>
    <s v="Defense White Paper Appendix"/>
    <m/>
  </r>
  <r>
    <x v="1"/>
    <x v="8"/>
    <s v="Europe and Central Asia"/>
    <s v="No Specific Relationship"/>
    <s v="None"/>
    <x v="3"/>
    <x v="99"/>
    <x v="18"/>
    <n v="11"/>
    <x v="3"/>
    <s v="Liang Guanglie"/>
    <m/>
    <s v="Defense Minister; CMC Member"/>
    <n v="8"/>
    <x v="2"/>
    <s v="COGS"/>
    <x v="0"/>
    <m/>
    <x v="0"/>
    <m/>
    <x v="1"/>
    <m/>
    <m/>
    <m/>
    <s v="Defense White Paper Appendix"/>
    <m/>
  </r>
  <r>
    <x v="1"/>
    <x v="8"/>
    <s v="Europe and Central Asia"/>
    <s v="Comprehensive Strategic Partnership [全面战略伙伴关系]"/>
    <s v="NATO"/>
    <x v="3"/>
    <x v="151"/>
    <x v="18"/>
    <n v="11"/>
    <x v="3"/>
    <m/>
    <m/>
    <m/>
    <m/>
    <x v="2"/>
    <s v="NATO Deputy Secretary General"/>
    <x v="0"/>
    <m/>
    <x v="0"/>
    <m/>
    <x v="1"/>
    <m/>
    <m/>
    <m/>
    <s v="https://www.nato.int/cps/en/natohq/news_59191.htm; https://www.nato.int/cps/en/natohq/photos_159906.htm"/>
    <s v="PCS: source lists VFM Zhang Zhijun as counterpart and does not specify PLA involvement.  ADD or not?"/>
  </r>
  <r>
    <x v="1"/>
    <x v="4"/>
    <s v="Asia"/>
    <s v="Bilateral Defense Treaty"/>
    <s v="None"/>
    <x v="0"/>
    <x v="9"/>
    <x v="18"/>
    <n v="11"/>
    <x v="4"/>
    <s v="Liang Guanglie"/>
    <m/>
    <s v="Defense Minister; CMC Member"/>
    <n v="8"/>
    <x v="1"/>
    <m/>
    <x v="0"/>
    <m/>
    <x v="0"/>
    <m/>
    <x v="1"/>
    <m/>
    <m/>
    <m/>
    <s v="Defense White Paper Appendix"/>
    <m/>
  </r>
  <r>
    <x v="1"/>
    <x v="0"/>
    <s v="Asia"/>
    <s v="Strategic Partnership [战略伙伴关系]"/>
    <s v="Major Non-NATO Ally"/>
    <x v="1"/>
    <x v="2"/>
    <x v="18"/>
    <n v="11"/>
    <x v="3"/>
    <s v="Xu Qiliang"/>
    <m/>
    <s v="PLAAF Commander; CMC Member"/>
    <n v="8"/>
    <x v="2"/>
    <s v="Air Force Commander"/>
    <x v="0"/>
    <m/>
    <x v="0"/>
    <m/>
    <x v="1"/>
    <m/>
    <m/>
    <m/>
    <s v="Defense White Paper Appendix"/>
    <m/>
  </r>
  <r>
    <x v="1"/>
    <x v="1"/>
    <s v="Asia"/>
    <s v="Strategic Cooperative Partnership [战略合作伙伴关系]"/>
    <s v="Bilateral Defense Treaty"/>
    <x v="0"/>
    <x v="11"/>
    <x v="18"/>
    <n v="11"/>
    <x v="3"/>
    <s v="Xu Qiliang"/>
    <m/>
    <s v="PLAAF Commander; CMC Member"/>
    <n v="8"/>
    <x v="2"/>
    <s v="Air Force Commander"/>
    <x v="0"/>
    <m/>
    <x v="0"/>
    <m/>
    <x v="1"/>
    <m/>
    <m/>
    <m/>
    <s v="Defense White Paper Appendix"/>
    <m/>
  </r>
  <r>
    <x v="1"/>
    <x v="8"/>
    <s v="Europe and Central Asia"/>
    <s v="Comprehensive Friendly Cooperative Partnership [全面友好合作伙伴关系]"/>
    <s v="NATO"/>
    <x v="3"/>
    <x v="33"/>
    <x v="18"/>
    <n v="11"/>
    <x v="4"/>
    <s v="Ma Xiaotian"/>
    <m/>
    <s v="GSD DCGS"/>
    <n v="6"/>
    <x v="1"/>
    <m/>
    <x v="0"/>
    <m/>
    <x v="0"/>
    <m/>
    <x v="1"/>
    <m/>
    <m/>
    <m/>
    <s v="Defense White Paper Appendix"/>
    <m/>
  </r>
  <r>
    <x v="1"/>
    <x v="3"/>
    <s v="Europe and Central Asia"/>
    <s v="Strategic Partnership of Coordination [战略协作伙伴关系]"/>
    <s v="None"/>
    <x v="3"/>
    <x v="7"/>
    <x v="18"/>
    <n v="11"/>
    <x v="4"/>
    <s v="Guo Boxiong"/>
    <m/>
    <s v="CMC Vice Chairman"/>
    <n v="10"/>
    <x v="1"/>
    <m/>
    <x v="0"/>
    <m/>
    <x v="0"/>
    <m/>
    <x v="1"/>
    <m/>
    <m/>
    <m/>
    <s v="Defense White Paper Appendix"/>
    <m/>
  </r>
  <r>
    <x v="1"/>
    <x v="7"/>
    <s v="West Asia and Africa"/>
    <s v="No Specific Relationship"/>
    <s v="None"/>
    <x v="4"/>
    <x v="152"/>
    <x v="18"/>
    <n v="11"/>
    <x v="3"/>
    <s v="Liang Guanglie"/>
    <m/>
    <s v="Defense Minister; CMC Member"/>
    <n v="8"/>
    <x v="2"/>
    <s v="COGS"/>
    <x v="0"/>
    <m/>
    <x v="0"/>
    <m/>
    <x v="1"/>
    <m/>
    <m/>
    <m/>
    <s v="Defense White Paper Appendix"/>
    <m/>
  </r>
  <r>
    <x v="1"/>
    <x v="7"/>
    <s v="West Asia and Africa"/>
    <s v="Strategic Partnership [战略伙伴关系]"/>
    <s v="None"/>
    <x v="4"/>
    <x v="15"/>
    <x v="18"/>
    <n v="11"/>
    <x v="4"/>
    <s v="Liu Xiaojiang"/>
    <m/>
    <s v="PLAN Political Commissar"/>
    <n v="6"/>
    <x v="1"/>
    <m/>
    <x v="0"/>
    <m/>
    <x v="0"/>
    <m/>
    <x v="1"/>
    <m/>
    <m/>
    <m/>
    <s v="Defense White Paper Appendix"/>
    <m/>
  </r>
  <r>
    <x v="1"/>
    <x v="4"/>
    <s v="Asia"/>
    <s v="Strategic Cooperative Partnership [战略合作伙伴关系]"/>
    <s v="Bilateral Defense Treaty"/>
    <x v="0"/>
    <x v="25"/>
    <x v="18"/>
    <n v="11"/>
    <x v="3"/>
    <s v="Xu Qiliang"/>
    <m/>
    <s v="PLAAF Commander; CMC Member"/>
    <n v="8"/>
    <x v="2"/>
    <s v="Air Force Commander"/>
    <x v="0"/>
    <m/>
    <x v="0"/>
    <m/>
    <x v="1"/>
    <m/>
    <m/>
    <m/>
    <s v="Defense White Paper Appendix"/>
    <m/>
  </r>
  <r>
    <x v="1"/>
    <x v="7"/>
    <s v="West Asia and Africa"/>
    <s v="No Specific Relationship"/>
    <s v="None"/>
    <x v="4"/>
    <x v="16"/>
    <x v="18"/>
    <n v="11"/>
    <x v="4"/>
    <s v="Liu Xiaojiang"/>
    <m/>
    <s v="PLAN Political Commissar"/>
    <n v="6"/>
    <x v="1"/>
    <m/>
    <x v="0"/>
    <m/>
    <x v="0"/>
    <m/>
    <x v="1"/>
    <m/>
    <m/>
    <m/>
    <s v="Defense White Paper Appendix"/>
    <m/>
  </r>
  <r>
    <x v="1"/>
    <x v="1"/>
    <s v="Asia"/>
    <s v="Strategic Partnership [战略伙伴关系]"/>
    <s v="Bilateral Defense Treaty"/>
    <x v="0"/>
    <x v="5"/>
    <x v="18"/>
    <n v="11"/>
    <x v="3"/>
    <s v="Liang Guanglie"/>
    <m/>
    <s v="Defense Minister; CMC Member"/>
    <n v="8"/>
    <x v="2"/>
    <s v="Navy Commander"/>
    <x v="0"/>
    <m/>
    <x v="0"/>
    <m/>
    <x v="1"/>
    <m/>
    <m/>
    <m/>
    <s v="Defense White Paper Appendix"/>
    <m/>
  </r>
  <r>
    <x v="1"/>
    <x v="7"/>
    <s v="West Asia and Africa"/>
    <s v="Comprehensive Strategic Cooperative Partnership [全面战略合作伙伴关系]"/>
    <s v="None"/>
    <x v="4"/>
    <x v="96"/>
    <x v="18"/>
    <n v="11"/>
    <x v="3"/>
    <s v="Liang Guanglie"/>
    <m/>
    <s v="Defense Minister; CMC Member"/>
    <n v="8"/>
    <x v="2"/>
    <s v="COGS"/>
    <x v="0"/>
    <m/>
    <x v="0"/>
    <m/>
    <x v="1"/>
    <m/>
    <m/>
    <m/>
    <s v="Defense White Paper Appendix"/>
    <m/>
  </r>
  <r>
    <x v="1"/>
    <x v="10"/>
    <s v="America and Oceania"/>
    <s v="No Specific Relationship"/>
    <s v="None"/>
    <x v="5"/>
    <x v="107"/>
    <x v="18"/>
    <n v="11"/>
    <x v="3"/>
    <s v="Xu Qiliang"/>
    <m/>
    <s v="PLAAF Commander; CMC Member"/>
    <n v="8"/>
    <x v="2"/>
    <s v="Air Force Commander"/>
    <x v="0"/>
    <m/>
    <x v="0"/>
    <m/>
    <x v="1"/>
    <m/>
    <m/>
    <m/>
    <s v="Defense White Paper Appendix"/>
    <m/>
  </r>
  <r>
    <x v="1"/>
    <x v="1"/>
    <s v="Asia"/>
    <s v="Comprehensive Strategic Cooperative Partnership [全面战略合作伙伴关系]"/>
    <s v="None"/>
    <x v="0"/>
    <x v="23"/>
    <x v="18"/>
    <n v="11"/>
    <x v="3"/>
    <s v="Xu Qiliang"/>
    <m/>
    <s v="PLAAF Commander; CMC Member"/>
    <n v="8"/>
    <x v="2"/>
    <s v="Air Force Commander"/>
    <x v="0"/>
    <m/>
    <x v="0"/>
    <m/>
    <x v="1"/>
    <m/>
    <m/>
    <m/>
    <s v="Defense White Paper Appendix"/>
    <m/>
  </r>
  <r>
    <x v="1"/>
    <x v="8"/>
    <s v="Europe and Central Asia"/>
    <s v="No Specific Relationship"/>
    <s v="None"/>
    <x v="3"/>
    <x v="63"/>
    <x v="18"/>
    <n v="12"/>
    <x v="3"/>
    <s v="Ma Xiaotian"/>
    <m/>
    <s v="GSD DCGS"/>
    <n v="6"/>
    <x v="1"/>
    <s v="COGS"/>
    <x v="0"/>
    <m/>
    <x v="0"/>
    <m/>
    <x v="1"/>
    <m/>
    <m/>
    <m/>
    <s v="Defense White Paper Appendix"/>
    <m/>
  </r>
  <r>
    <x v="0"/>
    <x v="10"/>
    <s v="America and Oceania"/>
    <s v="No Specific Relationship"/>
    <s v="None"/>
    <x v="5"/>
    <x v="51"/>
    <x v="18"/>
    <n v="12"/>
    <x v="0"/>
    <m/>
    <m/>
    <m/>
    <m/>
    <x v="0"/>
    <m/>
    <x v="0"/>
    <m/>
    <x v="0"/>
    <m/>
    <x v="0"/>
    <s v="NETF"/>
    <m/>
    <m/>
    <s v="http://english.chinamil.com.cn/special-reports/2007zgjdgjtm/node_15411.htm"/>
    <m/>
  </r>
  <r>
    <x v="1"/>
    <x v="6"/>
    <s v="Europe and Central Asia"/>
    <s v="Strategic Partnership [战略伙伴关系]"/>
    <s v="None"/>
    <x v="1"/>
    <x v="30"/>
    <x v="18"/>
    <n v="12"/>
    <x v="3"/>
    <s v="Guo Boxiong"/>
    <m/>
    <s v="CMC Vice Chairman"/>
    <n v="10"/>
    <x v="2"/>
    <s v="Defense Minister"/>
    <x v="0"/>
    <m/>
    <x v="0"/>
    <m/>
    <x v="1"/>
    <m/>
    <m/>
    <m/>
    <s v="Defense White Paper Appendix"/>
    <m/>
  </r>
  <r>
    <x v="0"/>
    <x v="1"/>
    <s v="Asia"/>
    <s v="Strategic Cooperative Partnership [战略合作伙伴关系]"/>
    <s v="None"/>
    <x v="0"/>
    <x v="10"/>
    <x v="18"/>
    <n v="12"/>
    <x v="0"/>
    <m/>
    <m/>
    <m/>
    <m/>
    <x v="0"/>
    <m/>
    <x v="0"/>
    <m/>
    <x v="0"/>
    <m/>
    <x v="2"/>
    <s v="ETF-03"/>
    <s v="East Sea Fleet"/>
    <s v="FFG529 Zhoushan, FFG530 Xuzhou, AOR886 Qiandao Hu"/>
    <m/>
    <m/>
  </r>
  <r>
    <x v="1"/>
    <x v="0"/>
    <s v="Asia"/>
    <s v="Strategic Partnership [战略伙伴关系]"/>
    <s v="Major Non-NATO Ally"/>
    <x v="1"/>
    <x v="2"/>
    <x v="18"/>
    <n v="12"/>
    <x v="3"/>
    <s v="Liang Guanglie"/>
    <m/>
    <s v="Defense Minister; CMC Member"/>
    <n v="8"/>
    <x v="2"/>
    <s v="Chief of Naval Staff"/>
    <x v="0"/>
    <m/>
    <x v="0"/>
    <m/>
    <x v="2"/>
    <m/>
    <m/>
    <m/>
    <s v="Defense White Paper Appendix"/>
    <m/>
  </r>
  <r>
    <x v="0"/>
    <x v="10"/>
    <s v="America and Oceania"/>
    <s v="Strategic Partnership [战略伙伴关系]"/>
    <s v="None"/>
    <x v="5"/>
    <x v="54"/>
    <x v="18"/>
    <n v="12"/>
    <x v="0"/>
    <m/>
    <m/>
    <m/>
    <m/>
    <x v="0"/>
    <m/>
    <x v="0"/>
    <m/>
    <x v="0"/>
    <m/>
    <x v="0"/>
    <s v="NETF"/>
    <m/>
    <m/>
    <s v="http://www.globaltimes.cn/content/489653.shtml"/>
    <m/>
  </r>
  <r>
    <x v="1"/>
    <x v="1"/>
    <s v="Asia"/>
    <s v="Strategic Cooperative Partnership [战略合作伙伴关系]"/>
    <s v="Bilateral Defense Treaty"/>
    <x v="0"/>
    <x v="11"/>
    <x v="18"/>
    <n v="12"/>
    <x v="3"/>
    <s v="Liang Guanglie"/>
    <m/>
    <s v="Defense Minister; CMC Member"/>
    <n v="8"/>
    <x v="2"/>
    <s v="COGS"/>
    <x v="0"/>
    <m/>
    <x v="0"/>
    <m/>
    <x v="1"/>
    <m/>
    <m/>
    <m/>
    <s v="Defense White Paper Appendix"/>
    <m/>
  </r>
  <r>
    <x v="1"/>
    <x v="8"/>
    <s v="Europe and Central Asia"/>
    <s v="No Specific Relationship"/>
    <s v="NATO"/>
    <x v="3"/>
    <x v="59"/>
    <x v="18"/>
    <n v="12"/>
    <x v="3"/>
    <s v="Xu Caihou"/>
    <m/>
    <s v="CMC Vice Chairman"/>
    <n v="10"/>
    <x v="2"/>
    <s v="Defense Minister"/>
    <x v="0"/>
    <m/>
    <x v="0"/>
    <m/>
    <x v="1"/>
    <m/>
    <m/>
    <m/>
    <s v="Defense White Paper Appendix"/>
    <m/>
  </r>
  <r>
    <x v="1"/>
    <x v="8"/>
    <s v="Europe and Central Asia"/>
    <s v="Comprehensive Friendly Cooperative Partnership [全面友好合作伙伴关系]"/>
    <s v="NATO"/>
    <x v="3"/>
    <x v="33"/>
    <x v="18"/>
    <n v="12"/>
    <x v="3"/>
    <s v="Ma Xiaotian"/>
    <m/>
    <s v="GSD DCGS"/>
    <n v="6"/>
    <x v="2"/>
    <s v="Head of Department of International Military Cooperation, Ministry of Defense"/>
    <x v="0"/>
    <m/>
    <x v="0"/>
    <m/>
    <x v="1"/>
    <m/>
    <m/>
    <m/>
    <s v="Defense White Paper Appendix"/>
    <m/>
  </r>
  <r>
    <x v="0"/>
    <x v="1"/>
    <s v="Asia"/>
    <s v="No Specific Relationship"/>
    <s v="None"/>
    <x v="0"/>
    <x v="39"/>
    <x v="18"/>
    <n v="12"/>
    <x v="0"/>
    <m/>
    <m/>
    <m/>
    <m/>
    <x v="0"/>
    <m/>
    <x v="0"/>
    <m/>
    <x v="0"/>
    <m/>
    <x v="2"/>
    <s v="ETF-03"/>
    <s v="East Sea Fleet"/>
    <s v="FFG529 Zhoushan, FFG530 Xuzhou, AOR886 Qiandao Hu"/>
    <m/>
    <m/>
  </r>
  <r>
    <x v="0"/>
    <x v="1"/>
    <s v="Asia"/>
    <s v="No Specific Relationship"/>
    <s v="None"/>
    <x v="0"/>
    <x v="39"/>
    <x v="18"/>
    <n v="12"/>
    <x v="0"/>
    <m/>
    <m/>
    <m/>
    <m/>
    <x v="0"/>
    <m/>
    <x v="0"/>
    <m/>
    <x v="0"/>
    <m/>
    <x v="2"/>
    <s v="ETF-03"/>
    <s v="East Sea Fleet"/>
    <s v="Zhoushan 529 FFG, Xuzhou 530 FFG, Qiandaohu 886"/>
    <s v="Erickson, Six Years at Sea…, p.81"/>
    <m/>
  </r>
  <r>
    <x v="1"/>
    <x v="8"/>
    <s v="Europe and Central Asia"/>
    <s v="No Specific Relationship"/>
    <s v="NATO"/>
    <x v="3"/>
    <x v="108"/>
    <x v="19"/>
    <n v="1"/>
    <x v="3"/>
    <s v="Liang Guanglie"/>
    <m/>
    <s v="Defense Minister; CMC Member"/>
    <n v="8"/>
    <x v="2"/>
    <s v="Minister of Defense and Chief of Defense Staff of the Armed Forces"/>
    <x v="0"/>
    <m/>
    <x v="0"/>
    <m/>
    <x v="1"/>
    <m/>
    <m/>
    <m/>
    <s v="Defense White Paper Appendix"/>
    <m/>
  </r>
  <r>
    <x v="0"/>
    <x v="9"/>
    <s v="West Asia and Africa"/>
    <s v="No Specific Relationship"/>
    <s v="None"/>
    <x v="1"/>
    <x v="119"/>
    <x v="19"/>
    <n v="1"/>
    <x v="9"/>
    <m/>
    <m/>
    <m/>
    <m/>
    <x v="0"/>
    <m/>
    <x v="0"/>
    <m/>
    <x v="0"/>
    <m/>
    <x v="2"/>
    <s v="ETF-04"/>
    <s v="East Sea Fleet"/>
    <s v="FFG525 Ma'anshan, FFG526 Wenzhou, AOR886 Qiandao Hu"/>
    <m/>
    <m/>
  </r>
  <r>
    <x v="1"/>
    <x v="0"/>
    <s v="Asia"/>
    <s v="Strategic Partnership for Peace and Prosperity [战略伙伴关系]"/>
    <s v="None"/>
    <x v="0"/>
    <x v="6"/>
    <x v="19"/>
    <n v="1"/>
    <x v="3"/>
    <s v="Liang Guanglie"/>
    <m/>
    <s v="Defense Minister; CMC Member"/>
    <n v="8"/>
    <x v="2"/>
    <s v="Defense Secretary"/>
    <x v="0"/>
    <m/>
    <x v="0"/>
    <m/>
    <x v="1"/>
    <m/>
    <m/>
    <m/>
    <s v="Defense White Paper Appendix"/>
    <m/>
  </r>
  <r>
    <x v="1"/>
    <x v="8"/>
    <s v="Europe and Central Asia"/>
    <s v="Comprehensive Strategic Partnership [全面战略伙伴关系]"/>
    <s v="NATO"/>
    <x v="3"/>
    <x v="20"/>
    <x v="19"/>
    <n v="1"/>
    <x v="3"/>
    <s v="Guo Boxiong"/>
    <m/>
    <s v="CMC Vice Chairman"/>
    <n v="10"/>
    <x v="2"/>
    <s v="Secretary General of Defense and National Armaments Director"/>
    <x v="0"/>
    <m/>
    <x v="0"/>
    <m/>
    <x v="1"/>
    <m/>
    <m/>
    <m/>
    <s v="Defense White Paper Appendix"/>
    <m/>
  </r>
  <r>
    <x v="0"/>
    <x v="9"/>
    <s v="West Asia and Africa"/>
    <s v="No Specific Relationship"/>
    <s v="None"/>
    <x v="1"/>
    <x v="147"/>
    <x v="19"/>
    <n v="1"/>
    <x v="9"/>
    <m/>
    <m/>
    <m/>
    <m/>
    <x v="0"/>
    <m/>
    <x v="0"/>
    <m/>
    <x v="0"/>
    <m/>
    <x v="2"/>
    <s v="ETF-04"/>
    <s v="East Sea Fleet"/>
    <s v="FFG525 Ma'anshan, FFG526 Wenzhou, AOR886 Qiandao Hu"/>
    <m/>
    <m/>
  </r>
  <r>
    <x v="1"/>
    <x v="0"/>
    <s v="Asia"/>
    <s v="Strategic Partnership [战略伙伴关系]"/>
    <s v="Major Non-NATO Ally"/>
    <x v="1"/>
    <x v="2"/>
    <x v="19"/>
    <n v="1"/>
    <x v="4"/>
    <s v="Ma Xiaotian"/>
    <m/>
    <s v="GSD DCGS"/>
    <n v="6"/>
    <x v="1"/>
    <m/>
    <x v="0"/>
    <m/>
    <x v="0"/>
    <m/>
    <x v="1"/>
    <m/>
    <m/>
    <m/>
    <s v="Defense White Paper Appendix"/>
    <m/>
  </r>
  <r>
    <x v="1"/>
    <x v="8"/>
    <s v="Europe and Central Asia"/>
    <s v="Comprehensive Friendly Cooperative Partnership [全面友好合作伙伴关系]"/>
    <s v="NATO"/>
    <x v="3"/>
    <x v="33"/>
    <x v="19"/>
    <n v="1"/>
    <x v="4"/>
    <s v="Ma Xiaotian"/>
    <m/>
    <s v="GSD DCGS"/>
    <n v="6"/>
    <x v="1"/>
    <m/>
    <x v="0"/>
    <m/>
    <x v="0"/>
    <m/>
    <x v="1"/>
    <m/>
    <m/>
    <m/>
    <s v="Defense White Paper Appendix"/>
    <m/>
  </r>
  <r>
    <x v="1"/>
    <x v="1"/>
    <s v="Asia"/>
    <s v="No Specific Relationship"/>
    <s v="None"/>
    <x v="0"/>
    <x v="39"/>
    <x v="19"/>
    <n v="1"/>
    <x v="3"/>
    <s v="Liang Guanglie"/>
    <m/>
    <s v="Defense Minister; CMC Member"/>
    <n v="8"/>
    <x v="2"/>
    <s v="Chief of Army"/>
    <x v="0"/>
    <m/>
    <x v="0"/>
    <m/>
    <x v="1"/>
    <m/>
    <m/>
    <m/>
    <s v="Defense White Paper Appendix"/>
    <m/>
  </r>
  <r>
    <x v="0"/>
    <x v="0"/>
    <s v="Asia"/>
    <s v="Comprehensive Cooperative Partnership [全面合作伙伴关系]"/>
    <s v="None"/>
    <x v="0"/>
    <x v="3"/>
    <x v="19"/>
    <n v="1"/>
    <x v="0"/>
    <m/>
    <m/>
    <m/>
    <m/>
    <x v="0"/>
    <m/>
    <x v="0"/>
    <m/>
    <x v="0"/>
    <m/>
    <x v="2"/>
    <s v="ETF-04"/>
    <s v="East Sea Fleet"/>
    <s v="FFG525 Ma'anshan, FFG526 Wenzhou, AOR886 Qiandao Hu"/>
    <m/>
    <m/>
  </r>
  <r>
    <x v="1"/>
    <x v="8"/>
    <s v="Europe and Central Asia"/>
    <s v="Comprehensive Strategic Partnership [全面战略伙伴关系]"/>
    <s v="NATO"/>
    <x v="3"/>
    <x v="21"/>
    <x v="19"/>
    <n v="1"/>
    <x v="4"/>
    <s v="Ma Xiaotian"/>
    <m/>
    <s v="GSD DCGS"/>
    <n v="6"/>
    <x v="1"/>
    <m/>
    <x v="0"/>
    <m/>
    <x v="0"/>
    <m/>
    <x v="1"/>
    <m/>
    <m/>
    <m/>
    <s v="Defense White Paper Appendix"/>
    <m/>
  </r>
  <r>
    <x v="1"/>
    <x v="7"/>
    <s v="West Asia and Africa"/>
    <s v="Comprehensive Strategic Partnership [全面战略伙伴关系]"/>
    <s v="None"/>
    <x v="4"/>
    <x v="127"/>
    <x v="19"/>
    <n v="2"/>
    <x v="4"/>
    <s v="Ma Xiaotian"/>
    <m/>
    <s v="GSD DCGS"/>
    <n v="6"/>
    <x v="1"/>
    <m/>
    <x v="0"/>
    <m/>
    <x v="0"/>
    <m/>
    <x v="1"/>
    <m/>
    <m/>
    <m/>
    <s v="Defense White Paper Appendix"/>
    <m/>
  </r>
  <r>
    <x v="1"/>
    <x v="9"/>
    <s v="West Asia and Africa"/>
    <s v="Strategic Cooperative Partnership [战略合作伙伴关系]"/>
    <s v="Major Non-NATO Ally"/>
    <x v="1"/>
    <x v="24"/>
    <x v="19"/>
    <n v="2"/>
    <x v="4"/>
    <s v="Ma Xiaotian"/>
    <m/>
    <s v="GSD DCGS"/>
    <n v="6"/>
    <x v="1"/>
    <m/>
    <x v="0"/>
    <m/>
    <x v="0"/>
    <m/>
    <x v="1"/>
    <m/>
    <m/>
    <m/>
    <s v="Defense White Paper Appendix"/>
    <m/>
  </r>
  <r>
    <x v="1"/>
    <x v="4"/>
    <s v="Asia"/>
    <s v="Mutually Beneficial Strategic Relationship [战略互惠关系]"/>
    <s v="Bilateral Defense Treaty"/>
    <x v="0"/>
    <x v="83"/>
    <x v="19"/>
    <n v="2"/>
    <x v="3"/>
    <s v="Liang Guanglie"/>
    <m/>
    <s v="Defense Minister; CMC Member"/>
    <n v="8"/>
    <x v="2"/>
    <s v="Chief of Staff of Ground Self Defense Force (GSDF)"/>
    <x v="0"/>
    <m/>
    <x v="0"/>
    <m/>
    <x v="1"/>
    <m/>
    <m/>
    <m/>
    <s v="Defense White Paper Appendix"/>
    <m/>
  </r>
  <r>
    <x v="1"/>
    <x v="7"/>
    <s v="West Asia and Africa"/>
    <s v="No Specific Relationship"/>
    <s v="None"/>
    <x v="4"/>
    <x v="47"/>
    <x v="19"/>
    <n v="2"/>
    <x v="4"/>
    <s v="Ma Xiaotian"/>
    <m/>
    <s v="GSD DCGS"/>
    <n v="6"/>
    <x v="1"/>
    <m/>
    <x v="0"/>
    <m/>
    <x v="0"/>
    <m/>
    <x v="1"/>
    <m/>
    <m/>
    <m/>
    <s v="Defense White Paper Appendix"/>
    <m/>
  </r>
  <r>
    <x v="1"/>
    <x v="8"/>
    <s v="Europe and Central Asia"/>
    <s v="Comprehensive Strategic Partnership [全面战略伙伴关系]"/>
    <s v="NATO"/>
    <x v="3"/>
    <x v="21"/>
    <x v="19"/>
    <n v="2"/>
    <x v="4"/>
    <s v="Ma Xiaotian"/>
    <m/>
    <s v="GSD DCGS"/>
    <n v="6"/>
    <x v="1"/>
    <s v="Chief of Defense Staff"/>
    <x v="0"/>
    <m/>
    <x v="0"/>
    <m/>
    <x v="1"/>
    <m/>
    <m/>
    <m/>
    <s v="Defense White Paper Appendix"/>
    <m/>
  </r>
  <r>
    <x v="0"/>
    <x v="9"/>
    <s v="West Asia and Africa"/>
    <s v="No Specific Relationship"/>
    <s v="None"/>
    <x v="1"/>
    <x v="135"/>
    <x v="19"/>
    <n v="2"/>
    <x v="9"/>
    <m/>
    <m/>
    <m/>
    <m/>
    <x v="0"/>
    <m/>
    <x v="0"/>
    <m/>
    <x v="0"/>
    <m/>
    <x v="2"/>
    <s v="ETF-04"/>
    <s v="East Sea Fleet"/>
    <s v="FFG525 Ma'anshan, FFG526 Wenzhou, AOR886 Qiandao Hu"/>
    <m/>
    <m/>
  </r>
  <r>
    <x v="1"/>
    <x v="0"/>
    <s v="Europe and Central Asia"/>
    <s v="Comprehensive Cooperative Partnership [全面合作伙伴关系]"/>
    <s v="Major Non-NATO Ally"/>
    <x v="1"/>
    <x v="123"/>
    <x v="19"/>
    <n v="3"/>
    <x v="3"/>
    <s v="Liang Guanglie"/>
    <m/>
    <s v="Defense Minister; CMC Member"/>
    <n v="8"/>
    <x v="2"/>
    <s v="Defense Minister"/>
    <x v="0"/>
    <m/>
    <x v="0"/>
    <m/>
    <x v="1"/>
    <m/>
    <m/>
    <m/>
    <s v="Defense White Paper Appendix"/>
    <m/>
  </r>
  <r>
    <x v="1"/>
    <x v="9"/>
    <s v="West Asia and Africa"/>
    <s v="Strategic Cooperative Partnership [战略合作伙伴关系]"/>
    <s v="Major Non-NATO Ally"/>
    <x v="1"/>
    <x v="24"/>
    <x v="19"/>
    <n v="3"/>
    <x v="4"/>
    <s v="Ma Xiaotian"/>
    <m/>
    <s v="GSD DCGS"/>
    <n v="6"/>
    <x v="1"/>
    <s v="Defense Minister"/>
    <x v="0"/>
    <m/>
    <x v="0"/>
    <m/>
    <x v="1"/>
    <m/>
    <m/>
    <m/>
    <s v="Defense White Paper Appendix"/>
    <m/>
  </r>
  <r>
    <x v="1"/>
    <x v="7"/>
    <s v="West Asia and Africa"/>
    <s v="No Specific Relationship"/>
    <s v="None"/>
    <x v="4"/>
    <x v="87"/>
    <x v="19"/>
    <n v="3"/>
    <x v="3"/>
    <s v="Liang Guanglie"/>
    <m/>
    <s v="Defense Minister; CMC Member"/>
    <n v="8"/>
    <x v="2"/>
    <s v="Defense Minister"/>
    <x v="0"/>
    <m/>
    <x v="0"/>
    <m/>
    <x v="1"/>
    <m/>
    <m/>
    <m/>
    <s v="Defense White Paper Appendix"/>
    <m/>
  </r>
  <r>
    <x v="1"/>
    <x v="0"/>
    <s v="Asia"/>
    <s v="All-Round Strategic Partnership  [全面合作伙伴关系]"/>
    <s v="None"/>
    <x v="0"/>
    <x v="32"/>
    <x v="19"/>
    <n v="3"/>
    <x v="3"/>
    <s v="Liang Guanglie"/>
    <m/>
    <s v="Defense Minister; CMC Member"/>
    <n v="8"/>
    <x v="2"/>
    <s v="Defense Minister"/>
    <x v="0"/>
    <m/>
    <x v="0"/>
    <m/>
    <x v="1"/>
    <m/>
    <m/>
    <m/>
    <s v="Defense White Paper Appendix"/>
    <m/>
  </r>
  <r>
    <x v="0"/>
    <x v="0"/>
    <s v="Asia"/>
    <s v="Strategic Partnership [战略伙伴关系]"/>
    <s v="Major Non-NATO Ally"/>
    <x v="1"/>
    <x v="2"/>
    <x v="19"/>
    <n v="3"/>
    <x v="10"/>
    <m/>
    <m/>
    <m/>
    <m/>
    <x v="0"/>
    <m/>
    <x v="0"/>
    <m/>
    <x v="0"/>
    <m/>
    <x v="2"/>
    <s v="ETF-05"/>
    <s v="South Sea Fleet"/>
    <s v="DDG168 Guangzhou, FFG568 Hengyang, AOR887 Weishan Hu; uncertain, could also be ETF-4"/>
    <m/>
    <m/>
  </r>
  <r>
    <x v="2"/>
    <x v="0"/>
    <s v="Asia"/>
    <s v="Strategic Partnership [战略伙伴关系]"/>
    <s v="Major Non-NATO Ally"/>
    <x v="1"/>
    <x v="2"/>
    <x v="19"/>
    <n v="3"/>
    <x v="5"/>
    <m/>
    <m/>
    <m/>
    <m/>
    <x v="0"/>
    <m/>
    <x v="4"/>
    <s v="Unknown Karachi 2010"/>
    <x v="2"/>
    <s v=" 7-13 March 2010, anti-piracy ETF joint drills and friendly visit, Six Years p. 129"/>
    <x v="1"/>
    <m/>
    <m/>
    <m/>
    <s v="Defense White Paper Appendix"/>
    <m/>
  </r>
  <r>
    <x v="1"/>
    <x v="1"/>
    <s v="Asia"/>
    <s v="Strategic Partnership [战略伙伴关系]"/>
    <s v="Bilateral Defense Treaty"/>
    <x v="0"/>
    <x v="5"/>
    <x v="19"/>
    <n v="3"/>
    <x v="3"/>
    <s v="Liang Guanglie"/>
    <m/>
    <s v="Defense Minister; CMC Member"/>
    <n v="8"/>
    <x v="2"/>
    <s v="CO of National Defense Studies Institute"/>
    <x v="0"/>
    <m/>
    <x v="0"/>
    <m/>
    <x v="1"/>
    <m/>
    <m/>
    <m/>
    <s v="Defense White Paper Appendix"/>
    <m/>
  </r>
  <r>
    <x v="0"/>
    <x v="9"/>
    <s v="West Asia and Africa"/>
    <s v="No Specific Relationship"/>
    <s v="None"/>
    <x v="1"/>
    <x v="106"/>
    <x v="19"/>
    <n v="3"/>
    <x v="0"/>
    <m/>
    <m/>
    <m/>
    <m/>
    <x v="0"/>
    <m/>
    <x v="0"/>
    <m/>
    <x v="0"/>
    <m/>
    <x v="2"/>
    <s v="ETF-04"/>
    <s v="East Sea Fleet"/>
    <s v="FFG525 Ma'anshan, FFG526 Wenzhou, AOR886 Qiandao Hu"/>
    <m/>
    <m/>
  </r>
  <r>
    <x v="1"/>
    <x v="1"/>
    <s v="Asia"/>
    <s v="Comprehensive Strategic Cooperative Partnership [全面战略合作伙伴关系]"/>
    <s v="None"/>
    <x v="0"/>
    <x v="23"/>
    <x v="19"/>
    <n v="3"/>
    <x v="3"/>
    <s v="Chen Bingde"/>
    <m/>
    <s v="GSD Commander; CMC Member"/>
    <n v="8"/>
    <x v="2"/>
    <s v="Deputy Defense Minister"/>
    <x v="0"/>
    <m/>
    <x v="0"/>
    <m/>
    <x v="1"/>
    <m/>
    <m/>
    <m/>
    <s v="Defense White Paper Appendix"/>
    <m/>
  </r>
  <r>
    <x v="0"/>
    <x v="9"/>
    <s v="West Asia and Africa"/>
    <s v="No Specific Relationship"/>
    <s v="None"/>
    <x v="1"/>
    <x v="135"/>
    <x v="19"/>
    <n v="3"/>
    <x v="9"/>
    <m/>
    <m/>
    <m/>
    <m/>
    <x v="0"/>
    <m/>
    <x v="0"/>
    <m/>
    <x v="0"/>
    <m/>
    <x v="2"/>
    <s v="ETF-04"/>
    <s v="East Sea Fleet"/>
    <s v="FFG525 Ma'anshan, FFG526 Wenzhou, AOR886 Qiandao Hu; uncertain, could also be ETF-5"/>
    <m/>
    <m/>
  </r>
  <r>
    <x v="1"/>
    <x v="10"/>
    <s v="America and Oceania"/>
    <s v="Strategic Partnership [战略伙伴关系]"/>
    <s v="Major Non-NATO Ally"/>
    <x v="5"/>
    <x v="62"/>
    <x v="19"/>
    <n v="4"/>
    <x v="4"/>
    <s v="Ma Xiaotian"/>
    <m/>
    <s v="GSD DCGS"/>
    <n v="6"/>
    <x v="1"/>
    <m/>
    <x v="0"/>
    <m/>
    <x v="0"/>
    <m/>
    <x v="1"/>
    <m/>
    <m/>
    <m/>
    <s v="Defense White Paper Appendix"/>
    <m/>
  </r>
  <r>
    <x v="1"/>
    <x v="2"/>
    <s v="America and Oceania"/>
    <s v="Strategic Partnership [战略伙伴关系]"/>
    <s v="NATO"/>
    <x v="2"/>
    <x v="17"/>
    <x v="19"/>
    <n v="4"/>
    <x v="4"/>
    <s v="Ma Xiaotian"/>
    <m/>
    <s v="GSD DCGS"/>
    <n v="6"/>
    <x v="1"/>
    <m/>
    <x v="0"/>
    <m/>
    <x v="0"/>
    <m/>
    <x v="1"/>
    <m/>
    <m/>
    <m/>
    <s v="Defense White Paper Appendix"/>
    <m/>
  </r>
  <r>
    <x v="1"/>
    <x v="7"/>
    <s v="West Asia and Africa"/>
    <s v="No Specific Relationship"/>
    <s v="None"/>
    <x v="4"/>
    <x v="28"/>
    <x v="19"/>
    <n v="4"/>
    <x v="3"/>
    <s v="Liang Guanglie"/>
    <m/>
    <s v="Defense Minister; CMC Member"/>
    <n v="8"/>
    <x v="2"/>
    <s v="Minister of National Defense"/>
    <x v="0"/>
    <m/>
    <x v="0"/>
    <m/>
    <x v="1"/>
    <m/>
    <m/>
    <m/>
    <s v="Defense White Paper Appendix"/>
    <m/>
  </r>
  <r>
    <x v="1"/>
    <x v="10"/>
    <s v="America and Oceania"/>
    <s v="No Specific Relationship"/>
    <s v="None"/>
    <x v="5"/>
    <x v="49"/>
    <x v="19"/>
    <n v="4"/>
    <x v="3"/>
    <s v="Chen Bingde"/>
    <m/>
    <s v="GSD Commander; CMC Member"/>
    <n v="8"/>
    <x v="2"/>
    <s v="COGS"/>
    <x v="0"/>
    <m/>
    <x v="0"/>
    <m/>
    <x v="1"/>
    <m/>
    <m/>
    <m/>
    <s v="Defense White Paper Appendix"/>
    <m/>
  </r>
  <r>
    <x v="1"/>
    <x v="7"/>
    <s v="West Asia and Africa"/>
    <s v="No Specific Relationship"/>
    <s v="None"/>
    <x v="4"/>
    <x v="67"/>
    <x v="19"/>
    <n v="4"/>
    <x v="4"/>
    <s v="Ma Xiaotian"/>
    <m/>
    <s v="GSD DCGS"/>
    <n v="6"/>
    <x v="1"/>
    <m/>
    <x v="0"/>
    <m/>
    <x v="0"/>
    <m/>
    <x v="1"/>
    <m/>
    <m/>
    <m/>
    <s v="Defense White Paper Appendix"/>
    <m/>
  </r>
  <r>
    <x v="1"/>
    <x v="6"/>
    <s v="Europe and Central Asia"/>
    <s v="Strategic Partnership [战略伙伴关系]"/>
    <s v="None"/>
    <x v="1"/>
    <x v="30"/>
    <x v="19"/>
    <n v="4"/>
    <x v="4"/>
    <s v="Ma Xiaotian"/>
    <m/>
    <s v="GSD DCGS"/>
    <n v="6"/>
    <x v="1"/>
    <m/>
    <x v="0"/>
    <m/>
    <x v="0"/>
    <m/>
    <x v="1"/>
    <m/>
    <m/>
    <m/>
    <s v="Defense White Paper Appendix"/>
    <m/>
  </r>
  <r>
    <x v="1"/>
    <x v="1"/>
    <s v="Asia"/>
    <s v="Strategic Cooperative Partnership [战略合作伙伴关系]"/>
    <s v="None"/>
    <x v="0"/>
    <x v="10"/>
    <x v="19"/>
    <n v="4"/>
    <x v="4"/>
    <s v="Ma Xiaotian"/>
    <m/>
    <s v="GSD DCGS"/>
    <n v="6"/>
    <x v="1"/>
    <m/>
    <x v="0"/>
    <m/>
    <x v="0"/>
    <m/>
    <x v="1"/>
    <m/>
    <m/>
    <m/>
    <s v="Defense White Paper Appendix"/>
    <m/>
  </r>
  <r>
    <x v="1"/>
    <x v="7"/>
    <s v="West Asia and Africa"/>
    <s v="No Specific Relationship"/>
    <s v="None"/>
    <x v="4"/>
    <x v="84"/>
    <x v="19"/>
    <n v="4"/>
    <x v="4"/>
    <s v="Ma Xiaotian"/>
    <m/>
    <s v="GSD DCGS"/>
    <n v="6"/>
    <x v="1"/>
    <m/>
    <x v="0"/>
    <m/>
    <x v="0"/>
    <m/>
    <x v="1"/>
    <m/>
    <m/>
    <m/>
    <s v="Defense White Paper Appendix"/>
    <m/>
  </r>
  <r>
    <x v="0"/>
    <x v="9"/>
    <s v="West Asia and Africa"/>
    <s v="No Specific Relationship"/>
    <s v="None"/>
    <x v="1"/>
    <x v="147"/>
    <x v="19"/>
    <n v="4"/>
    <x v="9"/>
    <m/>
    <m/>
    <m/>
    <m/>
    <x v="0"/>
    <m/>
    <x v="0"/>
    <m/>
    <x v="0"/>
    <m/>
    <x v="2"/>
    <s v="ETF-04"/>
    <s v="East Sea Fleet"/>
    <s v="FFG525 Ma'anshan, FFG526 Wenzhou, AOR886 Qiandao Hu; uncertain, could also be ETF-5"/>
    <m/>
    <m/>
  </r>
  <r>
    <x v="1"/>
    <x v="10"/>
    <s v="America and Oceania"/>
    <s v="Strategic Partnership [战略伙伴关系]"/>
    <s v="None"/>
    <x v="5"/>
    <x v="54"/>
    <x v="19"/>
    <n v="4"/>
    <x v="3"/>
    <s v="Liang Guanglie"/>
    <m/>
    <s v="Defense Minister; CMC Member"/>
    <n v="8"/>
    <x v="2"/>
    <s v="Minister of Defense"/>
    <x v="0"/>
    <m/>
    <x v="0"/>
    <m/>
    <x v="1"/>
    <m/>
    <m/>
    <m/>
    <s v="Defense White Paper Appendix"/>
    <m/>
  </r>
  <r>
    <x v="0"/>
    <x v="1"/>
    <s v="Asia"/>
    <s v="Strategic Cooperative Partnership [战略合作伙伴关系]"/>
    <s v="Bilateral Defense Treaty"/>
    <x v="0"/>
    <x v="11"/>
    <x v="19"/>
    <n v="4"/>
    <x v="0"/>
    <m/>
    <m/>
    <m/>
    <m/>
    <x v="0"/>
    <m/>
    <x v="0"/>
    <m/>
    <x v="0"/>
    <m/>
    <x v="2"/>
    <s v="ETF-04"/>
    <s v="East Sea Fleet"/>
    <s v="FFG525 Ma'anshan, FFG526 Wenzhou, AOR886 Qiandao Hu"/>
    <m/>
    <m/>
  </r>
  <r>
    <x v="1"/>
    <x v="1"/>
    <s v="Asia"/>
    <s v="No Specific Relationship"/>
    <s v="None"/>
    <x v="0"/>
    <x v="39"/>
    <x v="19"/>
    <n v="4"/>
    <x v="3"/>
    <s v="Chen Bingde"/>
    <m/>
    <s v="GSD Commander; CMC Member"/>
    <n v="8"/>
    <x v="2"/>
    <s v="Deputy Prime Minister and Defense Minister"/>
    <x v="0"/>
    <m/>
    <x v="0"/>
    <m/>
    <x v="1"/>
    <m/>
    <m/>
    <m/>
    <s v="Defense White Paper Appendix"/>
    <m/>
  </r>
  <r>
    <x v="1"/>
    <x v="7"/>
    <s v="West Asia and Africa"/>
    <s v="No Specific Relationship"/>
    <s v="None"/>
    <x v="4"/>
    <x v="97"/>
    <x v="19"/>
    <n v="4"/>
    <x v="3"/>
    <s v="Liang Guanglie"/>
    <m/>
    <s v="Defense Minister; CMC Member"/>
    <n v="8"/>
    <x v="2"/>
    <s v="Defense Minister"/>
    <x v="0"/>
    <m/>
    <x v="0"/>
    <m/>
    <x v="1"/>
    <m/>
    <m/>
    <m/>
    <s v="Defense White Paper Appendix"/>
    <m/>
  </r>
  <r>
    <x v="1"/>
    <x v="10"/>
    <s v="America and Oceania"/>
    <s v="Strategic Development Partnership [战略发展伙伴关系]"/>
    <s v="None"/>
    <x v="5"/>
    <x v="56"/>
    <x v="19"/>
    <n v="4"/>
    <x v="4"/>
    <s v="Fang Fenghui"/>
    <m/>
    <s v="Beijing MR Commander"/>
    <n v="6"/>
    <x v="1"/>
    <m/>
    <x v="0"/>
    <m/>
    <x v="0"/>
    <m/>
    <x v="1"/>
    <m/>
    <m/>
    <m/>
    <s v="Defense White Paper Appendix"/>
    <m/>
  </r>
  <r>
    <x v="1"/>
    <x v="1"/>
    <s v="Asia"/>
    <s v="Comprehensive Strategic Cooperative Partnership [全面战略合作伙伴关系]"/>
    <s v="None"/>
    <x v="0"/>
    <x v="23"/>
    <x v="19"/>
    <n v="4"/>
    <x v="3"/>
    <s v="Liang Guanglie"/>
    <m/>
    <s v="Defense Minister; CMC Member"/>
    <n v="8"/>
    <x v="2"/>
    <s v="Defense Minister"/>
    <x v="0"/>
    <m/>
    <x v="0"/>
    <m/>
    <x v="1"/>
    <m/>
    <m/>
    <m/>
    <s v="Defense White Paper Appendix"/>
    <m/>
  </r>
  <r>
    <x v="1"/>
    <x v="7"/>
    <s v="West Asia and Africa"/>
    <s v="Strategic Partnership [战略伙伴关系]"/>
    <s v="None"/>
    <x v="4"/>
    <x v="105"/>
    <x v="19"/>
    <n v="5"/>
    <x v="4"/>
    <s v="Chen Bingde"/>
    <m/>
    <s v="GSD Commander; CMC Member"/>
    <n v="8"/>
    <x v="1"/>
    <m/>
    <x v="0"/>
    <m/>
    <x v="0"/>
    <m/>
    <x v="1"/>
    <m/>
    <m/>
    <m/>
    <s v="Defense White Paper Appendix"/>
    <m/>
  </r>
  <r>
    <x v="1"/>
    <x v="5"/>
    <s v="America and Oceania"/>
    <s v="No Specific Relationship"/>
    <s v="ANZUS Treaty"/>
    <x v="0"/>
    <x v="12"/>
    <x v="19"/>
    <n v="5"/>
    <x v="4"/>
    <s v="Guo Boxiong"/>
    <m/>
    <s v="CMC Vice Chairman"/>
    <n v="10"/>
    <x v="1"/>
    <s v="Chief of ADF Air Force"/>
    <x v="0"/>
    <m/>
    <x v="0"/>
    <m/>
    <x v="1"/>
    <m/>
    <m/>
    <m/>
    <s v="Defense White Paper Appendix"/>
    <m/>
  </r>
  <r>
    <x v="1"/>
    <x v="8"/>
    <s v="Europe and Central Asia"/>
    <s v="Strategic Partnership [战略伙伴关系]"/>
    <s v="NATO"/>
    <x v="3"/>
    <x v="34"/>
    <x v="19"/>
    <n v="5"/>
    <x v="3"/>
    <s v="Xu Caihou"/>
    <m/>
    <s v="CMC Vice Chairman"/>
    <n v="10"/>
    <x v="2"/>
    <s v="Defense Minister"/>
    <x v="0"/>
    <m/>
    <x v="0"/>
    <m/>
    <x v="1"/>
    <m/>
    <m/>
    <m/>
    <s v="Defense White Paper Appendix"/>
    <m/>
  </r>
  <r>
    <x v="1"/>
    <x v="8"/>
    <s v="Europe and Central Asia"/>
    <s v="No Specific Relationship"/>
    <s v="None"/>
    <x v="3"/>
    <x v="79"/>
    <x v="19"/>
    <n v="5"/>
    <x v="4"/>
    <s v="Du Hengyan"/>
    <m/>
    <s v="Jinan MR Political Commissar"/>
    <n v="6"/>
    <x v="1"/>
    <m/>
    <x v="0"/>
    <m/>
    <x v="0"/>
    <m/>
    <x v="1"/>
    <m/>
    <m/>
    <m/>
    <s v="Defense White Paper Appendix"/>
    <m/>
  </r>
  <r>
    <x v="1"/>
    <x v="1"/>
    <s v="Asia"/>
    <s v="Comprehensive Strategic Cooperative Partnership [全面战略合作伙伴关系]"/>
    <s v="None"/>
    <x v="0"/>
    <x v="94"/>
    <x v="19"/>
    <n v="5"/>
    <x v="3"/>
    <s v="Liang Guanglie"/>
    <m/>
    <s v="Defense Minister; CMC Member"/>
    <n v="8"/>
    <x v="2"/>
    <s v="CinC Armed Forces"/>
    <x v="0"/>
    <m/>
    <x v="0"/>
    <m/>
    <x v="1"/>
    <m/>
    <m/>
    <m/>
    <s v="Defense White Paper Appendix"/>
    <m/>
  </r>
  <r>
    <x v="0"/>
    <x v="9"/>
    <s v="West Asia and Africa"/>
    <s v="No Specific Relationship"/>
    <s v="None"/>
    <x v="1"/>
    <x v="119"/>
    <x v="19"/>
    <n v="5"/>
    <x v="9"/>
    <m/>
    <m/>
    <m/>
    <m/>
    <x v="0"/>
    <m/>
    <x v="0"/>
    <m/>
    <x v="0"/>
    <m/>
    <x v="2"/>
    <s v="ETF-05"/>
    <s v="South Sea Fleet"/>
    <s v="DDG168 Guangzhou, FFG568 Hengyang, AOR887 Weishan Hu"/>
    <m/>
    <m/>
  </r>
  <r>
    <x v="1"/>
    <x v="8"/>
    <s v="Europe and Central Asia"/>
    <s v="No Specific Relationship"/>
    <s v="None"/>
    <x v="3"/>
    <x v="81"/>
    <x v="19"/>
    <n v="5"/>
    <x v="4"/>
    <s v="Du Hengyan"/>
    <m/>
    <s v="Jinan MR Political Commissar"/>
    <n v="6"/>
    <x v="1"/>
    <m/>
    <x v="0"/>
    <m/>
    <x v="0"/>
    <m/>
    <x v="1"/>
    <m/>
    <m/>
    <m/>
    <s v="Defense White Paper Appendix"/>
    <m/>
  </r>
  <r>
    <x v="1"/>
    <x v="8"/>
    <s v="Europe and Central Asia"/>
    <s v="Comprehensive Strategic Partnership [全面战略伙伴关系]"/>
    <s v="NATO"/>
    <x v="3"/>
    <x v="22"/>
    <x v="19"/>
    <n v="5"/>
    <x v="4"/>
    <s v="Ma Xiaotian"/>
    <m/>
    <s v="GSD DCGS"/>
    <n v="6"/>
    <x v="1"/>
    <m/>
    <x v="0"/>
    <m/>
    <x v="0"/>
    <m/>
    <x v="1"/>
    <m/>
    <m/>
    <m/>
    <s v="Defense White Paper Appendix"/>
    <m/>
  </r>
  <r>
    <x v="1"/>
    <x v="8"/>
    <s v="Europe and Central Asia"/>
    <s v="Strategic Partnership [战略伙伴关系]"/>
    <s v="NATO"/>
    <x v="3"/>
    <x v="18"/>
    <x v="19"/>
    <n v="5"/>
    <x v="4"/>
    <s v="Liu Yuan"/>
    <m/>
    <s v="AMS Political Commissar"/>
    <n v="6"/>
    <x v="1"/>
    <m/>
    <x v="0"/>
    <m/>
    <x v="0"/>
    <m/>
    <x v="1"/>
    <m/>
    <m/>
    <m/>
    <s v="Defense White Paper Appendix"/>
    <m/>
  </r>
  <r>
    <x v="1"/>
    <x v="8"/>
    <s v="Europe and Central Asia"/>
    <s v="Comprehensive Strategic Partnership [全面战略伙伴关系]"/>
    <s v="NATO"/>
    <x v="3"/>
    <x v="29"/>
    <x v="19"/>
    <n v="5"/>
    <x v="4"/>
    <s v="Zhang Haiyang"/>
    <m/>
    <s v="PLASAF Political Commissar"/>
    <n v="6"/>
    <x v="1"/>
    <m/>
    <x v="0"/>
    <m/>
    <x v="0"/>
    <m/>
    <x v="1"/>
    <m/>
    <m/>
    <m/>
    <s v="Defense White Paper Appendix"/>
    <m/>
  </r>
  <r>
    <x v="1"/>
    <x v="1"/>
    <s v="Asia"/>
    <s v="Strategic Partnership [战略伙伴关系]"/>
    <s v="None"/>
    <x v="0"/>
    <x v="8"/>
    <x v="19"/>
    <n v="5"/>
    <x v="4"/>
    <s v="Guo Boxiong"/>
    <m/>
    <s v="CMC Vice Chairman"/>
    <n v="10"/>
    <x v="1"/>
    <m/>
    <x v="0"/>
    <m/>
    <x v="0"/>
    <m/>
    <x v="1"/>
    <m/>
    <m/>
    <m/>
    <s v="Defense White Paper Appendix"/>
    <m/>
  </r>
  <r>
    <x v="1"/>
    <x v="8"/>
    <s v="Europe and Central Asia"/>
    <s v="Comprehensive Strategic Partnership [全面战略伙伴关系]"/>
    <s v="NATO"/>
    <x v="3"/>
    <x v="20"/>
    <x v="19"/>
    <n v="5"/>
    <x v="4"/>
    <s v="Chang Wanquan"/>
    <m/>
    <s v="GAD Director; CMC Member"/>
    <n v="8"/>
    <x v="1"/>
    <m/>
    <x v="0"/>
    <m/>
    <x v="0"/>
    <m/>
    <x v="1"/>
    <m/>
    <m/>
    <m/>
    <s v="Defense White Paper Appendix"/>
    <m/>
  </r>
  <r>
    <x v="1"/>
    <x v="6"/>
    <s v="Europe and Central Asia"/>
    <s v="Strategic Partnership [战略伙伴关系]"/>
    <s v="None"/>
    <x v="1"/>
    <x v="30"/>
    <x v="19"/>
    <n v="5"/>
    <x v="4"/>
    <s v="Liang Guanglie"/>
    <m/>
    <s v="Defense Minister; CMC Member"/>
    <n v="8"/>
    <x v="1"/>
    <m/>
    <x v="0"/>
    <m/>
    <x v="0"/>
    <m/>
    <x v="1"/>
    <m/>
    <m/>
    <m/>
    <s v="Defense White Paper Appendix"/>
    <m/>
  </r>
  <r>
    <x v="1"/>
    <x v="1"/>
    <s v="Asia"/>
    <s v="Comprehensive Strategic Cooperative Partnership [全面战略合作伙伴关系]"/>
    <s v="None"/>
    <x v="0"/>
    <x v="52"/>
    <x v="19"/>
    <n v="5"/>
    <x v="4"/>
    <s v="Ma Xiaotian"/>
    <m/>
    <s v="GSD DCGS"/>
    <n v="6"/>
    <x v="1"/>
    <m/>
    <x v="0"/>
    <m/>
    <x v="0"/>
    <m/>
    <x v="1"/>
    <m/>
    <m/>
    <m/>
    <s v="Defense White Paper Appendix"/>
    <m/>
  </r>
  <r>
    <x v="1"/>
    <x v="9"/>
    <s v="West Asia and Africa"/>
    <s v="No Specific Relationship"/>
    <s v="None"/>
    <x v="1"/>
    <x v="110"/>
    <x v="19"/>
    <n v="5"/>
    <x v="3"/>
    <s v="Chen Bingde"/>
    <m/>
    <s v="GSD Commander; CMC Member"/>
    <n v="8"/>
    <x v="2"/>
    <s v="Army Chief of Staff"/>
    <x v="0"/>
    <m/>
    <x v="0"/>
    <m/>
    <x v="1"/>
    <m/>
    <m/>
    <m/>
    <s v="Defense White Paper Appendix"/>
    <m/>
  </r>
  <r>
    <x v="1"/>
    <x v="8"/>
    <s v="Europe and Central Asia"/>
    <s v="No Specific Relationship"/>
    <s v="None"/>
    <x v="3"/>
    <x v="99"/>
    <x v="19"/>
    <n v="5"/>
    <x v="3"/>
    <s v="Xu Caihou"/>
    <m/>
    <s v="CMC Vice Chairman"/>
    <n v="10"/>
    <x v="2"/>
    <s v="Defense Minister"/>
    <x v="0"/>
    <m/>
    <x v="0"/>
    <m/>
    <x v="1"/>
    <m/>
    <m/>
    <m/>
    <s v="Defense White Paper Appendix"/>
    <m/>
  </r>
  <r>
    <x v="1"/>
    <x v="7"/>
    <s v="West Asia and Africa"/>
    <s v="No Specific Relationship"/>
    <s v="None"/>
    <x v="4"/>
    <x v="69"/>
    <x v="19"/>
    <n v="5"/>
    <x v="4"/>
    <s v="Chen Bingde"/>
    <m/>
    <s v="GSD Commander; CMC Member"/>
    <n v="8"/>
    <x v="1"/>
    <m/>
    <x v="0"/>
    <m/>
    <x v="0"/>
    <m/>
    <x v="1"/>
    <m/>
    <m/>
    <m/>
    <s v="Defense White Paper Appendix"/>
    <m/>
  </r>
  <r>
    <x v="1"/>
    <x v="5"/>
    <s v="America and Oceania"/>
    <s v="No Specific Relationship"/>
    <s v="ANZUS Treaty"/>
    <x v="0"/>
    <x v="13"/>
    <x v="19"/>
    <n v="5"/>
    <x v="4"/>
    <s v="Guo Boxiong"/>
    <m/>
    <s v="CMC Vice Chairman"/>
    <n v="10"/>
    <x v="1"/>
    <m/>
    <x v="0"/>
    <m/>
    <x v="0"/>
    <m/>
    <x v="1"/>
    <m/>
    <m/>
    <m/>
    <s v="Defense White Paper Appendix"/>
    <m/>
  </r>
  <r>
    <x v="1"/>
    <x v="0"/>
    <s v="Asia"/>
    <s v="Strategic Partnership [战略伙伴关系]"/>
    <s v="Major Non-NATO Ally"/>
    <x v="1"/>
    <x v="2"/>
    <x v="19"/>
    <n v="5"/>
    <x v="4"/>
    <s v="Liang Guanglie"/>
    <m/>
    <s v="Defense Minister; CMC Member"/>
    <n v="8"/>
    <x v="1"/>
    <s v="Defense Minister"/>
    <x v="0"/>
    <m/>
    <x v="0"/>
    <m/>
    <x v="1"/>
    <m/>
    <m/>
    <m/>
    <s v="Defense White Paper Appendix"/>
    <m/>
  </r>
  <r>
    <x v="1"/>
    <x v="8"/>
    <s v="Europe and Central Asia"/>
    <s v="No Specific Relationship"/>
    <s v="NATO"/>
    <x v="3"/>
    <x v="40"/>
    <x v="19"/>
    <n v="5"/>
    <x v="4"/>
    <s v="Zhang Haiyang"/>
    <m/>
    <s v="PLASAF Political Commissar"/>
    <n v="6"/>
    <x v="1"/>
    <m/>
    <x v="0"/>
    <m/>
    <x v="0"/>
    <m/>
    <x v="1"/>
    <m/>
    <m/>
    <m/>
    <s v="Defense White Paper Appendix"/>
    <m/>
  </r>
  <r>
    <x v="1"/>
    <x v="8"/>
    <s v="Europe and Central Asia"/>
    <s v="No Specific Relationship"/>
    <s v="None"/>
    <x v="3"/>
    <x v="92"/>
    <x v="19"/>
    <n v="5"/>
    <x v="4"/>
    <s v="Liu Yuan"/>
    <m/>
    <s v="AMS Political Commissar"/>
    <n v="6"/>
    <x v="1"/>
    <m/>
    <x v="0"/>
    <m/>
    <x v="0"/>
    <m/>
    <x v="1"/>
    <m/>
    <m/>
    <m/>
    <s v="Defense White Paper Appendix"/>
    <m/>
  </r>
  <r>
    <x v="1"/>
    <x v="7"/>
    <s v="West Asia and Africa"/>
    <s v="No Specific Relationship"/>
    <s v="None"/>
    <x v="4"/>
    <x v="16"/>
    <x v="19"/>
    <n v="5"/>
    <x v="4"/>
    <s v="Chen Bingde"/>
    <m/>
    <s v="GSD Commander; CMC Member"/>
    <n v="8"/>
    <x v="1"/>
    <m/>
    <x v="0"/>
    <m/>
    <x v="0"/>
    <m/>
    <x v="1"/>
    <m/>
    <m/>
    <m/>
    <s v="Defense White Paper Appendix"/>
    <m/>
  </r>
  <r>
    <x v="1"/>
    <x v="8"/>
    <s v="Europe and Central Asia"/>
    <s v="Strategic Cooperative Partnership [战略合作伙伴关系]"/>
    <s v="NATO"/>
    <x v="3"/>
    <x v="38"/>
    <x v="19"/>
    <n v="5"/>
    <x v="3"/>
    <s v="Guo Boxiong"/>
    <m/>
    <s v="CMC Vice Chairman"/>
    <n v="10"/>
    <x v="2"/>
    <s v="DCOGS"/>
    <x v="0"/>
    <m/>
    <x v="0"/>
    <m/>
    <x v="1"/>
    <m/>
    <m/>
    <m/>
    <s v="Defense White Paper Appendix"/>
    <m/>
  </r>
  <r>
    <x v="1"/>
    <x v="6"/>
    <s v="Europe and Central Asia"/>
    <s v="No Specific Relationship"/>
    <s v="None"/>
    <x v="1"/>
    <x v="55"/>
    <x v="19"/>
    <n v="5"/>
    <x v="4"/>
    <s v="Liang Guanglie"/>
    <m/>
    <s v="Defense Minister; CMC Member"/>
    <n v="8"/>
    <x v="1"/>
    <s v="Defense Minister"/>
    <x v="0"/>
    <m/>
    <x v="0"/>
    <m/>
    <x v="1"/>
    <m/>
    <m/>
    <m/>
    <s v="Defense White Paper Appendix"/>
    <m/>
  </r>
  <r>
    <x v="1"/>
    <x v="2"/>
    <s v="America and Oceania"/>
    <s v="No Specific Relationship"/>
    <s v="N/A"/>
    <x v="2"/>
    <x v="4"/>
    <x v="19"/>
    <n v="5"/>
    <x v="3"/>
    <s v="Xu Caihou"/>
    <m/>
    <s v="CMC Vice Chairman"/>
    <n v="10"/>
    <x v="2"/>
    <s v="Former Deputy Chairman JCS and former USAF Chief of Staff"/>
    <x v="0"/>
    <m/>
    <x v="0"/>
    <m/>
    <x v="1"/>
    <m/>
    <m/>
    <m/>
    <s v="Defense White Paper Appendix"/>
    <m/>
  </r>
  <r>
    <x v="1"/>
    <x v="1"/>
    <s v="Asia"/>
    <s v="Comprehensive Strategic Cooperative Partnership [全面战略合作伙伴关系]"/>
    <s v="None"/>
    <x v="0"/>
    <x v="23"/>
    <x v="19"/>
    <n v="5"/>
    <x v="4"/>
    <s v="Li Jinai"/>
    <m/>
    <s v="GPD Director; CMC Member"/>
    <n v="8"/>
    <x v="1"/>
    <m/>
    <x v="0"/>
    <m/>
    <x v="0"/>
    <m/>
    <x v="1"/>
    <m/>
    <m/>
    <m/>
    <s v="Defense White Paper Appendix"/>
    <m/>
  </r>
  <r>
    <x v="0"/>
    <x v="9"/>
    <s v="West Asia and Africa"/>
    <s v="No Specific Relationship"/>
    <s v="None"/>
    <x v="1"/>
    <x v="135"/>
    <x v="19"/>
    <n v="5"/>
    <x v="9"/>
    <m/>
    <m/>
    <m/>
    <m/>
    <x v="0"/>
    <m/>
    <x v="0"/>
    <m/>
    <x v="0"/>
    <m/>
    <x v="2"/>
    <s v="ETF-05"/>
    <s v="South Sea Fleet"/>
    <s v="DDG168 Guangzhou, FFG568 Hengyang, AOR887 Weishan Hu"/>
    <m/>
    <m/>
  </r>
  <r>
    <x v="1"/>
    <x v="1"/>
    <s v="Asia"/>
    <s v="Comprehensive Strategic Cooperative Partnership [全面战略合作伙伴关系]"/>
    <s v="None"/>
    <x v="0"/>
    <x v="94"/>
    <x v="19"/>
    <n v="6"/>
    <x v="4"/>
    <s v="Chi Wanchun"/>
    <m/>
    <s v="GAD Political Commissar"/>
    <n v="6"/>
    <x v="1"/>
    <m/>
    <x v="0"/>
    <m/>
    <x v="0"/>
    <m/>
    <x v="1"/>
    <m/>
    <m/>
    <m/>
    <s v="Defense White Paper Appendix"/>
    <m/>
  </r>
  <r>
    <x v="1"/>
    <x v="7"/>
    <s v="West Asia and Africa"/>
    <s v="No Specific Relationship"/>
    <s v="None"/>
    <x v="4"/>
    <x v="95"/>
    <x v="19"/>
    <n v="6"/>
    <x v="3"/>
    <s v="Xu Caihou"/>
    <m/>
    <s v="CMC Vice Chairman"/>
    <n v="10"/>
    <x v="2"/>
    <s v="Chief of Staff Armed Forces"/>
    <x v="0"/>
    <m/>
    <x v="0"/>
    <m/>
    <x v="1"/>
    <m/>
    <m/>
    <m/>
    <s v="Defense White Paper Appendix"/>
    <m/>
  </r>
  <r>
    <x v="1"/>
    <x v="8"/>
    <s v="Europe and Central Asia"/>
    <s v="Comprehensive Strategic Partnership [全面战略伙伴关系]"/>
    <s v="NATO"/>
    <x v="3"/>
    <x v="22"/>
    <x v="19"/>
    <n v="6"/>
    <x v="4"/>
    <s v="Ma Xiaotian"/>
    <m/>
    <s v="GSD DCGS"/>
    <n v="6"/>
    <x v="1"/>
    <m/>
    <x v="0"/>
    <m/>
    <x v="0"/>
    <m/>
    <x v="1"/>
    <m/>
    <m/>
    <m/>
    <s v="Defense White Paper Appendix"/>
    <m/>
  </r>
  <r>
    <x v="1"/>
    <x v="10"/>
    <s v="America and Oceania"/>
    <s v="No Specific Relationship"/>
    <s v="None"/>
    <x v="5"/>
    <x v="88"/>
    <x v="19"/>
    <n v="6"/>
    <x v="3"/>
    <s v="Liang Guanglie"/>
    <m/>
    <s v="Defense Minister; CMC Member"/>
    <n v="8"/>
    <x v="2"/>
    <s v="Chief of the Defense Staff"/>
    <x v="0"/>
    <m/>
    <x v="0"/>
    <m/>
    <x v="1"/>
    <m/>
    <m/>
    <m/>
    <s v="Defense White Paper Appendix"/>
    <m/>
  </r>
  <r>
    <x v="1"/>
    <x v="1"/>
    <s v="Asia"/>
    <s v="No Specific Relationship"/>
    <s v="None"/>
    <x v="0"/>
    <x v="137"/>
    <x v="19"/>
    <n v="6"/>
    <x v="1"/>
    <s v="Ma Xiaotian"/>
    <m/>
    <s v="GSD DCGS"/>
    <n v="6"/>
    <x v="1"/>
    <s v="9th Shangri-La Dialogue"/>
    <x v="0"/>
    <m/>
    <x v="0"/>
    <m/>
    <x v="1"/>
    <m/>
    <m/>
    <m/>
    <s v="Defense White Paper Appendix"/>
    <m/>
  </r>
  <r>
    <x v="1"/>
    <x v="4"/>
    <s v="Asia"/>
    <s v="Mutually Beneficial Strategic Relationship [战略互惠关系]"/>
    <s v="Bilateral Defense Treaty"/>
    <x v="0"/>
    <x v="83"/>
    <x v="19"/>
    <n v="6"/>
    <x v="3"/>
    <s v="Liang Guanglie"/>
    <m/>
    <s v="Defense Minister; CMC Member"/>
    <n v="8"/>
    <x v="2"/>
    <s v="Sasakawa Japan-China Friendship Fund"/>
    <x v="0"/>
    <m/>
    <x v="0"/>
    <m/>
    <x v="1"/>
    <m/>
    <m/>
    <m/>
    <s v="Defense White Paper Appendix"/>
    <m/>
  </r>
  <r>
    <x v="1"/>
    <x v="8"/>
    <s v="Europe and Central Asia"/>
    <s v="No Specific Relationship"/>
    <s v="None"/>
    <x v="3"/>
    <x v="99"/>
    <x v="19"/>
    <n v="6"/>
    <x v="4"/>
    <s v="Ma Xiaotian"/>
    <m/>
    <s v="GSD DCGS"/>
    <n v="6"/>
    <x v="1"/>
    <s v="Defense Minister"/>
    <x v="0"/>
    <m/>
    <x v="0"/>
    <m/>
    <x v="1"/>
    <m/>
    <m/>
    <m/>
    <s v="Defense White Paper Appendix"/>
    <m/>
  </r>
  <r>
    <x v="1"/>
    <x v="1"/>
    <s v="Asia"/>
    <s v="No Specific Relationship"/>
    <s v="None"/>
    <x v="0"/>
    <x v="1"/>
    <x v="19"/>
    <n v="6"/>
    <x v="4"/>
    <s v="Fan Changlong"/>
    <m/>
    <s v="Jinan MR Commander"/>
    <n v="6"/>
    <x v="1"/>
    <m/>
    <x v="0"/>
    <m/>
    <x v="0"/>
    <m/>
    <x v="1"/>
    <m/>
    <m/>
    <m/>
    <s v="Defense White Paper Appendix"/>
    <m/>
  </r>
  <r>
    <x v="1"/>
    <x v="8"/>
    <s v="Europe and Central Asia"/>
    <s v="No Specific Relationship"/>
    <s v="NATO"/>
    <x v="3"/>
    <x v="37"/>
    <x v="19"/>
    <n v="6"/>
    <x v="3"/>
    <s v="Chen Bingde"/>
    <m/>
    <s v="GSD Commander; CMC Member"/>
    <n v="8"/>
    <x v="2"/>
    <s v="Chief of Navy Staff"/>
    <x v="0"/>
    <m/>
    <x v="0"/>
    <m/>
    <x v="1"/>
    <m/>
    <m/>
    <m/>
    <s v="Defense White Paper Appendix"/>
    <m/>
  </r>
  <r>
    <x v="1"/>
    <x v="9"/>
    <s v="West Asia and Africa"/>
    <s v="No Specific Relationship"/>
    <s v="None"/>
    <x v="1"/>
    <x v="147"/>
    <x v="19"/>
    <n v="6"/>
    <x v="3"/>
    <s v="Liang Guanglie"/>
    <m/>
    <s v="Defense Minister; CMC Member"/>
    <n v="8"/>
    <x v="2"/>
    <s v="Minister Responsible for Defense Affairs"/>
    <x v="0"/>
    <m/>
    <x v="0"/>
    <m/>
    <x v="1"/>
    <m/>
    <m/>
    <m/>
    <s v="Defense White Paper Appendix"/>
    <m/>
  </r>
  <r>
    <x v="0"/>
    <x v="9"/>
    <s v="West Asia and Africa"/>
    <s v="No Specific Relationship"/>
    <s v="None"/>
    <x v="1"/>
    <x v="147"/>
    <x v="19"/>
    <n v="6"/>
    <x v="9"/>
    <m/>
    <m/>
    <m/>
    <m/>
    <x v="0"/>
    <m/>
    <x v="0"/>
    <m/>
    <x v="0"/>
    <m/>
    <x v="2"/>
    <s v="ETF-05"/>
    <s v="South Sea Fleet"/>
    <s v="DDG168 Guangzhou, FFG568 Hengyang, AOR887 Weishan Hu"/>
    <m/>
    <m/>
  </r>
  <r>
    <x v="1"/>
    <x v="0"/>
    <s v="Asia"/>
    <s v="Strategic Partnership [战略伙伴关系]"/>
    <s v="Major Non-NATO Ally"/>
    <x v="1"/>
    <x v="2"/>
    <x v="19"/>
    <n v="6"/>
    <x v="3"/>
    <s v="Liang Guanglie"/>
    <m/>
    <s v="Defense Minister; CMC Member"/>
    <n v="8"/>
    <x v="2"/>
    <s v="Chief of Army Staff"/>
    <x v="0"/>
    <m/>
    <x v="0"/>
    <m/>
    <x v="1"/>
    <m/>
    <m/>
    <m/>
    <s v="Defense White Paper Appendix"/>
    <m/>
  </r>
  <r>
    <x v="1"/>
    <x v="3"/>
    <s v="Europe and Central Asia"/>
    <s v="Strategic Partnership of Coordination [战略协作伙伴关系]"/>
    <s v="None"/>
    <x v="3"/>
    <x v="7"/>
    <x v="19"/>
    <n v="6"/>
    <x v="4"/>
    <s v="Ma Xiaotian"/>
    <m/>
    <s v="GSD DCGS"/>
    <n v="6"/>
    <x v="1"/>
    <m/>
    <x v="0"/>
    <m/>
    <x v="0"/>
    <m/>
    <x v="1"/>
    <m/>
    <m/>
    <m/>
    <s v="Defense White Paper Appendix"/>
    <m/>
  </r>
  <r>
    <x v="1"/>
    <x v="8"/>
    <s v="Europe and Central Asia"/>
    <s v="Strategic Partnership [战略伙伴关系]"/>
    <s v="None"/>
    <x v="3"/>
    <x v="112"/>
    <x v="19"/>
    <n v="6"/>
    <x v="4"/>
    <s v="Ma Xiaotian"/>
    <m/>
    <s v="GSD DCGS"/>
    <n v="6"/>
    <x v="1"/>
    <m/>
    <x v="0"/>
    <m/>
    <x v="0"/>
    <m/>
    <x v="1"/>
    <m/>
    <m/>
    <m/>
    <s v="Defense White Paper Appendix"/>
    <m/>
  </r>
  <r>
    <x v="1"/>
    <x v="1"/>
    <s v="Asia"/>
    <s v="No Specific Relationship"/>
    <s v="None"/>
    <x v="0"/>
    <x v="39"/>
    <x v="19"/>
    <n v="6"/>
    <x v="4"/>
    <s v="Ma Xiaotian"/>
    <m/>
    <s v="GSD DCGS"/>
    <n v="6"/>
    <x v="1"/>
    <m/>
    <x v="0"/>
    <m/>
    <x v="0"/>
    <m/>
    <x v="1"/>
    <m/>
    <m/>
    <m/>
    <s v="Defense White Paper Appendix"/>
    <m/>
  </r>
  <r>
    <x v="1"/>
    <x v="8"/>
    <s v="Europe and Central Asia"/>
    <s v="No Specific Relationship"/>
    <s v="None"/>
    <x v="3"/>
    <x v="92"/>
    <x v="19"/>
    <n v="6"/>
    <x v="4"/>
    <s v="Wang Xibin"/>
    <m/>
    <s v="PLA NDU President"/>
    <n v="6"/>
    <x v="1"/>
    <m/>
    <x v="0"/>
    <m/>
    <x v="0"/>
    <m/>
    <x v="1"/>
    <m/>
    <m/>
    <m/>
    <s v="Defense White Paper Appendix"/>
    <m/>
  </r>
  <r>
    <x v="1"/>
    <x v="8"/>
    <s v="Europe and Central Asia"/>
    <s v="Strategic Cooperative Partnership [战略合作伙伴关系]"/>
    <s v="NATO"/>
    <x v="3"/>
    <x v="38"/>
    <x v="19"/>
    <n v="6"/>
    <x v="4"/>
    <s v="Wang Xibin"/>
    <m/>
    <s v="PLA NDU President"/>
    <n v="6"/>
    <x v="1"/>
    <m/>
    <x v="0"/>
    <m/>
    <x v="0"/>
    <m/>
    <x v="1"/>
    <m/>
    <m/>
    <m/>
    <s v="Defense White Paper Appendix"/>
    <m/>
  </r>
  <r>
    <x v="1"/>
    <x v="9"/>
    <s v="West Asia and Africa"/>
    <s v="No Specific Relationship"/>
    <s v="None"/>
    <x v="1"/>
    <x v="106"/>
    <x v="19"/>
    <n v="6"/>
    <x v="3"/>
    <s v="Liang Guanglie"/>
    <m/>
    <s v="Defense Minister; CMC Member"/>
    <n v="8"/>
    <x v="2"/>
    <s v="COGS"/>
    <x v="0"/>
    <m/>
    <x v="0"/>
    <m/>
    <x v="1"/>
    <m/>
    <m/>
    <m/>
    <s v="Defense White Paper Appendix"/>
    <m/>
  </r>
  <r>
    <x v="1"/>
    <x v="8"/>
    <s v="Europe and Central Asia"/>
    <s v="Comprehensive Strategic Partnership [全面战略伙伴关系]"/>
    <s v="NATO"/>
    <x v="3"/>
    <x v="21"/>
    <x v="19"/>
    <n v="6"/>
    <x v="4"/>
    <s v="Ma Xiaotian"/>
    <m/>
    <s v="GSD DCGS"/>
    <n v="6"/>
    <x v="1"/>
    <s v="Defense Secretary"/>
    <x v="0"/>
    <m/>
    <x v="0"/>
    <m/>
    <x v="1"/>
    <m/>
    <m/>
    <m/>
    <s v="Defense White Paper Appendix"/>
    <m/>
  </r>
  <r>
    <x v="1"/>
    <x v="7"/>
    <s v="West Asia and Africa"/>
    <s v="No Specific Relationship"/>
    <s v="None"/>
    <x v="4"/>
    <x v="86"/>
    <x v="19"/>
    <n v="6"/>
    <x v="3"/>
    <s v="Liang Guanglie"/>
    <m/>
    <s v="Defense Minister; CMC Member"/>
    <n v="8"/>
    <x v="2"/>
    <s v="Commander of the Defense Forces"/>
    <x v="0"/>
    <m/>
    <x v="0"/>
    <m/>
    <x v="1"/>
    <m/>
    <m/>
    <m/>
    <s v="Defense White Paper Appendix"/>
    <m/>
  </r>
  <r>
    <x v="1"/>
    <x v="7"/>
    <s v="West Asia and Africa"/>
    <s v="Strategic Partnership [战略伙伴关系]"/>
    <s v="None"/>
    <x v="4"/>
    <x v="105"/>
    <x v="19"/>
    <n v="7"/>
    <x v="3"/>
    <s v="Liang Guanglie"/>
    <m/>
    <s v="Defense Minister; CMC Member"/>
    <n v="8"/>
    <x v="2"/>
    <s v="Defense Minister"/>
    <x v="0"/>
    <m/>
    <x v="0"/>
    <m/>
    <x v="1"/>
    <m/>
    <m/>
    <m/>
    <s v="Defense White Paper Appendix"/>
    <m/>
  </r>
  <r>
    <x v="1"/>
    <x v="8"/>
    <s v="Europe and Central Asia"/>
    <s v="Strategic Partnership [战略伙伴关系]"/>
    <s v="NATO"/>
    <x v="3"/>
    <x v="34"/>
    <x v="19"/>
    <n v="7"/>
    <x v="4"/>
    <s v="Jing Zhiyuan"/>
    <m/>
    <s v="PLASAF Commander; CMC Member"/>
    <n v="8"/>
    <x v="1"/>
    <m/>
    <x v="0"/>
    <m/>
    <x v="0"/>
    <m/>
    <x v="1"/>
    <m/>
    <m/>
    <m/>
    <s v="Defense White Paper Appendix"/>
    <m/>
  </r>
  <r>
    <x v="0"/>
    <x v="9"/>
    <s v="West Asia and Africa"/>
    <s v="Strategic Cooperative Partnership [战略合作伙伴关系]"/>
    <s v="Major Non-NATO Ally"/>
    <x v="1"/>
    <x v="24"/>
    <x v="19"/>
    <n v="7"/>
    <x v="0"/>
    <m/>
    <m/>
    <m/>
    <m/>
    <x v="0"/>
    <m/>
    <x v="0"/>
    <m/>
    <x v="0"/>
    <m/>
    <x v="2"/>
    <s v="ETF-05"/>
    <s v="South Sea Fleet"/>
    <s v="DDG168 Guangzhou, FFG568 Hengyang, AOR887 Weishan Hu"/>
    <m/>
    <m/>
  </r>
  <r>
    <x v="1"/>
    <x v="8"/>
    <s v="Europe and Central Asia"/>
    <s v="Strategic Partnership [战略伙伴关系]"/>
    <s v="NATO"/>
    <x v="3"/>
    <x v="18"/>
    <x v="19"/>
    <n v="7"/>
    <x v="4"/>
    <s v="Xu Qiliang"/>
    <m/>
    <s v="PLAAF Commander; CMC Member"/>
    <n v="8"/>
    <x v="1"/>
    <m/>
    <x v="0"/>
    <m/>
    <x v="0"/>
    <m/>
    <x v="1"/>
    <m/>
    <m/>
    <m/>
    <s v="Defense White Paper Appendix"/>
    <m/>
  </r>
  <r>
    <x v="1"/>
    <x v="8"/>
    <s v="Europe and Central Asia"/>
    <s v="No Specific Relationship"/>
    <s v="NATO"/>
    <x v="3"/>
    <x v="82"/>
    <x v="19"/>
    <n v="7"/>
    <x v="4"/>
    <s v="Jing Zhiyuan"/>
    <m/>
    <s v="PLASAF Commander; CMC Member"/>
    <n v="8"/>
    <x v="1"/>
    <m/>
    <x v="0"/>
    <m/>
    <x v="0"/>
    <m/>
    <x v="1"/>
    <m/>
    <m/>
    <m/>
    <s v="Defense White Paper Appendix"/>
    <m/>
  </r>
  <r>
    <x v="1"/>
    <x v="8"/>
    <s v="Europe and Central Asia"/>
    <s v="Comprehensive Strategic Partnership [全面战略伙伴关系]"/>
    <s v="NATO"/>
    <x v="3"/>
    <x v="20"/>
    <x v="19"/>
    <n v="7"/>
    <x v="3"/>
    <s v="Chen Bingde"/>
    <m/>
    <s v="GSD Commander; CMC Member"/>
    <n v="8"/>
    <x v="2"/>
    <s v="Chief of Navy Staff"/>
    <x v="0"/>
    <m/>
    <x v="0"/>
    <m/>
    <x v="1"/>
    <m/>
    <m/>
    <m/>
    <s v="Defense White Paper Appendix"/>
    <m/>
  </r>
  <r>
    <x v="1"/>
    <x v="8"/>
    <s v="Europe and Central Asia"/>
    <s v="No Specific Relationship"/>
    <s v="NATO"/>
    <x v="3"/>
    <x v="37"/>
    <x v="19"/>
    <n v="7"/>
    <x v="4"/>
    <s v="Ma Xiaotian"/>
    <m/>
    <s v="GSD DCGS"/>
    <n v="6"/>
    <x v="1"/>
    <m/>
    <x v="0"/>
    <m/>
    <x v="0"/>
    <m/>
    <x v="1"/>
    <m/>
    <m/>
    <m/>
    <s v="Defense White Paper Appendix"/>
    <m/>
  </r>
  <r>
    <x v="2"/>
    <x v="0"/>
    <s v="Asia"/>
    <s v="Strategic Partnership [战略伙伴关系]"/>
    <s v="Major Non-NATO Ally"/>
    <x v="1"/>
    <x v="2"/>
    <x v="19"/>
    <n v="7"/>
    <x v="5"/>
    <m/>
    <m/>
    <m/>
    <m/>
    <x v="0"/>
    <m/>
    <x v="1"/>
    <s v="Friendship 2010"/>
    <x v="1"/>
    <s v="Anti-terrorism"/>
    <x v="1"/>
    <m/>
    <m/>
    <m/>
    <s v="Defense White Paper Appendix"/>
    <m/>
  </r>
  <r>
    <x v="1"/>
    <x v="9"/>
    <s v="West Asia and Africa"/>
    <s v="No Specific Relationship"/>
    <s v="None"/>
    <x v="1"/>
    <x v="131"/>
    <x v="19"/>
    <n v="7"/>
    <x v="3"/>
    <s v="Chen Bingde"/>
    <m/>
    <s v="GSD Commander; CMC Member"/>
    <n v="8"/>
    <x v="2"/>
    <s v="Chief of the General Staff of the Armed Forces"/>
    <x v="0"/>
    <m/>
    <x v="0"/>
    <m/>
    <x v="1"/>
    <m/>
    <m/>
    <m/>
    <s v="Defense White Paper Appendix"/>
    <m/>
  </r>
  <r>
    <x v="1"/>
    <x v="3"/>
    <s v="Europe and Central Asia"/>
    <s v="Strategic Partnership of Coordination [战略协作伙伴关系]"/>
    <s v="None"/>
    <x v="3"/>
    <x v="7"/>
    <x v="19"/>
    <n v="7"/>
    <x v="4"/>
    <s v="Ma Xiaotian"/>
    <m/>
    <s v="GSD DCGS"/>
    <n v="6"/>
    <x v="1"/>
    <m/>
    <x v="0"/>
    <m/>
    <x v="0"/>
    <m/>
    <x v="1"/>
    <m/>
    <m/>
    <m/>
    <s v="Defense White Paper Appendix"/>
    <m/>
  </r>
  <r>
    <x v="1"/>
    <x v="1"/>
    <s v="Asia"/>
    <s v="No Specific Relationship"/>
    <s v="None"/>
    <x v="0"/>
    <x v="39"/>
    <x v="19"/>
    <n v="7"/>
    <x v="3"/>
    <s v="Chen Bingde"/>
    <m/>
    <s v="GSD Commander; CMC Member"/>
    <n v="8"/>
    <x v="2"/>
    <s v="Permanent Secretary of Ministry of Defense"/>
    <x v="0"/>
    <m/>
    <x v="0"/>
    <m/>
    <x v="1"/>
    <m/>
    <m/>
    <m/>
    <s v="Defense White Paper Appendix"/>
    <m/>
  </r>
  <r>
    <x v="1"/>
    <x v="5"/>
    <s v="America and Oceania"/>
    <s v="No Specific Relationship"/>
    <s v="None"/>
    <x v="0"/>
    <x v="144"/>
    <x v="19"/>
    <n v="7"/>
    <x v="3"/>
    <s v="Chen Bingde"/>
    <m/>
    <s v="GSD Commander; CMC Member"/>
    <n v="8"/>
    <x v="2"/>
    <s v="Commander of the Defense Services"/>
    <x v="0"/>
    <m/>
    <x v="0"/>
    <m/>
    <x v="1"/>
    <m/>
    <m/>
    <m/>
    <s v="Defense White Paper Appendix"/>
    <m/>
  </r>
  <r>
    <x v="0"/>
    <x v="9"/>
    <s v="West Asia and Africa"/>
    <s v="No Specific Relationship"/>
    <s v="None"/>
    <x v="1"/>
    <x v="135"/>
    <x v="19"/>
    <n v="7"/>
    <x v="9"/>
    <m/>
    <m/>
    <m/>
    <m/>
    <x v="0"/>
    <m/>
    <x v="0"/>
    <m/>
    <x v="0"/>
    <m/>
    <x v="2"/>
    <s v="ETF-06"/>
    <s v="South Sea Fleet"/>
    <s v="LPD998 Kunlun Shan, DDG170 Lanzhou, AOR887 Weishan Hu;uncertain, could be ETF-5"/>
    <m/>
    <m/>
  </r>
  <r>
    <x v="1"/>
    <x v="10"/>
    <s v="America and Oceania"/>
    <s v="Strategic Partnership [战略伙伴关系]"/>
    <s v="Major Non-NATO Ally"/>
    <x v="5"/>
    <x v="62"/>
    <x v="19"/>
    <n v="8"/>
    <x v="4"/>
    <s v="Ma Xiaotian"/>
    <m/>
    <s v="GSD DCGS"/>
    <n v="6"/>
    <x v="1"/>
    <m/>
    <x v="0"/>
    <m/>
    <x v="0"/>
    <m/>
    <x v="1"/>
    <m/>
    <m/>
    <m/>
    <s v="Defense White Paper Appendix"/>
    <m/>
  </r>
  <r>
    <x v="1"/>
    <x v="8"/>
    <s v="Europe and Central Asia"/>
    <s v="Strategic Partnership [战略伙伴关系]"/>
    <s v="NATO"/>
    <x v="3"/>
    <x v="34"/>
    <x v="19"/>
    <n v="8"/>
    <x v="4"/>
    <s v="Ma Xiaotian"/>
    <m/>
    <s v="GSD DCGS"/>
    <n v="6"/>
    <x v="1"/>
    <m/>
    <x v="0"/>
    <m/>
    <x v="0"/>
    <m/>
    <x v="1"/>
    <m/>
    <m/>
    <m/>
    <s v="Defense White Paper Appendix"/>
    <m/>
  </r>
  <r>
    <x v="1"/>
    <x v="10"/>
    <s v="America and Oceania"/>
    <s v="No Specific Relationship"/>
    <s v="None"/>
    <x v="5"/>
    <x v="42"/>
    <x v="19"/>
    <n v="8"/>
    <x v="3"/>
    <s v="Guo Boxiong"/>
    <m/>
    <s v="CMC Vice Chairman"/>
    <n v="10"/>
    <x v="2"/>
    <s v="Defense Minister"/>
    <x v="0"/>
    <m/>
    <x v="0"/>
    <m/>
    <x v="1"/>
    <m/>
    <m/>
    <m/>
    <s v="Defense White Paper Appendix"/>
    <m/>
  </r>
  <r>
    <x v="1"/>
    <x v="10"/>
    <s v="America and Oceania"/>
    <s v="Comprehensive Strategic Partnership [全面战略伙伴关系]"/>
    <s v="None"/>
    <x v="5"/>
    <x v="43"/>
    <x v="19"/>
    <n v="8"/>
    <x v="4"/>
    <s v="Liang Guanglie"/>
    <m/>
    <s v="Defense Minister; CMC Member"/>
    <n v="8"/>
    <x v="1"/>
    <s v="Defense Minister"/>
    <x v="0"/>
    <m/>
    <x v="0"/>
    <m/>
    <x v="1"/>
    <m/>
    <m/>
    <m/>
    <s v="Defense White Paper Appendix"/>
    <m/>
  </r>
  <r>
    <x v="1"/>
    <x v="10"/>
    <s v="America and Oceania"/>
    <s v="Comprehensive Partnership [全面伙伴关系]"/>
    <s v="None"/>
    <x v="5"/>
    <x v="66"/>
    <x v="19"/>
    <n v="8"/>
    <x v="4"/>
    <s v="Li Jinai"/>
    <m/>
    <s v="GPD Director; CMC Member"/>
    <n v="8"/>
    <x v="1"/>
    <m/>
    <x v="0"/>
    <m/>
    <x v="0"/>
    <m/>
    <x v="1"/>
    <m/>
    <m/>
    <m/>
    <s v="Defense White Paper Appendix"/>
    <m/>
  </r>
  <r>
    <x v="1"/>
    <x v="10"/>
    <s v="America and Oceania"/>
    <s v="No Specific Relationship"/>
    <s v="None"/>
    <x v="5"/>
    <x v="45"/>
    <x v="19"/>
    <n v="8"/>
    <x v="4"/>
    <s v="Liang Guanglie"/>
    <m/>
    <s v="Defense Minister; CMC Member"/>
    <n v="8"/>
    <x v="1"/>
    <m/>
    <x v="0"/>
    <m/>
    <x v="0"/>
    <m/>
    <x v="1"/>
    <m/>
    <m/>
    <m/>
    <s v="Defense White Paper Appendix"/>
    <m/>
  </r>
  <r>
    <x v="1"/>
    <x v="8"/>
    <s v="Europe and Central Asia"/>
    <s v="Comprehensive Cooperative Partnership [全面合作伙伴关系]"/>
    <s v="NATO"/>
    <x v="3"/>
    <x v="35"/>
    <x v="19"/>
    <n v="8"/>
    <x v="4"/>
    <s v="Ma Xiaotian"/>
    <m/>
    <s v="GSD DCGS"/>
    <n v="6"/>
    <x v="1"/>
    <m/>
    <x v="0"/>
    <m/>
    <x v="0"/>
    <m/>
    <x v="1"/>
    <m/>
    <m/>
    <m/>
    <s v="Defense White Paper Appendix"/>
    <m/>
  </r>
  <r>
    <x v="1"/>
    <x v="8"/>
    <s v="Europe and Central Asia"/>
    <s v="Comprehensive Strategic Partnership [全面战略伙伴关系]"/>
    <s v="NATO"/>
    <x v="3"/>
    <x v="29"/>
    <x v="19"/>
    <n v="8"/>
    <x v="3"/>
    <s v="Xu Qiliang"/>
    <m/>
    <s v="PLAAF Commander; CMC Member"/>
    <n v="8"/>
    <x v="2"/>
    <s v="Air Force COGS"/>
    <x v="0"/>
    <m/>
    <x v="0"/>
    <m/>
    <x v="1"/>
    <m/>
    <m/>
    <m/>
    <s v="Defense White Paper Appendix"/>
    <m/>
  </r>
  <r>
    <x v="0"/>
    <x v="8"/>
    <s v="Europe and Central Asia"/>
    <s v="Comprehensive Strategic Partnership [全面战略伙伴关系]"/>
    <s v="NATO"/>
    <x v="3"/>
    <x v="20"/>
    <x v="19"/>
    <n v="8"/>
    <x v="10"/>
    <m/>
    <m/>
    <m/>
    <m/>
    <x v="0"/>
    <m/>
    <x v="0"/>
    <m/>
    <x v="0"/>
    <m/>
    <x v="2"/>
    <s v="ETF-05"/>
    <s v="South Sea Fleet"/>
    <s v="DDG168 Guangzhou, FFG568 Hengyang, AOR887 Weishan Hu"/>
    <m/>
    <m/>
  </r>
  <r>
    <x v="2"/>
    <x v="8"/>
    <s v="Europe and Central Asia"/>
    <s v="Comprehensive Strategic Partnership [全面战略伙伴关系]"/>
    <s v="NATO"/>
    <x v="3"/>
    <x v="20"/>
    <x v="19"/>
    <n v="8"/>
    <x v="5"/>
    <m/>
    <m/>
    <m/>
    <m/>
    <x v="0"/>
    <m/>
    <x v="5"/>
    <s v="Unknown Taranto 2010"/>
    <x v="2"/>
    <s v="Joint drills and friendly port call, Six Years at Sea p. 126"/>
    <x v="1"/>
    <m/>
    <m/>
    <m/>
    <s v="Defense White Paper Appendix"/>
    <m/>
  </r>
  <r>
    <x v="1"/>
    <x v="2"/>
    <s v="America and Oceania"/>
    <s v="Strategic Cooperative Partnership [战略合作伙伴关系]"/>
    <s v="None"/>
    <x v="2"/>
    <x v="77"/>
    <x v="19"/>
    <n v="8"/>
    <x v="4"/>
    <s v="Liang Guanglie"/>
    <m/>
    <s v="Defense Minister; CMC Member"/>
    <n v="8"/>
    <x v="1"/>
    <m/>
    <x v="0"/>
    <m/>
    <x v="0"/>
    <m/>
    <x v="1"/>
    <m/>
    <m/>
    <m/>
    <s v="Defense White Paper Appendix"/>
    <m/>
  </r>
  <r>
    <x v="1"/>
    <x v="4"/>
    <s v="Asia"/>
    <s v="No Specific Relationship"/>
    <s v="None"/>
    <x v="0"/>
    <x v="53"/>
    <x v="19"/>
    <n v="8"/>
    <x v="4"/>
    <s v="Ma Xiaotian"/>
    <m/>
    <s v="GSD DCGS"/>
    <n v="6"/>
    <x v="1"/>
    <m/>
    <x v="0"/>
    <m/>
    <x v="0"/>
    <m/>
    <x v="1"/>
    <m/>
    <m/>
    <m/>
    <s v="Defense White Paper Appendix"/>
    <m/>
  </r>
  <r>
    <x v="0"/>
    <x v="1"/>
    <s v="Asia"/>
    <s v="No Specific Relationship"/>
    <s v="None"/>
    <x v="0"/>
    <x v="1"/>
    <x v="19"/>
    <n v="8"/>
    <x v="0"/>
    <m/>
    <m/>
    <m/>
    <m/>
    <x v="0"/>
    <m/>
    <x v="0"/>
    <m/>
    <x v="0"/>
    <m/>
    <x v="2"/>
    <s v="ETF-05"/>
    <s v="South Sea Fleet"/>
    <s v="DDG168 Guangzhou, FFG568 Hengyang, AOR887 Weishan Hu"/>
    <m/>
    <m/>
  </r>
  <r>
    <x v="1"/>
    <x v="5"/>
    <s v="America and Oceania"/>
    <s v="No Specific Relationship"/>
    <s v="ANZUS Treaty"/>
    <x v="0"/>
    <x v="13"/>
    <x v="19"/>
    <n v="8"/>
    <x v="3"/>
    <s v="Guo Boxiong"/>
    <m/>
    <s v="CMC Vice Chairman"/>
    <n v="10"/>
    <x v="2"/>
    <s v="Secretary of Defense"/>
    <x v="0"/>
    <m/>
    <x v="0"/>
    <m/>
    <x v="1"/>
    <m/>
    <m/>
    <m/>
    <s v="Defense White Paper Appendix"/>
    <m/>
  </r>
  <r>
    <x v="1"/>
    <x v="4"/>
    <s v="Asia"/>
    <s v="Bilateral Defense Treaty"/>
    <s v="None"/>
    <x v="0"/>
    <x v="9"/>
    <x v="19"/>
    <n v="8"/>
    <x v="4"/>
    <s v="Zhang Youxia"/>
    <m/>
    <s v="Shenyang MR Commander"/>
    <n v="6"/>
    <x v="1"/>
    <m/>
    <x v="0"/>
    <m/>
    <x v="0"/>
    <m/>
    <x v="1"/>
    <m/>
    <m/>
    <m/>
    <s v="Defense White Paper Appendix"/>
    <m/>
  </r>
  <r>
    <x v="0"/>
    <x v="9"/>
    <s v="West Asia and Africa"/>
    <s v="No Specific Relationship"/>
    <s v="None"/>
    <x v="1"/>
    <x v="147"/>
    <x v="19"/>
    <n v="8"/>
    <x v="9"/>
    <m/>
    <m/>
    <m/>
    <m/>
    <x v="0"/>
    <m/>
    <x v="0"/>
    <m/>
    <x v="0"/>
    <m/>
    <x v="2"/>
    <s v="ETF-05"/>
    <s v="South Sea Fleet"/>
    <s v="DDG168 Guangzhou, FFG568 Hengyang, AOR887 Weishan Hu; uncertain, could also be ETF-6"/>
    <m/>
    <m/>
  </r>
  <r>
    <x v="1"/>
    <x v="8"/>
    <s v="Europe and Central Asia"/>
    <s v="Strategic Partnership [战略伙伴关系]"/>
    <s v="None"/>
    <x v="3"/>
    <x v="112"/>
    <x v="19"/>
    <n v="8"/>
    <x v="3"/>
    <s v="Liang Guanglie"/>
    <m/>
    <s v="Defense Minister; CMC Member"/>
    <n v="8"/>
    <x v="2"/>
    <s v="Defense Minister"/>
    <x v="0"/>
    <m/>
    <x v="0"/>
    <m/>
    <x v="1"/>
    <m/>
    <m/>
    <m/>
    <s v="Defense White Paper Appendix"/>
    <m/>
  </r>
  <r>
    <x v="1"/>
    <x v="1"/>
    <s v="Asia"/>
    <s v="Strategic Partnership [战略伙伴关系]"/>
    <s v="Bilateral Defense Treaty"/>
    <x v="0"/>
    <x v="5"/>
    <x v="19"/>
    <n v="8"/>
    <x v="3"/>
    <s v="Ma Xiaotian"/>
    <m/>
    <s v="GSD DCGS"/>
    <n v="6"/>
    <x v="2"/>
    <s v="Permanent Secretary of Ministry of Defense"/>
    <x v="0"/>
    <m/>
    <x v="0"/>
    <m/>
    <x v="1"/>
    <m/>
    <m/>
    <m/>
    <s v="Defense White Paper Appendix"/>
    <m/>
  </r>
  <r>
    <x v="2"/>
    <x v="5"/>
    <s v="America and Oceania"/>
    <s v="No Specific Relationship"/>
    <s v="ANZUS Treaty"/>
    <x v="0"/>
    <x v="12"/>
    <x v="19"/>
    <n v="9"/>
    <x v="5"/>
    <m/>
    <m/>
    <m/>
    <m/>
    <x v="0"/>
    <m/>
    <x v="3"/>
    <m/>
    <x v="2"/>
    <s v="SAREX in Yellow Sea; Included Live Fire exercise"/>
    <x v="1"/>
    <m/>
    <m/>
    <m/>
    <s v="https://www.voanews.com/a/australia-china-conduct-live-fire-naval-exercise-in-yellow-sea-103780194/126679.html; Defense White Paper Appendix"/>
    <m/>
  </r>
  <r>
    <x v="0"/>
    <x v="5"/>
    <s v="America and Oceania"/>
    <s v="No Specific Relationship"/>
    <s v="ANZUS Treaty"/>
    <x v="0"/>
    <x v="12"/>
    <x v="19"/>
    <n v="9"/>
    <x v="0"/>
    <m/>
    <m/>
    <m/>
    <m/>
    <x v="0"/>
    <m/>
    <x v="0"/>
    <m/>
    <x v="0"/>
    <m/>
    <x v="0"/>
    <s v="2009-10 Zhenghe "/>
    <s v="North Sea Fleet"/>
    <s v=" training ship Zhenghe and frigate Mianyang in Sydney and Darwin"/>
    <s v="https://www.defenceiq.com/naval-maritime-defence/press-releases/people-s-republic-of-china-navy-visit-to-australia"/>
    <m/>
  </r>
  <r>
    <x v="1"/>
    <x v="8"/>
    <s v="Europe and Central Asia"/>
    <s v="Strategic Partnership [战略伙伴关系]"/>
    <s v="NATO"/>
    <x v="3"/>
    <x v="34"/>
    <x v="19"/>
    <n v="9"/>
    <x v="4"/>
    <s v="Wang Guosheng"/>
    <m/>
    <s v="Lanzhou MR Commander"/>
    <n v="6"/>
    <x v="1"/>
    <m/>
    <x v="0"/>
    <m/>
    <x v="0"/>
    <m/>
    <x v="1"/>
    <m/>
    <m/>
    <m/>
    <s v="Defense White Paper Appendix"/>
    <m/>
  </r>
  <r>
    <x v="1"/>
    <x v="10"/>
    <s v="America and Oceania"/>
    <s v="Comprehensive Strategic Partnership [全面战略伙伴关系]"/>
    <s v="None"/>
    <x v="5"/>
    <x v="43"/>
    <x v="19"/>
    <n v="9"/>
    <x v="4"/>
    <s v="Liang Guanglie"/>
    <m/>
    <s v="Defense Minister; CMC Member"/>
    <n v="8"/>
    <x v="1"/>
    <s v="Defense Minister"/>
    <x v="0"/>
    <m/>
    <x v="0"/>
    <m/>
    <x v="1"/>
    <m/>
    <m/>
    <m/>
    <s v="Defense White Paper Appendix"/>
    <m/>
  </r>
  <r>
    <x v="1"/>
    <x v="1"/>
    <s v="Asia"/>
    <s v="Comprehensive Strategic Cooperative Partnership [全面战略合作伙伴关系]"/>
    <s v="None"/>
    <x v="0"/>
    <x v="94"/>
    <x v="19"/>
    <n v="9"/>
    <x v="3"/>
    <s v="Liang Guanglie"/>
    <m/>
    <s v="Defense Minister; CMC Member"/>
    <n v="8"/>
    <x v="2"/>
    <s v="Deputy Prime Minister and Defense Minister"/>
    <x v="0"/>
    <m/>
    <x v="0"/>
    <m/>
    <x v="1"/>
    <m/>
    <m/>
    <m/>
    <s v="Defense White Paper Appendix"/>
    <m/>
  </r>
  <r>
    <x v="1"/>
    <x v="10"/>
    <s v="America and Oceania"/>
    <s v="Comprehensive Partnership [全面伙伴关系]"/>
    <s v="None"/>
    <x v="5"/>
    <x v="66"/>
    <x v="19"/>
    <n v="9"/>
    <x v="4"/>
    <s v="Li Jinai"/>
    <m/>
    <s v="GPD Director; CMC Member"/>
    <n v="8"/>
    <x v="1"/>
    <m/>
    <x v="0"/>
    <m/>
    <x v="0"/>
    <m/>
    <x v="1"/>
    <m/>
    <m/>
    <m/>
    <s v="Defense White Paper Appendix"/>
    <m/>
  </r>
  <r>
    <x v="0"/>
    <x v="9"/>
    <s v="West Asia and Africa"/>
    <s v="No Specific Relationship"/>
    <s v="None"/>
    <x v="1"/>
    <x v="119"/>
    <x v="19"/>
    <n v="9"/>
    <x v="9"/>
    <m/>
    <m/>
    <m/>
    <m/>
    <x v="0"/>
    <m/>
    <x v="0"/>
    <m/>
    <x v="0"/>
    <m/>
    <x v="2"/>
    <s v="ETF-06"/>
    <s v="South Sea Fleet"/>
    <s v="LPD998 Kunlun Shan, DDG170 Lanzhou, AOR887 Weishan Hu"/>
    <m/>
    <m/>
  </r>
  <r>
    <x v="1"/>
    <x v="9"/>
    <s v="West Asia and Africa"/>
    <s v="Strategic Cooperative Partnership [战略合作伙伴关系]"/>
    <s v="Major Non-NATO Ally"/>
    <x v="1"/>
    <x v="24"/>
    <x v="19"/>
    <n v="9"/>
    <x v="4"/>
    <s v="Ma Xiaotian"/>
    <m/>
    <s v="GSD DCGS"/>
    <n v="6"/>
    <x v="1"/>
    <m/>
    <x v="0"/>
    <m/>
    <x v="0"/>
    <m/>
    <x v="1"/>
    <m/>
    <m/>
    <m/>
    <s v="Defense White Paper Appendix"/>
    <m/>
  </r>
  <r>
    <x v="1"/>
    <x v="9"/>
    <s v="West Asia and Africa"/>
    <s v="No Specific Relationship"/>
    <s v="Major Non-NATO Ally"/>
    <x v="1"/>
    <x v="101"/>
    <x v="19"/>
    <n v="9"/>
    <x v="4"/>
    <s v="Ma Xiaotian"/>
    <m/>
    <s v="GSD DCGS"/>
    <n v="6"/>
    <x v="1"/>
    <m/>
    <x v="0"/>
    <m/>
    <x v="0"/>
    <m/>
    <x v="1"/>
    <m/>
    <m/>
    <m/>
    <s v="Defense White Paper Appendix"/>
    <m/>
  </r>
  <r>
    <x v="1"/>
    <x v="6"/>
    <s v="Europe and Central Asia"/>
    <s v="Strategic Partnership [战略伙伴关系]"/>
    <s v="None"/>
    <x v="1"/>
    <x v="30"/>
    <x v="19"/>
    <n v="9"/>
    <x v="4"/>
    <s v="Chen Bingde"/>
    <m/>
    <s v="GSD Commander; CMC Member"/>
    <n v="8"/>
    <x v="1"/>
    <m/>
    <x v="0"/>
    <m/>
    <x v="0"/>
    <m/>
    <x v="1"/>
    <m/>
    <m/>
    <m/>
    <s v="Defense White Paper Appendix"/>
    <m/>
  </r>
  <r>
    <x v="1"/>
    <x v="7"/>
    <s v="West Asia and Africa"/>
    <s v="No Specific Relationship"/>
    <s v="None"/>
    <x v="4"/>
    <x v="47"/>
    <x v="19"/>
    <n v="9"/>
    <x v="4"/>
    <s v="Sun Dafa"/>
    <m/>
    <s v="GLD Political Commissar"/>
    <n v="6"/>
    <x v="1"/>
    <m/>
    <x v="0"/>
    <m/>
    <x v="0"/>
    <m/>
    <x v="1"/>
    <m/>
    <m/>
    <m/>
    <s v="Defense White Paper Appendix"/>
    <m/>
  </r>
  <r>
    <x v="1"/>
    <x v="9"/>
    <s v="West Asia and Africa"/>
    <s v="No Specific Relationship"/>
    <s v="Major Non-NATO Ally"/>
    <x v="1"/>
    <x v="72"/>
    <x v="19"/>
    <n v="9"/>
    <x v="3"/>
    <s v="Sun Jianguo"/>
    <m/>
    <s v="GSD DCGS"/>
    <n v="6"/>
    <x v="2"/>
    <s v="Assistant to COGS"/>
    <x v="0"/>
    <m/>
    <x v="0"/>
    <m/>
    <x v="1"/>
    <m/>
    <m/>
    <m/>
    <s v="Defense White Paper Appendix"/>
    <m/>
  </r>
  <r>
    <x v="1"/>
    <x v="1"/>
    <s v="Asia"/>
    <s v="Strategic Cooperative Partnership [战略合作伙伴关系]"/>
    <s v="None"/>
    <x v="0"/>
    <x v="10"/>
    <x v="19"/>
    <n v="9"/>
    <x v="4"/>
    <s v="Sun Dafa"/>
    <m/>
    <s v="GLD Political Commissar"/>
    <n v="6"/>
    <x v="1"/>
    <m/>
    <x v="0"/>
    <m/>
    <x v="0"/>
    <m/>
    <x v="1"/>
    <m/>
    <m/>
    <m/>
    <s v="Defense White Paper Appendix"/>
    <m/>
  </r>
  <r>
    <x v="1"/>
    <x v="5"/>
    <s v="America and Oceania"/>
    <s v="No Specific Relationship"/>
    <s v="ANZUS Treaty"/>
    <x v="0"/>
    <x v="13"/>
    <x v="19"/>
    <n v="9"/>
    <x v="4"/>
    <s v="Li Jinai"/>
    <m/>
    <s v="GPD Director; CMC Member"/>
    <n v="8"/>
    <x v="1"/>
    <m/>
    <x v="0"/>
    <m/>
    <x v="0"/>
    <m/>
    <x v="1"/>
    <m/>
    <m/>
    <m/>
    <s v="Defense White Paper Appendix"/>
    <m/>
  </r>
  <r>
    <x v="0"/>
    <x v="5"/>
    <s v="America and Oceania"/>
    <s v="No Specific Relationship"/>
    <s v="ANZUS Treaty"/>
    <x v="0"/>
    <x v="13"/>
    <x v="19"/>
    <n v="9"/>
    <x v="0"/>
    <m/>
    <m/>
    <m/>
    <m/>
    <x v="0"/>
    <m/>
    <x v="0"/>
    <m/>
    <x v="0"/>
    <m/>
    <x v="0"/>
    <s v="2009-10 Zhenghe "/>
    <s v="North Sea Fleet"/>
    <s v=" training ship Zhenghe and frigate Mianyang in Auckland"/>
    <s v="http://www.china.org.cn/world/2010-09/11/content_20910137.htm"/>
    <m/>
  </r>
  <r>
    <x v="1"/>
    <x v="0"/>
    <s v="Asia"/>
    <s v="Strategic Partnership [战略伙伴关系]"/>
    <s v="Major Non-NATO Ally"/>
    <x v="1"/>
    <x v="2"/>
    <x v="19"/>
    <n v="9"/>
    <x v="3"/>
    <s v="Ma Xiaotian"/>
    <m/>
    <s v="GSD DCGS"/>
    <n v="6"/>
    <x v="2"/>
    <s v="Chief of Naval Staff"/>
    <x v="0"/>
    <m/>
    <x v="0"/>
    <m/>
    <x v="1"/>
    <m/>
    <m/>
    <m/>
    <s v="Defense White Paper Appendix"/>
    <m/>
  </r>
  <r>
    <x v="2"/>
    <x v="6"/>
    <s v="Europe and Central Asia"/>
    <s v="Member"/>
    <s v="None"/>
    <x v="1"/>
    <x v="14"/>
    <x v="19"/>
    <n v="9"/>
    <x v="6"/>
    <m/>
    <m/>
    <m/>
    <m/>
    <x v="0"/>
    <m/>
    <x v="3"/>
    <s v="Peace Mission 2010"/>
    <x v="3"/>
    <s v="Army, Navy, Air Force, SOF; anti-terrorism. Other countries: Kazakhstan, Kyrgyzstan, Russia, Tajikistan. Drills in  Kazakhstan from Sept. 9 to 25 "/>
    <x v="1"/>
    <m/>
    <m/>
    <m/>
    <s v="https://jamestown.org/program/chinas-growing-clout-in-the-sco-peace-mission-2010/"/>
    <m/>
  </r>
  <r>
    <x v="0"/>
    <x v="1"/>
    <s v="Asia"/>
    <s v="No Specific Relationship"/>
    <s v="None"/>
    <x v="0"/>
    <x v="39"/>
    <x v="19"/>
    <n v="9"/>
    <x v="11"/>
    <m/>
    <m/>
    <m/>
    <m/>
    <x v="0"/>
    <m/>
    <x v="0"/>
    <m/>
    <x v="0"/>
    <m/>
    <x v="2"/>
    <s v="ETF-05"/>
    <s v="South Sea Fleet"/>
    <s v="DDG168 Guangzhou, FFG568 Hengyang, AOR887 Weishan Hu"/>
    <m/>
    <m/>
  </r>
  <r>
    <x v="2"/>
    <x v="1"/>
    <s v="Asia"/>
    <s v="No Specific Relationship"/>
    <s v="None"/>
    <x v="0"/>
    <x v="39"/>
    <x v="19"/>
    <n v="9"/>
    <x v="5"/>
    <m/>
    <m/>
    <m/>
    <m/>
    <x v="0"/>
    <m/>
    <x v="4"/>
    <s v="Cooperation 2010"/>
    <x v="2"/>
    <s v="Changji 5-7 Sept. 2010, anti-piracy ETF joint drills, friendly visit, and replenish/overhaul; Six Years p. 131"/>
    <x v="1"/>
    <m/>
    <m/>
    <m/>
    <s v="Defense White Paper Appendix"/>
    <m/>
  </r>
  <r>
    <x v="1"/>
    <x v="0"/>
    <s v="Asia"/>
    <s v="Comprehensive Cooperative Partnership [全面合作伙伴关系]"/>
    <s v="None"/>
    <x v="0"/>
    <x v="3"/>
    <x v="19"/>
    <n v="9"/>
    <x v="3"/>
    <s v="Chen Bingde"/>
    <m/>
    <s v="GSD Commander; CMC Member"/>
    <n v="8"/>
    <x v="2"/>
    <s v="Permanent Secretary of Ministry of Defense"/>
    <x v="0"/>
    <m/>
    <x v="0"/>
    <m/>
    <x v="1"/>
    <m/>
    <m/>
    <m/>
    <s v="Defense White Paper Appendix"/>
    <m/>
  </r>
  <r>
    <x v="1"/>
    <x v="8"/>
    <s v="Europe and Central Asia"/>
    <s v="No Specific Relationship"/>
    <s v="None"/>
    <x v="3"/>
    <x v="78"/>
    <x v="19"/>
    <n v="9"/>
    <x v="3"/>
    <s v="Chen Bingde"/>
    <m/>
    <s v="GSD Commander; CMC Member"/>
    <n v="8"/>
    <x v="2"/>
    <s v="Chief of the Armed Forces"/>
    <x v="0"/>
    <m/>
    <x v="0"/>
    <m/>
    <x v="1"/>
    <m/>
    <m/>
    <m/>
    <s v="Defense White Paper Appendix"/>
    <m/>
  </r>
  <r>
    <x v="1"/>
    <x v="1"/>
    <s v="Asia"/>
    <s v="Strategic Partnership [战略伙伴关系]"/>
    <s v="Bilateral Defense Treaty"/>
    <x v="0"/>
    <x v="5"/>
    <x v="19"/>
    <n v="9"/>
    <x v="3"/>
    <s v="Liang Guanglie"/>
    <m/>
    <s v="Defense Minister; CMC Member"/>
    <n v="8"/>
    <x v="2"/>
    <s v="CinC Air Force"/>
    <x v="0"/>
    <m/>
    <x v="0"/>
    <m/>
    <x v="1"/>
    <m/>
    <m/>
    <m/>
    <s v="Defense White Paper Appendix"/>
    <m/>
  </r>
  <r>
    <x v="2"/>
    <x v="8"/>
    <s v="Europe and Central Asia"/>
    <s v="Strategic Cooperative Partnership [战略合作伙伴关系]"/>
    <s v="NATO"/>
    <x v="3"/>
    <x v="38"/>
    <x v="19"/>
    <n v="9"/>
    <x v="5"/>
    <m/>
    <m/>
    <m/>
    <m/>
    <x v="0"/>
    <m/>
    <x v="3"/>
    <s v="Anatolian Eagle"/>
    <x v="5"/>
    <s v="Operational aerial maneuvers"/>
    <x v="1"/>
    <m/>
    <m/>
    <m/>
    <s v="Defense White Paper Appendix"/>
    <m/>
  </r>
  <r>
    <x v="1"/>
    <x v="1"/>
    <s v="Asia"/>
    <s v="Strategic Partnership [战略伙伴关系] for Peace and Prosperity"/>
    <s v="None"/>
    <x v="0"/>
    <x v="153"/>
    <x v="19"/>
    <n v="10"/>
    <x v="1"/>
    <s v="Liang Guanglie"/>
    <m/>
    <s v="Defense Minister; CMC Member"/>
    <n v="8"/>
    <x v="1"/>
    <s v="1st ADMM+"/>
    <x v="0"/>
    <m/>
    <x v="0"/>
    <m/>
    <x v="1"/>
    <m/>
    <m/>
    <m/>
    <s v="http://www.asean-china-center.org/english/2010-10/13/c_13555726.htm"/>
    <s v="corrected partnership to strategic partnership for peace and prosperity"/>
  </r>
  <r>
    <x v="1"/>
    <x v="8"/>
    <s v="Europe and Central Asia"/>
    <s v="No Specific Relationship"/>
    <s v="NATO"/>
    <x v="3"/>
    <x v="108"/>
    <x v="19"/>
    <n v="10"/>
    <x v="3"/>
    <s v="Ma Xiaotian"/>
    <m/>
    <s v="GSD DCGS"/>
    <n v="6"/>
    <x v="2"/>
    <s v="Director Security Policy Directorate"/>
    <x v="0"/>
    <m/>
    <x v="0"/>
    <m/>
    <x v="1"/>
    <m/>
    <m/>
    <m/>
    <s v="Defense White Paper Appendix"/>
    <m/>
  </r>
  <r>
    <x v="1"/>
    <x v="8"/>
    <s v="Europe and Central Asia"/>
    <s v="No Specific Relationship"/>
    <s v="None"/>
    <x v="3"/>
    <x v="57"/>
    <x v="19"/>
    <n v="10"/>
    <x v="3"/>
    <s v="Chen Bingde"/>
    <m/>
    <s v="GSD Commander; CMC Member"/>
    <n v="8"/>
    <x v="2"/>
    <s v="Defense Minister"/>
    <x v="0"/>
    <m/>
    <x v="0"/>
    <m/>
    <x v="1"/>
    <m/>
    <m/>
    <m/>
    <s v="Defense White Paper Appendix"/>
    <m/>
  </r>
  <r>
    <x v="1"/>
    <x v="8"/>
    <s v="Europe and Central Asia"/>
    <s v="No Specific Relationship"/>
    <s v="None"/>
    <x v="3"/>
    <x v="57"/>
    <x v="19"/>
    <n v="10"/>
    <x v="3"/>
    <s v="Xu Caihou"/>
    <m/>
    <s v="CMC Vice Chairman"/>
    <n v="10"/>
    <x v="2"/>
    <s v="Defense Minister"/>
    <x v="0"/>
    <m/>
    <x v="0"/>
    <m/>
    <x v="1"/>
    <m/>
    <m/>
    <m/>
    <s v="Defense White Paper Appendix"/>
    <m/>
  </r>
  <r>
    <x v="1"/>
    <x v="8"/>
    <s v="Europe and Central Asia"/>
    <s v="No Specific Relationship"/>
    <s v="None"/>
    <x v="3"/>
    <x v="79"/>
    <x v="19"/>
    <n v="10"/>
    <x v="4"/>
    <s v="Ma Xiaotian"/>
    <m/>
    <s v="GSD DCGS"/>
    <n v="6"/>
    <x v="1"/>
    <m/>
    <x v="0"/>
    <m/>
    <x v="0"/>
    <m/>
    <x v="1"/>
    <m/>
    <m/>
    <m/>
    <s v="Defense White Paper Appendix"/>
    <m/>
  </r>
  <r>
    <x v="1"/>
    <x v="8"/>
    <s v="Europe and Central Asia"/>
    <s v="No Specific Relationship"/>
    <s v="None"/>
    <x v="3"/>
    <x v="81"/>
    <x v="19"/>
    <n v="10"/>
    <x v="3"/>
    <s v="Ma Xiaotian"/>
    <m/>
    <s v="GSD DCGS"/>
    <n v="6"/>
    <x v="2"/>
    <s v="Director Planning and Policy Bureau, National Defense Staff"/>
    <x v="0"/>
    <m/>
    <x v="0"/>
    <m/>
    <x v="1"/>
    <m/>
    <m/>
    <m/>
    <s v="Defense White Paper Appendix"/>
    <m/>
  </r>
  <r>
    <x v="1"/>
    <x v="8"/>
    <s v="Europe and Central Asia"/>
    <s v="Comprehensive Strategic Partnership [全面战略伙伴关系]"/>
    <s v="NATO"/>
    <x v="3"/>
    <x v="20"/>
    <x v="19"/>
    <n v="10"/>
    <x v="3"/>
    <s v="Liang Guanglie"/>
    <m/>
    <s v="Defense Minister; CMC Member"/>
    <n v="8"/>
    <x v="2"/>
    <s v="Chief of Defense Staff"/>
    <x v="0"/>
    <m/>
    <x v="0"/>
    <m/>
    <x v="1"/>
    <m/>
    <m/>
    <m/>
    <s v="Defense White Paper Appendix"/>
    <m/>
  </r>
  <r>
    <x v="1"/>
    <x v="4"/>
    <s v="Asia"/>
    <s v="Mutually Beneficial Strategic Relationship [战略互惠关系]"/>
    <s v="Bilateral Defense Treaty"/>
    <x v="0"/>
    <x v="83"/>
    <x v="19"/>
    <n v="10"/>
    <x v="7"/>
    <s v="Liang Guanglie"/>
    <m/>
    <s v="Defense Minister; CMC Member"/>
    <n v="8"/>
    <x v="1"/>
    <s v="Defense Minister"/>
    <x v="0"/>
    <m/>
    <x v="0"/>
    <m/>
    <x v="1"/>
    <m/>
    <m/>
    <m/>
    <s v="Defense White Paper Appendix"/>
    <s v="On Margins of ADMM+ meeting in Hanoi"/>
  </r>
  <r>
    <x v="0"/>
    <x v="7"/>
    <s v="West Asia and Africa"/>
    <s v="No Specific Relationship"/>
    <s v="None"/>
    <x v="4"/>
    <x v="47"/>
    <x v="19"/>
    <n v="10"/>
    <x v="12"/>
    <m/>
    <m/>
    <m/>
    <m/>
    <x v="0"/>
    <m/>
    <x v="0"/>
    <m/>
    <x v="0"/>
    <m/>
    <x v="0"/>
    <s v="2010-11 Peace Ark "/>
    <s v="East Sea Fleet"/>
    <m/>
    <m/>
    <s v="recoded to delete drills"/>
  </r>
  <r>
    <x v="1"/>
    <x v="1"/>
    <s v="Asia"/>
    <s v="Comprehensive Strategic Cooperative Partnership [全面战略合作伙伴关系]"/>
    <s v="None"/>
    <x v="0"/>
    <x v="52"/>
    <x v="19"/>
    <n v="10"/>
    <x v="7"/>
    <s v="Liang Guanglie"/>
    <m/>
    <s v="Defense Minister; CMC Member"/>
    <n v="8"/>
    <x v="1"/>
    <s v="Deputy Prime Minister and Defense Minister"/>
    <x v="0"/>
    <m/>
    <x v="0"/>
    <m/>
    <x v="1"/>
    <m/>
    <m/>
    <m/>
    <s v="Defense White Paper Appendix"/>
    <s v="On Margins of ADMM+ meeting in Hanoi"/>
  </r>
  <r>
    <x v="1"/>
    <x v="4"/>
    <s v="Asia"/>
    <s v="Bilateral Defense Treaty"/>
    <s v="None"/>
    <x v="0"/>
    <x v="9"/>
    <x v="19"/>
    <n v="10"/>
    <x v="4"/>
    <s v="Guo Boxiong"/>
    <m/>
    <s v="CMC Vice Chairman"/>
    <n v="10"/>
    <x v="1"/>
    <s v="KPA Vice Marshal, Vice Chairman CMC and COGS KPA"/>
    <x v="0"/>
    <m/>
    <x v="0"/>
    <m/>
    <x v="1"/>
    <m/>
    <m/>
    <m/>
    <s v="Defense White Paper Appendix"/>
    <m/>
  </r>
  <r>
    <x v="1"/>
    <x v="8"/>
    <s v="Europe and Central Asia"/>
    <s v="No Specific Relationship"/>
    <s v="NATO"/>
    <x v="3"/>
    <x v="59"/>
    <x v="19"/>
    <n v="10"/>
    <x v="3"/>
    <s v="Liang Guanglie"/>
    <m/>
    <s v="Defense Minister; CMC Member"/>
    <n v="8"/>
    <x v="2"/>
    <s v="COGS"/>
    <x v="0"/>
    <m/>
    <x v="0"/>
    <m/>
    <x v="1"/>
    <m/>
    <m/>
    <m/>
    <s v="Defense White Paper Appendix"/>
    <m/>
  </r>
  <r>
    <x v="1"/>
    <x v="8"/>
    <s v="Europe and Central Asia"/>
    <s v="No Specific Relationship"/>
    <s v="NATO"/>
    <x v="3"/>
    <x v="59"/>
    <x v="19"/>
    <n v="10"/>
    <x v="4"/>
    <s v="Ma Xiaotian"/>
    <m/>
    <s v="GSD DCGS"/>
    <n v="6"/>
    <x v="1"/>
    <m/>
    <x v="0"/>
    <m/>
    <x v="0"/>
    <m/>
    <x v="1"/>
    <m/>
    <m/>
    <m/>
    <s v="Defense White Paper Appendix"/>
    <m/>
  </r>
  <r>
    <x v="1"/>
    <x v="7"/>
    <s v="West Asia and Africa"/>
    <s v="No Specific Relationship"/>
    <s v="None"/>
    <x v="4"/>
    <x v="129"/>
    <x v="19"/>
    <n v="10"/>
    <x v="3"/>
    <s v="Liang Guanglie"/>
    <m/>
    <s v="Defense Minister; CMC Member"/>
    <n v="8"/>
    <x v="2"/>
    <s v="Defense Minister"/>
    <x v="0"/>
    <m/>
    <x v="0"/>
    <m/>
    <x v="1"/>
    <m/>
    <m/>
    <m/>
    <s v="Defense White Paper Appendix"/>
    <m/>
  </r>
  <r>
    <x v="0"/>
    <x v="7"/>
    <s v="West Asia and Africa"/>
    <s v="No Specific Relationship"/>
    <s v="None"/>
    <x v="4"/>
    <x v="139"/>
    <x v="19"/>
    <n v="10"/>
    <x v="12"/>
    <m/>
    <m/>
    <m/>
    <m/>
    <x v="0"/>
    <m/>
    <x v="0"/>
    <m/>
    <x v="0"/>
    <m/>
    <x v="0"/>
    <s v="2010-11 Peace Ark "/>
    <s v="East Sea Fleet"/>
    <m/>
    <m/>
    <s v="recoded to delete drills"/>
  </r>
  <r>
    <x v="0"/>
    <x v="7"/>
    <s v="West Asia and Africa"/>
    <s v="No Specific Relationship"/>
    <s v="None"/>
    <x v="4"/>
    <x v="16"/>
    <x v="19"/>
    <n v="10"/>
    <x v="12"/>
    <m/>
    <m/>
    <m/>
    <m/>
    <x v="0"/>
    <m/>
    <x v="0"/>
    <m/>
    <x v="0"/>
    <m/>
    <x v="0"/>
    <s v="2010-11 Peace Ark "/>
    <s v="East Sea Fleet"/>
    <m/>
    <m/>
    <s v="recoded to delete drills"/>
  </r>
  <r>
    <x v="2"/>
    <x v="1"/>
    <s v="Asia"/>
    <s v="Strategic Partnership [战略伙伴关系]"/>
    <s v="Bilateral Defense Treaty"/>
    <x v="0"/>
    <x v="5"/>
    <x v="19"/>
    <n v="10"/>
    <x v="5"/>
    <m/>
    <m/>
    <m/>
    <m/>
    <x v="0"/>
    <m/>
    <x v="1"/>
    <s v="Strike 2010"/>
    <x v="1"/>
    <s v="Anti-terrorism"/>
    <x v="1"/>
    <m/>
    <m/>
    <m/>
    <s v="Defense White Paper Appendix"/>
    <m/>
  </r>
  <r>
    <x v="1"/>
    <x v="1"/>
    <s v="Asia"/>
    <s v="Comprehensive Strategic Cooperative Partnership [全面战略合作伙伴关系]"/>
    <s v="None"/>
    <x v="0"/>
    <x v="23"/>
    <x v="19"/>
    <n v="10"/>
    <x v="4"/>
    <s v="Liang Guanglie"/>
    <m/>
    <s v="Defense Minister; CMC Member"/>
    <n v="8"/>
    <x v="1"/>
    <s v="Vietnamese Prime Minister"/>
    <x v="0"/>
    <m/>
    <x v="0"/>
    <m/>
    <x v="1"/>
    <m/>
    <m/>
    <m/>
    <s v="http://www.china.org.cn/world/2010-10/11/content_21100579.htm"/>
    <m/>
  </r>
  <r>
    <x v="0"/>
    <x v="9"/>
    <s v="West Asia and Africa"/>
    <s v="No Specific Relationship"/>
    <s v="None"/>
    <x v="1"/>
    <x v="135"/>
    <x v="19"/>
    <n v="10"/>
    <x v="9"/>
    <m/>
    <m/>
    <m/>
    <m/>
    <x v="0"/>
    <m/>
    <x v="0"/>
    <m/>
    <x v="0"/>
    <m/>
    <x v="2"/>
    <s v="ETF-06"/>
    <s v="South Sea Fleet"/>
    <s v="LPD998 Kunlun Shan, DDG170 Lanzhou, AOR887 Weishan Hu"/>
    <m/>
    <m/>
  </r>
  <r>
    <x v="1"/>
    <x v="7"/>
    <s v="West Asia and Africa"/>
    <s v="No Specific Relationship"/>
    <s v="None"/>
    <x v="4"/>
    <x v="61"/>
    <x v="19"/>
    <n v="10"/>
    <x v="3"/>
    <s v="Guo Boxiong"/>
    <m/>
    <s v="CMC Vice Chairman"/>
    <n v="10"/>
    <x v="2"/>
    <s v="Defense Minister"/>
    <x v="0"/>
    <m/>
    <x v="0"/>
    <m/>
    <x v="1"/>
    <m/>
    <m/>
    <m/>
    <s v="Defense White Paper Appendix"/>
    <m/>
  </r>
  <r>
    <x v="1"/>
    <x v="5"/>
    <s v="America and Oceania"/>
    <s v="No Specific Relationship"/>
    <s v="ANZUS Treaty"/>
    <x v="0"/>
    <x v="12"/>
    <x v="19"/>
    <n v="11"/>
    <x v="4"/>
    <s v="Ma Xiaotian"/>
    <m/>
    <s v="GSD DCGS"/>
    <n v="6"/>
    <x v="1"/>
    <m/>
    <x v="0"/>
    <m/>
    <x v="0"/>
    <m/>
    <x v="1"/>
    <m/>
    <m/>
    <m/>
    <s v="Defense White Paper Appendix"/>
    <m/>
  </r>
  <r>
    <x v="1"/>
    <x v="0"/>
    <s v="Asia"/>
    <s v="Comprehensive Cooperative Partnership [全面合作伙伴关系]"/>
    <s v="None"/>
    <x v="0"/>
    <x v="0"/>
    <x v="19"/>
    <n v="11"/>
    <x v="3"/>
    <s v="Ma Xiaotian"/>
    <m/>
    <s v="GSD DCGS"/>
    <n v="6"/>
    <x v="2"/>
    <s v="Chief of the Army Staff"/>
    <x v="0"/>
    <m/>
    <x v="0"/>
    <m/>
    <x v="1"/>
    <m/>
    <m/>
    <m/>
    <s v="Defense White Paper Appendix"/>
    <m/>
  </r>
  <r>
    <x v="0"/>
    <x v="0"/>
    <s v="Asia"/>
    <s v="Comprehensive Cooperative Partnership [全面合作伙伴关系]"/>
    <s v="None"/>
    <x v="0"/>
    <x v="0"/>
    <x v="19"/>
    <n v="11"/>
    <x v="12"/>
    <m/>
    <m/>
    <m/>
    <m/>
    <x v="0"/>
    <m/>
    <x v="0"/>
    <m/>
    <x v="0"/>
    <m/>
    <x v="0"/>
    <s v="2010-11 Peace Ark "/>
    <s v="East Sea Fleet"/>
    <s v="http://eng.chinamil.com.cn/special-reports/2010-11/15/content_4674260.htm"/>
    <m/>
    <m/>
  </r>
  <r>
    <x v="1"/>
    <x v="10"/>
    <s v="America and Oceania"/>
    <s v="Comprehensive Strategic Partnership [全面战略伙伴关系]"/>
    <s v="None"/>
    <x v="5"/>
    <x v="43"/>
    <x v="19"/>
    <n v="11"/>
    <x v="4"/>
    <s v="Wu Shengli"/>
    <m/>
    <s v="PLAN Commander; CMC Member"/>
    <n v="8"/>
    <x v="1"/>
    <m/>
    <x v="0"/>
    <m/>
    <x v="0"/>
    <m/>
    <x v="1"/>
    <m/>
    <m/>
    <m/>
    <s v="Defense White Paper Appendix"/>
    <m/>
  </r>
  <r>
    <x v="1"/>
    <x v="10"/>
    <s v="America and Oceania"/>
    <s v="Comprehensive Partnership [全面伙伴关系]"/>
    <s v="None"/>
    <x v="5"/>
    <x v="66"/>
    <x v="19"/>
    <n v="11"/>
    <x v="4"/>
    <s v="Wu Shengli"/>
    <m/>
    <s v="PLAN Commander; CMC Member"/>
    <n v="8"/>
    <x v="1"/>
    <m/>
    <x v="0"/>
    <m/>
    <x v="0"/>
    <m/>
    <x v="1"/>
    <m/>
    <m/>
    <m/>
    <s v="Defense White Paper Appendix"/>
    <m/>
  </r>
  <r>
    <x v="1"/>
    <x v="10"/>
    <s v="America and Oceania"/>
    <s v="No Specific Relationship"/>
    <s v="None"/>
    <x v="5"/>
    <x v="51"/>
    <x v="19"/>
    <n v="11"/>
    <x v="4"/>
    <s v="Chen Bingde"/>
    <m/>
    <s v="GSD Commander; CMC Member"/>
    <n v="8"/>
    <x v="1"/>
    <m/>
    <x v="0"/>
    <m/>
    <x v="0"/>
    <m/>
    <x v="1"/>
    <m/>
    <m/>
    <m/>
    <s v="Defense White Paper Appendix"/>
    <m/>
  </r>
  <r>
    <x v="1"/>
    <x v="7"/>
    <s v="West Asia and Africa"/>
    <s v="No Specific Relationship"/>
    <s v="None"/>
    <x v="4"/>
    <x v="95"/>
    <x v="19"/>
    <n v="11"/>
    <x v="4"/>
    <s v="Li Changcai"/>
    <m/>
    <s v="Lanzhou MR Political Commissar"/>
    <n v="6"/>
    <x v="1"/>
    <m/>
    <x v="0"/>
    <m/>
    <x v="0"/>
    <m/>
    <x v="1"/>
    <m/>
    <m/>
    <m/>
    <s v="Defense White Paper Appendix"/>
    <m/>
  </r>
  <r>
    <x v="1"/>
    <x v="8"/>
    <s v="Europe and Central Asia"/>
    <s v="Strategic Partnership [战略伙伴关系]"/>
    <s v="NATO"/>
    <x v="3"/>
    <x v="18"/>
    <x v="19"/>
    <n v="11"/>
    <x v="3"/>
    <s v="Chen Bingde"/>
    <m/>
    <s v="GSD Commander; CMC Member"/>
    <n v="8"/>
    <x v="2"/>
    <s v="Defense Minister"/>
    <x v="0"/>
    <m/>
    <x v="0"/>
    <m/>
    <x v="1"/>
    <m/>
    <m/>
    <m/>
    <s v="Defense White Paper Appendix"/>
    <m/>
  </r>
  <r>
    <x v="1"/>
    <x v="1"/>
    <s v="Asia"/>
    <s v="Strategic Partnership [战略伙伴关系]"/>
    <s v="None"/>
    <x v="0"/>
    <x v="8"/>
    <x v="19"/>
    <n v="11"/>
    <x v="4"/>
    <s v="Ma Xiaotian"/>
    <m/>
    <s v="GSD DCGS"/>
    <n v="6"/>
    <x v="1"/>
    <m/>
    <x v="0"/>
    <m/>
    <x v="0"/>
    <m/>
    <x v="1"/>
    <m/>
    <m/>
    <m/>
    <s v="Defense White Paper Appendix"/>
    <m/>
  </r>
  <r>
    <x v="1"/>
    <x v="9"/>
    <s v="West Asia and Africa"/>
    <s v="No Specific Relationship"/>
    <s v="Major Non-NATO Ally"/>
    <x v="1"/>
    <x v="101"/>
    <x v="19"/>
    <n v="11"/>
    <x v="4"/>
    <s v="Xu Caihou"/>
    <m/>
    <s v="CMC Vice Chairman"/>
    <n v="10"/>
    <x v="1"/>
    <s v="Chairman JCS"/>
    <x v="0"/>
    <m/>
    <x v="0"/>
    <m/>
    <x v="1"/>
    <m/>
    <m/>
    <m/>
    <s v="Defense White Paper Appendix"/>
    <m/>
  </r>
  <r>
    <x v="1"/>
    <x v="8"/>
    <s v="Europe and Central Asia"/>
    <s v="No Specific Relationship"/>
    <s v="NATO"/>
    <x v="3"/>
    <x v="117"/>
    <x v="19"/>
    <n v="11"/>
    <x v="3"/>
    <s v="Liang Guanglie"/>
    <m/>
    <s v="Defense Minister; CMC Member"/>
    <n v="8"/>
    <x v="2"/>
    <s v="Navy Commander"/>
    <x v="0"/>
    <m/>
    <x v="0"/>
    <m/>
    <x v="1"/>
    <m/>
    <m/>
    <m/>
    <s v="Defense White Paper Appendix"/>
    <m/>
  </r>
  <r>
    <x v="1"/>
    <x v="5"/>
    <s v="America and Oceania"/>
    <s v="No Specific Relationship"/>
    <s v="ANZUS Treaty"/>
    <x v="0"/>
    <x v="13"/>
    <x v="19"/>
    <n v="11"/>
    <x v="4"/>
    <s v="Ma Xiaotian"/>
    <m/>
    <s v="GSD DCGS"/>
    <n v="6"/>
    <x v="1"/>
    <m/>
    <x v="0"/>
    <m/>
    <x v="0"/>
    <m/>
    <x v="1"/>
    <m/>
    <m/>
    <m/>
    <s v="Defense White Paper Appendix"/>
    <m/>
  </r>
  <r>
    <x v="1"/>
    <x v="7"/>
    <s v="West Asia and Africa"/>
    <s v="Strategic Partnership [战略伙伴关系]"/>
    <s v="None"/>
    <x v="4"/>
    <x v="36"/>
    <x v="19"/>
    <n v="11"/>
    <x v="3"/>
    <s v="Xu Qiliang"/>
    <m/>
    <s v="PLAAF Commander; CMC Member"/>
    <n v="8"/>
    <x v="2"/>
    <s v="Chief of Air Staff"/>
    <x v="0"/>
    <m/>
    <x v="0"/>
    <m/>
    <x v="1"/>
    <m/>
    <m/>
    <m/>
    <s v="Defense White Paper Appendix"/>
    <m/>
  </r>
  <r>
    <x v="1"/>
    <x v="0"/>
    <s v="Asia"/>
    <s v="Strategic Partnership [战略伙伴关系]"/>
    <s v="Major Non-NATO Ally"/>
    <x v="1"/>
    <x v="2"/>
    <x v="19"/>
    <n v="11"/>
    <x v="3"/>
    <s v="Xu Qiliang"/>
    <m/>
    <s v="PLAAF Commander; CMC Member"/>
    <n v="8"/>
    <x v="2"/>
    <s v="Chief of the Air Staff"/>
    <x v="0"/>
    <m/>
    <x v="0"/>
    <m/>
    <x v="1"/>
    <m/>
    <m/>
    <m/>
    <s v="http://www.china.org.cn/world/2010-11/18/content_21372399.htm; https://tribune.com.pk/story/78515/air-chief-sees-bright-prospects-for-jf-17-in-aviation-market/; http://www.chinavitae.com/vip/index.php?mode=show&amp;id=9444"/>
    <s v="Can't find PLA counterpart; visit is listed in 2010 defense white paper; he attended Zhuhai air show.  PLAAF commander Xu Qiliang was also at Zhuhai and met with foreign delegations (NFI); CMC VC Guo Boxiong was also there "/>
  </r>
  <r>
    <x v="2"/>
    <x v="10"/>
    <s v="America and Oceania"/>
    <s v="Strategic Partnership [战略伙伴关系]"/>
    <s v="None"/>
    <x v="5"/>
    <x v="54"/>
    <x v="19"/>
    <n v="11"/>
    <x v="5"/>
    <m/>
    <m/>
    <m/>
    <m/>
    <x v="0"/>
    <m/>
    <x v="2"/>
    <s v="Peace Angel 2010"/>
    <x v="1"/>
    <s v=" "/>
    <x v="1"/>
    <m/>
    <m/>
    <s v=" "/>
    <s v="Defense White Paper Appendix; PLA Daily 2010-11-18"/>
    <m/>
  </r>
  <r>
    <x v="1"/>
    <x v="10"/>
    <s v="America and Oceania"/>
    <s v="Strategic Partnership [战略伙伴关系]"/>
    <s v="None"/>
    <x v="5"/>
    <x v="54"/>
    <x v="19"/>
    <n v="11"/>
    <x v="4"/>
    <s v="Chen Bingde"/>
    <m/>
    <s v="GSD Commander; CMC Member"/>
    <n v="8"/>
    <x v="1"/>
    <m/>
    <x v="0"/>
    <m/>
    <x v="0"/>
    <m/>
    <x v="1"/>
    <m/>
    <m/>
    <m/>
    <s v="Defense White Paper Appendix"/>
    <m/>
  </r>
  <r>
    <x v="1"/>
    <x v="1"/>
    <s v="Asia"/>
    <s v="Strategic Cooperative Partnership [战略合作伙伴关系]"/>
    <s v="Bilateral Defense Treaty"/>
    <x v="0"/>
    <x v="11"/>
    <x v="19"/>
    <n v="11"/>
    <x v="4"/>
    <s v="Ma Xiaotian"/>
    <m/>
    <s v="GSD DCGS"/>
    <n v="6"/>
    <x v="1"/>
    <m/>
    <x v="0"/>
    <m/>
    <x v="0"/>
    <m/>
    <x v="1"/>
    <m/>
    <m/>
    <m/>
    <s v="Defense White Paper Appendix"/>
    <m/>
  </r>
  <r>
    <x v="1"/>
    <x v="8"/>
    <s v="Europe and Central Asia"/>
    <s v="Comprehensive Friendly Cooperative Partnership [全面友好合作伙伴关系]"/>
    <s v="NATO"/>
    <x v="3"/>
    <x v="33"/>
    <x v="19"/>
    <n v="11"/>
    <x v="3"/>
    <s v="Guo Boxiong"/>
    <m/>
    <s v="CMC Vice Chairman"/>
    <n v="10"/>
    <x v="2"/>
    <s v="Defense Minister"/>
    <x v="0"/>
    <m/>
    <x v="0"/>
    <m/>
    <x v="1"/>
    <m/>
    <m/>
    <m/>
    <s v="Defense White Paper Appendix"/>
    <m/>
  </r>
  <r>
    <x v="2"/>
    <x v="8"/>
    <s v="Europe and Central Asia"/>
    <s v="Comprehensive Friendly Cooperative Partnership [全面友好合作伙伴关系]"/>
    <s v="NATO"/>
    <x v="3"/>
    <x v="33"/>
    <x v="19"/>
    <n v="11"/>
    <x v="5"/>
    <m/>
    <m/>
    <m/>
    <m/>
    <x v="0"/>
    <m/>
    <x v="1"/>
    <s v="Friendship Operation 2010"/>
    <x v="1"/>
    <s v="Mountain troops"/>
    <x v="1"/>
    <m/>
    <m/>
    <m/>
    <s v="Defense White Paper Appendix"/>
    <m/>
  </r>
  <r>
    <x v="1"/>
    <x v="3"/>
    <s v="Europe and Central Asia"/>
    <s v="Strategic Partnership of Coordination [战略协作伙伴关系]"/>
    <s v="None"/>
    <x v="3"/>
    <x v="7"/>
    <x v="19"/>
    <n v="11"/>
    <x v="3"/>
    <s v="Liang Guanglie"/>
    <m/>
    <s v="Defense Minister; CMC Member"/>
    <n v="8"/>
    <x v="2"/>
    <s v="Defense Minister"/>
    <x v="0"/>
    <m/>
    <x v="0"/>
    <m/>
    <x v="1"/>
    <m/>
    <m/>
    <m/>
    <s v="Defense White Paper Appendix"/>
    <m/>
  </r>
  <r>
    <x v="0"/>
    <x v="9"/>
    <s v="West Asia and Africa"/>
    <s v="No Specific Relationship"/>
    <s v="None"/>
    <x v="1"/>
    <x v="142"/>
    <x v="19"/>
    <n v="11"/>
    <x v="0"/>
    <m/>
    <m/>
    <m/>
    <m/>
    <x v="0"/>
    <m/>
    <x v="0"/>
    <m/>
    <x v="0"/>
    <m/>
    <x v="2"/>
    <s v="ETF-06"/>
    <s v="South Sea Fleet"/>
    <s v="LPD998 Kunlun Shan, DDG170 Lanzhou, AOR887 Weishan Hu"/>
    <m/>
    <m/>
  </r>
  <r>
    <x v="1"/>
    <x v="7"/>
    <s v="West Asia and Africa"/>
    <s v="No Specific Relationship"/>
    <s v="None"/>
    <x v="4"/>
    <x v="90"/>
    <x v="19"/>
    <n v="11"/>
    <x v="3"/>
    <s v="Liang Guanglie"/>
    <m/>
    <s v="Defense Minister; CMC Member"/>
    <n v="8"/>
    <x v="2"/>
    <s v="Defense Minister"/>
    <x v="0"/>
    <m/>
    <x v="0"/>
    <m/>
    <x v="1"/>
    <m/>
    <m/>
    <m/>
    <s v="Defense White Paper Appendix"/>
    <m/>
  </r>
  <r>
    <x v="1"/>
    <x v="1"/>
    <s v="Asia"/>
    <s v="No Specific Relationship"/>
    <s v="None"/>
    <x v="0"/>
    <x v="39"/>
    <x v="19"/>
    <n v="11"/>
    <x v="4"/>
    <s v="Ma Xiaotian"/>
    <m/>
    <s v="GSD DCGS"/>
    <n v="6"/>
    <x v="1"/>
    <m/>
    <x v="0"/>
    <m/>
    <x v="0"/>
    <m/>
    <x v="1"/>
    <m/>
    <m/>
    <m/>
    <s v="Defense White Paper Appendix"/>
    <m/>
  </r>
  <r>
    <x v="2"/>
    <x v="1"/>
    <s v="Asia"/>
    <s v="No Specific Relationship"/>
    <s v="None"/>
    <x v="0"/>
    <x v="39"/>
    <x v="19"/>
    <n v="11"/>
    <x v="5"/>
    <m/>
    <m/>
    <m/>
    <m/>
    <x v="0"/>
    <m/>
    <x v="1"/>
    <s v="Cooperation 2010"/>
    <x v="1"/>
    <s v="Security training"/>
    <x v="1"/>
    <m/>
    <m/>
    <m/>
    <s v="Defense White Paper Appendix"/>
    <m/>
  </r>
  <r>
    <x v="1"/>
    <x v="7"/>
    <s v="West Asia and Africa"/>
    <s v="Comprehensive Strategic Partnership [全面战略伙伴关系]"/>
    <s v="None"/>
    <x v="4"/>
    <x v="15"/>
    <x v="19"/>
    <n v="11"/>
    <x v="3"/>
    <s v="Liang Guanglie"/>
    <m/>
    <s v="Defense Minister; CMC Member"/>
    <n v="8"/>
    <x v="2"/>
    <s v="Secretary of the Ministry of Defense and Commander of the National Defense Force"/>
    <x v="0"/>
    <m/>
    <x v="0"/>
    <m/>
    <x v="1"/>
    <m/>
    <m/>
    <m/>
    <s v="Defense White Paper Appendix"/>
    <m/>
  </r>
  <r>
    <x v="1"/>
    <x v="8"/>
    <s v="Europe and Central Asia"/>
    <s v="No Specific Relationship"/>
    <s v="None"/>
    <x v="3"/>
    <x v="92"/>
    <x v="19"/>
    <n v="11"/>
    <x v="4"/>
    <s v="Li Jinai"/>
    <m/>
    <s v="GPD Director; CMC Member"/>
    <n v="8"/>
    <x v="1"/>
    <m/>
    <x v="0"/>
    <m/>
    <x v="0"/>
    <m/>
    <x v="1"/>
    <m/>
    <m/>
    <m/>
    <s v="Defense White Paper Appendix"/>
    <m/>
  </r>
  <r>
    <x v="1"/>
    <x v="9"/>
    <s v="West Asia and Africa"/>
    <s v="No Specific Relationship"/>
    <s v="None"/>
    <x v="1"/>
    <x v="102"/>
    <x v="19"/>
    <n v="11"/>
    <x v="4"/>
    <s v="Xu Caihou"/>
    <m/>
    <s v="CMC Vice Chairman"/>
    <n v="10"/>
    <x v="1"/>
    <m/>
    <x v="0"/>
    <m/>
    <x v="0"/>
    <m/>
    <x v="1"/>
    <m/>
    <m/>
    <m/>
    <s v="Defense White Paper Appendix"/>
    <m/>
  </r>
  <r>
    <x v="1"/>
    <x v="1"/>
    <s v="Asia"/>
    <s v="Strategic Partnership [战略伙伴关系]"/>
    <s v="Bilateral Defense Treaty"/>
    <x v="0"/>
    <x v="5"/>
    <x v="19"/>
    <n v="11"/>
    <x v="4"/>
    <s v="Ma Xiaotian"/>
    <m/>
    <s v="GSD DCGS"/>
    <n v="6"/>
    <x v="1"/>
    <s v="Defense Minister"/>
    <x v="0"/>
    <m/>
    <x v="0"/>
    <m/>
    <x v="1"/>
    <m/>
    <m/>
    <m/>
    <s v="Defense White Paper Appendix"/>
    <m/>
  </r>
  <r>
    <x v="2"/>
    <x v="1"/>
    <s v="Asia"/>
    <s v="Strategic Partnership [战略伙伴关系]"/>
    <s v="Bilateral Defense Treaty"/>
    <x v="0"/>
    <x v="5"/>
    <x v="19"/>
    <n v="11"/>
    <x v="5"/>
    <m/>
    <m/>
    <m/>
    <m/>
    <x v="0"/>
    <m/>
    <x v="5"/>
    <s v="Blue Strike 2010"/>
    <x v="2"/>
    <s v="Amphibious assault; Marines"/>
    <x v="1"/>
    <m/>
    <m/>
    <m/>
    <s v="Defense White Paper Appendix"/>
    <m/>
  </r>
  <r>
    <x v="1"/>
    <x v="7"/>
    <s v="West Asia and Africa"/>
    <s v="No Specific Relationship"/>
    <s v="Major Non-NATO Ally"/>
    <x v="4"/>
    <x v="85"/>
    <x v="19"/>
    <n v="11"/>
    <x v="4"/>
    <s v="Li Changcai"/>
    <m/>
    <s v="Lanzhou MR Political Commissar"/>
    <n v="6"/>
    <x v="1"/>
    <m/>
    <x v="0"/>
    <m/>
    <x v="0"/>
    <m/>
    <x v="1"/>
    <m/>
    <m/>
    <m/>
    <s v="Defense White Paper Appendix"/>
    <m/>
  </r>
  <r>
    <x v="2"/>
    <x v="8"/>
    <s v="Europe and Central Asia"/>
    <s v="Strategic Cooperative Partnership [战略合作伙伴关系]"/>
    <s v="NATO"/>
    <x v="3"/>
    <x v="38"/>
    <x v="19"/>
    <n v="11"/>
    <x v="5"/>
    <m/>
    <m/>
    <m/>
    <m/>
    <x v="0"/>
    <m/>
    <x v="1"/>
    <m/>
    <x v="1"/>
    <s v="Special forces in hills of turkey"/>
    <x v="1"/>
    <m/>
    <m/>
    <m/>
    <s v="Defense White Paper Appendix; https://jamestown.org/program/sino-turkish-strategic-partnership-implications-of-anatolian-eagle-2010/"/>
    <m/>
  </r>
  <r>
    <x v="1"/>
    <x v="9"/>
    <s v="West Asia and Africa"/>
    <s v="No Specific Relationship"/>
    <s v="None"/>
    <x v="1"/>
    <x v="106"/>
    <x v="19"/>
    <n v="11"/>
    <x v="4"/>
    <s v="Xu Caihou"/>
    <m/>
    <s v="CMC Vice Chairman"/>
    <n v="10"/>
    <x v="1"/>
    <s v="Deputy CinC Armed Forces "/>
    <x v="0"/>
    <m/>
    <x v="0"/>
    <m/>
    <x v="1"/>
    <m/>
    <m/>
    <m/>
    <s v="Defense White Paper Appendix"/>
    <m/>
  </r>
  <r>
    <x v="1"/>
    <x v="8"/>
    <s v="Europe and Central Asia"/>
    <s v="Comprehensive Strategic Partnership [全面战略伙伴关系]"/>
    <s v="NATO"/>
    <x v="3"/>
    <x v="21"/>
    <x v="19"/>
    <n v="11"/>
    <x v="3"/>
    <s v="Liang Guanglie"/>
    <m/>
    <s v="Defense Minister; CMC Member"/>
    <n v="8"/>
    <x v="2"/>
    <s v="COGS"/>
    <x v="0"/>
    <m/>
    <x v="0"/>
    <m/>
    <x v="1"/>
    <m/>
    <m/>
    <m/>
    <s v="Defense White Paper Appendix"/>
    <m/>
  </r>
  <r>
    <x v="1"/>
    <x v="2"/>
    <s v="America and Oceania"/>
    <s v="No Specific Relationship"/>
    <s v="N/A"/>
    <x v="2"/>
    <x v="4"/>
    <x v="19"/>
    <n v="11"/>
    <x v="3"/>
    <s v="Li Jinai"/>
    <m/>
    <s v="GPD Director; CMC Member"/>
    <n v="8"/>
    <x v="2"/>
    <s v="Retired USN Admiral"/>
    <x v="0"/>
    <m/>
    <x v="0"/>
    <m/>
    <x v="1"/>
    <m/>
    <m/>
    <m/>
    <s v="Defense White Paper Appendix"/>
    <m/>
  </r>
  <r>
    <x v="1"/>
    <x v="10"/>
    <s v="America and Oceania"/>
    <s v="Strategic Development Partnership [战略发展伙伴关系]"/>
    <s v="None"/>
    <x v="5"/>
    <x v="56"/>
    <x v="19"/>
    <n v="11"/>
    <x v="4"/>
    <s v="Chen Bingde"/>
    <m/>
    <s v="GSD Commander; CMC Member"/>
    <n v="8"/>
    <x v="1"/>
    <m/>
    <x v="0"/>
    <m/>
    <x v="0"/>
    <m/>
    <x v="1"/>
    <m/>
    <m/>
    <m/>
    <s v="Defense White Paper Appendix"/>
    <m/>
  </r>
  <r>
    <x v="1"/>
    <x v="1"/>
    <s v="Asia"/>
    <s v="Comprehensive Strategic Cooperative Partnership [全面战略合作伙伴关系]"/>
    <s v="None"/>
    <x v="0"/>
    <x v="23"/>
    <x v="19"/>
    <n v="11"/>
    <x v="3"/>
    <s v="Li Jinai"/>
    <m/>
    <s v="GPD Director; CMC Member"/>
    <n v="8"/>
    <x v="2"/>
    <s v="Navy Political Commissar"/>
    <x v="0"/>
    <m/>
    <x v="0"/>
    <m/>
    <x v="1"/>
    <m/>
    <m/>
    <m/>
    <s v="Defense White Paper Appendix"/>
    <m/>
  </r>
  <r>
    <x v="1"/>
    <x v="0"/>
    <s v="Europe and Central Asia"/>
    <s v="Comprehensive Cooperative Partnership [全面合作伙伴关系]"/>
    <s v="Major Non-NATO Ally"/>
    <x v="1"/>
    <x v="123"/>
    <x v="19"/>
    <n v="12"/>
    <x v="3"/>
    <s v="Sun Jianguo"/>
    <m/>
    <s v="GSD DCGS"/>
    <n v="6"/>
    <x v="2"/>
    <s v="Deputy Defense Minister"/>
    <x v="0"/>
    <m/>
    <x v="0"/>
    <m/>
    <x v="1"/>
    <m/>
    <m/>
    <m/>
    <s v="Defense White Paper Appendix"/>
    <m/>
  </r>
  <r>
    <x v="1"/>
    <x v="8"/>
    <s v="Europe and Central Asia"/>
    <s v="No Specific Relationship"/>
    <s v="NATO"/>
    <x v="3"/>
    <x v="108"/>
    <x v="19"/>
    <n v="12"/>
    <x v="3"/>
    <s v="Chen Bingde"/>
    <m/>
    <s v="GSD Commander; CMC Member"/>
    <n v="8"/>
    <x v="2"/>
    <s v="Chief of Defense Staff of the Armed Forces"/>
    <x v="0"/>
    <m/>
    <x v="0"/>
    <m/>
    <x v="1"/>
    <m/>
    <m/>
    <m/>
    <s v="Defense White Paper Appendix"/>
    <m/>
  </r>
  <r>
    <x v="0"/>
    <x v="9"/>
    <s v="West Asia and Africa"/>
    <s v="Friendly Cooperative Partnership [友好合作伙伴关系]"/>
    <s v="Major Non-NATO Ally"/>
    <x v="1"/>
    <x v="146"/>
    <x v="19"/>
    <n v="12"/>
    <x v="0"/>
    <m/>
    <m/>
    <m/>
    <m/>
    <x v="0"/>
    <m/>
    <x v="0"/>
    <m/>
    <x v="0"/>
    <m/>
    <x v="2"/>
    <s v="ETF-06"/>
    <s v="South Sea Fleet"/>
    <s v="LPD998 Kunlun Shan, DDG170 Lanzhou, AOR887 Weishan Hu"/>
    <m/>
    <m/>
  </r>
  <r>
    <x v="1"/>
    <x v="0"/>
    <s v="Asia"/>
    <s v="Comprehensive Cooperative Partnership [全面合作伙伴关系]"/>
    <s v="None"/>
    <x v="0"/>
    <x v="0"/>
    <x v="19"/>
    <n v="12"/>
    <x v="3"/>
    <s v="Ma Xiaotian"/>
    <m/>
    <s v="GSD DCGS"/>
    <n v="6"/>
    <x v="2"/>
    <s v="COGS Army"/>
    <x v="0"/>
    <m/>
    <x v="0"/>
    <m/>
    <x v="1"/>
    <m/>
    <m/>
    <m/>
    <s v="Defense White Paper Appendix"/>
    <m/>
  </r>
  <r>
    <x v="1"/>
    <x v="8"/>
    <s v="Europe and Central Asia"/>
    <s v="Strategic Partnership [战略伙伴关系]"/>
    <s v="NATO"/>
    <x v="3"/>
    <x v="34"/>
    <x v="19"/>
    <n v="12"/>
    <x v="3"/>
    <s v="Ma Xiaotian"/>
    <m/>
    <s v="GSD DCGS"/>
    <n v="6"/>
    <x v="2"/>
    <s v="Assistant to Defense Minister"/>
    <x v="0"/>
    <m/>
    <x v="0"/>
    <m/>
    <x v="1"/>
    <m/>
    <m/>
    <m/>
    <s v="Defense White Paper Appendix"/>
    <m/>
  </r>
  <r>
    <x v="1"/>
    <x v="10"/>
    <s v="America and Oceania"/>
    <s v="No Specific Relationship"/>
    <s v="None"/>
    <x v="5"/>
    <x v="49"/>
    <x v="19"/>
    <n v="12"/>
    <x v="4"/>
    <s v="Ma Xiaotian"/>
    <m/>
    <s v="GSD DCGS"/>
    <n v="6"/>
    <x v="1"/>
    <m/>
    <x v="0"/>
    <m/>
    <x v="0"/>
    <m/>
    <x v="1"/>
    <m/>
    <m/>
    <m/>
    <s v="Defense White Paper Appendix"/>
    <m/>
  </r>
  <r>
    <x v="0"/>
    <x v="9"/>
    <s v="West Asia and Africa"/>
    <s v="No Specific Relationship"/>
    <s v="None"/>
    <x v="1"/>
    <x v="119"/>
    <x v="19"/>
    <n v="12"/>
    <x v="9"/>
    <m/>
    <m/>
    <m/>
    <m/>
    <x v="0"/>
    <m/>
    <x v="0"/>
    <m/>
    <x v="0"/>
    <m/>
    <x v="2"/>
    <s v="ETF-06"/>
    <s v="South Sea Fleet"/>
    <s v="LPD998 Kunlun Shan, DDG170 Lanzhou, AOR887 Weishan Hu; uncertain, could also be ETF-7"/>
    <m/>
    <m/>
  </r>
  <r>
    <x v="1"/>
    <x v="1"/>
    <s v="Asia"/>
    <s v="Strategic Partnership [战略伙伴关系]"/>
    <s v="None"/>
    <x v="0"/>
    <x v="8"/>
    <x v="19"/>
    <n v="12"/>
    <x v="3"/>
    <s v="Ma Xiaotian"/>
    <m/>
    <s v="GSD DCGS"/>
    <n v="6"/>
    <x v="2"/>
    <s v="Chief of the Army Staff"/>
    <x v="0"/>
    <m/>
    <x v="0"/>
    <m/>
    <x v="1"/>
    <m/>
    <m/>
    <m/>
    <s v="Defense White Paper Appendix"/>
    <m/>
  </r>
  <r>
    <x v="0"/>
    <x v="1"/>
    <s v="Asia"/>
    <s v="Strategic Partnership [战略伙伴关系]"/>
    <s v="None"/>
    <x v="0"/>
    <x v="8"/>
    <x v="19"/>
    <n v="12"/>
    <x v="0"/>
    <m/>
    <m/>
    <m/>
    <m/>
    <x v="0"/>
    <m/>
    <x v="0"/>
    <m/>
    <x v="0"/>
    <m/>
    <x v="2"/>
    <s v="ETF-06"/>
    <s v="South Sea Fleet"/>
    <s v="LPD998 Kunlun Shan, DDG170 Lanzhou, AOR887 Weishan Hu"/>
    <m/>
    <m/>
  </r>
  <r>
    <x v="1"/>
    <x v="9"/>
    <s v="West Asia and Africa"/>
    <s v="No Specific Relationship"/>
    <s v="Major Non-NATO Ally"/>
    <x v="1"/>
    <x v="100"/>
    <x v="19"/>
    <n v="12"/>
    <x v="3"/>
    <s v="Liang Guanglie"/>
    <m/>
    <s v="Defense Minister; CMC Member"/>
    <n v="8"/>
    <x v="2"/>
    <s v="Commander of the Navy"/>
    <x v="0"/>
    <m/>
    <x v="0"/>
    <m/>
    <x v="1"/>
    <m/>
    <m/>
    <m/>
    <s v="Defense White Paper Appendix"/>
    <m/>
  </r>
  <r>
    <x v="1"/>
    <x v="9"/>
    <s v="West Asia and Africa"/>
    <s v="No Specific Relationship"/>
    <s v="Major Non-NATO Ally"/>
    <x v="1"/>
    <x v="101"/>
    <x v="19"/>
    <n v="12"/>
    <x v="3"/>
    <s v="Ma Xiaotian"/>
    <m/>
    <s v="GSD DCGS"/>
    <n v="6"/>
    <x v="2"/>
    <s v="Chief of Staff, Strategic Planning"/>
    <x v="0"/>
    <m/>
    <x v="0"/>
    <m/>
    <x v="1"/>
    <m/>
    <m/>
    <m/>
    <s v="Defense White Paper Appendix"/>
    <m/>
  </r>
  <r>
    <x v="1"/>
    <x v="4"/>
    <s v="Asia"/>
    <s v="No Specific Relationship"/>
    <s v="None"/>
    <x v="0"/>
    <x v="53"/>
    <x v="19"/>
    <n v="12"/>
    <x v="3"/>
    <s v="Liang Guanglie"/>
    <m/>
    <s v="Defense Minister; CMC Member"/>
    <n v="8"/>
    <x v="2"/>
    <s v="Defense Minister"/>
    <x v="0"/>
    <m/>
    <x v="0"/>
    <m/>
    <x v="1"/>
    <m/>
    <m/>
    <m/>
    <s v="Defense White Paper Appendix"/>
    <m/>
  </r>
  <r>
    <x v="1"/>
    <x v="1"/>
    <s v="Asia"/>
    <s v="Strategic Cooperative Partnership [战略合作伙伴关系]"/>
    <s v="Bilateral Defense Treaty"/>
    <x v="0"/>
    <x v="11"/>
    <x v="19"/>
    <n v="12"/>
    <x v="3"/>
    <s v="Liang Guanglie"/>
    <m/>
    <s v="Defense Minister; CMC Member"/>
    <n v="8"/>
    <x v="2"/>
    <s v="COGS"/>
    <x v="0"/>
    <m/>
    <x v="0"/>
    <m/>
    <x v="1"/>
    <m/>
    <m/>
    <m/>
    <s v="Defense White Paper Appendix"/>
    <m/>
  </r>
  <r>
    <x v="1"/>
    <x v="1"/>
    <s v="Asia"/>
    <s v="No Specific Relationship"/>
    <s v="None"/>
    <x v="0"/>
    <x v="39"/>
    <x v="19"/>
    <n v="12"/>
    <x v="3"/>
    <s v="Liang Guanglie"/>
    <m/>
    <s v="Defense Minister; CMC Member"/>
    <n v="8"/>
    <x v="2"/>
    <s v="Chief of the Navy Staff"/>
    <x v="0"/>
    <m/>
    <x v="0"/>
    <m/>
    <x v="1"/>
    <m/>
    <m/>
    <m/>
    <s v="Defense White Paper Appendix"/>
    <m/>
  </r>
  <r>
    <x v="0"/>
    <x v="0"/>
    <s v="Asia"/>
    <s v="Comprehensive Cooperative Partnership [全面合作伙伴关系]"/>
    <s v="None"/>
    <x v="0"/>
    <x v="3"/>
    <x v="19"/>
    <n v="12"/>
    <x v="0"/>
    <m/>
    <m/>
    <m/>
    <m/>
    <x v="0"/>
    <m/>
    <x v="0"/>
    <m/>
    <x v="0"/>
    <m/>
    <x v="2"/>
    <s v="ETF-06"/>
    <s v="South Sea Fleet"/>
    <s v="LPD998 Kunlun Shan, DDG170 Lanzhou, AOR887 Weishan Hu"/>
    <m/>
    <m/>
  </r>
  <r>
    <x v="1"/>
    <x v="10"/>
    <s v="America and Oceania"/>
    <s v="No Specific Relationship"/>
    <s v="None"/>
    <x v="5"/>
    <x v="91"/>
    <x v="19"/>
    <n v="12"/>
    <x v="3"/>
    <s v="Liang Guanglie"/>
    <m/>
    <s v="Defense Minister; CMC Member"/>
    <n v="8"/>
    <x v="2"/>
    <s v="Defense Minister"/>
    <x v="0"/>
    <m/>
    <x v="0"/>
    <m/>
    <x v="1"/>
    <m/>
    <m/>
    <m/>
    <s v="Defense White Paper Appendix"/>
    <m/>
  </r>
  <r>
    <x v="1"/>
    <x v="2"/>
    <s v="America and Oceania"/>
    <s v="No Specific Relationship"/>
    <s v="N/A"/>
    <x v="2"/>
    <x v="4"/>
    <x v="19"/>
    <n v="12"/>
    <x v="4"/>
    <s v="Ma Xiaotian"/>
    <m/>
    <s v="GSD DCGS"/>
    <n v="6"/>
    <x v="1"/>
    <m/>
    <x v="0"/>
    <m/>
    <x v="0"/>
    <m/>
    <x v="1"/>
    <m/>
    <m/>
    <m/>
    <s v="Defense White Paper Appendix"/>
    <m/>
  </r>
  <r>
    <x v="1"/>
    <x v="6"/>
    <s v="Europe and Central Asia"/>
    <s v="No Specific Relationship"/>
    <s v="None"/>
    <x v="1"/>
    <x v="73"/>
    <x v="19"/>
    <n v="12"/>
    <x v="3"/>
    <s v="Liang Guanglie"/>
    <m/>
    <s v="Defense Minister; CMC Member"/>
    <n v="8"/>
    <x v="2"/>
    <s v="Deputy Defense Minister"/>
    <x v="0"/>
    <m/>
    <x v="0"/>
    <m/>
    <x v="1"/>
    <m/>
    <m/>
    <m/>
    <s v="Defense White Paper Appendix"/>
    <m/>
  </r>
  <r>
    <x v="1"/>
    <x v="10"/>
    <s v="America and Oceania"/>
    <s v="No Specific Relationship"/>
    <s v="None"/>
    <x v="5"/>
    <x v="51"/>
    <x v="20"/>
    <n v="1"/>
    <x v="3"/>
    <s v="Qi Jianguo"/>
    <m/>
    <s v="GSD Assistant Commander"/>
    <n v="5"/>
    <x v="2"/>
    <m/>
    <x v="0"/>
    <m/>
    <x v="0"/>
    <m/>
    <x v="1"/>
    <m/>
    <m/>
    <m/>
    <m/>
    <m/>
  </r>
  <r>
    <x v="0"/>
    <x v="9"/>
    <s v="West Asia and Africa"/>
    <s v="No Specific Relationship"/>
    <s v="None"/>
    <x v="1"/>
    <x v="147"/>
    <x v="20"/>
    <n v="1"/>
    <x v="9"/>
    <m/>
    <m/>
    <m/>
    <m/>
    <x v="0"/>
    <m/>
    <x v="0"/>
    <m/>
    <x v="0"/>
    <m/>
    <x v="2"/>
    <s v="ETF-07"/>
    <s v="East Sea Fleet"/>
    <s v="FFG529 Zhoushan, FFG530 Xuzhou, AOR886 Qingdao Hu"/>
    <m/>
    <m/>
  </r>
  <r>
    <x v="0"/>
    <x v="9"/>
    <s v="West Asia and Africa"/>
    <s v="No Specific Relationship"/>
    <s v="None"/>
    <x v="1"/>
    <x v="147"/>
    <x v="20"/>
    <n v="1"/>
    <x v="9"/>
    <m/>
    <m/>
    <m/>
    <m/>
    <x v="0"/>
    <m/>
    <x v="0"/>
    <m/>
    <x v="0"/>
    <m/>
    <x v="2"/>
    <s v="ETF-07"/>
    <s v="East Sea Fleet"/>
    <s v="FFG529 Zhoushan, FFG530 Xuzhou, AOR886 Qingdao Hu"/>
    <m/>
    <m/>
  </r>
  <r>
    <x v="1"/>
    <x v="4"/>
    <s v="Asia"/>
    <s v="Strategic Cooperative Partnership [战略合作伙伴关系]"/>
    <s v="Bilateral Defense Treaty"/>
    <x v="0"/>
    <x v="25"/>
    <x v="20"/>
    <n v="1"/>
    <x v="3"/>
    <s v="Ma Xiaotian"/>
    <m/>
    <s v="GSD DCGS"/>
    <n v="6"/>
    <x v="2"/>
    <s v="Director International Policy Bureau of Defense Ministry"/>
    <x v="0"/>
    <m/>
    <x v="0"/>
    <m/>
    <x v="1"/>
    <m/>
    <m/>
    <m/>
    <m/>
    <m/>
  </r>
  <r>
    <x v="1"/>
    <x v="6"/>
    <s v="Europe and Central Asia"/>
    <s v="No Specific Relationship"/>
    <s v="None"/>
    <x v="1"/>
    <x v="60"/>
    <x v="20"/>
    <n v="1"/>
    <x v="3"/>
    <s v="Liang Guanglie"/>
    <m/>
    <s v="Defense Minister; CMC Member"/>
    <n v="8"/>
    <x v="2"/>
    <s v="Defense Minister"/>
    <x v="0"/>
    <m/>
    <x v="0"/>
    <m/>
    <x v="1"/>
    <m/>
    <m/>
    <m/>
    <m/>
    <m/>
  </r>
  <r>
    <x v="1"/>
    <x v="2"/>
    <s v="America and Oceania"/>
    <s v="No Specific Relationship"/>
    <s v="N/A"/>
    <x v="2"/>
    <x v="4"/>
    <x v="20"/>
    <n v="1"/>
    <x v="3"/>
    <s v="Liang Guanglie"/>
    <m/>
    <s v="Defense Minister; CMC Member"/>
    <n v="8"/>
    <x v="2"/>
    <s v="Secretary of Defense"/>
    <x v="0"/>
    <m/>
    <x v="0"/>
    <m/>
    <x v="1"/>
    <m/>
    <m/>
    <m/>
    <m/>
    <m/>
  </r>
  <r>
    <x v="0"/>
    <x v="9"/>
    <s v="West Asia and Africa"/>
    <s v="No Specific Relationship"/>
    <s v="None"/>
    <x v="1"/>
    <x v="119"/>
    <x v="20"/>
    <n v="2"/>
    <x v="9"/>
    <m/>
    <m/>
    <m/>
    <m/>
    <x v="0"/>
    <m/>
    <x v="0"/>
    <m/>
    <x v="0"/>
    <m/>
    <x v="2"/>
    <s v="ETF-07"/>
    <s v="East Sea Fleet"/>
    <s v="FFG529 Zhoushan, FFG530 Xuzhou, AOR886 Qingdao Hu"/>
    <m/>
    <m/>
  </r>
  <r>
    <x v="1"/>
    <x v="6"/>
    <s v="Europe and Central Asia"/>
    <s v="Comprehensive Strategic Partnership [全面战略伙伴关系]"/>
    <s v="None"/>
    <x v="1"/>
    <x v="30"/>
    <x v="20"/>
    <n v="2"/>
    <x v="3"/>
    <s v="Liang Guanglie"/>
    <m/>
    <s v="Defense Minister; CMC Member"/>
    <n v="8"/>
    <x v="2"/>
    <s v="Defense Minister"/>
    <x v="0"/>
    <m/>
    <x v="0"/>
    <m/>
    <x v="1"/>
    <m/>
    <m/>
    <m/>
    <m/>
    <m/>
  </r>
  <r>
    <x v="1"/>
    <x v="0"/>
    <s v="Asia"/>
    <s v="Strategic Partnership [战略伙伴关系]"/>
    <s v="Major Non-NATO Ally"/>
    <x v="1"/>
    <x v="2"/>
    <x v="20"/>
    <n v="2"/>
    <x v="3"/>
    <s v="Chen Bingde"/>
    <m/>
    <s v="GSD Commander; CMC Member"/>
    <n v="8"/>
    <x v="2"/>
    <m/>
    <x v="0"/>
    <m/>
    <x v="0"/>
    <m/>
    <x v="1"/>
    <m/>
    <m/>
    <m/>
    <m/>
    <m/>
  </r>
  <r>
    <x v="1"/>
    <x v="8"/>
    <s v="Europe and Central Asia"/>
    <s v="Strategic Partnership [战略伙伴关系]"/>
    <s v="NATO"/>
    <x v="3"/>
    <x v="59"/>
    <x v="20"/>
    <n v="2"/>
    <x v="3"/>
    <s v="Ma Xiaotian"/>
    <m/>
    <s v="GSD DCGS"/>
    <n v="6"/>
    <x v="2"/>
    <s v="Director for Military Foreign Affairs"/>
    <x v="0"/>
    <m/>
    <x v="0"/>
    <m/>
    <x v="1"/>
    <m/>
    <m/>
    <m/>
    <m/>
    <m/>
  </r>
  <r>
    <x v="1"/>
    <x v="10"/>
    <s v="America and Oceania"/>
    <s v="No Specific Relationship"/>
    <s v="None"/>
    <x v="5"/>
    <x v="42"/>
    <x v="20"/>
    <n v="3"/>
    <x v="4"/>
    <s v="Ma Xiaotian"/>
    <m/>
    <s v="GSD DCGS"/>
    <n v="6"/>
    <x v="1"/>
    <s v="Defense Minister"/>
    <x v="0"/>
    <m/>
    <x v="0"/>
    <m/>
    <x v="1"/>
    <m/>
    <m/>
    <m/>
    <m/>
    <m/>
  </r>
  <r>
    <x v="0"/>
    <x v="8"/>
    <s v="Europe and Central Asia"/>
    <s v="Comprehensive Strategic Partnership [全面战略伙伴关系]"/>
    <s v="NATO"/>
    <x v="3"/>
    <x v="29"/>
    <x v="20"/>
    <n v="3"/>
    <x v="9"/>
    <m/>
    <m/>
    <m/>
    <m/>
    <x v="0"/>
    <m/>
    <x v="0"/>
    <m/>
    <x v="0"/>
    <m/>
    <x v="2"/>
    <s v="ETF-07"/>
    <s v="East Sea Fleet"/>
    <s v="FFG529 Zhoushan, FFG530 Xuzhou, AOR886 Qingdao Hu; Unknown, could also be ETF-8"/>
    <m/>
    <m/>
  </r>
  <r>
    <x v="1"/>
    <x v="1"/>
    <s v="Asia"/>
    <s v="Strategic Partnership [战略伙伴关系]"/>
    <s v="None"/>
    <x v="0"/>
    <x v="8"/>
    <x v="20"/>
    <n v="3"/>
    <x v="4"/>
    <s v="Ma Xiaotian"/>
    <m/>
    <s v="GSD DCGS"/>
    <n v="6"/>
    <x v="1"/>
    <s v="President"/>
    <x v="0"/>
    <m/>
    <x v="0"/>
    <m/>
    <x v="1"/>
    <m/>
    <m/>
    <m/>
    <m/>
    <m/>
  </r>
  <r>
    <x v="1"/>
    <x v="8"/>
    <s v="Europe and Central Asia"/>
    <s v="Comprehensive Strategic Partnership [全面战略伙伴关系]"/>
    <s v="NATO"/>
    <x v="3"/>
    <x v="20"/>
    <x v="20"/>
    <n v="3"/>
    <x v="3"/>
    <s v="Liang Guanglie"/>
    <m/>
    <s v="Defense Minister; CMC Member"/>
    <n v="8"/>
    <x v="2"/>
    <s v="Army Chief of Staff"/>
    <x v="0"/>
    <m/>
    <x v="0"/>
    <m/>
    <x v="1"/>
    <m/>
    <m/>
    <m/>
    <m/>
    <m/>
  </r>
  <r>
    <x v="1"/>
    <x v="6"/>
    <s v="Europe and Central Asia"/>
    <s v="Comprehensive Strategic Partnership [全面战略伙伴关系]"/>
    <s v="None"/>
    <x v="1"/>
    <x v="30"/>
    <x v="20"/>
    <n v="3"/>
    <x v="4"/>
    <s v="Liang Guanglie"/>
    <m/>
    <s v="Defense Minister; CMC Member"/>
    <n v="8"/>
    <x v="1"/>
    <m/>
    <x v="0"/>
    <m/>
    <x v="0"/>
    <m/>
    <x v="1"/>
    <m/>
    <m/>
    <m/>
    <m/>
    <m/>
  </r>
  <r>
    <x v="1"/>
    <x v="6"/>
    <s v="Europe and Central Asia"/>
    <s v="No Specific Relationship"/>
    <s v="None"/>
    <x v="1"/>
    <x v="31"/>
    <x v="20"/>
    <n v="3"/>
    <x v="7"/>
    <s v="Liang Guanglie"/>
    <m/>
    <s v="Defense Minister; CMC Member"/>
    <n v="8"/>
    <x v="1"/>
    <s v="Defense Minister"/>
    <x v="0"/>
    <m/>
    <x v="0"/>
    <m/>
    <x v="1"/>
    <m/>
    <m/>
    <m/>
    <m/>
    <m/>
  </r>
  <r>
    <x v="1"/>
    <x v="1"/>
    <s v="Asia"/>
    <s v="Comprehensive Strategic Cooperative Partnership [全面战略合作伙伴关系]"/>
    <s v="None"/>
    <x v="0"/>
    <x v="1"/>
    <x v="20"/>
    <n v="3"/>
    <x v="4"/>
    <s v="Jia Tingan"/>
    <m/>
    <s v="GPD Deputy Director"/>
    <n v="6"/>
    <x v="1"/>
    <m/>
    <x v="0"/>
    <m/>
    <x v="0"/>
    <m/>
    <x v="1"/>
    <m/>
    <m/>
    <m/>
    <m/>
    <m/>
  </r>
  <r>
    <x v="1"/>
    <x v="0"/>
    <s v="Asia"/>
    <s v="All-Round Strategic Partnership  [全面合作伙伴关系]"/>
    <s v="None"/>
    <x v="0"/>
    <x v="32"/>
    <x v="20"/>
    <n v="3"/>
    <x v="4"/>
    <s v="Chen Bingde"/>
    <m/>
    <s v="GSD Commander; CMC Member"/>
    <n v="8"/>
    <x v="1"/>
    <s v="Chief of Staff Army"/>
    <x v="0"/>
    <m/>
    <x v="0"/>
    <m/>
    <x v="1"/>
    <m/>
    <m/>
    <m/>
    <m/>
    <m/>
  </r>
  <r>
    <x v="0"/>
    <x v="0"/>
    <s v="Asia"/>
    <s v="Strategic Partnership [战略伙伴关系]"/>
    <s v="Major Non-NATO Ally"/>
    <x v="1"/>
    <x v="2"/>
    <x v="20"/>
    <n v="3"/>
    <x v="10"/>
    <m/>
    <m/>
    <m/>
    <m/>
    <x v="0"/>
    <m/>
    <x v="0"/>
    <m/>
    <x v="0"/>
    <m/>
    <x v="2"/>
    <s v="ETF-08"/>
    <s v="East Sea Fleet"/>
    <s v="FFG525 Ma'anshan, FFG526 Wenzhou, AOR886 Qiandao Hu"/>
    <m/>
    <m/>
  </r>
  <r>
    <x v="2"/>
    <x v="0"/>
    <s v="Asia"/>
    <s v="Strategic Partnership [战略伙伴关系]"/>
    <s v="Major Non-NATO Ally"/>
    <x v="1"/>
    <x v="2"/>
    <x v="20"/>
    <n v="3"/>
    <x v="6"/>
    <m/>
    <m/>
    <m/>
    <m/>
    <x v="0"/>
    <m/>
    <x v="2"/>
    <s v="Aman"/>
    <x v="2"/>
    <s v="Special Forces; Pakistan and 13 other countries"/>
    <x v="1"/>
    <m/>
    <m/>
    <m/>
    <m/>
    <m/>
  </r>
  <r>
    <x v="2"/>
    <x v="0"/>
    <s v="Asia"/>
    <s v="Strategic Partnership [战略伙伴关系]"/>
    <s v="Major Non-NATO Ally"/>
    <x v="1"/>
    <x v="2"/>
    <x v="20"/>
    <n v="3"/>
    <x v="5"/>
    <m/>
    <m/>
    <m/>
    <m/>
    <x v="0"/>
    <m/>
    <x v="4"/>
    <s v="Unknown Karachi 2011"/>
    <x v="2"/>
    <s v="13 March 2011, joint drills and friendy visit from anti-piracy ETF, Six Years p. 129 - after Aman 2011"/>
    <x v="1"/>
    <m/>
    <m/>
    <m/>
    <m/>
    <m/>
  </r>
  <r>
    <x v="2"/>
    <x v="0"/>
    <s v="Asia"/>
    <s v="Strategic Partnership [战略伙伴关系]"/>
    <s v="Major Non-NATO Ally"/>
    <x v="1"/>
    <x v="2"/>
    <x v="20"/>
    <n v="3"/>
    <x v="5"/>
    <m/>
    <m/>
    <m/>
    <m/>
    <x v="0"/>
    <m/>
    <x v="3"/>
    <s v="Shaheen-1"/>
    <x v="5"/>
    <s v="Operational aerial maneuvers"/>
    <x v="1"/>
    <m/>
    <m/>
    <m/>
    <m/>
    <m/>
  </r>
  <r>
    <x v="1"/>
    <x v="1"/>
    <s v="Asia"/>
    <s v="Strategic Cooperative Partnership [战略合作伙伴关系]"/>
    <s v="Bilateral Defense Treaty"/>
    <x v="0"/>
    <x v="11"/>
    <x v="20"/>
    <n v="3"/>
    <x v="4"/>
    <s v="Jia Tingan"/>
    <m/>
    <s v="GPD Deputy Director"/>
    <n v="6"/>
    <x v="1"/>
    <m/>
    <x v="0"/>
    <m/>
    <x v="0"/>
    <m/>
    <x v="1"/>
    <m/>
    <m/>
    <m/>
    <m/>
    <m/>
  </r>
  <r>
    <x v="1"/>
    <x v="6"/>
    <s v="Europe and Central Asia"/>
    <s v="Member"/>
    <s v="None"/>
    <x v="1"/>
    <x v="14"/>
    <x v="20"/>
    <n v="3"/>
    <x v="1"/>
    <s v="Liang Guanglie"/>
    <m/>
    <s v="Defense Minister; CMC Member"/>
    <n v="8"/>
    <x v="1"/>
    <s v="Eighth official meeting of the SCO Ministers' of Defense in Astana; Other countries: Kazakhstan, Kyrgyztan, Russia, Tajikistan, Uzbekistan"/>
    <x v="0"/>
    <m/>
    <x v="0"/>
    <m/>
    <x v="1"/>
    <m/>
    <m/>
    <m/>
    <s v="http://eng.sectsco.org/load/199343/"/>
    <m/>
  </r>
  <r>
    <x v="1"/>
    <x v="8"/>
    <s v="Europe and Central Asia"/>
    <s v="Comprehensive Strategic Partnership [全面战略伙伴关系]"/>
    <s v="NATO"/>
    <x v="3"/>
    <x v="21"/>
    <x v="20"/>
    <n v="3"/>
    <x v="3"/>
    <s v="Xu Caihou"/>
    <m/>
    <s v="CMC Vice Chairman"/>
    <n v="10"/>
    <x v="2"/>
    <s v="Retired British Generals"/>
    <x v="0"/>
    <m/>
    <x v="0"/>
    <m/>
    <x v="1"/>
    <m/>
    <m/>
    <m/>
    <m/>
    <m/>
  </r>
  <r>
    <x v="1"/>
    <x v="10"/>
    <s v="America and Oceania"/>
    <s v="No Specific Relationship"/>
    <s v="None"/>
    <x v="5"/>
    <x v="107"/>
    <x v="20"/>
    <n v="3"/>
    <x v="4"/>
    <s v="Ma Xiaotian"/>
    <m/>
    <s v="GSD DCGS"/>
    <n v="6"/>
    <x v="1"/>
    <s v="Defense Minister"/>
    <x v="0"/>
    <m/>
    <x v="0"/>
    <m/>
    <x v="1"/>
    <m/>
    <m/>
    <m/>
    <m/>
    <m/>
  </r>
  <r>
    <x v="1"/>
    <x v="6"/>
    <s v="Europe and Central Asia"/>
    <s v="No Specific Relationship"/>
    <s v="None"/>
    <x v="1"/>
    <x v="73"/>
    <x v="20"/>
    <n v="3"/>
    <x v="4"/>
    <s v="Liang Guanglie"/>
    <m/>
    <s v="Defense Minister; CMC Member"/>
    <n v="8"/>
    <x v="1"/>
    <m/>
    <x v="0"/>
    <m/>
    <x v="0"/>
    <m/>
    <x v="1"/>
    <m/>
    <m/>
    <m/>
    <m/>
    <m/>
  </r>
  <r>
    <x v="1"/>
    <x v="7"/>
    <s v="West Asia and Africa"/>
    <s v="Friendly Cooperative Relationship [友好合作关系]"/>
    <s v="None"/>
    <x v="4"/>
    <x v="65"/>
    <x v="20"/>
    <n v="4"/>
    <x v="3"/>
    <s v="Guo Boxiong"/>
    <m/>
    <s v="CMC Vice Chairman"/>
    <n v="10"/>
    <x v="2"/>
    <s v="Defense Minister"/>
    <x v="0"/>
    <m/>
    <x v="0"/>
    <m/>
    <x v="1"/>
    <m/>
    <m/>
    <m/>
    <m/>
    <m/>
  </r>
  <r>
    <x v="1"/>
    <x v="8"/>
    <s v="Europe and Central Asia"/>
    <s v="No Specific Relationship"/>
    <s v="None"/>
    <x v="3"/>
    <x v="98"/>
    <x v="20"/>
    <n v="4"/>
    <x v="4"/>
    <s v="Ma Xiaotian"/>
    <m/>
    <s v="GSD DCGS"/>
    <n v="6"/>
    <x v="1"/>
    <s v="President"/>
    <x v="0"/>
    <m/>
    <x v="0"/>
    <m/>
    <x v="1"/>
    <m/>
    <m/>
    <m/>
    <m/>
    <m/>
  </r>
  <r>
    <x v="1"/>
    <x v="1"/>
    <s v="Asia"/>
    <s v="Strategic Partnership [战略伙伴关系]"/>
    <s v="None"/>
    <x v="0"/>
    <x v="8"/>
    <x v="20"/>
    <n v="4"/>
    <x v="3"/>
    <s v="Sun Jianguo"/>
    <m/>
    <s v="GSD DCGS"/>
    <n v="6"/>
    <x v="2"/>
    <s v="Deputy Chief of Staff Army"/>
    <x v="0"/>
    <m/>
    <x v="0"/>
    <m/>
    <x v="1"/>
    <m/>
    <m/>
    <m/>
    <m/>
    <m/>
  </r>
  <r>
    <x v="1"/>
    <x v="6"/>
    <s v="Europe and Central Asia"/>
    <s v="Comprehensive Strategic Partnership [全面战略伙伴关系]"/>
    <s v="None"/>
    <x v="1"/>
    <x v="30"/>
    <x v="20"/>
    <n v="4"/>
    <x v="7"/>
    <s v="Chen Bingde"/>
    <m/>
    <s v="GSD Commander; CMC Member"/>
    <n v="8"/>
    <x v="2"/>
    <s v="First Deputy Defense Minister"/>
    <x v="0"/>
    <m/>
    <x v="0"/>
    <m/>
    <x v="1"/>
    <m/>
    <m/>
    <m/>
    <m/>
    <m/>
  </r>
  <r>
    <x v="1"/>
    <x v="6"/>
    <s v="Europe and Central Asia"/>
    <s v="No Specific Relationship"/>
    <s v="None"/>
    <x v="1"/>
    <x v="31"/>
    <x v="20"/>
    <n v="4"/>
    <x v="7"/>
    <s v="Chen Bingde"/>
    <m/>
    <s v="GSD Commander; CMC Member"/>
    <n v="8"/>
    <x v="2"/>
    <s v="Deputy Defense Minister"/>
    <x v="0"/>
    <m/>
    <x v="0"/>
    <m/>
    <x v="1"/>
    <m/>
    <m/>
    <m/>
    <m/>
    <m/>
  </r>
  <r>
    <x v="0"/>
    <x v="9"/>
    <s v="West Asia and Africa"/>
    <s v="No Specific Relationship"/>
    <s v="None"/>
    <x v="1"/>
    <x v="147"/>
    <x v="20"/>
    <n v="4"/>
    <x v="9"/>
    <m/>
    <m/>
    <m/>
    <m/>
    <x v="0"/>
    <m/>
    <x v="0"/>
    <m/>
    <x v="0"/>
    <m/>
    <x v="2"/>
    <s v="ETF-07"/>
    <s v="East Sea Fleet"/>
    <s v="FFG529 Zhoushan, FFG530 Xuzhou, AOR886 Qingdao Hu; Unknown, could also be ETF-8"/>
    <m/>
    <m/>
  </r>
  <r>
    <x v="1"/>
    <x v="8"/>
    <s v="Europe and Central Asia"/>
    <s v="Comprehensive Friendly Cooperative Partnership [全面友好合作伙伴关系]"/>
    <s v="NATO"/>
    <x v="3"/>
    <x v="33"/>
    <x v="20"/>
    <n v="4"/>
    <x v="3"/>
    <s v="Li Jinai"/>
    <m/>
    <s v="GPD Director; CMC Member"/>
    <n v="8"/>
    <x v="2"/>
    <s v="State Secretary of Defense Ministry"/>
    <x v="0"/>
    <m/>
    <x v="0"/>
    <m/>
    <x v="1"/>
    <m/>
    <m/>
    <m/>
    <m/>
    <m/>
  </r>
  <r>
    <x v="1"/>
    <x v="3"/>
    <s v="Europe and Central Asia"/>
    <s v="Strategic Partnership of Coordination [战略协作伙伴关系]"/>
    <s v="None"/>
    <x v="3"/>
    <x v="7"/>
    <x v="20"/>
    <n v="4"/>
    <x v="7"/>
    <s v="Chen Bingde"/>
    <m/>
    <s v="GSD Commander; CMC Member"/>
    <n v="8"/>
    <x v="2"/>
    <s v="Deputy Defense Minister and COGS"/>
    <x v="0"/>
    <m/>
    <x v="0"/>
    <m/>
    <x v="1"/>
    <m/>
    <m/>
    <m/>
    <m/>
    <m/>
  </r>
  <r>
    <x v="1"/>
    <x v="6"/>
    <s v="Europe and Central Asia"/>
    <s v="Member"/>
    <s v="None"/>
    <x v="1"/>
    <x v="14"/>
    <x v="20"/>
    <n v="4"/>
    <x v="2"/>
    <s v="Chen Bingde"/>
    <m/>
    <s v="GSD Commander; CMC Member"/>
    <n v="8"/>
    <x v="2"/>
    <s v="First meeting of SCO military chiefs of staff in Shanghai"/>
    <x v="0"/>
    <m/>
    <x v="0"/>
    <m/>
    <x v="1"/>
    <m/>
    <m/>
    <m/>
    <s v="http://www.china.org.cn/world/2011-04/26/content_22438509.htm"/>
    <m/>
  </r>
  <r>
    <x v="0"/>
    <x v="7"/>
    <s v="West Asia and Africa"/>
    <s v="No Specific Relationship"/>
    <s v="None"/>
    <x v="4"/>
    <x v="139"/>
    <x v="20"/>
    <n v="4"/>
    <x v="0"/>
    <m/>
    <m/>
    <m/>
    <m/>
    <x v="0"/>
    <m/>
    <x v="0"/>
    <m/>
    <x v="0"/>
    <m/>
    <x v="2"/>
    <s v="ETF-07"/>
    <s v="East Sea Fleet"/>
    <s v="FFG529 Zhoushan, FFG530 Xuzhou, AOR886 Qingdao Hu"/>
    <m/>
    <m/>
  </r>
  <r>
    <x v="0"/>
    <x v="7"/>
    <s v="West Asia and Africa"/>
    <s v="Comprehensive Strategic Partnership [全面战略伙伴关系]"/>
    <s v="None"/>
    <x v="4"/>
    <x v="15"/>
    <x v="20"/>
    <n v="4"/>
    <x v="0"/>
    <m/>
    <m/>
    <m/>
    <m/>
    <x v="0"/>
    <m/>
    <x v="0"/>
    <m/>
    <x v="0"/>
    <m/>
    <x v="2"/>
    <s v="ETF-07"/>
    <s v="East Sea Fleet"/>
    <s v="FFG529 Zhoushan, FFG530 Xuzhou, AOR886 Qingdao Hu"/>
    <m/>
    <m/>
  </r>
  <r>
    <x v="1"/>
    <x v="0"/>
    <s v="Asia"/>
    <s v="Comprehensive Cooperative Partnership [全面合作伙伴关系]"/>
    <s v="None"/>
    <x v="0"/>
    <x v="3"/>
    <x v="20"/>
    <n v="4"/>
    <x v="3"/>
    <s v="Chen Yong"/>
    <m/>
    <s v="GSD Assistant Commander"/>
    <n v="5"/>
    <x v="2"/>
    <m/>
    <x v="0"/>
    <m/>
    <x v="0"/>
    <m/>
    <x v="1"/>
    <m/>
    <m/>
    <m/>
    <m/>
    <m/>
  </r>
  <r>
    <x v="1"/>
    <x v="6"/>
    <s v="Europe and Central Asia"/>
    <s v="No Specific Relationship"/>
    <s v="None"/>
    <x v="1"/>
    <x v="60"/>
    <x v="20"/>
    <n v="4"/>
    <x v="7"/>
    <s v="Chen Bingde"/>
    <m/>
    <s v="GSD Commander; CMC Member"/>
    <n v="8"/>
    <x v="2"/>
    <m/>
    <x v="0"/>
    <m/>
    <x v="0"/>
    <m/>
    <x v="1"/>
    <m/>
    <m/>
    <m/>
    <m/>
    <m/>
  </r>
  <r>
    <x v="1"/>
    <x v="1"/>
    <s v="Asia"/>
    <s v="Strategic Partnership [战略伙伴关系]"/>
    <s v="Bilateral Defense Treaty"/>
    <x v="0"/>
    <x v="5"/>
    <x v="20"/>
    <n v="4"/>
    <x v="3"/>
    <s v="Guo Boxiong"/>
    <m/>
    <s v="CMC Vice Chairman"/>
    <n v="10"/>
    <x v="2"/>
    <s v="First Deputy Prime Minister"/>
    <x v="0"/>
    <m/>
    <x v="0"/>
    <m/>
    <x v="1"/>
    <m/>
    <m/>
    <m/>
    <m/>
    <m/>
  </r>
  <r>
    <x v="1"/>
    <x v="8"/>
    <s v="Europe and Central Asia"/>
    <s v="Strategic Cooperative Partnership [战略合作伙伴关系]"/>
    <s v="NATO"/>
    <x v="3"/>
    <x v="38"/>
    <x v="20"/>
    <n v="4"/>
    <x v="4"/>
    <s v="Ma Xiaotian"/>
    <m/>
    <s v="GSD DCGS"/>
    <n v="6"/>
    <x v="1"/>
    <m/>
    <x v="0"/>
    <m/>
    <x v="0"/>
    <m/>
    <x v="1"/>
    <m/>
    <m/>
    <m/>
    <m/>
    <m/>
  </r>
  <r>
    <x v="1"/>
    <x v="8"/>
    <s v="Europe and Central Asia"/>
    <s v="Comprehensive Strategic Partnership [全面战略伙伴关系]"/>
    <s v="NATO"/>
    <x v="3"/>
    <x v="21"/>
    <x v="20"/>
    <n v="4"/>
    <x v="3"/>
    <s v="Chen Bingde"/>
    <m/>
    <s v="GSD Commander; CMC Member"/>
    <n v="8"/>
    <x v="2"/>
    <s v="Deputy Chief of Defense Staff"/>
    <x v="0"/>
    <m/>
    <x v="0"/>
    <m/>
    <x v="1"/>
    <m/>
    <m/>
    <m/>
    <m/>
    <m/>
  </r>
  <r>
    <x v="1"/>
    <x v="2"/>
    <s v="America and Oceania"/>
    <s v="No Specific Relationship"/>
    <s v="N/A"/>
    <x v="2"/>
    <x v="4"/>
    <x v="20"/>
    <n v="4"/>
    <x v="3"/>
    <s v="Chen Bingde"/>
    <m/>
    <s v="GSD Commander; CMC Member"/>
    <n v="8"/>
    <x v="2"/>
    <m/>
    <x v="0"/>
    <m/>
    <x v="0"/>
    <m/>
    <x v="1"/>
    <m/>
    <m/>
    <m/>
    <m/>
    <m/>
  </r>
  <r>
    <x v="1"/>
    <x v="6"/>
    <s v="Europe and Central Asia"/>
    <s v="No Specific Relationship"/>
    <s v="None"/>
    <x v="1"/>
    <x v="73"/>
    <x v="20"/>
    <n v="4"/>
    <x v="7"/>
    <s v="Chen Bingde"/>
    <m/>
    <s v="GSD Commander; CMC Member"/>
    <n v="8"/>
    <x v="2"/>
    <s v="Deputy Defense Minister"/>
    <x v="0"/>
    <m/>
    <x v="0"/>
    <m/>
    <x v="1"/>
    <m/>
    <m/>
    <m/>
    <m/>
    <m/>
  </r>
  <r>
    <x v="1"/>
    <x v="1"/>
    <s v="Asia"/>
    <s v="Comprehensive Strategic Cooperative Partnership [全面战略合作伙伴关系]"/>
    <s v="None"/>
    <x v="0"/>
    <x v="23"/>
    <x v="20"/>
    <n v="4"/>
    <x v="4"/>
    <s v="Guo Boxiong"/>
    <m/>
    <s v="CMC Vice Chairman"/>
    <n v="10"/>
    <x v="1"/>
    <s v="Defense Minister"/>
    <x v="0"/>
    <m/>
    <x v="0"/>
    <m/>
    <x v="1"/>
    <m/>
    <m/>
    <m/>
    <m/>
    <m/>
  </r>
  <r>
    <x v="1"/>
    <x v="7"/>
    <s v="West Asia and Africa"/>
    <s v="No Specific Relationship"/>
    <s v="None"/>
    <x v="4"/>
    <x v="61"/>
    <x v="20"/>
    <n v="4"/>
    <x v="3"/>
    <s v="Liang Guanglie"/>
    <m/>
    <s v="Defense Minister; CMC Member"/>
    <n v="8"/>
    <x v="2"/>
    <s v="Army Commander LTG"/>
    <x v="0"/>
    <m/>
    <x v="0"/>
    <m/>
    <x v="1"/>
    <m/>
    <m/>
    <m/>
    <m/>
    <m/>
  </r>
  <r>
    <x v="1"/>
    <x v="1"/>
    <s v="Asia"/>
    <s v="Strategic Partnership [战略伙伴关系] for Peace and Prosperity"/>
    <s v="None"/>
    <x v="0"/>
    <x v="153"/>
    <x v="20"/>
    <n v="5"/>
    <x v="1"/>
    <s v="Liang Guanglie"/>
    <m/>
    <s v="Defense Minister; CMC Member"/>
    <n v="8"/>
    <x v="1"/>
    <s v="First China-ASEAN Defense Ministers' Informal Meeting in Indonesia"/>
    <x v="0"/>
    <m/>
    <x v="0"/>
    <m/>
    <x v="1"/>
    <m/>
    <m/>
    <m/>
    <s v="https://aidsdatahub.org/sites/default/files/documents/ASEAN_annual_report_2011_7.10.pdf"/>
    <s v="corrected partnership to strategic partnership for peace and prosperity"/>
  </r>
  <r>
    <x v="1"/>
    <x v="8"/>
    <s v="Europe and Central Asia"/>
    <s v="Strategic Partnership [战略伙伴关系]"/>
    <s v="NATO"/>
    <x v="3"/>
    <x v="18"/>
    <x v="20"/>
    <n v="5"/>
    <x v="4"/>
    <s v="Zhang Qinsheng"/>
    <m/>
    <s v="GSD DCGS"/>
    <n v="6"/>
    <x v="1"/>
    <m/>
    <x v="0"/>
    <m/>
    <x v="0"/>
    <m/>
    <x v="1"/>
    <m/>
    <m/>
    <m/>
    <m/>
    <m/>
  </r>
  <r>
    <x v="1"/>
    <x v="1"/>
    <s v="Asia"/>
    <s v="Strategic Partnership [战略伙伴关系]"/>
    <s v="None"/>
    <x v="0"/>
    <x v="8"/>
    <x v="20"/>
    <n v="5"/>
    <x v="4"/>
    <s v="Liang Guanglie"/>
    <m/>
    <s v="Defense Minister; CMC Member"/>
    <n v="8"/>
    <x v="1"/>
    <m/>
    <x v="0"/>
    <m/>
    <x v="0"/>
    <m/>
    <x v="1"/>
    <m/>
    <m/>
    <m/>
    <m/>
    <m/>
  </r>
  <r>
    <x v="1"/>
    <x v="1"/>
    <s v="Asia"/>
    <s v="Comprehensive Strategic Cooperative Partnership [全面战略合作伙伴关系]"/>
    <s v="None"/>
    <x v="0"/>
    <x v="52"/>
    <x v="20"/>
    <n v="5"/>
    <x v="3"/>
    <s v="Chen Yong"/>
    <m/>
    <s v="GSD Assistant Commander"/>
    <n v="5"/>
    <x v="2"/>
    <m/>
    <x v="0"/>
    <m/>
    <x v="0"/>
    <m/>
    <x v="1"/>
    <m/>
    <m/>
    <m/>
    <m/>
    <m/>
  </r>
  <r>
    <x v="1"/>
    <x v="1"/>
    <s v="Asia"/>
    <s v="Comprehensive Strategic Cooperative Partnership [全面战略合作伙伴关系]"/>
    <s v="None"/>
    <x v="0"/>
    <x v="1"/>
    <x v="20"/>
    <n v="5"/>
    <x v="4"/>
    <s v="Xu Caihou"/>
    <m/>
    <s v="CMC Vice Chairman"/>
    <n v="10"/>
    <x v="1"/>
    <s v="CinC Armed Forces"/>
    <x v="0"/>
    <m/>
    <x v="0"/>
    <m/>
    <x v="1"/>
    <m/>
    <m/>
    <m/>
    <m/>
    <m/>
  </r>
  <r>
    <x v="1"/>
    <x v="4"/>
    <s v="Asia"/>
    <s v="Bilateral Defense Treaty"/>
    <s v="None"/>
    <x v="0"/>
    <x v="9"/>
    <x v="20"/>
    <n v="5"/>
    <x v="3"/>
    <s v="Chen Yong"/>
    <m/>
    <s v="GSD Assistant Commander"/>
    <n v="5"/>
    <x v="2"/>
    <m/>
    <x v="0"/>
    <m/>
    <x v="0"/>
    <m/>
    <x v="1"/>
    <m/>
    <m/>
    <m/>
    <m/>
    <m/>
  </r>
  <r>
    <x v="1"/>
    <x v="10"/>
    <s v="America and Oceania"/>
    <s v="Strategic Partnership [战略伙伴关系]"/>
    <s v="None"/>
    <x v="5"/>
    <x v="54"/>
    <x v="20"/>
    <n v="5"/>
    <x v="3"/>
    <s v="Liang Guanglie"/>
    <m/>
    <s v="Defense Minister; CMC Member"/>
    <n v="8"/>
    <x v="2"/>
    <s v="Defense Minister"/>
    <x v="0"/>
    <m/>
    <x v="0"/>
    <m/>
    <x v="1"/>
    <m/>
    <m/>
    <m/>
    <m/>
    <m/>
  </r>
  <r>
    <x v="1"/>
    <x v="1"/>
    <s v="Asia"/>
    <s v="Strategic Cooperative Partnership [战略合作伙伴关系]"/>
    <s v="Bilateral Defense Treaty"/>
    <x v="0"/>
    <x v="11"/>
    <x v="20"/>
    <n v="5"/>
    <x v="4"/>
    <s v="Liang Guanglie"/>
    <m/>
    <s v="Defense Minister; CMC Member"/>
    <n v="8"/>
    <x v="1"/>
    <m/>
    <x v="0"/>
    <m/>
    <x v="0"/>
    <m/>
    <x v="1"/>
    <m/>
    <m/>
    <m/>
    <m/>
    <m/>
  </r>
  <r>
    <x v="2"/>
    <x v="6"/>
    <s v="Europe and Central Asia"/>
    <s v="Member"/>
    <s v="None"/>
    <x v="1"/>
    <x v="14"/>
    <x v="20"/>
    <n v="5"/>
    <x v="6"/>
    <m/>
    <m/>
    <m/>
    <m/>
    <x v="0"/>
    <m/>
    <x v="1"/>
    <s v="Tianshan-2"/>
    <x v="4"/>
    <s v="Countries: Kyrgyzstan, Tajikstan; held in Kashi"/>
    <x v="1"/>
    <m/>
    <m/>
    <m/>
    <s v="http://eng.chinamil.com.cn/news-channels/china-military-news/2011-05/07/content_4431956.htm"/>
    <s v="Page "/>
  </r>
  <r>
    <x v="1"/>
    <x v="8"/>
    <s v="Europe and Central Asia"/>
    <s v="Strategic Partnership [战略伙伴关系]"/>
    <s v="None"/>
    <x v="3"/>
    <x v="112"/>
    <x v="20"/>
    <n v="5"/>
    <x v="3"/>
    <s v="Chen Bingde"/>
    <m/>
    <s v="GSD Commander; CMC Member"/>
    <n v="8"/>
    <x v="2"/>
    <m/>
    <x v="0"/>
    <m/>
    <x v="0"/>
    <m/>
    <x v="1"/>
    <m/>
    <m/>
    <m/>
    <m/>
    <m/>
  </r>
  <r>
    <x v="1"/>
    <x v="1"/>
    <s v="Asia"/>
    <s v="No Specific Relationship"/>
    <s v="None"/>
    <x v="0"/>
    <x v="39"/>
    <x v="20"/>
    <n v="5"/>
    <x v="4"/>
    <s v="Liang Guanglie"/>
    <m/>
    <s v="Defense Minister; CMC Member"/>
    <n v="8"/>
    <x v="1"/>
    <m/>
    <x v="0"/>
    <m/>
    <x v="0"/>
    <m/>
    <x v="1"/>
    <m/>
    <m/>
    <m/>
    <m/>
    <m/>
  </r>
  <r>
    <x v="1"/>
    <x v="8"/>
    <s v="Europe and Central Asia"/>
    <s v="No Specific Relationship"/>
    <s v="None"/>
    <x v="3"/>
    <x v="92"/>
    <x v="20"/>
    <n v="5"/>
    <x v="4"/>
    <s v="Chen Bingde"/>
    <m/>
    <s v="GSD Commander; CMC Member"/>
    <n v="8"/>
    <x v="1"/>
    <s v="Supreme Commander Armed Forces"/>
    <x v="0"/>
    <m/>
    <x v="0"/>
    <m/>
    <x v="1"/>
    <m/>
    <m/>
    <m/>
    <m/>
    <m/>
  </r>
  <r>
    <x v="1"/>
    <x v="8"/>
    <s v="Europe and Central Asia"/>
    <s v="Comprehensive Strategic Partnership [全面战略伙伴关系]"/>
    <s v="NATO"/>
    <x v="3"/>
    <x v="21"/>
    <x v="20"/>
    <n v="5"/>
    <x v="4"/>
    <s v="Zhang Qinsheng"/>
    <m/>
    <s v="GSD DCGS"/>
    <n v="6"/>
    <x v="1"/>
    <m/>
    <x v="0"/>
    <m/>
    <x v="0"/>
    <m/>
    <x v="1"/>
    <m/>
    <m/>
    <m/>
    <m/>
    <m/>
  </r>
  <r>
    <x v="1"/>
    <x v="2"/>
    <s v="America and Oceania"/>
    <s v="No Specific Relationship"/>
    <s v="N/A"/>
    <x v="2"/>
    <x v="4"/>
    <x v="20"/>
    <n v="5"/>
    <x v="4"/>
    <s v="Chen Bingde"/>
    <m/>
    <s v="GSD Commander; CMC Member"/>
    <n v="8"/>
    <x v="1"/>
    <m/>
    <x v="0"/>
    <m/>
    <x v="0"/>
    <m/>
    <x v="1"/>
    <m/>
    <m/>
    <m/>
    <m/>
    <m/>
  </r>
  <r>
    <x v="1"/>
    <x v="5"/>
    <s v="America and Oceania"/>
    <s v="No Specific Relationship"/>
    <s v="ANZUS Treaty"/>
    <x v="0"/>
    <x v="12"/>
    <x v="20"/>
    <n v="6"/>
    <x v="7"/>
    <s v="Liang Guanglie"/>
    <m/>
    <s v="Defense Minister; CMC Member"/>
    <n v="8"/>
    <x v="1"/>
    <s v="Defense Minister"/>
    <x v="0"/>
    <m/>
    <x v="0"/>
    <m/>
    <x v="1"/>
    <m/>
    <m/>
    <m/>
    <m/>
    <s v="10th Shangri-La Dialogue"/>
  </r>
  <r>
    <x v="1"/>
    <x v="8"/>
    <s v="Europe and Central Asia"/>
    <s v="Strategic Partnership [战略伙伴关系]"/>
    <s v="NATO"/>
    <x v="3"/>
    <x v="34"/>
    <x v="20"/>
    <n v="6"/>
    <x v="3"/>
    <s v="Chen Bingde"/>
    <m/>
    <s v="GSD Commander; CMC Member"/>
    <n v="8"/>
    <x v="2"/>
    <s v="COGS"/>
    <x v="0"/>
    <m/>
    <x v="0"/>
    <m/>
    <x v="1"/>
    <m/>
    <m/>
    <m/>
    <m/>
    <m/>
  </r>
  <r>
    <x v="1"/>
    <x v="1"/>
    <s v="Asia"/>
    <s v="Comprehensive Strategic Cooperative Partnership [全面战略合作伙伴关系]"/>
    <s v="None"/>
    <x v="0"/>
    <x v="94"/>
    <x v="20"/>
    <n v="6"/>
    <x v="3"/>
    <s v="Liang Guanglie"/>
    <m/>
    <s v="Defense Minister; CMC Member"/>
    <n v="8"/>
    <x v="2"/>
    <m/>
    <x v="0"/>
    <m/>
    <x v="0"/>
    <m/>
    <x v="1"/>
    <m/>
    <m/>
    <m/>
    <m/>
    <m/>
  </r>
  <r>
    <x v="1"/>
    <x v="10"/>
    <s v="America and Oceania"/>
    <s v="Comprehensive Partnership [全面伙伴关系]"/>
    <s v="None"/>
    <x v="5"/>
    <x v="66"/>
    <x v="20"/>
    <n v="6"/>
    <x v="3"/>
    <s v="Wu Shengli"/>
    <m/>
    <s v="PLAN Commander; CMC Member"/>
    <n v="8"/>
    <x v="2"/>
    <s v="Navy Commander"/>
    <x v="0"/>
    <m/>
    <x v="0"/>
    <m/>
    <x v="1"/>
    <m/>
    <m/>
    <m/>
    <m/>
    <m/>
  </r>
  <r>
    <x v="1"/>
    <x v="8"/>
    <s v="Europe and Central Asia"/>
    <s v="Comprehensive Strategic Partnership [全面战略伙伴关系]"/>
    <s v="NATO"/>
    <x v="3"/>
    <x v="29"/>
    <x v="20"/>
    <n v="6"/>
    <x v="3"/>
    <s v="Liang Guanglie"/>
    <m/>
    <s v="Defense Minister; CMC Member"/>
    <n v="8"/>
    <x v="2"/>
    <s v="COGS"/>
    <x v="0"/>
    <m/>
    <x v="0"/>
    <m/>
    <x v="1"/>
    <m/>
    <m/>
    <m/>
    <m/>
    <m/>
  </r>
  <r>
    <x v="1"/>
    <x v="1"/>
    <s v="Asia"/>
    <s v="No Specific Relationship"/>
    <s v="None"/>
    <x v="0"/>
    <x v="137"/>
    <x v="20"/>
    <n v="6"/>
    <x v="1"/>
    <s v="Liang Guanglie"/>
    <m/>
    <s v="Defense Minister; CMC Member"/>
    <n v="8"/>
    <x v="1"/>
    <s v="10th Shangri-La Dialogue"/>
    <x v="0"/>
    <m/>
    <x v="0"/>
    <m/>
    <x v="1"/>
    <m/>
    <m/>
    <m/>
    <m/>
    <m/>
  </r>
  <r>
    <x v="1"/>
    <x v="0"/>
    <s v="Asia"/>
    <s v="Strategic Partnership for Peace and Prosperity [战略伙伴关系]"/>
    <s v="None"/>
    <x v="0"/>
    <x v="6"/>
    <x v="20"/>
    <n v="6"/>
    <x v="7"/>
    <s v="Liang Guanglie"/>
    <m/>
    <s v="Defense Minister; CMC Member"/>
    <n v="8"/>
    <x v="1"/>
    <s v="Minister of State for Defense"/>
    <x v="0"/>
    <m/>
    <x v="0"/>
    <m/>
    <x v="1"/>
    <m/>
    <m/>
    <m/>
    <m/>
    <s v="10th Shangri-La Dialogue"/>
  </r>
  <r>
    <x v="2"/>
    <x v="1"/>
    <s v="Asia"/>
    <s v="Strategic Partnership [战略伙伴关系]"/>
    <s v="None"/>
    <x v="0"/>
    <x v="8"/>
    <x v="20"/>
    <n v="6"/>
    <x v="5"/>
    <m/>
    <m/>
    <m/>
    <m/>
    <x v="0"/>
    <m/>
    <x v="1"/>
    <s v="Sharp Knife 2011"/>
    <x v="5"/>
    <s v="Airborne forces"/>
    <x v="1"/>
    <m/>
    <m/>
    <m/>
    <m/>
    <m/>
  </r>
  <r>
    <x v="1"/>
    <x v="9"/>
    <s v="West Asia and Africa"/>
    <s v="No Specific Relationship"/>
    <s v="Major Non-NATO Ally"/>
    <x v="1"/>
    <x v="100"/>
    <x v="20"/>
    <n v="6"/>
    <x v="3"/>
    <s v="Chen Bingde"/>
    <m/>
    <s v="GSD Commander; CMC Member"/>
    <n v="8"/>
    <x v="2"/>
    <s v="Deputy Prime Minister and Defense Minister"/>
    <x v="0"/>
    <m/>
    <x v="0"/>
    <m/>
    <x v="1"/>
    <m/>
    <m/>
    <m/>
    <m/>
    <m/>
  </r>
  <r>
    <x v="1"/>
    <x v="4"/>
    <s v="Asia"/>
    <s v="Mutually Beneficial Strategic Relationship [战略互惠关系]"/>
    <s v="Bilateral Defense Treaty"/>
    <x v="0"/>
    <x v="83"/>
    <x v="20"/>
    <n v="6"/>
    <x v="7"/>
    <s v="Liang Guanglie"/>
    <m/>
    <s v="Defense Minister; CMC Member"/>
    <n v="8"/>
    <x v="2"/>
    <s v="Former NE Army Region Commander, JGSDF"/>
    <x v="0"/>
    <m/>
    <x v="0"/>
    <m/>
    <x v="1"/>
    <m/>
    <m/>
    <m/>
    <m/>
    <s v="10th Shangri-La Dialogue"/>
  </r>
  <r>
    <x v="1"/>
    <x v="5"/>
    <s v="America and Oceania"/>
    <s v="No Specific Relationship"/>
    <s v="ANZUS Treaty"/>
    <x v="0"/>
    <x v="13"/>
    <x v="20"/>
    <n v="6"/>
    <x v="7"/>
    <s v="Liang Guanglie"/>
    <m/>
    <s v="Defense Minister; CMC Member"/>
    <n v="8"/>
    <x v="1"/>
    <s v="Defense Minister"/>
    <x v="0"/>
    <m/>
    <x v="0"/>
    <m/>
    <x v="1"/>
    <m/>
    <m/>
    <m/>
    <m/>
    <s v="10th Shangri-La Dialogue"/>
  </r>
  <r>
    <x v="0"/>
    <x v="9"/>
    <s v="West Asia and Africa"/>
    <s v="No Specific Relationship"/>
    <s v="None"/>
    <x v="1"/>
    <x v="147"/>
    <x v="20"/>
    <n v="6"/>
    <x v="9"/>
    <m/>
    <m/>
    <m/>
    <m/>
    <x v="0"/>
    <m/>
    <x v="0"/>
    <m/>
    <x v="0"/>
    <m/>
    <x v="2"/>
    <s v="ETF-08"/>
    <s v="East Sea Fleet"/>
    <s v="FFG525 Ma'anshan, FFG526 Wenzhou, AOR886 Qiandao Hu"/>
    <m/>
    <m/>
  </r>
  <r>
    <x v="1"/>
    <x v="8"/>
    <s v="Europe and Central Asia"/>
    <s v="Comprehensive Strategic Partnership [全面战略伙伴关系]"/>
    <s v="NATO"/>
    <x v="3"/>
    <x v="48"/>
    <x v="20"/>
    <n v="6"/>
    <x v="3"/>
    <s v="Liang Guanglie"/>
    <m/>
    <s v="Defense Minister; CMC Member"/>
    <n v="8"/>
    <x v="2"/>
    <s v="Army Chief of Staff"/>
    <x v="0"/>
    <m/>
    <x v="0"/>
    <m/>
    <x v="1"/>
    <m/>
    <m/>
    <m/>
    <m/>
    <m/>
  </r>
  <r>
    <x v="1"/>
    <x v="8"/>
    <s v="Europe and Central Asia"/>
    <s v="Comprehensive Friendly Cooperative Partnership [全面友好合作伙伴关系]"/>
    <s v="NATO"/>
    <x v="3"/>
    <x v="33"/>
    <x v="20"/>
    <n v="6"/>
    <x v="3"/>
    <s v="Liang Guanglie"/>
    <m/>
    <s v="Defense Minister; CMC Member"/>
    <n v="8"/>
    <x v="2"/>
    <s v="Naval Chief"/>
    <x v="0"/>
    <m/>
    <x v="0"/>
    <m/>
    <x v="1"/>
    <m/>
    <m/>
    <m/>
    <m/>
    <m/>
  </r>
  <r>
    <x v="1"/>
    <x v="3"/>
    <s v="Europe and Central Asia"/>
    <s v="Strategic Partnership of Coordination [战略协作伙伴关系]"/>
    <s v="None"/>
    <x v="3"/>
    <x v="7"/>
    <x v="20"/>
    <n v="6"/>
    <x v="4"/>
    <s v="Liang Guanglie"/>
    <m/>
    <s v="Defense Minister; CMC Member"/>
    <n v="8"/>
    <x v="1"/>
    <s v="Deputy Prime Minister"/>
    <x v="0"/>
    <m/>
    <x v="0"/>
    <m/>
    <x v="1"/>
    <m/>
    <m/>
    <m/>
    <m/>
    <m/>
  </r>
  <r>
    <x v="1"/>
    <x v="1"/>
    <s v="Asia"/>
    <s v="No Specific Relationship"/>
    <s v="None"/>
    <x v="0"/>
    <x v="39"/>
    <x v="20"/>
    <n v="6"/>
    <x v="4"/>
    <s v="Wu Shengli"/>
    <m/>
    <s v="PLAN Commander; CMC Member"/>
    <n v="8"/>
    <x v="1"/>
    <m/>
    <x v="0"/>
    <m/>
    <x v="0"/>
    <m/>
    <x v="1"/>
    <m/>
    <m/>
    <m/>
    <m/>
    <m/>
  </r>
  <r>
    <x v="1"/>
    <x v="8"/>
    <s v="Europe and Central Asia"/>
    <s v="No Specific Relationship"/>
    <s v="NATO"/>
    <x v="3"/>
    <x v="154"/>
    <x v="20"/>
    <n v="6"/>
    <x v="3"/>
    <s v="Xu Caihou"/>
    <m/>
    <s v="CMC Vice Chairman"/>
    <n v="10"/>
    <x v="2"/>
    <s v="Defense Minister"/>
    <x v="0"/>
    <m/>
    <x v="0"/>
    <m/>
    <x v="1"/>
    <m/>
    <m/>
    <m/>
    <m/>
    <m/>
  </r>
  <r>
    <x v="1"/>
    <x v="7"/>
    <s v="West Asia and Africa"/>
    <s v="No Specific Relationship"/>
    <s v="None"/>
    <x v="4"/>
    <x v="16"/>
    <x v="20"/>
    <n v="6"/>
    <x v="3"/>
    <s v="Chen Bingde"/>
    <m/>
    <s v="GSD Commander; CMC Member"/>
    <n v="8"/>
    <x v="2"/>
    <s v="Chief of Defense Forces"/>
    <x v="0"/>
    <m/>
    <x v="0"/>
    <m/>
    <x v="1"/>
    <m/>
    <m/>
    <m/>
    <m/>
    <m/>
  </r>
  <r>
    <x v="1"/>
    <x v="8"/>
    <s v="Europe and Central Asia"/>
    <s v="Comprehensive Strategic Partnership [全面战略伙伴关系]"/>
    <s v="NATO"/>
    <x v="3"/>
    <x v="21"/>
    <x v="20"/>
    <n v="6"/>
    <x v="3"/>
    <s v="Ma Xiaotian"/>
    <m/>
    <s v="GSD DCGS"/>
    <n v="6"/>
    <x v="2"/>
    <s v="Director General of International Security policy of Defense Ministry"/>
    <x v="0"/>
    <m/>
    <x v="0"/>
    <m/>
    <x v="1"/>
    <m/>
    <m/>
    <m/>
    <m/>
    <m/>
  </r>
  <r>
    <x v="1"/>
    <x v="2"/>
    <s v="America and Oceania"/>
    <s v="No Specific Relationship"/>
    <s v="N/A"/>
    <x v="2"/>
    <x v="4"/>
    <x v="20"/>
    <n v="6"/>
    <x v="7"/>
    <s v="Liang Guanglie"/>
    <m/>
    <s v="Defense Minister; CMC Member"/>
    <n v="8"/>
    <x v="1"/>
    <s v="Secretary of Defense"/>
    <x v="0"/>
    <m/>
    <x v="0"/>
    <m/>
    <x v="1"/>
    <m/>
    <m/>
    <m/>
    <m/>
    <s v="10th Shangri-La Dialogue"/>
  </r>
  <r>
    <x v="1"/>
    <x v="1"/>
    <s v="Asia"/>
    <s v="Comprehensive Strategic Cooperative Partnership [全面战略合作伙伴关系]"/>
    <s v="None"/>
    <x v="0"/>
    <x v="23"/>
    <x v="20"/>
    <n v="6"/>
    <x v="7"/>
    <s v="Liang Guanglie"/>
    <m/>
    <s v="Defense Minister; CMC Member"/>
    <n v="8"/>
    <x v="1"/>
    <s v="Defense Minister"/>
    <x v="0"/>
    <m/>
    <x v="0"/>
    <m/>
    <x v="1"/>
    <m/>
    <m/>
    <m/>
    <m/>
    <s v="10th Shangri-La Dialogue"/>
  </r>
  <r>
    <x v="1"/>
    <x v="0"/>
    <s v="Asia"/>
    <s v="Comprehensive Cooperative Partnership [全面合作伙伴关系]"/>
    <s v="None"/>
    <x v="0"/>
    <x v="0"/>
    <x v="20"/>
    <n v="7"/>
    <x v="3"/>
    <s v="Ma Xiaotian"/>
    <m/>
    <s v="GSD DCGS"/>
    <n v="6"/>
    <x v="2"/>
    <m/>
    <x v="0"/>
    <m/>
    <x v="0"/>
    <m/>
    <x v="1"/>
    <m/>
    <m/>
    <m/>
    <m/>
    <m/>
  </r>
  <r>
    <x v="2"/>
    <x v="8"/>
    <s v="Europe and Central Asia"/>
    <s v="Strategic Partnership [战略伙伴关系]"/>
    <s v="None"/>
    <x v="3"/>
    <x v="34"/>
    <x v="20"/>
    <n v="7"/>
    <x v="5"/>
    <m/>
    <m/>
    <m/>
    <m/>
    <x v="0"/>
    <m/>
    <x v="1"/>
    <s v="Divine Eagle 2011"/>
    <x v="5"/>
    <s v="Airborne forces"/>
    <x v="1"/>
    <m/>
    <m/>
    <m/>
    <s v=" http://usa.chinadaily.com.cn/china/2012-12/06/content_15991982.htm"/>
    <m/>
  </r>
  <r>
    <x v="1"/>
    <x v="9"/>
    <s v="West Asia and Africa"/>
    <s v="No Specific Relationship"/>
    <s v="None"/>
    <x v="1"/>
    <x v="119"/>
    <x v="20"/>
    <n v="7"/>
    <x v="3"/>
    <s v="Wu Shengli"/>
    <m/>
    <s v="PLAN Commander; CMC Member"/>
    <n v="8"/>
    <x v="2"/>
    <s v="Navy Commander"/>
    <x v="0"/>
    <m/>
    <x v="0"/>
    <m/>
    <x v="1"/>
    <m/>
    <m/>
    <m/>
    <m/>
    <m/>
  </r>
  <r>
    <x v="1"/>
    <x v="4"/>
    <s v="Asia"/>
    <s v="Mutually Beneficial Strategic Relationship [战略互惠关系]"/>
    <s v="Bilateral Defense Treaty"/>
    <x v="0"/>
    <x v="83"/>
    <x v="20"/>
    <n v="7"/>
    <x v="4"/>
    <s v="Ma Xiaotian"/>
    <m/>
    <s v="GSD DCGS"/>
    <n v="6"/>
    <x v="1"/>
    <s v="Defense Minister"/>
    <x v="0"/>
    <m/>
    <x v="0"/>
    <m/>
    <x v="1"/>
    <m/>
    <m/>
    <m/>
    <m/>
    <m/>
  </r>
  <r>
    <x v="1"/>
    <x v="1"/>
    <s v="Asia"/>
    <s v="Comprehensive Strategic Cooperative Partnership [全面战略合作伙伴关系]"/>
    <s v="None"/>
    <x v="0"/>
    <x v="52"/>
    <x v="20"/>
    <n v="7"/>
    <x v="3"/>
    <s v="Guo Boxiong"/>
    <m/>
    <s v="CMC Vice Chairman"/>
    <n v="10"/>
    <x v="2"/>
    <s v="COGS"/>
    <x v="0"/>
    <m/>
    <x v="0"/>
    <m/>
    <x v="1"/>
    <m/>
    <m/>
    <m/>
    <m/>
    <m/>
  </r>
  <r>
    <x v="1"/>
    <x v="4"/>
    <s v="Asia"/>
    <s v="Bilateral Defense Treaty"/>
    <s v="None"/>
    <x v="0"/>
    <x v="9"/>
    <x v="20"/>
    <n v="7"/>
    <x v="3"/>
    <s v="Jia Tingan"/>
    <m/>
    <s v="GPD Deputy Director"/>
    <n v="6"/>
    <x v="2"/>
    <m/>
    <x v="0"/>
    <m/>
    <x v="0"/>
    <m/>
    <x v="1"/>
    <m/>
    <m/>
    <m/>
    <m/>
    <m/>
  </r>
  <r>
    <x v="1"/>
    <x v="0"/>
    <s v="Asia"/>
    <s v="Strategic Partnership [战略伙伴关系]"/>
    <s v="Major Non-NATO Ally"/>
    <x v="1"/>
    <x v="2"/>
    <x v="20"/>
    <n v="7"/>
    <x v="3"/>
    <s v="Ma Xiaotian"/>
    <m/>
    <s v="GSD DCGS"/>
    <n v="6"/>
    <x v="2"/>
    <s v="Army COGS"/>
    <x v="0"/>
    <m/>
    <x v="0"/>
    <m/>
    <x v="1"/>
    <m/>
    <m/>
    <m/>
    <m/>
    <m/>
  </r>
  <r>
    <x v="1"/>
    <x v="4"/>
    <s v="Asia"/>
    <s v="Strategic Cooperative Partnership [战略合作伙伴关系]"/>
    <s v="Bilateral Defense Treaty"/>
    <x v="0"/>
    <x v="25"/>
    <x v="20"/>
    <n v="7"/>
    <x v="3"/>
    <s v="Liang Guanglie"/>
    <m/>
    <s v="Defense Minister; CMC Member"/>
    <n v="8"/>
    <x v="2"/>
    <s v="Defense Minister"/>
    <x v="0"/>
    <m/>
    <x v="0"/>
    <m/>
    <x v="1"/>
    <m/>
    <m/>
    <m/>
    <m/>
    <m/>
  </r>
  <r>
    <x v="1"/>
    <x v="8"/>
    <s v="Europe and Central Asia"/>
    <s v="No Specific Relationship"/>
    <s v="None"/>
    <x v="3"/>
    <x v="78"/>
    <x v="20"/>
    <n v="7"/>
    <x v="3"/>
    <s v="Guo Boxiong"/>
    <m/>
    <s v="CMC Vice Chairman"/>
    <n v="10"/>
    <x v="2"/>
    <s v="Defense Minister"/>
    <x v="0"/>
    <m/>
    <x v="0"/>
    <m/>
    <x v="1"/>
    <m/>
    <m/>
    <m/>
    <m/>
    <m/>
  </r>
  <r>
    <x v="1"/>
    <x v="1"/>
    <s v="Asia"/>
    <s v="Strategic Partnership [战略伙伴关系]"/>
    <s v="Bilateral Defense Treaty"/>
    <x v="0"/>
    <x v="5"/>
    <x v="20"/>
    <n v="7"/>
    <x v="3"/>
    <s v="Chen Bingde"/>
    <m/>
    <s v="GSD Commander; CMC Member"/>
    <n v="8"/>
    <x v="2"/>
    <s v="Chief of Defense Forces"/>
    <x v="0"/>
    <m/>
    <x v="0"/>
    <m/>
    <x v="1"/>
    <m/>
    <m/>
    <m/>
    <m/>
    <m/>
  </r>
  <r>
    <x v="1"/>
    <x v="8"/>
    <s v="Europe and Central Asia"/>
    <s v="Comprehensive Strategic Partnership [全面战略伙伴关系]"/>
    <s v="NATO"/>
    <x v="3"/>
    <x v="21"/>
    <x v="20"/>
    <n v="7"/>
    <x v="3"/>
    <s v="Liang Guanglie"/>
    <m/>
    <s v="Defense Minister; CMC Member"/>
    <n v="8"/>
    <x v="2"/>
    <s v="Chief of Naval Staff"/>
    <x v="0"/>
    <m/>
    <x v="0"/>
    <m/>
    <x v="1"/>
    <m/>
    <m/>
    <m/>
    <m/>
    <m/>
  </r>
  <r>
    <x v="1"/>
    <x v="2"/>
    <s v="America and Oceania"/>
    <s v="No Specific Relationship"/>
    <s v="N/A"/>
    <x v="2"/>
    <x v="4"/>
    <x v="20"/>
    <n v="7"/>
    <x v="3"/>
    <s v="Chen Bingde"/>
    <m/>
    <s v="GSD Commander; CMC Member"/>
    <n v="8"/>
    <x v="2"/>
    <s v="Chairman JCS"/>
    <x v="0"/>
    <m/>
    <x v="0"/>
    <m/>
    <x v="1"/>
    <m/>
    <m/>
    <m/>
    <m/>
    <m/>
  </r>
  <r>
    <x v="1"/>
    <x v="10"/>
    <s v="America and Oceania"/>
    <s v="Comprehensive Strategic Partnership [全面战略伙伴关系]"/>
    <s v="None"/>
    <x v="5"/>
    <x v="43"/>
    <x v="20"/>
    <n v="8"/>
    <x v="4"/>
    <s v="Du Jincai"/>
    <m/>
    <s v="GPD Deputy Director"/>
    <n v="6"/>
    <x v="1"/>
    <m/>
    <x v="0"/>
    <m/>
    <x v="0"/>
    <m/>
    <x v="1"/>
    <m/>
    <m/>
    <m/>
    <m/>
    <m/>
  </r>
  <r>
    <x v="1"/>
    <x v="2"/>
    <s v="America and Oceania"/>
    <s v="Strategic Partnership [战略伙伴关系]"/>
    <s v="NATO"/>
    <x v="2"/>
    <x v="17"/>
    <x v="20"/>
    <n v="8"/>
    <x v="4"/>
    <s v="Du Jincai"/>
    <m/>
    <s v="GPD Deputy Director"/>
    <n v="6"/>
    <x v="1"/>
    <m/>
    <x v="0"/>
    <m/>
    <x v="0"/>
    <m/>
    <x v="1"/>
    <m/>
    <m/>
    <m/>
    <m/>
    <m/>
  </r>
  <r>
    <x v="1"/>
    <x v="9"/>
    <s v="West Asia and Africa"/>
    <s v="No Specific Relationship"/>
    <s v="Major Non-NATO Ally"/>
    <x v="1"/>
    <x v="100"/>
    <x v="20"/>
    <n v="8"/>
    <x v="4"/>
    <s v="Chen Bingde"/>
    <m/>
    <s v="GSD Commander; CMC Member"/>
    <n v="8"/>
    <x v="1"/>
    <m/>
    <x v="0"/>
    <m/>
    <x v="0"/>
    <m/>
    <x v="1"/>
    <m/>
    <m/>
    <m/>
    <m/>
    <m/>
  </r>
  <r>
    <x v="0"/>
    <x v="9"/>
    <s v="West Asia and Africa"/>
    <s v="No Specific Relationship"/>
    <s v="None"/>
    <x v="1"/>
    <x v="147"/>
    <x v="20"/>
    <n v="8"/>
    <x v="9"/>
    <m/>
    <m/>
    <m/>
    <m/>
    <x v="0"/>
    <m/>
    <x v="0"/>
    <m/>
    <x v="0"/>
    <m/>
    <x v="2"/>
    <s v="ETF-08"/>
    <s v="East Sea Fleet"/>
    <s v="FFG525 Ma'anshan, FFG526 Wenzhou, AOR886 Qiandao Hu; Unknown, could also be ETF-9"/>
    <m/>
    <m/>
  </r>
  <r>
    <x v="0"/>
    <x v="9"/>
    <s v="West Asia and Africa"/>
    <s v="No Specific Relationship"/>
    <s v="None"/>
    <x v="1"/>
    <x v="131"/>
    <x v="20"/>
    <n v="8"/>
    <x v="0"/>
    <m/>
    <m/>
    <m/>
    <m/>
    <x v="0"/>
    <m/>
    <x v="0"/>
    <m/>
    <x v="0"/>
    <m/>
    <x v="2"/>
    <s v="ETF-08"/>
    <s v="East Sea Fleet"/>
    <s v="FFG525 Ma'anshan, FFG526 Wenzhou, AOR886 Qiandao Hu"/>
    <m/>
    <m/>
  </r>
  <r>
    <x v="1"/>
    <x v="3"/>
    <s v="Europe and Central Asia"/>
    <s v="Strategic Partnership of Coordination [战略协作伙伴关系]"/>
    <s v="None"/>
    <x v="3"/>
    <x v="7"/>
    <x v="20"/>
    <n v="8"/>
    <x v="4"/>
    <s v="Chen Bingde"/>
    <m/>
    <s v="GSD Commander; CMC Member"/>
    <n v="8"/>
    <x v="1"/>
    <s v="First Deputy Defense Minister and COGS"/>
    <x v="0"/>
    <m/>
    <x v="0"/>
    <m/>
    <x v="1"/>
    <m/>
    <m/>
    <m/>
    <m/>
    <m/>
  </r>
  <r>
    <x v="0"/>
    <x v="1"/>
    <s v="Asia"/>
    <s v="Strategic Partnership [战略伙伴关系]"/>
    <s v="Bilateral Defense Treaty"/>
    <x v="0"/>
    <x v="5"/>
    <x v="20"/>
    <n v="8"/>
    <x v="10"/>
    <m/>
    <m/>
    <m/>
    <m/>
    <x v="0"/>
    <m/>
    <x v="0"/>
    <m/>
    <x v="0"/>
    <m/>
    <x v="2"/>
    <s v="ETF-08"/>
    <s v="East Sea Fleet"/>
    <s v="FFG525 Ma'anshan, FFG526 Wenzhou, AOR886 Qiandao Hu"/>
    <m/>
    <m/>
  </r>
  <r>
    <x v="2"/>
    <x v="1"/>
    <s v="Asia"/>
    <s v="Strategic Partnership [战略伙伴关系]"/>
    <s v="Bilateral Defense Treaty"/>
    <x v="0"/>
    <x v="5"/>
    <x v="20"/>
    <n v="8"/>
    <x v="5"/>
    <m/>
    <m/>
    <m/>
    <m/>
    <x v="0"/>
    <m/>
    <x v="4"/>
    <s v="Unknown Sattahip 2011"/>
    <x v="2"/>
    <s v="16-21 August 2011, joint drills and friendy visit from anti-piracy ETF, Six Years p. 132 "/>
    <x v="1"/>
    <m/>
    <m/>
    <m/>
    <m/>
    <m/>
  </r>
  <r>
    <x v="1"/>
    <x v="8"/>
    <s v="Europe and Central Asia"/>
    <s v="Strategic Cooperative Partnership [战略合作伙伴关系]"/>
    <s v="None"/>
    <x v="3"/>
    <x v="26"/>
    <x v="20"/>
    <n v="8"/>
    <x v="4"/>
    <s v="Chen Bingde"/>
    <m/>
    <s v="GSD Commander; CMC Member"/>
    <n v="8"/>
    <x v="1"/>
    <s v="COGS"/>
    <x v="0"/>
    <m/>
    <x v="0"/>
    <m/>
    <x v="1"/>
    <m/>
    <m/>
    <m/>
    <m/>
    <m/>
  </r>
  <r>
    <x v="1"/>
    <x v="1"/>
    <s v="Asia"/>
    <s v="Comprehensive Strategic Cooperative Partnership [全面战略合作伙伴关系]"/>
    <s v="None"/>
    <x v="0"/>
    <x v="23"/>
    <x v="20"/>
    <n v="8"/>
    <x v="3"/>
    <s v="Liang Guanglie"/>
    <m/>
    <s v="Defense Minister; CMC Member"/>
    <n v="8"/>
    <x v="2"/>
    <s v="Vice Defense Minister"/>
    <x v="0"/>
    <m/>
    <x v="0"/>
    <m/>
    <x v="1"/>
    <m/>
    <m/>
    <m/>
    <m/>
    <m/>
  </r>
  <r>
    <x v="1"/>
    <x v="0"/>
    <s v="Asia"/>
    <s v="Comprehensive Cooperative Partnership [全面合作伙伴关系]"/>
    <s v="None"/>
    <x v="0"/>
    <x v="0"/>
    <x v="20"/>
    <n v="9"/>
    <x v="3"/>
    <s v="Liang Guanglie"/>
    <m/>
    <s v="Defense Minister; CMC Member"/>
    <n v="8"/>
    <x v="2"/>
    <m/>
    <x v="0"/>
    <m/>
    <x v="0"/>
    <m/>
    <x v="1"/>
    <m/>
    <m/>
    <m/>
    <m/>
    <m/>
  </r>
  <r>
    <x v="1"/>
    <x v="7"/>
    <s v="West Asia and Africa"/>
    <s v="No Specific Relationship"/>
    <s v="None"/>
    <x v="4"/>
    <x v="93"/>
    <x v="20"/>
    <n v="9"/>
    <x v="4"/>
    <s v="Zhao Keshi"/>
    <m/>
    <s v="Nanjing MR Commander"/>
    <n v="6"/>
    <x v="1"/>
    <m/>
    <x v="0"/>
    <m/>
    <x v="0"/>
    <m/>
    <x v="1"/>
    <m/>
    <m/>
    <m/>
    <m/>
    <m/>
  </r>
  <r>
    <x v="1"/>
    <x v="7"/>
    <s v="West Asia and Africa"/>
    <s v="No Specific Relationship"/>
    <s v="None"/>
    <x v="4"/>
    <x v="28"/>
    <x v="20"/>
    <n v="9"/>
    <x v="4"/>
    <s v="Sun Jianguo"/>
    <m/>
    <s v="GSD DCGS"/>
    <n v="6"/>
    <x v="1"/>
    <m/>
    <x v="0"/>
    <m/>
    <x v="0"/>
    <m/>
    <x v="1"/>
    <m/>
    <m/>
    <m/>
    <m/>
    <m/>
  </r>
  <r>
    <x v="1"/>
    <x v="8"/>
    <s v="Europe and Central Asia"/>
    <s v="Comprehensive Cooperative Partnership [全面合作伙伴关系]"/>
    <s v="NATO"/>
    <x v="3"/>
    <x v="35"/>
    <x v="20"/>
    <n v="9"/>
    <x v="4"/>
    <s v="Xu Caihou"/>
    <m/>
    <s v="CMC Vice Chairman"/>
    <n v="10"/>
    <x v="1"/>
    <s v="Defense Minister"/>
    <x v="0"/>
    <m/>
    <x v="0"/>
    <m/>
    <x v="1"/>
    <m/>
    <m/>
    <m/>
    <m/>
    <m/>
  </r>
  <r>
    <x v="1"/>
    <x v="8"/>
    <s v="Europe and Central Asia"/>
    <s v="Comprehensive Strategic Partnership [全面战略伙伴关系]"/>
    <s v="NATO"/>
    <x v="3"/>
    <x v="22"/>
    <x v="20"/>
    <n v="9"/>
    <x v="4"/>
    <s v="Ma Xiaotian"/>
    <m/>
    <s v="GSD DCGS"/>
    <n v="6"/>
    <x v="1"/>
    <m/>
    <x v="0"/>
    <m/>
    <x v="0"/>
    <m/>
    <x v="1"/>
    <m/>
    <m/>
    <m/>
    <m/>
    <m/>
  </r>
  <r>
    <x v="1"/>
    <x v="5"/>
    <s v="America and Oceania"/>
    <s v="No Specific Relationship"/>
    <s v="ANZUS Treaty"/>
    <x v="0"/>
    <x v="13"/>
    <x v="20"/>
    <n v="9"/>
    <x v="3"/>
    <s v="Guo Boxiong"/>
    <m/>
    <s v="CMC Vice Chairman"/>
    <n v="10"/>
    <x v="2"/>
    <s v="Head of Defense Force"/>
    <x v="0"/>
    <m/>
    <x v="0"/>
    <m/>
    <x v="1"/>
    <m/>
    <m/>
    <m/>
    <s v="https://johnmenadue.com/nz-and-china-military-meeting-no-news-is-bad-news/"/>
    <s v="PCS: NZ delegation led by General Tim Keating; th strategic defense dialogue; met with Qi Jinguo for office call?"/>
  </r>
  <r>
    <x v="1"/>
    <x v="4"/>
    <s v="Asia"/>
    <s v="Bilateral Defense Treaty"/>
    <s v="None"/>
    <x v="0"/>
    <x v="9"/>
    <x v="20"/>
    <n v="9"/>
    <x v="3"/>
    <s v="Wu Shengli"/>
    <m/>
    <s v="PLAN Commander; CMC Member"/>
    <n v="8"/>
    <x v="2"/>
    <s v="Deputy Commander Navy"/>
    <x v="0"/>
    <m/>
    <x v="0"/>
    <m/>
    <x v="1"/>
    <m/>
    <m/>
    <m/>
    <m/>
    <m/>
  </r>
  <r>
    <x v="1"/>
    <x v="3"/>
    <s v="Europe and Central Asia"/>
    <s v="Strategic Partnership of Coordination [战略协作伙伴关系]"/>
    <s v="None"/>
    <x v="3"/>
    <x v="7"/>
    <x v="20"/>
    <n v="9"/>
    <x v="4"/>
    <s v="Guo Boxiong"/>
    <m/>
    <s v="CMC Vice Chairman"/>
    <n v="10"/>
    <x v="1"/>
    <m/>
    <x v="0"/>
    <m/>
    <x v="0"/>
    <m/>
    <x v="1"/>
    <m/>
    <m/>
    <m/>
    <m/>
    <m/>
  </r>
  <r>
    <x v="0"/>
    <x v="9"/>
    <s v="West Asia and Africa"/>
    <s v="No Specific Relationship"/>
    <s v="None"/>
    <x v="1"/>
    <x v="142"/>
    <x v="20"/>
    <n v="9"/>
    <x v="9"/>
    <m/>
    <m/>
    <m/>
    <m/>
    <x v="0"/>
    <m/>
    <x v="0"/>
    <m/>
    <x v="0"/>
    <m/>
    <x v="2"/>
    <s v="ETF-09"/>
    <s v="South Sea Fleet"/>
    <s v="DDG169 Wuhan, FFG569 Yulin, AOR885 Qinghai Hu"/>
    <m/>
    <m/>
  </r>
  <r>
    <x v="1"/>
    <x v="8"/>
    <s v="Europe and Central Asia"/>
    <s v="Strategic Partnership [战略伙伴关系]"/>
    <s v="None"/>
    <x v="3"/>
    <x v="112"/>
    <x v="20"/>
    <n v="9"/>
    <x v="4"/>
    <s v="Xu Caihou"/>
    <m/>
    <s v="CMC Vice Chairman"/>
    <n v="10"/>
    <x v="1"/>
    <m/>
    <x v="0"/>
    <m/>
    <x v="0"/>
    <m/>
    <x v="1"/>
    <m/>
    <m/>
    <m/>
    <m/>
    <m/>
  </r>
  <r>
    <x v="1"/>
    <x v="7"/>
    <s v="West Asia and Africa"/>
    <s v="No Specific Relationship"/>
    <s v="None"/>
    <x v="4"/>
    <x v="16"/>
    <x v="20"/>
    <n v="9"/>
    <x v="4"/>
    <s v="Zhao Keshi"/>
    <m/>
    <s v="Nanjing MR Commander"/>
    <n v="6"/>
    <x v="1"/>
    <m/>
    <x v="0"/>
    <m/>
    <x v="0"/>
    <m/>
    <x v="1"/>
    <m/>
    <m/>
    <m/>
    <m/>
    <m/>
  </r>
  <r>
    <x v="1"/>
    <x v="2"/>
    <s v="America and Oceania"/>
    <s v="No Specific Relationship"/>
    <s v="N/A"/>
    <x v="2"/>
    <x v="4"/>
    <x v="20"/>
    <n v="9"/>
    <x v="4"/>
    <s v="Fan Changlong"/>
    <m/>
    <s v="Jinan MR Commander"/>
    <n v="6"/>
    <x v="1"/>
    <m/>
    <x v="0"/>
    <m/>
    <x v="0"/>
    <m/>
    <x v="1"/>
    <m/>
    <m/>
    <m/>
    <m/>
    <m/>
  </r>
  <r>
    <x v="1"/>
    <x v="1"/>
    <s v="Asia"/>
    <s v="Comprehensive Strategic Cooperative Partnership [全面战略合作伙伴关系]"/>
    <s v="None"/>
    <x v="0"/>
    <x v="23"/>
    <x v="20"/>
    <n v="9"/>
    <x v="3"/>
    <s v="Li Jinai"/>
    <m/>
    <s v="GPD Director; CMC Member"/>
    <n v="8"/>
    <x v="2"/>
    <s v="GPD director VPA"/>
    <x v="0"/>
    <m/>
    <x v="0"/>
    <m/>
    <x v="1"/>
    <m/>
    <m/>
    <m/>
    <m/>
    <m/>
  </r>
  <r>
    <x v="1"/>
    <x v="7"/>
    <s v="West Asia and Africa"/>
    <s v="No Specific Relationship"/>
    <s v="None"/>
    <x v="4"/>
    <x v="130"/>
    <x v="20"/>
    <n v="10"/>
    <x v="3"/>
    <s v="Guo Boxiong"/>
    <m/>
    <s v="CMC Vice Chairman"/>
    <n v="10"/>
    <x v="2"/>
    <s v="Defense Minister"/>
    <x v="0"/>
    <m/>
    <x v="0"/>
    <m/>
    <x v="1"/>
    <m/>
    <m/>
    <m/>
    <m/>
    <m/>
  </r>
  <r>
    <x v="1"/>
    <x v="10"/>
    <s v="America and Oceania"/>
    <s v="No Specific Relationship"/>
    <s v="None"/>
    <x v="5"/>
    <x v="45"/>
    <x v="20"/>
    <n v="10"/>
    <x v="4"/>
    <s v="Guo Boxiong"/>
    <m/>
    <s v="CMC Vice Chairman"/>
    <n v="10"/>
    <x v="1"/>
    <m/>
    <x v="0"/>
    <m/>
    <x v="0"/>
    <m/>
    <x v="1"/>
    <m/>
    <m/>
    <m/>
    <m/>
    <m/>
  </r>
  <r>
    <x v="1"/>
    <x v="10"/>
    <s v="America and Oceania"/>
    <s v="No Specific Relationship"/>
    <s v="None"/>
    <x v="5"/>
    <x v="49"/>
    <x v="20"/>
    <n v="10"/>
    <x v="4"/>
    <s v="Guo Boxiong"/>
    <m/>
    <s v="CMC Vice Chairman"/>
    <n v="10"/>
    <x v="1"/>
    <s v="Defense Minister"/>
    <x v="0"/>
    <m/>
    <x v="0"/>
    <m/>
    <x v="1"/>
    <m/>
    <m/>
    <m/>
    <m/>
    <m/>
  </r>
  <r>
    <x v="0"/>
    <x v="10"/>
    <s v="America and Oceania"/>
    <s v="No Specific Relationship"/>
    <s v="None"/>
    <x v="5"/>
    <x v="49"/>
    <x v="20"/>
    <n v="10"/>
    <x v="12"/>
    <m/>
    <m/>
    <m/>
    <m/>
    <x v="0"/>
    <m/>
    <x v="0"/>
    <m/>
    <x v="0"/>
    <m/>
    <x v="0"/>
    <s v="2011-10 Peace Ark "/>
    <s v="East Sea Fleet"/>
    <s v="http://en.people.cn/90786/7623576.html"/>
    <m/>
    <s v="recoded to delete drills"/>
  </r>
  <r>
    <x v="0"/>
    <x v="9"/>
    <s v="West Asia and Africa"/>
    <s v="No Specific Relationship"/>
    <s v="None"/>
    <x v="1"/>
    <x v="119"/>
    <x v="20"/>
    <n v="10"/>
    <x v="9"/>
    <m/>
    <m/>
    <m/>
    <m/>
    <x v="0"/>
    <m/>
    <x v="0"/>
    <m/>
    <x v="0"/>
    <m/>
    <x v="2"/>
    <s v="ETF-09"/>
    <s v="South Sea Fleet"/>
    <s v="DDG169 Wuhan, FFG569 Yulin, AOR885 Qinghai Hu"/>
    <m/>
    <m/>
  </r>
  <r>
    <x v="1"/>
    <x v="8"/>
    <s v="Europe and Central Asia"/>
    <s v="Comprehensive Strategic Partnership [全面战略伙伴关系]"/>
    <s v="NATO"/>
    <x v="3"/>
    <x v="29"/>
    <x v="20"/>
    <n v="10"/>
    <x v="4"/>
    <s v="Tong Shiping"/>
    <m/>
    <s v="GPD Deputy Director"/>
    <n v="6"/>
    <x v="1"/>
    <m/>
    <x v="0"/>
    <m/>
    <x v="0"/>
    <m/>
    <x v="1"/>
    <m/>
    <m/>
    <m/>
    <m/>
    <m/>
  </r>
  <r>
    <x v="1"/>
    <x v="8"/>
    <s v="Europe and Central Asia"/>
    <s v="No Specific Relationship"/>
    <s v="NATO"/>
    <x v="3"/>
    <x v="82"/>
    <x v="20"/>
    <n v="10"/>
    <x v="4"/>
    <s v="Tong Shiping"/>
    <m/>
    <s v="GPD Deputy Director"/>
    <n v="6"/>
    <x v="1"/>
    <m/>
    <x v="0"/>
    <m/>
    <x v="0"/>
    <m/>
    <x v="1"/>
    <m/>
    <m/>
    <m/>
    <m/>
    <m/>
  </r>
  <r>
    <x v="0"/>
    <x v="10"/>
    <s v="America and Oceania"/>
    <s v="Friendly Partnership [友好伙伴关系)]"/>
    <s v="None"/>
    <x v="5"/>
    <x v="145"/>
    <x v="20"/>
    <n v="10"/>
    <x v="12"/>
    <m/>
    <m/>
    <m/>
    <m/>
    <x v="0"/>
    <m/>
    <x v="0"/>
    <m/>
    <x v="0"/>
    <m/>
    <x v="0"/>
    <s v="2011-10 Peace Ark "/>
    <s v="East Sea Fleet"/>
    <m/>
    <m/>
    <s v="recoded to delete drills"/>
  </r>
  <r>
    <x v="1"/>
    <x v="1"/>
    <s v="Asia"/>
    <s v="Comprehensive Strategic Cooperative Partnership [全面战略合作伙伴关系]"/>
    <s v="None"/>
    <x v="0"/>
    <x v="52"/>
    <x v="20"/>
    <n v="10"/>
    <x v="3"/>
    <s v="Liang Guanglie"/>
    <m/>
    <s v="Defense Minister; CMC Member"/>
    <n v="8"/>
    <x v="2"/>
    <s v="Defense Minister"/>
    <x v="0"/>
    <m/>
    <x v="0"/>
    <m/>
    <x v="1"/>
    <m/>
    <m/>
    <m/>
    <m/>
    <m/>
  </r>
  <r>
    <x v="1"/>
    <x v="8"/>
    <s v="Europe and Central Asia"/>
    <s v="No Specific Relationship"/>
    <s v="None"/>
    <x v="3"/>
    <x v="155"/>
    <x v="20"/>
    <n v="10"/>
    <x v="3"/>
    <s v="Guo Boxiong"/>
    <m/>
    <s v="CMC Vice Chairman"/>
    <n v="10"/>
    <x v="2"/>
    <s v="Defense Minister"/>
    <x v="0"/>
    <m/>
    <x v="0"/>
    <m/>
    <x v="1"/>
    <m/>
    <m/>
    <m/>
    <m/>
    <m/>
  </r>
  <r>
    <x v="1"/>
    <x v="7"/>
    <s v="West Asia and Africa"/>
    <s v="No Specific Relationship"/>
    <s v="None"/>
    <x v="4"/>
    <x v="69"/>
    <x v="20"/>
    <n v="10"/>
    <x v="3"/>
    <s v="Xu Caihou"/>
    <m/>
    <s v="CMC Vice Chairman"/>
    <n v="10"/>
    <x v="2"/>
    <s v="Defense Minister"/>
    <x v="0"/>
    <m/>
    <x v="0"/>
    <m/>
    <x v="1"/>
    <m/>
    <m/>
    <m/>
    <m/>
    <m/>
  </r>
  <r>
    <x v="1"/>
    <x v="0"/>
    <s v="Asia"/>
    <s v="All-Round Strategic Partnership  [全面合作伙伴关系]"/>
    <s v="None"/>
    <x v="0"/>
    <x v="32"/>
    <x v="20"/>
    <n v="10"/>
    <x v="3"/>
    <s v="Xu Caihou"/>
    <m/>
    <s v="CMC Vice Chairman"/>
    <n v="10"/>
    <x v="2"/>
    <s v="Army Chief of Staff"/>
    <x v="0"/>
    <m/>
    <x v="0"/>
    <m/>
    <x v="1"/>
    <m/>
    <m/>
    <m/>
    <m/>
    <s v="Recoded as South Asia"/>
  </r>
  <r>
    <x v="1"/>
    <x v="10"/>
    <s v="America and Oceania"/>
    <s v="Strategic Partnership [战略伙伴关系]"/>
    <s v="None"/>
    <x v="5"/>
    <x v="54"/>
    <x v="20"/>
    <n v="10"/>
    <x v="4"/>
    <s v="Guo Boxiong"/>
    <m/>
    <s v="CMC Vice Chairman"/>
    <n v="10"/>
    <x v="1"/>
    <m/>
    <x v="0"/>
    <m/>
    <x v="0"/>
    <m/>
    <x v="1"/>
    <m/>
    <m/>
    <m/>
    <m/>
    <m/>
  </r>
  <r>
    <x v="1"/>
    <x v="3"/>
    <s v="Europe and Central Asia"/>
    <s v="Strategic Partnership of Coordination [战略协作伙伴关系]"/>
    <s v="None"/>
    <x v="3"/>
    <x v="7"/>
    <x v="20"/>
    <n v="10"/>
    <x v="3"/>
    <s v="Chen Bingde"/>
    <m/>
    <s v="GSD Commander; CMC Member"/>
    <n v="8"/>
    <x v="2"/>
    <s v="DCOGS"/>
    <x v="0"/>
    <m/>
    <x v="0"/>
    <m/>
    <x v="1"/>
    <m/>
    <m/>
    <m/>
    <m/>
    <m/>
  </r>
  <r>
    <x v="1"/>
    <x v="5"/>
    <s v="America and Oceania"/>
    <s v="No Specific Relationship"/>
    <s v="ANZUS Treaty"/>
    <x v="0"/>
    <x v="12"/>
    <x v="20"/>
    <n v="11"/>
    <x v="3"/>
    <s v="Chen Bingde"/>
    <m/>
    <s v="GSD Commander; CMC Member"/>
    <n v="8"/>
    <x v="2"/>
    <s v="Commander Joint Ops Command"/>
    <x v="0"/>
    <m/>
    <x v="0"/>
    <m/>
    <x v="1"/>
    <m/>
    <m/>
    <m/>
    <m/>
    <m/>
  </r>
  <r>
    <x v="2"/>
    <x v="5"/>
    <s v="America and Oceania"/>
    <s v="No Specific Relationship"/>
    <s v="ANZUS Treaty"/>
    <x v="0"/>
    <x v="12"/>
    <x v="20"/>
    <n v="11"/>
    <x v="5"/>
    <m/>
    <m/>
    <m/>
    <m/>
    <x v="0"/>
    <m/>
    <x v="2"/>
    <s v="Cooperation Spirit 2011"/>
    <x v="1"/>
    <s v="HADR in Dujiangyan Sichuan"/>
    <x v="1"/>
    <m/>
    <m/>
    <m/>
    <s v="2013 Defense White Paper Appendix"/>
    <m/>
  </r>
  <r>
    <x v="1"/>
    <x v="10"/>
    <s v="America and Oceania"/>
    <s v="Comprehensive Partnership [全面伙伴关系]"/>
    <s v="None"/>
    <x v="5"/>
    <x v="66"/>
    <x v="20"/>
    <n v="11"/>
    <x v="4"/>
    <s v="Chang Wanquan"/>
    <m/>
    <s v="GAD Director; CMC Member"/>
    <n v="8"/>
    <x v="1"/>
    <s v="Acting Commander Army"/>
    <x v="0"/>
    <m/>
    <x v="0"/>
    <m/>
    <x v="1"/>
    <m/>
    <m/>
    <m/>
    <m/>
    <m/>
  </r>
  <r>
    <x v="0"/>
    <x v="10"/>
    <s v="America and Oceania"/>
    <s v="No Specific Relationship"/>
    <s v="None"/>
    <x v="5"/>
    <x v="156"/>
    <x v="20"/>
    <n v="11"/>
    <x v="12"/>
    <m/>
    <m/>
    <m/>
    <m/>
    <x v="0"/>
    <m/>
    <x v="0"/>
    <m/>
    <x v="0"/>
    <m/>
    <x v="0"/>
    <s v="2011-10 Peace Ark "/>
    <s v="East Sea Fleet"/>
    <m/>
    <m/>
    <s v="recoded to delete drills"/>
  </r>
  <r>
    <x v="1"/>
    <x v="8"/>
    <s v="Europe and Central Asia"/>
    <s v="Strategic Partnership [战略伙伴关系]"/>
    <s v="NATO"/>
    <x v="3"/>
    <x v="18"/>
    <x v="20"/>
    <n v="11"/>
    <x v="3"/>
    <s v="Zhang Qinsheng"/>
    <m/>
    <s v="GSD DCGS"/>
    <n v="6"/>
    <x v="2"/>
    <s v="Parliament State Secretary to Defense Minister"/>
    <x v="0"/>
    <m/>
    <x v="0"/>
    <m/>
    <x v="1"/>
    <m/>
    <m/>
    <m/>
    <m/>
    <m/>
  </r>
  <r>
    <x v="1"/>
    <x v="7"/>
    <s v="West Asia and Africa"/>
    <s v="No Specific Relationship"/>
    <s v="None"/>
    <x v="4"/>
    <x v="87"/>
    <x v="20"/>
    <n v="11"/>
    <x v="4"/>
    <s v="Liang Guanglie"/>
    <m/>
    <s v="Defense Minister; CMC Member"/>
    <n v="8"/>
    <x v="1"/>
    <m/>
    <x v="0"/>
    <m/>
    <x v="0"/>
    <m/>
    <x v="1"/>
    <m/>
    <m/>
    <m/>
    <m/>
    <m/>
  </r>
  <r>
    <x v="0"/>
    <x v="9"/>
    <s v="West Asia and Africa"/>
    <s v="No Specific Relationship"/>
    <s v="Major Non-NATO Ally"/>
    <x v="1"/>
    <x v="72"/>
    <x v="20"/>
    <n v="11"/>
    <x v="0"/>
    <m/>
    <m/>
    <m/>
    <m/>
    <x v="0"/>
    <m/>
    <x v="0"/>
    <m/>
    <x v="0"/>
    <m/>
    <x v="2"/>
    <s v="ETF-09"/>
    <s v="South Sea Fleet"/>
    <s v="DDG169 Wuhan, FFG569 Yulin, AOR885 Qinghai Hu"/>
    <m/>
    <m/>
  </r>
  <r>
    <x v="1"/>
    <x v="1"/>
    <s v="Asia"/>
    <s v="Comprehensive Strategic Cooperative Partnership [全面战略合作伙伴关系]"/>
    <s v="None"/>
    <x v="0"/>
    <x v="1"/>
    <x v="20"/>
    <n v="11"/>
    <x v="4"/>
    <s v="Chen Bingde"/>
    <m/>
    <s v="GSD Commander; CMC Member"/>
    <n v="8"/>
    <x v="1"/>
    <m/>
    <x v="0"/>
    <m/>
    <x v="0"/>
    <m/>
    <x v="1"/>
    <m/>
    <m/>
    <m/>
    <m/>
    <m/>
  </r>
  <r>
    <x v="1"/>
    <x v="4"/>
    <s v="Asia"/>
    <s v="Bilateral Defense Treaty"/>
    <s v="None"/>
    <x v="0"/>
    <x v="9"/>
    <x v="20"/>
    <n v="11"/>
    <x v="3"/>
    <s v="Li Jinai"/>
    <m/>
    <s v="GPD Director; CMC Member"/>
    <n v="8"/>
    <x v="2"/>
    <s v="Commander, Interior Force and First Deputy Minister of People's Security"/>
    <x v="0"/>
    <m/>
    <x v="0"/>
    <m/>
    <x v="1"/>
    <m/>
    <m/>
    <m/>
    <m/>
    <m/>
  </r>
  <r>
    <x v="0"/>
    <x v="9"/>
    <s v="West Asia and Africa"/>
    <s v="No Specific Relationship"/>
    <s v="None"/>
    <x v="1"/>
    <x v="147"/>
    <x v="20"/>
    <n v="11"/>
    <x v="9"/>
    <m/>
    <m/>
    <m/>
    <m/>
    <x v="0"/>
    <m/>
    <x v="0"/>
    <m/>
    <x v="0"/>
    <m/>
    <x v="2"/>
    <s v="ETF-09"/>
    <s v="South Sea Fleet"/>
    <s v="DDG169 Wuhan, FFG569 Yulin, AOR885 Qinghai Hu; unknown, could be ETF-10"/>
    <m/>
    <m/>
  </r>
  <r>
    <x v="2"/>
    <x v="0"/>
    <s v="Asia"/>
    <s v="Strategic Partnership [战略伙伴关系]"/>
    <s v="Major Non-NATO Ally"/>
    <x v="1"/>
    <x v="2"/>
    <x v="20"/>
    <n v="11"/>
    <x v="5"/>
    <m/>
    <m/>
    <m/>
    <m/>
    <x v="0"/>
    <m/>
    <x v="1"/>
    <s v="Friendship 2011"/>
    <x v="1"/>
    <s v="Anti-terrorism"/>
    <x v="1"/>
    <m/>
    <m/>
    <m/>
    <m/>
    <m/>
  </r>
  <r>
    <x v="1"/>
    <x v="7"/>
    <s v="West Asia and Africa"/>
    <s v="No Specific Relationship"/>
    <s v="None"/>
    <x v="4"/>
    <x v="139"/>
    <x v="20"/>
    <n v="11"/>
    <x v="4"/>
    <s v="Liang Guanglie"/>
    <m/>
    <s v="Defense Minister; CMC Member"/>
    <n v="8"/>
    <x v="1"/>
    <m/>
    <x v="0"/>
    <m/>
    <x v="0"/>
    <m/>
    <x v="1"/>
    <m/>
    <m/>
    <m/>
    <m/>
    <m/>
  </r>
  <r>
    <x v="1"/>
    <x v="7"/>
    <s v="West Asia and Africa"/>
    <s v="Comprehensive Strategic Partnership [全面战略伙伴关系]"/>
    <s v="None"/>
    <x v="4"/>
    <x v="15"/>
    <x v="20"/>
    <n v="11"/>
    <x v="3"/>
    <s v="Chen Yong"/>
    <m/>
    <s v="GSD Assistant Commander"/>
    <n v="5"/>
    <x v="2"/>
    <m/>
    <x v="0"/>
    <m/>
    <x v="0"/>
    <m/>
    <x v="1"/>
    <m/>
    <m/>
    <m/>
    <m/>
    <m/>
  </r>
  <r>
    <x v="1"/>
    <x v="7"/>
    <s v="West Asia and Africa"/>
    <s v="No Specific Relationship"/>
    <s v="None"/>
    <x v="4"/>
    <x v="74"/>
    <x v="20"/>
    <n v="11"/>
    <x v="3"/>
    <s v="Liang Guanglie"/>
    <m/>
    <s v="Defense Minister; CMC Member"/>
    <n v="8"/>
    <x v="2"/>
    <s v="Defense Minister"/>
    <x v="0"/>
    <m/>
    <x v="0"/>
    <m/>
    <x v="1"/>
    <m/>
    <m/>
    <m/>
    <m/>
    <m/>
  </r>
  <r>
    <x v="1"/>
    <x v="8"/>
    <s v="Europe and Central Asia"/>
    <s v="No Specific Relationship"/>
    <s v="None"/>
    <x v="3"/>
    <x v="92"/>
    <x v="20"/>
    <n v="11"/>
    <x v="3"/>
    <s v="Wu Shengli"/>
    <m/>
    <s v="PLAN Commander; CMC Member"/>
    <n v="8"/>
    <x v="2"/>
    <s v="Navy Inspector General"/>
    <x v="0"/>
    <m/>
    <x v="0"/>
    <m/>
    <x v="1"/>
    <m/>
    <m/>
    <m/>
    <m/>
    <m/>
  </r>
  <r>
    <x v="0"/>
    <x v="10"/>
    <s v="America and Oceania"/>
    <s v="No Specific Relationship"/>
    <s v="None"/>
    <x v="5"/>
    <x v="75"/>
    <x v="20"/>
    <n v="11"/>
    <x v="12"/>
    <m/>
    <m/>
    <m/>
    <m/>
    <x v="0"/>
    <m/>
    <x v="0"/>
    <m/>
    <x v="0"/>
    <m/>
    <x v="0"/>
    <s v="2011-10 Peace Ark "/>
    <s v="East Sea Fleet"/>
    <m/>
    <m/>
    <s v="recoded to delete drills"/>
  </r>
  <r>
    <x v="1"/>
    <x v="7"/>
    <s v="West Asia and Africa"/>
    <s v="No Specific Relationship"/>
    <s v="None"/>
    <x v="4"/>
    <x v="97"/>
    <x v="20"/>
    <n v="11"/>
    <x v="4"/>
    <s v="Liang Guanglie"/>
    <m/>
    <s v="Defense Minister; CMC Member"/>
    <n v="8"/>
    <x v="1"/>
    <m/>
    <x v="0"/>
    <m/>
    <x v="0"/>
    <m/>
    <x v="1"/>
    <m/>
    <m/>
    <m/>
    <m/>
    <m/>
  </r>
  <r>
    <x v="2"/>
    <x v="10"/>
    <s v="America and Oceania"/>
    <s v="Strategic Development Partnership [战略发展伙伴关系]"/>
    <s v="None"/>
    <x v="5"/>
    <x v="56"/>
    <x v="20"/>
    <n v="11"/>
    <x v="5"/>
    <s v=" "/>
    <m/>
    <s v=" "/>
    <s v=" "/>
    <x v="3"/>
    <m/>
    <x v="3"/>
    <s v="Cooperation 2011"/>
    <x v="1"/>
    <s v="SOF urban Warfare Exercise in Venezuela"/>
    <x v="1"/>
    <m/>
    <m/>
    <m/>
    <s v="Defense White Paper Appendix"/>
    <m/>
  </r>
  <r>
    <x v="1"/>
    <x v="0"/>
    <s v="Asia"/>
    <s v="Comprehensive Cooperative Partnership [全面合作伙伴关系]"/>
    <s v="None"/>
    <x v="0"/>
    <x v="0"/>
    <x v="20"/>
    <n v="12"/>
    <x v="4"/>
    <s v="Ma Xiaotian"/>
    <m/>
    <s v="GSD DCGS"/>
    <n v="6"/>
    <x v="1"/>
    <s v="Army Chief of Staff"/>
    <x v="0"/>
    <m/>
    <x v="0"/>
    <m/>
    <x v="1"/>
    <m/>
    <m/>
    <m/>
    <m/>
    <m/>
  </r>
  <r>
    <x v="1"/>
    <x v="8"/>
    <s v="Europe and Central Asia"/>
    <s v="No Specific Relationship"/>
    <s v="None"/>
    <x v="3"/>
    <x v="99"/>
    <x v="20"/>
    <n v="12"/>
    <x v="3"/>
    <s v="Guo Boxiong"/>
    <m/>
    <s v="CMC Vice Chairman"/>
    <n v="10"/>
    <x v="2"/>
    <s v="Defense Minister"/>
    <x v="0"/>
    <m/>
    <x v="0"/>
    <m/>
    <x v="1"/>
    <m/>
    <m/>
    <m/>
    <m/>
    <m/>
  </r>
  <r>
    <x v="1"/>
    <x v="1"/>
    <s v="Asia"/>
    <s v="Strategic Cooperative Partnership [战略合作伙伴关系]"/>
    <s v="None"/>
    <x v="0"/>
    <x v="10"/>
    <x v="20"/>
    <n v="12"/>
    <x v="3"/>
    <s v="Guo Boxiong"/>
    <m/>
    <s v="CMC Vice Chairman"/>
    <n v="10"/>
    <x v="2"/>
    <s v="Deputy Prime Minister"/>
    <x v="0"/>
    <m/>
    <x v="0"/>
    <m/>
    <x v="1"/>
    <m/>
    <m/>
    <m/>
    <m/>
    <m/>
  </r>
  <r>
    <x v="1"/>
    <x v="0"/>
    <s v="Asia"/>
    <s v="All-Round Strategic Partnership  [全面合作伙伴关系]"/>
    <s v="None"/>
    <x v="0"/>
    <x v="32"/>
    <x v="20"/>
    <n v="12"/>
    <x v="3"/>
    <s v="Liang Guanglie"/>
    <m/>
    <s v="Defense Minister; CMC Member"/>
    <n v="8"/>
    <x v="2"/>
    <s v="Deputy Prime Minister"/>
    <x v="0"/>
    <m/>
    <x v="0"/>
    <m/>
    <x v="1"/>
    <m/>
    <m/>
    <m/>
    <m/>
    <m/>
  </r>
  <r>
    <x v="0"/>
    <x v="9"/>
    <s v="West Asia and Africa"/>
    <s v="No Specific Relationship"/>
    <s v="None"/>
    <x v="1"/>
    <x v="147"/>
    <x v="20"/>
    <n v="12"/>
    <x v="0"/>
    <m/>
    <m/>
    <m/>
    <m/>
    <x v="0"/>
    <m/>
    <x v="0"/>
    <m/>
    <x v="0"/>
    <m/>
    <x v="2"/>
    <s v="ETF-09"/>
    <s v="South Sea Fleet"/>
    <s v="DDG169 Wuhan, FFG569 Yulin, AOR885 Qinghai Hu"/>
    <m/>
    <m/>
  </r>
  <r>
    <x v="0"/>
    <x v="1"/>
    <s v="Asia"/>
    <s v="No Specific Relationship"/>
    <s v="None"/>
    <x v="0"/>
    <x v="39"/>
    <x v="20"/>
    <n v="12"/>
    <x v="13"/>
    <m/>
    <m/>
    <m/>
    <m/>
    <x v="0"/>
    <m/>
    <x v="0"/>
    <m/>
    <x v="0"/>
    <m/>
    <x v="2"/>
    <s v="ETF-10 "/>
    <s v="South Sea Fleet"/>
    <s v="DDG171 Haikou, FFG571 Yuncheng, AOR885 Qinghai Hu; unknown, could also be ETF-9"/>
    <m/>
    <m/>
  </r>
  <r>
    <x v="1"/>
    <x v="0"/>
    <s v="Asia"/>
    <s v="Comprehensive Cooperative Partnership [全面合作伙伴关系]"/>
    <s v="None"/>
    <x v="0"/>
    <x v="3"/>
    <x v="20"/>
    <n v="12"/>
    <x v="4"/>
    <s v="Ma Xiaotian"/>
    <m/>
    <s v="GSD DCGS"/>
    <n v="6"/>
    <x v="1"/>
    <s v="Army Commander"/>
    <x v="0"/>
    <m/>
    <x v="0"/>
    <m/>
    <x v="1"/>
    <m/>
    <m/>
    <m/>
    <m/>
    <m/>
  </r>
  <r>
    <x v="1"/>
    <x v="8"/>
    <s v="Europe and Central Asia"/>
    <s v="Comprehensive Strategic Partnership [全面战略伙伴关系]"/>
    <s v="NATO"/>
    <x v="3"/>
    <x v="21"/>
    <x v="20"/>
    <n v="12"/>
    <x v="3"/>
    <s v="Xu Qiliang"/>
    <m/>
    <s v="PLAAF Commander; CMC Member"/>
    <n v="8"/>
    <x v="2"/>
    <s v="RAF Chief of Staff"/>
    <x v="0"/>
    <m/>
    <x v="0"/>
    <m/>
    <x v="1"/>
    <m/>
    <m/>
    <m/>
    <m/>
    <m/>
  </r>
  <r>
    <x v="1"/>
    <x v="2"/>
    <s v="America and Oceania"/>
    <s v="No Specific Relationship"/>
    <s v="N/A"/>
    <x v="2"/>
    <x v="4"/>
    <x v="20"/>
    <n v="12"/>
    <x v="3"/>
    <s v="Ma Xiaotian"/>
    <m/>
    <s v="GSD DCGS"/>
    <n v="6"/>
    <x v="2"/>
    <m/>
    <x v="0"/>
    <m/>
    <x v="0"/>
    <m/>
    <x v="1"/>
    <m/>
    <m/>
    <m/>
    <m/>
    <m/>
  </r>
  <r>
    <x v="1"/>
    <x v="1"/>
    <s v="Asia"/>
    <s v="Strategic Partnership [战略伙伴关系]"/>
    <s v="None"/>
    <x v="0"/>
    <x v="8"/>
    <x v="21"/>
    <n v="1"/>
    <x v="3"/>
    <s v="Liang Guanglie"/>
    <m/>
    <s v="Defense Minister; CMC Member"/>
    <n v="8"/>
    <x v="2"/>
    <s v="Ambassador to China"/>
    <x v="0"/>
    <m/>
    <x v="0"/>
    <m/>
    <x v="1"/>
    <m/>
    <m/>
    <m/>
    <m/>
    <m/>
  </r>
  <r>
    <x v="1"/>
    <x v="0"/>
    <s v="Asia"/>
    <s v="Strategic Partnership [战略伙伴关系]"/>
    <s v="Major Non-NATO Ally"/>
    <x v="1"/>
    <x v="2"/>
    <x v="21"/>
    <n v="1"/>
    <x v="3"/>
    <s v="Chen Bingde"/>
    <m/>
    <s v="GSD Commander; CMC Member"/>
    <n v="8"/>
    <x v="2"/>
    <s v="Army Chief of Staff"/>
    <x v="0"/>
    <m/>
    <x v="0"/>
    <m/>
    <x v="1"/>
    <m/>
    <m/>
    <m/>
    <m/>
    <m/>
  </r>
  <r>
    <x v="1"/>
    <x v="8"/>
    <s v="Europe and Central Asia"/>
    <s v="Strategic Partnership [战略伙伴关系]"/>
    <s v="NATO"/>
    <x v="3"/>
    <x v="18"/>
    <x v="21"/>
    <n v="2"/>
    <x v="3"/>
    <s v="Ma Xiaotian"/>
    <m/>
    <s v="GSD DCGS"/>
    <n v="6"/>
    <x v="2"/>
    <s v="Deputy Chief Military Policy and Arms Control, Defense Ministry"/>
    <x v="0"/>
    <m/>
    <x v="0"/>
    <m/>
    <x v="1"/>
    <m/>
    <m/>
    <m/>
    <m/>
    <m/>
  </r>
  <r>
    <x v="1"/>
    <x v="1"/>
    <s v="Asia"/>
    <s v="Strategic Partnership [战略伙伴关系]"/>
    <s v="None"/>
    <x v="0"/>
    <x v="8"/>
    <x v="21"/>
    <n v="2"/>
    <x v="3"/>
    <s v="Liang Guanglie"/>
    <m/>
    <s v="Defense Minister; CMC Member"/>
    <n v="8"/>
    <x v="2"/>
    <s v="Defense Minister"/>
    <x v="0"/>
    <m/>
    <x v="0"/>
    <m/>
    <x v="1"/>
    <m/>
    <m/>
    <m/>
    <m/>
    <m/>
  </r>
  <r>
    <x v="1"/>
    <x v="8"/>
    <s v="Europe and Central Asia"/>
    <s v="Comprehensive Strategic Partnership [全面战略伙伴关系]"/>
    <s v="NATO"/>
    <x v="3"/>
    <x v="20"/>
    <x v="21"/>
    <n v="2"/>
    <x v="3"/>
    <s v="Chang Wanquan"/>
    <m/>
    <s v="GAD Director; CMC Member"/>
    <n v="8"/>
    <x v="2"/>
    <s v="Deputy Secretary General of Ministry of Defense"/>
    <x v="0"/>
    <m/>
    <x v="0"/>
    <m/>
    <x v="1"/>
    <m/>
    <m/>
    <m/>
    <m/>
    <m/>
  </r>
  <r>
    <x v="1"/>
    <x v="4"/>
    <s v="Asia"/>
    <s v="Mutually Beneficial Strategic Relationship [战略互惠关系]"/>
    <s v="Bilateral Defense Treaty"/>
    <x v="0"/>
    <x v="83"/>
    <x v="21"/>
    <n v="2"/>
    <x v="3"/>
    <s v="Liang Guanglie"/>
    <m/>
    <s v="Defense Minister; CMC Member"/>
    <n v="8"/>
    <x v="2"/>
    <s v="young military officers"/>
    <x v="0"/>
    <m/>
    <x v="0"/>
    <m/>
    <x v="1"/>
    <m/>
    <m/>
    <m/>
    <m/>
    <m/>
  </r>
  <r>
    <x v="1"/>
    <x v="1"/>
    <s v="Asia"/>
    <s v="Comprehensive Strategic Cooperative Partnership [全面战略合作伙伴关系]"/>
    <s v="None"/>
    <x v="0"/>
    <x v="1"/>
    <x v="21"/>
    <n v="2"/>
    <x v="3"/>
    <s v="Chen Bingde"/>
    <m/>
    <s v="GSD Commander; CMC Member"/>
    <n v="8"/>
    <x v="2"/>
    <s v="speaker of house of representatives; former Chief of Staff Armed Forces"/>
    <x v="0"/>
    <m/>
    <x v="0"/>
    <m/>
    <x v="1"/>
    <m/>
    <m/>
    <m/>
    <m/>
    <m/>
  </r>
  <r>
    <x v="1"/>
    <x v="8"/>
    <s v="Europe and Central Asia"/>
    <s v="No Specific Relationship"/>
    <s v="NATO"/>
    <x v="3"/>
    <x v="151"/>
    <x v="21"/>
    <n v="2"/>
    <x v="3"/>
    <s v="Ma Xiaotian"/>
    <m/>
    <s v="GSD DCGS"/>
    <n v="6"/>
    <x v="2"/>
    <s v="Director, IMS, NATO"/>
    <x v="0"/>
    <m/>
    <x v="0"/>
    <m/>
    <x v="1"/>
    <m/>
    <m/>
    <m/>
    <s v="https://www.nato.int/cps/fr/natohq/news_84305.htm?selectedLocale=en"/>
    <s v="PCS: May have been an iteration of the China-NATO staff talks, but the higher rank of the NATO delegation and the PLA counterpart Ma Xiaotian justify inclusion"/>
  </r>
  <r>
    <x v="0"/>
    <x v="9"/>
    <s v="West Asia and Africa"/>
    <s v="No Specific Relationship"/>
    <s v="None"/>
    <x v="1"/>
    <x v="147"/>
    <x v="21"/>
    <n v="2"/>
    <x v="9"/>
    <m/>
    <m/>
    <m/>
    <m/>
    <x v="0"/>
    <m/>
    <x v="0"/>
    <m/>
    <x v="0"/>
    <m/>
    <x v="2"/>
    <s v="ETF-10"/>
    <s v="South Sea Fleet"/>
    <s v="DDG171 Haikou, FFG571 Yuncheng, AOR885 Qinghai Hu"/>
    <m/>
    <m/>
  </r>
  <r>
    <x v="1"/>
    <x v="3"/>
    <s v="Europe and Central Asia"/>
    <s v="Strategic Partnership of Coordination [战略协作伙伴关系]"/>
    <s v="None"/>
    <x v="3"/>
    <x v="7"/>
    <x v="21"/>
    <n v="2"/>
    <x v="3"/>
    <s v="Chen Bingde"/>
    <m/>
    <s v="GSD Commander; CMC Member"/>
    <n v="8"/>
    <x v="2"/>
    <s v="DCOGS"/>
    <x v="0"/>
    <m/>
    <x v="0"/>
    <m/>
    <x v="1"/>
    <m/>
    <m/>
    <m/>
    <m/>
    <m/>
  </r>
  <r>
    <x v="1"/>
    <x v="0"/>
    <s v="Asia"/>
    <s v="Comprehensive Cooperative Partnership [全面合作伙伴关系]"/>
    <s v="None"/>
    <x v="0"/>
    <x v="3"/>
    <x v="21"/>
    <n v="2"/>
    <x v="3"/>
    <s v="Ma Xiaotian"/>
    <m/>
    <s v="GSD DCGS"/>
    <n v="6"/>
    <x v="2"/>
    <s v="Commander, Eastern Military Command of Navy"/>
    <x v="0"/>
    <m/>
    <x v="0"/>
    <m/>
    <x v="1"/>
    <m/>
    <m/>
    <m/>
    <m/>
    <m/>
  </r>
  <r>
    <x v="1"/>
    <x v="1"/>
    <s v="Asia"/>
    <s v="Comprehensive Strategic Cooperative Partnership [全面战略合作伙伴关系]"/>
    <s v="Bilateral Defense Treaty"/>
    <x v="0"/>
    <x v="5"/>
    <x v="21"/>
    <n v="2"/>
    <x v="3"/>
    <s v="Liang Guanglie"/>
    <m/>
    <s v="Defense Minister; CMC Member"/>
    <n v="8"/>
    <x v="2"/>
    <s v="CinC Army"/>
    <x v="0"/>
    <m/>
    <x v="0"/>
    <m/>
    <x v="1"/>
    <m/>
    <m/>
    <m/>
    <m/>
    <m/>
  </r>
  <r>
    <x v="1"/>
    <x v="8"/>
    <s v="Europe and Central Asia"/>
    <s v="Strategic Cooperative Partnership [战略合作伙伴关系]"/>
    <s v="None"/>
    <x v="3"/>
    <x v="26"/>
    <x v="21"/>
    <n v="2"/>
    <x v="3"/>
    <s v="Wu Shengli"/>
    <m/>
    <s v="PLAN Commander; CMC Member"/>
    <n v="8"/>
    <x v="2"/>
    <s v="Navy Commander"/>
    <x v="0"/>
    <m/>
    <x v="0"/>
    <m/>
    <x v="1"/>
    <m/>
    <m/>
    <m/>
    <m/>
    <m/>
  </r>
  <r>
    <x v="1"/>
    <x v="1"/>
    <s v="Asia"/>
    <s v="No Specific Relationship"/>
    <s v="None"/>
    <x v="0"/>
    <x v="44"/>
    <x v="21"/>
    <n v="3"/>
    <x v="3"/>
    <s v="Liang Guanglie"/>
    <m/>
    <s v="Defense Minister; CMC Member"/>
    <n v="8"/>
    <x v="2"/>
    <s v="Deputy Defense Minister"/>
    <x v="0"/>
    <m/>
    <x v="0"/>
    <m/>
    <x v="1"/>
    <m/>
    <m/>
    <m/>
    <m/>
    <m/>
  </r>
  <r>
    <x v="1"/>
    <x v="2"/>
    <s v="America and Oceania"/>
    <s v="Strategic Partnership [战略伙伴关系]"/>
    <s v="NATO"/>
    <x v="2"/>
    <x v="17"/>
    <x v="21"/>
    <n v="3"/>
    <x v="3"/>
    <s v="Guo Boxiong"/>
    <m/>
    <s v="CMC Vice Chairman"/>
    <n v="10"/>
    <x v="2"/>
    <s v="Chief of Staff"/>
    <x v="0"/>
    <m/>
    <x v="0"/>
    <m/>
    <x v="1"/>
    <m/>
    <m/>
    <m/>
    <m/>
    <m/>
  </r>
  <r>
    <x v="0"/>
    <x v="9"/>
    <s v="West Asia and Africa"/>
    <s v="No Specific Relationship"/>
    <s v="None"/>
    <x v="1"/>
    <x v="119"/>
    <x v="21"/>
    <n v="3"/>
    <x v="9"/>
    <m/>
    <m/>
    <m/>
    <m/>
    <x v="0"/>
    <m/>
    <x v="0"/>
    <m/>
    <x v="0"/>
    <m/>
    <x v="2"/>
    <s v="ETF-10 "/>
    <s v="South Sea Fleet"/>
    <s v="DDG171 Haikou, FFG571 Yuncheng, AOR885 Qinghai Hu; unknown, could also be ETF-11"/>
    <m/>
    <m/>
  </r>
  <r>
    <x v="1"/>
    <x v="8"/>
    <s v="Europe and Central Asia"/>
    <s v="Comprehensive Strategic Partnership [全面战略伙伴关系]"/>
    <s v="NATO"/>
    <x v="3"/>
    <x v="22"/>
    <x v="21"/>
    <n v="3"/>
    <x v="3"/>
    <s v="Ma Xiaotian"/>
    <m/>
    <s v="GSD DCGS"/>
    <n v="6"/>
    <x v="2"/>
    <s v="Army Deputy Chief of Staff"/>
    <x v="0"/>
    <m/>
    <x v="0"/>
    <m/>
    <x v="1"/>
    <m/>
    <m/>
    <m/>
    <m/>
    <m/>
  </r>
  <r>
    <x v="1"/>
    <x v="8"/>
    <s v="Europe and Central Asia"/>
    <s v="Strategic Partnership [战略伙伴关系]"/>
    <s v="NATO"/>
    <x v="3"/>
    <x v="18"/>
    <x v="21"/>
    <n v="3"/>
    <x v="3"/>
    <s v="Chen Bingde"/>
    <m/>
    <s v="GSD Commander; CMC Member"/>
    <n v="8"/>
    <x v="2"/>
    <s v="Army Inspector"/>
    <x v="0"/>
    <m/>
    <x v="0"/>
    <m/>
    <x v="1"/>
    <m/>
    <m/>
    <m/>
    <m/>
    <m/>
  </r>
  <r>
    <x v="1"/>
    <x v="8"/>
    <s v="Europe and Central Asia"/>
    <s v="Comprehensive Strategic Partnership [全面战略伙伴关系]"/>
    <s v="NATO"/>
    <x v="3"/>
    <x v="20"/>
    <x v="21"/>
    <n v="3"/>
    <x v="3"/>
    <s v="Ma Xiaotian"/>
    <m/>
    <s v="GSD DCGS"/>
    <n v="6"/>
    <x v="2"/>
    <s v="Deputy Chief 3rd Dept, Plans and Military Policy of Defense General Staff"/>
    <x v="0"/>
    <m/>
    <x v="0"/>
    <m/>
    <x v="1"/>
    <m/>
    <m/>
    <m/>
    <m/>
    <m/>
  </r>
  <r>
    <x v="1"/>
    <x v="8"/>
    <s v="Europe and Central Asia"/>
    <s v="No Specific Relationship"/>
    <s v="None"/>
    <x v="3"/>
    <x v="92"/>
    <x v="21"/>
    <n v="3"/>
    <x v="3"/>
    <s v="Chen Bingde"/>
    <m/>
    <s v="GSD Commander; CMC Member"/>
    <n v="8"/>
    <x v="2"/>
    <s v="Supreme Commander Armed Forces"/>
    <x v="0"/>
    <m/>
    <x v="0"/>
    <m/>
    <x v="1"/>
    <m/>
    <m/>
    <m/>
    <m/>
    <m/>
  </r>
  <r>
    <x v="1"/>
    <x v="7"/>
    <s v="West Asia and Africa"/>
    <s v="No Specific Relationship"/>
    <s v="None"/>
    <x v="4"/>
    <x v="86"/>
    <x v="21"/>
    <n v="3"/>
    <x v="4"/>
    <s v="Tong Shiping"/>
    <m/>
    <s v="GPD Deputy Director"/>
    <n v="6"/>
    <x v="1"/>
    <m/>
    <x v="0"/>
    <m/>
    <x v="0"/>
    <m/>
    <x v="1"/>
    <m/>
    <m/>
    <m/>
    <m/>
    <m/>
  </r>
  <r>
    <x v="1"/>
    <x v="8"/>
    <s v="Europe and Central Asia"/>
    <s v="No Specific Relationship"/>
    <s v="None"/>
    <x v="3"/>
    <x v="63"/>
    <x v="21"/>
    <n v="4"/>
    <x v="3"/>
    <s v="Ma Xiaotian"/>
    <m/>
    <s v="GSD DCGS"/>
    <n v="6"/>
    <x v="2"/>
    <s v="Director, Defense Policy Bureau of Defense Ministry"/>
    <x v="0"/>
    <m/>
    <x v="0"/>
    <m/>
    <x v="1"/>
    <m/>
    <m/>
    <m/>
    <m/>
    <m/>
  </r>
  <r>
    <x v="1"/>
    <x v="8"/>
    <s v="Europe and Central Asia"/>
    <s v="Strategic Partnership [战略伙伴关系]"/>
    <s v="NATO"/>
    <x v="3"/>
    <x v="18"/>
    <x v="21"/>
    <n v="4"/>
    <x v="3"/>
    <s v="Guo Boxiong"/>
    <m/>
    <s v="CMC Vice Chairman"/>
    <n v="10"/>
    <x v="2"/>
    <s v="Secretary of State for Defense"/>
    <x v="0"/>
    <m/>
    <x v="0"/>
    <m/>
    <x v="1"/>
    <m/>
    <m/>
    <m/>
    <m/>
    <m/>
  </r>
  <r>
    <x v="1"/>
    <x v="6"/>
    <s v="Europe and Central Asia"/>
    <s v="Comprehensive Strategic Partnership [全面战略伙伴关系]"/>
    <s v="None"/>
    <x v="1"/>
    <x v="30"/>
    <x v="21"/>
    <n v="4"/>
    <x v="7"/>
    <s v="Liang Guanglie"/>
    <m/>
    <s v="Defense Minister; CMC Member"/>
    <n v="8"/>
    <x v="2"/>
    <s v="Defense Minister"/>
    <x v="0"/>
    <m/>
    <x v="0"/>
    <m/>
    <x v="1"/>
    <m/>
    <m/>
    <m/>
    <m/>
    <s v="SCO Defense Ministers' Meeting"/>
  </r>
  <r>
    <x v="1"/>
    <x v="7"/>
    <s v="West Asia and Africa"/>
    <s v="No Specific Relationship"/>
    <s v="None"/>
    <x v="4"/>
    <x v="143"/>
    <x v="21"/>
    <n v="4"/>
    <x v="3"/>
    <s v="Liang Guanglie"/>
    <m/>
    <s v="Defense Minister; CMC Member"/>
    <n v="8"/>
    <x v="2"/>
    <s v="Permanent Secretary of Ministry of Defense"/>
    <x v="0"/>
    <m/>
    <x v="0"/>
    <m/>
    <x v="1"/>
    <m/>
    <m/>
    <m/>
    <m/>
    <m/>
  </r>
  <r>
    <x v="0"/>
    <x v="7"/>
    <s v="West Asia and Africa"/>
    <s v="No Specific Relationship"/>
    <s v="None"/>
    <x v="4"/>
    <x v="84"/>
    <x v="21"/>
    <n v="4"/>
    <x v="0"/>
    <m/>
    <m/>
    <m/>
    <m/>
    <x v="0"/>
    <m/>
    <x v="0"/>
    <m/>
    <x v="0"/>
    <m/>
    <x v="2"/>
    <s v="ETF-10"/>
    <s v="South Sea Fleet"/>
    <s v="DDG171 Haikou, FFG571 Yuncheng, AOR885 Qinghai Hu"/>
    <m/>
    <m/>
  </r>
  <r>
    <x v="1"/>
    <x v="0"/>
    <s v="Asia"/>
    <s v="Strategic Partnership [战略伙伴关系]"/>
    <s v="Major Non-NATO Ally"/>
    <x v="1"/>
    <x v="2"/>
    <x v="21"/>
    <n v="4"/>
    <x v="3"/>
    <s v="Liang Guanglie"/>
    <m/>
    <s v="Defense Minister; CMC Member"/>
    <n v="8"/>
    <x v="2"/>
    <s v="Chairman JCS"/>
    <x v="0"/>
    <m/>
    <x v="0"/>
    <m/>
    <x v="1"/>
    <m/>
    <m/>
    <m/>
    <m/>
    <m/>
  </r>
  <r>
    <x v="1"/>
    <x v="3"/>
    <s v="Europe and Central Asia"/>
    <s v="Strategic Partnership of Coordination [战略协作伙伴关系]"/>
    <s v="None"/>
    <x v="3"/>
    <x v="7"/>
    <x v="21"/>
    <n v="4"/>
    <x v="3"/>
    <s v="Guo Boxiong"/>
    <m/>
    <s v="CMC Vice Chairman"/>
    <n v="10"/>
    <x v="2"/>
    <s v="Deputy PM"/>
    <x v="0"/>
    <m/>
    <x v="0"/>
    <m/>
    <x v="1"/>
    <m/>
    <m/>
    <m/>
    <m/>
    <m/>
  </r>
  <r>
    <x v="2"/>
    <x v="3"/>
    <s v="Europe and Central Asia"/>
    <s v="Strategic Partnership of Coordination [战略协作伙伴关系]"/>
    <s v="None"/>
    <x v="3"/>
    <x v="7"/>
    <x v="21"/>
    <n v="4"/>
    <x v="5"/>
    <m/>
    <m/>
    <m/>
    <m/>
    <x v="0"/>
    <m/>
    <x v="3"/>
    <s v="Maritime Cooperation 2012 (aka Joint Sea 2012)"/>
    <x v="2"/>
    <s v="Maritime; HADR; live-fire drills. April 22 to 27"/>
    <x v="1"/>
    <m/>
    <m/>
    <m/>
    <m/>
    <m/>
  </r>
  <r>
    <x v="1"/>
    <x v="6"/>
    <s v="Europe and Central Asia"/>
    <s v="Member"/>
    <s v="None"/>
    <x v="1"/>
    <x v="14"/>
    <x v="21"/>
    <n v="4"/>
    <x v="2"/>
    <s v="Liang Guanglie"/>
    <m/>
    <s v="Defense Minister; CMC Member"/>
    <n v="8"/>
    <x v="1"/>
    <s v="Ninth official meeting of the SCO Ministers' of Defense in Tajikistan; Other countries: Kazakhstan, Kyrgyztan, Russia, Tajikistan, Uzbekistan"/>
    <x v="0"/>
    <m/>
    <x v="0"/>
    <m/>
    <x v="1"/>
    <m/>
    <m/>
    <m/>
    <s v="http://nl.china-embassy.org/eng/zgyw/t926911.htm"/>
    <m/>
  </r>
  <r>
    <x v="1"/>
    <x v="6"/>
    <s v="Europe and Central Asia"/>
    <s v="No Specific Relationship"/>
    <s v="None"/>
    <x v="1"/>
    <x v="60"/>
    <x v="21"/>
    <n v="4"/>
    <x v="7"/>
    <s v="Liang Guanglie"/>
    <m/>
    <s v="Defense Minister; CMC Member"/>
    <n v="8"/>
    <x v="2"/>
    <s v="Defense Minister"/>
    <x v="0"/>
    <m/>
    <x v="0"/>
    <m/>
    <x v="1"/>
    <m/>
    <m/>
    <m/>
    <s v="http://news.tj/en/news/sco-s-peace-mission-2012-war-games-start-north-tajikistan"/>
    <s v="SCO Defense Ministers' Meeting"/>
  </r>
  <r>
    <x v="0"/>
    <x v="1"/>
    <s v="Asia"/>
    <s v="Comprehensive Strategic Cooperative Partnership [全面战略合作伙伴关系]"/>
    <s v="Bilateral Defense Treaty"/>
    <x v="0"/>
    <x v="5"/>
    <x v="21"/>
    <n v="4"/>
    <x v="0"/>
    <m/>
    <m/>
    <m/>
    <m/>
    <x v="0"/>
    <m/>
    <x v="0"/>
    <m/>
    <x v="0"/>
    <m/>
    <x v="2"/>
    <s v="ETF-10"/>
    <s v="South Sea Fleet"/>
    <s v="DDG171 Haikou, FFG571 Yuncheng, AOR885 Qinghai Hu"/>
    <m/>
    <m/>
  </r>
  <r>
    <x v="1"/>
    <x v="10"/>
    <s v="America and Oceania"/>
    <s v="No Specific Relationship"/>
    <s v="None"/>
    <x v="5"/>
    <x v="75"/>
    <x v="21"/>
    <n v="4"/>
    <x v="3"/>
    <s v="Liang Guanglie"/>
    <m/>
    <s v="Defense Minister; CMC Member"/>
    <n v="8"/>
    <x v="2"/>
    <s v="Defense Minister"/>
    <x v="0"/>
    <m/>
    <x v="0"/>
    <m/>
    <x v="1"/>
    <m/>
    <m/>
    <m/>
    <m/>
    <m/>
  </r>
  <r>
    <x v="1"/>
    <x v="6"/>
    <s v="Europe and Central Asia"/>
    <s v="Strategic Partnership [战略伙伴关系]"/>
    <s v="None"/>
    <x v="1"/>
    <x v="73"/>
    <x v="21"/>
    <n v="4"/>
    <x v="3"/>
    <s v="Xu Caihou"/>
    <m/>
    <s v="CMC Vice Chairman"/>
    <n v="10"/>
    <x v="2"/>
    <s v="Chief of Joint Staff"/>
    <x v="0"/>
    <m/>
    <x v="0"/>
    <m/>
    <x v="1"/>
    <m/>
    <m/>
    <m/>
    <m/>
    <m/>
  </r>
  <r>
    <x v="1"/>
    <x v="1"/>
    <s v="Asia"/>
    <s v="Comprehensive Strategic Cooperative Partnership [全面战略合作伙伴关系]"/>
    <s v="None"/>
    <x v="0"/>
    <x v="23"/>
    <x v="21"/>
    <n v="4"/>
    <x v="3"/>
    <s v="Chen Bingde"/>
    <m/>
    <s v="GSD Commander; CMC Member"/>
    <n v="8"/>
    <x v="2"/>
    <s v="COGS Army"/>
    <x v="0"/>
    <m/>
    <x v="0"/>
    <m/>
    <x v="1"/>
    <m/>
    <m/>
    <m/>
    <m/>
    <m/>
  </r>
  <r>
    <x v="0"/>
    <x v="9"/>
    <s v="West Asia and Africa"/>
    <s v="No Specific Relationship"/>
    <s v="None"/>
    <x v="1"/>
    <x v="119"/>
    <x v="21"/>
    <n v="5"/>
    <x v="9"/>
    <m/>
    <m/>
    <m/>
    <m/>
    <x v="0"/>
    <m/>
    <x v="0"/>
    <m/>
    <x v="0"/>
    <m/>
    <x v="2"/>
    <s v="ETF-11"/>
    <s v="North Sea Fleet"/>
    <s v="DDG113 Qingdao, FFG538 Yantai, AOR887 Weishan Hu"/>
    <m/>
    <m/>
  </r>
  <r>
    <x v="1"/>
    <x v="7"/>
    <s v="West Asia and Africa"/>
    <s v="No Specific Relationship"/>
    <s v="None"/>
    <x v="4"/>
    <x v="95"/>
    <x v="21"/>
    <n v="5"/>
    <x v="4"/>
    <s v="Wang Guosheng"/>
    <m/>
    <s v="Lanzhou MR Commander"/>
    <n v="6"/>
    <x v="1"/>
    <m/>
    <x v="0"/>
    <m/>
    <x v="0"/>
    <m/>
    <x v="1"/>
    <m/>
    <m/>
    <m/>
    <m/>
    <m/>
  </r>
  <r>
    <x v="1"/>
    <x v="8"/>
    <s v="Europe and Central Asia"/>
    <s v="No Specific Relationship"/>
    <s v="None"/>
    <x v="3"/>
    <x v="81"/>
    <x v="21"/>
    <n v="5"/>
    <x v="3"/>
    <s v="Qi Jianguo"/>
    <m/>
    <s v="GSD Assistant Commander"/>
    <n v="5"/>
    <x v="2"/>
    <s v="DCOGS"/>
    <x v="0"/>
    <m/>
    <x v="0"/>
    <m/>
    <x v="1"/>
    <m/>
    <m/>
    <m/>
    <m/>
    <m/>
  </r>
  <r>
    <x v="1"/>
    <x v="9"/>
    <s v="West Asia and Africa"/>
    <s v="No Specific Relationship"/>
    <s v="Major Non-NATO Ally"/>
    <x v="1"/>
    <x v="100"/>
    <x v="21"/>
    <n v="5"/>
    <x v="3"/>
    <s v="Chen Bingde"/>
    <m/>
    <s v="GSD Commander; CMC Member"/>
    <n v="8"/>
    <x v="2"/>
    <s v="IDF Chief of Staff"/>
    <x v="0"/>
    <m/>
    <x v="0"/>
    <m/>
    <x v="1"/>
    <m/>
    <m/>
    <m/>
    <m/>
    <m/>
  </r>
  <r>
    <x v="1"/>
    <x v="8"/>
    <s v="Europe and Central Asia"/>
    <s v="Comprehensive Strategic Partnership [全面战略伙伴关系]"/>
    <s v="NATO"/>
    <x v="3"/>
    <x v="20"/>
    <x v="21"/>
    <n v="5"/>
    <x v="3"/>
    <s v="Li Jinai"/>
    <m/>
    <s v="GPD Director; CMC Member"/>
    <n v="8"/>
    <x v="2"/>
    <s v="Air Force Chief of Staff"/>
    <x v="0"/>
    <m/>
    <x v="0"/>
    <m/>
    <x v="1"/>
    <m/>
    <m/>
    <m/>
    <m/>
    <m/>
  </r>
  <r>
    <x v="1"/>
    <x v="8"/>
    <s v="Europe and Central Asia"/>
    <s v="Friendly Cooperative Partnership [友好合作伙伴关系]"/>
    <s v="NATO"/>
    <x v="3"/>
    <x v="157"/>
    <x v="21"/>
    <n v="5"/>
    <x v="4"/>
    <s v="Liang Guanglie"/>
    <m/>
    <s v="Defense Minister; CMC Member"/>
    <n v="8"/>
    <x v="1"/>
    <m/>
    <x v="0"/>
    <m/>
    <x v="0"/>
    <m/>
    <x v="1"/>
    <m/>
    <m/>
    <m/>
    <m/>
    <m/>
  </r>
  <r>
    <x v="1"/>
    <x v="4"/>
    <s v="Asia"/>
    <s v="Strategic Partnership [战略伙伴关系]"/>
    <s v="None"/>
    <x v="0"/>
    <x v="53"/>
    <x v="21"/>
    <n v="5"/>
    <x v="4"/>
    <s v="Xu Caihou"/>
    <m/>
    <s v="CMC Vice Chairman"/>
    <n v="10"/>
    <x v="1"/>
    <m/>
    <x v="0"/>
    <m/>
    <x v="0"/>
    <m/>
    <x v="1"/>
    <m/>
    <m/>
    <m/>
    <m/>
    <m/>
  </r>
  <r>
    <x v="1"/>
    <x v="7"/>
    <s v="West Asia and Africa"/>
    <s v="No Specific Relationship"/>
    <s v="None"/>
    <x v="4"/>
    <x v="84"/>
    <x v="21"/>
    <n v="5"/>
    <x v="3"/>
    <s v="Liang Guanglie"/>
    <m/>
    <s v="Defense Minister; CMC Member"/>
    <n v="8"/>
    <x v="2"/>
    <s v="Defense Minister"/>
    <x v="0"/>
    <m/>
    <x v="0"/>
    <m/>
    <x v="1"/>
    <m/>
    <m/>
    <m/>
    <m/>
    <m/>
  </r>
  <r>
    <x v="1"/>
    <x v="1"/>
    <s v="Asia"/>
    <s v="Comprehensive Strategic Cooperative Partnership [全面战略合作伙伴关系]"/>
    <s v="None"/>
    <x v="0"/>
    <x v="1"/>
    <x v="21"/>
    <n v="5"/>
    <x v="3"/>
    <s v="Qi Jianguo"/>
    <m/>
    <s v="GSD Assistant Commander"/>
    <n v="5"/>
    <x v="2"/>
    <s v="Head of 2nd Special Forces Department"/>
    <x v="0"/>
    <m/>
    <x v="0"/>
    <m/>
    <x v="1"/>
    <m/>
    <m/>
    <m/>
    <m/>
    <m/>
  </r>
  <r>
    <x v="1"/>
    <x v="8"/>
    <s v="Europe and Central Asia"/>
    <s v="Strategic Partnership [战略伙伴关系]"/>
    <s v="NATO"/>
    <x v="3"/>
    <x v="59"/>
    <x v="21"/>
    <n v="5"/>
    <x v="3"/>
    <s v="Liang Guanglie"/>
    <m/>
    <s v="Defense Minister; CMC Member"/>
    <n v="8"/>
    <x v="2"/>
    <s v="Defense Minister"/>
    <x v="0"/>
    <m/>
    <x v="0"/>
    <m/>
    <x v="1"/>
    <m/>
    <m/>
    <m/>
    <m/>
    <m/>
  </r>
  <r>
    <x v="1"/>
    <x v="6"/>
    <s v="Europe and Central Asia"/>
    <s v="Member"/>
    <s v="None"/>
    <x v="1"/>
    <x v="14"/>
    <x v="21"/>
    <n v="5"/>
    <x v="1"/>
    <s v="Chen Bingde"/>
    <m/>
    <s v="GSD Commander; CMC Member"/>
    <n v="8"/>
    <x v="1"/>
    <s v="Second meeting of SCO military chiefs of staff in Tajikistan"/>
    <x v="0"/>
    <m/>
    <x v="0"/>
    <m/>
    <x v="1"/>
    <m/>
    <m/>
    <m/>
    <s v="http://en.people.cn/90786/7834434.html"/>
    <m/>
  </r>
  <r>
    <x v="1"/>
    <x v="0"/>
    <s v="Asia"/>
    <s v="Comprehensive Cooperative Partnership [全面合作伙伴关系]"/>
    <s v="None"/>
    <x v="0"/>
    <x v="3"/>
    <x v="21"/>
    <n v="5"/>
    <x v="3"/>
    <s v="Liang Guanglie"/>
    <m/>
    <s v="Defense Minister; CMC Member"/>
    <n v="8"/>
    <x v="2"/>
    <s v="Army Commander"/>
    <x v="0"/>
    <m/>
    <x v="0"/>
    <m/>
    <x v="1"/>
    <m/>
    <m/>
    <m/>
    <m/>
    <m/>
  </r>
  <r>
    <x v="1"/>
    <x v="6"/>
    <s v="Europe and Central Asia"/>
    <s v="No Specific Relationship"/>
    <s v="None"/>
    <x v="1"/>
    <x v="60"/>
    <x v="21"/>
    <n v="5"/>
    <x v="4"/>
    <s v="Chen Bingde"/>
    <m/>
    <s v="GSD Commander; CMC Member"/>
    <n v="8"/>
    <x v="1"/>
    <m/>
    <x v="0"/>
    <m/>
    <x v="0"/>
    <m/>
    <x v="1"/>
    <m/>
    <m/>
    <m/>
    <m/>
    <m/>
  </r>
  <r>
    <x v="2"/>
    <x v="1"/>
    <s v="Asia"/>
    <s v="Comprehensive Strategic Cooperative Partnership [全面战略合作伙伴关系]"/>
    <s v="Bilateral Defense Treaty"/>
    <x v="0"/>
    <x v="5"/>
    <x v="21"/>
    <n v="5"/>
    <x v="5"/>
    <m/>
    <m/>
    <m/>
    <m/>
    <x v="0"/>
    <m/>
    <x v="5"/>
    <s v="Blue Strike 2012"/>
    <x v="2"/>
    <s v="Amphibious assault; Marines"/>
    <x v="1"/>
    <m/>
    <m/>
    <m/>
    <m/>
    <m/>
  </r>
  <r>
    <x v="1"/>
    <x v="6"/>
    <s v="Europe and Central Asia"/>
    <s v="No Specific Relationship"/>
    <s v="None"/>
    <x v="1"/>
    <x v="55"/>
    <x v="21"/>
    <n v="5"/>
    <x v="4"/>
    <s v="Chen Bingde"/>
    <m/>
    <s v="GSD Commander; CMC Member"/>
    <n v="8"/>
    <x v="1"/>
    <m/>
    <x v="0"/>
    <m/>
    <x v="0"/>
    <m/>
    <x v="1"/>
    <m/>
    <m/>
    <m/>
    <m/>
    <m/>
  </r>
  <r>
    <x v="1"/>
    <x v="2"/>
    <s v="America and Oceania"/>
    <s v="No Specific Relationship"/>
    <s v="N/A"/>
    <x v="2"/>
    <x v="4"/>
    <x v="21"/>
    <n v="5"/>
    <x v="4"/>
    <s v="Liang Guanglie"/>
    <m/>
    <s v="Defense Minister; CMC Member"/>
    <n v="8"/>
    <x v="1"/>
    <m/>
    <x v="0"/>
    <m/>
    <x v="0"/>
    <m/>
    <x v="1"/>
    <m/>
    <m/>
    <m/>
    <s v="2013 CH Mil Power Report"/>
    <m/>
  </r>
  <r>
    <x v="1"/>
    <x v="6"/>
    <s v="Europe and Central Asia"/>
    <s v="Strategic Partnership [战略伙伴关系]"/>
    <s v="None"/>
    <x v="1"/>
    <x v="73"/>
    <x v="21"/>
    <n v="5"/>
    <x v="4"/>
    <s v="Chen Bingde"/>
    <m/>
    <s v="GSD Commander; CMC Member"/>
    <n v="8"/>
    <x v="1"/>
    <m/>
    <x v="0"/>
    <m/>
    <x v="0"/>
    <m/>
    <x v="1"/>
    <m/>
    <m/>
    <m/>
    <m/>
    <m/>
  </r>
  <r>
    <x v="1"/>
    <x v="7"/>
    <s v="West Asia and Africa"/>
    <s v="No Specific Relationship"/>
    <s v="None"/>
    <x v="4"/>
    <x v="61"/>
    <x v="21"/>
    <n v="5"/>
    <x v="4"/>
    <s v="Wang Guosheng"/>
    <m/>
    <s v="Lanzhou MR Commander"/>
    <n v="6"/>
    <x v="1"/>
    <m/>
    <x v="0"/>
    <m/>
    <x v="0"/>
    <m/>
    <x v="1"/>
    <m/>
    <m/>
    <m/>
    <m/>
    <m/>
  </r>
  <r>
    <x v="1"/>
    <x v="10"/>
    <s v="America and Oceania"/>
    <s v="Strategic Partnership [战略伙伴关系]"/>
    <s v="Major Non-NATO Ally"/>
    <x v="5"/>
    <x v="62"/>
    <x v="21"/>
    <n v="6"/>
    <x v="3"/>
    <s v="Guo Boxiong"/>
    <m/>
    <s v="CMC Vice Chairman"/>
    <n v="10"/>
    <x v="2"/>
    <s v="Defense Minister"/>
    <x v="0"/>
    <m/>
    <x v="0"/>
    <m/>
    <x v="1"/>
    <m/>
    <m/>
    <m/>
    <m/>
    <m/>
  </r>
  <r>
    <x v="1"/>
    <x v="1"/>
    <s v="Asia"/>
    <s v="No Specific Relationship"/>
    <s v="None"/>
    <x v="0"/>
    <x v="137"/>
    <x v="21"/>
    <n v="6"/>
    <x v="1"/>
    <s v="Ren Haiquan"/>
    <m/>
    <s v="AMS Vice President"/>
    <n v="6"/>
    <x v="1"/>
    <s v="11th Shangri-La Dialogue"/>
    <x v="0"/>
    <m/>
    <x v="0"/>
    <m/>
    <x v="1"/>
    <m/>
    <m/>
    <m/>
    <m/>
    <m/>
  </r>
  <r>
    <x v="1"/>
    <x v="1"/>
    <s v="Asia"/>
    <s v="Strategic Partnership [战略伙伴关系]"/>
    <s v="None"/>
    <x v="0"/>
    <x v="8"/>
    <x v="21"/>
    <n v="6"/>
    <x v="4"/>
    <s v="Jing Zhiyuan"/>
    <m/>
    <s v="PLASAF Commander; CMC Member"/>
    <n v="8"/>
    <x v="1"/>
    <s v="Defense Minister"/>
    <x v="0"/>
    <m/>
    <x v="0"/>
    <m/>
    <x v="1"/>
    <m/>
    <m/>
    <m/>
    <m/>
    <m/>
  </r>
  <r>
    <x v="0"/>
    <x v="9"/>
    <s v="West Asia and Africa"/>
    <s v="No Specific Relationship"/>
    <s v="None"/>
    <x v="1"/>
    <x v="142"/>
    <x v="21"/>
    <n v="6"/>
    <x v="9"/>
    <m/>
    <m/>
    <m/>
    <m/>
    <x v="0"/>
    <m/>
    <x v="0"/>
    <m/>
    <x v="0"/>
    <m/>
    <x v="2"/>
    <s v="ETF-11"/>
    <s v="North Sea Fleet"/>
    <s v="DDG113 Qingdao, FFG538 Yantai, AOR887 Weishan Hu"/>
    <m/>
    <m/>
  </r>
  <r>
    <x v="2"/>
    <x v="6"/>
    <s v="Europe and Central Asia"/>
    <s v="Member"/>
    <s v="None"/>
    <x v="1"/>
    <x v="14"/>
    <x v="21"/>
    <n v="6"/>
    <x v="6"/>
    <m/>
    <m/>
    <m/>
    <m/>
    <x v="0"/>
    <m/>
    <x v="3"/>
    <s v="Peace Mission 2012"/>
    <x v="3"/>
    <s v="Army, Navy, Air Force, SOF; anti-terrorism. Other countries: Tajikistan, Russia, Kyrgyzstan, Kazakhstan. Held in  Tajikistan on June 9-14"/>
    <x v="1"/>
    <m/>
    <m/>
    <m/>
    <s v="https://web.archive.org/web/20120609071043/http://news.tj/en/news/sco-s-peace-mission-2012-war-games-start-north-tajikistan"/>
    <m/>
  </r>
  <r>
    <x v="1"/>
    <x v="1"/>
    <s v="Asia"/>
    <s v="No Specific Relationship"/>
    <s v="None"/>
    <x v="0"/>
    <x v="39"/>
    <x v="21"/>
    <n v="6"/>
    <x v="3"/>
    <s v="Xu Caihou"/>
    <m/>
    <s v="CMC Vice Chairman"/>
    <n v="10"/>
    <x v="2"/>
    <s v="Defense Minister"/>
    <x v="0"/>
    <m/>
    <x v="0"/>
    <m/>
    <x v="1"/>
    <m/>
    <m/>
    <m/>
    <m/>
    <m/>
  </r>
  <r>
    <x v="1"/>
    <x v="4"/>
    <s v="Asia"/>
    <s v="Strategic Cooperative Partnership [战略合作伙伴关系]"/>
    <s v="Bilateral Defense Treaty"/>
    <x v="0"/>
    <x v="25"/>
    <x v="21"/>
    <n v="6"/>
    <x v="3"/>
    <s v="Liang Guanglie"/>
    <m/>
    <s v="Defense Minister; CMC Member"/>
    <n v="8"/>
    <x v="2"/>
    <m/>
    <x v="0"/>
    <m/>
    <x v="0"/>
    <m/>
    <x v="1"/>
    <m/>
    <m/>
    <m/>
    <m/>
    <m/>
  </r>
  <r>
    <x v="1"/>
    <x v="1"/>
    <s v="Asia"/>
    <s v="Comprehensive Strategic Cooperative Partnership [全面战略合作伙伴关系]"/>
    <s v="Bilateral Defense Treaty"/>
    <x v="0"/>
    <x v="5"/>
    <x v="21"/>
    <n v="6"/>
    <x v="4"/>
    <s v="Jing Zhiyuan"/>
    <m/>
    <s v="PLASAF Commander; CMC Member"/>
    <n v="8"/>
    <x v="1"/>
    <s v="Defense Minister"/>
    <x v="0"/>
    <m/>
    <x v="0"/>
    <m/>
    <x v="1"/>
    <m/>
    <m/>
    <m/>
    <m/>
    <m/>
  </r>
  <r>
    <x v="1"/>
    <x v="2"/>
    <s v="America and Oceania"/>
    <s v="No Specific Relationship"/>
    <s v="N/A"/>
    <x v="2"/>
    <x v="4"/>
    <x v="21"/>
    <n v="6"/>
    <x v="3"/>
    <s v="Liang Guanglie"/>
    <m/>
    <s v="Defense Minister; CMC Member"/>
    <n v="8"/>
    <x v="2"/>
    <s v="PACOM Commander Locklear"/>
    <x v="0"/>
    <m/>
    <x v="0"/>
    <m/>
    <x v="1"/>
    <m/>
    <m/>
    <m/>
    <s v="2013 CH Mil Power Report"/>
    <m/>
  </r>
  <r>
    <x v="1"/>
    <x v="0"/>
    <s v="Europe and Central Asia"/>
    <s v="Strategic Partnership [战略伙伴关系]"/>
    <s v="Major Non-NATO Ally"/>
    <x v="1"/>
    <x v="123"/>
    <x v="21"/>
    <n v="7"/>
    <x v="3"/>
    <s v="Guo Boxiong"/>
    <m/>
    <s v="CMC Vice Chairman"/>
    <n v="10"/>
    <x v="2"/>
    <s v="Defense Minister"/>
    <x v="0"/>
    <m/>
    <x v="0"/>
    <m/>
    <x v="1"/>
    <m/>
    <m/>
    <m/>
    <m/>
    <m/>
  </r>
  <r>
    <x v="1"/>
    <x v="5"/>
    <s v="America and Oceania"/>
    <s v="No Specific Relationship"/>
    <s v="ANZUS Treaty"/>
    <x v="0"/>
    <x v="12"/>
    <x v="21"/>
    <n v="7"/>
    <x v="3"/>
    <s v="Ma Xiaotian"/>
    <m/>
    <s v="GSD DCGS"/>
    <n v="6"/>
    <x v="2"/>
    <s v="ADF vice Chief"/>
    <x v="0"/>
    <m/>
    <x v="0"/>
    <m/>
    <x v="1"/>
    <m/>
    <m/>
    <m/>
    <m/>
    <m/>
  </r>
  <r>
    <x v="1"/>
    <x v="8"/>
    <s v="Europe and Central Asia"/>
    <s v="Comprehensive Cooperative Partnership [全面合作伙伴关系]"/>
    <s v="None"/>
    <x v="3"/>
    <x v="158"/>
    <x v="21"/>
    <n v="7"/>
    <x v="3"/>
    <s v="Liang Guanglie"/>
    <m/>
    <s v="Defense Minister; CMC Member"/>
    <n v="8"/>
    <x v="2"/>
    <s v="EU Representative for Foreign Affairs and Security Policy"/>
    <x v="0"/>
    <m/>
    <x v="0"/>
    <m/>
    <x v="1"/>
    <m/>
    <m/>
    <m/>
    <m/>
    <m/>
  </r>
  <r>
    <x v="2"/>
    <x v="1"/>
    <s v="Asia"/>
    <s v="Strategic Partnership [战略伙伴关系]"/>
    <s v="None"/>
    <x v="0"/>
    <x v="8"/>
    <x v="21"/>
    <n v="7"/>
    <x v="5"/>
    <m/>
    <m/>
    <m/>
    <m/>
    <x v="0"/>
    <m/>
    <x v="1"/>
    <s v="Sharp Knife 2012"/>
    <x v="5"/>
    <s v="Airborne forces"/>
    <x v="1"/>
    <m/>
    <m/>
    <m/>
    <m/>
    <m/>
  </r>
  <r>
    <x v="1"/>
    <x v="8"/>
    <s v="Europe and Central Asia"/>
    <s v="Friendly Cooperative Partnership [友好合作伙伴关系]"/>
    <s v="NATO"/>
    <x v="3"/>
    <x v="111"/>
    <x v="21"/>
    <n v="7"/>
    <x v="4"/>
    <s v="Xu Caihou"/>
    <m/>
    <s v="CMC Vice Chairman"/>
    <n v="10"/>
    <x v="1"/>
    <m/>
    <x v="0"/>
    <m/>
    <x v="0"/>
    <m/>
    <x v="1"/>
    <m/>
    <m/>
    <m/>
    <m/>
    <m/>
  </r>
  <r>
    <x v="0"/>
    <x v="9"/>
    <s v="West Asia and Africa"/>
    <s v="No Specific Relationship"/>
    <s v="None"/>
    <x v="1"/>
    <x v="147"/>
    <x v="21"/>
    <n v="7"/>
    <x v="9"/>
    <m/>
    <m/>
    <m/>
    <m/>
    <x v="0"/>
    <m/>
    <x v="0"/>
    <m/>
    <x v="0"/>
    <m/>
    <x v="2"/>
    <s v="ETF-11"/>
    <s v="North Sea Fleet"/>
    <s v="DDG113 Qingdao, FFG538 Yantai, AOR887 Weishan Hu"/>
    <m/>
    <m/>
  </r>
  <r>
    <x v="0"/>
    <x v="9"/>
    <s v="West Asia and Africa"/>
    <s v="No Specific Relationship"/>
    <s v="None"/>
    <x v="1"/>
    <x v="147"/>
    <x v="21"/>
    <n v="7"/>
    <x v="9"/>
    <m/>
    <m/>
    <m/>
    <m/>
    <x v="0"/>
    <m/>
    <x v="0"/>
    <m/>
    <x v="0"/>
    <m/>
    <x v="2"/>
    <s v="ETF-11 "/>
    <s v="North Sea Fleet"/>
    <s v="DDG113 Qingdao, FFG538 Yantai, AOR887 Weishan Hu; unknown, could also be ETF-12"/>
    <m/>
    <m/>
  </r>
  <r>
    <x v="1"/>
    <x v="8"/>
    <s v="Europe and Central Asia"/>
    <s v="Comprehensive Friendly Cooperative Partnership [全面友好合作伙伴关系]"/>
    <s v="NATO"/>
    <x v="3"/>
    <x v="33"/>
    <x v="21"/>
    <n v="7"/>
    <x v="3"/>
    <s v="Chen Yong"/>
    <m/>
    <s v="GSD Assistant Commander"/>
    <n v="5"/>
    <x v="2"/>
    <s v="Head of NDU"/>
    <x v="0"/>
    <m/>
    <x v="0"/>
    <m/>
    <x v="1"/>
    <m/>
    <m/>
    <m/>
    <m/>
    <m/>
  </r>
  <r>
    <x v="1"/>
    <x v="7"/>
    <s v="West Asia and Africa"/>
    <s v="Comprehensive Strategic Partnership [全面战略伙伴关系]"/>
    <s v="None"/>
    <x v="4"/>
    <x v="15"/>
    <x v="21"/>
    <n v="7"/>
    <x v="4"/>
    <s v="Ma Xiaotian"/>
    <m/>
    <s v="GSD DCGS"/>
    <n v="6"/>
    <x v="1"/>
    <s v="Defense Minister"/>
    <x v="0"/>
    <m/>
    <x v="0"/>
    <m/>
    <x v="1"/>
    <m/>
    <m/>
    <m/>
    <m/>
    <m/>
  </r>
  <r>
    <x v="0"/>
    <x v="8"/>
    <s v="Europe and Central Asia"/>
    <s v="No Specific Relationship"/>
    <s v="NATO"/>
    <x v="3"/>
    <x v="79"/>
    <x v="21"/>
    <n v="8"/>
    <x v="0"/>
    <m/>
    <m/>
    <m/>
    <m/>
    <x v="0"/>
    <m/>
    <x v="0"/>
    <m/>
    <x v="0"/>
    <m/>
    <x v="2"/>
    <s v="ETF-11"/>
    <s v="North Sea Fleet"/>
    <s v="DDG113 Qingdao, FFG538 Yantai, AOR887 Weishan Hu"/>
    <m/>
    <m/>
  </r>
  <r>
    <x v="1"/>
    <x v="8"/>
    <s v="Europe and Central Asia"/>
    <s v="Comprehensive Cooperative Partnership [全面合作伙伴关系]"/>
    <s v="NATO"/>
    <x v="3"/>
    <x v="35"/>
    <x v="21"/>
    <n v="8"/>
    <x v="3"/>
    <s v="Xu Caihou"/>
    <m/>
    <s v="CMC Vice Chairman"/>
    <n v="10"/>
    <x v="2"/>
    <s v="Defense Minister"/>
    <x v="0"/>
    <m/>
    <x v="0"/>
    <m/>
    <x v="1"/>
    <m/>
    <m/>
    <m/>
    <m/>
    <m/>
  </r>
  <r>
    <x v="0"/>
    <x v="9"/>
    <s v="West Asia and Africa"/>
    <s v="No Specific Relationship"/>
    <s v="None"/>
    <x v="1"/>
    <x v="119"/>
    <x v="21"/>
    <n v="8"/>
    <x v="9"/>
    <m/>
    <m/>
    <m/>
    <m/>
    <x v="0"/>
    <m/>
    <x v="0"/>
    <m/>
    <x v="0"/>
    <m/>
    <x v="2"/>
    <s v="ETF-11 "/>
    <s v="North Sea Fleet"/>
    <s v="DDG113 Qingdao, FFG538 Yantai, AOR887 Weishan Hu; Unknown, could also be ETF-12"/>
    <m/>
    <m/>
  </r>
  <r>
    <x v="0"/>
    <x v="9"/>
    <s v="West Asia and Africa"/>
    <s v="No Specific Relationship"/>
    <s v="Major Non-NATO Ally"/>
    <x v="1"/>
    <x v="100"/>
    <x v="21"/>
    <n v="8"/>
    <x v="0"/>
    <m/>
    <m/>
    <m/>
    <m/>
    <x v="0"/>
    <m/>
    <x v="0"/>
    <m/>
    <x v="0"/>
    <m/>
    <x v="2"/>
    <s v="ETF-11"/>
    <s v="North Sea Fleet"/>
    <s v="DDG113 Qingdao, FFG538 Yantai, AOR887 Weishan Hu"/>
    <m/>
    <m/>
  </r>
  <r>
    <x v="0"/>
    <x v="8"/>
    <s v="Europe and Central Asia"/>
    <s v="Comprehensive Friendly Cooperative Partnership [全面友好合作伙伴关系]"/>
    <s v="NATO"/>
    <x v="3"/>
    <x v="33"/>
    <x v="21"/>
    <n v="8"/>
    <x v="0"/>
    <m/>
    <m/>
    <m/>
    <m/>
    <x v="0"/>
    <m/>
    <x v="0"/>
    <m/>
    <x v="0"/>
    <m/>
    <x v="2"/>
    <s v="ETF-11"/>
    <s v="North Sea Fleet"/>
    <s v="DDG113 Qingdao, FFG538 Yantai, AOR887 Weishan Hu"/>
    <m/>
    <m/>
  </r>
  <r>
    <x v="0"/>
    <x v="8"/>
    <s v="Europe and Central Asia"/>
    <s v="Strategic Cooperative Partnership [战略合作伙伴关系]"/>
    <s v="NATO"/>
    <x v="3"/>
    <x v="38"/>
    <x v="21"/>
    <n v="8"/>
    <x v="0"/>
    <m/>
    <m/>
    <m/>
    <m/>
    <x v="0"/>
    <m/>
    <x v="0"/>
    <m/>
    <x v="0"/>
    <m/>
    <x v="2"/>
    <s v="ETF-11"/>
    <s v="North Sea Fleet"/>
    <s v="DDG113 Qingdao, FFG538 Yantai, AOR887 Weishan Hu"/>
    <m/>
    <m/>
  </r>
  <r>
    <x v="0"/>
    <x v="8"/>
    <s v="Europe and Central Asia"/>
    <s v="Strategic Cooperative Partnership [战略合作伙伴关系]"/>
    <s v="None"/>
    <x v="3"/>
    <x v="26"/>
    <x v="21"/>
    <n v="8"/>
    <x v="0"/>
    <m/>
    <m/>
    <m/>
    <m/>
    <x v="0"/>
    <m/>
    <x v="0"/>
    <m/>
    <x v="0"/>
    <m/>
    <x v="2"/>
    <s v="ETF-11"/>
    <s v="North Sea Fleet"/>
    <s v="DDG113 Qingdao, FFG538 Yantai, AOR887 Weishan Hu"/>
    <m/>
    <m/>
  </r>
  <r>
    <x v="1"/>
    <x v="2"/>
    <s v="America and Oceania"/>
    <s v="No Specific Relationship"/>
    <s v="N/A"/>
    <x v="2"/>
    <x v="4"/>
    <x v="21"/>
    <n v="8"/>
    <x v="4"/>
    <s v="Cai Yingting"/>
    <m/>
    <s v="GSD DCGS"/>
    <n v="6"/>
    <x v="1"/>
    <s v=" "/>
    <x v="0"/>
    <m/>
    <x v="0"/>
    <m/>
    <x v="1"/>
    <m/>
    <m/>
    <s v=" "/>
    <s v="2013 CH Mil Power Report"/>
    <s v="For Strategic Planning Discussions in DC; also visited New York, Fort Hood, TX, and PACOM; position weight corrected to reflect MR grade"/>
  </r>
  <r>
    <x v="1"/>
    <x v="10"/>
    <s v="America and Oceania"/>
    <s v="Strategic Partnership [战略伙伴关系]"/>
    <s v="None"/>
    <x v="5"/>
    <x v="66"/>
    <x v="21"/>
    <n v="9"/>
    <x v="3"/>
    <s v="Xu Qiliang"/>
    <m/>
    <s v="PLAAF Commander; CMC Member"/>
    <n v="8"/>
    <x v="2"/>
    <s v="Air Force Commander"/>
    <x v="0"/>
    <m/>
    <x v="0"/>
    <m/>
    <x v="1"/>
    <m/>
    <m/>
    <m/>
    <m/>
    <m/>
  </r>
  <r>
    <x v="1"/>
    <x v="0"/>
    <s v="Asia"/>
    <s v="Strategic Partnership for Peace and Prosperity [战略伙伴关系]"/>
    <s v="None"/>
    <x v="0"/>
    <x v="6"/>
    <x v="21"/>
    <n v="9"/>
    <x v="4"/>
    <s v="Liang Guanglie"/>
    <m/>
    <s v="Defense Minister; CMC Member"/>
    <n v="8"/>
    <x v="1"/>
    <m/>
    <x v="0"/>
    <m/>
    <x v="0"/>
    <m/>
    <x v="1"/>
    <m/>
    <m/>
    <m/>
    <m/>
    <m/>
  </r>
  <r>
    <x v="1"/>
    <x v="1"/>
    <s v="Asia"/>
    <s v="Comprehensive Strategic Cooperative Partnership [全面战略合作伙伴关系]"/>
    <s v="None"/>
    <x v="0"/>
    <x v="52"/>
    <x v="21"/>
    <n v="9"/>
    <x v="4"/>
    <s v="Liang Guanglie"/>
    <m/>
    <s v="Defense Minister; CMC Member"/>
    <n v="8"/>
    <x v="1"/>
    <m/>
    <x v="0"/>
    <m/>
    <x v="0"/>
    <m/>
    <x v="1"/>
    <m/>
    <m/>
    <m/>
    <m/>
    <m/>
  </r>
  <r>
    <x v="1"/>
    <x v="1"/>
    <s v="Asia"/>
    <s v="Strategic Cooperative Partnership [战略合作伙伴关系]"/>
    <s v="None"/>
    <x v="0"/>
    <x v="10"/>
    <x v="21"/>
    <n v="9"/>
    <x v="4"/>
    <s v="Ma Xiaotian"/>
    <m/>
    <s v="GSD DCGS"/>
    <n v="6"/>
    <x v="1"/>
    <s v="Secretary General Defense Ministry"/>
    <x v="0"/>
    <m/>
    <x v="0"/>
    <m/>
    <x v="1"/>
    <m/>
    <m/>
    <m/>
    <m/>
    <m/>
  </r>
  <r>
    <x v="1"/>
    <x v="1"/>
    <s v="Asia"/>
    <s v="Comprehensive Strategic Cooperative Partnership [全面战略合作伙伴关系]"/>
    <s v="None"/>
    <x v="0"/>
    <x v="1"/>
    <x v="21"/>
    <n v="9"/>
    <x v="4"/>
    <s v="Ma Xiaotian"/>
    <m/>
    <s v="GSD DCGS"/>
    <n v="6"/>
    <x v="1"/>
    <s v="Vice President"/>
    <x v="0"/>
    <m/>
    <x v="0"/>
    <m/>
    <x v="1"/>
    <m/>
    <m/>
    <m/>
    <m/>
    <m/>
  </r>
  <r>
    <x v="1"/>
    <x v="0"/>
    <s v="Asia"/>
    <s v="Strategic Partnership [战略伙伴关系]"/>
    <s v="Major Non-NATO Ally"/>
    <x v="1"/>
    <x v="2"/>
    <x v="21"/>
    <n v="9"/>
    <x v="4"/>
    <s v="Ma Xiaotian"/>
    <m/>
    <s v="GSD DCGS"/>
    <n v="6"/>
    <x v="1"/>
    <s v="Chairman JCS"/>
    <x v="0"/>
    <m/>
    <x v="0"/>
    <m/>
    <x v="1"/>
    <m/>
    <m/>
    <m/>
    <m/>
    <m/>
  </r>
  <r>
    <x v="0"/>
    <x v="0"/>
    <s v="Asia"/>
    <s v="Strategic Partnership [战略伙伴关系]"/>
    <s v="Major Non-NATO Ally"/>
    <x v="1"/>
    <x v="2"/>
    <x v="21"/>
    <n v="9"/>
    <x v="9"/>
    <m/>
    <m/>
    <m/>
    <m/>
    <x v="0"/>
    <m/>
    <x v="0"/>
    <m/>
    <x v="0"/>
    <m/>
    <x v="2"/>
    <s v="ETF-11"/>
    <s v="North Sea Fleet"/>
    <s v="DDG113 Qingdao, FFG538 Yantai, AOR887 Weishan Hu"/>
    <m/>
    <m/>
  </r>
  <r>
    <x v="1"/>
    <x v="1"/>
    <s v="Asia"/>
    <s v="No Specific Relationship"/>
    <s v="None"/>
    <x v="0"/>
    <x v="39"/>
    <x v="21"/>
    <n v="9"/>
    <x v="4"/>
    <s v="Ma Xiaotian"/>
    <m/>
    <s v="GSD DCGS"/>
    <n v="6"/>
    <x v="1"/>
    <m/>
    <x v="0"/>
    <m/>
    <x v="0"/>
    <m/>
    <x v="1"/>
    <m/>
    <m/>
    <m/>
    <m/>
    <m/>
  </r>
  <r>
    <x v="1"/>
    <x v="0"/>
    <s v="Asia"/>
    <s v="Comprehensive Cooperative Partnership [全面合作伙伴关系]"/>
    <s v="None"/>
    <x v="0"/>
    <x v="3"/>
    <x v="21"/>
    <n v="9"/>
    <x v="4"/>
    <s v="Liang Guanglie"/>
    <m/>
    <s v="Defense Minister; CMC Member"/>
    <n v="8"/>
    <x v="1"/>
    <m/>
    <x v="0"/>
    <m/>
    <x v="0"/>
    <m/>
    <x v="1"/>
    <m/>
    <m/>
    <m/>
    <m/>
    <m/>
  </r>
  <r>
    <x v="2"/>
    <x v="0"/>
    <s v="Asia"/>
    <s v="Comprehensive Cooperative Partnership [全面合作伙伴关系]"/>
    <s v="None"/>
    <x v="0"/>
    <x v="3"/>
    <x v="21"/>
    <n v="9"/>
    <x v="5"/>
    <m/>
    <m/>
    <m/>
    <m/>
    <x v="0"/>
    <m/>
    <x v="1"/>
    <s v="Cormorant Strike"/>
    <x v="1"/>
    <s v="Special Forces"/>
    <x v="1"/>
    <m/>
    <m/>
    <m/>
    <m/>
    <m/>
  </r>
  <r>
    <x v="2"/>
    <x v="0"/>
    <s v="Asia"/>
    <s v="Comprehensive Cooperative Partnership [全面合作伙伴关系]"/>
    <s v="None"/>
    <x v="0"/>
    <x v="3"/>
    <x v="21"/>
    <n v="9"/>
    <x v="6"/>
    <s v=" "/>
    <m/>
    <s v=" "/>
    <s v=" "/>
    <x v="3"/>
    <m/>
    <x v="3"/>
    <s v="Cormorant Strike 2012"/>
    <x v="1"/>
    <s v="SOF exercise on eastern coast of Sri Lanka; Eleven officers and twenty-nine Other Ranks from the Armed Forces in China, Pakistan, Bangladesh, Maldives and India"/>
    <x v="1"/>
    <m/>
    <m/>
    <m/>
    <s v="Defense White Paper Appendix; https://www.army.lk/news/cormorant-strike-iii-2012; https://www.army.lk/news/third-%C3%A2%E2%82%AC%CB%9Cexercise-cormorant-strike-iii%C3%A2%E2%82%AC%E2%84%A2-begins"/>
    <s v="Description describes a range of combat acitvities, including ambushes and attacks on high-value targets"/>
  </r>
  <r>
    <x v="1"/>
    <x v="2"/>
    <s v="America and Oceania"/>
    <s v="No Specific Relationship"/>
    <s v="N/A"/>
    <x v="2"/>
    <x v="4"/>
    <x v="21"/>
    <n v="9"/>
    <x v="3"/>
    <s v="Liang Guanglie"/>
    <m/>
    <s v="Defense Minister; CMC Member"/>
    <n v="8"/>
    <x v="2"/>
    <s v="Secretary of Defense Panetta"/>
    <x v="0"/>
    <m/>
    <x v="0"/>
    <m/>
    <x v="1"/>
    <m/>
    <m/>
    <m/>
    <s v="2013 CH Mil Power Report"/>
    <m/>
  </r>
  <r>
    <x v="2"/>
    <x v="2"/>
    <s v="America and Oceania"/>
    <s v="No Specific Relationship"/>
    <s v="N/A"/>
    <x v="2"/>
    <x v="4"/>
    <x v="21"/>
    <n v="9"/>
    <x v="5"/>
    <m/>
    <m/>
    <m/>
    <m/>
    <x v="0"/>
    <m/>
    <x v="4"/>
    <m/>
    <x v="2"/>
    <s v="1st US-CH BL counter-piracy exercise in Gulf of Aden"/>
    <x v="1"/>
    <m/>
    <m/>
    <s v="2014 CH Milpower Report"/>
    <s v="2013 CH Mil Power Report"/>
    <m/>
  </r>
  <r>
    <x v="2"/>
    <x v="5"/>
    <s v="America and Oceania"/>
    <s v="No Specific Relationship"/>
    <s v="ANZUS Treaty"/>
    <x v="0"/>
    <x v="12"/>
    <x v="21"/>
    <n v="10"/>
    <x v="6"/>
    <m/>
    <m/>
    <m/>
    <m/>
    <x v="0"/>
    <m/>
    <x v="2"/>
    <s v="Cooperation Spirit 2012"/>
    <x v="1"/>
    <s v="HADR. Other countries: New Zealand "/>
    <x v="1"/>
    <m/>
    <m/>
    <m/>
    <s v="http://english.cntv.cn/program/newsupdate/20121101/100013.shtml"/>
    <m/>
  </r>
  <r>
    <x v="1"/>
    <x v="8"/>
    <s v="Europe and Central Asia"/>
    <s v="No Specific Relationship"/>
    <s v="None"/>
    <x v="3"/>
    <x v="81"/>
    <x v="21"/>
    <n v="10"/>
    <x v="3"/>
    <s v="Liang Guanglie"/>
    <m/>
    <s v="Defense Minister; CMC Member"/>
    <n v="8"/>
    <x v="2"/>
    <s v="Permanent Secretary of Ministry of Defense"/>
    <x v="0"/>
    <m/>
    <x v="0"/>
    <m/>
    <x v="1"/>
    <m/>
    <m/>
    <m/>
    <m/>
    <m/>
  </r>
  <r>
    <x v="1"/>
    <x v="1"/>
    <s v="Asia"/>
    <s v="Comprehensive Strategic Cooperative Partnership [全面战略合作伙伴关系]"/>
    <s v="None"/>
    <x v="0"/>
    <x v="52"/>
    <x v="21"/>
    <n v="10"/>
    <x v="3"/>
    <s v="Ma Xiaotian"/>
    <m/>
    <s v="GSD DCGS"/>
    <n v="6"/>
    <x v="2"/>
    <s v="President National Defense College"/>
    <x v="0"/>
    <m/>
    <x v="0"/>
    <m/>
    <x v="1"/>
    <m/>
    <m/>
    <m/>
    <m/>
    <m/>
  </r>
  <r>
    <x v="1"/>
    <x v="1"/>
    <s v="Asia"/>
    <s v="Strategic Partnership [战略伙伴关系] for Peace and Prosperity"/>
    <s v="None"/>
    <x v="0"/>
    <x v="153"/>
    <x v="21"/>
    <n v="11"/>
    <x v="1"/>
    <s v="Liang Guanglie"/>
    <m/>
    <s v="Defense Minister; CMC Member"/>
    <n v="8"/>
    <x v="1"/>
    <s v="Second China-ASEAN Defense Ministers' Informal Meeting in Cambodia"/>
    <x v="0"/>
    <m/>
    <x v="0"/>
    <m/>
    <x v="1"/>
    <m/>
    <m/>
    <m/>
    <s v="https://asean.org/?static_post=overview-asean-china-dialogue-relations"/>
    <s v="corrected partnership to strategic partnership for peace and prosperity"/>
  </r>
  <r>
    <x v="2"/>
    <x v="8"/>
    <s v="Europe and Central Asia"/>
    <s v="Strategic Partnership [战略伙伴关系]"/>
    <s v="NATO"/>
    <x v="3"/>
    <x v="34"/>
    <x v="21"/>
    <n v="11"/>
    <x v="5"/>
    <s v=" "/>
    <m/>
    <s v=" "/>
    <s v=" "/>
    <x v="3"/>
    <s v=" "/>
    <x v="1"/>
    <s v="Divine Eagle 2012"/>
    <x v="5"/>
    <s v="Chinese and Belarusian airborne troops practiced parachuting, ground penetration, drones, sniping and other combat skills in Hubei"/>
    <x v="1"/>
    <m/>
    <m/>
    <m/>
    <s v="Defense White Paper Appendix; http://usa.chinadaily.com.cn/china/2012-12/06/content_15991982.htm"/>
    <m/>
  </r>
  <r>
    <x v="1"/>
    <x v="1"/>
    <s v="Asia"/>
    <s v="Comprehensive Strategic Cooperative Partnership [全面战略合作伙伴关系]"/>
    <s v="None"/>
    <x v="0"/>
    <x v="94"/>
    <x v="21"/>
    <n v="11"/>
    <x v="3"/>
    <s v="Qi Jianguo"/>
    <m/>
    <s v="GSD DCGS"/>
    <n v="6"/>
    <x v="2"/>
    <m/>
    <x v="0"/>
    <m/>
    <x v="0"/>
    <m/>
    <x v="1"/>
    <m/>
    <m/>
    <m/>
    <m/>
    <m/>
  </r>
  <r>
    <x v="1"/>
    <x v="10"/>
    <s v="America and Oceania"/>
    <s v="No Specific Relationship"/>
    <s v="None"/>
    <x v="5"/>
    <x v="159"/>
    <x v="21"/>
    <n v="11"/>
    <x v="2"/>
    <s v="Liang Guanglie"/>
    <m/>
    <s v="Defense Minister; CMC Member"/>
    <n v="8"/>
    <x v="2"/>
    <s v="First China-Latin America Defense Forum"/>
    <x v="0"/>
    <m/>
    <x v="0"/>
    <m/>
    <x v="1"/>
    <m/>
    <m/>
    <m/>
    <s v="https://apa.az/en/asia-news/news_chinese_defense_minister_meets_with_lati_-182886"/>
    <m/>
  </r>
  <r>
    <x v="2"/>
    <x v="10"/>
    <s v="America and Oceania"/>
    <s v="No Specific Relationship"/>
    <s v="None"/>
    <x v="5"/>
    <x v="45"/>
    <x v="21"/>
    <n v="11"/>
    <x v="5"/>
    <m/>
    <m/>
    <m/>
    <m/>
    <x v="0"/>
    <m/>
    <x v="2"/>
    <s v="Cooperation"/>
    <x v="1"/>
    <s v="HADR"/>
    <x v="1"/>
    <m/>
    <m/>
    <m/>
    <s v="Defense White Paper Appendix"/>
    <m/>
  </r>
  <r>
    <x v="1"/>
    <x v="8"/>
    <s v="Europe and Central Asia"/>
    <s v="No Specific Relationship"/>
    <s v="None"/>
    <x v="3"/>
    <x v="81"/>
    <x v="21"/>
    <n v="11"/>
    <x v="3"/>
    <s v="Qi Jianguo"/>
    <m/>
    <s v="GSD DCGS"/>
    <n v="6"/>
    <x v="2"/>
    <m/>
    <x v="0"/>
    <m/>
    <x v="0"/>
    <m/>
    <x v="1"/>
    <m/>
    <m/>
    <m/>
    <m/>
    <m/>
  </r>
  <r>
    <x v="2"/>
    <x v="9"/>
    <s v="West Asia and Africa"/>
    <s v="No Specific Relationship"/>
    <s v="Major Non-NATO Ally"/>
    <x v="1"/>
    <x v="101"/>
    <x v="21"/>
    <n v="11"/>
    <x v="5"/>
    <s v=" "/>
    <m/>
    <s v=" "/>
    <s v=" "/>
    <x v="3"/>
    <m/>
    <x v="1"/>
    <m/>
    <x v="1"/>
    <s v="SOF Anti-terrorism exercise in Amman Jordan"/>
    <x v="1"/>
    <m/>
    <m/>
    <m/>
    <s v="Defense White Paper Appendix"/>
    <m/>
  </r>
  <r>
    <x v="1"/>
    <x v="8"/>
    <s v="Europe and Central Asia"/>
    <s v="Friendly Cooperative Partnership [友好合作伙伴关系]"/>
    <s v="NATO"/>
    <x v="3"/>
    <x v="157"/>
    <x v="21"/>
    <n v="11"/>
    <x v="3"/>
    <s v="Fan Changlong"/>
    <m/>
    <s v="CMC Vice Chairman"/>
    <n v="10"/>
    <x v="2"/>
    <s v="Defense Minister"/>
    <x v="0"/>
    <m/>
    <x v="0"/>
    <m/>
    <x v="1"/>
    <m/>
    <m/>
    <m/>
    <m/>
    <m/>
  </r>
  <r>
    <x v="1"/>
    <x v="1"/>
    <s v="Asia"/>
    <s v="Comprehensive Strategic Cooperative Partnership [全面战略合作伙伴关系]"/>
    <s v="None"/>
    <x v="0"/>
    <x v="1"/>
    <x v="21"/>
    <n v="11"/>
    <x v="3"/>
    <s v="Qi Jianguo"/>
    <m/>
    <s v="GSD DCGS"/>
    <n v="6"/>
    <x v="2"/>
    <s v="Vice Chief of Armed Forces "/>
    <x v="0"/>
    <m/>
    <x v="0"/>
    <m/>
    <x v="1"/>
    <m/>
    <m/>
    <m/>
    <m/>
    <m/>
  </r>
  <r>
    <x v="1"/>
    <x v="5"/>
    <s v="America and Oceania"/>
    <s v="No Specific Relationship"/>
    <s v="ANZUS Treaty"/>
    <x v="0"/>
    <x v="13"/>
    <x v="21"/>
    <n v="11"/>
    <x v="3"/>
    <s v="Ma Xiaotian"/>
    <m/>
    <s v="PLAAF Commander; CMC Member"/>
    <n v="8"/>
    <x v="2"/>
    <s v="Vice Chief of the Defense Forces"/>
    <x v="0"/>
    <m/>
    <x v="0"/>
    <m/>
    <x v="1"/>
    <m/>
    <m/>
    <m/>
    <m/>
    <m/>
  </r>
  <r>
    <x v="1"/>
    <x v="3"/>
    <s v="Europe and Central Asia"/>
    <s v="Strategic Partnership of Coordination [战略协作伙伴关系]"/>
    <s v="None"/>
    <x v="3"/>
    <x v="7"/>
    <x v="21"/>
    <n v="11"/>
    <x v="3"/>
    <s v="Xu Qiliang"/>
    <m/>
    <s v="CMC Vice Chairman"/>
    <n v="10"/>
    <x v="2"/>
    <s v="Air Force Commander"/>
    <x v="0"/>
    <m/>
    <x v="0"/>
    <m/>
    <x v="1"/>
    <m/>
    <m/>
    <m/>
    <m/>
    <m/>
  </r>
  <r>
    <x v="1"/>
    <x v="8"/>
    <s v="Europe and Central Asia"/>
    <s v="No Specific Relationship"/>
    <s v="NATO"/>
    <x v="3"/>
    <x v="40"/>
    <x v="21"/>
    <n v="11"/>
    <x v="3"/>
    <s v="Fang Fenghui"/>
    <m/>
    <s v="GSD Commander; CMC Member"/>
    <n v="8"/>
    <x v="2"/>
    <s v="COGS"/>
    <x v="0"/>
    <m/>
    <x v="0"/>
    <m/>
    <x v="1"/>
    <m/>
    <m/>
    <m/>
    <m/>
    <m/>
  </r>
  <r>
    <x v="1"/>
    <x v="0"/>
    <s v="Asia"/>
    <s v="Comprehensive Cooperative Partnership [全面合作伙伴关系]"/>
    <s v="None"/>
    <x v="0"/>
    <x v="3"/>
    <x v="21"/>
    <n v="11"/>
    <x v="3"/>
    <s v="Liang Guanglie"/>
    <m/>
    <s v="Defense Minister; CMC Member"/>
    <n v="8"/>
    <x v="2"/>
    <s v="Secretary of Defense and Urban Development"/>
    <x v="0"/>
    <m/>
    <x v="0"/>
    <m/>
    <x v="1"/>
    <m/>
    <m/>
    <m/>
    <m/>
    <m/>
  </r>
  <r>
    <x v="1"/>
    <x v="2"/>
    <s v="America and Oceania"/>
    <s v="No Specific Relationship"/>
    <s v="N/A"/>
    <x v="2"/>
    <x v="4"/>
    <x v="21"/>
    <n v="11"/>
    <x v="3"/>
    <s v="Wu Shengli"/>
    <m/>
    <s v="PLAN Commander; CMC Member"/>
    <n v="8"/>
    <x v="2"/>
    <s v="Secretary of the Navy Mabus"/>
    <x v="0"/>
    <m/>
    <x v="0"/>
    <m/>
    <x v="1"/>
    <m/>
    <m/>
    <m/>
    <s v="2013 CH Mil Power Report"/>
    <m/>
  </r>
  <r>
    <x v="1"/>
    <x v="5"/>
    <s v="America and Oceania"/>
    <s v="No Specific Relationship"/>
    <s v="ANZUS Treaty"/>
    <x v="0"/>
    <x v="12"/>
    <x v="21"/>
    <n v="12"/>
    <x v="3"/>
    <s v="Xu Qiliang"/>
    <m/>
    <s v="CMC Vice Chairman"/>
    <n v="10"/>
    <x v="2"/>
    <s v="ADF chief"/>
    <x v="0"/>
    <m/>
    <x v="0"/>
    <m/>
    <x v="1"/>
    <m/>
    <m/>
    <m/>
    <m/>
    <m/>
  </r>
  <r>
    <x v="0"/>
    <x v="5"/>
    <s v="America and Oceania"/>
    <s v="No Specific Relationship"/>
    <s v="ANZUS Treaty"/>
    <x v="0"/>
    <x v="12"/>
    <x v="21"/>
    <n v="12"/>
    <x v="0"/>
    <m/>
    <m/>
    <m/>
    <m/>
    <x v="0"/>
    <m/>
    <x v="0"/>
    <m/>
    <x v="0"/>
    <m/>
    <x v="2"/>
    <s v="ETF-12"/>
    <s v="East Sea Fleet"/>
    <s v="FFG548 Yiyang, FFG549 Changzhou, AOR886 Qiandao Hu"/>
    <m/>
    <m/>
  </r>
  <r>
    <x v="1"/>
    <x v="8"/>
    <s v="Europe and Central Asia"/>
    <s v="Strategic Partnership [战略伙伴关系]"/>
    <s v="NATO"/>
    <x v="3"/>
    <x v="34"/>
    <x v="21"/>
    <n v="12"/>
    <x v="3"/>
    <s v="Xu Qiliang"/>
    <m/>
    <s v="CMC Vice Chairman"/>
    <n v="10"/>
    <x v="2"/>
    <s v="Defense Minister"/>
    <x v="0"/>
    <m/>
    <x v="0"/>
    <m/>
    <x v="1"/>
    <m/>
    <m/>
    <m/>
    <m/>
    <m/>
  </r>
  <r>
    <x v="2"/>
    <x v="8"/>
    <s v="Europe and Central Asia"/>
    <s v="Strategic Partnership [战略伙伴关系]"/>
    <s v="None"/>
    <x v="3"/>
    <x v="34"/>
    <x v="21"/>
    <n v="12"/>
    <x v="5"/>
    <m/>
    <m/>
    <m/>
    <m/>
    <x v="0"/>
    <m/>
    <x v="1"/>
    <s v="Divine Eagle 2012"/>
    <x v="5"/>
    <s v="Airborne forces"/>
    <x v="1"/>
    <m/>
    <m/>
    <m/>
    <m/>
    <m/>
  </r>
  <r>
    <x v="1"/>
    <x v="10"/>
    <s v="America and Oceania"/>
    <s v="No Specific Relationship"/>
    <s v="None"/>
    <x v="5"/>
    <x v="49"/>
    <x v="21"/>
    <n v="12"/>
    <x v="4"/>
    <s v="Qi Jianguo"/>
    <m/>
    <s v="GSD DCGS"/>
    <n v="6"/>
    <x v="1"/>
    <s v="Fidel Castro"/>
    <x v="0"/>
    <m/>
    <x v="0"/>
    <m/>
    <x v="1"/>
    <m/>
    <m/>
    <m/>
    <m/>
    <m/>
  </r>
  <r>
    <x v="0"/>
    <x v="9"/>
    <s v="West Asia and Africa"/>
    <s v="No Specific Relationship"/>
    <s v="None"/>
    <x v="1"/>
    <x v="119"/>
    <x v="21"/>
    <n v="12"/>
    <x v="9"/>
    <m/>
    <m/>
    <m/>
    <m/>
    <x v="0"/>
    <m/>
    <x v="0"/>
    <m/>
    <x v="0"/>
    <m/>
    <x v="2"/>
    <s v="ETF-12 "/>
    <s v="East Sea Fleet"/>
    <s v="FFG548 Yiyang, FFG549 Changzhou, AOR886 Qiandao Hu; unknown, could be ETF-13"/>
    <m/>
    <m/>
  </r>
  <r>
    <x v="1"/>
    <x v="6"/>
    <s v="Europe and Central Asia"/>
    <s v="Comprehensive Strategic Partnership [全面战略伙伴关系]"/>
    <s v="None"/>
    <x v="1"/>
    <x v="30"/>
    <x v="21"/>
    <n v="12"/>
    <x v="3"/>
    <s v="Fan Changlong"/>
    <m/>
    <s v="CMC Vice Chairman"/>
    <n v="10"/>
    <x v="2"/>
    <s v="Defense Minister"/>
    <x v="0"/>
    <m/>
    <x v="0"/>
    <m/>
    <x v="1"/>
    <m/>
    <m/>
    <m/>
    <m/>
    <m/>
  </r>
  <r>
    <x v="1"/>
    <x v="1"/>
    <s v="Asia"/>
    <s v="Comprehensive Strategic Cooperative Partnership [全面战略合作伙伴关系]"/>
    <s v="None"/>
    <x v="0"/>
    <x v="52"/>
    <x v="21"/>
    <n v="12"/>
    <x v="3"/>
    <s v="Qi Jianguo"/>
    <m/>
    <s v="GSD DCGS"/>
    <n v="6"/>
    <x v="2"/>
    <s v="Head of Foreign Affairs, Ministry of Defense"/>
    <x v="0"/>
    <m/>
    <x v="0"/>
    <m/>
    <x v="1"/>
    <m/>
    <m/>
    <m/>
    <m/>
    <m/>
  </r>
  <r>
    <x v="1"/>
    <x v="0"/>
    <s v="West Asia and Africa"/>
    <s v="No Specific Relationship"/>
    <s v="None"/>
    <x v="0"/>
    <x v="149"/>
    <x v="21"/>
    <n v="12"/>
    <x v="3"/>
    <s v="Xu Qiliang"/>
    <m/>
    <s v="CMC Vice Chairman"/>
    <n v="10"/>
    <x v="2"/>
    <s v="Defense Minister"/>
    <x v="0"/>
    <m/>
    <x v="0"/>
    <m/>
    <x v="1"/>
    <m/>
    <m/>
    <m/>
    <m/>
    <m/>
  </r>
  <r>
    <x v="1"/>
    <x v="8"/>
    <s v="Europe and Central Asia"/>
    <s v="Strategic Partnership [战略伙伴关系]"/>
    <s v="NATO"/>
    <x v="3"/>
    <x v="59"/>
    <x v="21"/>
    <n v="12"/>
    <x v="3"/>
    <s v="Wu Shengli"/>
    <m/>
    <s v="PLAN Commander; CMC Member"/>
    <n v="8"/>
    <x v="2"/>
    <s v="Navy Commander"/>
    <x v="0"/>
    <m/>
    <x v="0"/>
    <m/>
    <x v="1"/>
    <m/>
    <m/>
    <m/>
    <m/>
    <m/>
  </r>
  <r>
    <x v="1"/>
    <x v="7"/>
    <s v="West Asia and Africa"/>
    <s v="Comprehensive Strategic Cooperative Partnership [全面战略合作伙伴关系]"/>
    <s v="None"/>
    <x v="4"/>
    <x v="96"/>
    <x v="21"/>
    <n v="12"/>
    <x v="3"/>
    <s v="Fang Fenghui"/>
    <m/>
    <s v="GSD Commander; CMC Member"/>
    <n v="8"/>
    <x v="2"/>
    <s v="COGS"/>
    <x v="0"/>
    <m/>
    <x v="0"/>
    <m/>
    <x v="1"/>
    <m/>
    <m/>
    <m/>
    <m/>
    <m/>
  </r>
  <r>
    <x v="1"/>
    <x v="2"/>
    <s v="America and Oceania"/>
    <s v="No Specific Relationship"/>
    <s v="N/A"/>
    <x v="2"/>
    <x v="4"/>
    <x v="21"/>
    <n v="12"/>
    <x v="4"/>
    <s v="Qi Jianguo"/>
    <m/>
    <s v="GSD DCGS"/>
    <n v="6"/>
    <x v="1"/>
    <s v="Deputy Secretary of Defense"/>
    <x v="0"/>
    <m/>
    <x v="0"/>
    <m/>
    <x v="1"/>
    <m/>
    <m/>
    <m/>
    <s v="http://us.china-embassy.gov.cn/eng/zmgx/zxxx/201212/t20121203_4908159.htm"/>
    <s v="For Defense Consultative Talks; position weight corrected to reflect MR leader grade"/>
  </r>
  <r>
    <x v="1"/>
    <x v="1"/>
    <s v="Asia"/>
    <s v="Comprehensive Strategic Cooperative Partnership [全面战略合作伙伴关系]"/>
    <s v="None"/>
    <x v="0"/>
    <x v="94"/>
    <x v="22"/>
    <n v="1"/>
    <x v="4"/>
    <s v="Qi Jianguo"/>
    <m/>
    <s v="GSD DCGS"/>
    <n v="6"/>
    <x v="1"/>
    <m/>
    <x v="0"/>
    <m/>
    <x v="0"/>
    <m/>
    <x v="1"/>
    <m/>
    <m/>
    <m/>
    <m/>
    <m/>
  </r>
  <r>
    <x v="1"/>
    <x v="8"/>
    <s v="Europe and Central Asia"/>
    <s v="Comprehensive Strategic Partnership [全面战略伙伴关系]"/>
    <s v="NATO"/>
    <x v="3"/>
    <x v="22"/>
    <x v="22"/>
    <n v="1"/>
    <x v="3"/>
    <s v="Qi Jianguo"/>
    <m/>
    <s v="GSD DCGS"/>
    <n v="6"/>
    <x v="2"/>
    <s v="Director, General Staff Regional Bureau"/>
    <x v="0"/>
    <m/>
    <x v="0"/>
    <m/>
    <x v="1"/>
    <m/>
    <m/>
    <m/>
    <m/>
    <m/>
  </r>
  <r>
    <x v="1"/>
    <x v="0"/>
    <s v="Asia"/>
    <s v="Strategic Partnership for Peace and Prosperity [战略伙伴关系]"/>
    <s v="None"/>
    <x v="0"/>
    <x v="6"/>
    <x v="22"/>
    <n v="1"/>
    <x v="3"/>
    <s v="Xu Qiliang"/>
    <m/>
    <s v="CMC Vice Chairman"/>
    <n v="10"/>
    <x v="2"/>
    <s v="Defense Secretary"/>
    <x v="0"/>
    <m/>
    <x v="0"/>
    <m/>
    <x v="1"/>
    <m/>
    <m/>
    <m/>
    <m/>
    <m/>
  </r>
  <r>
    <x v="1"/>
    <x v="1"/>
    <s v="Asia"/>
    <s v="Comprehensive Strategic Partnership [全面战略伙伴关系]"/>
    <s v="None"/>
    <x v="0"/>
    <x v="8"/>
    <x v="22"/>
    <n v="1"/>
    <x v="3"/>
    <s v="Fan Changlong"/>
    <m/>
    <s v="CMC Vice Chairman"/>
    <n v="10"/>
    <x v="2"/>
    <s v="Deputy Defense Minister"/>
    <x v="0"/>
    <m/>
    <x v="0"/>
    <m/>
    <x v="1"/>
    <m/>
    <m/>
    <m/>
    <m/>
    <m/>
  </r>
  <r>
    <x v="1"/>
    <x v="9"/>
    <s v="West Asia and Africa"/>
    <s v="No Specific Relationship"/>
    <s v="None"/>
    <x v="1"/>
    <x v="147"/>
    <x v="22"/>
    <n v="1"/>
    <x v="3"/>
    <s v="Wu Shengli"/>
    <m/>
    <s v="PLAN Commander; CMC Member"/>
    <n v="8"/>
    <x v="2"/>
    <s v="Navy Commander"/>
    <x v="0"/>
    <m/>
    <x v="0"/>
    <m/>
    <x v="1"/>
    <m/>
    <m/>
    <m/>
    <m/>
    <m/>
  </r>
  <r>
    <x v="0"/>
    <x v="9"/>
    <s v="West Asia and Africa"/>
    <s v="No Specific Relationship"/>
    <s v="None"/>
    <x v="1"/>
    <x v="142"/>
    <x v="22"/>
    <n v="1"/>
    <x v="9"/>
    <m/>
    <m/>
    <m/>
    <m/>
    <x v="0"/>
    <m/>
    <x v="0"/>
    <m/>
    <x v="0"/>
    <m/>
    <x v="2"/>
    <s v="ETF-12 "/>
    <s v="East Sea Fleet"/>
    <s v="FFG548 Yiyang, FFG549 Changzhou, AOR886 Qiandao Hu; unknown, could be ETF-13"/>
    <m/>
    <m/>
  </r>
  <r>
    <x v="0"/>
    <x v="1"/>
    <s v="Asia"/>
    <s v="Comprehensive Strategic Cooperative Partnership [全面战略合作伙伴关系]"/>
    <s v="None"/>
    <x v="0"/>
    <x v="23"/>
    <x v="22"/>
    <n v="1"/>
    <x v="0"/>
    <m/>
    <m/>
    <m/>
    <m/>
    <x v="0"/>
    <m/>
    <x v="0"/>
    <m/>
    <x v="0"/>
    <m/>
    <x v="2"/>
    <s v="ETF-12"/>
    <s v="East Sea Fleet"/>
    <s v="FFG548 Yiyang, FFG549 Changzhou, AOR886 Qiandao Hu"/>
    <m/>
    <m/>
  </r>
  <r>
    <x v="1"/>
    <x v="5"/>
    <s v="America and Oceania"/>
    <s v="No Specific Relationship"/>
    <s v="ANZUS Treaty"/>
    <x v="0"/>
    <x v="12"/>
    <x v="22"/>
    <n v="3"/>
    <x v="3"/>
    <s v="Fang Fenghui"/>
    <m/>
    <s v="GSD Commander; CMC Member"/>
    <n v="8"/>
    <x v="2"/>
    <s v="Secretary General of the Department of Defense"/>
    <x v="0"/>
    <m/>
    <x v="0"/>
    <m/>
    <x v="1"/>
    <m/>
    <m/>
    <m/>
    <m/>
    <m/>
  </r>
  <r>
    <x v="0"/>
    <x v="8"/>
    <s v="Europe and Central Asia"/>
    <s v="No Specific Relationship"/>
    <s v="None"/>
    <x v="3"/>
    <x v="148"/>
    <x v="22"/>
    <n v="3"/>
    <x v="0"/>
    <m/>
    <m/>
    <m/>
    <m/>
    <x v="0"/>
    <m/>
    <x v="0"/>
    <m/>
    <x v="0"/>
    <m/>
    <x v="2"/>
    <s v="ETF-13"/>
    <s v="South Sea Fleet"/>
    <s v="FFG568 Hengyang, FFG570 Huangshan, AOR885 Qinghai Hu"/>
    <m/>
    <m/>
  </r>
  <r>
    <x v="0"/>
    <x v="9"/>
    <s v="West Asia and Africa"/>
    <s v="No Specific Relationship"/>
    <s v="None"/>
    <x v="1"/>
    <x v="147"/>
    <x v="22"/>
    <n v="3"/>
    <x v="9"/>
    <m/>
    <m/>
    <m/>
    <m/>
    <x v="0"/>
    <m/>
    <x v="0"/>
    <m/>
    <x v="0"/>
    <m/>
    <x v="2"/>
    <s v="ETF-13 "/>
    <s v="South Sea Fleet"/>
    <s v="FFG568 Hengyang, FFG570 Huangshan, AOR885 Qinghai Hu; unknown, could also be ETF-14"/>
    <m/>
    <m/>
  </r>
  <r>
    <x v="1"/>
    <x v="3"/>
    <s v="Europe and Central Asia"/>
    <s v="Comprehensive Collaborative Strategic Partnership [全面战略协作伙伴关系]"/>
    <s v="None"/>
    <x v="3"/>
    <x v="7"/>
    <x v="22"/>
    <n v="3"/>
    <x v="4"/>
    <s v="Chang Wanquan"/>
    <m/>
    <s v="Defense Minister; CMC Member"/>
    <n v="8"/>
    <x v="1"/>
    <s v="Defense Minister"/>
    <x v="0"/>
    <m/>
    <x v="0"/>
    <m/>
    <x v="1"/>
    <m/>
    <m/>
    <m/>
    <m/>
    <m/>
  </r>
  <r>
    <x v="0"/>
    <x v="7"/>
    <s v="West Asia and Africa"/>
    <s v="Strategic Partnership [战略伙伴关系]"/>
    <s v="None"/>
    <x v="4"/>
    <x v="76"/>
    <x v="22"/>
    <n v="4"/>
    <x v="0"/>
    <m/>
    <m/>
    <m/>
    <m/>
    <x v="0"/>
    <m/>
    <x v="0"/>
    <m/>
    <x v="0"/>
    <m/>
    <x v="2"/>
    <s v="ETF-13"/>
    <s v="South Sea Fleet"/>
    <s v="FFG568 Hengyang, FFG570 Huangshan, AOR885 Qinghai Hu"/>
    <m/>
    <m/>
  </r>
  <r>
    <x v="1"/>
    <x v="10"/>
    <s v="America and Oceania"/>
    <s v="Comprehensive Strategic Partnership [全面战略伙伴关系]"/>
    <s v="None"/>
    <x v="5"/>
    <x v="43"/>
    <x v="22"/>
    <n v="4"/>
    <x v="3"/>
    <s v="Chang Wanquan"/>
    <m/>
    <s v="Defense Minister; CMC Member"/>
    <n v="8"/>
    <x v="2"/>
    <s v="Director of Strategic Affairs Department under JCS"/>
    <x v="0"/>
    <m/>
    <x v="0"/>
    <m/>
    <x v="1"/>
    <m/>
    <m/>
    <m/>
    <m/>
    <m/>
  </r>
  <r>
    <x v="1"/>
    <x v="8"/>
    <s v="Europe and Central Asia"/>
    <s v="No Specific Relationship"/>
    <s v="NATO"/>
    <x v="3"/>
    <x v="79"/>
    <x v="22"/>
    <n v="4"/>
    <x v="3"/>
    <s v="Chang Wanquan"/>
    <m/>
    <s v="Defense Minister; CMC Member"/>
    <n v="8"/>
    <x v="2"/>
    <s v="Chief of Defense Staff"/>
    <x v="0"/>
    <m/>
    <x v="0"/>
    <m/>
    <x v="1"/>
    <m/>
    <m/>
    <m/>
    <m/>
    <m/>
  </r>
  <r>
    <x v="1"/>
    <x v="1"/>
    <s v="Asia"/>
    <s v="Comprehensive Strategic Cooperative Partnership [全面战略合作伙伴关系]"/>
    <s v="None"/>
    <x v="0"/>
    <x v="94"/>
    <x v="22"/>
    <n v="4"/>
    <x v="3"/>
    <s v="Chang Wanquan"/>
    <m/>
    <s v="Defense Minister; CMC Member"/>
    <n v="8"/>
    <x v="2"/>
    <s v="Deputy Prime Minister and Minister of Defense"/>
    <x v="0"/>
    <m/>
    <x v="0"/>
    <m/>
    <x v="1"/>
    <m/>
    <m/>
    <m/>
    <m/>
    <m/>
  </r>
  <r>
    <x v="0"/>
    <x v="8"/>
    <s v="Europe and Central Asia"/>
    <s v="Comprehensive Strategic Partnership [全面战略伙伴关系]"/>
    <s v="NATO"/>
    <x v="3"/>
    <x v="22"/>
    <x v="22"/>
    <n v="4"/>
    <x v="0"/>
    <m/>
    <m/>
    <m/>
    <m/>
    <x v="0"/>
    <m/>
    <x v="0"/>
    <m/>
    <x v="0"/>
    <m/>
    <x v="2"/>
    <s v="ETF-13"/>
    <s v="South Sea Fleet"/>
    <s v="FFG568 Hengyang, FFG570 Huangshan, AOR885 Qinghai Hu"/>
    <m/>
    <m/>
  </r>
  <r>
    <x v="0"/>
    <x v="0"/>
    <s v="Asia"/>
    <s v="Strategic Partnership for Peace and Prosperity [战略伙伴关系]"/>
    <s v="None"/>
    <x v="0"/>
    <x v="6"/>
    <x v="22"/>
    <n v="4"/>
    <x v="0"/>
    <m/>
    <m/>
    <m/>
    <m/>
    <x v="0"/>
    <m/>
    <x v="0"/>
    <m/>
    <x v="0"/>
    <m/>
    <x v="0"/>
    <s v="2013-04 Zhenghe "/>
    <s v="North Sea Fleet"/>
    <s v="PLA FR XJP draft p. 24"/>
    <m/>
    <m/>
  </r>
  <r>
    <x v="0"/>
    <x v="1"/>
    <s v="Asia"/>
    <s v="Comprehensive Strategic Partnership [全面战略伙伴关系]"/>
    <s v="None"/>
    <x v="0"/>
    <x v="8"/>
    <x v="22"/>
    <n v="4"/>
    <x v="0"/>
    <m/>
    <m/>
    <m/>
    <m/>
    <x v="0"/>
    <m/>
    <x v="0"/>
    <m/>
    <x v="0"/>
    <m/>
    <x v="0"/>
    <s v="2013-04 Zhenghe "/>
    <s v="North Sea Fleet"/>
    <s v="PLA FR XJP draft p. 24"/>
    <m/>
    <m/>
  </r>
  <r>
    <x v="1"/>
    <x v="9"/>
    <s v="West Asia and Africa"/>
    <s v="No Specific Relationship"/>
    <s v="Major Non-NATO Ally"/>
    <x v="1"/>
    <x v="101"/>
    <x v="22"/>
    <n v="4"/>
    <x v="3"/>
    <s v="Chen Yong"/>
    <m/>
    <s v="GSD Assistant Commander"/>
    <n v="5"/>
    <x v="2"/>
    <m/>
    <x v="0"/>
    <m/>
    <x v="0"/>
    <m/>
    <x v="1"/>
    <m/>
    <m/>
    <m/>
    <m/>
    <m/>
  </r>
  <r>
    <x v="0"/>
    <x v="7"/>
    <s v="West Asia and Africa"/>
    <s v="No Specific Relationship"/>
    <s v="Major Non-NATO Ally"/>
    <x v="4"/>
    <x v="27"/>
    <x v="22"/>
    <n v="4"/>
    <x v="0"/>
    <m/>
    <m/>
    <m/>
    <m/>
    <x v="0"/>
    <m/>
    <x v="0"/>
    <m/>
    <x v="0"/>
    <m/>
    <x v="2"/>
    <s v="ETF-13"/>
    <s v="South Sea Fleet"/>
    <s v="FFG568 Hengyang, FFG570 Huangshan, AOR885 Qinghai Hu"/>
    <m/>
    <m/>
  </r>
  <r>
    <x v="0"/>
    <x v="1"/>
    <s v="Asia"/>
    <s v="Comprehensive Strategic Cooperative Partnership [全面战略合作伙伴关系]"/>
    <s v="None"/>
    <x v="0"/>
    <x v="1"/>
    <x v="22"/>
    <n v="4"/>
    <x v="0"/>
    <m/>
    <m/>
    <m/>
    <m/>
    <x v="0"/>
    <m/>
    <x v="0"/>
    <m/>
    <x v="0"/>
    <m/>
    <x v="0"/>
    <s v="2013-04 Zhenghe "/>
    <s v="North Sea Fleet"/>
    <s v="PLA FR XJP draft p. 24"/>
    <m/>
    <m/>
  </r>
  <r>
    <x v="1"/>
    <x v="1"/>
    <s v="Asia"/>
    <s v="Strategic Cooperative Partnership [战略合作伙伴关系]"/>
    <s v="Bilateral Defense Treaty"/>
    <x v="0"/>
    <x v="11"/>
    <x v="22"/>
    <n v="4"/>
    <x v="3"/>
    <s v="Chang Wanquan"/>
    <m/>
    <s v="Defense Minister; CMC Member"/>
    <n v="8"/>
    <x v="2"/>
    <s v="Defense Undersecretary"/>
    <x v="0"/>
    <m/>
    <x v="0"/>
    <m/>
    <x v="1"/>
    <m/>
    <m/>
    <m/>
    <m/>
    <m/>
  </r>
  <r>
    <x v="0"/>
    <x v="8"/>
    <s v="Europe and Central Asia"/>
    <s v="Comprehensive Strategic Partnership [全面战略伙伴关系]"/>
    <s v="NATO"/>
    <x v="3"/>
    <x v="48"/>
    <x v="22"/>
    <n v="4"/>
    <x v="0"/>
    <m/>
    <m/>
    <m/>
    <m/>
    <x v="0"/>
    <m/>
    <x v="0"/>
    <m/>
    <x v="0"/>
    <m/>
    <x v="2"/>
    <s v="ETF-13"/>
    <s v="South Sea Fleet"/>
    <s v="FFG568 Hengyang, FFG570 Huangshan, AOR885 Qinghai Hu"/>
    <m/>
    <m/>
  </r>
  <r>
    <x v="2"/>
    <x v="3"/>
    <s v="Europe and Central Asia"/>
    <s v="Comprehensive Collaborative Strategic Partnership [全面战略协作伙伴关系]"/>
    <s v="None"/>
    <x v="3"/>
    <x v="7"/>
    <x v="22"/>
    <n v="4"/>
    <x v="5"/>
    <m/>
    <m/>
    <m/>
    <m/>
    <x v="0"/>
    <m/>
    <x v="1"/>
    <s v="Unnamed"/>
    <x v="4"/>
    <s v="Response to Manzhouli city security threats; joint border drills"/>
    <x v="1"/>
    <m/>
    <m/>
    <m/>
    <m/>
    <m/>
  </r>
  <r>
    <x v="1"/>
    <x v="9"/>
    <s v="West Asia and Africa"/>
    <s v="No Specific Relationship"/>
    <s v="None"/>
    <x v="1"/>
    <x v="142"/>
    <x v="22"/>
    <n v="4"/>
    <x v="3"/>
    <s v="Chang Wanquan"/>
    <m/>
    <s v="Defense Minister; CMC Member"/>
    <n v="8"/>
    <x v="2"/>
    <s v="Deputy Defense Minister"/>
    <x v="0"/>
    <m/>
    <x v="0"/>
    <m/>
    <x v="1"/>
    <m/>
    <m/>
    <m/>
    <m/>
    <m/>
  </r>
  <r>
    <x v="0"/>
    <x v="9"/>
    <s v="West Asia and Africa"/>
    <s v="No Specific Relationship"/>
    <s v="None"/>
    <x v="1"/>
    <x v="142"/>
    <x v="22"/>
    <n v="4"/>
    <x v="9"/>
    <m/>
    <m/>
    <m/>
    <m/>
    <x v="0"/>
    <m/>
    <x v="0"/>
    <m/>
    <x v="0"/>
    <m/>
    <x v="2"/>
    <s v="ETF-14 "/>
    <s v="North Sea Fleet"/>
    <s v="DDG112 Harbin, FFG528 Mianyang, AOR887 Weishan Hu; Unknown, could also be ETF-13"/>
    <m/>
    <m/>
  </r>
  <r>
    <x v="1"/>
    <x v="7"/>
    <s v="West Asia and Africa"/>
    <s v="Comprehensive Strategic Partnership [全面战略伙伴关系]"/>
    <s v="None"/>
    <x v="4"/>
    <x v="15"/>
    <x v="22"/>
    <n v="4"/>
    <x v="3"/>
    <s v="Jia Tingan"/>
    <m/>
    <s v="GPD Deputy Director"/>
    <n v="6"/>
    <x v="2"/>
    <s v="Department of Defense HR Division Chief"/>
    <x v="0"/>
    <m/>
    <x v="0"/>
    <m/>
    <x v="1"/>
    <m/>
    <m/>
    <m/>
    <m/>
    <m/>
  </r>
  <r>
    <x v="1"/>
    <x v="0"/>
    <s v="Asia"/>
    <s v="Strategic Cooperative Partnership [战略合作伙伴关系]"/>
    <s v="None"/>
    <x v="0"/>
    <x v="3"/>
    <x v="22"/>
    <n v="4"/>
    <x v="3"/>
    <s v="Wu Shengli"/>
    <m/>
    <s v="PLAN Commander; CMC Member"/>
    <n v="8"/>
    <x v="2"/>
    <s v="Navy Commander"/>
    <x v="0"/>
    <m/>
    <x v="0"/>
    <m/>
    <x v="1"/>
    <m/>
    <m/>
    <m/>
    <m/>
    <m/>
  </r>
  <r>
    <x v="1"/>
    <x v="8"/>
    <s v="Europe and Central Asia"/>
    <s v="No Specific Relationship"/>
    <s v="None"/>
    <x v="3"/>
    <x v="92"/>
    <x v="22"/>
    <n v="4"/>
    <x v="3"/>
    <s v="Chang Wanquan"/>
    <m/>
    <s v="Defense Minister; CMC Member"/>
    <n v="8"/>
    <x v="2"/>
    <s v="Chief of National Defense General Staff"/>
    <x v="0"/>
    <m/>
    <x v="0"/>
    <m/>
    <x v="1"/>
    <m/>
    <m/>
    <m/>
    <m/>
    <m/>
  </r>
  <r>
    <x v="1"/>
    <x v="7"/>
    <s v="West Asia and Africa"/>
    <s v="Comprehensive Cooperative Partnership [全面合作伙伴关系]"/>
    <s v="None"/>
    <x v="4"/>
    <x v="16"/>
    <x v="22"/>
    <n v="4"/>
    <x v="3"/>
    <s v="Fan Changlong"/>
    <m/>
    <s v="CMC Vice Chairman"/>
    <n v="10"/>
    <x v="2"/>
    <s v="Defense Minister"/>
    <x v="0"/>
    <m/>
    <x v="0"/>
    <m/>
    <x v="1"/>
    <m/>
    <m/>
    <m/>
    <m/>
    <m/>
  </r>
  <r>
    <x v="1"/>
    <x v="2"/>
    <s v="America and Oceania"/>
    <s v="No Specific Relationship"/>
    <s v="N/A"/>
    <x v="2"/>
    <x v="4"/>
    <x v="22"/>
    <n v="4"/>
    <x v="3"/>
    <s v="Fan Changlong"/>
    <m/>
    <s v="CMC Vice Chairman"/>
    <n v="10"/>
    <x v="2"/>
    <s v="CJCS Dempsey"/>
    <x v="0"/>
    <m/>
    <x v="0"/>
    <m/>
    <x v="1"/>
    <m/>
    <m/>
    <m/>
    <s v="2014 CH Mil Power Report"/>
    <m/>
  </r>
  <r>
    <x v="0"/>
    <x v="1"/>
    <s v="Asia"/>
    <s v="Comprehensive Strategic Cooperative Partnership [全面战略合作伙伴关系]"/>
    <s v="None"/>
    <x v="0"/>
    <x v="23"/>
    <x v="22"/>
    <n v="4"/>
    <x v="0"/>
    <m/>
    <m/>
    <m/>
    <m/>
    <x v="0"/>
    <m/>
    <x v="0"/>
    <m/>
    <x v="0"/>
    <m/>
    <x v="0"/>
    <s v="2013-04 Zhenghe "/>
    <s v="North Sea Fleet"/>
    <s v="PLA FR XJP draft p. 24"/>
    <m/>
    <m/>
  </r>
  <r>
    <x v="1"/>
    <x v="1"/>
    <s v="Asia"/>
    <s v="Strategic Partnership [战略伙伴关系] for Peace and Prosperity"/>
    <s v="None"/>
    <x v="0"/>
    <x v="153"/>
    <x v="22"/>
    <n v="5"/>
    <x v="1"/>
    <s v="Chang Wanquan"/>
    <m/>
    <s v="Defense Minister; CMC Member"/>
    <n v="8"/>
    <x v="1"/>
    <s v="Third China-ASEAN Defense Ministers' Informal Meeting in Brunei"/>
    <x v="0"/>
    <m/>
    <x v="0"/>
    <m/>
    <x v="1"/>
    <m/>
    <m/>
    <m/>
    <s v="https://thediplomat.com/2015/06/china-to-hold-first-meeting-with-asean-defense-ministers-in-beijing/"/>
    <s v="corrected partnership to strategic partnership for peace and prosperity"/>
  </r>
  <r>
    <x v="1"/>
    <x v="8"/>
    <s v="Europe and Central Asia"/>
    <s v="Comprehensive Strategic Partnership [全面战略伙伴关系]"/>
    <s v="None"/>
    <x v="3"/>
    <x v="34"/>
    <x v="22"/>
    <n v="5"/>
    <x v="4"/>
    <s v="Xu Qiliang"/>
    <m/>
    <s v="CMC Vice Chairman"/>
    <n v="10"/>
    <x v="1"/>
    <m/>
    <x v="0"/>
    <m/>
    <x v="0"/>
    <m/>
    <x v="1"/>
    <m/>
    <m/>
    <m/>
    <m/>
    <m/>
  </r>
  <r>
    <x v="1"/>
    <x v="10"/>
    <s v="America and Oceania"/>
    <s v="No Specific Relationship"/>
    <s v="None"/>
    <x v="5"/>
    <x v="42"/>
    <x v="22"/>
    <n v="5"/>
    <x v="4"/>
    <s v="Wang Guanzhong"/>
    <m/>
    <s v="GSD DCGS"/>
    <n v="6"/>
    <x v="1"/>
    <m/>
    <x v="0"/>
    <m/>
    <x v="0"/>
    <m/>
    <x v="1"/>
    <m/>
    <m/>
    <m/>
    <m/>
    <m/>
  </r>
  <r>
    <x v="1"/>
    <x v="1"/>
    <s v="Asia"/>
    <s v="No Specific Relationship"/>
    <s v="None"/>
    <x v="0"/>
    <x v="44"/>
    <x v="22"/>
    <n v="5"/>
    <x v="4"/>
    <s v="Chang Wanquan"/>
    <m/>
    <s v="Defense Minister; CMC Member"/>
    <n v="8"/>
    <x v="1"/>
    <m/>
    <x v="0"/>
    <m/>
    <x v="0"/>
    <m/>
    <x v="1"/>
    <m/>
    <m/>
    <m/>
    <m/>
    <m/>
  </r>
  <r>
    <x v="1"/>
    <x v="9"/>
    <s v="West Asia and Africa"/>
    <s v="Strategic Cooperative Partnership [战略合作伙伴关系]"/>
    <s v="Major Non-NATO Ally"/>
    <x v="1"/>
    <x v="24"/>
    <x v="22"/>
    <n v="5"/>
    <x v="3"/>
    <s v="Ma Xiaotian"/>
    <m/>
    <s v="PLAAF Commander; CMC Member"/>
    <n v="8"/>
    <x v="2"/>
    <s v="Air Force Commander"/>
    <x v="0"/>
    <m/>
    <x v="0"/>
    <m/>
    <x v="1"/>
    <m/>
    <m/>
    <m/>
    <m/>
    <m/>
  </r>
  <r>
    <x v="1"/>
    <x v="8"/>
    <s v="Europe and Central Asia"/>
    <s v="No Specific Relationship"/>
    <s v="None"/>
    <x v="3"/>
    <x v="81"/>
    <x v="22"/>
    <n v="5"/>
    <x v="3"/>
    <s v="Xu Qiliang"/>
    <m/>
    <s v="CMC Vice Chairman"/>
    <n v="10"/>
    <x v="2"/>
    <s v="Chief of Defense Staff"/>
    <x v="0"/>
    <m/>
    <x v="0"/>
    <m/>
    <x v="1"/>
    <m/>
    <m/>
    <m/>
    <m/>
    <m/>
  </r>
  <r>
    <x v="1"/>
    <x v="10"/>
    <s v="America and Oceania"/>
    <s v="Friendly Partnership [友好伙伴关系)]"/>
    <s v="None"/>
    <x v="5"/>
    <x v="145"/>
    <x v="22"/>
    <n v="5"/>
    <x v="3"/>
    <s v="Fang Fenghui"/>
    <m/>
    <s v="GSD Commander; CMC Member"/>
    <n v="8"/>
    <x v="2"/>
    <s v="Chief of Staff of the Defense Forces"/>
    <x v="0"/>
    <m/>
    <x v="0"/>
    <m/>
    <x v="1"/>
    <m/>
    <m/>
    <m/>
    <m/>
    <m/>
  </r>
  <r>
    <x v="1"/>
    <x v="6"/>
    <s v="Europe and Central Asia"/>
    <s v="Comprehensive Strategic Partnership [全面战略伙伴关系]"/>
    <s v="None"/>
    <x v="1"/>
    <x v="30"/>
    <x v="22"/>
    <n v="5"/>
    <x v="3"/>
    <s v="Fan Changlong"/>
    <m/>
    <s v="CMC Vice Chairman"/>
    <n v="10"/>
    <x v="2"/>
    <s v="COGS"/>
    <x v="0"/>
    <m/>
    <x v="0"/>
    <m/>
    <x v="1"/>
    <m/>
    <m/>
    <m/>
    <m/>
    <m/>
  </r>
  <r>
    <x v="1"/>
    <x v="7"/>
    <s v="West Asia and Africa"/>
    <s v="No Specific Relationship"/>
    <s v="None"/>
    <x v="4"/>
    <x v="84"/>
    <x v="22"/>
    <n v="5"/>
    <x v="3"/>
    <s v="Chang Wanquan"/>
    <m/>
    <s v="Defense Minister; CMC Member"/>
    <n v="8"/>
    <x v="2"/>
    <s v="COGS"/>
    <x v="0"/>
    <m/>
    <x v="0"/>
    <m/>
    <x v="1"/>
    <m/>
    <m/>
    <m/>
    <m/>
    <m/>
  </r>
  <r>
    <x v="1"/>
    <x v="5"/>
    <s v="America and Oceania"/>
    <s v="No Specific Relationship"/>
    <s v="ANZUS Treaty"/>
    <x v="0"/>
    <x v="13"/>
    <x v="22"/>
    <n v="5"/>
    <x v="3"/>
    <s v="Ma Xiaotian"/>
    <m/>
    <s v="PLAAF Commander; CMC Member"/>
    <n v="8"/>
    <x v="2"/>
    <s v="Air Force Commander"/>
    <x v="0"/>
    <m/>
    <x v="0"/>
    <m/>
    <x v="1"/>
    <m/>
    <m/>
    <m/>
    <m/>
    <m/>
  </r>
  <r>
    <x v="1"/>
    <x v="4"/>
    <s v="Asia"/>
    <s v="Bilateral Defense Treaty"/>
    <s v="None"/>
    <x v="0"/>
    <x v="9"/>
    <x v="22"/>
    <n v="5"/>
    <x v="3"/>
    <s v="Fan Changlong"/>
    <m/>
    <s v="CMC Vice Chairman"/>
    <n v="10"/>
    <x v="2"/>
    <s v="Special Envoy"/>
    <x v="0"/>
    <m/>
    <x v="0"/>
    <m/>
    <x v="1"/>
    <m/>
    <m/>
    <m/>
    <m/>
    <m/>
  </r>
  <r>
    <x v="1"/>
    <x v="0"/>
    <s v="Asia"/>
    <s v="Strategic Partnership [战略伙伴关系]"/>
    <s v="Major Non-NATO Ally"/>
    <x v="1"/>
    <x v="2"/>
    <x v="22"/>
    <n v="5"/>
    <x v="3"/>
    <s v="Ma Xiaotian"/>
    <m/>
    <s v="PLAAF Commander; CMC Member"/>
    <n v="8"/>
    <x v="2"/>
    <s v="Air Force First Deputy Chief of Air Staff"/>
    <x v="0"/>
    <m/>
    <x v="0"/>
    <m/>
    <x v="1"/>
    <m/>
    <m/>
    <m/>
    <m/>
    <m/>
  </r>
  <r>
    <x v="1"/>
    <x v="8"/>
    <s v="Europe and Central Asia"/>
    <s v="Strategic Partnership [战略伙伴关系]"/>
    <s v="NATO"/>
    <x v="3"/>
    <x v="59"/>
    <x v="22"/>
    <n v="5"/>
    <x v="3"/>
    <s v="Fan Changlong"/>
    <m/>
    <s v="CMC Vice Chairman"/>
    <n v="10"/>
    <x v="2"/>
    <s v="Defense Minister"/>
    <x v="0"/>
    <m/>
    <x v="0"/>
    <m/>
    <x v="1"/>
    <m/>
    <m/>
    <m/>
    <m/>
    <m/>
  </r>
  <r>
    <x v="1"/>
    <x v="8"/>
    <s v="Europe and Central Asia"/>
    <s v="Comprehensive Strategic Partnership [全面战略伙伴关系]"/>
    <s v="NATO"/>
    <x v="3"/>
    <x v="70"/>
    <x v="22"/>
    <n v="5"/>
    <x v="3"/>
    <s v="Fang Fenghui"/>
    <m/>
    <s v="GSD Commander; CMC Member"/>
    <n v="8"/>
    <x v="2"/>
    <s v="Chief Chairman JCS"/>
    <x v="0"/>
    <m/>
    <x v="0"/>
    <m/>
    <x v="1"/>
    <m/>
    <m/>
    <m/>
    <m/>
    <m/>
  </r>
  <r>
    <x v="1"/>
    <x v="10"/>
    <s v="America and Oceania"/>
    <s v="No Specific Relationship"/>
    <s v="None"/>
    <x v="5"/>
    <x v="91"/>
    <x v="22"/>
    <n v="5"/>
    <x v="3"/>
    <s v="Fang Fenghui"/>
    <m/>
    <s v="GSD Commander; CMC Member"/>
    <n v="8"/>
    <x v="2"/>
    <s v="Commander of National Defense Forces"/>
    <x v="0"/>
    <m/>
    <x v="0"/>
    <m/>
    <x v="1"/>
    <m/>
    <m/>
    <m/>
    <m/>
    <m/>
  </r>
  <r>
    <x v="1"/>
    <x v="8"/>
    <s v="Europe and Central Asia"/>
    <s v="Strategic Cooperative Partnership [战略合作伙伴关系]"/>
    <s v="NATO"/>
    <x v="3"/>
    <x v="38"/>
    <x v="22"/>
    <n v="5"/>
    <x v="3"/>
    <s v="Xu Qiliang"/>
    <m/>
    <s v="CMC Vice Chairman"/>
    <n v="10"/>
    <x v="2"/>
    <s v="DCOGS"/>
    <x v="0"/>
    <m/>
    <x v="0"/>
    <m/>
    <x v="1"/>
    <m/>
    <m/>
    <m/>
    <m/>
    <m/>
  </r>
  <r>
    <x v="1"/>
    <x v="8"/>
    <s v="Europe and Central Asia"/>
    <s v="Strategic Cooperative Partnership [战略合作伙伴关系]"/>
    <s v="None"/>
    <x v="3"/>
    <x v="26"/>
    <x v="22"/>
    <n v="5"/>
    <x v="3"/>
    <s v="Xu Qiliang"/>
    <m/>
    <s v="CMC Vice Chairman"/>
    <n v="10"/>
    <x v="2"/>
    <s v="First Deputy Defense Minister"/>
    <x v="0"/>
    <m/>
    <x v="0"/>
    <m/>
    <x v="1"/>
    <m/>
    <m/>
    <m/>
    <m/>
    <m/>
  </r>
  <r>
    <x v="1"/>
    <x v="2"/>
    <s v="America and Oceania"/>
    <s v="No Specific Relationship"/>
    <s v="N/A"/>
    <x v="2"/>
    <x v="4"/>
    <x v="22"/>
    <n v="5"/>
    <x v="3"/>
    <s v="Wu Shengli"/>
    <m/>
    <s v="PLAN Commander; CMC Member"/>
    <n v="8"/>
    <x v="2"/>
    <s v="Pacific Fleet Commander Haney"/>
    <x v="0"/>
    <m/>
    <x v="0"/>
    <m/>
    <x v="1"/>
    <m/>
    <m/>
    <m/>
    <s v="2014 CH Mil Power Report"/>
    <m/>
  </r>
  <r>
    <x v="1"/>
    <x v="7"/>
    <s v="West Asia and Africa"/>
    <s v="No Specific Relationship"/>
    <s v="None"/>
    <x v="4"/>
    <x v="61"/>
    <x v="22"/>
    <n v="5"/>
    <x v="3"/>
    <s v="Chang Wanquan"/>
    <m/>
    <s v="Defense Minister; CMC Member"/>
    <n v="8"/>
    <x v="2"/>
    <s v="Army Commander"/>
    <x v="0"/>
    <m/>
    <x v="0"/>
    <m/>
    <x v="1"/>
    <m/>
    <m/>
    <m/>
    <m/>
    <m/>
  </r>
  <r>
    <x v="2"/>
    <x v="1"/>
    <s v="Asia"/>
    <s v="Strategic Partnership [战略伙伴关系] for Peace and Prosperity"/>
    <s v="None"/>
    <x v="0"/>
    <x v="153"/>
    <x v="22"/>
    <n v="6"/>
    <x v="6"/>
    <s v=" "/>
    <m/>
    <s v=" "/>
    <s v=" "/>
    <x v="3"/>
    <s v=" "/>
    <x v="2"/>
    <s v="ADMM+ HADR exercise"/>
    <x v="2"/>
    <s v="ADMM+ HADR exercise; PLAN forces included Peace Ark; US also participated "/>
    <x v="1"/>
    <m/>
    <m/>
    <s v="https://admm.asean.org/index.php/admm-news/40-news/asean-secretariat-news/282-asean-defence-ministers-strengthen-cooperation-ties.html"/>
    <s v="corrected partnership to strategic partnership for peace and prosperity"/>
    <m/>
  </r>
  <r>
    <x v="0"/>
    <x v="1"/>
    <s v="Asia"/>
    <s v="No Specific Relationship"/>
    <s v="None"/>
    <x v="0"/>
    <x v="44"/>
    <x v="22"/>
    <n v="6"/>
    <x v="12"/>
    <m/>
    <m/>
    <m/>
    <m/>
    <x v="0"/>
    <m/>
    <x v="0"/>
    <m/>
    <x v="0"/>
    <m/>
    <x v="0"/>
    <s v="2013-06 Harmonious Mission"/>
    <s v="East Sea Fleet"/>
    <s v="PLA FR XJP draft p. 26"/>
    <m/>
    <m/>
  </r>
  <r>
    <x v="1"/>
    <x v="2"/>
    <s v="America and Oceania"/>
    <s v="Strategic Partnership [战略伙伴关系]"/>
    <s v="NATO"/>
    <x v="2"/>
    <x v="17"/>
    <x v="22"/>
    <n v="6"/>
    <x v="3"/>
    <s v="Chang Wanquan"/>
    <m/>
    <s v="Defense Minister; CMC Member"/>
    <n v="8"/>
    <x v="2"/>
    <s v="Defense Minister"/>
    <x v="0"/>
    <m/>
    <x v="0"/>
    <m/>
    <x v="1"/>
    <m/>
    <m/>
    <m/>
    <m/>
    <m/>
  </r>
  <r>
    <x v="0"/>
    <x v="9"/>
    <s v="West Asia and Africa"/>
    <s v="No Specific Relationship"/>
    <s v="None"/>
    <x v="1"/>
    <x v="119"/>
    <x v="22"/>
    <n v="6"/>
    <x v="9"/>
    <m/>
    <m/>
    <m/>
    <m/>
    <x v="0"/>
    <m/>
    <x v="0"/>
    <m/>
    <x v="0"/>
    <m/>
    <x v="2"/>
    <s v="ETF-14"/>
    <s v="North Sea Fleet"/>
    <s v="DDG112 Harbin, FFG528 Mianyang, AOR887 Weishan Hu"/>
    <m/>
    <m/>
  </r>
  <r>
    <x v="1"/>
    <x v="8"/>
    <s v="Europe and Central Asia"/>
    <s v="No Specific Relationship"/>
    <s v="NATO"/>
    <x v="3"/>
    <x v="82"/>
    <x v="22"/>
    <n v="6"/>
    <x v="4"/>
    <s v="Jia Tingan"/>
    <m/>
    <s v="GPD Deputy Director"/>
    <n v="6"/>
    <x v="1"/>
    <m/>
    <x v="0"/>
    <m/>
    <x v="0"/>
    <m/>
    <x v="1"/>
    <m/>
    <m/>
    <m/>
    <m/>
    <m/>
  </r>
  <r>
    <x v="1"/>
    <x v="1"/>
    <s v="Asia"/>
    <s v="No Specific Relationship"/>
    <s v="None"/>
    <x v="0"/>
    <x v="137"/>
    <x v="22"/>
    <n v="6"/>
    <x v="1"/>
    <s v="Qi Jianguo"/>
    <m/>
    <s v="GSD DCGS"/>
    <n v="6"/>
    <x v="1"/>
    <s v="12th Shangri-La Dialogue"/>
    <x v="0"/>
    <m/>
    <x v="0"/>
    <m/>
    <x v="1"/>
    <m/>
    <m/>
    <m/>
    <m/>
    <m/>
  </r>
  <r>
    <x v="1"/>
    <x v="6"/>
    <s v="Europe and Central Asia"/>
    <s v="Strategic Partnership [战略伙伴关系]"/>
    <s v="None"/>
    <x v="1"/>
    <x v="31"/>
    <x v="22"/>
    <n v="6"/>
    <x v="4"/>
    <s v="Chang Wanquan"/>
    <m/>
    <s v="Defense Minister; CMC Member"/>
    <n v="8"/>
    <x v="1"/>
    <m/>
    <x v="0"/>
    <m/>
    <x v="0"/>
    <m/>
    <x v="1"/>
    <m/>
    <m/>
    <m/>
    <m/>
    <m/>
  </r>
  <r>
    <x v="1"/>
    <x v="9"/>
    <s v="West Asia and Africa"/>
    <s v="No Specific Relationship"/>
    <s v="None"/>
    <x v="1"/>
    <x v="110"/>
    <x v="22"/>
    <n v="6"/>
    <x v="3"/>
    <s v="Fang Fenghui"/>
    <m/>
    <s v="GSD Commander; CMC Member"/>
    <n v="8"/>
    <x v="2"/>
    <s v="Chief of Staff of Armed Forces"/>
    <x v="0"/>
    <m/>
    <x v="0"/>
    <m/>
    <x v="1"/>
    <m/>
    <m/>
    <m/>
    <m/>
    <m/>
  </r>
  <r>
    <x v="0"/>
    <x v="0"/>
    <s v="West Asia and Africa"/>
    <s v="No Specific Relationship"/>
    <s v="None"/>
    <x v="0"/>
    <x v="149"/>
    <x v="22"/>
    <n v="6"/>
    <x v="12"/>
    <m/>
    <m/>
    <m/>
    <m/>
    <x v="0"/>
    <m/>
    <x v="0"/>
    <m/>
    <x v="0"/>
    <m/>
    <x v="0"/>
    <s v="2013-06 Harmonious Mission"/>
    <s v="East Sea Fleet"/>
    <s v="PLA FR XJP draft p. 26"/>
    <m/>
    <m/>
  </r>
  <r>
    <x v="0"/>
    <x v="0"/>
    <s v="Asia"/>
    <s v="Strategic Partnership [战略伙伴关系]"/>
    <s v="Major Non-NATO Ally"/>
    <x v="1"/>
    <x v="2"/>
    <x v="22"/>
    <n v="6"/>
    <x v="12"/>
    <m/>
    <m/>
    <m/>
    <m/>
    <x v="0"/>
    <m/>
    <x v="0"/>
    <m/>
    <x v="0"/>
    <m/>
    <x v="0"/>
    <s v="2013-06 Harmonious Mission"/>
    <s v="East Sea Fleet"/>
    <s v="PLA FR XJP draft p. 26"/>
    <m/>
    <s v="recoded to delete drills"/>
  </r>
  <r>
    <x v="2"/>
    <x v="3"/>
    <s v="Europe and Central Asia"/>
    <s v="Comprehensive Collaborative Strategic Partnership [全面战略协作伙伴关系]"/>
    <s v="None"/>
    <x v="3"/>
    <x v="7"/>
    <x v="22"/>
    <n v="6"/>
    <x v="5"/>
    <m/>
    <m/>
    <m/>
    <m/>
    <x v="0"/>
    <m/>
    <x v="1"/>
    <s v="Cooperation 2013"/>
    <x v="4"/>
    <s v="Snow Leopard commando unit; 10 day joint training exercise in Russia "/>
    <x v="1"/>
    <m/>
    <m/>
    <m/>
    <s v="http://chn.chinamil.com.cn/jwjj/2013-06/11/content_5372267"/>
    <m/>
  </r>
  <r>
    <x v="1"/>
    <x v="6"/>
    <s v="Europe and Central Asia"/>
    <s v="Member"/>
    <s v="None"/>
    <x v="1"/>
    <x v="14"/>
    <x v="22"/>
    <n v="6"/>
    <x v="1"/>
    <s v="Chang Wanquan"/>
    <m/>
    <s v="Defense Minister; CMC Member"/>
    <n v="8"/>
    <x v="1"/>
    <s v="10th official meeting of the SCO Ministers' of Defense in Kyrgyzstan; Other countries: Kazakhstan, Kyrgyztan, Russia, Tajikistan, Uzbekistan"/>
    <x v="0"/>
    <m/>
    <x v="0"/>
    <m/>
    <x v="1"/>
    <m/>
    <m/>
    <m/>
    <s v="http://www.mfa.kg/index_en.html"/>
    <m/>
  </r>
  <r>
    <x v="0"/>
    <x v="7"/>
    <s v="West Asia and Africa"/>
    <s v="No Specific Relationship"/>
    <s v="None"/>
    <x v="4"/>
    <x v="139"/>
    <x v="22"/>
    <n v="6"/>
    <x v="0"/>
    <m/>
    <m/>
    <m/>
    <m/>
    <x v="0"/>
    <m/>
    <x v="0"/>
    <m/>
    <x v="0"/>
    <m/>
    <x v="2"/>
    <s v="ETF-14"/>
    <s v="North Sea Fleet"/>
    <s v="DDG112 Harbin, FFG528 Mianyang, AOR887 Weishan Hu"/>
    <m/>
    <m/>
  </r>
  <r>
    <x v="1"/>
    <x v="4"/>
    <s v="Asia"/>
    <s v="Strategic Cooperative Partnership [战略合作伙伴关系]"/>
    <s v="Bilateral Defense Treaty"/>
    <x v="0"/>
    <x v="25"/>
    <x v="22"/>
    <n v="6"/>
    <x v="3"/>
    <s v="Fan Changlong"/>
    <m/>
    <s v="CMC Vice Chairman"/>
    <n v="10"/>
    <x v="2"/>
    <s v="Chairman JCS"/>
    <x v="0"/>
    <m/>
    <x v="0"/>
    <m/>
    <x v="1"/>
    <m/>
    <m/>
    <m/>
    <m/>
    <m/>
  </r>
  <r>
    <x v="1"/>
    <x v="1"/>
    <s v="Asia"/>
    <s v="Comprehensive Strategic Cooperative Partnership [全面战略合作伙伴关系]"/>
    <s v="Bilateral Defense Treaty"/>
    <x v="0"/>
    <x v="5"/>
    <x v="22"/>
    <n v="6"/>
    <x v="3"/>
    <s v="Fan Changlong"/>
    <m/>
    <s v="CMC Vice Chairman"/>
    <n v="10"/>
    <x v="2"/>
    <s v="Supreme Commander Armed Forces"/>
    <x v="0"/>
    <m/>
    <x v="0"/>
    <m/>
    <x v="1"/>
    <m/>
    <m/>
    <m/>
    <m/>
    <m/>
  </r>
  <r>
    <x v="1"/>
    <x v="1"/>
    <s v="Asia"/>
    <s v="Comprehensive Strategic Cooperative Partnership [全面战略合作伙伴关系]"/>
    <s v="None"/>
    <x v="0"/>
    <x v="23"/>
    <x v="22"/>
    <n v="6"/>
    <x v="3"/>
    <s v="Chang Wanquan"/>
    <m/>
    <s v="Defense Minister; CMC Member"/>
    <n v="8"/>
    <x v="2"/>
    <s v="Deputy Defense Minister"/>
    <x v="0"/>
    <m/>
    <x v="0"/>
    <m/>
    <x v="1"/>
    <m/>
    <m/>
    <m/>
    <m/>
    <m/>
  </r>
  <r>
    <x v="0"/>
    <x v="9"/>
    <s v="West Asia and Africa"/>
    <s v="No Specific Relationship"/>
    <s v="None"/>
    <x v="1"/>
    <x v="119"/>
    <x v="22"/>
    <n v="7"/>
    <x v="9"/>
    <m/>
    <m/>
    <m/>
    <m/>
    <x v="0"/>
    <m/>
    <x v="0"/>
    <m/>
    <x v="0"/>
    <m/>
    <x v="2"/>
    <s v="ETF-14"/>
    <s v="North Sea Fleet"/>
    <s v="DDG112 Harbin, FFG528 Mianyang, AOR887 Weishan Hu"/>
    <m/>
    <m/>
  </r>
  <r>
    <x v="1"/>
    <x v="0"/>
    <s v="Asia"/>
    <s v="Strategic Partnership for Peace and Prosperity [战略伙伴关系]"/>
    <s v="None"/>
    <x v="0"/>
    <x v="6"/>
    <x v="22"/>
    <n v="7"/>
    <x v="3"/>
    <s v="Chang Wanquan"/>
    <m/>
    <s v="Defense Minister; CMC Member"/>
    <n v="8"/>
    <x v="2"/>
    <s v="Defense Minister"/>
    <x v="0"/>
    <m/>
    <x v="0"/>
    <m/>
    <x v="1"/>
    <m/>
    <m/>
    <m/>
    <m/>
    <m/>
  </r>
  <r>
    <x v="1"/>
    <x v="8"/>
    <s v="Europe and Central Asia"/>
    <s v="Comprehensive Strategic Partnership [全面战略伙伴关系]"/>
    <s v="NATO"/>
    <x v="3"/>
    <x v="20"/>
    <x v="22"/>
    <n v="7"/>
    <x v="4"/>
    <s v="Zhang Youxia"/>
    <m/>
    <s v="GAD Director; CMC Member"/>
    <n v="8"/>
    <x v="1"/>
    <m/>
    <x v="0"/>
    <m/>
    <x v="0"/>
    <m/>
    <x v="1"/>
    <m/>
    <m/>
    <m/>
    <m/>
    <m/>
  </r>
  <r>
    <x v="1"/>
    <x v="6"/>
    <s v="Europe and Central Asia"/>
    <s v="Comprehensive Strategic Partnership [全面战略伙伴关系]"/>
    <s v="None"/>
    <x v="1"/>
    <x v="30"/>
    <x v="22"/>
    <n v="7"/>
    <x v="4"/>
    <s v="Fan Changlong"/>
    <m/>
    <s v="CMC Vice Chairman"/>
    <n v="10"/>
    <x v="1"/>
    <m/>
    <x v="0"/>
    <m/>
    <x v="0"/>
    <m/>
    <x v="1"/>
    <m/>
    <m/>
    <m/>
    <m/>
    <m/>
  </r>
  <r>
    <x v="1"/>
    <x v="1"/>
    <s v="Asia"/>
    <s v="Comprehensive Strategic Cooperative Partnership [全面战略合作伙伴关系]"/>
    <s v="None"/>
    <x v="0"/>
    <x v="52"/>
    <x v="22"/>
    <n v="7"/>
    <x v="3"/>
    <s v="Chang Wanquan"/>
    <m/>
    <s v="Defense Minister; CMC Member"/>
    <n v="8"/>
    <x v="2"/>
    <s v="Deputy Prime Minister and Minister of Defense"/>
    <x v="0"/>
    <m/>
    <x v="0"/>
    <m/>
    <x v="1"/>
    <m/>
    <m/>
    <m/>
    <m/>
    <m/>
  </r>
  <r>
    <x v="1"/>
    <x v="7"/>
    <s v="West Asia and Africa"/>
    <s v="Strategic Partnership [战略伙伴关系]"/>
    <s v="None"/>
    <x v="4"/>
    <x v="36"/>
    <x v="22"/>
    <n v="7"/>
    <x v="3"/>
    <s v="Chang Wanquan"/>
    <m/>
    <s v="Defense Minister; CMC Member"/>
    <n v="8"/>
    <x v="2"/>
    <s v="Acting Defense Minister"/>
    <x v="0"/>
    <m/>
    <x v="0"/>
    <m/>
    <x v="1"/>
    <m/>
    <m/>
    <m/>
    <m/>
    <m/>
  </r>
  <r>
    <x v="1"/>
    <x v="3"/>
    <s v="Europe and Central Asia"/>
    <s v="Comprehensive Collaborative Strategic Partnership [全面战略协作伙伴关系]"/>
    <s v="None"/>
    <x v="3"/>
    <x v="7"/>
    <x v="22"/>
    <n v="7"/>
    <x v="4"/>
    <s v="Fang Fenghui"/>
    <m/>
    <s v="GSD Commander; CMC Member"/>
    <n v="8"/>
    <x v="1"/>
    <s v="COGS"/>
    <x v="0"/>
    <m/>
    <x v="0"/>
    <m/>
    <x v="1"/>
    <m/>
    <m/>
    <m/>
    <m/>
    <m/>
  </r>
  <r>
    <x v="2"/>
    <x v="3"/>
    <s v="Europe and Central Asia"/>
    <s v="Comprehensive Collaborative Strategic Partnership [全面战略协作伙伴关系]"/>
    <s v="None"/>
    <x v="3"/>
    <x v="7"/>
    <x v="22"/>
    <n v="7"/>
    <x v="5"/>
    <m/>
    <m/>
    <m/>
    <m/>
    <x v="0"/>
    <m/>
    <x v="3"/>
    <s v="Maritime Cooperation 2013 (aka Joint Sea 2013)"/>
    <x v="2"/>
    <s v="Maritime; HADR; live-fire drills. July 5-12"/>
    <x v="1"/>
    <m/>
    <m/>
    <m/>
    <m/>
    <m/>
  </r>
  <r>
    <x v="2"/>
    <x v="3"/>
    <s v="Europe and Central Asia"/>
    <s v="Comprehensive Collaborative Strategic Partnership [全面战略协作伙伴关系]"/>
    <s v="None"/>
    <x v="3"/>
    <x v="7"/>
    <x v="22"/>
    <n v="7"/>
    <x v="5"/>
    <m/>
    <m/>
    <m/>
    <m/>
    <x v="0"/>
    <m/>
    <x v="3"/>
    <s v="Peace Mission 2013"/>
    <x v="3"/>
    <s v="Army, Navy, Air Force, SOF; anti-terrorism.  July 27–August 15, 2013"/>
    <x v="1"/>
    <m/>
    <m/>
    <m/>
    <m/>
    <m/>
  </r>
  <r>
    <x v="1"/>
    <x v="1"/>
    <s v="Asia"/>
    <s v="No Specific Relationship"/>
    <s v="None"/>
    <x v="0"/>
    <x v="39"/>
    <x v="22"/>
    <n v="7"/>
    <x v="3"/>
    <s v="Wu Shengli"/>
    <m/>
    <s v="PLAN Commander; CMC Member"/>
    <n v="8"/>
    <x v="2"/>
    <s v="Navy Commander"/>
    <x v="0"/>
    <m/>
    <x v="0"/>
    <m/>
    <x v="1"/>
    <m/>
    <m/>
    <m/>
    <m/>
    <m/>
  </r>
  <r>
    <x v="1"/>
    <x v="4"/>
    <s v="Asia"/>
    <s v="Strategic Cooperative Partnership [战略合作伙伴关系]"/>
    <s v="Bilateral Defense Treaty"/>
    <x v="0"/>
    <x v="25"/>
    <x v="22"/>
    <n v="7"/>
    <x v="3"/>
    <s v="Wu Shengli"/>
    <m/>
    <s v="PLAN Commander; CMC Member"/>
    <n v="8"/>
    <x v="2"/>
    <s v="Chief of Naval Operations"/>
    <x v="0"/>
    <m/>
    <x v="0"/>
    <m/>
    <x v="1"/>
    <m/>
    <m/>
    <m/>
    <m/>
    <m/>
  </r>
  <r>
    <x v="1"/>
    <x v="1"/>
    <s v="Asia"/>
    <s v="Comprehensive Strategic Cooperative Partnership [全面战略合作伙伴关系]"/>
    <s v="Bilateral Defense Treaty"/>
    <x v="0"/>
    <x v="5"/>
    <x v="22"/>
    <n v="7"/>
    <x v="4"/>
    <s v="Fan Changlong"/>
    <m/>
    <s v="CMC Vice Chairman"/>
    <n v="10"/>
    <x v="1"/>
    <m/>
    <x v="0"/>
    <m/>
    <x v="0"/>
    <m/>
    <x v="1"/>
    <m/>
    <m/>
    <m/>
    <m/>
    <m/>
  </r>
  <r>
    <x v="2"/>
    <x v="1"/>
    <s v="Asia"/>
    <s v="Comprehensive Strategic Cooperative Partnership [全面战略合作伙伴关系]"/>
    <s v="Bilateral Defense Treaty"/>
    <x v="0"/>
    <x v="5"/>
    <x v="22"/>
    <n v="7"/>
    <x v="5"/>
    <m/>
    <m/>
    <m/>
    <m/>
    <x v="0"/>
    <m/>
    <x v="1"/>
    <s v="Strike 2013"/>
    <x v="1"/>
    <s v="Anti-terrorism"/>
    <x v="1"/>
    <m/>
    <m/>
    <m/>
    <m/>
    <m/>
  </r>
  <r>
    <x v="1"/>
    <x v="7"/>
    <s v="West Asia and Africa"/>
    <s v="Strategic Partnership [战略伙伴关系]"/>
    <s v="None"/>
    <x v="4"/>
    <x v="105"/>
    <x v="22"/>
    <n v="8"/>
    <x v="3"/>
    <s v="Jia Tingan"/>
    <m/>
    <s v="GPD Deputy Director"/>
    <n v="6"/>
    <x v="2"/>
    <s v="Inspector of Military Procurarate"/>
    <x v="0"/>
    <m/>
    <x v="0"/>
    <m/>
    <x v="1"/>
    <m/>
    <m/>
    <m/>
    <m/>
    <m/>
  </r>
  <r>
    <x v="1"/>
    <x v="1"/>
    <s v="Asia"/>
    <s v="Strategic Partnership [战略伙伴关系] for Peace and Prosperity"/>
    <s v="None"/>
    <x v="0"/>
    <x v="153"/>
    <x v="22"/>
    <n v="8"/>
    <x v="1"/>
    <s v="Chang Wanquan"/>
    <m/>
    <s v="Defense Minister; CMC Member"/>
    <n v="8"/>
    <x v="1"/>
    <s v="2nd ADMM+"/>
    <x v="0"/>
    <m/>
    <x v="0"/>
    <m/>
    <x v="1"/>
    <m/>
    <m/>
    <m/>
    <s v="https://admm.asean.org/index.php/admm-news/40-news/asean-secretariat-news/282-asean-defence-ministers-strengthen-cooperation-ties.html"/>
    <s v="corrected partnership to strategic partnership for peace and prosperity"/>
  </r>
  <r>
    <x v="1"/>
    <x v="5"/>
    <s v="America and Oceania"/>
    <s v="No Specific Relationship"/>
    <s v="ANZUS Treaty"/>
    <x v="0"/>
    <x v="12"/>
    <x v="22"/>
    <n v="8"/>
    <x v="3"/>
    <s v="Wu Shengli"/>
    <m/>
    <s v="PLAN Commander; CMC Member"/>
    <n v="8"/>
    <x v="2"/>
    <s v="Navy Commander"/>
    <x v="0"/>
    <m/>
    <x v="0"/>
    <m/>
    <x v="1"/>
    <m/>
    <m/>
    <m/>
    <m/>
    <m/>
  </r>
  <r>
    <x v="0"/>
    <x v="5"/>
    <s v="America and Oceania"/>
    <s v="No Specific Relationship"/>
    <s v="ANZUS Treaty"/>
    <x v="0"/>
    <x v="12"/>
    <x v="22"/>
    <n v="8"/>
    <x v="0"/>
    <m/>
    <m/>
    <m/>
    <m/>
    <x v="0"/>
    <m/>
    <x v="0"/>
    <m/>
    <x v="0"/>
    <m/>
    <x v="0"/>
    <s v="2013-08 DDG113 Qingdao"/>
    <s v="North Sea Fleet"/>
    <s v="PLA FR XJP draft p. 23"/>
    <m/>
    <m/>
  </r>
  <r>
    <x v="0"/>
    <x v="0"/>
    <s v="Asia"/>
    <s v="Comprehensive Cooperative Partnership [全面合作伙伴关系]"/>
    <s v="None"/>
    <x v="0"/>
    <x v="0"/>
    <x v="22"/>
    <n v="8"/>
    <x v="12"/>
    <m/>
    <m/>
    <m/>
    <m/>
    <x v="0"/>
    <m/>
    <x v="0"/>
    <m/>
    <x v="0"/>
    <m/>
    <x v="0"/>
    <s v="2013-06 Harmonious Mission"/>
    <s v="East Sea Fleet"/>
    <s v="PLA FR XJP draft p. 26"/>
    <m/>
    <m/>
  </r>
  <r>
    <x v="1"/>
    <x v="1"/>
    <s v="Asia"/>
    <s v="No Specific Relationship"/>
    <s v="None"/>
    <x v="0"/>
    <x v="44"/>
    <x v="22"/>
    <n v="8"/>
    <x v="4"/>
    <s v="Chang Wanquan"/>
    <m/>
    <s v="Defense Minister; CMC Member"/>
    <n v="8"/>
    <x v="1"/>
    <s v="Sultan Hassanal Bolkiah"/>
    <x v="0"/>
    <m/>
    <x v="0"/>
    <m/>
    <x v="1"/>
    <m/>
    <m/>
    <m/>
    <s v="http://worlddefencenews.blogspot.com/2013/05/brunei-and-china-to-discuss-bilateral.html"/>
    <s v="China and Brunei established a strategic partnership in 2018"/>
  </r>
  <r>
    <x v="1"/>
    <x v="2"/>
    <s v="America and Oceania"/>
    <s v="Strategic Partnership [战略伙伴关系]"/>
    <s v="NATO"/>
    <x v="2"/>
    <x v="17"/>
    <x v="22"/>
    <n v="8"/>
    <x v="4"/>
    <s v="Chang Wanquan"/>
    <m/>
    <s v="Defense Minister; CMC Member"/>
    <n v="8"/>
    <x v="1"/>
    <s v="Defense Minister"/>
    <x v="0"/>
    <m/>
    <x v="0"/>
    <m/>
    <x v="1"/>
    <m/>
    <m/>
    <m/>
    <m/>
    <m/>
  </r>
  <r>
    <x v="0"/>
    <x v="8"/>
    <s v="Europe and Central Asia"/>
    <s v="Comprehensive Strategic Partnership [全面战略伙伴关系]"/>
    <s v="NATO"/>
    <x v="3"/>
    <x v="29"/>
    <x v="22"/>
    <n v="8"/>
    <x v="0"/>
    <m/>
    <m/>
    <m/>
    <m/>
    <x v="0"/>
    <m/>
    <x v="0"/>
    <m/>
    <x v="0"/>
    <m/>
    <x v="2"/>
    <s v="ETF-14 "/>
    <s v="North Sea Fleet"/>
    <s v="DDG112 Harbin, FFG528 Mianyang, AOR887 Weishan Hu; Unknown, could also be ETF-15"/>
    <m/>
    <m/>
  </r>
  <r>
    <x v="0"/>
    <x v="0"/>
    <s v="Asia"/>
    <s v="Strategic Partnership for Peace and Prosperity [战略伙伴关系]"/>
    <s v="None"/>
    <x v="0"/>
    <x v="6"/>
    <x v="22"/>
    <n v="8"/>
    <x v="12"/>
    <m/>
    <m/>
    <m/>
    <m/>
    <x v="0"/>
    <m/>
    <x v="0"/>
    <m/>
    <x v="0"/>
    <m/>
    <x v="0"/>
    <s v="2013-06 Harmonious Mission"/>
    <s v="East Sea Fleet"/>
    <s v="PLA FR XJP draft p. 26"/>
    <m/>
    <m/>
  </r>
  <r>
    <x v="2"/>
    <x v="6"/>
    <s v="Europe and Central Asia"/>
    <s v="Strategic Partnership [战略伙伴关系]"/>
    <s v="None"/>
    <x v="1"/>
    <x v="31"/>
    <x v="22"/>
    <n v="8"/>
    <x v="5"/>
    <m/>
    <m/>
    <m/>
    <m/>
    <x v="0"/>
    <m/>
    <x v="1"/>
    <s v="Frontier Defense Joint Determination 2013 "/>
    <x v="4"/>
    <s v="Armed police from both sides, "/>
    <x v="1"/>
    <m/>
    <m/>
    <m/>
    <s v="http://english.people.com.cn/90786/8362119.html"/>
    <m/>
  </r>
  <r>
    <x v="0"/>
    <x v="1"/>
    <s v="Asia"/>
    <s v="Comprehensive Strategic Partnership [全面战略伙伴关系]"/>
    <s v="None"/>
    <x v="0"/>
    <x v="10"/>
    <x v="22"/>
    <n v="8"/>
    <x v="0"/>
    <m/>
    <m/>
    <m/>
    <m/>
    <x v="0"/>
    <m/>
    <x v="0"/>
    <m/>
    <x v="0"/>
    <m/>
    <x v="0"/>
    <s v="2013-08 Zhenghe "/>
    <s v="North Sea Fleet"/>
    <s v="PLA FR XJP draft p. 24"/>
    <m/>
    <m/>
  </r>
  <r>
    <x v="0"/>
    <x v="1"/>
    <s v="Asia"/>
    <s v="Comprehensive Strategic Cooperative Partnership [全面战略合作伙伴关系]"/>
    <s v="None"/>
    <x v="0"/>
    <x v="1"/>
    <x v="22"/>
    <n v="8"/>
    <x v="12"/>
    <m/>
    <m/>
    <m/>
    <m/>
    <x v="0"/>
    <m/>
    <x v="0"/>
    <m/>
    <x v="0"/>
    <m/>
    <x v="0"/>
    <s v="2013-06 Harmonious Mission"/>
    <s v="East Sea Fleet"/>
    <s v="PLA FR XJP draft p. 26"/>
    <m/>
    <m/>
  </r>
  <r>
    <x v="1"/>
    <x v="5"/>
    <s v="America and Oceania"/>
    <s v="No Specific Relationship"/>
    <s v="ANZUS Treaty"/>
    <x v="0"/>
    <x v="13"/>
    <x v="22"/>
    <n v="8"/>
    <x v="4"/>
    <s v="Wu Changde "/>
    <m/>
    <s v="GPD Deputy Director"/>
    <n v="6"/>
    <x v="1"/>
    <m/>
    <x v="0"/>
    <m/>
    <x v="0"/>
    <m/>
    <x v="1"/>
    <m/>
    <m/>
    <m/>
    <m/>
    <m/>
  </r>
  <r>
    <x v="0"/>
    <x v="5"/>
    <s v="America and Oceania"/>
    <s v="No Specific Relationship"/>
    <s v="ANZUS Treaty"/>
    <x v="0"/>
    <x v="13"/>
    <x v="22"/>
    <n v="8"/>
    <x v="0"/>
    <m/>
    <m/>
    <m/>
    <m/>
    <x v="0"/>
    <m/>
    <x v="0"/>
    <m/>
    <x v="0"/>
    <m/>
    <x v="0"/>
    <s v="2013-08 DDG113 Qingdao"/>
    <s v="North Sea Fleet"/>
    <s v="PLA FR XJP draft p. 23"/>
    <m/>
    <m/>
  </r>
  <r>
    <x v="2"/>
    <x v="5"/>
    <s v="America and Oceania"/>
    <s v="No Specific Relationship"/>
    <s v="ANZUS Treaty"/>
    <x v="0"/>
    <x v="13"/>
    <x v="22"/>
    <n v="8"/>
    <x v="6"/>
    <m/>
    <m/>
    <m/>
    <m/>
    <x v="0"/>
    <m/>
    <x v="2"/>
    <s v="Phoenix Spirit"/>
    <x v="1"/>
    <s v="Medical; HADR.Other countries: Australia, United States"/>
    <x v="1"/>
    <m/>
    <m/>
    <m/>
    <m/>
    <m/>
  </r>
  <r>
    <x v="2"/>
    <x v="0"/>
    <s v="Asia"/>
    <s v="Strategic Partnership [战略伙伴关系]"/>
    <s v="Major Non-NATO Ally"/>
    <x v="1"/>
    <x v="2"/>
    <x v="22"/>
    <n v="8"/>
    <x v="5"/>
    <m/>
    <m/>
    <m/>
    <m/>
    <x v="0"/>
    <m/>
    <x v="3"/>
    <s v="Shaheen-2"/>
    <x v="5"/>
    <s v="Operational aerial maneuvers"/>
    <x v="1"/>
    <m/>
    <m/>
    <m/>
    <m/>
    <m/>
  </r>
  <r>
    <x v="1"/>
    <x v="0"/>
    <s v="Asia"/>
    <s v="Strategic Partnership [战略伙伴关系]"/>
    <s v="Major Non-NATO Ally"/>
    <x v="1"/>
    <x v="2"/>
    <x v="22"/>
    <n v="8"/>
    <x v="3"/>
    <s v="Xu Qiliang"/>
    <m/>
    <s v="CMC Vice Chairman"/>
    <n v="10"/>
    <x v="2"/>
    <s v="Chairman JCS"/>
    <x v="0"/>
    <m/>
    <x v="0"/>
    <m/>
    <x v="1"/>
    <m/>
    <m/>
    <m/>
    <m/>
    <m/>
  </r>
  <r>
    <x v="1"/>
    <x v="1"/>
    <s v="Asia"/>
    <s v="No Specific Relationship"/>
    <s v="None"/>
    <x v="0"/>
    <x v="39"/>
    <x v="22"/>
    <n v="8"/>
    <x v="7"/>
    <s v="Chang Wanquan"/>
    <m/>
    <s v="Defense Minister; CMC Member"/>
    <n v="8"/>
    <x v="1"/>
    <s v="2nd ADMM+; Minister for Defence Dr Ng Eng Hen"/>
    <x v="0"/>
    <m/>
    <x v="0"/>
    <m/>
    <x v="1"/>
    <m/>
    <m/>
    <m/>
    <s v="https://www.mindef.gov.sg/web/portal/mindef/news-and-events/latest-releases/article-detail/2013/may/2013May07-News-Releases-02184"/>
    <s v=" "/>
  </r>
  <r>
    <x v="1"/>
    <x v="4"/>
    <s v="Asia"/>
    <s v="Strategic Cooperative Partnership [战略合作伙伴关系]"/>
    <s v="Bilateral Defense Treaty"/>
    <x v="0"/>
    <x v="25"/>
    <x v="22"/>
    <n v="8"/>
    <x v="7"/>
    <s v="Chang Wanquan"/>
    <m/>
    <s v="Defense Minister; CMC Member"/>
    <n v="8"/>
    <x v="1"/>
    <s v="2nd ADMM+; Defense Minister Kim Kwan-jin"/>
    <x v="0"/>
    <m/>
    <x v="0"/>
    <m/>
    <x v="1"/>
    <m/>
    <m/>
    <m/>
    <s v="http://en.people.cn/102774/8382947.html"/>
    <s v=" "/>
  </r>
  <r>
    <x v="0"/>
    <x v="4"/>
    <s v="Asia"/>
    <s v="Strategic Cooperative Partnership [战略合作伙伴关系]"/>
    <s v="Bilateral Defense Treaty"/>
    <x v="0"/>
    <x v="25"/>
    <x v="22"/>
    <n v="8"/>
    <x v="0"/>
    <m/>
    <m/>
    <m/>
    <m/>
    <x v="0"/>
    <m/>
    <x v="0"/>
    <m/>
    <x v="0"/>
    <m/>
    <x v="0"/>
    <s v="2013-08 Zhenghe "/>
    <s v="North Sea Fleet"/>
    <s v="PLA FR XJP draft p. 24"/>
    <m/>
    <m/>
  </r>
  <r>
    <x v="1"/>
    <x v="5"/>
    <s v="America and Oceania"/>
    <s v="No Specific Relationship"/>
    <s v="None"/>
    <x v="0"/>
    <x v="144"/>
    <x v="22"/>
    <n v="8"/>
    <x v="4"/>
    <s v="Wu Changde "/>
    <m/>
    <s v="GPD Deputy Director"/>
    <n v="6"/>
    <x v="1"/>
    <m/>
    <x v="0"/>
    <m/>
    <x v="0"/>
    <m/>
    <x v="1"/>
    <m/>
    <m/>
    <m/>
    <m/>
    <m/>
  </r>
  <r>
    <x v="1"/>
    <x v="2"/>
    <s v="America and Oceania"/>
    <s v="No Specific Relationship"/>
    <s v="N/A"/>
    <x v="2"/>
    <x v="4"/>
    <x v="22"/>
    <n v="8"/>
    <x v="4"/>
    <s v="Chang Wanquan"/>
    <m/>
    <s v="Defense Minister; CMC Member"/>
    <n v="8"/>
    <x v="1"/>
    <s v="Secretary of Defense Hagel"/>
    <x v="0"/>
    <m/>
    <x v="0"/>
    <m/>
    <x v="1"/>
    <m/>
    <m/>
    <m/>
    <s v="2014 CH Mil Power Report"/>
    <m/>
  </r>
  <r>
    <x v="2"/>
    <x v="2"/>
    <s v="America and Oceania"/>
    <s v="No Specific Relationship"/>
    <s v="N/A"/>
    <x v="2"/>
    <x v="4"/>
    <x v="22"/>
    <n v="8"/>
    <x v="5"/>
    <m/>
    <m/>
    <m/>
    <m/>
    <x v="0"/>
    <m/>
    <x v="4"/>
    <m/>
    <x v="2"/>
    <s v="2nd US-CH BL counter-piracy exercise in Gulf of Aden"/>
    <x v="1"/>
    <m/>
    <m/>
    <m/>
    <s v="2014 CH Milpower Report"/>
    <m/>
  </r>
  <r>
    <x v="1"/>
    <x v="7"/>
    <s v="West Asia and Africa"/>
    <s v="No Specific Relationship"/>
    <s v="None"/>
    <x v="4"/>
    <x v="61"/>
    <x v="22"/>
    <n v="8"/>
    <x v="3"/>
    <s v="Ma Xiaotian"/>
    <m/>
    <s v="PLAAF Commander; CMC Member"/>
    <n v="8"/>
    <x v="2"/>
    <s v="Air Force Commander"/>
    <x v="0"/>
    <m/>
    <x v="0"/>
    <m/>
    <x v="1"/>
    <m/>
    <m/>
    <m/>
    <m/>
    <m/>
  </r>
  <r>
    <x v="0"/>
    <x v="10"/>
    <s v="America and Oceania"/>
    <s v="Strategic Partnership [战略伙伴关系]"/>
    <s v="Major Non-NATO Ally"/>
    <x v="5"/>
    <x v="62"/>
    <x v="22"/>
    <n v="9"/>
    <x v="0"/>
    <m/>
    <m/>
    <m/>
    <m/>
    <x v="0"/>
    <m/>
    <x v="0"/>
    <m/>
    <x v="0"/>
    <m/>
    <x v="0"/>
    <s v="2013-09 DDG170 Lanzhou"/>
    <s v="South Sea Fleet"/>
    <s v="PLA FR XJP draft p. 23"/>
    <m/>
    <m/>
  </r>
  <r>
    <x v="1"/>
    <x v="0"/>
    <s v="Asia"/>
    <s v="Comprehensive Cooperative Partnership [全面合作伙伴关系]"/>
    <s v="None"/>
    <x v="0"/>
    <x v="0"/>
    <x v="22"/>
    <n v="9"/>
    <x v="3"/>
    <s v="Ma Xiaotian"/>
    <m/>
    <s v="PLAAF Commander; CMC Member"/>
    <n v="8"/>
    <x v="2"/>
    <s v="Air Force Chief of Staff"/>
    <x v="0"/>
    <m/>
    <x v="0"/>
    <m/>
    <x v="1"/>
    <m/>
    <m/>
    <m/>
    <m/>
    <m/>
  </r>
  <r>
    <x v="1"/>
    <x v="8"/>
    <s v="Europe and Central Asia"/>
    <s v="No Specific Relationship"/>
    <s v="NATO"/>
    <x v="3"/>
    <x v="68"/>
    <x v="22"/>
    <n v="9"/>
    <x v="4"/>
    <s v="Du Jincai"/>
    <m/>
    <s v="GPD Deputy Director"/>
    <n v="6"/>
    <x v="1"/>
    <m/>
    <x v="0"/>
    <m/>
    <x v="0"/>
    <m/>
    <x v="1"/>
    <m/>
    <m/>
    <m/>
    <m/>
    <m/>
  </r>
  <r>
    <x v="0"/>
    <x v="10"/>
    <s v="America and Oceania"/>
    <s v="Comprehensive Strategic Partnership [全面战略伙伴关系]"/>
    <s v="None"/>
    <x v="5"/>
    <x v="43"/>
    <x v="22"/>
    <n v="9"/>
    <x v="0"/>
    <m/>
    <m/>
    <m/>
    <m/>
    <x v="0"/>
    <m/>
    <x v="0"/>
    <m/>
    <x v="0"/>
    <m/>
    <x v="0"/>
    <s v="2013-09 DDG170 Lanzhou"/>
    <s v="South Sea Fleet"/>
    <s v="PLA FR XJP draft p. 23"/>
    <m/>
    <m/>
  </r>
  <r>
    <x v="0"/>
    <x v="1"/>
    <s v="Asia"/>
    <s v="Comprehensive Strategic Cooperative Partnership [全面战略合作伙伴关系]"/>
    <s v="None"/>
    <x v="0"/>
    <x v="94"/>
    <x v="22"/>
    <n v="9"/>
    <x v="12"/>
    <m/>
    <m/>
    <m/>
    <m/>
    <x v="0"/>
    <m/>
    <x v="0"/>
    <m/>
    <x v="0"/>
    <m/>
    <x v="0"/>
    <s v="2013-06 Harmonious Mission"/>
    <s v="East Sea Fleet"/>
    <s v="PLA FR XJP draft p. 26"/>
    <m/>
    <m/>
  </r>
  <r>
    <x v="0"/>
    <x v="10"/>
    <s v="America and Oceania"/>
    <s v="Strategic Partnership [战略伙伴关系]"/>
    <s v="None"/>
    <x v="5"/>
    <x v="66"/>
    <x v="22"/>
    <n v="9"/>
    <x v="0"/>
    <m/>
    <m/>
    <m/>
    <m/>
    <x v="0"/>
    <m/>
    <x v="0"/>
    <m/>
    <x v="0"/>
    <m/>
    <x v="0"/>
    <s v="2013-09 DDG170 Lanzhou"/>
    <s v="South Sea Fleet"/>
    <s v="PLA FR XJP draft p. 23"/>
    <m/>
    <m/>
  </r>
  <r>
    <x v="1"/>
    <x v="8"/>
    <s v="Europe and Central Asia"/>
    <s v="Comprehensive Cooperative Partnership [全面合作伙伴关系]"/>
    <s v="NATO"/>
    <x v="3"/>
    <x v="35"/>
    <x v="22"/>
    <n v="9"/>
    <x v="4"/>
    <s v="Du Jincai"/>
    <m/>
    <s v="GPD Deputy Director"/>
    <n v="6"/>
    <x v="1"/>
    <m/>
    <x v="0"/>
    <m/>
    <x v="0"/>
    <m/>
    <x v="1"/>
    <m/>
    <m/>
    <m/>
    <m/>
    <m/>
  </r>
  <r>
    <x v="1"/>
    <x v="8"/>
    <s v="Europe and Central Asia"/>
    <s v="Strategic Partnership [战略伙伴关系]"/>
    <s v="NATO"/>
    <x v="3"/>
    <x v="18"/>
    <x v="22"/>
    <n v="9"/>
    <x v="3"/>
    <s v="Sun Jianguo"/>
    <m/>
    <s v="GSD DCGS"/>
    <n v="6"/>
    <x v="2"/>
    <s v="Former Inspector General, Federal Defense Forces "/>
    <x v="0"/>
    <m/>
    <x v="0"/>
    <m/>
    <x v="1"/>
    <m/>
    <m/>
    <m/>
    <m/>
    <m/>
  </r>
  <r>
    <x v="1"/>
    <x v="0"/>
    <s v="Asia"/>
    <s v="Strategic Partnership for Peace and Prosperity [战略伙伴关系]"/>
    <s v="None"/>
    <x v="0"/>
    <x v="6"/>
    <x v="22"/>
    <n v="9"/>
    <x v="3"/>
    <s v="Sun Jianguo"/>
    <m/>
    <s v="GSD DCGS"/>
    <n v="6"/>
    <x v="2"/>
    <s v="Delegation for CIISS"/>
    <x v="0"/>
    <m/>
    <x v="0"/>
    <m/>
    <x v="1"/>
    <m/>
    <m/>
    <m/>
    <m/>
    <m/>
  </r>
  <r>
    <x v="0"/>
    <x v="1"/>
    <s v="Asia"/>
    <s v="Comprehensive Strategic Partnership [全面战略伙伴关系]"/>
    <s v="None"/>
    <x v="0"/>
    <x v="8"/>
    <x v="22"/>
    <n v="9"/>
    <x v="12"/>
    <m/>
    <m/>
    <m/>
    <m/>
    <x v="0"/>
    <m/>
    <x v="0"/>
    <m/>
    <x v="0"/>
    <m/>
    <x v="0"/>
    <s v="2013-06 Harmonious Mission"/>
    <s v="East Sea Fleet"/>
    <s v="PLA FR XJP draft p. 26"/>
    <m/>
    <m/>
  </r>
  <r>
    <x v="2"/>
    <x v="4"/>
    <s v="Asia"/>
    <s v="Strategic Partnership [战略伙伴关系]"/>
    <s v="None"/>
    <x v="0"/>
    <x v="53"/>
    <x v="22"/>
    <n v="9"/>
    <x v="5"/>
    <m/>
    <m/>
    <m/>
    <m/>
    <x v="0"/>
    <m/>
    <x v="2"/>
    <s v="Prairie Pioneer"/>
    <x v="1"/>
    <s v="Medical; engineers"/>
    <x v="1"/>
    <m/>
    <m/>
    <m/>
    <s v="http://en.people.cn/90786/8402165.html"/>
    <m/>
  </r>
  <r>
    <x v="2"/>
    <x v="3"/>
    <s v="Europe and Central Asia"/>
    <s v="Comprehensive Collaborative Strategic Partnership [全面战略协作伙伴关系]"/>
    <s v="None"/>
    <x v="3"/>
    <x v="7"/>
    <x v="22"/>
    <n v="9"/>
    <x v="5"/>
    <m/>
    <m/>
    <m/>
    <m/>
    <x v="0"/>
    <m/>
    <x v="2"/>
    <s v="Unnamed"/>
    <x v="4"/>
    <s v="Joint drill at Chinese land port; aimed at countering illegal border crossing; likely PAP"/>
    <x v="1"/>
    <m/>
    <m/>
    <m/>
    <s v="http://news.xinhuanet.com/english/china/2013-09/19/c_132734529.htm"/>
    <m/>
  </r>
  <r>
    <x v="0"/>
    <x v="9"/>
    <s v="West Asia and Africa"/>
    <s v="No Specific Relationship"/>
    <s v="None"/>
    <x v="1"/>
    <x v="142"/>
    <x v="22"/>
    <n v="9"/>
    <x v="9"/>
    <m/>
    <m/>
    <m/>
    <m/>
    <x v="0"/>
    <m/>
    <x v="0"/>
    <m/>
    <x v="0"/>
    <m/>
    <x v="2"/>
    <s v="ETF-15"/>
    <s v="South Sea Fleet"/>
    <s v="LPD999 Jingangshan, FFG572 Hengshui, AOR889 Taihu"/>
    <m/>
    <m/>
  </r>
  <r>
    <x v="0"/>
    <x v="1"/>
    <s v="Asia"/>
    <s v="No Specific Relationship"/>
    <s v="None"/>
    <x v="0"/>
    <x v="39"/>
    <x v="22"/>
    <n v="9"/>
    <x v="0"/>
    <m/>
    <m/>
    <m/>
    <m/>
    <x v="0"/>
    <m/>
    <x v="0"/>
    <m/>
    <x v="0"/>
    <m/>
    <x v="2"/>
    <s v="ETF-14"/>
    <s v="North Sea Fleet"/>
    <s v="DDG112 Harbin, FFG528 Mianyang, AOR887 Weishan Hu"/>
    <m/>
    <m/>
  </r>
  <r>
    <x v="1"/>
    <x v="8"/>
    <s v="Europe and Central Asia"/>
    <s v="Comprehensive Strategic Partnership [全面战略伙伴关系]"/>
    <s v="NATO"/>
    <x v="3"/>
    <x v="70"/>
    <x v="22"/>
    <n v="9"/>
    <x v="4"/>
    <s v="Wei Fenghe"/>
    <m/>
    <s v="PLASAF Commander; CMC Member"/>
    <n v="8"/>
    <x v="1"/>
    <m/>
    <x v="0"/>
    <m/>
    <x v="0"/>
    <m/>
    <x v="1"/>
    <m/>
    <m/>
    <m/>
    <m/>
    <m/>
  </r>
  <r>
    <x v="1"/>
    <x v="0"/>
    <s v="Asia"/>
    <s v="Strategic Cooperative Partnership [战略合作伙伴关系]"/>
    <s v="None"/>
    <x v="0"/>
    <x v="3"/>
    <x v="22"/>
    <n v="9"/>
    <x v="3"/>
    <s v="Ma Xiaotian"/>
    <m/>
    <s v="PLAAF Commander; CMC Member"/>
    <n v="8"/>
    <x v="2"/>
    <s v="Defense Minister and Urban Development Executive Secretary"/>
    <x v="0"/>
    <m/>
    <x v="0"/>
    <m/>
    <x v="1"/>
    <m/>
    <m/>
    <m/>
    <m/>
    <m/>
  </r>
  <r>
    <x v="1"/>
    <x v="8"/>
    <s v="Europe and Central Asia"/>
    <s v="No Specific Relationship"/>
    <s v="None"/>
    <x v="3"/>
    <x v="78"/>
    <x v="22"/>
    <n v="9"/>
    <x v="4"/>
    <s v="Wei Fenghe"/>
    <m/>
    <s v="PLASAF Commander; CMC Member"/>
    <n v="8"/>
    <x v="1"/>
    <m/>
    <x v="0"/>
    <m/>
    <x v="0"/>
    <m/>
    <x v="1"/>
    <m/>
    <m/>
    <m/>
    <m/>
    <m/>
  </r>
  <r>
    <x v="0"/>
    <x v="1"/>
    <s v="Asia"/>
    <s v="Comprehensive Strategic Cooperative Partnership [全面战略合作伙伴关系]"/>
    <s v="Bilateral Defense Treaty"/>
    <x v="0"/>
    <x v="5"/>
    <x v="22"/>
    <n v="9"/>
    <x v="0"/>
    <m/>
    <m/>
    <m/>
    <m/>
    <x v="0"/>
    <m/>
    <x v="0"/>
    <m/>
    <x v="0"/>
    <m/>
    <x v="2"/>
    <s v="ETF-14"/>
    <s v="North Sea Fleet"/>
    <s v="DDG112 Harbin, FFG528 Mianyang, AOR887 Weishan Hu"/>
    <m/>
    <m/>
  </r>
  <r>
    <x v="1"/>
    <x v="2"/>
    <s v="America and Oceania"/>
    <s v="No Specific Relationship"/>
    <s v="N/A"/>
    <x v="2"/>
    <x v="4"/>
    <x v="22"/>
    <n v="9"/>
    <x v="4"/>
    <s v="Wu Shengli"/>
    <m/>
    <s v="PLAN Commander; CMC Member"/>
    <n v="8"/>
    <x v="1"/>
    <s v="CNO Greenert"/>
    <x v="0"/>
    <m/>
    <x v="0"/>
    <m/>
    <x v="1"/>
    <m/>
    <m/>
    <m/>
    <s v="2014 CH Milpower Report"/>
    <s v="Visited San Diego and Washington DC"/>
  </r>
  <r>
    <x v="0"/>
    <x v="2"/>
    <s v="America and Oceania"/>
    <s v="No Specific Relationship"/>
    <s v="N/A"/>
    <x v="2"/>
    <x v="4"/>
    <x v="22"/>
    <n v="9"/>
    <x v="0"/>
    <m/>
    <m/>
    <m/>
    <m/>
    <x v="0"/>
    <m/>
    <x v="0"/>
    <m/>
    <x v="0"/>
    <m/>
    <x v="0"/>
    <s v="2013-08 DDG113 Qingdao"/>
    <s v="North Sea Fleet"/>
    <s v="Pearl Harbor-- Qingdao DD113, Linyi FF547, Hongzehu AOR881 PLA FR XJP draft p. 23"/>
    <s v="2014 CH Mil Power Report"/>
    <m/>
  </r>
  <r>
    <x v="1"/>
    <x v="2"/>
    <s v="America and Oceania"/>
    <s v="No Specific Relationship"/>
    <s v="N/A"/>
    <x v="2"/>
    <x v="4"/>
    <x v="22"/>
    <n v="9"/>
    <x v="3"/>
    <s v="Ma Xiaotian"/>
    <m/>
    <s v="PLAAF Commander; CMC Member"/>
    <n v="8"/>
    <x v="2"/>
    <s v="Air Force Chief of Staff Welsh"/>
    <x v="0"/>
    <m/>
    <x v="0"/>
    <m/>
    <x v="1"/>
    <m/>
    <m/>
    <m/>
    <s v="2014 CH Mil Power Report"/>
    <m/>
  </r>
  <r>
    <x v="1"/>
    <x v="9"/>
    <s v="West Asia and Africa"/>
    <s v="No Specific Relationship"/>
    <s v="None"/>
    <x v="1"/>
    <x v="135"/>
    <x v="22"/>
    <n v="9"/>
    <x v="3"/>
    <s v="Xu Qiliang"/>
    <m/>
    <s v="CMC Vice Chairman"/>
    <n v="10"/>
    <x v="2"/>
    <s v="Defense Minister"/>
    <x v="0"/>
    <m/>
    <x v="0"/>
    <m/>
    <x v="1"/>
    <m/>
    <m/>
    <m/>
    <m/>
    <m/>
  </r>
  <r>
    <x v="1"/>
    <x v="7"/>
    <s v="West Asia and Africa"/>
    <s v="Strategic Partnership [战略伙伴关系]"/>
    <s v="None"/>
    <x v="4"/>
    <x v="105"/>
    <x v="22"/>
    <n v="10"/>
    <x v="3"/>
    <s v="Fang Fenghui"/>
    <m/>
    <s v="GSD Commander; CMC Member"/>
    <n v="8"/>
    <x v="2"/>
    <s v="COGS"/>
    <x v="0"/>
    <m/>
    <x v="0"/>
    <m/>
    <x v="1"/>
    <m/>
    <m/>
    <m/>
    <m/>
    <m/>
  </r>
  <r>
    <x v="1"/>
    <x v="5"/>
    <s v="America and Oceania"/>
    <s v="No Specific Relationship"/>
    <s v="ANZUS Treaty"/>
    <x v="0"/>
    <x v="12"/>
    <x v="22"/>
    <n v="10"/>
    <x v="4"/>
    <s v="Zhao Keshi"/>
    <m/>
    <s v="GLD Director; CMC Member"/>
    <n v="8"/>
    <x v="1"/>
    <m/>
    <x v="0"/>
    <m/>
    <x v="0"/>
    <m/>
    <x v="1"/>
    <m/>
    <m/>
    <m/>
    <m/>
    <m/>
  </r>
  <r>
    <x v="1"/>
    <x v="5"/>
    <s v="Europe and Central Asia"/>
    <s v="No Specific Relationship"/>
    <s v="None"/>
    <x v="3"/>
    <x v="124"/>
    <x v="22"/>
    <n v="10"/>
    <x v="3"/>
    <s v="Xu Qiliang"/>
    <m/>
    <s v="CMC Vice Chairman"/>
    <n v="10"/>
    <x v="2"/>
    <s v="Defense Minister"/>
    <x v="0"/>
    <m/>
    <x v="0"/>
    <m/>
    <x v="1"/>
    <m/>
    <m/>
    <m/>
    <m/>
    <m/>
  </r>
  <r>
    <x v="1"/>
    <x v="5"/>
    <s v="America and Oceania"/>
    <s v="Strategic Partnership [战略伙伴关系]"/>
    <s v="None"/>
    <x v="5"/>
    <x v="66"/>
    <x v="22"/>
    <n v="10"/>
    <x v="3"/>
    <s v="Hou Shusen"/>
    <m/>
    <s v="GSD DCGS"/>
    <n v="6"/>
    <x v="2"/>
    <s v="CinC Army"/>
    <x v="0"/>
    <m/>
    <x v="0"/>
    <m/>
    <x v="1"/>
    <m/>
    <m/>
    <m/>
    <m/>
    <m/>
  </r>
  <r>
    <x v="1"/>
    <x v="5"/>
    <s v="West Asia and Africa"/>
    <s v="No Specific Relationship"/>
    <s v="None"/>
    <x v="4"/>
    <x v="28"/>
    <x v="22"/>
    <n v="10"/>
    <x v="3"/>
    <s v="Xu Qiliang"/>
    <m/>
    <s v="CMC Vice Chairman"/>
    <n v="10"/>
    <x v="2"/>
    <s v="Defense Minister"/>
    <x v="0"/>
    <m/>
    <x v="0"/>
    <m/>
    <x v="1"/>
    <m/>
    <m/>
    <m/>
    <m/>
    <m/>
  </r>
  <r>
    <x v="0"/>
    <x v="5"/>
    <s v="West Asia and Africa"/>
    <s v="No Specific Relationship"/>
    <s v="None"/>
    <x v="1"/>
    <x v="119"/>
    <x v="22"/>
    <n v="10"/>
    <x v="9"/>
    <m/>
    <m/>
    <m/>
    <m/>
    <x v="0"/>
    <m/>
    <x v="0"/>
    <m/>
    <x v="0"/>
    <m/>
    <x v="2"/>
    <s v="ETF-15"/>
    <s v="South Sea Fleet"/>
    <s v="LPD999 Jingangshan, FFG572 Hengshui, AOR889 Taihu"/>
    <m/>
    <m/>
  </r>
  <r>
    <x v="1"/>
    <x v="5"/>
    <s v="Europe and Central Asia"/>
    <s v="Comprehensive Strategic Partnership [全面战略伙伴关系]"/>
    <s v="NATO"/>
    <x v="3"/>
    <x v="20"/>
    <x v="22"/>
    <n v="10"/>
    <x v="3"/>
    <s v="Sun Jianguo"/>
    <m/>
    <s v="GSD DCGS"/>
    <n v="6"/>
    <x v="2"/>
    <s v="Delegation for CIISS; Security Intelligence Committee"/>
    <x v="0"/>
    <m/>
    <x v="0"/>
    <m/>
    <x v="1"/>
    <m/>
    <m/>
    <m/>
    <m/>
    <m/>
  </r>
  <r>
    <x v="1"/>
    <x v="5"/>
    <s v="Asia"/>
    <s v="Comprehensive Strategic Partnership [全面战略伙伴关系]"/>
    <s v="None"/>
    <x v="0"/>
    <x v="10"/>
    <x v="22"/>
    <n v="10"/>
    <x v="3"/>
    <s v="Xu Qiliang"/>
    <m/>
    <s v="CMC Vice Chairman"/>
    <n v="10"/>
    <x v="2"/>
    <s v="Defense Minister"/>
    <x v="0"/>
    <m/>
    <x v="0"/>
    <m/>
    <x v="1"/>
    <m/>
    <m/>
    <m/>
    <m/>
    <m/>
  </r>
  <r>
    <x v="1"/>
    <x v="1"/>
    <s v="Asia"/>
    <s v="Comprehensive Strategic Cooperative Partnership [全面战略合作伙伴关系]"/>
    <s v="None"/>
    <x v="0"/>
    <x v="1"/>
    <x v="22"/>
    <n v="10"/>
    <x v="3"/>
    <s v="Fan Changlong"/>
    <m/>
    <s v="CMC Vice Chairman"/>
    <n v="10"/>
    <x v="2"/>
    <s v="CinC Defense Services"/>
    <x v="0"/>
    <m/>
    <x v="0"/>
    <m/>
    <x v="1"/>
    <m/>
    <m/>
    <m/>
    <m/>
    <m/>
  </r>
  <r>
    <x v="1"/>
    <x v="5"/>
    <s v="America and Oceania"/>
    <s v="No Specific Relationship"/>
    <s v="ANZUS Treaty"/>
    <x v="0"/>
    <x v="13"/>
    <x v="22"/>
    <n v="10"/>
    <x v="4"/>
    <s v="Zhao Keshi"/>
    <m/>
    <s v="GLD Director; CMC Member"/>
    <n v="8"/>
    <x v="1"/>
    <m/>
    <x v="0"/>
    <m/>
    <x v="0"/>
    <m/>
    <x v="1"/>
    <m/>
    <m/>
    <m/>
    <m/>
    <m/>
  </r>
  <r>
    <x v="1"/>
    <x v="0"/>
    <s v="Asia"/>
    <s v="Strategic Partnership [战略伙伴关系]"/>
    <s v="Major Non-NATO Ally"/>
    <x v="1"/>
    <x v="2"/>
    <x v="22"/>
    <n v="10"/>
    <x v="3"/>
    <s v="Fan Changlong"/>
    <m/>
    <s v="CMC Vice Chairman"/>
    <n v="10"/>
    <x v="2"/>
    <s v="Chief of Army Staff"/>
    <x v="0"/>
    <m/>
    <x v="0"/>
    <m/>
    <x v="1"/>
    <m/>
    <m/>
    <m/>
    <m/>
    <m/>
  </r>
  <r>
    <x v="1"/>
    <x v="3"/>
    <s v="Europe and Central Asia"/>
    <s v="Comprehensive Collaborative Strategic Partnership [全面战略协作伙伴关系]"/>
    <s v="None"/>
    <x v="3"/>
    <x v="7"/>
    <x v="22"/>
    <n v="10"/>
    <x v="4"/>
    <s v="Xu Qiliang"/>
    <m/>
    <s v="CMC Vice Chairman"/>
    <n v="10"/>
    <x v="1"/>
    <m/>
    <x v="0"/>
    <m/>
    <x v="0"/>
    <m/>
    <x v="1"/>
    <m/>
    <m/>
    <m/>
    <m/>
    <m/>
  </r>
  <r>
    <x v="1"/>
    <x v="5"/>
    <s v="America and Oceania"/>
    <s v="No Specific Relationship"/>
    <s v="ANZUS Treaty"/>
    <x v="0"/>
    <x v="12"/>
    <x v="22"/>
    <n v="11"/>
    <x v="3"/>
    <s v="Zhao Keshi"/>
    <m/>
    <s v="GLD Director; CMC Member"/>
    <n v="8"/>
    <x v="2"/>
    <m/>
    <x v="0"/>
    <m/>
    <x v="0"/>
    <m/>
    <x v="1"/>
    <m/>
    <m/>
    <m/>
    <m/>
    <m/>
  </r>
  <r>
    <x v="1"/>
    <x v="5"/>
    <s v="Asia"/>
    <s v="Comprehensive Cooperative Partnership [全面合作伙伴关系]"/>
    <s v="None"/>
    <x v="0"/>
    <x v="0"/>
    <x v="22"/>
    <n v="11"/>
    <x v="3"/>
    <s v="Sun Jianguo"/>
    <m/>
    <s v="GSD DCGS"/>
    <n v="6"/>
    <x v="2"/>
    <s v="Delegation for CIISS"/>
    <x v="0"/>
    <m/>
    <x v="0"/>
    <m/>
    <x v="1"/>
    <m/>
    <m/>
    <m/>
    <m/>
    <m/>
  </r>
  <r>
    <x v="1"/>
    <x v="5"/>
    <s v="Europe and Central Asia"/>
    <s v="Comprehensive Friendly Cooperative Partnership [全面友好合作伙伴关系]"/>
    <s v="NATO"/>
    <x v="3"/>
    <x v="79"/>
    <x v="22"/>
    <n v="11"/>
    <x v="4"/>
    <s v="Wang Guanzhong"/>
    <m/>
    <s v="GSD DCGS"/>
    <n v="6"/>
    <x v="1"/>
    <m/>
    <x v="0"/>
    <m/>
    <x v="0"/>
    <m/>
    <x v="1"/>
    <m/>
    <m/>
    <m/>
    <m/>
    <m/>
  </r>
  <r>
    <x v="1"/>
    <x v="5"/>
    <s v="Asia"/>
    <s v="Comprehensive Strategic Cooperative Partnership [全面战略合作伙伴关系]"/>
    <s v="None"/>
    <x v="0"/>
    <x v="94"/>
    <x v="22"/>
    <n v="11"/>
    <x v="3"/>
    <s v="Chang Wanquan"/>
    <m/>
    <s v="Defense Minister; CMC Member"/>
    <n v="8"/>
    <x v="2"/>
    <s v="Deputy Prime Minister and Concurrent Defense Minister"/>
    <x v="0"/>
    <m/>
    <x v="0"/>
    <m/>
    <x v="1"/>
    <m/>
    <m/>
    <m/>
    <m/>
    <m/>
  </r>
  <r>
    <x v="1"/>
    <x v="10"/>
    <s v="America and Oceania"/>
    <s v="No Specific Relationship"/>
    <s v="None"/>
    <x v="5"/>
    <x v="49"/>
    <x v="22"/>
    <n v="11"/>
    <x v="3"/>
    <s v="Zhao Keshi"/>
    <m/>
    <s v="GLD Director; CMC Member"/>
    <n v="8"/>
    <x v="2"/>
    <s v="Logistics Department Director"/>
    <x v="0"/>
    <m/>
    <x v="0"/>
    <m/>
    <x v="1"/>
    <m/>
    <m/>
    <m/>
    <m/>
    <m/>
  </r>
  <r>
    <x v="1"/>
    <x v="5"/>
    <s v="America and Oceania"/>
    <s v="No Specific Relationship"/>
    <s v="None"/>
    <x v="0"/>
    <x v="128"/>
    <x v="22"/>
    <n v="11"/>
    <x v="3"/>
    <s v="Chang Wanquan"/>
    <m/>
    <s v="Defense Minister; CMC Member"/>
    <n v="8"/>
    <x v="2"/>
    <s v="Defense Minister"/>
    <x v="0"/>
    <m/>
    <x v="0"/>
    <m/>
    <x v="1"/>
    <m/>
    <m/>
    <m/>
    <m/>
    <s v="Coded as Oceania instead of Southeast Asia"/>
  </r>
  <r>
    <x v="1"/>
    <x v="8"/>
    <s v="Europe and Central Asia"/>
    <s v="Comprehensive Strategic Partnership [全面战略伙伴关系]"/>
    <s v="NATO"/>
    <x v="3"/>
    <x v="29"/>
    <x v="22"/>
    <n v="11"/>
    <x v="3"/>
    <s v="Wu Shengli"/>
    <m/>
    <s v="PLAN Commander; CMC Member"/>
    <n v="8"/>
    <x v="2"/>
    <s v="Navy Chief of Staff"/>
    <x v="0"/>
    <m/>
    <x v="0"/>
    <m/>
    <x v="1"/>
    <m/>
    <m/>
    <m/>
    <m/>
    <m/>
  </r>
  <r>
    <x v="1"/>
    <x v="8"/>
    <s v="Europe and Central Asia"/>
    <s v="No Specific Relationship"/>
    <s v="NATO"/>
    <x v="3"/>
    <x v="82"/>
    <x v="22"/>
    <n v="11"/>
    <x v="3"/>
    <s v="Xu Qiliang"/>
    <m/>
    <s v="CMC Vice Chairman"/>
    <n v="10"/>
    <x v="2"/>
    <s v="Defense Minister"/>
    <x v="0"/>
    <m/>
    <x v="0"/>
    <m/>
    <x v="1"/>
    <m/>
    <m/>
    <m/>
    <m/>
    <m/>
  </r>
  <r>
    <x v="2"/>
    <x v="0"/>
    <s v="Asia"/>
    <s v="Strategic Partnership for Peace and Prosperity [战略伙伴关系]"/>
    <s v="None"/>
    <x v="0"/>
    <x v="6"/>
    <x v="22"/>
    <n v="11"/>
    <x v="5"/>
    <m/>
    <m/>
    <m/>
    <m/>
    <x v="0"/>
    <m/>
    <x v="1"/>
    <s v="Hand-in-Hand 2013"/>
    <x v="1"/>
    <s v="Anti-terrorism"/>
    <x v="1"/>
    <m/>
    <m/>
    <m/>
    <m/>
    <m/>
  </r>
  <r>
    <x v="2"/>
    <x v="1"/>
    <s v="Asia"/>
    <s v="Comprehensive Strategic Partnership [全面战略伙伴关系]"/>
    <s v="None"/>
    <x v="0"/>
    <x v="8"/>
    <x v="22"/>
    <n v="11"/>
    <x v="5"/>
    <m/>
    <m/>
    <m/>
    <m/>
    <x v="0"/>
    <m/>
    <x v="1"/>
    <s v="Sharp Knife 2013"/>
    <x v="5"/>
    <m/>
    <x v="1"/>
    <m/>
    <m/>
    <m/>
    <s v="http://usa.chinadaily.com.cn/china/2013-11/12/content_17097501.htm"/>
    <m/>
  </r>
  <r>
    <x v="1"/>
    <x v="6"/>
    <s v="Europe and Central Asia"/>
    <s v="Strategic Partnership [战略伙伴关系]"/>
    <s v="None"/>
    <x v="1"/>
    <x v="31"/>
    <x v="22"/>
    <n v="11"/>
    <x v="3"/>
    <s v="Chang Wanquan"/>
    <m/>
    <s v="Defense Minister; CMC Member"/>
    <n v="8"/>
    <x v="2"/>
    <s v="First Deputy Prime Minister and concurrent COGS"/>
    <x v="0"/>
    <m/>
    <x v="0"/>
    <m/>
    <x v="1"/>
    <m/>
    <m/>
    <m/>
    <m/>
    <m/>
  </r>
  <r>
    <x v="1"/>
    <x v="7"/>
    <s v="West Asia and Africa"/>
    <s v="Friendly Cooperative Relationship [友好合作关系]"/>
    <s v="None"/>
    <x v="4"/>
    <x v="160"/>
    <x v="22"/>
    <n v="11"/>
    <x v="3"/>
    <s v="Fang Fenghui"/>
    <m/>
    <s v="GSD Commander; CMC Member"/>
    <n v="8"/>
    <x v="2"/>
    <s v="COGS"/>
    <x v="0"/>
    <m/>
    <x v="0"/>
    <m/>
    <x v="1"/>
    <m/>
    <m/>
    <m/>
    <m/>
    <m/>
  </r>
  <r>
    <x v="1"/>
    <x v="8"/>
    <s v="Europe and Central Asia"/>
    <s v="No Specific Relationship"/>
    <s v="NATO"/>
    <x v="3"/>
    <x v="117"/>
    <x v="22"/>
    <n v="11"/>
    <x v="3"/>
    <s v="Fang Fenghui"/>
    <m/>
    <s v="GSD Commander; CMC Member"/>
    <n v="8"/>
    <x v="2"/>
    <s v="Chief of Defense Forces"/>
    <x v="0"/>
    <m/>
    <x v="0"/>
    <m/>
    <x v="1"/>
    <m/>
    <m/>
    <m/>
    <m/>
    <m/>
  </r>
  <r>
    <x v="1"/>
    <x v="5"/>
    <s v="America and Oceania"/>
    <s v="No Specific Relationship"/>
    <s v="ANZUS Treaty"/>
    <x v="0"/>
    <x v="13"/>
    <x v="22"/>
    <n v="11"/>
    <x v="3"/>
    <s v="Zhao Keshi"/>
    <m/>
    <s v="GLD Director; CMC Member"/>
    <n v="8"/>
    <x v="2"/>
    <s v="Defense Minister"/>
    <x v="0"/>
    <m/>
    <x v="0"/>
    <m/>
    <x v="1"/>
    <m/>
    <m/>
    <m/>
    <m/>
    <m/>
  </r>
  <r>
    <x v="0"/>
    <x v="1"/>
    <s v="Asia"/>
    <s v="Strategic Cooperative Partnership [战略合作伙伴关系]"/>
    <s v="Bilateral Defense Treaty"/>
    <x v="0"/>
    <x v="11"/>
    <x v="22"/>
    <n v="11"/>
    <x v="12"/>
    <m/>
    <m/>
    <m/>
    <m/>
    <x v="0"/>
    <m/>
    <x v="0"/>
    <m/>
    <x v="0"/>
    <m/>
    <x v="0"/>
    <s v="2013-11  Medical Mission "/>
    <s v="East Sea Fleet"/>
    <s v="post-Haiyan; PLA FR XJP draft p. 26"/>
    <m/>
    <m/>
  </r>
  <r>
    <x v="1"/>
    <x v="3"/>
    <s v="Europe and Central Asia"/>
    <s v="Comprehensive Collaborative Strategic Partnership [全面战略协作伙伴关系]"/>
    <s v="None"/>
    <x v="3"/>
    <x v="7"/>
    <x v="22"/>
    <n v="11"/>
    <x v="3"/>
    <s v="Fang Fenghui"/>
    <m/>
    <s v="GSD Commander; CMC Member"/>
    <n v="8"/>
    <x v="2"/>
    <s v="DCOGS"/>
    <x v="0"/>
    <m/>
    <x v="0"/>
    <m/>
    <x v="1"/>
    <m/>
    <m/>
    <m/>
    <m/>
    <m/>
  </r>
  <r>
    <x v="0"/>
    <x v="9"/>
    <s v="West Asia and Africa"/>
    <s v="No Specific Relationship"/>
    <s v="None"/>
    <x v="1"/>
    <x v="142"/>
    <x v="22"/>
    <n v="11"/>
    <x v="9"/>
    <m/>
    <m/>
    <m/>
    <m/>
    <x v="0"/>
    <m/>
    <x v="0"/>
    <m/>
    <x v="0"/>
    <m/>
    <x v="2"/>
    <s v="ETF-15"/>
    <s v="South Sea Fleet"/>
    <s v="LPD999 Jingangshan, FFG572 Hengshui, AOR889 Taihu"/>
    <m/>
    <m/>
  </r>
  <r>
    <x v="1"/>
    <x v="4"/>
    <s v="Asia"/>
    <s v="Strategic Cooperative Partnership [战略合作伙伴关系]"/>
    <s v="Bilateral Defense Treaty"/>
    <x v="0"/>
    <x v="25"/>
    <x v="22"/>
    <n v="11"/>
    <x v="3"/>
    <s v="Ma Xiaotian"/>
    <m/>
    <s v="PLAAF Commander; CMC Member"/>
    <n v="8"/>
    <x v="2"/>
    <s v="Air Force Chief of Staff"/>
    <x v="0"/>
    <m/>
    <x v="0"/>
    <m/>
    <x v="1"/>
    <m/>
    <m/>
    <m/>
    <m/>
    <m/>
  </r>
  <r>
    <x v="1"/>
    <x v="0"/>
    <s v="Asia"/>
    <s v="Strategic Cooperative Partnership [战略合作伙伴关系]"/>
    <s v="None"/>
    <x v="0"/>
    <x v="3"/>
    <x v="22"/>
    <n v="11"/>
    <x v="4"/>
    <s v="Wang Guanzhong"/>
    <m/>
    <s v="GSD DCGS"/>
    <n v="6"/>
    <x v="1"/>
    <m/>
    <x v="0"/>
    <m/>
    <x v="0"/>
    <m/>
    <x v="1"/>
    <m/>
    <m/>
    <m/>
    <m/>
    <m/>
  </r>
  <r>
    <x v="1"/>
    <x v="1"/>
    <s v="Asia"/>
    <s v="Comprehensive Strategic Cooperative Partnership [全面战略合作伙伴关系]"/>
    <s v="Bilateral Defense Treaty"/>
    <x v="0"/>
    <x v="5"/>
    <x v="22"/>
    <n v="11"/>
    <x v="3"/>
    <s v="Ma Xiaotian"/>
    <m/>
    <s v="PLAAF Commander; CMC Member"/>
    <n v="8"/>
    <x v="2"/>
    <s v="Air Force CinC"/>
    <x v="0"/>
    <m/>
    <x v="0"/>
    <m/>
    <x v="1"/>
    <m/>
    <m/>
    <m/>
    <m/>
    <m/>
  </r>
  <r>
    <x v="1"/>
    <x v="6"/>
    <s v="Europe and Central Asia"/>
    <s v="Strategic Partnership [战略伙伴关系]"/>
    <s v="None"/>
    <x v="1"/>
    <x v="55"/>
    <x v="22"/>
    <n v="11"/>
    <x v="3"/>
    <s v="Fan Changlong"/>
    <m/>
    <s v="CMC Vice Chairman"/>
    <n v="10"/>
    <x v="2"/>
    <s v="Defense Minister"/>
    <x v="0"/>
    <m/>
    <x v="0"/>
    <m/>
    <x v="1"/>
    <m/>
    <m/>
    <m/>
    <m/>
    <m/>
  </r>
  <r>
    <x v="1"/>
    <x v="2"/>
    <s v="America and Oceania"/>
    <s v="No Specific Relationship"/>
    <s v="N/A"/>
    <x v="2"/>
    <x v="4"/>
    <x v="22"/>
    <n v="11"/>
    <x v="4"/>
    <s v="Zhang Shibo"/>
    <m/>
    <s v="Beijing MR Commander"/>
    <n v="6"/>
    <x v="1"/>
    <s v=" "/>
    <x v="0"/>
    <m/>
    <x v="0"/>
    <m/>
    <x v="1"/>
    <m/>
    <m/>
    <m/>
    <s v="2014 CH Milpower Report"/>
    <s v="Visited New York, Washington, and Colorado Springs"/>
  </r>
  <r>
    <x v="2"/>
    <x v="2"/>
    <s v="America and Oceania"/>
    <s v="No Specific Relationship"/>
    <s v="N/A"/>
    <x v="2"/>
    <x v="4"/>
    <x v="22"/>
    <n v="11"/>
    <x v="5"/>
    <m/>
    <m/>
    <m/>
    <m/>
    <x v="0"/>
    <m/>
    <x v="2"/>
    <s v="9th Disaster Management Exchange"/>
    <x v="1"/>
    <s v="Hawaii; first DME with field exercise component"/>
    <x v="1"/>
    <m/>
    <m/>
    <m/>
    <s v="https://www.nationalguard.mil/News/Article/575366/us-china-conduct-disaster-management-exchange/"/>
    <s v="First DME to include a field training component; previous iterations were meetings/TTXs and are therefore not included "/>
  </r>
  <r>
    <x v="1"/>
    <x v="8"/>
    <s v="Europe and Central Asia"/>
    <s v="No Specific Relationship"/>
    <s v="None"/>
    <x v="3"/>
    <x v="63"/>
    <x v="22"/>
    <n v="12"/>
    <x v="3"/>
    <s v="Xu Qiliang"/>
    <m/>
    <s v="CMC Vice Chairman"/>
    <n v="10"/>
    <x v="2"/>
    <s v="Minister of National Defense"/>
    <x v="0"/>
    <m/>
    <x v="0"/>
    <m/>
    <x v="1"/>
    <m/>
    <m/>
    <m/>
    <m/>
    <m/>
  </r>
  <r>
    <x v="1"/>
    <x v="9"/>
    <s v="West Asia and Africa"/>
    <s v="No Specific Relationship"/>
    <s v="None"/>
    <x v="1"/>
    <x v="119"/>
    <x v="22"/>
    <n v="12"/>
    <x v="3"/>
    <s v="Fan Changlong"/>
    <m/>
    <s v="CMC Vice Chairman"/>
    <n v="10"/>
    <x v="2"/>
    <s v="Defense Minister"/>
    <x v="0"/>
    <m/>
    <x v="0"/>
    <m/>
    <x v="1"/>
    <m/>
    <m/>
    <m/>
    <m/>
    <m/>
  </r>
  <r>
    <x v="1"/>
    <x v="1"/>
    <s v="Asia"/>
    <s v="Comprehensive Strategic Partnership [全面战略伙伴关系]"/>
    <s v="None"/>
    <x v="0"/>
    <x v="8"/>
    <x v="22"/>
    <n v="12"/>
    <x v="4"/>
    <s v="Chang Wanquan"/>
    <m/>
    <s v="Defense Minister; CMC Member"/>
    <n v="8"/>
    <x v="1"/>
    <s v="Minister of Defense"/>
    <x v="0"/>
    <m/>
    <x v="0"/>
    <m/>
    <x v="1"/>
    <m/>
    <m/>
    <m/>
    <m/>
    <m/>
  </r>
  <r>
    <x v="1"/>
    <x v="1"/>
    <s v="Asia"/>
    <s v="Comprehensive Strategic Partnership [全面战略伙伴关系]"/>
    <s v="None"/>
    <x v="0"/>
    <x v="10"/>
    <x v="22"/>
    <n v="12"/>
    <x v="3"/>
    <s v="Chang Wanquan"/>
    <m/>
    <s v="Defense Minister; CMC Member"/>
    <n v="8"/>
    <x v="2"/>
    <s v="Chief of Armed Forces"/>
    <x v="0"/>
    <m/>
    <x v="0"/>
    <m/>
    <x v="1"/>
    <m/>
    <m/>
    <m/>
    <m/>
    <m/>
  </r>
  <r>
    <x v="1"/>
    <x v="8"/>
    <s v="Europe and Central Asia"/>
    <s v="Strategic Partnership [战略伙伴关系]"/>
    <s v="NATO"/>
    <x v="3"/>
    <x v="59"/>
    <x v="22"/>
    <n v="12"/>
    <x v="3"/>
    <s v="Wang Guanzhong"/>
    <m/>
    <s v="GSD DCGS"/>
    <n v="6"/>
    <x v="2"/>
    <s v="Ministry of Defense Secretary of State"/>
    <x v="0"/>
    <m/>
    <x v="0"/>
    <m/>
    <x v="1"/>
    <m/>
    <m/>
    <m/>
    <m/>
    <m/>
  </r>
  <r>
    <x v="1"/>
    <x v="8"/>
    <s v="Europe and Central Asia"/>
    <s v="Comprehensive Strategic Partnership [全面战略伙伴关系]"/>
    <s v="NATO"/>
    <x v="3"/>
    <x v="116"/>
    <x v="23"/>
    <n v="1"/>
    <x v="3"/>
    <s v="Xu Qiliang"/>
    <m/>
    <s v="CMC Vice Chairman"/>
    <n v="10"/>
    <x v="2"/>
    <s v="Defense Minister"/>
    <x v="0"/>
    <m/>
    <x v="0"/>
    <m/>
    <x v="1"/>
    <m/>
    <m/>
    <m/>
    <m/>
    <m/>
  </r>
  <r>
    <x v="0"/>
    <x v="7"/>
    <s v="West Asia and Africa"/>
    <s v="Comprehensive Cooperative Partnership [全面合作伙伴关系]"/>
    <s v="None"/>
    <x v="4"/>
    <x v="47"/>
    <x v="23"/>
    <n v="1"/>
    <x v="0"/>
    <m/>
    <m/>
    <m/>
    <m/>
    <x v="0"/>
    <m/>
    <x v="0"/>
    <m/>
    <x v="0"/>
    <m/>
    <x v="2"/>
    <s v="ETF-15"/>
    <s v="South Sea Fleet"/>
    <s v="LPD999 Jingangshan, FFG572 Hengshui, AOR889 Taihu"/>
    <m/>
    <m/>
  </r>
  <r>
    <x v="2"/>
    <x v="3"/>
    <s v="Europe and Central Asia"/>
    <s v="Comprehensive Collaborative Strategic Partnership [全面战略协作伙伴关系]"/>
    <s v="None"/>
    <x v="3"/>
    <x v="7"/>
    <x v="23"/>
    <n v="1"/>
    <x v="5"/>
    <m/>
    <m/>
    <m/>
    <m/>
    <x v="0"/>
    <m/>
    <x v="3"/>
    <s v="None"/>
    <x v="2"/>
    <s v="naval drill in the Mediterranean"/>
    <x v="1"/>
    <m/>
    <m/>
    <m/>
    <m/>
    <m/>
  </r>
  <r>
    <x v="0"/>
    <x v="0"/>
    <s v="Asia"/>
    <s v="Strategic Cooperative Partnership [战略合作伙伴关系]"/>
    <s v="None"/>
    <x v="0"/>
    <x v="3"/>
    <x v="23"/>
    <n v="1"/>
    <x v="0"/>
    <m/>
    <m/>
    <m/>
    <m/>
    <x v="0"/>
    <m/>
    <x v="0"/>
    <m/>
    <x v="0"/>
    <m/>
    <x v="2"/>
    <s v="ETF-16"/>
    <s v="North Sea Fleet"/>
    <s v="FFG546 Yancheng, FF527 Luoyang, AOR889 Tai Hu"/>
    <m/>
    <m/>
  </r>
  <r>
    <x v="0"/>
    <x v="7"/>
    <s v="West Asia and Africa"/>
    <s v="Comprehensive Cooperative Partnership [全面合作伙伴关系]"/>
    <s v="None"/>
    <x v="4"/>
    <x v="16"/>
    <x v="23"/>
    <n v="1"/>
    <x v="0"/>
    <m/>
    <m/>
    <m/>
    <m/>
    <x v="0"/>
    <m/>
    <x v="0"/>
    <m/>
    <x v="0"/>
    <m/>
    <x v="2"/>
    <s v="ETF-15"/>
    <s v="South Sea Fleet"/>
    <s v="LPD999 Jingangshan, FFG572 Hengshui, AOR889 Taihu"/>
    <m/>
    <m/>
  </r>
  <r>
    <x v="1"/>
    <x v="2"/>
    <s v="America and Oceania"/>
    <s v="No Specific Relationship"/>
    <s v="N/A"/>
    <x v="2"/>
    <x v="4"/>
    <x v="23"/>
    <n v="1"/>
    <x v="3"/>
    <s v="Wang Guanzhong"/>
    <m/>
    <s v="GSD DCGS"/>
    <n v="6"/>
    <x v="2"/>
    <s v="DEP SECSTATE; PACOM J-5"/>
    <x v="0"/>
    <m/>
    <x v="0"/>
    <m/>
    <x v="1"/>
    <m/>
    <m/>
    <m/>
    <s v="2015 CH Mil Power Report"/>
    <s v="1st Interim Strategic Security Dialogue"/>
  </r>
  <r>
    <x v="1"/>
    <x v="5"/>
    <s v="America and Oceania"/>
    <s v="Strategic Partnership [战略伙伴关系]"/>
    <s v="None"/>
    <x v="0"/>
    <x v="120"/>
    <x v="23"/>
    <n v="1"/>
    <x v="4"/>
    <s v="Wang Guanzhong"/>
    <m/>
    <s v="GSD DCGS"/>
    <n v="6"/>
    <x v="1"/>
    <m/>
    <x v="0"/>
    <m/>
    <x v="0"/>
    <m/>
    <x v="1"/>
    <m/>
    <m/>
    <m/>
    <m/>
    <m/>
  </r>
  <r>
    <x v="1"/>
    <x v="9"/>
    <s v="West Asia and Africa"/>
    <s v="No Specific Relationship"/>
    <s v="None"/>
    <x v="1"/>
    <x v="119"/>
    <x v="23"/>
    <n v="2"/>
    <x v="4"/>
    <s v="Chang Wanquan"/>
    <m/>
    <s v="Defense Minister; CMC Member"/>
    <n v="8"/>
    <x v="1"/>
    <s v="Defense Minister"/>
    <x v="0"/>
    <m/>
    <x v="0"/>
    <m/>
    <x v="1"/>
    <m/>
    <m/>
    <m/>
    <m/>
    <m/>
  </r>
  <r>
    <x v="0"/>
    <x v="9"/>
    <s v="West Asia and Africa"/>
    <s v="No Specific Relationship"/>
    <s v="None"/>
    <x v="1"/>
    <x v="119"/>
    <x v="23"/>
    <n v="2"/>
    <x v="9"/>
    <m/>
    <m/>
    <m/>
    <m/>
    <x v="0"/>
    <m/>
    <x v="0"/>
    <m/>
    <x v="0"/>
    <m/>
    <x v="2"/>
    <s v="ETF-16"/>
    <s v="North Sea Fleet"/>
    <s v="FFG546 Yancheng, FF527 Luoyang, AOR889 Tai Hu"/>
    <m/>
    <m/>
  </r>
  <r>
    <x v="1"/>
    <x v="1"/>
    <s v="Asia"/>
    <s v="Comprehensive Strategic Partnership [全面战略伙伴关系]"/>
    <s v="None"/>
    <x v="0"/>
    <x v="8"/>
    <x v="23"/>
    <n v="2"/>
    <x v="3"/>
    <s v="Fang Fenghui"/>
    <m/>
    <s v="GSD Commander; CMC Member"/>
    <n v="8"/>
    <x v="2"/>
    <s v="Commander of Armed Forces"/>
    <x v="0"/>
    <m/>
    <x v="0"/>
    <m/>
    <x v="1"/>
    <m/>
    <m/>
    <m/>
    <m/>
    <m/>
  </r>
  <r>
    <x v="1"/>
    <x v="0"/>
    <s v="Asia"/>
    <s v="Strategic Partnership [战略伙伴关系]"/>
    <s v="Major Non-NATO Ally"/>
    <x v="1"/>
    <x v="2"/>
    <x v="23"/>
    <n v="2"/>
    <x v="4"/>
    <s v="Chang Wanquan"/>
    <m/>
    <s v="Defense Minister; CMC Member"/>
    <n v="8"/>
    <x v="1"/>
    <s v="Defense Minister"/>
    <x v="0"/>
    <m/>
    <x v="0"/>
    <m/>
    <x v="1"/>
    <m/>
    <m/>
    <m/>
    <m/>
    <m/>
  </r>
  <r>
    <x v="2"/>
    <x v="1"/>
    <s v="Asia"/>
    <s v="Comprehensive Strategic Cooperative Partnership [全面战略合作伙伴关系]"/>
    <s v="Bilateral Defense Treaty"/>
    <x v="0"/>
    <x v="5"/>
    <x v="23"/>
    <n v="2"/>
    <x v="6"/>
    <m/>
    <m/>
    <m/>
    <m/>
    <x v="0"/>
    <m/>
    <x v="2"/>
    <s v="Cobra Gold 2014"/>
    <x v="2"/>
    <s v="Amphibious assault; Navy and Marines; Other countries: United States"/>
    <x v="1"/>
    <m/>
    <m/>
    <m/>
    <s v="https://www.marines.mil/News/News-Display/Article/644293/exercise-cobra-gold-2016-to-begin-february-9/"/>
    <m/>
  </r>
  <r>
    <x v="1"/>
    <x v="2"/>
    <s v="America and Oceania"/>
    <s v="No Specific Relationship"/>
    <s v="N/A"/>
    <x v="2"/>
    <x v="4"/>
    <x v="23"/>
    <n v="2"/>
    <x v="3"/>
    <s v="Fan Changlong"/>
    <m/>
    <s v="CMC Vice Chairman"/>
    <n v="10"/>
    <x v="2"/>
    <s v="Army Chief of Staff Odierno"/>
    <x v="0"/>
    <m/>
    <x v="0"/>
    <m/>
    <x v="1"/>
    <m/>
    <m/>
    <m/>
    <s v="2015 CH Mil Power Report"/>
    <m/>
  </r>
  <r>
    <x v="2"/>
    <x v="1"/>
    <s v="Asia"/>
    <s v="Comprehensive Strategic Partnership [全面战略伙伴关系]"/>
    <s v="None"/>
    <x v="0"/>
    <x v="8"/>
    <x v="23"/>
    <n v="3"/>
    <x v="6"/>
    <m/>
    <m/>
    <m/>
    <m/>
    <x v="0"/>
    <m/>
    <x v="5"/>
    <s v="Komodo 2014"/>
    <x v="2"/>
    <s v="Navy and Marines. Other countries: refer to source for a complete list of countries"/>
    <x v="1"/>
    <m/>
    <m/>
    <m/>
    <s v="https://sputniknews.com/military/20140402188995765-Komodo-2014-Naval-Exercises-Prove-Beneficial-for-Russia--Russian/"/>
    <m/>
  </r>
  <r>
    <x v="1"/>
    <x v="9"/>
    <s v="West Asia and Africa"/>
    <s v="No Specific Relationship"/>
    <s v="Major Non-NATO Ally"/>
    <x v="1"/>
    <x v="100"/>
    <x v="23"/>
    <n v="3"/>
    <x v="3"/>
    <s v="Zhao Keshi"/>
    <m/>
    <s v="GLD Director; CMC Member"/>
    <n v="8"/>
    <x v="2"/>
    <s v="Head of Technologies and Logistics Directorate"/>
    <x v="0"/>
    <m/>
    <x v="0"/>
    <m/>
    <x v="1"/>
    <m/>
    <m/>
    <m/>
    <m/>
    <m/>
  </r>
  <r>
    <x v="1"/>
    <x v="6"/>
    <s v="Europe and Central Asia"/>
    <s v="Member"/>
    <s v="None"/>
    <x v="1"/>
    <x v="14"/>
    <x v="23"/>
    <n v="3"/>
    <x v="1"/>
    <s v="Chang Wanquan"/>
    <m/>
    <s v="Defense Minister; CMC Member"/>
    <n v="8"/>
    <x v="1"/>
    <s v="11th official meeting of the SCO Ministers' of Defense in Beijing; Other countries: Kazakhstan, Kyrgyztan, Russia, Tajikistan, Uzbekistan"/>
    <x v="0"/>
    <m/>
    <x v="0"/>
    <m/>
    <x v="1"/>
    <m/>
    <m/>
    <m/>
    <s v="China's Approach to Central Asia: The Shanghai Co-operation Organisation"/>
    <m/>
  </r>
  <r>
    <x v="1"/>
    <x v="4"/>
    <s v="Asia"/>
    <s v="Strategic Cooperative Partnership [战略合作伙伴关系]"/>
    <s v="Bilateral Defense Treaty"/>
    <x v="0"/>
    <x v="25"/>
    <x v="23"/>
    <n v="3"/>
    <x v="3"/>
    <s v="Wang Guanzhong"/>
    <m/>
    <s v="GSD DCGS"/>
    <n v="6"/>
    <x v="2"/>
    <s v="NDU President"/>
    <x v="0"/>
    <m/>
    <x v="0"/>
    <m/>
    <x v="1"/>
    <m/>
    <m/>
    <m/>
    <m/>
    <m/>
  </r>
  <r>
    <x v="1"/>
    <x v="6"/>
    <s v="Europe and Central Asia"/>
    <s v="Strategic Partnership [战略伙伴关系]"/>
    <s v="None"/>
    <x v="1"/>
    <x v="60"/>
    <x v="23"/>
    <n v="3"/>
    <x v="4"/>
    <s v="Chang Wanquan"/>
    <m/>
    <s v="Defense Minister; CMC Member"/>
    <n v="8"/>
    <x v="1"/>
    <m/>
    <x v="0"/>
    <m/>
    <x v="0"/>
    <m/>
    <x v="1"/>
    <m/>
    <m/>
    <m/>
    <m/>
    <m/>
  </r>
  <r>
    <x v="2"/>
    <x v="1"/>
    <s v="Asia"/>
    <s v="Strategic Partnership [战略伙伴关系] for Peace and Prosperity"/>
    <s v="None"/>
    <x v="0"/>
    <x v="153"/>
    <x v="23"/>
    <n v="4"/>
    <x v="6"/>
    <m/>
    <m/>
    <m/>
    <m/>
    <x v="0"/>
    <m/>
    <x v="2"/>
    <s v="AM -Hex"/>
    <x v="1"/>
    <s v="HADR; Thailand and 12 other countries"/>
    <x v="1"/>
    <m/>
    <m/>
    <m/>
    <m/>
    <s v="corrected partnership to strategic partnership for peace and prosperity"/>
  </r>
  <r>
    <x v="0"/>
    <x v="5"/>
    <s v="America and Oceania"/>
    <s v="Comprehensive Strategic Partnership [全面战略伙伴关系]"/>
    <s v="ANZUS Treaty"/>
    <x v="0"/>
    <x v="12"/>
    <x v="23"/>
    <n v="4"/>
    <x v="0"/>
    <m/>
    <m/>
    <m/>
    <m/>
    <x v="0"/>
    <m/>
    <x v="0"/>
    <m/>
    <x v="0"/>
    <m/>
    <x v="0"/>
    <s v="2014-04 Zhenghe "/>
    <s v="North Sea Fleet"/>
    <s v="PLA FR XJP draft p. 24"/>
    <m/>
    <m/>
  </r>
  <r>
    <x v="0"/>
    <x v="0"/>
    <s v="Asia"/>
    <s v="Comprehensive Cooperative Partnership [全面合作伙伴关系]"/>
    <s v="None"/>
    <x v="0"/>
    <x v="0"/>
    <x v="23"/>
    <n v="4"/>
    <x v="0"/>
    <m/>
    <m/>
    <m/>
    <m/>
    <x v="0"/>
    <m/>
    <x v="0"/>
    <m/>
    <x v="0"/>
    <m/>
    <x v="0"/>
    <s v="2014-04 Zhenghe "/>
    <s v="North Sea Fleet"/>
    <s v="PLA FR XJP draft p. 24"/>
    <m/>
    <m/>
  </r>
  <r>
    <x v="1"/>
    <x v="8"/>
    <s v="Europe and Central Asia"/>
    <s v="Comprehensive Strategic Partnership [全面战略伙伴关系]"/>
    <s v="None"/>
    <x v="3"/>
    <x v="34"/>
    <x v="23"/>
    <n v="4"/>
    <x v="3"/>
    <s v="Xu Qiliang"/>
    <m/>
    <s v="CMC Vice Chairman"/>
    <n v="10"/>
    <x v="2"/>
    <s v="First Deputy Minister of Defense and COGS"/>
    <x v="0"/>
    <m/>
    <x v="0"/>
    <m/>
    <x v="1"/>
    <m/>
    <m/>
    <m/>
    <m/>
    <m/>
  </r>
  <r>
    <x v="0"/>
    <x v="9"/>
    <s v="West Asia and Africa"/>
    <s v="No Specific Relationship"/>
    <s v="None"/>
    <x v="1"/>
    <x v="119"/>
    <x v="23"/>
    <n v="4"/>
    <x v="9"/>
    <m/>
    <m/>
    <m/>
    <m/>
    <x v="0"/>
    <m/>
    <x v="0"/>
    <m/>
    <x v="0"/>
    <m/>
    <x v="2"/>
    <s v="ETF-16"/>
    <s v="North Sea Fleet"/>
    <s v="FFG546 Yancheng, FF527 Luoyang, AOR889 Tai Hu"/>
    <m/>
    <m/>
  </r>
  <r>
    <x v="1"/>
    <x v="8"/>
    <s v="Europe and Central Asia"/>
    <s v="Comprehensive Strategic Partnership [全面战略伙伴关系]"/>
    <s v="NATO"/>
    <x v="3"/>
    <x v="22"/>
    <x v="23"/>
    <n v="4"/>
    <x v="3"/>
    <s v="Ma Xiaotian"/>
    <m/>
    <s v="PLAAF Commander; CMC Member"/>
    <n v="8"/>
    <x v="2"/>
    <s v="Air Force Chief of Staff"/>
    <x v="0"/>
    <m/>
    <x v="0"/>
    <m/>
    <x v="1"/>
    <m/>
    <m/>
    <m/>
    <m/>
    <m/>
  </r>
  <r>
    <x v="1"/>
    <x v="0"/>
    <s v="Asia"/>
    <s v="Strategic Partnership for Peace and Prosperity [战略伙伴关系]"/>
    <s v="None"/>
    <x v="0"/>
    <x v="6"/>
    <x v="23"/>
    <n v="4"/>
    <x v="4"/>
    <s v="Qi Jianguo"/>
    <m/>
    <s v="GSD DCGS"/>
    <n v="6"/>
    <x v="1"/>
    <m/>
    <x v="0"/>
    <m/>
    <x v="0"/>
    <m/>
    <x v="1"/>
    <m/>
    <m/>
    <m/>
    <m/>
    <m/>
  </r>
  <r>
    <x v="1"/>
    <x v="8"/>
    <s v="Europe and Central Asia"/>
    <s v="Comprehensive Cooperative Partnership [全面合作伙伴关系]"/>
    <s v="NATO"/>
    <x v="3"/>
    <x v="117"/>
    <x v="23"/>
    <n v="4"/>
    <x v="3"/>
    <s v="Xu Qiliang"/>
    <m/>
    <s v="CMC Vice Chairman"/>
    <n v="10"/>
    <x v="2"/>
    <s v="Defense Minister"/>
    <x v="0"/>
    <m/>
    <x v="0"/>
    <m/>
    <x v="1"/>
    <m/>
    <m/>
    <m/>
    <m/>
    <m/>
  </r>
  <r>
    <x v="0"/>
    <x v="5"/>
    <s v="America and Oceania"/>
    <s v="Comprehensive Strategic Partnership [全面战略伙伴关系]"/>
    <s v="ANZUS Treaty"/>
    <x v="0"/>
    <x v="13"/>
    <x v="23"/>
    <n v="4"/>
    <x v="0"/>
    <m/>
    <m/>
    <m/>
    <m/>
    <x v="0"/>
    <m/>
    <x v="0"/>
    <m/>
    <x v="0"/>
    <m/>
    <x v="0"/>
    <s v="2014-04 Zhenghe "/>
    <s v="North Sea Fleet"/>
    <s v="PLA FR XJP draft p. 24"/>
    <m/>
    <m/>
  </r>
  <r>
    <x v="0"/>
    <x v="9"/>
    <s v="West Asia and Africa"/>
    <s v="No Specific Relationship"/>
    <s v="None"/>
    <x v="1"/>
    <x v="147"/>
    <x v="23"/>
    <n v="4"/>
    <x v="9"/>
    <m/>
    <m/>
    <m/>
    <m/>
    <x v="0"/>
    <m/>
    <x v="0"/>
    <m/>
    <x v="0"/>
    <m/>
    <x v="2"/>
    <s v="ETF-16"/>
    <s v="North Sea Fleet"/>
    <s v="FFG546 Yancheng, FF527 Luoyang, AOR889 Tai Hu"/>
    <m/>
    <m/>
  </r>
  <r>
    <x v="2"/>
    <x v="0"/>
    <s v="Asia"/>
    <s v="Strategic Partnership [战略伙伴关系]"/>
    <s v="Major Non-NATO Ally"/>
    <x v="1"/>
    <x v="2"/>
    <x v="23"/>
    <n v="4"/>
    <x v="5"/>
    <m/>
    <m/>
    <m/>
    <m/>
    <x v="0"/>
    <m/>
    <x v="5"/>
    <s v="Peace Angel 2014"/>
    <x v="1"/>
    <s v="GLD; Medical and HADR"/>
    <x v="1"/>
    <m/>
    <m/>
    <m/>
    <m/>
    <m/>
  </r>
  <r>
    <x v="1"/>
    <x v="9"/>
    <s v="West Asia and Africa"/>
    <s v="No Specific Relationship"/>
    <s v="None"/>
    <x v="1"/>
    <x v="142"/>
    <x v="23"/>
    <n v="4"/>
    <x v="3"/>
    <s v="Wang Guanzhong"/>
    <m/>
    <s v="GSD DCGS"/>
    <n v="6"/>
    <x v="2"/>
    <s v="Military delegation"/>
    <x v="0"/>
    <m/>
    <x v="0"/>
    <m/>
    <x v="1"/>
    <m/>
    <m/>
    <m/>
    <m/>
    <m/>
  </r>
  <r>
    <x v="0"/>
    <x v="1"/>
    <s v="Asia"/>
    <s v="No Specific Relationship"/>
    <s v="None"/>
    <x v="0"/>
    <x v="39"/>
    <x v="23"/>
    <n v="4"/>
    <x v="0"/>
    <m/>
    <m/>
    <m/>
    <m/>
    <x v="0"/>
    <m/>
    <x v="0"/>
    <m/>
    <x v="0"/>
    <m/>
    <x v="0"/>
    <s v="2014-04 Zhenghe "/>
    <s v="North Sea Fleet"/>
    <s v="PLA FR XJP draft p. 24"/>
    <m/>
    <m/>
  </r>
  <r>
    <x v="1"/>
    <x v="8"/>
    <s v="Europe and Central Asia"/>
    <s v="No Specific Relationship"/>
    <s v="None"/>
    <x v="3"/>
    <x v="78"/>
    <x v="23"/>
    <n v="4"/>
    <x v="3"/>
    <s v="Sun Jianguo"/>
    <m/>
    <s v="GSD DCGS"/>
    <n v="6"/>
    <x v="2"/>
    <s v="Delegation for CIISS; Geneva Center for Security Policy"/>
    <x v="0"/>
    <m/>
    <x v="0"/>
    <m/>
    <x v="1"/>
    <m/>
    <m/>
    <m/>
    <m/>
    <m/>
  </r>
  <r>
    <x v="0"/>
    <x v="1"/>
    <s v="Asia"/>
    <s v="Comprehensive Strategic Cooperative Partnership [全面战略合作伙伴关系]"/>
    <s v="Bilateral Defense Treaty"/>
    <x v="0"/>
    <x v="5"/>
    <x v="23"/>
    <n v="4"/>
    <x v="0"/>
    <m/>
    <m/>
    <m/>
    <m/>
    <x v="0"/>
    <m/>
    <x v="0"/>
    <m/>
    <x v="0"/>
    <m/>
    <x v="0"/>
    <s v="2014-04 Zhenghe "/>
    <s v="North Sea Fleet"/>
    <s v="PLA FR XJP draft p. 24"/>
    <m/>
    <m/>
  </r>
  <r>
    <x v="1"/>
    <x v="2"/>
    <s v="America and Oceania"/>
    <s v="No Specific Relationship"/>
    <s v="N/A"/>
    <x v="2"/>
    <x v="4"/>
    <x v="23"/>
    <n v="4"/>
    <x v="3"/>
    <s v="Chang Wanquan"/>
    <m/>
    <s v="Defense Minister; CMC Member"/>
    <n v="8"/>
    <x v="2"/>
    <s v="Secretary of Defense Hagel"/>
    <x v="0"/>
    <m/>
    <x v="0"/>
    <m/>
    <x v="1"/>
    <m/>
    <m/>
    <m/>
    <s v="2015 CH Mil Power Report"/>
    <m/>
  </r>
  <r>
    <x v="1"/>
    <x v="2"/>
    <s v="America and Oceania"/>
    <s v="No Specific Relationship"/>
    <s v="N/A"/>
    <x v="2"/>
    <x v="4"/>
    <x v="23"/>
    <n v="4"/>
    <x v="7"/>
    <s v="Wu Shengli"/>
    <m/>
    <s v="PLAN Commander; CMC Member"/>
    <n v="8"/>
    <x v="1"/>
    <s v="Chief of Naval Operations"/>
    <x v="0"/>
    <m/>
    <x v="0"/>
    <m/>
    <x v="1"/>
    <m/>
    <m/>
    <s v="2015 CH Mil Power Report"/>
    <s v="2015 CH Mil Power Report"/>
    <s v="On margins of WPNS; also met with PACFLEET Commander"/>
  </r>
  <r>
    <x v="1"/>
    <x v="4"/>
    <s v="N/A"/>
    <s v="Member"/>
    <s v="None"/>
    <x v="0"/>
    <x v="136"/>
    <x v="23"/>
    <n v="4"/>
    <x v="2"/>
    <s v="Fan Changlong"/>
    <m/>
    <s v="CMC Vice Chairman"/>
    <n v="10"/>
    <x v="2"/>
    <s v="Western Pacific Naval Symposium; meeting approved CUES"/>
    <x v="0"/>
    <m/>
    <x v="0"/>
    <m/>
    <x v="1"/>
    <m/>
    <m/>
    <m/>
    <s v="http://eng.mod.gov.cn/DefenseNews/2014-04/24/content_4505240.htm"/>
    <s v="Recoded as ML"/>
  </r>
  <r>
    <x v="2"/>
    <x v="4"/>
    <s v="N/A"/>
    <s v="Member"/>
    <s v="None"/>
    <x v="0"/>
    <x v="136"/>
    <x v="23"/>
    <n v="4"/>
    <x v="6"/>
    <m/>
    <m/>
    <m/>
    <m/>
    <x v="0"/>
    <m/>
    <x v="4"/>
    <s v="WPNS 2014 Maritime Exercise (MMEx)"/>
    <x v="2"/>
    <s v="Maritime; HADR; WPNS 2014 attendees +7; Bangladesh, Brunei, China, India, Indonesia, Malaysia, Pakistan and Singapore; CUES; Joint Anti-Hijacking, Search and Rescue (SAR) and small arms firing."/>
    <x v="1"/>
    <m/>
    <m/>
    <m/>
    <s v="http://www.mindef.gov.bn/Lists/News/DispForm.aspx?ID=3002"/>
    <m/>
  </r>
  <r>
    <x v="1"/>
    <x v="7"/>
    <s v="West Asia and Africa"/>
    <s v="Strategic Partnership [战略伙伴关系]"/>
    <s v="None"/>
    <x v="4"/>
    <x v="76"/>
    <x v="23"/>
    <n v="5"/>
    <x v="4"/>
    <s v="Hou Shusen"/>
    <m/>
    <s v="GSD DCGS"/>
    <n v="6"/>
    <x v="1"/>
    <m/>
    <x v="0"/>
    <m/>
    <x v="0"/>
    <m/>
    <x v="1"/>
    <m/>
    <m/>
    <m/>
    <m/>
    <m/>
  </r>
  <r>
    <x v="1"/>
    <x v="1"/>
    <s v="Asia"/>
    <s v="Strategic Partnership [战略伙伴关系] for Peace and Prosperity"/>
    <s v="None"/>
    <x v="0"/>
    <x v="153"/>
    <x v="23"/>
    <n v="5"/>
    <x v="1"/>
    <s v="Chang Wanquan"/>
    <m/>
    <s v="Defense Minister; CMC Member"/>
    <n v="8"/>
    <x v="1"/>
    <s v="Fourth China-ASEAN Defense Ministers' Informal Meeting in Myanmar"/>
    <x v="0"/>
    <m/>
    <x v="0"/>
    <m/>
    <x v="1"/>
    <m/>
    <m/>
    <m/>
    <s v="https://thediplomat.com/2015/06/china-to-hold-first-meeting-with-asean-defense-ministers-in-beijing/"/>
    <s v="corrected partnership to strategic partnership for peace and prosperity"/>
  </r>
  <r>
    <x v="1"/>
    <x v="5"/>
    <s v="America and Oceania"/>
    <s v="Comprehensive Strategic Partnership [全面战略伙伴关系]"/>
    <s v="ANZUS Treaty"/>
    <x v="0"/>
    <x v="12"/>
    <x v="23"/>
    <n v="5"/>
    <x v="3"/>
    <s v="Chang Wanquan"/>
    <m/>
    <s v="Defense Minister; CMC Member"/>
    <n v="8"/>
    <x v="2"/>
    <s v="Former Prime Minister"/>
    <x v="0"/>
    <m/>
    <x v="0"/>
    <m/>
    <x v="1"/>
    <m/>
    <m/>
    <m/>
    <m/>
    <m/>
  </r>
  <r>
    <x v="1"/>
    <x v="0"/>
    <s v="Asia"/>
    <s v="Comprehensive Cooperative Partnership [全面合作伙伴关系]"/>
    <s v="None"/>
    <x v="0"/>
    <x v="0"/>
    <x v="23"/>
    <n v="5"/>
    <x v="4"/>
    <s v="Xu Qiliang"/>
    <m/>
    <s v="CMC Vice Chairman"/>
    <n v="10"/>
    <x v="1"/>
    <m/>
    <x v="0"/>
    <m/>
    <x v="0"/>
    <m/>
    <x v="1"/>
    <m/>
    <m/>
    <m/>
    <m/>
    <m/>
  </r>
  <r>
    <x v="1"/>
    <x v="8"/>
    <s v="Europe and Central Asia"/>
    <s v="Comprehensive Strategic Partnership [全面战略伙伴关系]"/>
    <s v="None"/>
    <x v="3"/>
    <x v="34"/>
    <x v="23"/>
    <n v="5"/>
    <x v="3"/>
    <s v="Chang Wanquan"/>
    <m/>
    <s v="Defense Minister; CMC Member"/>
    <n v="8"/>
    <x v="2"/>
    <s v="Air Force Commander"/>
    <x v="0"/>
    <m/>
    <x v="0"/>
    <m/>
    <x v="1"/>
    <m/>
    <m/>
    <m/>
    <m/>
    <m/>
  </r>
  <r>
    <x v="1"/>
    <x v="1"/>
    <s v="Asia"/>
    <s v="Comprehensive Strategic Cooperative Partnership [全面战略合作伙伴关系]"/>
    <s v="None"/>
    <x v="0"/>
    <x v="94"/>
    <x v="23"/>
    <n v="5"/>
    <x v="4"/>
    <s v="Xu Qiliang"/>
    <m/>
    <s v="CMC Vice Chairman"/>
    <n v="10"/>
    <x v="1"/>
    <m/>
    <x v="0"/>
    <m/>
    <x v="0"/>
    <m/>
    <x v="1"/>
    <m/>
    <m/>
    <m/>
    <m/>
    <m/>
  </r>
  <r>
    <x v="1"/>
    <x v="10"/>
    <s v="America and Oceania"/>
    <s v="No Specific Relationship"/>
    <s v="None"/>
    <x v="5"/>
    <x v="49"/>
    <x v="23"/>
    <n v="5"/>
    <x v="4"/>
    <s v="Fang Fenghui"/>
    <m/>
    <s v="GSD Commander; CMC Member"/>
    <n v="8"/>
    <x v="1"/>
    <m/>
    <x v="0"/>
    <m/>
    <x v="0"/>
    <m/>
    <x v="1"/>
    <m/>
    <m/>
    <m/>
    <m/>
    <m/>
  </r>
  <r>
    <x v="1"/>
    <x v="8"/>
    <s v="Europe and Central Asia"/>
    <s v="Comprehensive Strategic Partnership [全面战略伙伴关系]"/>
    <s v="NATO"/>
    <x v="3"/>
    <x v="18"/>
    <x v="23"/>
    <n v="5"/>
    <x v="4"/>
    <s v="Wang Guanzhong"/>
    <m/>
    <s v="GSD DCGS"/>
    <n v="6"/>
    <x v="1"/>
    <m/>
    <x v="0"/>
    <m/>
    <x v="0"/>
    <m/>
    <x v="1"/>
    <m/>
    <m/>
    <m/>
    <m/>
    <m/>
  </r>
  <r>
    <x v="1"/>
    <x v="9"/>
    <s v="West Asia and Africa"/>
    <s v="No Specific Relationship"/>
    <s v="None"/>
    <x v="1"/>
    <x v="89"/>
    <x v="23"/>
    <n v="5"/>
    <x v="3"/>
    <s v="Fan Changlong"/>
    <m/>
    <s v="CMC Vice Chairman"/>
    <n v="10"/>
    <x v="2"/>
    <s v="Defense Minister and Minister of Armed Forces Logistics"/>
    <x v="0"/>
    <m/>
    <x v="0"/>
    <m/>
    <x v="1"/>
    <m/>
    <m/>
    <m/>
    <m/>
    <m/>
  </r>
  <r>
    <x v="0"/>
    <x v="7"/>
    <s v="West Asia and Africa"/>
    <s v="No Specific Relationship"/>
    <s v="None"/>
    <x v="4"/>
    <x v="140"/>
    <x v="23"/>
    <n v="5"/>
    <x v="0"/>
    <m/>
    <m/>
    <m/>
    <m/>
    <x v="0"/>
    <m/>
    <x v="0"/>
    <m/>
    <x v="0"/>
    <m/>
    <x v="2"/>
    <s v="ETF-16"/>
    <s v="North Sea Fleet"/>
    <s v="FFG546 Yancheng, FF527 Luoyang, AOR889 Tai Hu"/>
    <m/>
    <m/>
  </r>
  <r>
    <x v="1"/>
    <x v="1"/>
    <s v="Asia"/>
    <s v="Comprehensive Strategic Cooperative Partnership [全面战略合作伙伴关系]"/>
    <s v="None"/>
    <x v="0"/>
    <x v="52"/>
    <x v="23"/>
    <n v="5"/>
    <x v="4"/>
    <s v="Chang Wanquan"/>
    <m/>
    <s v="Defense Minister; CMC Member"/>
    <n v="8"/>
    <x v="1"/>
    <m/>
    <x v="0"/>
    <m/>
    <x v="0"/>
    <m/>
    <x v="1"/>
    <m/>
    <m/>
    <m/>
    <m/>
    <m/>
  </r>
  <r>
    <x v="1"/>
    <x v="7"/>
    <s v="West Asia and Africa"/>
    <s v="No Specific Relationship"/>
    <s v="Major Non-NATO Ally"/>
    <x v="4"/>
    <x v="27"/>
    <x v="23"/>
    <n v="5"/>
    <x v="4"/>
    <s v="Hou Shusen"/>
    <m/>
    <s v="GSD DCGS"/>
    <n v="6"/>
    <x v="1"/>
    <m/>
    <x v="0"/>
    <m/>
    <x v="0"/>
    <m/>
    <x v="1"/>
    <m/>
    <m/>
    <m/>
    <m/>
    <m/>
  </r>
  <r>
    <x v="1"/>
    <x v="1"/>
    <s v="Asia"/>
    <s v="Comprehensive Strategic Cooperative Partnership [全面战略合作伙伴关系]"/>
    <s v="None"/>
    <x v="0"/>
    <x v="1"/>
    <x v="23"/>
    <n v="5"/>
    <x v="3"/>
    <s v="Ma Xiaotian"/>
    <m/>
    <s v="PLAAF Commander; CMC Member"/>
    <n v="8"/>
    <x v="2"/>
    <s v="Air Force Commander"/>
    <x v="0"/>
    <m/>
    <x v="0"/>
    <m/>
    <x v="1"/>
    <m/>
    <m/>
    <m/>
    <m/>
    <m/>
  </r>
  <r>
    <x v="2"/>
    <x v="7"/>
    <s v="West Asia and Africa"/>
    <s v="Strategic Partnership [战略伙伴关系]"/>
    <s v="None"/>
    <x v="4"/>
    <x v="36"/>
    <x v="23"/>
    <n v="5"/>
    <x v="5"/>
    <m/>
    <m/>
    <m/>
    <m/>
    <x v="0"/>
    <m/>
    <x v="4"/>
    <s v="None"/>
    <x v="2"/>
    <s v="anti-piracy drill"/>
    <x v="1"/>
    <m/>
    <m/>
    <m/>
    <m/>
    <m/>
  </r>
  <r>
    <x v="0"/>
    <x v="7"/>
    <s v="West Asia and Africa"/>
    <s v="Strategic Partnership [战略伙伴关系]"/>
    <s v="None"/>
    <x v="4"/>
    <x v="36"/>
    <x v="23"/>
    <n v="5"/>
    <x v="0"/>
    <m/>
    <m/>
    <m/>
    <m/>
    <x v="0"/>
    <m/>
    <x v="0"/>
    <m/>
    <x v="0"/>
    <m/>
    <x v="2"/>
    <s v="ETF-16"/>
    <s v="North Sea Fleet"/>
    <s v="FFG546 Yancheng, FF527 Luoyang, AOR889 Tai Hu"/>
    <m/>
    <m/>
  </r>
  <r>
    <x v="0"/>
    <x v="9"/>
    <s v="West Asia and Africa"/>
    <s v="No Specific Relationship"/>
    <s v="None"/>
    <x v="1"/>
    <x v="147"/>
    <x v="23"/>
    <n v="5"/>
    <x v="9"/>
    <m/>
    <m/>
    <m/>
    <m/>
    <x v="0"/>
    <m/>
    <x v="0"/>
    <m/>
    <x v="0"/>
    <m/>
    <x v="2"/>
    <s v="ETF-16 "/>
    <s v="North Sea Fleet"/>
    <s v="FFG546 Yancheng, FF527 Luoyang, AOR889 Tai Hu; unknown, could also be ETF-17"/>
    <m/>
    <m/>
  </r>
  <r>
    <x v="2"/>
    <x v="0"/>
    <s v="Asia"/>
    <s v="Strategic Partnership [战略伙伴关系]"/>
    <s v="Major Non-NATO Ally"/>
    <x v="1"/>
    <x v="2"/>
    <x v="23"/>
    <n v="5"/>
    <x v="5"/>
    <m/>
    <m/>
    <m/>
    <m/>
    <x v="0"/>
    <m/>
    <x v="3"/>
    <s v="Shaheen-3"/>
    <x v="5"/>
    <s v="Operational aerial maneuvers"/>
    <x v="1"/>
    <m/>
    <m/>
    <m/>
    <m/>
    <m/>
  </r>
  <r>
    <x v="1"/>
    <x v="3"/>
    <s v="Europe and Central Asia"/>
    <s v="Comprehensive Collaborative Strategic Partnership [全面战略协作伙伴关系]"/>
    <s v="None"/>
    <x v="3"/>
    <x v="7"/>
    <x v="23"/>
    <n v="5"/>
    <x v="3"/>
    <s v="Wu Shengli"/>
    <m/>
    <s v="PLAN Commander; CMC Member"/>
    <n v="8"/>
    <x v="2"/>
    <s v="Navy Commander"/>
    <x v="0"/>
    <m/>
    <x v="0"/>
    <m/>
    <x v="1"/>
    <m/>
    <m/>
    <m/>
    <m/>
    <m/>
  </r>
  <r>
    <x v="2"/>
    <x v="3"/>
    <s v="Europe and Central Asia"/>
    <s v="Comprehensive Collaborative Strategic Partnership [全面战略协作伙伴关系]"/>
    <s v="None"/>
    <x v="3"/>
    <x v="7"/>
    <x v="23"/>
    <n v="5"/>
    <x v="5"/>
    <m/>
    <m/>
    <m/>
    <m/>
    <x v="0"/>
    <m/>
    <x v="3"/>
    <s v="Maritime Cooperation 2014 (AKA Joint Sea 2014)"/>
    <x v="2"/>
    <s v="Maritime; HADR; live-fire drills.  May 20 to 26"/>
    <x v="1"/>
    <m/>
    <m/>
    <m/>
    <m/>
    <m/>
  </r>
  <r>
    <x v="0"/>
    <x v="7"/>
    <s v="West Asia and Africa"/>
    <s v="No Specific Relationship"/>
    <s v="None"/>
    <x v="4"/>
    <x v="152"/>
    <x v="23"/>
    <n v="5"/>
    <x v="0"/>
    <m/>
    <m/>
    <m/>
    <m/>
    <x v="0"/>
    <m/>
    <x v="0"/>
    <m/>
    <x v="0"/>
    <m/>
    <x v="2"/>
    <s v="ETF-16"/>
    <s v="North Sea Fleet"/>
    <s v="FFG546 Yancheng, FF527 Luoyang, AOR889 Tai Hu"/>
    <m/>
    <m/>
  </r>
  <r>
    <x v="1"/>
    <x v="0"/>
    <s v="Asia"/>
    <s v="Strategic Cooperative Partnership [战略合作伙伴关系]"/>
    <s v="None"/>
    <x v="0"/>
    <x v="3"/>
    <x v="23"/>
    <n v="5"/>
    <x v="4"/>
    <s v="Xu Qiliang"/>
    <m/>
    <s v="CMC Vice Chairman"/>
    <n v="10"/>
    <x v="1"/>
    <m/>
    <x v="0"/>
    <m/>
    <x v="0"/>
    <m/>
    <x v="1"/>
    <m/>
    <m/>
    <m/>
    <m/>
    <m/>
  </r>
  <r>
    <x v="1"/>
    <x v="1"/>
    <s v="Asia"/>
    <s v="Comprehensive Strategic Cooperative Partnership [全面战略合作伙伴关系]"/>
    <s v="Bilateral Defense Treaty"/>
    <x v="0"/>
    <x v="5"/>
    <x v="23"/>
    <n v="5"/>
    <x v="3"/>
    <s v="Wang Guanzhong"/>
    <m/>
    <s v="GSD DCGS"/>
    <n v="6"/>
    <x v="2"/>
    <s v="Chief of Joint Staff"/>
    <x v="0"/>
    <m/>
    <x v="0"/>
    <m/>
    <x v="1"/>
    <m/>
    <m/>
    <m/>
    <m/>
    <m/>
  </r>
  <r>
    <x v="0"/>
    <x v="7"/>
    <s v="West Asia and Africa"/>
    <s v="No Specific Relationship"/>
    <s v="Major Non-NATO Ally"/>
    <x v="4"/>
    <x v="85"/>
    <x v="23"/>
    <n v="5"/>
    <x v="0"/>
    <m/>
    <m/>
    <m/>
    <m/>
    <x v="0"/>
    <m/>
    <x v="0"/>
    <m/>
    <x v="0"/>
    <m/>
    <x v="2"/>
    <s v="ETF-16"/>
    <s v="North Sea Fleet"/>
    <s v="FFG546 Yancheng, FF527 Luoyang, AOR889 Tai Hu"/>
    <m/>
    <m/>
  </r>
  <r>
    <x v="1"/>
    <x v="2"/>
    <s v="America and Oceania"/>
    <s v="No Specific Relationship"/>
    <s v="N/A"/>
    <x v="2"/>
    <x v="4"/>
    <x v="23"/>
    <n v="5"/>
    <x v="4"/>
    <s v="Fang Fenghui"/>
    <m/>
    <s v="GSD Commander; CMC Member"/>
    <n v="8"/>
    <x v="1"/>
    <s v="CJCS Dempsey"/>
    <x v="0"/>
    <m/>
    <x v="0"/>
    <m/>
    <x v="1"/>
    <m/>
    <m/>
    <m/>
    <s v="2015 CH Mil Power Report"/>
    <m/>
  </r>
  <r>
    <x v="1"/>
    <x v="1"/>
    <s v="Asia"/>
    <s v="Comprehensive Strategic Cooperative Partnership [全面战略合作伙伴关系]"/>
    <s v="None"/>
    <x v="0"/>
    <x v="23"/>
    <x v="23"/>
    <n v="5"/>
    <x v="4"/>
    <s v="Chang Wanquan"/>
    <m/>
    <s v="Defense Minister; CMC Member"/>
    <n v="8"/>
    <x v="1"/>
    <m/>
    <x v="0"/>
    <m/>
    <x v="0"/>
    <m/>
    <x v="1"/>
    <m/>
    <m/>
    <m/>
    <m/>
    <m/>
  </r>
  <r>
    <x v="0"/>
    <x v="7"/>
    <s v="West Asia and Africa"/>
    <s v="Strategic Partnership [战略伙伴关系]"/>
    <s v="None"/>
    <x v="4"/>
    <x v="76"/>
    <x v="23"/>
    <n v="6"/>
    <x v="0"/>
    <m/>
    <m/>
    <m/>
    <m/>
    <x v="0"/>
    <m/>
    <x v="0"/>
    <m/>
    <x v="0"/>
    <m/>
    <x v="2"/>
    <s v="ETF-16"/>
    <s v="North Sea Fleet"/>
    <s v="FFG546 Yancheng, FF527 Luoyang, AOR889 Tai Hu"/>
    <m/>
    <m/>
  </r>
  <r>
    <x v="0"/>
    <x v="7"/>
    <s v="West Asia and Africa"/>
    <s v="Strategic Partnership [战略伙伴关系]"/>
    <s v="None"/>
    <x v="4"/>
    <x v="105"/>
    <x v="23"/>
    <n v="6"/>
    <x v="0"/>
    <m/>
    <m/>
    <m/>
    <m/>
    <x v="0"/>
    <m/>
    <x v="0"/>
    <m/>
    <x v="0"/>
    <m/>
    <x v="2"/>
    <s v="ETF-16"/>
    <s v="North Sea Fleet"/>
    <s v="FFG546 Yancheng, FF527 Luoyang, AOR889 Tai Hu"/>
    <m/>
    <m/>
  </r>
  <r>
    <x v="1"/>
    <x v="5"/>
    <s v="America and Oceania"/>
    <s v="Comprehensive Strategic Partnership [全面战略伙伴关系]"/>
    <s v="ANZUS Treaty"/>
    <x v="0"/>
    <x v="12"/>
    <x v="23"/>
    <n v="6"/>
    <x v="3"/>
    <s v="Xu Qiliang"/>
    <m/>
    <s v="CMC Vice Chairman"/>
    <n v="10"/>
    <x v="2"/>
    <s v="Air Force Chief"/>
    <x v="0"/>
    <m/>
    <x v="0"/>
    <m/>
    <x v="1"/>
    <m/>
    <m/>
    <m/>
    <m/>
    <m/>
  </r>
  <r>
    <x v="1"/>
    <x v="1"/>
    <s v="Asia"/>
    <s v="No Specific Relationship"/>
    <s v="None"/>
    <x v="0"/>
    <x v="44"/>
    <x v="23"/>
    <n v="6"/>
    <x v="4"/>
    <s v="Chang Wanquan"/>
    <m/>
    <s v="Defense Minister; CMC Member"/>
    <n v="8"/>
    <x v="1"/>
    <m/>
    <x v="0"/>
    <m/>
    <x v="0"/>
    <m/>
    <x v="1"/>
    <m/>
    <m/>
    <m/>
    <m/>
    <m/>
  </r>
  <r>
    <x v="2"/>
    <x v="7"/>
    <s v="West Asia and Africa"/>
    <s v="Friendly Cooperative Relationship [友好合作关系]"/>
    <s v="None"/>
    <x v="4"/>
    <x v="65"/>
    <x v="23"/>
    <n v="6"/>
    <x v="5"/>
    <m/>
    <m/>
    <m/>
    <m/>
    <x v="0"/>
    <m/>
    <x v="4"/>
    <s v="None"/>
    <x v="2"/>
    <s v="anti-piracy drill"/>
    <x v="1"/>
    <m/>
    <m/>
    <m/>
    <m/>
    <m/>
  </r>
  <r>
    <x v="0"/>
    <x v="7"/>
    <s v="West Asia and Africa"/>
    <s v="Friendly Cooperative Relationship [友好合作关系]"/>
    <s v="None"/>
    <x v="4"/>
    <x v="65"/>
    <x v="23"/>
    <n v="6"/>
    <x v="0"/>
    <m/>
    <m/>
    <m/>
    <m/>
    <x v="0"/>
    <m/>
    <x v="0"/>
    <m/>
    <x v="0"/>
    <m/>
    <x v="2"/>
    <s v="ETF-16"/>
    <s v="North Sea Fleet"/>
    <s v="FFG546 Yancheng, FF527 Luoyang, AOR889 Tai Hu"/>
    <m/>
    <m/>
  </r>
  <r>
    <x v="1"/>
    <x v="7"/>
    <s v="West Asia and Africa"/>
    <s v="Comprehensive Strategic Partnership [全面战略伙伴关系]"/>
    <s v="None"/>
    <x v="4"/>
    <x v="127"/>
    <x v="23"/>
    <n v="6"/>
    <x v="3"/>
    <s v="Xu Qiliang"/>
    <m/>
    <s v="CMC Vice Chairman"/>
    <n v="10"/>
    <x v="2"/>
    <s v="Deputy Prime Minister and Concurrent Defense Minister"/>
    <x v="0"/>
    <m/>
    <x v="0"/>
    <m/>
    <x v="1"/>
    <m/>
    <m/>
    <m/>
    <m/>
    <m/>
  </r>
  <r>
    <x v="1"/>
    <x v="1"/>
    <s v="Asia"/>
    <s v="No Specific Relationship"/>
    <s v="None"/>
    <x v="0"/>
    <x v="137"/>
    <x v="23"/>
    <n v="6"/>
    <x v="1"/>
    <s v="Wang Guanzhong"/>
    <m/>
    <s v="GSD DCGS"/>
    <n v="6"/>
    <x v="1"/>
    <s v="13th Shangri-La Dialogue"/>
    <x v="0"/>
    <m/>
    <x v="0"/>
    <m/>
    <x v="1"/>
    <m/>
    <m/>
    <m/>
    <m/>
    <m/>
  </r>
  <r>
    <x v="2"/>
    <x v="1"/>
    <s v="Asia"/>
    <s v="Comprehensive Strategic Partnership [全面战略伙伴关系]"/>
    <s v="None"/>
    <x v="0"/>
    <x v="8"/>
    <x v="23"/>
    <n v="6"/>
    <x v="5"/>
    <m/>
    <m/>
    <m/>
    <m/>
    <x v="0"/>
    <m/>
    <x v="2"/>
    <s v="None"/>
    <x v="2"/>
    <s v="CUES drill with Indonesian patrol boat; communications exercise only"/>
    <x v="1"/>
    <m/>
    <m/>
    <m/>
    <m/>
    <m/>
  </r>
  <r>
    <x v="1"/>
    <x v="4"/>
    <s v="Asia"/>
    <s v="Mutually Beneficial Strategic Relationship [战略互惠关系]"/>
    <s v="Bilateral Defense Treaty"/>
    <x v="0"/>
    <x v="83"/>
    <x v="23"/>
    <n v="6"/>
    <x v="3"/>
    <s v="Zhang Yang"/>
    <m/>
    <s v="GPD Director; CMC Member"/>
    <n v="8"/>
    <x v="2"/>
    <s v="Japan-China Political and Economic Forum "/>
    <x v="0"/>
    <m/>
    <x v="0"/>
    <m/>
    <x v="1"/>
    <m/>
    <m/>
    <m/>
    <m/>
    <m/>
  </r>
  <r>
    <x v="1"/>
    <x v="1"/>
    <s v="Asia"/>
    <s v="Comprehensive Strategic Cooperative Partnership [全面战略合作伙伴关系]"/>
    <s v="None"/>
    <x v="0"/>
    <x v="1"/>
    <x v="23"/>
    <n v="6"/>
    <x v="7"/>
    <s v="Wang Guanzhong"/>
    <m/>
    <s v="GSD DCGS"/>
    <n v="6"/>
    <x v="1"/>
    <m/>
    <x v="0"/>
    <m/>
    <x v="0"/>
    <m/>
    <x v="1"/>
    <m/>
    <m/>
    <m/>
    <m/>
    <m/>
  </r>
  <r>
    <x v="0"/>
    <x v="7"/>
    <s v="West Asia and Africa"/>
    <s v="No Specific Relationship"/>
    <s v="None"/>
    <x v="4"/>
    <x v="69"/>
    <x v="23"/>
    <n v="6"/>
    <x v="0"/>
    <m/>
    <m/>
    <m/>
    <m/>
    <x v="0"/>
    <m/>
    <x v="0"/>
    <m/>
    <x v="0"/>
    <m/>
    <x v="2"/>
    <s v="ETF-16"/>
    <s v="North Sea Fleet"/>
    <s v="FFG546 Yancheng, FF527 Luoyang, AOR889 Tai Hu"/>
    <m/>
    <m/>
  </r>
  <r>
    <x v="2"/>
    <x v="7"/>
    <s v="West Asia and Africa"/>
    <s v="No Specific Relationship"/>
    <s v="None"/>
    <x v="4"/>
    <x v="69"/>
    <x v="23"/>
    <n v="6"/>
    <x v="5"/>
    <m/>
    <m/>
    <m/>
    <m/>
    <x v="0"/>
    <m/>
    <x v="2"/>
    <s v="None"/>
    <x v="2"/>
    <s v="communication and fleet formation"/>
    <x v="1"/>
    <m/>
    <m/>
    <m/>
    <m/>
    <m/>
  </r>
  <r>
    <x v="1"/>
    <x v="0"/>
    <s v="Asia"/>
    <s v="Strategic Partnership [战略伙伴关系]"/>
    <s v="Major Non-NATO Ally"/>
    <x v="1"/>
    <x v="2"/>
    <x v="23"/>
    <n v="6"/>
    <x v="3"/>
    <s v="Fan Changlong"/>
    <m/>
    <s v="CMC Vice Chairman"/>
    <n v="10"/>
    <x v="2"/>
    <s v="Chief of Army Staff"/>
    <x v="0"/>
    <m/>
    <x v="0"/>
    <m/>
    <x v="1"/>
    <m/>
    <m/>
    <m/>
    <m/>
    <m/>
  </r>
  <r>
    <x v="1"/>
    <x v="3"/>
    <s v="Europe and Central Asia"/>
    <s v="Comprehensive Collaborative Strategic Partnership [全面战略协作伙伴关系]"/>
    <s v="None"/>
    <x v="3"/>
    <x v="7"/>
    <x v="23"/>
    <n v="6"/>
    <x v="4"/>
    <s v="Zhang Youxia"/>
    <m/>
    <s v="GAD Director; CMC Member"/>
    <n v="8"/>
    <x v="1"/>
    <m/>
    <x v="0"/>
    <m/>
    <x v="0"/>
    <m/>
    <x v="1"/>
    <m/>
    <m/>
    <m/>
    <m/>
    <m/>
  </r>
  <r>
    <x v="1"/>
    <x v="1"/>
    <s v="Asia"/>
    <s v="No Specific Relationship"/>
    <s v="None"/>
    <x v="0"/>
    <x v="39"/>
    <x v="23"/>
    <n v="6"/>
    <x v="4"/>
    <s v="Wang Guanzhong"/>
    <m/>
    <s v="GSD DCGS"/>
    <n v="6"/>
    <x v="1"/>
    <m/>
    <x v="0"/>
    <m/>
    <x v="0"/>
    <m/>
    <x v="1"/>
    <m/>
    <m/>
    <m/>
    <s v="https://www.mindef.gov.sg/oms/imindef/resourcelibrary/cyberpioneer/topics/articles/news/2015/may/25may15_news.html#.W37d9iAnYdU"/>
    <m/>
  </r>
  <r>
    <x v="0"/>
    <x v="7"/>
    <s v="West Asia and Africa"/>
    <s v="Comprehensive Strategic Partnership [全面战略伙伴关系]"/>
    <s v="None"/>
    <x v="4"/>
    <x v="15"/>
    <x v="23"/>
    <n v="6"/>
    <x v="0"/>
    <m/>
    <m/>
    <m/>
    <m/>
    <x v="0"/>
    <m/>
    <x v="0"/>
    <m/>
    <x v="0"/>
    <m/>
    <x v="2"/>
    <s v="ETF-16"/>
    <s v="North Sea Fleet"/>
    <s v="FFG546 Yancheng, FF527 Luoyang, AOR889 Tai Hu"/>
    <m/>
    <m/>
  </r>
  <r>
    <x v="1"/>
    <x v="4"/>
    <s v="Asia"/>
    <s v="Strategic Cooperative Partnership [战略合作伙伴关系]"/>
    <s v="Bilateral Defense Treaty"/>
    <x v="0"/>
    <x v="25"/>
    <x v="23"/>
    <n v="6"/>
    <x v="3"/>
    <s v="Sun Jianguo"/>
    <m/>
    <s v="GSD DCGS"/>
    <n v="6"/>
    <x v="2"/>
    <s v="Delegation for CIISS; Retired Generals and Admirals Association"/>
    <x v="0"/>
    <m/>
    <x v="0"/>
    <m/>
    <x v="1"/>
    <m/>
    <m/>
    <m/>
    <m/>
    <m/>
  </r>
  <r>
    <x v="1"/>
    <x v="1"/>
    <s v="Asia"/>
    <s v="Comprehensive Strategic Cooperative Partnership [全面战略合作伙伴关系]"/>
    <s v="Bilateral Defense Treaty"/>
    <x v="0"/>
    <x v="5"/>
    <x v="23"/>
    <n v="6"/>
    <x v="3"/>
    <s v="Wang Guanzhong"/>
    <m/>
    <s v="GSD DCGS"/>
    <n v="6"/>
    <x v="2"/>
    <m/>
    <x v="0"/>
    <m/>
    <x v="0"/>
    <m/>
    <x v="1"/>
    <m/>
    <m/>
    <m/>
    <m/>
    <m/>
  </r>
  <r>
    <x v="1"/>
    <x v="5"/>
    <s v="America and Oceania"/>
    <s v="Comprehensive Strategic Partnership [全面战略伙伴关系]"/>
    <s v="ANZUS Treaty"/>
    <x v="0"/>
    <x v="12"/>
    <x v="23"/>
    <n v="7"/>
    <x v="4"/>
    <s v="Fan Changlong"/>
    <m/>
    <s v="CMC Vice Chairman"/>
    <n v="10"/>
    <x v="1"/>
    <m/>
    <x v="0"/>
    <m/>
    <x v="0"/>
    <m/>
    <x v="1"/>
    <m/>
    <m/>
    <m/>
    <m/>
    <m/>
  </r>
  <r>
    <x v="1"/>
    <x v="10"/>
    <s v="America and Oceania"/>
    <s v="Comprehensive Cooperative Partnership [全面合作伙伴关系]"/>
    <s v="None"/>
    <x v="5"/>
    <x v="159"/>
    <x v="23"/>
    <n v="7"/>
    <x v="2"/>
    <s v="Wang Guanzhong"/>
    <m/>
    <s v="GSD DCGS"/>
    <n v="6"/>
    <x v="2"/>
    <s v="Second China-Latin America Defense Forum"/>
    <x v="0"/>
    <m/>
    <x v="0"/>
    <m/>
    <x v="1"/>
    <m/>
    <m/>
    <m/>
    <s v="http://eng.chinamil.com.cn/news-channels/china-military-news/2014-07/22/content_6058546.htm"/>
    <m/>
  </r>
  <r>
    <x v="0"/>
    <x v="9"/>
    <s v="West Asia and Africa"/>
    <s v="No Specific Relationship"/>
    <s v="None"/>
    <x v="1"/>
    <x v="119"/>
    <x v="23"/>
    <n v="7"/>
    <x v="9"/>
    <m/>
    <m/>
    <m/>
    <m/>
    <x v="0"/>
    <m/>
    <x v="0"/>
    <m/>
    <x v="0"/>
    <m/>
    <x v="2"/>
    <s v="ETF-16 "/>
    <s v="North Sea Fleet"/>
    <s v="FFG546 Yancheng, FF527 Luoyang, AOR889 Tai Hu; unknown, could also be ETF-17"/>
    <m/>
    <m/>
  </r>
  <r>
    <x v="2"/>
    <x v="8"/>
    <s v="Europe and Central Asia"/>
    <s v="Comprehensive Cooperative Partnership [全面合作伙伴关系]"/>
    <s v="None"/>
    <x v="3"/>
    <x v="158"/>
    <x v="23"/>
    <n v="7"/>
    <x v="6"/>
    <m/>
    <m/>
    <m/>
    <m/>
    <x v="0"/>
    <m/>
    <x v="4"/>
    <s v="Venus No. 2"/>
    <x v="2"/>
    <s v="anti-piracy drill with EU CTF 465"/>
    <x v="1"/>
    <m/>
    <m/>
    <m/>
    <m/>
    <m/>
  </r>
  <r>
    <x v="0"/>
    <x v="5"/>
    <s v="America and Oceania"/>
    <s v="Strategic Partnership [战略伙伴关系]"/>
    <s v="None"/>
    <x v="0"/>
    <x v="128"/>
    <x v="23"/>
    <n v="7"/>
    <x v="12"/>
    <m/>
    <m/>
    <m/>
    <m/>
    <x v="0"/>
    <m/>
    <x v="0"/>
    <m/>
    <x v="0"/>
    <m/>
    <x v="0"/>
    <s v="2014-07 Harmonious Mission "/>
    <s v="East Sea Fleet"/>
    <s v="post-RIMPAC 2014; PLA FR XJP draft p. 26"/>
    <m/>
    <s v="Coded as Oceania instead of Southeast Asia"/>
  </r>
  <r>
    <x v="1"/>
    <x v="1"/>
    <s v="Asia"/>
    <s v="Comprehensive Strategic Partnership [全面战略伙伴关系]"/>
    <s v="None"/>
    <x v="0"/>
    <x v="8"/>
    <x v="23"/>
    <n v="7"/>
    <x v="4"/>
    <s v="Fan Changlong"/>
    <m/>
    <s v="CMC Vice Chairman"/>
    <n v="10"/>
    <x v="1"/>
    <m/>
    <x v="0"/>
    <m/>
    <x v="0"/>
    <m/>
    <x v="1"/>
    <m/>
    <m/>
    <m/>
    <m/>
    <m/>
  </r>
  <r>
    <x v="1"/>
    <x v="8"/>
    <s v="Europe and Central Asia"/>
    <s v="Comprehensive Strategic Partnership [全面战略伙伴关系]"/>
    <s v="NATO"/>
    <x v="3"/>
    <x v="20"/>
    <x v="23"/>
    <n v="7"/>
    <x v="3"/>
    <s v="Xu Qiliang"/>
    <m/>
    <s v="CMC Vice Chairman"/>
    <n v="10"/>
    <x v="2"/>
    <s v="Secretary General of Defense and Director of Armaments"/>
    <x v="0"/>
    <m/>
    <x v="0"/>
    <m/>
    <x v="1"/>
    <m/>
    <m/>
    <m/>
    <m/>
    <m/>
  </r>
  <r>
    <x v="1"/>
    <x v="8"/>
    <s v="Europe and Central Asia"/>
    <s v="Comprehensive Cooperative Partnership [全面合作伙伴关系]"/>
    <s v="NATO"/>
    <x v="3"/>
    <x v="117"/>
    <x v="23"/>
    <n v="7"/>
    <x v="4"/>
    <s v="Hou Shusen"/>
    <m/>
    <s v="GSD DCGS"/>
    <n v="6"/>
    <x v="1"/>
    <m/>
    <x v="0"/>
    <m/>
    <x v="0"/>
    <m/>
    <x v="1"/>
    <m/>
    <m/>
    <m/>
    <m/>
    <m/>
  </r>
  <r>
    <x v="0"/>
    <x v="1"/>
    <s v="America and Oceania"/>
    <s v="Strategic Partnership [战略伙伴关系]"/>
    <s v="None"/>
    <x v="0"/>
    <x v="122"/>
    <x v="23"/>
    <n v="7"/>
    <x v="12"/>
    <m/>
    <m/>
    <m/>
    <m/>
    <x v="0"/>
    <m/>
    <x v="0"/>
    <m/>
    <x v="0"/>
    <m/>
    <x v="0"/>
    <s v="2014-07 Harmonious Mission "/>
    <s v="East Sea Fleet"/>
    <s v="post-RIMPAC 2014; PLA FR XJP draft p. 26"/>
    <m/>
    <m/>
  </r>
  <r>
    <x v="1"/>
    <x v="8"/>
    <s v="Europe and Central Asia"/>
    <s v="Comprehensive Strategic Partnership [全面战略伙伴关系]"/>
    <s v="NATO"/>
    <x v="3"/>
    <x v="48"/>
    <x v="23"/>
    <n v="7"/>
    <x v="4"/>
    <s v="Zhang Yang"/>
    <m/>
    <s v="GPD Director; CMC Member"/>
    <n v="8"/>
    <x v="1"/>
    <m/>
    <x v="0"/>
    <m/>
    <x v="0"/>
    <m/>
    <x v="1"/>
    <m/>
    <m/>
    <m/>
    <m/>
    <m/>
  </r>
  <r>
    <x v="1"/>
    <x v="8"/>
    <s v="Europe and Central Asia"/>
    <s v="Comprehensive Friendly Cooperative Partnership [全面友好合作伙伴关系]"/>
    <s v="NATO"/>
    <x v="3"/>
    <x v="33"/>
    <x v="23"/>
    <n v="7"/>
    <x v="4"/>
    <s v="Hou Shusen"/>
    <m/>
    <s v="GSD DCGS"/>
    <n v="6"/>
    <x v="1"/>
    <m/>
    <x v="0"/>
    <m/>
    <x v="0"/>
    <m/>
    <x v="1"/>
    <m/>
    <m/>
    <m/>
    <m/>
    <m/>
  </r>
  <r>
    <x v="2"/>
    <x v="3"/>
    <s v="Europe and Central Asia"/>
    <s v="Comprehensive Collaborative Strategic Partnership [全面战略协作伙伴关系]"/>
    <s v="None"/>
    <x v="3"/>
    <x v="7"/>
    <x v="23"/>
    <n v="7"/>
    <x v="6"/>
    <m/>
    <m/>
    <m/>
    <m/>
    <x v="0"/>
    <m/>
    <x v="6"/>
    <s v="Aviadarts 2014"/>
    <x v="5"/>
    <s v="Competition. Other countries: Belarus "/>
    <x v="1"/>
    <m/>
    <m/>
    <m/>
    <s v="https://usa.mfa.gov.ua/en/news/22977-zajava-mzs-ukrajini-shhodo-provedennya-rosijsykoju-federacijeju-vijsykovih-navchany-aviadarts-2014"/>
    <m/>
  </r>
  <r>
    <x v="1"/>
    <x v="7"/>
    <s v="West Asia and Africa"/>
    <s v="Comprehensive Strategic Partnership [全面战略伙伴关系]"/>
    <s v="None"/>
    <x v="4"/>
    <x v="15"/>
    <x v="23"/>
    <n v="7"/>
    <x v="4"/>
    <s v="Chang Wanquan"/>
    <m/>
    <s v="Defense Minister; CMC Member"/>
    <n v="8"/>
    <x v="1"/>
    <m/>
    <x v="0"/>
    <m/>
    <x v="0"/>
    <m/>
    <x v="1"/>
    <m/>
    <m/>
    <m/>
    <m/>
    <m/>
  </r>
  <r>
    <x v="1"/>
    <x v="4"/>
    <s v="Asia"/>
    <s v="Strategic Cooperative Partnership [战略合作伙伴关系]"/>
    <s v="Bilateral Defense Treaty"/>
    <x v="0"/>
    <x v="25"/>
    <x v="23"/>
    <n v="7"/>
    <x v="3"/>
    <s v="Chang Wanquan"/>
    <m/>
    <s v="Defense Minister; CMC Member"/>
    <n v="8"/>
    <x v="2"/>
    <s v="Vice Defense Minister"/>
    <x v="0"/>
    <m/>
    <x v="0"/>
    <m/>
    <x v="1"/>
    <m/>
    <m/>
    <m/>
    <m/>
    <m/>
  </r>
  <r>
    <x v="1"/>
    <x v="8"/>
    <s v="Europe and Central Asia"/>
    <s v="No Specific Relationship"/>
    <s v="None"/>
    <x v="3"/>
    <x v="78"/>
    <x v="23"/>
    <n v="7"/>
    <x v="4"/>
    <s v="Zhang Yang"/>
    <m/>
    <s v="GPD Director; CMC Member"/>
    <n v="8"/>
    <x v="1"/>
    <m/>
    <x v="0"/>
    <m/>
    <x v="0"/>
    <m/>
    <x v="1"/>
    <m/>
    <m/>
    <m/>
    <m/>
    <m/>
  </r>
  <r>
    <x v="1"/>
    <x v="7"/>
    <s v="West Asia and Africa"/>
    <s v="Comprehensive Cooperative Partnership [全面合作伙伴关系]"/>
    <s v="None"/>
    <x v="4"/>
    <x v="16"/>
    <x v="23"/>
    <n v="7"/>
    <x v="4"/>
    <s v="Chang Wanquan"/>
    <m/>
    <s v="Defense Minister; CMC Member"/>
    <n v="8"/>
    <x v="1"/>
    <m/>
    <x v="0"/>
    <m/>
    <x v="0"/>
    <m/>
    <x v="1"/>
    <m/>
    <m/>
    <m/>
    <m/>
    <m/>
  </r>
  <r>
    <x v="0"/>
    <x v="5"/>
    <s v="America and Oceania"/>
    <s v="Strategic Partnership [战略伙伴关系]"/>
    <s v="None"/>
    <x v="0"/>
    <x v="144"/>
    <x v="23"/>
    <n v="7"/>
    <x v="12"/>
    <m/>
    <m/>
    <m/>
    <m/>
    <x v="0"/>
    <m/>
    <x v="0"/>
    <m/>
    <x v="0"/>
    <m/>
    <x v="0"/>
    <s v="2014-07 Harmonious Mission "/>
    <s v="East Sea Fleet"/>
    <s v="post-RIMPAC 2014; PLA FR XJP draft p. 26"/>
    <m/>
    <m/>
  </r>
  <r>
    <x v="1"/>
    <x v="8"/>
    <s v="Europe and Central Asia"/>
    <s v="Strategic Cooperative Partnership [战略合作伙伴关系]"/>
    <s v="NATO"/>
    <x v="3"/>
    <x v="38"/>
    <x v="23"/>
    <n v="7"/>
    <x v="3"/>
    <s v="Wu Shengli"/>
    <m/>
    <s v="PLAN Commander; CMC Member"/>
    <n v="8"/>
    <x v="2"/>
    <s v="Navy Commander"/>
    <x v="0"/>
    <m/>
    <x v="0"/>
    <m/>
    <x v="1"/>
    <m/>
    <m/>
    <m/>
    <m/>
    <m/>
  </r>
  <r>
    <x v="1"/>
    <x v="2"/>
    <s v="America and Oceania"/>
    <s v="No Specific Relationship"/>
    <s v="N/A"/>
    <x v="2"/>
    <x v="4"/>
    <x v="23"/>
    <n v="7"/>
    <x v="3"/>
    <s v="Wu Shengli"/>
    <m/>
    <s v="PLAN Commander; CMC Member"/>
    <n v="8"/>
    <x v="2"/>
    <s v="Chief of Naval Operations Greenert"/>
    <x v="0"/>
    <m/>
    <x v="0"/>
    <m/>
    <x v="1"/>
    <m/>
    <m/>
    <m/>
    <s v="2015 CH Mil Power Report"/>
    <m/>
  </r>
  <r>
    <x v="2"/>
    <x v="2"/>
    <s v="America and Oceania"/>
    <s v="No Specific Relationship"/>
    <s v="N/A"/>
    <x v="2"/>
    <x v="4"/>
    <x v="23"/>
    <n v="7"/>
    <x v="6"/>
    <m/>
    <m/>
    <m/>
    <m/>
    <x v="0"/>
    <m/>
    <x v="3"/>
    <s v="RIMPAC 2014"/>
    <x v="2"/>
    <s v="Maritime; HADR; US and other countries' live-fire gunnery"/>
    <x v="1"/>
    <m/>
    <m/>
    <m/>
    <m/>
    <m/>
  </r>
  <r>
    <x v="0"/>
    <x v="5"/>
    <s v="America and Oceania"/>
    <s v="Strategic Partnership [战略伙伴关系]"/>
    <s v="None"/>
    <x v="0"/>
    <x v="120"/>
    <x v="23"/>
    <n v="7"/>
    <x v="12"/>
    <m/>
    <m/>
    <m/>
    <m/>
    <x v="0"/>
    <m/>
    <x v="0"/>
    <m/>
    <x v="0"/>
    <m/>
    <x v="0"/>
    <s v="2014-07 Harmonious Mission "/>
    <s v="East Sea Fleet"/>
    <s v="post-RIMPAC 2014; PLA FR XJP draft p. 26"/>
    <m/>
    <m/>
  </r>
  <r>
    <x v="1"/>
    <x v="10"/>
    <s v="America and Oceania"/>
    <s v="Comprehensive Strategic Partnership [全面战略伙伴关系]"/>
    <s v="Major Non-NATO Ally"/>
    <x v="5"/>
    <x v="62"/>
    <x v="23"/>
    <n v="8"/>
    <x v="4"/>
    <s v="Zhao Keshi"/>
    <m/>
    <s v="GLD Director; CMC Member"/>
    <n v="8"/>
    <x v="1"/>
    <m/>
    <x v="0"/>
    <m/>
    <x v="0"/>
    <m/>
    <x v="1"/>
    <m/>
    <m/>
    <m/>
    <m/>
    <m/>
  </r>
  <r>
    <x v="2"/>
    <x v="5"/>
    <s v="America and Oceania"/>
    <s v="Comprehensive Strategic Partnership [全面战略伙伴关系]"/>
    <s v="ANZUS Treaty"/>
    <x v="0"/>
    <x v="12"/>
    <x v="23"/>
    <n v="8"/>
    <x v="6"/>
    <m/>
    <m/>
    <m/>
    <m/>
    <x v="0"/>
    <m/>
    <x v="5"/>
    <s v="Kakadu 2014"/>
    <x v="2"/>
    <s v="PLAN sent observers only. Other countries: Japan, New Zealand, Pakistan, Philippines"/>
    <x v="1"/>
    <m/>
    <m/>
    <m/>
    <m/>
    <m/>
  </r>
  <r>
    <x v="1"/>
    <x v="10"/>
    <s v="America and Oceania"/>
    <s v="Comprehensive Strategic Partnership [全面战略伙伴关系]"/>
    <s v="None"/>
    <x v="5"/>
    <x v="43"/>
    <x v="23"/>
    <n v="8"/>
    <x v="4"/>
    <s v="Zhao Keshi"/>
    <m/>
    <s v="GLD Director; CMC Member"/>
    <n v="8"/>
    <x v="1"/>
    <m/>
    <x v="0"/>
    <m/>
    <x v="0"/>
    <m/>
    <x v="1"/>
    <m/>
    <m/>
    <m/>
    <m/>
    <m/>
  </r>
  <r>
    <x v="1"/>
    <x v="9"/>
    <s v="West Asia and Africa"/>
    <s v="Comprehensive Strategic Partnership [全面战略伙伴关系]"/>
    <s v="Major Non-NATO Ally"/>
    <x v="1"/>
    <x v="24"/>
    <x v="23"/>
    <n v="8"/>
    <x v="3"/>
    <s v="Chang Wanquan"/>
    <m/>
    <s v="Defense Minister; CMC Member"/>
    <n v="8"/>
    <x v="2"/>
    <s v="Vice Defense Minister"/>
    <x v="0"/>
    <m/>
    <x v="0"/>
    <m/>
    <x v="1"/>
    <m/>
    <m/>
    <m/>
    <m/>
    <m/>
  </r>
  <r>
    <x v="1"/>
    <x v="1"/>
    <s v="Asia"/>
    <s v="Comprehensive Strategic Partnership [全面战略伙伴关系]"/>
    <s v="None"/>
    <x v="0"/>
    <x v="8"/>
    <x v="23"/>
    <n v="8"/>
    <x v="3"/>
    <s v="Fan Changlong"/>
    <m/>
    <s v="CMC Vice Chairman"/>
    <n v="10"/>
    <x v="2"/>
    <s v="Deputy Defense Minister"/>
    <x v="0"/>
    <m/>
    <x v="0"/>
    <m/>
    <x v="1"/>
    <m/>
    <m/>
    <m/>
    <m/>
    <m/>
  </r>
  <r>
    <x v="1"/>
    <x v="6"/>
    <s v="Europe and Central Asia"/>
    <s v="Comprehensive Strategic Partnership [全面战略伙伴关系]"/>
    <s v="None"/>
    <x v="1"/>
    <x v="30"/>
    <x v="23"/>
    <n v="8"/>
    <x v="7"/>
    <s v="Fang Fenghui"/>
    <m/>
    <s v="GSD Commander; CMC Member"/>
    <n v="8"/>
    <x v="2"/>
    <s v="First Deputy Minister of Defense and COGS"/>
    <x v="0"/>
    <m/>
    <x v="0"/>
    <m/>
    <x v="1"/>
    <m/>
    <m/>
    <m/>
    <m/>
    <m/>
  </r>
  <r>
    <x v="2"/>
    <x v="3"/>
    <s v="Europe and Central Asia"/>
    <s v="Comprehensive Collaborative Strategic Partnership [全面战略协作伙伴关系]"/>
    <s v="None"/>
    <x v="3"/>
    <x v="7"/>
    <x v="23"/>
    <n v="8"/>
    <x v="6"/>
    <m/>
    <m/>
    <m/>
    <m/>
    <x v="0"/>
    <m/>
    <x v="6"/>
    <s v="Tank Biathlon 2014"/>
    <x v="1"/>
    <s v="Competition; Russia and 11 other countries"/>
    <x v="1"/>
    <m/>
    <m/>
    <m/>
    <m/>
    <m/>
  </r>
  <r>
    <x v="1"/>
    <x v="6"/>
    <s v="Europe and Central Asia"/>
    <s v="Member"/>
    <s v="None"/>
    <x v="1"/>
    <x v="14"/>
    <x v="23"/>
    <n v="8"/>
    <x v="1"/>
    <s v="Fang Fenghui"/>
    <m/>
    <s v="GSD Commander; CMC Member"/>
    <n v="8"/>
    <x v="1"/>
    <s v="Third meeting of SCO military chiefs of staff in Beijing"/>
    <x v="0"/>
    <m/>
    <x v="0"/>
    <m/>
    <x v="1"/>
    <m/>
    <m/>
    <m/>
    <s v="http://en.sco-russia.ru/news/20140828/1013179153.html  "/>
    <m/>
  </r>
  <r>
    <x v="2"/>
    <x v="6"/>
    <s v="Europe and Central Asia"/>
    <s v="Member"/>
    <s v="None"/>
    <x v="1"/>
    <x v="14"/>
    <x v="23"/>
    <n v="8"/>
    <x v="6"/>
    <m/>
    <m/>
    <m/>
    <m/>
    <x v="0"/>
    <m/>
    <x v="3"/>
    <s v="Peace Mission 2014"/>
    <x v="3"/>
    <s v="Army, Navy, Air Force, SOF; anti-terrorism. Other countries: Russia, Kyrgyzstan, Kazakhstan, Tajikistan. August 24-29"/>
    <x v="1"/>
    <m/>
    <m/>
    <m/>
    <s v="http://eng.mod.gov.cn/DefenseNews/2014-08/28/content_4533185.htm"/>
    <m/>
  </r>
  <r>
    <x v="1"/>
    <x v="7"/>
    <s v="West Asia and Africa"/>
    <s v="Comprehensive Strategic Partnership [全面战略伙伴关系]"/>
    <s v="None"/>
    <x v="4"/>
    <x v="15"/>
    <x v="23"/>
    <n v="8"/>
    <x v="3"/>
    <s v="Chang Wanquan"/>
    <m/>
    <s v="Defense Minister; CMC Member"/>
    <n v="8"/>
    <x v="2"/>
    <s v="Chief of the Armed Forces"/>
    <x v="0"/>
    <m/>
    <x v="0"/>
    <m/>
    <x v="1"/>
    <m/>
    <m/>
    <m/>
    <m/>
    <m/>
  </r>
  <r>
    <x v="0"/>
    <x v="0"/>
    <s v="Asia"/>
    <s v="Strategic Cooperative Partnership [战略合作伙伴关系]"/>
    <s v="None"/>
    <x v="0"/>
    <x v="3"/>
    <x v="23"/>
    <n v="8"/>
    <x v="9"/>
    <m/>
    <m/>
    <m/>
    <m/>
    <x v="0"/>
    <m/>
    <x v="0"/>
    <m/>
    <x v="0"/>
    <m/>
    <x v="2"/>
    <s v="ETF-17"/>
    <s v="East Sea Fleet"/>
    <s v="DDG150 Changchun, FFG549 Changzhou, AOR890 Chao Hu"/>
    <m/>
    <m/>
  </r>
  <r>
    <x v="1"/>
    <x v="6"/>
    <s v="Europe and Central Asia"/>
    <s v="Strategic Partnership [战略伙伴关系]"/>
    <s v="None"/>
    <x v="1"/>
    <x v="60"/>
    <x v="23"/>
    <n v="8"/>
    <x v="7"/>
    <s v="Fang Fenghui"/>
    <m/>
    <s v="GSD Commander; CMC Member"/>
    <n v="8"/>
    <x v="2"/>
    <s v="First Deputy Minister of Defense and COGS"/>
    <x v="0"/>
    <m/>
    <x v="0"/>
    <m/>
    <x v="1"/>
    <m/>
    <m/>
    <m/>
    <m/>
    <m/>
  </r>
  <r>
    <x v="1"/>
    <x v="6"/>
    <s v="Europe and Central Asia"/>
    <s v="Strategic Partnership [战略伙伴关系]"/>
    <s v="None"/>
    <x v="1"/>
    <x v="73"/>
    <x v="23"/>
    <n v="8"/>
    <x v="7"/>
    <s v="Fang Fenghui"/>
    <m/>
    <s v="GSD Commander; CMC Member"/>
    <n v="8"/>
    <x v="2"/>
    <s v="First Deputy Minister of Defense and COGS"/>
    <x v="0"/>
    <m/>
    <x v="0"/>
    <m/>
    <x v="1"/>
    <m/>
    <m/>
    <m/>
    <m/>
    <m/>
  </r>
  <r>
    <x v="1"/>
    <x v="8"/>
    <s v="Europe and Central Asia"/>
    <s v="No Specific Relationship"/>
    <s v="None"/>
    <x v="3"/>
    <x v="98"/>
    <x v="23"/>
    <n v="9"/>
    <x v="3"/>
    <s v="Xu Qiliang "/>
    <m/>
    <s v="CMC Vice Chairman"/>
    <n v="10"/>
    <x v="2"/>
    <s v="Defense Minister"/>
    <x v="0"/>
    <m/>
    <x v="0"/>
    <m/>
    <x v="1"/>
    <m/>
    <m/>
    <m/>
    <m/>
    <m/>
  </r>
  <r>
    <x v="0"/>
    <x v="9"/>
    <s v="West Asia and Africa"/>
    <s v="No Specific Relationship"/>
    <s v="None"/>
    <x v="1"/>
    <x v="119"/>
    <x v="23"/>
    <n v="9"/>
    <x v="9"/>
    <m/>
    <m/>
    <m/>
    <m/>
    <x v="0"/>
    <m/>
    <x v="0"/>
    <m/>
    <x v="0"/>
    <m/>
    <x v="2"/>
    <s v="ETF-17"/>
    <s v="East Sea Fleet"/>
    <s v="DDG150 Changchun, FFG549 Changzhou, AOR890 Chao Hu"/>
    <m/>
    <m/>
  </r>
  <r>
    <x v="1"/>
    <x v="10"/>
    <s v="America and Oceania"/>
    <s v="No Specific Relationship"/>
    <s v="None"/>
    <x v="5"/>
    <x v="51"/>
    <x v="23"/>
    <n v="9"/>
    <x v="3"/>
    <s v="Chang Wanquan"/>
    <m/>
    <s v="Defense Minister; CMC Member"/>
    <n v="8"/>
    <x v="2"/>
    <s v="Defense Minister"/>
    <x v="0"/>
    <m/>
    <x v="0"/>
    <m/>
    <x v="1"/>
    <m/>
    <m/>
    <m/>
    <m/>
    <m/>
  </r>
  <r>
    <x v="1"/>
    <x v="8"/>
    <s v="Europe and Central Asia"/>
    <s v="Comprehensive Strategic Partnership [全面战略伙伴关系]"/>
    <s v="NATO"/>
    <x v="3"/>
    <x v="18"/>
    <x v="23"/>
    <n v="9"/>
    <x v="3"/>
    <s v="Zhao Keshi"/>
    <m/>
    <s v="GLD Director; CMC Member"/>
    <n v="8"/>
    <x v="2"/>
    <s v="Inspector General of Central Medical Service"/>
    <x v="0"/>
    <m/>
    <x v="0"/>
    <m/>
    <x v="1"/>
    <m/>
    <m/>
    <m/>
    <m/>
    <m/>
  </r>
  <r>
    <x v="1"/>
    <x v="1"/>
    <s v="Asia"/>
    <s v="Comprehensive Strategic Partnership [全面战略伙伴关系]"/>
    <s v="None"/>
    <x v="0"/>
    <x v="8"/>
    <x v="23"/>
    <n v="9"/>
    <x v="3"/>
    <s v="Fan Changlong"/>
    <m/>
    <s v="CMC Vice Chairman"/>
    <n v="10"/>
    <x v="2"/>
    <s v="Defense Minister"/>
    <x v="0"/>
    <m/>
    <x v="0"/>
    <m/>
    <x v="1"/>
    <m/>
    <m/>
    <m/>
    <m/>
    <m/>
  </r>
  <r>
    <x v="0"/>
    <x v="9"/>
    <s v="West Asia and Africa"/>
    <s v="No Specific Relationship"/>
    <s v="None"/>
    <x v="1"/>
    <x v="89"/>
    <x v="23"/>
    <n v="9"/>
    <x v="0"/>
    <m/>
    <m/>
    <m/>
    <m/>
    <x v="0"/>
    <m/>
    <x v="0"/>
    <m/>
    <x v="0"/>
    <m/>
    <x v="2"/>
    <s v="ETF-17"/>
    <s v="East Sea Fleet"/>
    <s v="DDG150 Changchun, FFG549 Changzhou, AOR890 Chao Hu"/>
    <m/>
    <m/>
  </r>
  <r>
    <x v="0"/>
    <x v="9"/>
    <s v="West Asia and Africa"/>
    <s v="No Specific Relationship"/>
    <s v="Major Non-NATO Ally"/>
    <x v="1"/>
    <x v="101"/>
    <x v="23"/>
    <n v="9"/>
    <x v="0"/>
    <m/>
    <m/>
    <m/>
    <m/>
    <x v="0"/>
    <m/>
    <x v="0"/>
    <m/>
    <x v="0"/>
    <m/>
    <x v="2"/>
    <s v="ETF-17"/>
    <s v="East Sea Fleet"/>
    <s v="DDG150 Changchun, FFG549 Changzhou, AOR890 Chao Hu"/>
    <m/>
    <m/>
  </r>
  <r>
    <x v="1"/>
    <x v="6"/>
    <s v="Europe and Central Asia"/>
    <s v="Comprehensive Strategic Partnership [全面战略伙伴关系]"/>
    <s v="None"/>
    <x v="1"/>
    <x v="30"/>
    <x v="23"/>
    <n v="9"/>
    <x v="3"/>
    <s v="Chang Wanquan"/>
    <m/>
    <s v="Defense Minister; CMC Member"/>
    <n v="8"/>
    <x v="2"/>
    <s v="Defense Minister"/>
    <x v="0"/>
    <m/>
    <x v="0"/>
    <m/>
    <x v="1"/>
    <m/>
    <m/>
    <m/>
    <m/>
    <m/>
  </r>
  <r>
    <x v="1"/>
    <x v="1"/>
    <s v="Asia"/>
    <s v="Comprehensive Strategic Cooperative Partnership [全面战略合作伙伴关系]"/>
    <s v="None"/>
    <x v="0"/>
    <x v="52"/>
    <x v="23"/>
    <n v="9"/>
    <x v="3"/>
    <s v="Chang Wanquan"/>
    <m/>
    <s v="Defense Minister; CMC Member"/>
    <n v="8"/>
    <x v="2"/>
    <s v="COGS"/>
    <x v="0"/>
    <m/>
    <x v="0"/>
    <m/>
    <x v="1"/>
    <m/>
    <m/>
    <m/>
    <m/>
    <m/>
  </r>
  <r>
    <x v="0"/>
    <x v="0"/>
    <s v="Asia"/>
    <s v="Strategic Partnership [战略伙伴关系]"/>
    <s v="Major Non-NATO Ally"/>
    <x v="1"/>
    <x v="2"/>
    <x v="23"/>
    <n v="9"/>
    <x v="0"/>
    <m/>
    <m/>
    <m/>
    <m/>
    <x v="0"/>
    <m/>
    <x v="0"/>
    <m/>
    <x v="0"/>
    <m/>
    <x v="2"/>
    <s v="ETF-17"/>
    <s v="East Sea Fleet"/>
    <s v="DDG150 Changchun, FFG549 Changzhou, AOR890 Chao Hu"/>
    <m/>
    <m/>
  </r>
  <r>
    <x v="1"/>
    <x v="8"/>
    <s v="Europe and Central Asia"/>
    <s v="Strategic Partnership [战略伙伴关系]"/>
    <s v="NATO"/>
    <x v="3"/>
    <x v="59"/>
    <x v="23"/>
    <n v="9"/>
    <x v="4"/>
    <s v="Chang Wanquan"/>
    <m/>
    <s v="Defense Minister; CMC Member"/>
    <n v="8"/>
    <x v="1"/>
    <m/>
    <x v="0"/>
    <m/>
    <x v="0"/>
    <m/>
    <x v="1"/>
    <m/>
    <m/>
    <m/>
    <m/>
    <m/>
  </r>
  <r>
    <x v="1"/>
    <x v="8"/>
    <s v="Europe and Central Asia"/>
    <s v="Comprehensive Friendly Cooperative Partnership [全面友好合作伙伴关系]"/>
    <s v="NATO"/>
    <x v="3"/>
    <x v="33"/>
    <x v="23"/>
    <n v="9"/>
    <x v="3"/>
    <s v="Xu Qiliang "/>
    <m/>
    <s v="CMC Vice Chairman"/>
    <n v="10"/>
    <x v="2"/>
    <s v="Defense Minister"/>
    <x v="0"/>
    <m/>
    <x v="0"/>
    <m/>
    <x v="1"/>
    <m/>
    <m/>
    <m/>
    <m/>
    <m/>
  </r>
  <r>
    <x v="1"/>
    <x v="1"/>
    <s v="Asia"/>
    <s v="No Specific Relationship"/>
    <s v="None"/>
    <x v="0"/>
    <x v="39"/>
    <x v="23"/>
    <n v="9"/>
    <x v="3"/>
    <s v="Wang Guanzhong"/>
    <m/>
    <s v="GSD DCGS"/>
    <n v="6"/>
    <x v="2"/>
    <m/>
    <x v="0"/>
    <m/>
    <x v="0"/>
    <m/>
    <x v="1"/>
    <m/>
    <m/>
    <m/>
    <m/>
    <m/>
  </r>
  <r>
    <x v="0"/>
    <x v="0"/>
    <s v="Asia"/>
    <s v="Strategic Cooperative Partnership [战略合作伙伴关系]"/>
    <s v="None"/>
    <x v="0"/>
    <x v="3"/>
    <x v="23"/>
    <n v="9"/>
    <x v="9"/>
    <m/>
    <m/>
    <m/>
    <m/>
    <x v="0"/>
    <m/>
    <x v="0"/>
    <m/>
    <x v="0"/>
    <m/>
    <x v="2"/>
    <s v="ETF-17"/>
    <s v="East Sea Fleet"/>
    <s v="DDG150 Changchun, FFG549 Changzhou, AOR890 Chao Hu"/>
    <m/>
    <m/>
  </r>
  <r>
    <x v="0"/>
    <x v="0"/>
    <s v="Asia"/>
    <s v="Strategic Cooperative Partnership [战略合作伙伴关系]"/>
    <s v="None"/>
    <x v="0"/>
    <x v="3"/>
    <x v="23"/>
    <n v="9"/>
    <x v="0"/>
    <m/>
    <m/>
    <m/>
    <m/>
    <x v="0"/>
    <m/>
    <x v="0"/>
    <m/>
    <x v="0"/>
    <m/>
    <x v="0"/>
    <s v="2014-09 SSK329"/>
    <s v="South Sea Fleet"/>
    <s v="PLA FR XJP draft p. 24"/>
    <m/>
    <m/>
  </r>
  <r>
    <x v="1"/>
    <x v="8"/>
    <s v="Europe and Central Asia"/>
    <s v="No Specific Relationship"/>
    <s v="None"/>
    <x v="3"/>
    <x v="78"/>
    <x v="23"/>
    <n v="9"/>
    <x v="3"/>
    <s v="Chang Wanquan"/>
    <m/>
    <s v="Defense Minister; CMC Member"/>
    <n v="8"/>
    <x v="2"/>
    <s v="Defense Minister"/>
    <x v="0"/>
    <m/>
    <x v="0"/>
    <m/>
    <x v="1"/>
    <m/>
    <m/>
    <m/>
    <m/>
    <m/>
  </r>
  <r>
    <x v="0"/>
    <x v="9"/>
    <s v="West Asia and Africa"/>
    <s v="Strategic Partnership [战略伙伴关系]"/>
    <s v="None"/>
    <x v="1"/>
    <x v="106"/>
    <x v="23"/>
    <n v="9"/>
    <x v="0"/>
    <m/>
    <m/>
    <m/>
    <m/>
    <x v="0"/>
    <m/>
    <x v="0"/>
    <m/>
    <x v="0"/>
    <m/>
    <x v="2"/>
    <s v="ETF-17"/>
    <s v="East Sea Fleet"/>
    <s v="DDG150 Changchun, FFG549 Changzhou, AOR890 Chao Hu"/>
    <m/>
    <m/>
  </r>
  <r>
    <x v="1"/>
    <x v="2"/>
    <s v="America and Oceania"/>
    <s v="No Specific Relationship"/>
    <s v="N/A"/>
    <x v="2"/>
    <x v="4"/>
    <x v="23"/>
    <n v="9"/>
    <x v="4"/>
    <s v="Huang Guoxian"/>
    <m/>
    <s v="MR Deputy Commander"/>
    <n v="5"/>
    <x v="1"/>
    <s v="PACAF Commander Carlisle"/>
    <x v="0"/>
    <m/>
    <x v="0"/>
    <m/>
    <x v="1"/>
    <m/>
    <m/>
    <m/>
    <s v="2015 CH Mil Power Report"/>
    <m/>
  </r>
  <r>
    <x v="1"/>
    <x v="5"/>
    <s v="America and Oceania"/>
    <s v="Comprehensive Strategic Partnership [全面战略伙伴关系]"/>
    <s v="ANZUS Treaty"/>
    <x v="0"/>
    <x v="12"/>
    <x v="23"/>
    <n v="10"/>
    <x v="3"/>
    <s v="Fan Changlong"/>
    <m/>
    <s v="CMC Vice Chairman"/>
    <n v="10"/>
    <x v="2"/>
    <s v="Defense Minister"/>
    <x v="0"/>
    <m/>
    <x v="0"/>
    <m/>
    <x v="1"/>
    <m/>
    <m/>
    <m/>
    <m/>
    <s v="DUPLICATE?"/>
  </r>
  <r>
    <x v="2"/>
    <x v="5"/>
    <s v="America and Oceania"/>
    <s v="Comprehensive Strategic Partnership [全面战略伙伴关系]"/>
    <s v="ANZUS Treaty"/>
    <x v="0"/>
    <x v="12"/>
    <x v="23"/>
    <n v="10"/>
    <x v="6"/>
    <m/>
    <m/>
    <m/>
    <m/>
    <x v="0"/>
    <m/>
    <x v="2"/>
    <s v="Kowari 2014"/>
    <x v="1"/>
    <s v="Survival skills. Other countries: United States "/>
    <x v="1"/>
    <m/>
    <m/>
    <m/>
    <s v="https://www.army-technology.com/news/newsexercise-kowari-14-concludes-in-australia-4419629/"/>
    <s v="DUPLICATE?"/>
  </r>
  <r>
    <x v="1"/>
    <x v="0"/>
    <s v="Asia"/>
    <s v="Comprehensive Cooperative Partnership [全面合作伙伴关系]"/>
    <s v="None"/>
    <x v="0"/>
    <x v="0"/>
    <x v="23"/>
    <n v="10"/>
    <x v="3"/>
    <s v="Wu Shengli"/>
    <m/>
    <s v="PLAN Commander; CMC Member"/>
    <n v="8"/>
    <x v="2"/>
    <s v="Navy Commander and Chief of Staff"/>
    <x v="0"/>
    <m/>
    <x v="0"/>
    <m/>
    <x v="1"/>
    <m/>
    <m/>
    <m/>
    <m/>
    <m/>
  </r>
  <r>
    <x v="1"/>
    <x v="8"/>
    <s v="Europe and Central Asia"/>
    <s v="Comprehensive Cooperative Partnership [全面合作伙伴关系]"/>
    <s v="None"/>
    <x v="3"/>
    <x v="158"/>
    <x v="23"/>
    <n v="10"/>
    <x v="3"/>
    <s v="Chang Wanquan"/>
    <m/>
    <s v="Defense Minister; CMC Member"/>
    <n v="8"/>
    <x v="2"/>
    <s v="Chairman EU Military Committee"/>
    <x v="0"/>
    <m/>
    <x v="0"/>
    <m/>
    <x v="1"/>
    <m/>
    <m/>
    <m/>
    <m/>
    <m/>
  </r>
  <r>
    <x v="1"/>
    <x v="8"/>
    <s v="Europe and Central Asia"/>
    <s v="No Specific Relationship"/>
    <s v="None"/>
    <x v="3"/>
    <x v="81"/>
    <x v="23"/>
    <n v="10"/>
    <x v="3"/>
    <s v="Xu Qiliang"/>
    <m/>
    <s v="CMC Vice Chairman"/>
    <n v="10"/>
    <x v="2"/>
    <s v="Defense Minister"/>
    <x v="0"/>
    <m/>
    <x v="0"/>
    <m/>
    <x v="1"/>
    <m/>
    <m/>
    <m/>
    <m/>
    <m/>
  </r>
  <r>
    <x v="1"/>
    <x v="8"/>
    <s v="Europe and Central Asia"/>
    <s v="Comprehensive Strategic Partnership [全面战略伙伴关系]"/>
    <s v="NATO"/>
    <x v="3"/>
    <x v="22"/>
    <x v="23"/>
    <n v="10"/>
    <x v="3"/>
    <s v="Fan Changlong"/>
    <m/>
    <s v="CMC Vice Chairman"/>
    <n v="10"/>
    <x v="2"/>
    <s v="Army Chief of Staff"/>
    <x v="0"/>
    <m/>
    <x v="0"/>
    <m/>
    <x v="1"/>
    <m/>
    <m/>
    <m/>
    <m/>
    <m/>
  </r>
  <r>
    <x v="2"/>
    <x v="1"/>
    <s v="Asia"/>
    <s v="Comprehensive Strategic Partnership [全面战略伙伴关系]"/>
    <s v="None"/>
    <x v="0"/>
    <x v="8"/>
    <x v="23"/>
    <n v="10"/>
    <x v="5"/>
    <m/>
    <m/>
    <m/>
    <m/>
    <x v="0"/>
    <m/>
    <x v="1"/>
    <s v="Sharp Knife 2014"/>
    <x v="5"/>
    <s v="Airborne forces"/>
    <x v="1"/>
    <m/>
    <m/>
    <m/>
    <m/>
    <m/>
  </r>
  <r>
    <x v="1"/>
    <x v="9"/>
    <s v="West Asia and Africa"/>
    <s v="No Specific Relationship"/>
    <s v="None"/>
    <x v="1"/>
    <x v="89"/>
    <x v="23"/>
    <n v="10"/>
    <x v="3"/>
    <s v="Chang Wanquan"/>
    <m/>
    <s v="Defense Minister; CMC Member"/>
    <n v="8"/>
    <x v="2"/>
    <s v="Navy Commander"/>
    <x v="0"/>
    <m/>
    <x v="0"/>
    <m/>
    <x v="1"/>
    <m/>
    <m/>
    <m/>
    <m/>
    <m/>
  </r>
  <r>
    <x v="1"/>
    <x v="4"/>
    <s v="Asia"/>
    <s v="Comprehensive Strategic Partnership [全面战略伙伴关系]"/>
    <s v="None"/>
    <x v="0"/>
    <x v="53"/>
    <x v="23"/>
    <n v="10"/>
    <x v="3"/>
    <s v="Sun Jianguo"/>
    <m/>
    <s v="GSD DCGS"/>
    <n v="6"/>
    <x v="2"/>
    <s v="Delegation for CIISS; Retired director of Mongolian Institute of Strategic Studies; former Mongolian Defense Minister"/>
    <x v="0"/>
    <m/>
    <x v="0"/>
    <m/>
    <x v="1"/>
    <m/>
    <m/>
    <m/>
    <m/>
    <m/>
  </r>
  <r>
    <x v="0"/>
    <x v="9"/>
    <s v="West Asia and Africa"/>
    <s v="No Specific Relationship"/>
    <s v="None"/>
    <x v="1"/>
    <x v="147"/>
    <x v="23"/>
    <n v="10"/>
    <x v="9"/>
    <m/>
    <m/>
    <m/>
    <m/>
    <x v="0"/>
    <m/>
    <x v="0"/>
    <m/>
    <x v="0"/>
    <m/>
    <x v="2"/>
    <s v="ETF-17"/>
    <s v="East Sea Fleet"/>
    <s v="DDG150 Changchun, FFG549 Changzhou, AOR890 Chao Hu"/>
    <m/>
    <m/>
  </r>
  <r>
    <x v="2"/>
    <x v="3"/>
    <s v="Europe and Central Asia"/>
    <s v="Comprehensive Collaborative Strategic Partnership [全面战略协作伙伴关系]"/>
    <s v="None"/>
    <x v="3"/>
    <x v="7"/>
    <x v="23"/>
    <n v="10"/>
    <x v="5"/>
    <m/>
    <m/>
    <m/>
    <m/>
    <x v="0"/>
    <m/>
    <x v="1"/>
    <s v="Lijian (Sharp Sword) 2014"/>
    <x v="4"/>
    <s v="Manzhouli drill; anti-terror and riot control"/>
    <x v="1"/>
    <m/>
    <m/>
    <m/>
    <s v="http://cc.pacforum.org/2015/01/russias-pride-chinas-power/"/>
    <m/>
  </r>
  <r>
    <x v="1"/>
    <x v="1"/>
    <s v="Asia"/>
    <s v="No Specific Relationship"/>
    <s v="None"/>
    <x v="0"/>
    <x v="39"/>
    <x v="23"/>
    <n v="10"/>
    <x v="3"/>
    <s v="Fan Changlong"/>
    <m/>
    <s v="CMC Vice Chairman"/>
    <n v="10"/>
    <x v="2"/>
    <s v="Deputy Prime Minister and Coordinating Minister for National Security"/>
    <x v="0"/>
    <m/>
    <x v="0"/>
    <m/>
    <x v="1"/>
    <m/>
    <m/>
    <m/>
    <m/>
    <m/>
  </r>
  <r>
    <x v="0"/>
    <x v="1"/>
    <s v="Asia"/>
    <s v="No Specific Relationship"/>
    <s v="None"/>
    <x v="0"/>
    <x v="39"/>
    <x v="23"/>
    <n v="10"/>
    <x v="13"/>
    <m/>
    <m/>
    <m/>
    <m/>
    <x v="0"/>
    <m/>
    <x v="0"/>
    <m/>
    <x v="0"/>
    <m/>
    <x v="2"/>
    <s v="ETF-17"/>
    <s v="East Sea Fleet"/>
    <s v="DDG150 Changchun, FFG549 Changzhou, AOR890 Chao Hu"/>
    <m/>
    <m/>
  </r>
  <r>
    <x v="0"/>
    <x v="0"/>
    <s v="Asia"/>
    <s v="Strategic Cooperative Partnership [战略合作伙伴关系]"/>
    <s v="None"/>
    <x v="0"/>
    <x v="3"/>
    <x v="23"/>
    <n v="10"/>
    <x v="9"/>
    <m/>
    <m/>
    <m/>
    <m/>
    <x v="0"/>
    <m/>
    <x v="0"/>
    <m/>
    <x v="0"/>
    <m/>
    <x v="2"/>
    <s v="ETF-17"/>
    <s v="East Sea Fleet"/>
    <s v="DDG150 Changchun, FFG549 Changzhou, AOR890 Chao Hu"/>
    <m/>
    <m/>
  </r>
  <r>
    <x v="1"/>
    <x v="7"/>
    <s v="West Asia and Africa"/>
    <s v="No Specific Relationship"/>
    <s v="None"/>
    <x v="4"/>
    <x v="74"/>
    <x v="23"/>
    <n v="10"/>
    <x v="3"/>
    <s v="Xu Qiliang"/>
    <m/>
    <s v="CMC Vice Chairman"/>
    <n v="10"/>
    <x v="2"/>
    <s v="Defense Minister"/>
    <x v="0"/>
    <m/>
    <x v="0"/>
    <m/>
    <x v="1"/>
    <m/>
    <m/>
    <m/>
    <m/>
    <m/>
  </r>
  <r>
    <x v="2"/>
    <x v="7"/>
    <s v="West Asia and Africa"/>
    <s v="Comprehensive Cooperative Partnership [全面合作伙伴关系]"/>
    <s v="None"/>
    <x v="4"/>
    <x v="16"/>
    <x v="23"/>
    <n v="10"/>
    <x v="5"/>
    <m/>
    <m/>
    <m/>
    <m/>
    <x v="0"/>
    <m/>
    <x v="1"/>
    <s v="Beyond 2014"/>
    <x v="2"/>
    <s v="marines; counter-terrorism scenario; &quot;marine tactics&quot; plus anti-piracy"/>
    <x v="1"/>
    <m/>
    <m/>
    <m/>
    <s v="http://www.fahamu.org/ep_articles/china-and-tanzania-conclude-historic-naval-exercise/"/>
    <m/>
  </r>
  <r>
    <x v="1"/>
    <x v="10"/>
    <s v="America and Oceania"/>
    <s v="Comprehensive Cooperative Partnership [全面合作伙伴关系]"/>
    <s v="None"/>
    <x v="5"/>
    <x v="75"/>
    <x v="23"/>
    <n v="10"/>
    <x v="4"/>
    <s v="Wang Guanzhong"/>
    <m/>
    <s v="GSD DCGS"/>
    <n v="6"/>
    <x v="1"/>
    <m/>
    <x v="0"/>
    <m/>
    <x v="0"/>
    <m/>
    <x v="1"/>
    <m/>
    <m/>
    <m/>
    <m/>
    <m/>
  </r>
  <r>
    <x v="1"/>
    <x v="2"/>
    <s v="America and Oceania"/>
    <s v="No Specific Relationship"/>
    <s v="N/A"/>
    <x v="2"/>
    <x v="4"/>
    <x v="23"/>
    <n v="10"/>
    <x v="4"/>
    <s v="Wang Guanzhong"/>
    <m/>
    <s v="GSD DCGS"/>
    <n v="6"/>
    <x v="1"/>
    <s v="USD(P) Wormouth"/>
    <x v="0"/>
    <m/>
    <x v="0"/>
    <m/>
    <x v="1"/>
    <m/>
    <m/>
    <m/>
    <s v="2015 CH Mil Power Report"/>
    <s v="15th DCTs; also met with DEP SECDEF and VCJS"/>
  </r>
  <r>
    <x v="1"/>
    <x v="1"/>
    <s v="Asia"/>
    <s v="Comprehensive Strategic Cooperative Partnership [全面战略合作伙伴关系]"/>
    <s v="None"/>
    <x v="0"/>
    <x v="23"/>
    <x v="23"/>
    <n v="10"/>
    <x v="3"/>
    <s v="Chang Wanquan"/>
    <m/>
    <s v="Defense Minister; CMC Member"/>
    <n v="8"/>
    <x v="2"/>
    <s v="Defense Minister"/>
    <x v="0"/>
    <m/>
    <x v="0"/>
    <m/>
    <x v="1"/>
    <m/>
    <m/>
    <m/>
    <m/>
    <m/>
  </r>
  <r>
    <x v="1"/>
    <x v="7"/>
    <s v="West Asia and Africa"/>
    <s v="No Specific Relationship"/>
    <s v="None"/>
    <x v="4"/>
    <x v="86"/>
    <x v="23"/>
    <n v="10"/>
    <x v="3"/>
    <s v="Chang Wanquan"/>
    <m/>
    <s v="Defense Minister; CMC Member"/>
    <n v="8"/>
    <x v="2"/>
    <s v="Defense Minister"/>
    <x v="0"/>
    <m/>
    <x v="0"/>
    <m/>
    <x v="1"/>
    <m/>
    <m/>
    <m/>
    <m/>
    <m/>
  </r>
  <r>
    <x v="1"/>
    <x v="8"/>
    <s v="Europe and Central Asia"/>
    <s v="Comprehensive Strategic Partnership [全面战略伙伴关系]"/>
    <s v="None"/>
    <x v="3"/>
    <x v="34"/>
    <x v="23"/>
    <n v="11"/>
    <x v="4"/>
    <s v="Wang Guanzhong"/>
    <m/>
    <s v="GSD DCGS"/>
    <n v="6"/>
    <x v="1"/>
    <m/>
    <x v="0"/>
    <m/>
    <x v="0"/>
    <m/>
    <x v="1"/>
    <m/>
    <m/>
    <m/>
    <m/>
    <m/>
  </r>
  <r>
    <x v="1"/>
    <x v="10"/>
    <s v="America and Oceania"/>
    <s v="Comprehensive Strategic Partnership [全面战略伙伴关系]"/>
    <s v="None"/>
    <x v="5"/>
    <x v="43"/>
    <x v="23"/>
    <n v="11"/>
    <x v="3"/>
    <s v="Fan Changlong"/>
    <m/>
    <s v="CMC Vice Chairman"/>
    <n v="10"/>
    <x v="2"/>
    <s v="Chief of the Joint Staff"/>
    <x v="0"/>
    <m/>
    <x v="0"/>
    <m/>
    <x v="1"/>
    <m/>
    <m/>
    <m/>
    <m/>
    <m/>
  </r>
  <r>
    <x v="1"/>
    <x v="1"/>
    <s v="Asia"/>
    <s v="Comprehensive Strategic Cooperative Partnership [全面战略合作伙伴关系]"/>
    <s v="None"/>
    <x v="0"/>
    <x v="94"/>
    <x v="23"/>
    <n v="11"/>
    <x v="3"/>
    <s v="Xu Qiliang"/>
    <m/>
    <s v="CMC Vice Chairman"/>
    <n v="10"/>
    <x v="2"/>
    <s v="CinC Armed Forces"/>
    <x v="0"/>
    <m/>
    <x v="0"/>
    <m/>
    <x v="1"/>
    <m/>
    <m/>
    <m/>
    <m/>
    <m/>
  </r>
  <r>
    <x v="1"/>
    <x v="2"/>
    <s v="America and Oceania"/>
    <s v="Strategic Partnership [战略伙伴关系]"/>
    <s v="NATO"/>
    <x v="2"/>
    <x v="17"/>
    <x v="23"/>
    <n v="11"/>
    <x v="3"/>
    <s v="Ma Xiaotian"/>
    <m/>
    <s v="PLAAF Commander; CMC Member"/>
    <n v="8"/>
    <x v="2"/>
    <s v="Air Force Commander"/>
    <x v="0"/>
    <m/>
    <x v="0"/>
    <m/>
    <x v="1"/>
    <m/>
    <m/>
    <m/>
    <m/>
    <m/>
  </r>
  <r>
    <x v="0"/>
    <x v="9"/>
    <s v="West Asia and Africa"/>
    <s v="No Specific Relationship"/>
    <s v="None"/>
    <x v="1"/>
    <x v="119"/>
    <x v="23"/>
    <n v="11"/>
    <x v="9"/>
    <m/>
    <m/>
    <m/>
    <m/>
    <x v="0"/>
    <m/>
    <x v="0"/>
    <m/>
    <x v="0"/>
    <m/>
    <x v="2"/>
    <s v="ETF-18"/>
    <s v="South Sea Fleet"/>
    <s v="LPD989 Changbai Shan, FFG571 Yuncheng, AOR890 Chao Hu"/>
    <m/>
    <m/>
  </r>
  <r>
    <x v="1"/>
    <x v="1"/>
    <s v="Asia"/>
    <s v="Comprehensive Cooperative Partnership [全面合作伙伴关系]"/>
    <s v="None"/>
    <x v="0"/>
    <x v="50"/>
    <x v="23"/>
    <n v="11"/>
    <x v="3"/>
    <s v="Fang Fenghui"/>
    <m/>
    <s v="GSD Commander; CMC Member"/>
    <n v="8"/>
    <x v="2"/>
    <s v="National Defense Force Commander"/>
    <x v="0"/>
    <m/>
    <x v="0"/>
    <m/>
    <x v="1"/>
    <m/>
    <m/>
    <m/>
    <m/>
    <m/>
  </r>
  <r>
    <x v="2"/>
    <x v="0"/>
    <s v="Asia"/>
    <s v="Strategic Partnership for Peace and Prosperity [战略伙伴关系]"/>
    <s v="None"/>
    <x v="0"/>
    <x v="6"/>
    <x v="23"/>
    <n v="11"/>
    <x v="5"/>
    <m/>
    <m/>
    <m/>
    <m/>
    <x v="0"/>
    <m/>
    <x v="1"/>
    <s v="Hand-in-Hand 2014"/>
    <x v="1"/>
    <s v="Anti-terrorism"/>
    <x v="1"/>
    <m/>
    <m/>
    <m/>
    <m/>
    <m/>
  </r>
  <r>
    <x v="1"/>
    <x v="6"/>
    <s v="Europe and Central Asia"/>
    <s v="Strategic Partnership [战略伙伴关系]"/>
    <s v="None"/>
    <x v="1"/>
    <x v="31"/>
    <x v="23"/>
    <n v="11"/>
    <x v="7"/>
    <s v="Chang Wanquan"/>
    <m/>
    <s v="Defense Minister; CMC Member"/>
    <n v="8"/>
    <x v="2"/>
    <s v="Defense Minister"/>
    <x v="0"/>
    <m/>
    <x v="0"/>
    <m/>
    <x v="1"/>
    <m/>
    <m/>
    <m/>
    <m/>
    <m/>
  </r>
  <r>
    <x v="1"/>
    <x v="1"/>
    <s v="Asia"/>
    <s v="Comprehensive Strategic Cooperative Partnership [全面战略合作伙伴关系]"/>
    <s v="None"/>
    <x v="0"/>
    <x v="52"/>
    <x v="23"/>
    <n v="11"/>
    <x v="3"/>
    <s v="Zhang Yang"/>
    <m/>
    <s v="GPD Director; CMC Member"/>
    <n v="8"/>
    <x v="2"/>
    <s v="Deputy Director of General Political Department"/>
    <x v="0"/>
    <m/>
    <x v="0"/>
    <m/>
    <x v="1"/>
    <m/>
    <m/>
    <m/>
    <m/>
    <m/>
  </r>
  <r>
    <x v="1"/>
    <x v="1"/>
    <s v="Asia"/>
    <s v="Comprehensive Strategic Partnership [全面战略伙伴关系]"/>
    <s v="None"/>
    <x v="0"/>
    <x v="10"/>
    <x v="23"/>
    <n v="11"/>
    <x v="3"/>
    <s v="Fang Fenghui"/>
    <m/>
    <s v="GSD Commander; CMC Member"/>
    <n v="8"/>
    <x v="2"/>
    <s v="Chief of Armed Forces"/>
    <x v="0"/>
    <m/>
    <x v="0"/>
    <m/>
    <x v="1"/>
    <m/>
    <m/>
    <m/>
    <m/>
    <m/>
  </r>
  <r>
    <x v="1"/>
    <x v="0"/>
    <s v="West Asia and Africa"/>
    <s v="Comprehensive Friendly Cooperative Partnership [全面友好合作伙伴关系]"/>
    <s v="None"/>
    <x v="0"/>
    <x v="149"/>
    <x v="23"/>
    <n v="11"/>
    <x v="3"/>
    <s v="Chang Wanquan"/>
    <m/>
    <s v="Defense Minister; CMC Member"/>
    <n v="8"/>
    <x v="2"/>
    <s v="Defense Minister"/>
    <x v="0"/>
    <m/>
    <x v="0"/>
    <m/>
    <x v="1"/>
    <m/>
    <m/>
    <m/>
    <m/>
    <m/>
  </r>
  <r>
    <x v="1"/>
    <x v="4"/>
    <s v="Asia"/>
    <s v="Comprehensive Strategic Partnership [全面战略伙伴关系]"/>
    <s v="None"/>
    <x v="0"/>
    <x v="53"/>
    <x v="23"/>
    <n v="11"/>
    <x v="3"/>
    <s v="Wang Guanzhong"/>
    <m/>
    <s v="GSD DCGS"/>
    <n v="6"/>
    <x v="2"/>
    <s v="Deputy Secretary of Defense"/>
    <x v="0"/>
    <m/>
    <x v="0"/>
    <m/>
    <x v="1"/>
    <m/>
    <m/>
    <m/>
    <m/>
    <m/>
  </r>
  <r>
    <x v="1"/>
    <x v="1"/>
    <s v="Asia"/>
    <s v="Comprehensive Strategic Cooperative Partnership [全面战略合作伙伴关系]"/>
    <s v="None"/>
    <x v="0"/>
    <x v="1"/>
    <x v="23"/>
    <n v="11"/>
    <x v="3"/>
    <s v="Wang Guanzhong"/>
    <m/>
    <s v="GSD DCGS"/>
    <n v="6"/>
    <x v="2"/>
    <s v="Armed Forces Chief of Staff"/>
    <x v="0"/>
    <m/>
    <x v="0"/>
    <m/>
    <x v="1"/>
    <m/>
    <m/>
    <m/>
    <m/>
    <m/>
  </r>
  <r>
    <x v="1"/>
    <x v="4"/>
    <s v="Asia"/>
    <s v="N/A"/>
    <s v="None"/>
    <x v="0"/>
    <x v="161"/>
    <x v="23"/>
    <n v="11"/>
    <x v="2"/>
    <s v="Chang Wanquan"/>
    <m/>
    <s v="Defense Minister; CMC Member"/>
    <n v="8"/>
    <x v="2"/>
    <s v="Xiangshan Forum 2014; Defense Minister"/>
    <x v="0"/>
    <m/>
    <x v="0"/>
    <m/>
    <x v="1"/>
    <m/>
    <m/>
    <m/>
    <s v="http://eng.mod.gov.cn/SpecialReports/node_46641.htm"/>
    <s v="First Xiangshan Forum to feature foreign government officials"/>
  </r>
  <r>
    <x v="0"/>
    <x v="9"/>
    <s v="West Asia and Africa"/>
    <s v="No Specific Relationship"/>
    <s v="None"/>
    <x v="1"/>
    <x v="147"/>
    <x v="23"/>
    <n v="11"/>
    <x v="9"/>
    <m/>
    <m/>
    <m/>
    <m/>
    <x v="0"/>
    <m/>
    <x v="0"/>
    <m/>
    <x v="0"/>
    <m/>
    <x v="2"/>
    <s v="ETF-18"/>
    <s v="South Sea Fleet"/>
    <s v="LPD989 Changbai Shan, FFG571 Yuncheng, AOR890 Chao Hu"/>
    <m/>
    <m/>
  </r>
  <r>
    <x v="1"/>
    <x v="0"/>
    <s v="Asia"/>
    <s v="Strategic Partnership [战略伙伴关系]"/>
    <s v="Major Non-NATO Ally"/>
    <x v="1"/>
    <x v="2"/>
    <x v="23"/>
    <n v="11"/>
    <x v="3"/>
    <s v="Xu Qiliang"/>
    <m/>
    <s v="CMC Vice Chairman"/>
    <n v="10"/>
    <x v="2"/>
    <s v="Chairman JCS"/>
    <x v="0"/>
    <m/>
    <x v="0"/>
    <m/>
    <x v="1"/>
    <m/>
    <m/>
    <m/>
    <m/>
    <m/>
  </r>
  <r>
    <x v="1"/>
    <x v="8"/>
    <s v="Europe and Central Asia"/>
    <s v="Strategic Partnership [战略伙伴关系]"/>
    <s v="NATO"/>
    <x v="3"/>
    <x v="59"/>
    <x v="23"/>
    <n v="11"/>
    <x v="3"/>
    <s v="Wang Guanzhong"/>
    <m/>
    <s v="GSD DCGS"/>
    <n v="6"/>
    <x v="2"/>
    <s v="Ministry of Defense Undersecretary of State"/>
    <x v="0"/>
    <m/>
    <x v="0"/>
    <m/>
    <x v="1"/>
    <m/>
    <m/>
    <m/>
    <m/>
    <m/>
  </r>
  <r>
    <x v="1"/>
    <x v="3"/>
    <s v="Europe and Central Asia"/>
    <s v="Comprehensive Collaborative Strategic Partnership [全面战略协作伙伴关系]"/>
    <s v="None"/>
    <x v="3"/>
    <x v="7"/>
    <x v="23"/>
    <n v="11"/>
    <x v="3"/>
    <s v="Xu Qiliang"/>
    <m/>
    <s v="CMC Vice Chairman"/>
    <n v="10"/>
    <x v="2"/>
    <s v="Defense Minister"/>
    <x v="0"/>
    <m/>
    <x v="0"/>
    <m/>
    <x v="1"/>
    <m/>
    <m/>
    <m/>
    <m/>
    <m/>
  </r>
  <r>
    <x v="1"/>
    <x v="8"/>
    <s v="Europe and Central Asia"/>
    <s v="Strategic Partnership [战略伙伴关系]"/>
    <s v="None"/>
    <x v="3"/>
    <x v="112"/>
    <x v="23"/>
    <n v="11"/>
    <x v="3"/>
    <s v="Fan Changlong"/>
    <m/>
    <s v="CMC Vice Chairman"/>
    <n v="10"/>
    <x v="2"/>
    <s v="Defense Minister"/>
    <x v="0"/>
    <m/>
    <x v="0"/>
    <m/>
    <x v="1"/>
    <m/>
    <m/>
    <m/>
    <m/>
    <m/>
  </r>
  <r>
    <x v="1"/>
    <x v="1"/>
    <s v="Asia"/>
    <s v="No Specific Relationship"/>
    <s v="None"/>
    <x v="0"/>
    <x v="39"/>
    <x v="23"/>
    <n v="11"/>
    <x v="3"/>
    <s v="Xu Qiliang"/>
    <m/>
    <s v="CMC Vice Chairman"/>
    <n v="10"/>
    <x v="2"/>
    <s v="Defense Minister"/>
    <x v="0"/>
    <m/>
    <x v="0"/>
    <m/>
    <x v="1"/>
    <m/>
    <m/>
    <m/>
    <m/>
    <m/>
  </r>
  <r>
    <x v="2"/>
    <x v="1"/>
    <s v="Asia"/>
    <s v="No Specific Relationship"/>
    <s v="None"/>
    <x v="0"/>
    <x v="39"/>
    <x v="23"/>
    <n v="11"/>
    <x v="5"/>
    <m/>
    <m/>
    <m/>
    <m/>
    <x v="0"/>
    <m/>
    <x v="1"/>
    <s v="Cooperation 2014"/>
    <x v="1"/>
    <s v="Security training"/>
    <x v="1"/>
    <m/>
    <m/>
    <m/>
    <m/>
    <m/>
  </r>
  <r>
    <x v="1"/>
    <x v="7"/>
    <s v="West Asia and Africa"/>
    <s v="Comprehensive Strategic Partnership [全面战略伙伴关系]"/>
    <s v="None"/>
    <x v="4"/>
    <x v="15"/>
    <x v="23"/>
    <n v="11"/>
    <x v="3"/>
    <s v="Zhao Keshi"/>
    <m/>
    <s v="GLD Director; CMC Member"/>
    <n v="8"/>
    <x v="2"/>
    <s v="Logistics Department  Director"/>
    <x v="0"/>
    <m/>
    <x v="0"/>
    <m/>
    <x v="1"/>
    <m/>
    <m/>
    <m/>
    <m/>
    <m/>
  </r>
  <r>
    <x v="1"/>
    <x v="6"/>
    <s v="Europe and Central Asia"/>
    <s v="Strategic Partnership [战略伙伴关系]"/>
    <s v="None"/>
    <x v="1"/>
    <x v="60"/>
    <x v="23"/>
    <n v="11"/>
    <x v="7"/>
    <s v="Chang Wanquan"/>
    <m/>
    <s v="Defense Minister; CMC Member"/>
    <n v="8"/>
    <x v="2"/>
    <s v="Defense Minister"/>
    <x v="0"/>
    <m/>
    <x v="0"/>
    <m/>
    <x v="1"/>
    <m/>
    <m/>
    <m/>
    <s v="http://eng.mod.gov.cn/SpecialReports/2014-11/21/content_4553604.htm "/>
    <m/>
  </r>
  <r>
    <x v="1"/>
    <x v="1"/>
    <s v="Asia"/>
    <s v="Comprehensive Strategic Cooperative Partnership [全面战略合作伙伴关系]"/>
    <s v="Bilateral Defense Treaty"/>
    <x v="0"/>
    <x v="5"/>
    <x v="23"/>
    <n v="11"/>
    <x v="3"/>
    <s v="Chang Wanquan"/>
    <m/>
    <s v="Defense Minister; CMC Member"/>
    <n v="8"/>
    <x v="2"/>
    <s v="Defense Minister"/>
    <x v="0"/>
    <m/>
    <x v="0"/>
    <m/>
    <x v="1"/>
    <m/>
    <m/>
    <m/>
    <m/>
    <m/>
  </r>
  <r>
    <x v="1"/>
    <x v="2"/>
    <s v="America and Oceania"/>
    <s v="No Specific Relationship"/>
    <s v="N/A"/>
    <x v="2"/>
    <x v="4"/>
    <x v="23"/>
    <n v="11"/>
    <x v="4"/>
    <s v="Sun Jianguo"/>
    <m/>
    <s v="GSD DCGS"/>
    <n v="6"/>
    <x v="1"/>
    <s v="DEP SECDEF Work"/>
    <x v="0"/>
    <m/>
    <x v="0"/>
    <m/>
    <x v="1"/>
    <m/>
    <m/>
    <m/>
    <s v="2015 CH Mil Power Report"/>
    <s v=" Also traveled to PACOM and Alaska"/>
  </r>
  <r>
    <x v="1"/>
    <x v="5"/>
    <s v="America and Oceania"/>
    <s v="Comprehensive Strategic Partnership [全面战略伙伴关系]"/>
    <s v="ANZUS Treaty"/>
    <x v="0"/>
    <x v="12"/>
    <x v="23"/>
    <n v="12"/>
    <x v="3"/>
    <s v="Fan Changlong"/>
    <m/>
    <s v="CMC Vice Chairman"/>
    <n v="10"/>
    <x v="2"/>
    <s v="ADF Chief"/>
    <x v="0"/>
    <m/>
    <x v="0"/>
    <m/>
    <x v="1"/>
    <m/>
    <m/>
    <m/>
    <m/>
    <m/>
  </r>
  <r>
    <x v="1"/>
    <x v="10"/>
    <s v="America and Oceania"/>
    <s v="No Specific Relationship"/>
    <s v="None"/>
    <x v="5"/>
    <x v="49"/>
    <x v="23"/>
    <n v="12"/>
    <x v="3"/>
    <s v="Chang Wanquan"/>
    <m/>
    <s v="Defense Minister; CMC Member"/>
    <n v="8"/>
    <x v="2"/>
    <s v="Minister of Armed Forces"/>
    <x v="0"/>
    <m/>
    <x v="0"/>
    <m/>
    <x v="1"/>
    <m/>
    <m/>
    <m/>
    <m/>
    <m/>
  </r>
  <r>
    <x v="1"/>
    <x v="8"/>
    <s v="Europe and Central Asia"/>
    <s v="Comprehensive Strategic Partnership [全面战略伙伴关系]"/>
    <s v="NATO"/>
    <x v="3"/>
    <x v="18"/>
    <x v="23"/>
    <n v="12"/>
    <x v="3"/>
    <s v="Sun Jianguo"/>
    <m/>
    <s v="GSD DCGS"/>
    <n v="6"/>
    <x v="2"/>
    <s v="Delegation for CIISS; former minister of the interior"/>
    <x v="0"/>
    <m/>
    <x v="0"/>
    <m/>
    <x v="1"/>
    <m/>
    <m/>
    <m/>
    <m/>
    <m/>
  </r>
  <r>
    <x v="1"/>
    <x v="8"/>
    <s v="Europe and Central Asia"/>
    <s v="Comprehensive Strategic Partnership [全面战略伙伴关系]"/>
    <s v="NATO"/>
    <x v="3"/>
    <x v="29"/>
    <x v="23"/>
    <n v="12"/>
    <x v="3"/>
    <s v="Sun Jianguo"/>
    <m/>
    <s v="GSD DCGS"/>
    <n v="6"/>
    <x v="2"/>
    <s v="Delegation for CIISS; former chief of defense staff"/>
    <x v="0"/>
    <m/>
    <x v="0"/>
    <m/>
    <x v="1"/>
    <m/>
    <m/>
    <m/>
    <m/>
    <m/>
  </r>
  <r>
    <x v="1"/>
    <x v="6"/>
    <s v="Europe and Central Asia"/>
    <s v="Comprehensive Strategic Partnership [全面战略伙伴关系]"/>
    <s v="None"/>
    <x v="1"/>
    <x v="30"/>
    <x v="23"/>
    <n v="12"/>
    <x v="3"/>
    <s v="Sun Jianguo"/>
    <m/>
    <s v="GSD DCGS"/>
    <n v="6"/>
    <x v="2"/>
    <s v="Delegation for CIISS; Kazakhstan Military Strategic Research Center"/>
    <x v="0"/>
    <m/>
    <x v="0"/>
    <m/>
    <x v="1"/>
    <m/>
    <m/>
    <m/>
    <m/>
    <m/>
  </r>
  <r>
    <x v="1"/>
    <x v="8"/>
    <s v="Europe and Central Asia"/>
    <s v="No Specific Relationship"/>
    <s v="None"/>
    <x v="3"/>
    <x v="99"/>
    <x v="23"/>
    <n v="12"/>
    <x v="3"/>
    <s v="Chang Wanquan"/>
    <m/>
    <s v="Defense Minister; CMC Member"/>
    <n v="8"/>
    <x v="2"/>
    <s v="State Secretary of Defense Ministry"/>
    <x v="0"/>
    <m/>
    <x v="0"/>
    <m/>
    <x v="1"/>
    <m/>
    <m/>
    <m/>
    <m/>
    <m/>
  </r>
  <r>
    <x v="2"/>
    <x v="1"/>
    <s v="Asia"/>
    <s v="Comprehensive Strategic Partnership [全面战略伙伴关系]"/>
    <s v="None"/>
    <x v="0"/>
    <x v="10"/>
    <x v="23"/>
    <n v="12"/>
    <x v="5"/>
    <m/>
    <m/>
    <m/>
    <m/>
    <x v="0"/>
    <m/>
    <x v="2"/>
    <s v="Peace and Friendship 2014"/>
    <x v="3"/>
    <m/>
    <x v="1"/>
    <m/>
    <m/>
    <m/>
    <m/>
    <m/>
  </r>
  <r>
    <x v="1"/>
    <x v="5"/>
    <s v="America and Oceania"/>
    <s v="Comprehensive Strategic Partnership [全面战略伙伴关系]"/>
    <s v="ANZUS Treaty"/>
    <x v="0"/>
    <x v="13"/>
    <x v="23"/>
    <n v="12"/>
    <x v="3"/>
    <s v="Chang Wanquan "/>
    <m/>
    <s v="Defense Minister; CMC Member"/>
    <n v="8"/>
    <x v="2"/>
    <s v="Deputy Secretary of Defense"/>
    <x v="0"/>
    <m/>
    <x v="0"/>
    <m/>
    <x v="1"/>
    <m/>
    <m/>
    <m/>
    <m/>
    <m/>
  </r>
  <r>
    <x v="1"/>
    <x v="8"/>
    <s v="Europe and Central Asia"/>
    <s v="Comprehensive Strategic Partnership [全面战略伙伴关系]"/>
    <s v="NATO"/>
    <x v="3"/>
    <x v="48"/>
    <x v="23"/>
    <n v="12"/>
    <x v="3"/>
    <s v="Ma Xiaotian"/>
    <m/>
    <s v="PLAAF Commander; CMC Member"/>
    <n v="8"/>
    <x v="2"/>
    <s v="Air Force Chief of Staff"/>
    <x v="0"/>
    <m/>
    <x v="0"/>
    <m/>
    <x v="1"/>
    <m/>
    <m/>
    <m/>
    <m/>
    <m/>
  </r>
  <r>
    <x v="2"/>
    <x v="2"/>
    <s v="America and Oceania"/>
    <s v="No Specific Relationship"/>
    <s v="N/A"/>
    <x v="2"/>
    <x v="4"/>
    <x v="23"/>
    <n v="12"/>
    <x v="5"/>
    <m/>
    <m/>
    <m/>
    <m/>
    <x v="0"/>
    <m/>
    <x v="4"/>
    <s v="None"/>
    <x v="2"/>
    <s v="anti-piracy drill, CUES"/>
    <x v="1"/>
    <m/>
    <m/>
    <m/>
    <m/>
    <m/>
  </r>
  <r>
    <x v="1"/>
    <x v="1"/>
    <s v="Asia"/>
    <s v="Comprehensive Strategic Cooperative Partnership [全面战略合作伙伴关系]"/>
    <s v="None"/>
    <x v="0"/>
    <x v="23"/>
    <x v="23"/>
    <n v="12"/>
    <x v="3"/>
    <s v="Jia Tingan"/>
    <m/>
    <s v="GPD Deputy Director"/>
    <n v="6"/>
    <x v="2"/>
    <s v="Political Work delegation"/>
    <x v="0"/>
    <m/>
    <x v="0"/>
    <m/>
    <x v="1"/>
    <m/>
    <m/>
    <m/>
    <m/>
    <m/>
  </r>
  <r>
    <x v="0"/>
    <x v="9"/>
    <s v="West Asia and Africa"/>
    <s v="No Specific Relationship"/>
    <s v="None"/>
    <x v="1"/>
    <x v="119"/>
    <x v="24"/>
    <n v="1"/>
    <x v="9"/>
    <m/>
    <m/>
    <m/>
    <m/>
    <x v="0"/>
    <m/>
    <x v="0"/>
    <m/>
    <x v="0"/>
    <m/>
    <x v="2"/>
    <s v="ETF-19"/>
    <s v="North Sea Fleet"/>
    <s v="FFG547 Linyi, FFG550 Weifang, AOR887 Weishan Hu"/>
    <m/>
    <m/>
  </r>
  <r>
    <x v="0"/>
    <x v="8"/>
    <s v="Europe and Central Asia"/>
    <s v="Comprehensive Strategic Partnership [全面战略伙伴关系]"/>
    <s v="NATO"/>
    <x v="3"/>
    <x v="18"/>
    <x v="24"/>
    <n v="1"/>
    <x v="0"/>
    <m/>
    <m/>
    <m/>
    <m/>
    <x v="0"/>
    <m/>
    <x v="0"/>
    <m/>
    <x v="0"/>
    <m/>
    <x v="2"/>
    <s v="ETF-18"/>
    <s v="South Sea Fleet"/>
    <s v="LPD989 Changbai Shan, FFG571 Yuncheng, AOR890 Chao Hu"/>
    <m/>
    <m/>
  </r>
  <r>
    <x v="0"/>
    <x v="8"/>
    <s v="Europe and Central Asia"/>
    <s v="Comprehensive Cooperative Partnership [全面合作伙伴关系]"/>
    <s v="NATO"/>
    <x v="3"/>
    <x v="117"/>
    <x v="24"/>
    <n v="1"/>
    <x v="0"/>
    <m/>
    <m/>
    <m/>
    <m/>
    <x v="0"/>
    <m/>
    <x v="0"/>
    <m/>
    <x v="0"/>
    <m/>
    <x v="2"/>
    <s v="ETF-18"/>
    <s v="South Sea Fleet"/>
    <s v="LPD989 Changbai Shan, FFG571 Yuncheng, AOR890 Chao Hu"/>
    <m/>
    <m/>
  </r>
  <r>
    <x v="0"/>
    <x v="9"/>
    <s v="West Asia and Africa"/>
    <s v="No Specific Relationship"/>
    <s v="None"/>
    <x v="1"/>
    <x v="147"/>
    <x v="24"/>
    <n v="1"/>
    <x v="9"/>
    <m/>
    <m/>
    <m/>
    <m/>
    <x v="0"/>
    <m/>
    <x v="0"/>
    <m/>
    <x v="0"/>
    <m/>
    <x v="2"/>
    <s v="ETF-19"/>
    <s v="North Sea Fleet"/>
    <s v="FFG547 Linyi, FFG550 Weifang, AOR887 Weishan Hu"/>
    <m/>
    <m/>
  </r>
  <r>
    <x v="0"/>
    <x v="8"/>
    <s v="Europe and Central Asia"/>
    <s v="Comprehensive Strategic Partnership [全面战略伙伴关系]"/>
    <s v="NATO"/>
    <x v="3"/>
    <x v="21"/>
    <x v="24"/>
    <n v="1"/>
    <x v="0"/>
    <m/>
    <m/>
    <m/>
    <m/>
    <x v="0"/>
    <m/>
    <x v="0"/>
    <m/>
    <x v="0"/>
    <m/>
    <x v="2"/>
    <s v="ETF-19"/>
    <s v="North Sea Fleet"/>
    <s v="FFG547 Linyi, FFG550 Weifang, AOR887 Weishan Hu"/>
    <m/>
    <m/>
  </r>
  <r>
    <x v="2"/>
    <x v="2"/>
    <s v="America and Oceania"/>
    <s v="No Specific Relationship"/>
    <s v="N/A"/>
    <x v="2"/>
    <x v="4"/>
    <x v="24"/>
    <n v="1"/>
    <x v="5"/>
    <m/>
    <m/>
    <m/>
    <m/>
    <x v="0"/>
    <m/>
    <x v="2"/>
    <s v="10th Disaster Management Exchange"/>
    <x v="1"/>
    <s v="Guangzhou and Haikou; HADR with academic discussion, TTX, and field exchange; planned for 2014"/>
    <x v="1"/>
    <m/>
    <m/>
    <m/>
    <s v="https://www.pacom.mil/Media/News/Article/565021/china-us-disaster-management-exchange/"/>
    <s v=" "/>
  </r>
  <r>
    <x v="2"/>
    <x v="8"/>
    <s v="Europe and Central Asia"/>
    <s v="Comprehensive Strategic Partnership [全面战略伙伴关系]"/>
    <s v="NATO"/>
    <x v="3"/>
    <x v="22"/>
    <x v="24"/>
    <n v="2"/>
    <x v="5"/>
    <m/>
    <m/>
    <m/>
    <m/>
    <x v="0"/>
    <m/>
    <x v="2"/>
    <s v="None"/>
    <x v="2"/>
    <s v="communication and fleet maneuvers; ETF-18"/>
    <x v="1"/>
    <m/>
    <m/>
    <m/>
    <m/>
    <m/>
  </r>
  <r>
    <x v="0"/>
    <x v="8"/>
    <s v="Europe and Central Asia"/>
    <s v="Comprehensive Strategic Partnership [全面战略伙伴关系]"/>
    <s v="NATO"/>
    <x v="3"/>
    <x v="22"/>
    <x v="24"/>
    <n v="2"/>
    <x v="0"/>
    <m/>
    <m/>
    <m/>
    <m/>
    <x v="0"/>
    <m/>
    <x v="0"/>
    <m/>
    <x v="0"/>
    <m/>
    <x v="2"/>
    <s v="ETF-18"/>
    <s v="South Sea Fleet"/>
    <s v="LPD989 Changbai Shan, FFG571 Yuncheng, AOR890 Chao Hu"/>
    <m/>
    <m/>
  </r>
  <r>
    <x v="2"/>
    <x v="8"/>
    <s v="Europe and Central Asia"/>
    <s v="Comprehensive Strategic Partnership [全面战略伙伴关系]"/>
    <s v="NATO"/>
    <x v="3"/>
    <x v="29"/>
    <x v="24"/>
    <n v="2"/>
    <x v="5"/>
    <m/>
    <m/>
    <m/>
    <m/>
    <x v="0"/>
    <m/>
    <x v="2"/>
    <s v="None"/>
    <x v="2"/>
    <s v="communication and fleet maneuvers; ETF-18"/>
    <x v="1"/>
    <m/>
    <m/>
    <m/>
    <m/>
    <m/>
  </r>
  <r>
    <x v="0"/>
    <x v="8"/>
    <s v="Europe and Central Asia"/>
    <s v="Comprehensive Strategic Partnership [全面战略伙伴关系]"/>
    <s v="NATO"/>
    <x v="3"/>
    <x v="29"/>
    <x v="24"/>
    <n v="2"/>
    <x v="0"/>
    <m/>
    <m/>
    <m/>
    <m/>
    <x v="0"/>
    <m/>
    <x v="0"/>
    <m/>
    <x v="0"/>
    <m/>
    <x v="2"/>
    <s v="ETF-18"/>
    <s v="South Sea Fleet"/>
    <s v="LPD989 Changbai Shan, FFG571 Yuncheng, AOR890 Chao Hu"/>
    <m/>
    <m/>
  </r>
  <r>
    <x v="1"/>
    <x v="8"/>
    <s v="Europe and Central Asia"/>
    <s v="Strategic Partnership [战略伙伴关系]"/>
    <s v="NATO"/>
    <x v="3"/>
    <x v="59"/>
    <x v="24"/>
    <n v="2"/>
    <x v="3"/>
    <s v="Sun Jianguo"/>
    <m/>
    <s v="GSD DCGS"/>
    <n v="6"/>
    <x v="2"/>
    <s v="Commander, Multi-Service Joint GHQ of Armed Forces"/>
    <x v="0"/>
    <m/>
    <x v="0"/>
    <m/>
    <x v="1"/>
    <m/>
    <m/>
    <m/>
    <m/>
    <m/>
  </r>
  <r>
    <x v="1"/>
    <x v="4"/>
    <s v="Asia"/>
    <s v="Strategic Cooperative Partnership [战略合作伙伴关系]"/>
    <s v="Bilateral Defense Treaty"/>
    <x v="0"/>
    <x v="25"/>
    <x v="24"/>
    <n v="2"/>
    <x v="4"/>
    <s v="Chang Wanquan"/>
    <m/>
    <s v="Defense Minister; CMC Member"/>
    <n v="8"/>
    <x v="1"/>
    <m/>
    <x v="0"/>
    <m/>
    <x v="0"/>
    <m/>
    <x v="1"/>
    <m/>
    <m/>
    <m/>
    <m/>
    <m/>
  </r>
  <r>
    <x v="1"/>
    <x v="1"/>
    <s v="Asia"/>
    <s v="Comprehensive Strategic Cooperative Partnership [全面战略合作伙伴关系]"/>
    <s v="Bilateral Defense Treaty"/>
    <x v="0"/>
    <x v="5"/>
    <x v="24"/>
    <n v="2"/>
    <x v="4"/>
    <s v="Chang Wanquan"/>
    <m/>
    <s v="Defense Minister; CMC Member"/>
    <n v="8"/>
    <x v="1"/>
    <m/>
    <x v="0"/>
    <m/>
    <x v="0"/>
    <m/>
    <x v="1"/>
    <m/>
    <m/>
    <m/>
    <m/>
    <m/>
  </r>
  <r>
    <x v="2"/>
    <x v="1"/>
    <s v="Asia"/>
    <s v="Comprehensive Strategic Cooperative Partnership [全面战略合作伙伴关系]"/>
    <s v="Bilateral Defense Treaty"/>
    <x v="0"/>
    <x v="5"/>
    <x v="24"/>
    <n v="2"/>
    <x v="6"/>
    <m/>
    <m/>
    <m/>
    <m/>
    <x v="0"/>
    <m/>
    <x v="2"/>
    <s v="Cobra Gold 2015"/>
    <x v="1"/>
    <s v="HADR"/>
    <x v="1"/>
    <m/>
    <m/>
    <m/>
    <s v="https://th.usembassy.gov/exercise-cobra-gold-2015-to-begin-february-9-2015/"/>
    <m/>
  </r>
  <r>
    <x v="1"/>
    <x v="8"/>
    <s v="Europe and Central Asia"/>
    <s v="No Specific Relationship"/>
    <s v="NATO"/>
    <x v="3"/>
    <x v="58"/>
    <x v="24"/>
    <n v="3"/>
    <x v="4"/>
    <s v="Sun Jianguo"/>
    <m/>
    <s v="GSD DCGS"/>
    <n v="6"/>
    <x v="1"/>
    <m/>
    <x v="0"/>
    <m/>
    <x v="0"/>
    <m/>
    <x v="1"/>
    <m/>
    <m/>
    <m/>
    <m/>
    <m/>
  </r>
  <r>
    <x v="1"/>
    <x v="8"/>
    <s v="Europe and Central Asia"/>
    <s v="Comprehensive Strategic Partnership [全面战略伙伴关系]"/>
    <s v="NATO"/>
    <x v="3"/>
    <x v="22"/>
    <x v="24"/>
    <n v="3"/>
    <x v="3"/>
    <s v="Wu Shengli"/>
    <m/>
    <s v="PLAN Commander; CMC Member"/>
    <n v="8"/>
    <x v="2"/>
    <s v="Navy Chief of Staff"/>
    <x v="0"/>
    <m/>
    <x v="0"/>
    <m/>
    <x v="1"/>
    <m/>
    <m/>
    <m/>
    <m/>
    <m/>
  </r>
  <r>
    <x v="1"/>
    <x v="0"/>
    <s v="Asia"/>
    <s v="Strategic Partnership for Peace and Prosperity [战略伙伴关系]"/>
    <s v="None"/>
    <x v="0"/>
    <x v="6"/>
    <x v="24"/>
    <n v="3"/>
    <x v="3"/>
    <s v="Sun Jianguo"/>
    <m/>
    <s v="GSD DCGS"/>
    <n v="6"/>
    <x v="2"/>
    <s v="Military delegation"/>
    <x v="0"/>
    <m/>
    <x v="0"/>
    <m/>
    <x v="1"/>
    <m/>
    <m/>
    <m/>
    <m/>
    <m/>
  </r>
  <r>
    <x v="1"/>
    <x v="7"/>
    <s v="West Asia and Africa"/>
    <s v="No Specific Relationship"/>
    <s v="None"/>
    <x v="4"/>
    <x v="69"/>
    <x v="24"/>
    <n v="3"/>
    <x v="4"/>
    <s v="Chang Wanquan"/>
    <m/>
    <s v="Defense Minister; CMC Member"/>
    <n v="8"/>
    <x v="1"/>
    <m/>
    <x v="0"/>
    <m/>
    <x v="0"/>
    <m/>
    <x v="1"/>
    <m/>
    <m/>
    <m/>
    <m/>
    <m/>
  </r>
  <r>
    <x v="0"/>
    <x v="9"/>
    <s v="West Asia and Africa"/>
    <s v="No Specific Relationship"/>
    <s v="None"/>
    <x v="1"/>
    <x v="147"/>
    <x v="24"/>
    <n v="3"/>
    <x v="9"/>
    <m/>
    <m/>
    <m/>
    <m/>
    <x v="0"/>
    <m/>
    <x v="0"/>
    <m/>
    <x v="0"/>
    <m/>
    <x v="2"/>
    <s v="ETF-19"/>
    <s v="North Sea Fleet"/>
    <s v="FFG547 Linyi, FFG550 Weifang, AOR887 Weishan Hu"/>
    <m/>
    <m/>
  </r>
  <r>
    <x v="1"/>
    <x v="0"/>
    <s v="Asia"/>
    <s v="All-Weather Strategic Cooperative Partnership [全天候战略合作伙伴关系]"/>
    <s v="Major Non-NATO Ally"/>
    <x v="1"/>
    <x v="2"/>
    <x v="24"/>
    <n v="3"/>
    <x v="3"/>
    <s v="Fan Changlong"/>
    <m/>
    <s v="CMC Vice Chairman"/>
    <n v="10"/>
    <x v="2"/>
    <s v="Navy Chief of Staff"/>
    <x v="0"/>
    <m/>
    <x v="0"/>
    <m/>
    <x v="1"/>
    <m/>
    <m/>
    <m/>
    <m/>
    <m/>
  </r>
  <r>
    <x v="1"/>
    <x v="8"/>
    <s v="Europe and Central Asia"/>
    <s v="Strategic Partnership [战略伙伴关系]"/>
    <s v="NATO"/>
    <x v="3"/>
    <x v="59"/>
    <x v="24"/>
    <n v="3"/>
    <x v="4"/>
    <s v="Sun Jianguo"/>
    <m/>
    <s v="GSD DCGS"/>
    <n v="6"/>
    <x v="1"/>
    <m/>
    <x v="0"/>
    <m/>
    <x v="0"/>
    <m/>
    <x v="1"/>
    <m/>
    <m/>
    <m/>
    <m/>
    <m/>
  </r>
  <r>
    <x v="1"/>
    <x v="8"/>
    <s v="Europe and Central Asia"/>
    <s v="Comprehensive Friendly Cooperative Partnership [全面友好合作伙伴关系]"/>
    <s v="NATO"/>
    <x v="3"/>
    <x v="33"/>
    <x v="24"/>
    <n v="3"/>
    <x v="4"/>
    <s v="Sun Jianguo"/>
    <m/>
    <s v="GSD DCGS"/>
    <n v="6"/>
    <x v="1"/>
    <m/>
    <x v="0"/>
    <m/>
    <x v="0"/>
    <m/>
    <x v="1"/>
    <m/>
    <m/>
    <m/>
    <m/>
    <m/>
  </r>
  <r>
    <x v="1"/>
    <x v="3"/>
    <s v="Europe and Central Asia"/>
    <s v="Comprehensive Collaborative Strategic Partnership [全面战略协作伙伴关系]"/>
    <s v="None"/>
    <x v="3"/>
    <x v="7"/>
    <x v="24"/>
    <n v="3"/>
    <x v="3"/>
    <s v="Qi Jianguo"/>
    <m/>
    <s v="GSD DCGS"/>
    <n v="6"/>
    <x v="2"/>
    <s v="DCOGS and concurrent Chief of Main Communications Directorate"/>
    <x v="0"/>
    <m/>
    <x v="0"/>
    <m/>
    <x v="1"/>
    <m/>
    <m/>
    <m/>
    <m/>
    <m/>
  </r>
  <r>
    <x v="0"/>
    <x v="1"/>
    <s v="Asia"/>
    <s v="All-Round Cooperative Partnership [全方合作伙伴关系]"/>
    <s v="None"/>
    <x v="0"/>
    <x v="39"/>
    <x v="24"/>
    <n v="3"/>
    <x v="0"/>
    <m/>
    <m/>
    <m/>
    <m/>
    <x v="0"/>
    <m/>
    <x v="0"/>
    <m/>
    <x v="0"/>
    <m/>
    <x v="2"/>
    <s v="ETF-18"/>
    <s v="South Sea Fleet"/>
    <s v="LPD989 Changbai Shan, FFG571 Yuncheng, AOR890 Chao Hu"/>
    <m/>
    <m/>
  </r>
  <r>
    <x v="1"/>
    <x v="1"/>
    <s v="Asia"/>
    <s v="Comprehensive Strategic Cooperative Partnership [全面战略合作伙伴关系]"/>
    <s v="Bilateral Defense Treaty"/>
    <x v="0"/>
    <x v="5"/>
    <x v="24"/>
    <n v="3"/>
    <x v="3"/>
    <s v="Qi Jianguo"/>
    <m/>
    <s v="GSD DCGS"/>
    <n v="6"/>
    <x v="2"/>
    <s v="Commander, Counter-terrorism Center of Supreme Command HQ"/>
    <x v="0"/>
    <m/>
    <x v="0"/>
    <m/>
    <x v="1"/>
    <m/>
    <m/>
    <m/>
    <m/>
    <m/>
  </r>
  <r>
    <x v="1"/>
    <x v="8"/>
    <s v="Europe and Central Asia"/>
    <s v="Comprehensive Strategic Partnership [全面战略伙伴关系]"/>
    <s v="NATO"/>
    <x v="3"/>
    <x v="21"/>
    <x v="24"/>
    <n v="3"/>
    <x v="3"/>
    <s v="Xu Qiliang"/>
    <m/>
    <s v="CMC Vice Chairman"/>
    <n v="10"/>
    <x v="2"/>
    <s v="COGS"/>
    <x v="0"/>
    <m/>
    <x v="0"/>
    <m/>
    <x v="1"/>
    <m/>
    <m/>
    <m/>
    <m/>
    <m/>
  </r>
  <r>
    <x v="1"/>
    <x v="2"/>
    <s v="America and Oceania"/>
    <s v="No Specific Relationship"/>
    <s v="N/A"/>
    <x v="2"/>
    <x v="4"/>
    <x v="24"/>
    <n v="3"/>
    <x v="4"/>
    <s v="Sun Jianguo"/>
    <m/>
    <s v="GSD DCGS"/>
    <n v="6"/>
    <x v="1"/>
    <m/>
    <x v="0"/>
    <m/>
    <x v="0"/>
    <m/>
    <x v="1"/>
    <m/>
    <m/>
    <m/>
    <m/>
    <m/>
  </r>
  <r>
    <x v="1"/>
    <x v="7"/>
    <s v="West Asia and Africa"/>
    <s v="No Specific Relationship"/>
    <s v="None"/>
    <x v="4"/>
    <x v="86"/>
    <x v="24"/>
    <n v="3"/>
    <x v="4"/>
    <s v="Chang Wanquan"/>
    <m/>
    <s v="Defense Minister; CMC Member"/>
    <n v="8"/>
    <x v="1"/>
    <m/>
    <x v="0"/>
    <m/>
    <x v="0"/>
    <m/>
    <x v="1"/>
    <m/>
    <m/>
    <m/>
    <m/>
    <m/>
  </r>
  <r>
    <x v="1"/>
    <x v="10"/>
    <s v="America and Oceania"/>
    <s v="Comprehensive Strategic Partnership [全面战略伙伴关系]"/>
    <s v="Major Non-NATO Ally"/>
    <x v="5"/>
    <x v="62"/>
    <x v="24"/>
    <n v="4"/>
    <x v="4"/>
    <s v="Sun Jianguo"/>
    <m/>
    <s v="GSD DCGS"/>
    <n v="6"/>
    <x v="1"/>
    <m/>
    <x v="0"/>
    <m/>
    <x v="0"/>
    <m/>
    <x v="1"/>
    <m/>
    <m/>
    <m/>
    <m/>
    <m/>
  </r>
  <r>
    <x v="1"/>
    <x v="8"/>
    <s v="Europe and Central Asia"/>
    <s v="Comprehensive Strategic Partnership [全面战略伙伴关系]"/>
    <s v="None"/>
    <x v="3"/>
    <x v="34"/>
    <x v="24"/>
    <n v="4"/>
    <x v="3"/>
    <s v="Xu Qiliang"/>
    <m/>
    <s v="CMC Vice Chairman"/>
    <n v="10"/>
    <x v="2"/>
    <s v="Security Council Secretary"/>
    <x v="0"/>
    <m/>
    <x v="0"/>
    <m/>
    <x v="1"/>
    <m/>
    <m/>
    <m/>
    <m/>
    <m/>
  </r>
  <r>
    <x v="1"/>
    <x v="10"/>
    <s v="America and Oceania"/>
    <s v="Comprehensive Strategic Partnership [全面战略伙伴关系]"/>
    <s v="None"/>
    <x v="5"/>
    <x v="43"/>
    <x v="24"/>
    <n v="4"/>
    <x v="4"/>
    <s v="Sun Jianguo"/>
    <m/>
    <s v="GSD DCGS"/>
    <n v="6"/>
    <x v="1"/>
    <m/>
    <x v="0"/>
    <m/>
    <x v="0"/>
    <m/>
    <x v="1"/>
    <m/>
    <m/>
    <m/>
    <m/>
    <m/>
  </r>
  <r>
    <x v="1"/>
    <x v="10"/>
    <s v="America and Oceania"/>
    <s v="Strategic Partnership [战略伙伴关系]"/>
    <s v="None"/>
    <x v="5"/>
    <x v="66"/>
    <x v="24"/>
    <n v="4"/>
    <x v="3"/>
    <s v="Chang Wanquan"/>
    <m/>
    <s v="Defense Minister; CMC Member"/>
    <n v="8"/>
    <x v="2"/>
    <s v="Air Force Commander"/>
    <x v="0"/>
    <m/>
    <x v="0"/>
    <m/>
    <x v="1"/>
    <m/>
    <m/>
    <m/>
    <m/>
    <m/>
  </r>
  <r>
    <x v="1"/>
    <x v="9"/>
    <s v="West Asia and Africa"/>
    <s v="Comprehensive Strategic Partnership [全面战略伙伴关系]"/>
    <s v="Major Non-NATO Ally"/>
    <x v="1"/>
    <x v="24"/>
    <x v="24"/>
    <n v="4"/>
    <x v="3"/>
    <s v="Fan Changlong"/>
    <m/>
    <s v="CMC Vice Chairman"/>
    <n v="10"/>
    <x v="2"/>
    <s v="Defense Minister"/>
    <x v="0"/>
    <m/>
    <x v="0"/>
    <m/>
    <x v="1"/>
    <m/>
    <m/>
    <m/>
    <m/>
    <m/>
  </r>
  <r>
    <x v="1"/>
    <x v="8"/>
    <s v="Europe and Central Asia"/>
    <s v="No Specific Relationship"/>
    <s v="None"/>
    <x v="3"/>
    <x v="81"/>
    <x v="24"/>
    <n v="4"/>
    <x v="3"/>
    <s v="Zhao Keshi"/>
    <m/>
    <s v="GLD Director; CMC Member"/>
    <n v="8"/>
    <x v="2"/>
    <s v="DCOGS"/>
    <x v="0"/>
    <m/>
    <x v="0"/>
    <m/>
    <x v="1"/>
    <m/>
    <m/>
    <m/>
    <m/>
    <m/>
  </r>
  <r>
    <x v="1"/>
    <x v="8"/>
    <s v="Europe and Central Asia"/>
    <s v="Comprehensive Strategic Partnership [全面战略伙伴关系]"/>
    <s v="NATO"/>
    <x v="3"/>
    <x v="22"/>
    <x v="24"/>
    <n v="4"/>
    <x v="3"/>
    <s v="Fang Fenghui"/>
    <m/>
    <s v="GSD Commander; CMC Member"/>
    <n v="8"/>
    <x v="2"/>
    <s v="Navy Chief of Staff"/>
    <x v="0"/>
    <m/>
    <x v="0"/>
    <m/>
    <x v="1"/>
    <m/>
    <m/>
    <m/>
    <m/>
    <m/>
  </r>
  <r>
    <x v="1"/>
    <x v="0"/>
    <s v="Asia"/>
    <s v="Strategic Partnership for Peace and Prosperity [战略伙伴关系]"/>
    <s v="None"/>
    <x v="0"/>
    <x v="6"/>
    <x v="24"/>
    <n v="4"/>
    <x v="3"/>
    <s v="Chang Wanquan"/>
    <m/>
    <s v="Defense Minister; CMC Member"/>
    <n v="8"/>
    <x v="2"/>
    <s v="Defense Secretary"/>
    <x v="0"/>
    <m/>
    <x v="0"/>
    <m/>
    <x v="1"/>
    <m/>
    <m/>
    <m/>
    <m/>
    <m/>
  </r>
  <r>
    <x v="1"/>
    <x v="9"/>
    <s v="West Asia and Africa"/>
    <s v="No Specific Relationship"/>
    <s v="None"/>
    <x v="1"/>
    <x v="89"/>
    <x v="24"/>
    <n v="4"/>
    <x v="4"/>
    <s v="Chang Wanquan"/>
    <m/>
    <s v="Defense Minister; CMC Member"/>
    <n v="8"/>
    <x v="1"/>
    <s v="Defense Minister"/>
    <x v="0"/>
    <m/>
    <x v="0"/>
    <m/>
    <x v="1"/>
    <m/>
    <m/>
    <m/>
    <m/>
    <m/>
  </r>
  <r>
    <x v="1"/>
    <x v="7"/>
    <s v="West Asia and Africa"/>
    <s v="No Specific Relationship"/>
    <s v="None"/>
    <x v="4"/>
    <x v="140"/>
    <x v="24"/>
    <n v="4"/>
    <x v="3"/>
    <s v="Chang Wanquan"/>
    <m/>
    <s v="Defense Minister; CMC Member"/>
    <n v="8"/>
    <x v="2"/>
    <s v="Defense Minister"/>
    <x v="0"/>
    <m/>
    <x v="0"/>
    <m/>
    <x v="1"/>
    <m/>
    <m/>
    <m/>
    <m/>
    <m/>
  </r>
  <r>
    <x v="0"/>
    <x v="7"/>
    <s v="West Asia and Africa"/>
    <s v="No Specific Relationship"/>
    <s v="None"/>
    <x v="4"/>
    <x v="162"/>
    <x v="24"/>
    <n v="4"/>
    <x v="0"/>
    <m/>
    <m/>
    <m/>
    <m/>
    <x v="0"/>
    <m/>
    <x v="0"/>
    <m/>
    <x v="0"/>
    <m/>
    <x v="0"/>
    <s v="2015-04 Zhu Kezhen "/>
    <s v="East Sea Fleet"/>
    <s v="survey ship"/>
    <m/>
    <m/>
  </r>
  <r>
    <x v="1"/>
    <x v="4"/>
    <s v="Asia"/>
    <s v="Comprehensive Strategic Partnership [全面战略伙伴关系]"/>
    <s v="None"/>
    <x v="0"/>
    <x v="53"/>
    <x v="24"/>
    <n v="4"/>
    <x v="3"/>
    <s v="Chang Wanquan"/>
    <m/>
    <s v="Defense Minister; CMC Member"/>
    <n v="8"/>
    <x v="2"/>
    <s v="Commander of General Purpose Troops"/>
    <x v="0"/>
    <m/>
    <x v="0"/>
    <m/>
    <x v="1"/>
    <m/>
    <m/>
    <m/>
    <m/>
    <m/>
  </r>
  <r>
    <x v="1"/>
    <x v="1"/>
    <s v="Asia"/>
    <s v="Comprehensive Strategic Cooperative Partnership [全面战略合作伙伴关系]"/>
    <s v="None"/>
    <x v="0"/>
    <x v="1"/>
    <x v="24"/>
    <n v="4"/>
    <x v="3"/>
    <s v="Fang Fenghui"/>
    <m/>
    <s v="GSD Commander; CMC Member"/>
    <n v="8"/>
    <x v="2"/>
    <s v="Chief of Second Bureau of Special Operations, Myanmar Army"/>
    <x v="0"/>
    <m/>
    <x v="0"/>
    <m/>
    <x v="1"/>
    <m/>
    <m/>
    <m/>
    <m/>
    <m/>
  </r>
  <r>
    <x v="1"/>
    <x v="3"/>
    <s v="Europe and Central Asia"/>
    <s v="Comprehensive Collaborative Strategic Partnership [全面战略协作伙伴关系]"/>
    <s v="None"/>
    <x v="3"/>
    <x v="7"/>
    <x v="24"/>
    <n v="4"/>
    <x v="4"/>
    <s v="Chang Wanquan"/>
    <m/>
    <s v="Defense Minister; CMC Member"/>
    <n v="8"/>
    <x v="1"/>
    <m/>
    <x v="0"/>
    <m/>
    <x v="0"/>
    <m/>
    <x v="1"/>
    <m/>
    <m/>
    <m/>
    <m/>
    <m/>
  </r>
  <r>
    <x v="2"/>
    <x v="6"/>
    <s v="Europe and Central Asia"/>
    <s v="Member"/>
    <s v="None"/>
    <x v="1"/>
    <x v="14"/>
    <x v="24"/>
    <n v="4"/>
    <x v="6"/>
    <m/>
    <m/>
    <m/>
    <m/>
    <x v="0"/>
    <m/>
    <x v="1"/>
    <s v="None"/>
    <x v="1"/>
    <s v="SCO anti-terrorism; Kazakhstan, Kyrgyzstan, Tajikistan,Russia"/>
    <x v="1"/>
    <m/>
    <m/>
    <m/>
    <m/>
    <m/>
  </r>
  <r>
    <x v="1"/>
    <x v="1"/>
    <s v="Asia"/>
    <s v="All-Round Cooperative Partnership [全方合作伙伴关系]"/>
    <s v="None"/>
    <x v="0"/>
    <x v="39"/>
    <x v="24"/>
    <n v="4"/>
    <x v="3"/>
    <s v="Chang Wanquan"/>
    <m/>
    <s v="Defense Minister; CMC Member"/>
    <n v="8"/>
    <x v="2"/>
    <s v="Chief of Defense Force"/>
    <x v="0"/>
    <m/>
    <x v="0"/>
    <m/>
    <x v="1"/>
    <m/>
    <m/>
    <m/>
    <m/>
    <m/>
  </r>
  <r>
    <x v="0"/>
    <x v="7"/>
    <s v="West Asia and Africa"/>
    <s v="Comprehensive Strategic Partnership [全面战略伙伴关系]"/>
    <s v="None"/>
    <x v="4"/>
    <x v="15"/>
    <x v="24"/>
    <n v="4"/>
    <x v="0"/>
    <m/>
    <m/>
    <m/>
    <m/>
    <x v="0"/>
    <m/>
    <x v="0"/>
    <m/>
    <x v="0"/>
    <m/>
    <x v="0"/>
    <s v="2015-04 Zhu Kezhen "/>
    <s v="East Sea Fleet"/>
    <s v="survey ship"/>
    <m/>
    <m/>
  </r>
  <r>
    <x v="1"/>
    <x v="1"/>
    <s v="Asia"/>
    <s v="Comprehensive Strategic Cooperative Partnership [全面战略合作伙伴关系]"/>
    <s v="Bilateral Defense Treaty"/>
    <x v="0"/>
    <x v="5"/>
    <x v="24"/>
    <n v="4"/>
    <x v="3"/>
    <s v="Xu Qiliang"/>
    <m/>
    <s v="CMC Vice Chairman"/>
    <n v="10"/>
    <x v="2"/>
    <s v="Defense Minister"/>
    <x v="0"/>
    <m/>
    <x v="0"/>
    <m/>
    <x v="1"/>
    <m/>
    <m/>
    <m/>
    <m/>
    <m/>
  </r>
  <r>
    <x v="0"/>
    <x v="9"/>
    <s v="West Asia and Africa"/>
    <s v="No Specific Relationship"/>
    <s v="None"/>
    <x v="1"/>
    <x v="135"/>
    <x v="24"/>
    <n v="4"/>
    <x v="14"/>
    <m/>
    <m/>
    <m/>
    <m/>
    <x v="0"/>
    <m/>
    <x v="0"/>
    <m/>
    <x v="0"/>
    <m/>
    <x v="2"/>
    <s v="ETF-19"/>
    <s v="North Sea Fleet"/>
    <s v="Linyi FFG, Weifang FFG"/>
    <s v="https://jamestown.org/program/pla-navy-used-for-first-time-in-naval-evacuation-from-yemen-conflict/"/>
    <s v="Yemen NEO"/>
  </r>
  <r>
    <x v="2"/>
    <x v="1"/>
    <s v="Asia"/>
    <s v="Strategic Partnership [战略伙伴关系] for Peace and Prosperity"/>
    <s v="None"/>
    <x v="0"/>
    <x v="153"/>
    <x v="24"/>
    <n v="5"/>
    <x v="6"/>
    <m/>
    <m/>
    <m/>
    <m/>
    <x v="0"/>
    <m/>
    <x v="2"/>
    <s v="ARF Disaster Relief - DiRex 2015"/>
    <x v="2"/>
    <s v="HADR. Other countries: Malaysia, Brunei, Cambodia, India, Indonesia, Singapore, Thailand, Vietnam"/>
    <x v="1"/>
    <m/>
    <m/>
    <m/>
    <m/>
    <s v="corrected partnership to strategic partnership for peace and prosperity"/>
  </r>
  <r>
    <x v="1"/>
    <x v="5"/>
    <s v="America and Oceania"/>
    <s v="Comprehensive Strategic Partnership [全面战略伙伴关系]"/>
    <s v="ANZUS Treaty"/>
    <x v="0"/>
    <x v="12"/>
    <x v="24"/>
    <n v="5"/>
    <x v="3"/>
    <s v="Wang Jianping"/>
    <m/>
    <s v="GSD DCGS"/>
    <n v="6"/>
    <x v="2"/>
    <s v="Chief of Joint Operations"/>
    <x v="0"/>
    <m/>
    <x v="0"/>
    <m/>
    <x v="1"/>
    <m/>
    <m/>
    <m/>
    <m/>
    <m/>
  </r>
  <r>
    <x v="1"/>
    <x v="8"/>
    <s v="Europe and Central Asia"/>
    <s v="Comprehensive Strategic Partnership [全面战略伙伴关系]"/>
    <s v="None"/>
    <x v="3"/>
    <x v="34"/>
    <x v="24"/>
    <n v="5"/>
    <x v="3"/>
    <s v="Fan Changlong"/>
    <m/>
    <s v="CMC Vice Chairman"/>
    <n v="10"/>
    <x v="2"/>
    <s v="Defense Minister"/>
    <x v="0"/>
    <m/>
    <x v="0"/>
    <m/>
    <x v="1"/>
    <m/>
    <m/>
    <m/>
    <m/>
    <m/>
  </r>
  <r>
    <x v="0"/>
    <x v="10"/>
    <s v="America and Oceania"/>
    <s v="Comprehensive Strategic Partnership [全面战略伙伴关系]"/>
    <s v="None"/>
    <x v="5"/>
    <x v="43"/>
    <x v="24"/>
    <n v="5"/>
    <x v="0"/>
    <m/>
    <m/>
    <m/>
    <m/>
    <x v="0"/>
    <m/>
    <x v="0"/>
    <m/>
    <x v="0"/>
    <m/>
    <x v="0"/>
    <s v="2015-05 Zhu Kezhen "/>
    <s v="East Sea Fleet"/>
    <s v="survey ship"/>
    <m/>
    <m/>
  </r>
  <r>
    <x v="2"/>
    <x v="8"/>
    <s v="Europe and Central Asia"/>
    <s v="Comprehensive Strategic Partnership [全面战略伙伴关系]"/>
    <s v="NATO"/>
    <x v="3"/>
    <x v="22"/>
    <x v="24"/>
    <n v="5"/>
    <x v="5"/>
    <m/>
    <m/>
    <m/>
    <m/>
    <x v="0"/>
    <m/>
    <x v="2"/>
    <s v="None"/>
    <x v="2"/>
    <s v="FFG529 Zhoushan UNREP sailing, boarding"/>
    <x v="1"/>
    <m/>
    <m/>
    <m/>
    <s v="https://www.scmp.com/news/hong-kong/community/article/2135579/pla-garrison-holds-joint-exercise-french-navy-frigate"/>
    <m/>
  </r>
  <r>
    <x v="1"/>
    <x v="1"/>
    <s v="Asia"/>
    <s v="No Specific Relationship"/>
    <s v="None"/>
    <x v="0"/>
    <x v="137"/>
    <x v="24"/>
    <n v="5"/>
    <x v="1"/>
    <s v="Sun Jianguo"/>
    <m/>
    <s v="CMC/JSD DCJS"/>
    <n v="6"/>
    <x v="1"/>
    <s v="Defense Minister; 14th Shangri-la"/>
    <x v="0"/>
    <m/>
    <x v="0"/>
    <m/>
    <x v="1"/>
    <m/>
    <m/>
    <m/>
    <m/>
    <m/>
  </r>
  <r>
    <x v="1"/>
    <x v="1"/>
    <s v="Asia"/>
    <s v="Comprehensive Strategic Partnership [全面战略伙伴关系]"/>
    <s v="None"/>
    <x v="0"/>
    <x v="8"/>
    <x v="24"/>
    <n v="5"/>
    <x v="7"/>
    <s v="Sun Jianguo"/>
    <m/>
    <s v="GSD DCGS"/>
    <n v="6"/>
    <x v="1"/>
    <s v="Defense Minister; 14th Shangri-la"/>
    <x v="0"/>
    <m/>
    <x v="0"/>
    <m/>
    <x v="1"/>
    <m/>
    <m/>
    <m/>
    <m/>
    <m/>
  </r>
  <r>
    <x v="1"/>
    <x v="8"/>
    <s v="Europe and Central Asia"/>
    <s v="Comprehensive Strategic Partnership [全面战略伙伴关系]"/>
    <s v="NATO"/>
    <x v="3"/>
    <x v="20"/>
    <x v="24"/>
    <n v="5"/>
    <x v="3"/>
    <s v="Chang Wanquan"/>
    <m/>
    <s v="Defense Minister; CMC Member"/>
    <n v="8"/>
    <x v="2"/>
    <s v="Air Force Chief of Staff"/>
    <x v="0"/>
    <m/>
    <x v="0"/>
    <m/>
    <x v="1"/>
    <m/>
    <m/>
    <m/>
    <m/>
    <m/>
  </r>
  <r>
    <x v="1"/>
    <x v="4"/>
    <s v="Asia"/>
    <s v="Mutually Beneficial Strategic Relationship [战略互惠关系]"/>
    <s v="Bilateral Defense Treaty"/>
    <x v="0"/>
    <x v="83"/>
    <x v="24"/>
    <n v="5"/>
    <x v="7"/>
    <s v="Sun Jianguo"/>
    <m/>
    <s v="GSD DCGS"/>
    <n v="6"/>
    <x v="1"/>
    <s v="Director General of Defense Policy Bureau, Ministry of Defense; 14th Shangri-la"/>
    <x v="0"/>
    <m/>
    <x v="0"/>
    <m/>
    <x v="1"/>
    <m/>
    <m/>
    <m/>
    <m/>
    <m/>
  </r>
  <r>
    <x v="1"/>
    <x v="1"/>
    <s v="Asia"/>
    <s v="Comprehensive Strategic Cooperative Partnership [全面战略合作伙伴关系]"/>
    <s v="None"/>
    <x v="0"/>
    <x v="52"/>
    <x v="24"/>
    <n v="5"/>
    <x v="4"/>
    <s v="Xu Qiliang"/>
    <m/>
    <s v="CMC Vice Chairman"/>
    <n v="10"/>
    <x v="1"/>
    <m/>
    <x v="0"/>
    <m/>
    <x v="0"/>
    <m/>
    <x v="1"/>
    <m/>
    <m/>
    <m/>
    <m/>
    <m/>
  </r>
  <r>
    <x v="1"/>
    <x v="1"/>
    <s v="Asia"/>
    <s v="Comprehensive Strategic Partnership [全面战略伙伴关系]"/>
    <s v="None"/>
    <x v="0"/>
    <x v="10"/>
    <x v="24"/>
    <n v="5"/>
    <x v="3"/>
    <s v="Xu Qiliang"/>
    <m/>
    <s v="CMC Vice Chairman"/>
    <n v="10"/>
    <x v="2"/>
    <s v="Defense Minister"/>
    <x v="0"/>
    <m/>
    <x v="0"/>
    <m/>
    <x v="1"/>
    <m/>
    <m/>
    <m/>
    <m/>
    <m/>
  </r>
  <r>
    <x v="1"/>
    <x v="8"/>
    <s v="Europe and Central Asia"/>
    <s v="No Specific Relationship"/>
    <s v="NATO"/>
    <x v="3"/>
    <x v="151"/>
    <x v="24"/>
    <n v="5"/>
    <x v="7"/>
    <s v="Sun Jianguo"/>
    <m/>
    <s v="GSD DCGS"/>
    <n v="6"/>
    <x v="1"/>
    <s v="Chairman NATO Military Committee ; 14th Shangri-la"/>
    <x v="0"/>
    <m/>
    <x v="0"/>
    <m/>
    <x v="1"/>
    <m/>
    <m/>
    <m/>
    <m/>
    <m/>
  </r>
  <r>
    <x v="1"/>
    <x v="5"/>
    <s v="America and Oceania"/>
    <s v="Comprehensive Strategic Partnership [全面战略伙伴关系]"/>
    <s v="ANZUS Treaty"/>
    <x v="0"/>
    <x v="13"/>
    <x v="24"/>
    <n v="5"/>
    <x v="7"/>
    <s v="Sun Jianguo"/>
    <m/>
    <s v="GSD DCGS"/>
    <n v="6"/>
    <x v="1"/>
    <s v="Defense Minister; 14th Shangri-la"/>
    <x v="0"/>
    <m/>
    <x v="0"/>
    <m/>
    <x v="1"/>
    <m/>
    <m/>
    <m/>
    <m/>
    <m/>
  </r>
  <r>
    <x v="0"/>
    <x v="9"/>
    <s v="West Asia and Africa"/>
    <s v="No Specific Relationship"/>
    <s v="None"/>
    <x v="1"/>
    <x v="147"/>
    <x v="24"/>
    <n v="5"/>
    <x v="9"/>
    <m/>
    <m/>
    <m/>
    <m/>
    <x v="0"/>
    <m/>
    <x v="0"/>
    <m/>
    <x v="0"/>
    <m/>
    <x v="2"/>
    <s v="ETF-20"/>
    <s v="East Sea Fleet"/>
    <s v="DDG152 Jinan, FFG548 Yiyang, AOR886 Qiandao Hu "/>
    <m/>
    <m/>
  </r>
  <r>
    <x v="1"/>
    <x v="0"/>
    <s v="Asia"/>
    <s v="All-Weather Strategic Cooperative Partnership [全天候战略合作伙伴关系]"/>
    <s v="Major Non-NATO Ally"/>
    <x v="1"/>
    <x v="2"/>
    <x v="24"/>
    <n v="5"/>
    <x v="3"/>
    <s v="Qi Jianguo"/>
    <m/>
    <s v="GSD DCGS"/>
    <n v="6"/>
    <x v="2"/>
    <s v="Director General of Armored Corps, Army GHQ"/>
    <x v="0"/>
    <m/>
    <x v="0"/>
    <m/>
    <x v="1"/>
    <m/>
    <m/>
    <m/>
    <m/>
    <m/>
  </r>
  <r>
    <x v="1"/>
    <x v="3"/>
    <s v="Europe and Central Asia"/>
    <s v="Comprehensive Collaborative Strategic Partnership [全面战略协作伙伴关系]"/>
    <s v="None"/>
    <x v="3"/>
    <x v="7"/>
    <x v="24"/>
    <n v="5"/>
    <x v="4"/>
    <s v="Fan Changlong"/>
    <m/>
    <s v="CMC Vice Chairman"/>
    <n v="10"/>
    <x v="1"/>
    <m/>
    <x v="0"/>
    <m/>
    <x v="0"/>
    <m/>
    <x v="1"/>
    <m/>
    <m/>
    <m/>
    <m/>
    <m/>
  </r>
  <r>
    <x v="0"/>
    <x v="3"/>
    <s v="Europe and Central Asia"/>
    <s v="Comprehensive Collaborative Strategic Partnership [全面战略协作伙伴关系]"/>
    <s v="None"/>
    <x v="3"/>
    <x v="7"/>
    <x v="24"/>
    <n v="5"/>
    <x v="0"/>
    <m/>
    <m/>
    <m/>
    <m/>
    <x v="0"/>
    <m/>
    <x v="0"/>
    <m/>
    <x v="0"/>
    <m/>
    <x v="2"/>
    <s v="ETF-19 "/>
    <s v="North Sea Fleet"/>
    <s v="FFG547 Linyi, FFG550 Weifang, AOR887 Weishan Hu; unknown, could also be ETF-20"/>
    <m/>
    <m/>
  </r>
  <r>
    <x v="2"/>
    <x v="3"/>
    <s v="Europe and Central Asia"/>
    <s v="Comprehensive Collaborative Strategic Partnership [全面战略协作伙伴关系]"/>
    <s v="None"/>
    <x v="3"/>
    <x v="7"/>
    <x v="24"/>
    <n v="5"/>
    <x v="5"/>
    <m/>
    <m/>
    <m/>
    <m/>
    <x v="0"/>
    <m/>
    <x v="3"/>
    <s v="Joint Sea 2015 (I)"/>
    <x v="2"/>
    <s v="Maritime naval exercises in Mediterrean Sea.  May 11-21"/>
    <x v="1"/>
    <m/>
    <m/>
    <m/>
    <m/>
    <m/>
  </r>
  <r>
    <x v="1"/>
    <x v="1"/>
    <s v="Asia"/>
    <s v="All-Round Cooperative Partnership [全方合作伙伴关系]"/>
    <s v="None"/>
    <x v="0"/>
    <x v="39"/>
    <x v="24"/>
    <n v="5"/>
    <x v="7"/>
    <s v="Sun Jianguo"/>
    <m/>
    <s v="GSD DCGS"/>
    <n v="6"/>
    <x v="1"/>
    <s v="Defense Minister; 14th Shangri-la"/>
    <x v="0"/>
    <m/>
    <x v="0"/>
    <m/>
    <x v="1"/>
    <m/>
    <m/>
    <m/>
    <m/>
    <m/>
  </r>
  <r>
    <x v="2"/>
    <x v="1"/>
    <s v="Asia"/>
    <s v="All-Round Cooperative Partnership [全方合作伙伴关系]"/>
    <s v="None"/>
    <x v="0"/>
    <x v="39"/>
    <x v="24"/>
    <n v="5"/>
    <x v="5"/>
    <m/>
    <m/>
    <m/>
    <m/>
    <x v="0"/>
    <m/>
    <x v="3"/>
    <s v="Maritime Cooperation 2015"/>
    <x v="2"/>
    <s v="maritime naval exercises; gunnery firing and manoeuvring drills; air-defence and other war-fighting drills."/>
    <x v="1"/>
    <m/>
    <m/>
    <m/>
    <s v="https://www.mindef.gov.sg/web/portal/mindef/news-and-events/latest-releases/article-detail/2015/may/2015may25-news-releases-02118"/>
    <m/>
  </r>
  <r>
    <x v="1"/>
    <x v="4"/>
    <s v="Asia"/>
    <s v="Strategic Cooperative Partnership [战略合作伙伴关系]"/>
    <s v="Bilateral Defense Treaty"/>
    <x v="0"/>
    <x v="25"/>
    <x v="24"/>
    <n v="5"/>
    <x v="7"/>
    <s v="Sun Jianguo"/>
    <m/>
    <s v="GSD DCGS"/>
    <n v="6"/>
    <x v="1"/>
    <s v="Defense Minister; 14th Shangri-la"/>
    <x v="0"/>
    <m/>
    <x v="0"/>
    <m/>
    <x v="1"/>
    <m/>
    <m/>
    <m/>
    <m/>
    <m/>
  </r>
  <r>
    <x v="1"/>
    <x v="0"/>
    <s v="Asia"/>
    <s v="Strategic Cooperative Partnership [战略合作伙伴关系]"/>
    <s v="None"/>
    <x v="0"/>
    <x v="3"/>
    <x v="24"/>
    <n v="5"/>
    <x v="7"/>
    <s v="Sun Jianguo"/>
    <m/>
    <s v="GSD DCGS"/>
    <n v="6"/>
    <x v="1"/>
    <s v="Defense Minister; 14th Shangri-la"/>
    <x v="0"/>
    <m/>
    <x v="0"/>
    <m/>
    <x v="1"/>
    <m/>
    <m/>
    <m/>
    <m/>
    <m/>
  </r>
  <r>
    <x v="1"/>
    <x v="8"/>
    <s v="Europe and Central Asia"/>
    <s v="No Specific Relationship"/>
    <s v="None"/>
    <x v="3"/>
    <x v="78"/>
    <x v="24"/>
    <n v="5"/>
    <x v="4"/>
    <s v="Sun Jianguo"/>
    <m/>
    <s v="GSD DCGS"/>
    <n v="6"/>
    <x v="1"/>
    <s v="Deputy Secretary General of Ministry of Defense; 14th Shangri-la"/>
    <x v="0"/>
    <m/>
    <x v="0"/>
    <m/>
    <x v="1"/>
    <m/>
    <m/>
    <m/>
    <m/>
    <m/>
  </r>
  <r>
    <x v="1"/>
    <x v="1"/>
    <s v="Asia"/>
    <s v="Comprehensive Strategic Cooperative Partnership [全面战略合作伙伴关系]"/>
    <s v="Bilateral Defense Treaty"/>
    <x v="0"/>
    <x v="5"/>
    <x v="24"/>
    <n v="5"/>
    <x v="4"/>
    <s v="Xu Qiliang"/>
    <m/>
    <s v="CMC Vice Chairman"/>
    <n v="10"/>
    <x v="1"/>
    <m/>
    <x v="0"/>
    <m/>
    <x v="0"/>
    <m/>
    <x v="1"/>
    <m/>
    <m/>
    <m/>
    <m/>
    <m/>
  </r>
  <r>
    <x v="2"/>
    <x v="8"/>
    <s v="Europe and Central Asia"/>
    <s v="Strategic Cooperative Partnership [战略合作伙伴关系]"/>
    <s v="NATO"/>
    <x v="3"/>
    <x v="38"/>
    <x v="24"/>
    <n v="5"/>
    <x v="5"/>
    <m/>
    <m/>
    <m/>
    <m/>
    <x v="0"/>
    <m/>
    <x v="2"/>
    <s v="None"/>
    <x v="2"/>
    <s v="communication and fleet maneuvers"/>
    <x v="1"/>
    <m/>
    <m/>
    <m/>
    <m/>
    <m/>
  </r>
  <r>
    <x v="0"/>
    <x v="8"/>
    <s v="Europe and Central Asia"/>
    <s v="Strategic Cooperative Partnership [战略合作伙伴关系]"/>
    <s v="NATO"/>
    <x v="3"/>
    <x v="38"/>
    <x v="24"/>
    <n v="5"/>
    <x v="0"/>
    <m/>
    <m/>
    <m/>
    <m/>
    <x v="0"/>
    <m/>
    <x v="0"/>
    <m/>
    <x v="0"/>
    <m/>
    <x v="2"/>
    <s v="ETF-19"/>
    <s v="North Sea Fleet"/>
    <s v="FFG547 Linyi, FFG550 Weifang, AOR887 Weishan Hu"/>
    <m/>
    <m/>
  </r>
  <r>
    <x v="1"/>
    <x v="2"/>
    <s v="America and Oceania"/>
    <s v="No Specific Relationship"/>
    <s v="N/A"/>
    <x v="2"/>
    <x v="4"/>
    <x v="24"/>
    <n v="5"/>
    <x v="4"/>
    <s v="Li Zuocheng"/>
    <m/>
    <s v="MR Commander"/>
    <n v="6"/>
    <x v="1"/>
    <s v="PACOM Deputy Commander"/>
    <x v="0"/>
    <m/>
    <x v="0"/>
    <m/>
    <x v="1"/>
    <m/>
    <m/>
    <m/>
    <s v="2016 CH Milpower Report"/>
    <m/>
  </r>
  <r>
    <x v="1"/>
    <x v="2"/>
    <s v="America and Oceania"/>
    <s v="No Specific Relationship"/>
    <s v="N/A"/>
    <x v="2"/>
    <x v="4"/>
    <x v="24"/>
    <n v="5"/>
    <x v="3"/>
    <s v="Huang Guoxian"/>
    <m/>
    <s v="MR Deputy Commander"/>
    <n v="5"/>
    <x v="2"/>
    <s v="PACAF Commander"/>
    <x v="0"/>
    <m/>
    <x v="0"/>
    <m/>
    <x v="1"/>
    <m/>
    <m/>
    <m/>
    <s v="2016 CH Milpower Report"/>
    <m/>
  </r>
  <r>
    <x v="1"/>
    <x v="1"/>
    <s v="Asia"/>
    <s v="Comprehensive Strategic Cooperative Partnership [全面战略合作伙伴关系]"/>
    <s v="None"/>
    <x v="0"/>
    <x v="23"/>
    <x v="24"/>
    <n v="5"/>
    <x v="3"/>
    <s v="Chang Wanquan"/>
    <m/>
    <s v="Defense Minister; CMC Member"/>
    <n v="8"/>
    <x v="2"/>
    <s v="Defense Minister"/>
    <x v="0"/>
    <m/>
    <x v="0"/>
    <m/>
    <x v="1"/>
    <m/>
    <m/>
    <m/>
    <m/>
    <m/>
  </r>
  <r>
    <x v="2"/>
    <x v="4"/>
    <s v="N/A"/>
    <s v="Member"/>
    <s v="None"/>
    <x v="0"/>
    <x v="136"/>
    <x v="24"/>
    <n v="5"/>
    <x v="6"/>
    <m/>
    <m/>
    <m/>
    <m/>
    <x v="0"/>
    <m/>
    <x v="2"/>
    <s v="WPNS 2015"/>
    <x v="2"/>
    <s v="maritime surveillance and SAR. Other countries: Singapore, Indonesia, Thailand, United States"/>
    <x v="1"/>
    <m/>
    <m/>
    <m/>
    <m/>
    <m/>
  </r>
  <r>
    <x v="2"/>
    <x v="8"/>
    <s v="Europe and Central Asia"/>
    <s v="Comprehensive Strategic Partnership [全面战略伙伴关系]"/>
    <s v="None"/>
    <x v="3"/>
    <x v="34"/>
    <x v="24"/>
    <n v="6"/>
    <x v="5"/>
    <m/>
    <m/>
    <m/>
    <m/>
    <x v="0"/>
    <m/>
    <x v="1"/>
    <s v="Divine Eagle 2015"/>
    <x v="5"/>
    <s v="Airborne forces"/>
    <x v="1"/>
    <m/>
    <m/>
    <m/>
    <m/>
    <m/>
  </r>
  <r>
    <x v="1"/>
    <x v="10"/>
    <s v="America and Oceania"/>
    <s v="Strategic Partnership [战略伙伴关系]"/>
    <s v="None"/>
    <x v="5"/>
    <x v="66"/>
    <x v="24"/>
    <n v="6"/>
    <x v="3"/>
    <s v="Chang Wanquan"/>
    <m/>
    <s v="Defense Minister; CMC Member"/>
    <n v="8"/>
    <x v="2"/>
    <s v="Defense Minister"/>
    <x v="0"/>
    <m/>
    <x v="0"/>
    <m/>
    <x v="1"/>
    <m/>
    <m/>
    <m/>
    <m/>
    <m/>
  </r>
  <r>
    <x v="0"/>
    <x v="8"/>
    <s v="Europe and Central Asia"/>
    <s v="Comprehensive Cooperative Partnership [全面合作伙伴关系]"/>
    <s v="NATO"/>
    <x v="3"/>
    <x v="35"/>
    <x v="24"/>
    <n v="6"/>
    <x v="0"/>
    <m/>
    <m/>
    <m/>
    <m/>
    <x v="0"/>
    <m/>
    <x v="0"/>
    <m/>
    <x v="0"/>
    <m/>
    <x v="2"/>
    <s v="ETF-19"/>
    <s v="North Sea Fleet"/>
    <s v="FFG547 Linyi, FFG550 Weifang, AOR887 Weishan Hu"/>
    <m/>
    <m/>
  </r>
  <r>
    <x v="1"/>
    <x v="10"/>
    <s v="America and Oceania"/>
    <s v="No Specific Relationship"/>
    <s v="None"/>
    <x v="5"/>
    <x v="49"/>
    <x v="24"/>
    <n v="6"/>
    <x v="4"/>
    <s v="Fan Changlong"/>
    <m/>
    <s v="CMC Vice Chairman"/>
    <n v="10"/>
    <x v="1"/>
    <m/>
    <x v="0"/>
    <m/>
    <x v="0"/>
    <m/>
    <x v="1"/>
    <m/>
    <m/>
    <m/>
    <m/>
    <m/>
  </r>
  <r>
    <x v="0"/>
    <x v="10"/>
    <s v="America and Oceania"/>
    <s v="Strategic Partnership [战略伙伴关系]"/>
    <s v="None"/>
    <x v="5"/>
    <x v="51"/>
    <x v="24"/>
    <n v="6"/>
    <x v="0"/>
    <m/>
    <m/>
    <m/>
    <m/>
    <x v="0"/>
    <m/>
    <x v="0"/>
    <m/>
    <x v="0"/>
    <m/>
    <x v="0"/>
    <s v="2015-05 Zhu Kezhen "/>
    <s v="East Sea Fleet"/>
    <s v="survey ship"/>
    <m/>
    <m/>
  </r>
  <r>
    <x v="1"/>
    <x v="8"/>
    <s v="Europe and Central Asia"/>
    <s v="Comprehensive Strategic Partnership [全面战略伙伴关系]"/>
    <s v="NATO"/>
    <x v="3"/>
    <x v="29"/>
    <x v="24"/>
    <n v="6"/>
    <x v="3"/>
    <s v="Ma Xiaotian"/>
    <m/>
    <s v="PLAAF Commander; CMC Member"/>
    <n v="8"/>
    <x v="2"/>
    <s v="Air Force COGS"/>
    <x v="0"/>
    <m/>
    <x v="0"/>
    <m/>
    <x v="1"/>
    <m/>
    <m/>
    <m/>
    <m/>
    <m/>
  </r>
  <r>
    <x v="0"/>
    <x v="8"/>
    <s v="Europe and Central Asia"/>
    <s v="Comprehensive Strategic Partnership [全面战略伙伴关系]"/>
    <s v="NATO"/>
    <x v="3"/>
    <x v="20"/>
    <x v="24"/>
    <n v="6"/>
    <x v="0"/>
    <m/>
    <m/>
    <m/>
    <m/>
    <x v="0"/>
    <m/>
    <x v="0"/>
    <m/>
    <x v="0"/>
    <m/>
    <x v="2"/>
    <s v="ETF-19"/>
    <s v="North Sea Fleet"/>
    <s v="FFG547 Linyi, FFG550 Weifang, AOR887 Weishan Hu"/>
    <m/>
    <m/>
  </r>
  <r>
    <x v="1"/>
    <x v="6"/>
    <s v="Europe and Central Asia"/>
    <s v="Strategic Partnership [战略伙伴关系]"/>
    <s v="None"/>
    <x v="1"/>
    <x v="31"/>
    <x v="24"/>
    <n v="6"/>
    <x v="3"/>
    <s v="Du Jincai"/>
    <m/>
    <s v="GPD Deputy Director"/>
    <n v="6"/>
    <x v="2"/>
    <s v="President of the Military Court"/>
    <x v="0"/>
    <m/>
    <x v="0"/>
    <m/>
    <x v="1"/>
    <m/>
    <m/>
    <m/>
    <m/>
    <m/>
  </r>
  <r>
    <x v="0"/>
    <x v="1"/>
    <s v="Asia"/>
    <s v="Comprehensive Strategic Partnership [全面战略伙伴关系]"/>
    <s v="None"/>
    <x v="0"/>
    <x v="10"/>
    <x v="24"/>
    <n v="6"/>
    <x v="13"/>
    <m/>
    <m/>
    <m/>
    <m/>
    <x v="0"/>
    <m/>
    <x v="0"/>
    <m/>
    <x v="0"/>
    <m/>
    <x v="2"/>
    <s v="ETF-19"/>
    <s v="North Sea Fleet"/>
    <s v="FFG547 Linyi, FFG550 Weifang, AOR887 Weishan Hu"/>
    <m/>
    <m/>
  </r>
  <r>
    <x v="2"/>
    <x v="4"/>
    <s v="Asia"/>
    <s v="Comprehensive Strategic Partnership [全面战略伙伴关系]"/>
    <s v="None"/>
    <x v="0"/>
    <x v="53"/>
    <x v="24"/>
    <n v="6"/>
    <x v="6"/>
    <m/>
    <m/>
    <m/>
    <m/>
    <x v="0"/>
    <m/>
    <x v="2"/>
    <s v="Khaan Quest 2015"/>
    <x v="1"/>
    <s v="Peacekeeping "/>
    <x v="1"/>
    <m/>
    <m/>
    <m/>
    <s v="http://www.pacom.mil/Media/News/Article/600918/exercise-khaan-quest-2015/ "/>
    <m/>
  </r>
  <r>
    <x v="2"/>
    <x v="4"/>
    <s v="Asia"/>
    <s v="Comprehensive Strategic Partnership [全面战略伙伴关系]"/>
    <s v="None"/>
    <x v="0"/>
    <x v="53"/>
    <x v="24"/>
    <n v="6"/>
    <x v="6"/>
    <m/>
    <m/>
    <m/>
    <m/>
    <x v="0"/>
    <m/>
    <x v="2"/>
    <s v="Khaan Quest 2015"/>
    <x v="1"/>
    <s v="PKO and Stability ops. Other countries: refer to source for a complete list of countries "/>
    <x v="1"/>
    <m/>
    <m/>
    <m/>
    <m/>
    <m/>
  </r>
  <r>
    <x v="1"/>
    <x v="5"/>
    <s v="America and Oceania"/>
    <s v="Comprehensive Strategic Partnership [全面战略伙伴关系]"/>
    <s v="ANZUS Treaty"/>
    <x v="0"/>
    <x v="13"/>
    <x v="24"/>
    <n v="6"/>
    <x v="3"/>
    <s v="Fang Fenghui"/>
    <m/>
    <s v="GSD Commander; CMC Member"/>
    <n v="8"/>
    <x v="2"/>
    <s v="NZDF Chief"/>
    <x v="0"/>
    <m/>
    <x v="0"/>
    <m/>
    <x v="1"/>
    <m/>
    <m/>
    <m/>
    <m/>
    <m/>
  </r>
  <r>
    <x v="1"/>
    <x v="0"/>
    <s v="Asia"/>
    <s v="All-Weather Strategic Cooperative Partnership [全天候战略合作伙伴关系]"/>
    <s v="Major Non-NATO Ally"/>
    <x v="1"/>
    <x v="2"/>
    <x v="24"/>
    <n v="6"/>
    <x v="3"/>
    <s v="Fan Changlong"/>
    <m/>
    <s v="CMC Vice Chairman"/>
    <n v="10"/>
    <x v="2"/>
    <s v="Air Force Chief Marshal"/>
    <x v="0"/>
    <m/>
    <x v="0"/>
    <m/>
    <x v="1"/>
    <m/>
    <m/>
    <m/>
    <m/>
    <m/>
  </r>
  <r>
    <x v="1"/>
    <x v="0"/>
    <s v="Asia"/>
    <s v="Strategic Cooperative Partnership [战略合作伙伴关系]"/>
    <s v="None"/>
    <x v="0"/>
    <x v="3"/>
    <x v="24"/>
    <n v="6"/>
    <x v="3"/>
    <s v="Chang Wanquan"/>
    <m/>
    <s v="Defense Minister; CMC Member"/>
    <n v="8"/>
    <x v="2"/>
    <s v="Navy Commander"/>
    <x v="0"/>
    <m/>
    <x v="0"/>
    <m/>
    <x v="1"/>
    <m/>
    <m/>
    <m/>
    <m/>
    <m/>
  </r>
  <r>
    <x v="2"/>
    <x v="0"/>
    <s v="Asia"/>
    <s v="Strategic Cooperative Partnership [战略合作伙伴关系]"/>
    <s v="None"/>
    <x v="0"/>
    <x v="3"/>
    <x v="24"/>
    <n v="6"/>
    <x v="5"/>
    <m/>
    <m/>
    <m/>
    <m/>
    <x v="0"/>
    <m/>
    <x v="1"/>
    <s v="Silk Road Cooperation 2015"/>
    <x v="4"/>
    <s v="joint drill with Guangdong PAP contingent"/>
    <x v="1"/>
    <m/>
    <m/>
    <m/>
    <s v="http://eng.mod.gov.cn/DefenseNews/2015-03/31/content_4577899.htm"/>
    <m/>
  </r>
  <r>
    <x v="1"/>
    <x v="2"/>
    <s v="America and Oceania"/>
    <s v="No Specific Relationship"/>
    <s v="N/A"/>
    <x v="2"/>
    <x v="4"/>
    <x v="24"/>
    <n v="6"/>
    <x v="4"/>
    <s v="Fan Changlong"/>
    <m/>
    <s v="CMC Vice Chairman"/>
    <n v="10"/>
    <x v="1"/>
    <s v="Secretary of Defense Carter"/>
    <x v="0"/>
    <m/>
    <x v="0"/>
    <m/>
    <x v="1"/>
    <m/>
    <m/>
    <m/>
    <s v="2016 CH Milpower Report"/>
    <m/>
  </r>
  <r>
    <x v="1"/>
    <x v="1"/>
    <s v="Asia"/>
    <s v="Comprehensive Strategic Cooperative Partnership [全面战略合作伙伴关系]"/>
    <s v="None"/>
    <x v="0"/>
    <x v="94"/>
    <x v="24"/>
    <n v="7"/>
    <x v="3"/>
    <s v="Xu Qiliang"/>
    <m/>
    <s v="CMC Vice Chairman"/>
    <n v="10"/>
    <x v="2"/>
    <s v="Deputy Prime Minister and Minister of Defense"/>
    <x v="0"/>
    <m/>
    <x v="0"/>
    <m/>
    <x v="1"/>
    <m/>
    <m/>
    <m/>
    <m/>
    <m/>
  </r>
  <r>
    <x v="1"/>
    <x v="5"/>
    <s v="America and Oceania"/>
    <s v="Strategic Partnership [战略伙伴关系]"/>
    <s v="None"/>
    <x v="0"/>
    <x v="128"/>
    <x v="24"/>
    <n v="7"/>
    <x v="3"/>
    <s v="Fang Fenghui"/>
    <m/>
    <s v="GSD Commander; CMC Member"/>
    <n v="8"/>
    <x v="2"/>
    <s v="Commander of Armed Forces"/>
    <x v="0"/>
    <m/>
    <x v="0"/>
    <m/>
    <x v="1"/>
    <m/>
    <m/>
    <m/>
    <m/>
    <s v="Coded as Oceania instead of Southeast Asia"/>
  </r>
  <r>
    <x v="1"/>
    <x v="8"/>
    <s v="Europe and Central Asia"/>
    <s v="No Specific Relationship"/>
    <s v="None"/>
    <x v="3"/>
    <x v="81"/>
    <x v="24"/>
    <n v="7"/>
    <x v="4"/>
    <s v="Chang Wanquan"/>
    <m/>
    <s v="Defense Minister; CMC Member"/>
    <n v="8"/>
    <x v="1"/>
    <m/>
    <x v="0"/>
    <m/>
    <x v="0"/>
    <m/>
    <x v="1"/>
    <m/>
    <m/>
    <m/>
    <m/>
    <m/>
  </r>
  <r>
    <x v="1"/>
    <x v="8"/>
    <s v="Europe and Central Asia"/>
    <s v="Comprehensive Strategic Partnership [全面战略伙伴关系]"/>
    <s v="NATO"/>
    <x v="3"/>
    <x v="20"/>
    <x v="24"/>
    <n v="7"/>
    <x v="3"/>
    <s v="Xu Qiliang"/>
    <m/>
    <s v="CMC Vice Chairman"/>
    <n v="10"/>
    <x v="2"/>
    <s v="Defense Minister"/>
    <x v="0"/>
    <m/>
    <x v="0"/>
    <m/>
    <x v="1"/>
    <m/>
    <m/>
    <m/>
    <m/>
    <m/>
  </r>
  <r>
    <x v="1"/>
    <x v="1"/>
    <s v="Asia"/>
    <s v="Comprehensive Strategic Cooperative Partnership [全面战略合作伙伴关系]"/>
    <s v="None"/>
    <x v="0"/>
    <x v="52"/>
    <x v="24"/>
    <n v="7"/>
    <x v="3"/>
    <s v="Xu Qiliang"/>
    <m/>
    <s v="CMC Vice Chairman"/>
    <n v="10"/>
    <x v="2"/>
    <s v="Defense Minister"/>
    <x v="0"/>
    <m/>
    <x v="0"/>
    <m/>
    <x v="1"/>
    <m/>
    <m/>
    <m/>
    <m/>
    <m/>
  </r>
  <r>
    <x v="2"/>
    <x v="0"/>
    <s v="Asia"/>
    <s v="All-Weather Strategic Cooperative Partnership [全天候战略合作伙伴关系]"/>
    <s v="Major Non-NATO Ally"/>
    <x v="1"/>
    <x v="2"/>
    <x v="24"/>
    <n v="7"/>
    <x v="5"/>
    <m/>
    <m/>
    <m/>
    <m/>
    <x v="0"/>
    <m/>
    <x v="1"/>
    <s v="Warrior-III"/>
    <x v="1"/>
    <s v="SSG and PLAA SOF"/>
    <x v="1"/>
    <m/>
    <m/>
    <m/>
    <m/>
    <m/>
  </r>
  <r>
    <x v="1"/>
    <x v="3"/>
    <s v="Europe and Central Asia"/>
    <s v="Comprehensive Collaborative Strategic Partnership [全面战略协作伙伴关系]"/>
    <s v="None"/>
    <x v="3"/>
    <x v="7"/>
    <x v="24"/>
    <n v="7"/>
    <x v="4"/>
    <s v="Chang Wanquan"/>
    <m/>
    <s v="Defense Minister; CMC Member"/>
    <n v="8"/>
    <x v="1"/>
    <m/>
    <x v="0"/>
    <m/>
    <x v="0"/>
    <m/>
    <x v="1"/>
    <m/>
    <m/>
    <m/>
    <m/>
    <m/>
  </r>
  <r>
    <x v="1"/>
    <x v="6"/>
    <s v="Europe and Central Asia"/>
    <s v="Member"/>
    <s v="None"/>
    <x v="1"/>
    <x v="14"/>
    <x v="24"/>
    <n v="7"/>
    <x v="1"/>
    <s v="Chang Wanquan"/>
    <m/>
    <s v="Defense Minister; CMC Member"/>
    <n v="8"/>
    <x v="1"/>
    <s v="12th official meeting of the SCO Ministers' of Defense in St Petersburg; Other countries: Kazakhstan, Kyrgyztan, Russia, Tajikistan, Uzbekistan"/>
    <x v="0"/>
    <m/>
    <x v="0"/>
    <m/>
    <x v="1"/>
    <m/>
    <m/>
    <m/>
    <s v="https://www.chinadaily.com.cn/world/2015xiatbricssco/2015-07/01/content_21149740.htm"/>
    <m/>
  </r>
  <r>
    <x v="1"/>
    <x v="1"/>
    <s v="Asia"/>
    <s v="All-Round Cooperative Partnership [全方合作伙伴关系]"/>
    <s v="None"/>
    <x v="0"/>
    <x v="39"/>
    <x v="24"/>
    <n v="7"/>
    <x v="3"/>
    <s v="Wu Shengli"/>
    <m/>
    <s v="PLAN Commander; CMC Member"/>
    <n v="8"/>
    <x v="2"/>
    <s v="Navy Commander"/>
    <x v="0"/>
    <m/>
    <x v="0"/>
    <m/>
    <x v="1"/>
    <m/>
    <m/>
    <m/>
    <m/>
    <m/>
  </r>
  <r>
    <x v="1"/>
    <x v="7"/>
    <s v="West Asia and Africa"/>
    <s v="Comprehensive Strategic Partnership [全面战略伙伴关系]"/>
    <s v="None"/>
    <x v="4"/>
    <x v="15"/>
    <x v="24"/>
    <n v="7"/>
    <x v="3"/>
    <s v="Ma Xiaotian"/>
    <m/>
    <s v="PLAAF Commander; CMC Member"/>
    <n v="8"/>
    <x v="2"/>
    <s v="Air Force Commander"/>
    <x v="0"/>
    <m/>
    <x v="0"/>
    <m/>
    <x v="1"/>
    <m/>
    <m/>
    <m/>
    <m/>
    <m/>
  </r>
  <r>
    <x v="1"/>
    <x v="10"/>
    <s v="America and Oceania"/>
    <s v="Comprehensive Strategic Partnership [全面战略伙伴关系]"/>
    <s v="Major Non-NATO Ally"/>
    <x v="5"/>
    <x v="62"/>
    <x v="24"/>
    <n v="8"/>
    <x v="3"/>
    <s v="Fang Fenghui"/>
    <m/>
    <s v="GSD Commander; CMC Member"/>
    <n v="8"/>
    <x v="2"/>
    <s v="Chairman JCS"/>
    <x v="0"/>
    <m/>
    <x v="0"/>
    <m/>
    <x v="1"/>
    <m/>
    <m/>
    <m/>
    <m/>
    <m/>
  </r>
  <r>
    <x v="2"/>
    <x v="5"/>
    <s v="America and Oceania"/>
    <s v="Comprehensive Strategic Partnership [全面战略伙伴关系]"/>
    <s v="ANZUS Treaty"/>
    <x v="0"/>
    <x v="12"/>
    <x v="24"/>
    <n v="8"/>
    <x v="6"/>
    <m/>
    <m/>
    <m/>
    <m/>
    <x v="0"/>
    <m/>
    <x v="2"/>
    <s v="Kowari 2015"/>
    <x v="1"/>
    <s v="Survival skills"/>
    <x v="1"/>
    <m/>
    <m/>
    <m/>
    <s v=" https://www.marines.mil/News/News-Display/Article/617336/exercise-kowari-2015-concludes-in-darwin-australia/"/>
    <m/>
  </r>
  <r>
    <x v="1"/>
    <x v="1"/>
    <s v="Asia"/>
    <s v="Comprehensive Strategic Cooperative Partnership [全面战略合作伙伴关系]"/>
    <s v="None"/>
    <x v="0"/>
    <x v="94"/>
    <x v="24"/>
    <n v="8"/>
    <x v="3"/>
    <s v="Sun Jianguo"/>
    <m/>
    <s v="GSD DCGS"/>
    <n v="6"/>
    <x v="2"/>
    <s v="Deputy CinC Armed Forces "/>
    <x v="0"/>
    <m/>
    <x v="0"/>
    <m/>
    <x v="1"/>
    <m/>
    <m/>
    <m/>
    <m/>
    <m/>
  </r>
  <r>
    <x v="2"/>
    <x v="3"/>
    <s v="Europe and Central Asia"/>
    <s v="Comprehensive Collaborative Strategic Partnership [全面战略协作伙伴关系]"/>
    <s v="None"/>
    <x v="3"/>
    <x v="7"/>
    <x v="24"/>
    <n v="8"/>
    <x v="6"/>
    <m/>
    <m/>
    <m/>
    <m/>
    <x v="0"/>
    <m/>
    <x v="6"/>
    <s v="International Army Games 2015"/>
    <x v="1"/>
    <s v="Competition; Army, AF, Navy"/>
    <x v="1"/>
    <m/>
    <m/>
    <m/>
    <s v="http://mil.ru/files/files/armygames/index_en.html"/>
    <s v="MAIN ENTRY FOR IAG2015--coded as Army despite particiation of other services"/>
  </r>
  <r>
    <x v="2"/>
    <x v="3"/>
    <s v="Europe and Central Asia"/>
    <s v="Comprehensive Collaborative Strategic Partnership [全面战略协作伙伴关系]"/>
    <s v="None"/>
    <x v="3"/>
    <x v="7"/>
    <x v="24"/>
    <n v="8"/>
    <x v="5"/>
    <m/>
    <m/>
    <m/>
    <m/>
    <x v="0"/>
    <m/>
    <x v="3"/>
    <s v="Joint Sea 2015 (II)"/>
    <x v="2"/>
    <s v="The drills took place from Aug. 20-28 in the Peter the Great Gulf, waters off the Clerk Cape, and the Sea of Japan."/>
    <x v="1"/>
    <m/>
    <m/>
    <m/>
    <m/>
    <m/>
  </r>
  <r>
    <x v="0"/>
    <x v="7"/>
    <s v="West Asia and Africa"/>
    <s v="Strategic Partnership [战略伙伴关系]"/>
    <s v="None"/>
    <x v="4"/>
    <x v="74"/>
    <x v="24"/>
    <n v="8"/>
    <x v="0"/>
    <m/>
    <m/>
    <m/>
    <m/>
    <x v="0"/>
    <m/>
    <x v="0"/>
    <m/>
    <x v="0"/>
    <m/>
    <x v="2"/>
    <s v="ETF-20"/>
    <s v="East Sea Fleet"/>
    <s v="DDG152 Jinan, FFG548 Yiyang, AOR886 Qiandao Hu "/>
    <m/>
    <m/>
  </r>
  <r>
    <x v="1"/>
    <x v="1"/>
    <s v="Asia"/>
    <s v="Comprehensive Strategic Cooperative Partnership [全面战略合作伙伴关系]"/>
    <s v="None"/>
    <x v="0"/>
    <x v="23"/>
    <x v="24"/>
    <n v="8"/>
    <x v="4"/>
    <s v="Sun Jianguo"/>
    <m/>
    <s v="GSD DCGS"/>
    <n v="6"/>
    <x v="1"/>
    <m/>
    <x v="0"/>
    <m/>
    <x v="0"/>
    <m/>
    <x v="1"/>
    <m/>
    <m/>
    <m/>
    <m/>
    <m/>
  </r>
  <r>
    <x v="1"/>
    <x v="7"/>
    <s v="West Asia and Africa"/>
    <s v="No Specific Relationship"/>
    <s v="None"/>
    <x v="4"/>
    <x v="86"/>
    <x v="24"/>
    <n v="8"/>
    <x v="3"/>
    <s v="Ma Xiaotian"/>
    <m/>
    <s v="PLAAF Commander; CMC Member"/>
    <n v="8"/>
    <x v="2"/>
    <s v="Air Force Commander"/>
    <x v="0"/>
    <m/>
    <x v="0"/>
    <m/>
    <x v="1"/>
    <m/>
    <m/>
    <m/>
    <m/>
    <m/>
  </r>
  <r>
    <x v="2"/>
    <x v="5"/>
    <s v="America and Oceania"/>
    <s v="Comprehensive Strategic Partnership [全面战略伙伴关系]"/>
    <s v="ANZUS Treaty"/>
    <x v="0"/>
    <x v="12"/>
    <x v="24"/>
    <n v="9"/>
    <x v="5"/>
    <m/>
    <m/>
    <m/>
    <m/>
    <x v="0"/>
    <m/>
    <x v="2"/>
    <s v="Panda-Kangaroo 2015"/>
    <x v="1"/>
    <s v="Survival skills"/>
    <x v="1"/>
    <m/>
    <m/>
    <m/>
    <m/>
    <m/>
  </r>
  <r>
    <x v="1"/>
    <x v="10"/>
    <s v="America and Oceania"/>
    <s v="Comprehensive Strategic Partnership [全面战略伙伴关系]"/>
    <s v="None"/>
    <x v="5"/>
    <x v="43"/>
    <x v="24"/>
    <n v="9"/>
    <x v="3"/>
    <s v="Chang Wanquan"/>
    <m/>
    <s v="Defense Minister; CMC Member"/>
    <n v="8"/>
    <x v="2"/>
    <s v="Special Envoy of the President and Defense Minister"/>
    <x v="0"/>
    <m/>
    <x v="0"/>
    <m/>
    <x v="1"/>
    <m/>
    <m/>
    <m/>
    <m/>
    <m/>
  </r>
  <r>
    <x v="1"/>
    <x v="10"/>
    <s v="America and Oceania"/>
    <s v="Strategic Partnership [战略伙伴关系]"/>
    <s v="None"/>
    <x v="5"/>
    <x v="156"/>
    <x v="24"/>
    <n v="9"/>
    <x v="4"/>
    <s v="Wang Guanzhong"/>
    <m/>
    <s v="GSD DCGS"/>
    <n v="6"/>
    <x v="1"/>
    <m/>
    <x v="0"/>
    <m/>
    <x v="0"/>
    <m/>
    <x v="1"/>
    <m/>
    <m/>
    <m/>
    <m/>
    <m/>
  </r>
  <r>
    <x v="1"/>
    <x v="10"/>
    <s v="America and Oceania"/>
    <s v="No Specific Relationship"/>
    <s v="None"/>
    <x v="5"/>
    <x v="49"/>
    <x v="24"/>
    <n v="9"/>
    <x v="3"/>
    <s v="Fan Changlong"/>
    <m/>
    <s v="CMC Vice Chairman"/>
    <n v="10"/>
    <x v="2"/>
    <s v="First Deputy Minister of Defense and COGS"/>
    <x v="0"/>
    <m/>
    <x v="0"/>
    <m/>
    <x v="1"/>
    <m/>
    <m/>
    <m/>
    <m/>
    <m/>
  </r>
  <r>
    <x v="0"/>
    <x v="8"/>
    <s v="Europe and Central Asia"/>
    <s v="Comprehensive Strategic Partnership [全面战略伙伴关系]"/>
    <s v="NATO"/>
    <x v="3"/>
    <x v="116"/>
    <x v="24"/>
    <n v="9"/>
    <x v="0"/>
    <m/>
    <m/>
    <m/>
    <m/>
    <x v="0"/>
    <m/>
    <x v="0"/>
    <m/>
    <x v="0"/>
    <m/>
    <x v="2"/>
    <s v="ETF-20"/>
    <s v="East Sea Fleet"/>
    <s v="DDG152 Jinan, FFG548 Yiyang, AOR886 Qiandao Hu "/>
    <m/>
    <m/>
  </r>
  <r>
    <x v="2"/>
    <x v="8"/>
    <s v="Europe and Central Asia"/>
    <s v="Comprehensive Strategic Partnership [全面战略伙伴关系]"/>
    <s v="NATO"/>
    <x v="3"/>
    <x v="116"/>
    <x v="24"/>
    <n v="9"/>
    <x v="5"/>
    <m/>
    <m/>
    <m/>
    <m/>
    <x v="0"/>
    <m/>
    <x v="2"/>
    <s v="None"/>
    <x v="2"/>
    <s v="communication and fleet maneuvers"/>
    <x v="1"/>
    <m/>
    <m/>
    <m/>
    <m/>
    <m/>
  </r>
  <r>
    <x v="0"/>
    <x v="9"/>
    <s v="West Asia and Africa"/>
    <s v="Comprehensive Strategic Partnership [全面战略伙伴关系]"/>
    <s v="Major Non-NATO Ally"/>
    <x v="1"/>
    <x v="24"/>
    <x v="24"/>
    <n v="9"/>
    <x v="10"/>
    <m/>
    <m/>
    <m/>
    <m/>
    <x v="0"/>
    <m/>
    <x v="0"/>
    <m/>
    <x v="0"/>
    <m/>
    <x v="2"/>
    <s v="ETF-20"/>
    <s v="East Sea Fleet"/>
    <s v="DDG152 Jinan, FFG548 Yiyang, AOR886 Qiandao Hu "/>
    <m/>
    <m/>
  </r>
  <r>
    <x v="2"/>
    <x v="9"/>
    <s v="West Asia and Africa"/>
    <s v="Comprehensive Strategic Partnership [全面战略伙伴关系]"/>
    <s v="Major Non-NATO Ally"/>
    <x v="1"/>
    <x v="24"/>
    <x v="24"/>
    <n v="9"/>
    <x v="5"/>
    <m/>
    <m/>
    <m/>
    <m/>
    <x v="0"/>
    <m/>
    <x v="2"/>
    <s v="None"/>
    <x v="2"/>
    <s v="fleet maneuvers, communications drill, underway replenishment; ETF-20"/>
    <x v="1"/>
    <m/>
    <m/>
    <m/>
    <m/>
    <m/>
  </r>
  <r>
    <x v="0"/>
    <x v="8"/>
    <s v="Europe and Central Asia"/>
    <s v="No Specific Relationship"/>
    <s v="None"/>
    <x v="3"/>
    <x v="81"/>
    <x v="24"/>
    <n v="9"/>
    <x v="0"/>
    <m/>
    <m/>
    <m/>
    <m/>
    <x v="0"/>
    <m/>
    <x v="0"/>
    <m/>
    <x v="0"/>
    <m/>
    <x v="2"/>
    <s v="ETF-20"/>
    <s v="East Sea Fleet"/>
    <s v="DDG152 Jinan, FFG548 Yiyang, AOR886 Qiandao Hu "/>
    <m/>
    <m/>
  </r>
  <r>
    <x v="1"/>
    <x v="8"/>
    <s v="Europe and Central Asia"/>
    <s v="No Specific Relationship"/>
    <s v="NATO"/>
    <x v="3"/>
    <x v="82"/>
    <x v="24"/>
    <n v="9"/>
    <x v="3"/>
    <s v="Chang Wanquan"/>
    <m/>
    <s v="Defense Minister; CMC Member"/>
    <n v="8"/>
    <x v="2"/>
    <s v="Deputy State Secretary at the Defense Ministry"/>
    <x v="0"/>
    <m/>
    <x v="0"/>
    <m/>
    <x v="1"/>
    <m/>
    <m/>
    <m/>
    <m/>
    <m/>
  </r>
  <r>
    <x v="1"/>
    <x v="8"/>
    <s v="Europe and Central Asia"/>
    <s v="Comprehensive Strategic Partnership [全面战略伙伴关系]"/>
    <s v="NATO"/>
    <x v="3"/>
    <x v="20"/>
    <x v="24"/>
    <n v="9"/>
    <x v="4"/>
    <s v="Du Jincai"/>
    <m/>
    <s v="GPD Deputy Director"/>
    <n v="6"/>
    <x v="1"/>
    <m/>
    <x v="0"/>
    <m/>
    <x v="0"/>
    <m/>
    <x v="1"/>
    <m/>
    <m/>
    <m/>
    <m/>
    <m/>
  </r>
  <r>
    <x v="2"/>
    <x v="1"/>
    <s v="Asia"/>
    <s v="Comprehensive Strategic Partnership [全面战略伙伴关系]"/>
    <s v="None"/>
    <x v="0"/>
    <x v="10"/>
    <x v="24"/>
    <n v="9"/>
    <x v="5"/>
    <m/>
    <m/>
    <m/>
    <m/>
    <x v="0"/>
    <m/>
    <x v="2"/>
    <s v="Peace and Friendship 2015"/>
    <x v="2"/>
    <s v="HADR, SAREX, anti-terrorism; &quot;weapons use&quot;"/>
    <x v="1"/>
    <m/>
    <m/>
    <m/>
    <s v="https://wss.apan.org/3574/Shared%20Documents/Day%201/Multilateral%20Health%20Engagement/3%20ASEAN%20REGIONAL%20FORUM%20DISASTER%20%20RELIEF%20EXERCISE%20(ARF%20DIREx)%202015.pdf; http://eng.mod.gov.cn/DefenseNews/2015-09/22/content_4621771.htm; http://usa.chinadaily.com.cn/world/2015-09/23/content_21956625.htm; http://usa.chinadaily.com.cn/world/2015-09/23/content_21956625.htm"/>
    <m/>
  </r>
  <r>
    <x v="1"/>
    <x v="2"/>
    <s v="America and Oceania"/>
    <s v="Comprehensive Strategic Partnership [全面战略伙伴关系]"/>
    <s v="None"/>
    <x v="2"/>
    <x v="77"/>
    <x v="24"/>
    <n v="9"/>
    <x v="4"/>
    <s v="Wang Guanzhong"/>
    <m/>
    <s v="GSD DCGS"/>
    <n v="6"/>
    <x v="1"/>
    <m/>
    <x v="0"/>
    <m/>
    <x v="0"/>
    <m/>
    <x v="1"/>
    <m/>
    <m/>
    <m/>
    <m/>
    <m/>
  </r>
  <r>
    <x v="2"/>
    <x v="4"/>
    <s v="Asia"/>
    <s v="Comprehensive Strategic Partnership [全面战略伙伴关系]"/>
    <s v="None"/>
    <x v="0"/>
    <x v="53"/>
    <x v="24"/>
    <n v="9"/>
    <x v="5"/>
    <m/>
    <m/>
    <m/>
    <m/>
    <x v="0"/>
    <m/>
    <x v="1"/>
    <s v="Eagle 2015"/>
    <x v="4"/>
    <s v="Joint anti-terrorism drill in Mongolia"/>
    <x v="1"/>
    <m/>
    <m/>
    <m/>
    <s v="http://www.gywb.cn/content/2015-09/11/content_3800970_all.htm"/>
    <m/>
  </r>
  <r>
    <x v="1"/>
    <x v="7"/>
    <s v="West Asia and Africa"/>
    <s v="No Specific Relationship"/>
    <s v="None"/>
    <x v="4"/>
    <x v="69"/>
    <x v="24"/>
    <n v="9"/>
    <x v="3"/>
    <s v="Xu Qiliang"/>
    <m/>
    <s v="CMC Vice Chairman"/>
    <n v="10"/>
    <x v="2"/>
    <s v="Defense Minister"/>
    <x v="0"/>
    <m/>
    <x v="0"/>
    <m/>
    <x v="1"/>
    <m/>
    <m/>
    <m/>
    <m/>
    <m/>
  </r>
  <r>
    <x v="1"/>
    <x v="5"/>
    <s v="America and Oceania"/>
    <s v="Comprehensive Strategic Partnership [全面战略伙伴关系]"/>
    <s v="ANZUS Treaty"/>
    <x v="0"/>
    <x v="13"/>
    <x v="24"/>
    <n v="9"/>
    <x v="3"/>
    <s v="Fan Changlong"/>
    <m/>
    <s v="CMC Vice Chairman"/>
    <n v="10"/>
    <x v="2"/>
    <s v="Defense Minister"/>
    <x v="0"/>
    <m/>
    <x v="0"/>
    <m/>
    <x v="1"/>
    <m/>
    <m/>
    <m/>
    <m/>
    <m/>
  </r>
  <r>
    <x v="2"/>
    <x v="5"/>
    <s v="America and Oceania"/>
    <s v="Comprehensive Strategic Partnership [全面战略伙伴关系]"/>
    <s v="ANZUS Treaty"/>
    <x v="0"/>
    <x v="13"/>
    <x v="24"/>
    <n v="9"/>
    <x v="6"/>
    <m/>
    <m/>
    <m/>
    <m/>
    <x v="0"/>
    <m/>
    <x v="2"/>
    <s v="Tropic Twilight"/>
    <x v="1"/>
    <s v="Engineering, HADR. Other countries: United Kingdom, United States"/>
    <x v="1"/>
    <m/>
    <m/>
    <m/>
    <s v="https://web.archive.org/web/20170414073944/http://www.nzdf.mil.nz/news/media-releases/2015/20151008-nzdfltghoatci.htm"/>
    <m/>
  </r>
  <r>
    <x v="2"/>
    <x v="0"/>
    <s v="Asia"/>
    <s v="All-Weather Strategic Cooperative Partnership [全天候战略合作伙伴关系]"/>
    <s v="Major Non-NATO Ally"/>
    <x v="1"/>
    <x v="2"/>
    <x v="24"/>
    <n v="9"/>
    <x v="5"/>
    <m/>
    <m/>
    <m/>
    <m/>
    <x v="0"/>
    <m/>
    <x v="3"/>
    <s v="Shaheen-4"/>
    <x v="5"/>
    <s v="Operational aerial maneuvers"/>
    <x v="1"/>
    <m/>
    <m/>
    <m/>
    <m/>
    <m/>
  </r>
  <r>
    <x v="1"/>
    <x v="3"/>
    <s v="Europe and Central Asia"/>
    <s v="Comprehensive Collaborative Strategic Partnership [全面战略协作伙伴关系]"/>
    <s v="None"/>
    <x v="3"/>
    <x v="7"/>
    <x v="24"/>
    <n v="9"/>
    <x v="3"/>
    <s v="Fan Changlong"/>
    <m/>
    <s v="CMC Vice Chairman"/>
    <n v="10"/>
    <x v="2"/>
    <s v="Defense Minister"/>
    <x v="0"/>
    <m/>
    <x v="0"/>
    <m/>
    <x v="1"/>
    <m/>
    <m/>
    <m/>
    <m/>
    <m/>
  </r>
  <r>
    <x v="2"/>
    <x v="6"/>
    <s v="Europe and Central Asia"/>
    <s v="Member"/>
    <s v="None"/>
    <x v="1"/>
    <x v="14"/>
    <x v="24"/>
    <n v="9"/>
    <x v="6"/>
    <m/>
    <m/>
    <m/>
    <m/>
    <x v="0"/>
    <m/>
    <x v="1"/>
    <s v="None"/>
    <x v="1"/>
    <s v="SCO anti-terrorism joint-command staff exercise in Kyrgyzstan; Russia, China, Kyrgyzstan, Kazakhstan, Tajikistan, possibly Uzbekistan"/>
    <x v="1"/>
    <m/>
    <m/>
    <m/>
    <s v="de Haas Journal of Slavic Military Studies 29:3 (2016)"/>
    <m/>
  </r>
  <r>
    <x v="1"/>
    <x v="8"/>
    <s v="Europe and Central Asia"/>
    <s v="Comprehensive Strategic Partnership [全面战略伙伴关系]"/>
    <s v="NATO"/>
    <x v="3"/>
    <x v="70"/>
    <x v="24"/>
    <n v="9"/>
    <x v="3"/>
    <s v="Ma Xiaotian"/>
    <m/>
    <s v="PLAAF Commander; CMC Member"/>
    <n v="8"/>
    <x v="2"/>
    <s v="Air Force Chief of Staff"/>
    <x v="0"/>
    <m/>
    <x v="0"/>
    <m/>
    <x v="1"/>
    <m/>
    <m/>
    <m/>
    <m/>
    <m/>
  </r>
  <r>
    <x v="2"/>
    <x v="0"/>
    <s v="Asia"/>
    <s v="Strategic Cooperative Partnership [战略合作伙伴关系]"/>
    <s v="None"/>
    <x v="0"/>
    <x v="3"/>
    <x v="24"/>
    <n v="9"/>
    <x v="6"/>
    <m/>
    <m/>
    <m/>
    <m/>
    <x v="0"/>
    <m/>
    <x v="1"/>
    <s v="Cormorant Strike VI 2015"/>
    <x v="1"/>
    <s v="SOF; likely observer. Other countries: Bangladesh, India, Indonesia, Malaysia, Nepal, Pakistan, United  States"/>
    <x v="1"/>
    <m/>
    <m/>
    <m/>
    <m/>
    <m/>
  </r>
  <r>
    <x v="1"/>
    <x v="8"/>
    <s v="Europe and Central Asia"/>
    <s v="No Specific Relationship"/>
    <s v="None"/>
    <x v="3"/>
    <x v="78"/>
    <x v="24"/>
    <n v="9"/>
    <x v="3"/>
    <s v="Chang Wanquan"/>
    <m/>
    <s v="Defense Minister; CMC Member"/>
    <n v="8"/>
    <x v="2"/>
    <s v="Chief of Armed Forces"/>
    <x v="0"/>
    <m/>
    <x v="0"/>
    <m/>
    <x v="1"/>
    <m/>
    <m/>
    <m/>
    <m/>
    <m/>
  </r>
  <r>
    <x v="1"/>
    <x v="1"/>
    <s v="Asia"/>
    <s v="Comprehensive Strategic Cooperative Partnership [全面战略合作伙伴关系]"/>
    <s v="Bilateral Defense Treaty"/>
    <x v="0"/>
    <x v="5"/>
    <x v="24"/>
    <n v="9"/>
    <x v="3"/>
    <s v="Xu Qiliang"/>
    <m/>
    <s v="CMC Vice Chairman"/>
    <n v="10"/>
    <x v="2"/>
    <s v="Deputy Prime Minister and Minister of Defense"/>
    <x v="0"/>
    <m/>
    <x v="0"/>
    <m/>
    <x v="1"/>
    <m/>
    <m/>
    <m/>
    <m/>
    <m/>
  </r>
  <r>
    <x v="1"/>
    <x v="7"/>
    <s v="West Asia and Africa"/>
    <s v="No Specific Relationship"/>
    <s v="Major Non-NATO Ally"/>
    <x v="4"/>
    <x v="85"/>
    <x v="24"/>
    <n v="9"/>
    <x v="3"/>
    <s v="Chang Wanquan"/>
    <m/>
    <s v="Defense Minister; CMC Member"/>
    <n v="8"/>
    <x v="2"/>
    <s v="Defense Minister"/>
    <x v="0"/>
    <m/>
    <x v="0"/>
    <m/>
    <x v="1"/>
    <m/>
    <m/>
    <m/>
    <m/>
    <m/>
  </r>
  <r>
    <x v="1"/>
    <x v="8"/>
    <s v="Europe and Central Asia"/>
    <s v="Comprehensive Strategic Partnership [全面战略伙伴关系]"/>
    <s v="NATO"/>
    <x v="3"/>
    <x v="21"/>
    <x v="24"/>
    <n v="9"/>
    <x v="4"/>
    <s v="Du Jincai"/>
    <m/>
    <s v="GPD Deputy Director"/>
    <n v="6"/>
    <x v="1"/>
    <m/>
    <x v="0"/>
    <m/>
    <x v="0"/>
    <m/>
    <x v="1"/>
    <m/>
    <m/>
    <m/>
    <m/>
    <m/>
  </r>
  <r>
    <x v="1"/>
    <x v="0"/>
    <s v="Europe and Central Asia"/>
    <s v="Strategic Partnership [战略伙伴关系]"/>
    <s v="Major Non-NATO Ally"/>
    <x v="1"/>
    <x v="123"/>
    <x v="24"/>
    <n v="10"/>
    <x v="3"/>
    <s v="Sun Jianguo"/>
    <m/>
    <s v="GSD DCGS"/>
    <n v="6"/>
    <x v="2"/>
    <s v="Acting Defense Minister"/>
    <x v="0"/>
    <m/>
    <x v="0"/>
    <m/>
    <x v="1"/>
    <m/>
    <m/>
    <m/>
    <m/>
    <m/>
  </r>
  <r>
    <x v="1"/>
    <x v="1"/>
    <s v="Asia"/>
    <s v="Strategic Partnership [战略伙伴关系] for Peace and Prosperity"/>
    <s v="None"/>
    <x v="0"/>
    <x v="153"/>
    <x v="24"/>
    <n v="10"/>
    <x v="2"/>
    <s v="Chang Wanquan"/>
    <m/>
    <s v="Defense Minister; CMC Member"/>
    <n v="8"/>
    <x v="2"/>
    <s v="Fifth China-ASEAN Defense Ministers' Informal Meeting in Beijing"/>
    <x v="0"/>
    <m/>
    <x v="0"/>
    <m/>
    <x v="1"/>
    <m/>
    <m/>
    <m/>
    <s v="http://asean.chinamission.org.cn/eng/zdjl/t1307777.htm"/>
    <s v="corrected partnership to strategic partnership for peace and prosperity"/>
  </r>
  <r>
    <x v="0"/>
    <x v="5"/>
    <s v="America and Oceania"/>
    <s v="Comprehensive Strategic Partnership [全面战略伙伴关系]"/>
    <s v="ANZUS Treaty"/>
    <x v="0"/>
    <x v="12"/>
    <x v="24"/>
    <n v="10"/>
    <x v="12"/>
    <m/>
    <m/>
    <m/>
    <m/>
    <x v="0"/>
    <m/>
    <x v="0"/>
    <m/>
    <x v="0"/>
    <m/>
    <x v="0"/>
    <s v="2015-10 Harmonious Mission "/>
    <s v="East Sea Fleet"/>
    <m/>
    <m/>
    <m/>
  </r>
  <r>
    <x v="1"/>
    <x v="8"/>
    <s v="Europe and Central Asia"/>
    <s v="Comprehensive Strategic Partnership [全面战略伙伴关系]"/>
    <s v="None"/>
    <x v="3"/>
    <x v="34"/>
    <x v="24"/>
    <n v="10"/>
    <x v="4"/>
    <s v="Sun Jianguo"/>
    <m/>
    <s v="GSD DCGS"/>
    <n v="6"/>
    <x v="1"/>
    <m/>
    <x v="0"/>
    <m/>
    <x v="0"/>
    <m/>
    <x v="1"/>
    <m/>
    <m/>
    <m/>
    <m/>
    <m/>
  </r>
  <r>
    <x v="0"/>
    <x v="8"/>
    <s v="Europe and Central Asia"/>
    <s v="Comprehensive Strategic Partnership [全面战略伙伴关系]"/>
    <s v="NATO"/>
    <x v="3"/>
    <x v="22"/>
    <x v="24"/>
    <n v="10"/>
    <x v="0"/>
    <m/>
    <m/>
    <m/>
    <m/>
    <x v="0"/>
    <m/>
    <x v="0"/>
    <m/>
    <x v="0"/>
    <m/>
    <x v="0"/>
    <s v="2015-10 Harmonious Mission "/>
    <s v="East Sea Fleet"/>
    <s v="French Polynesia"/>
    <m/>
    <m/>
  </r>
  <r>
    <x v="2"/>
    <x v="8"/>
    <s v="Europe and Central Asia"/>
    <s v="Comprehensive Strategic Partnership [全面战略伙伴关系]"/>
    <s v="NATO"/>
    <x v="3"/>
    <x v="22"/>
    <x v="24"/>
    <n v="10"/>
    <x v="5"/>
    <m/>
    <m/>
    <m/>
    <m/>
    <x v="0"/>
    <m/>
    <x v="2"/>
    <s v="None"/>
    <x v="2"/>
    <s v="communication, formation movement in English Channel"/>
    <x v="1"/>
    <m/>
    <m/>
    <m/>
    <m/>
    <m/>
  </r>
  <r>
    <x v="2"/>
    <x v="8"/>
    <s v="Europe and Central Asia"/>
    <s v="Comprehensive Strategic Partnership [全面战略伙伴关系]"/>
    <s v="NATO"/>
    <x v="3"/>
    <x v="22"/>
    <x v="24"/>
    <n v="10"/>
    <x v="5"/>
    <m/>
    <m/>
    <m/>
    <m/>
    <x v="0"/>
    <m/>
    <x v="2"/>
    <s v="None"/>
    <x v="2"/>
    <s v="Peace Ark, HADR"/>
    <x v="1"/>
    <m/>
    <m/>
    <m/>
    <m/>
    <m/>
  </r>
  <r>
    <x v="2"/>
    <x v="8"/>
    <s v="Europe and Central Asia"/>
    <s v="Comprehensive Strategic Partnership [全面战略伙伴关系]"/>
    <s v="NATO"/>
    <x v="3"/>
    <x v="22"/>
    <x v="24"/>
    <n v="10"/>
    <x v="5"/>
    <m/>
    <m/>
    <m/>
    <m/>
    <x v="0"/>
    <m/>
    <x v="2"/>
    <s v="Harmonious Mission 2015"/>
    <x v="2"/>
    <s v="Communication drills"/>
    <x v="1"/>
    <m/>
    <m/>
    <m/>
    <m/>
    <m/>
  </r>
  <r>
    <x v="2"/>
    <x v="8"/>
    <s v="Europe and Central Asia"/>
    <s v="Comprehensive Strategic Partnership [全面战略伙伴关系]"/>
    <s v="NATO"/>
    <x v="3"/>
    <x v="22"/>
    <x v="24"/>
    <n v="10"/>
    <x v="5"/>
    <m/>
    <m/>
    <m/>
    <m/>
    <x v="0"/>
    <m/>
    <x v="2"/>
    <s v="None"/>
    <x v="2"/>
    <s v="Navigation drills"/>
    <x v="1"/>
    <m/>
    <m/>
    <m/>
    <m/>
    <m/>
  </r>
  <r>
    <x v="2"/>
    <x v="0"/>
    <s v="Asia"/>
    <s v="Strategic Partnership for Peace and Prosperity [战略伙伴关系]"/>
    <s v="None"/>
    <x v="0"/>
    <x v="6"/>
    <x v="24"/>
    <n v="10"/>
    <x v="5"/>
    <m/>
    <m/>
    <m/>
    <m/>
    <x v="0"/>
    <m/>
    <x v="1"/>
    <s v="Hand-in-Hand 2015"/>
    <x v="1"/>
    <s v="Anti-terrorism"/>
    <x v="1"/>
    <m/>
    <m/>
    <m/>
    <m/>
    <m/>
  </r>
  <r>
    <x v="1"/>
    <x v="1"/>
    <s v="Asia"/>
    <s v="Comprehensive Strategic Partnership [全面战略伙伴关系]"/>
    <s v="None"/>
    <x v="0"/>
    <x v="8"/>
    <x v="24"/>
    <n v="10"/>
    <x v="7"/>
    <s v="Chang Wanquan"/>
    <m/>
    <s v="Defense Minister; CMC Member"/>
    <n v="8"/>
    <x v="2"/>
    <s v="Defense Minister"/>
    <x v="0"/>
    <m/>
    <x v="0"/>
    <m/>
    <x v="1"/>
    <m/>
    <m/>
    <m/>
    <s v="http://eng.mod.gov.cn/SpecialReports/2015-10/15/content_4624530.htm"/>
    <m/>
  </r>
  <r>
    <x v="1"/>
    <x v="9"/>
    <s v="West Asia and Africa"/>
    <s v="No Specific Relationship"/>
    <s v="None"/>
    <x v="1"/>
    <x v="89"/>
    <x v="24"/>
    <n v="10"/>
    <x v="4"/>
    <s v="Sun Jianguo"/>
    <m/>
    <s v="GSD DCGS"/>
    <n v="6"/>
    <x v="1"/>
    <m/>
    <x v="0"/>
    <m/>
    <x v="0"/>
    <m/>
    <x v="1"/>
    <m/>
    <m/>
    <m/>
    <m/>
    <m/>
  </r>
  <r>
    <x v="1"/>
    <x v="6"/>
    <s v="Europe and Central Asia"/>
    <s v="Comprehensive Strategic Partnership [全面战略伙伴关系]"/>
    <s v="None"/>
    <x v="1"/>
    <x v="30"/>
    <x v="24"/>
    <n v="10"/>
    <x v="4"/>
    <s v="Chang Wanquan"/>
    <m/>
    <s v="Defense Minister; CMC Member"/>
    <n v="8"/>
    <x v="1"/>
    <m/>
    <x v="0"/>
    <m/>
    <x v="0"/>
    <m/>
    <x v="1"/>
    <m/>
    <m/>
    <m/>
    <m/>
    <m/>
  </r>
  <r>
    <x v="2"/>
    <x v="6"/>
    <s v="Europe and Central Asia"/>
    <s v="Comprehensive Strategic Partnership [全面战略伙伴关系]"/>
    <s v="None"/>
    <x v="1"/>
    <x v="30"/>
    <x v="24"/>
    <n v="10"/>
    <x v="5"/>
    <m/>
    <m/>
    <m/>
    <m/>
    <x v="0"/>
    <m/>
    <x v="1"/>
    <s v="Fox Hunting 2015"/>
    <x v="1"/>
    <s v="Anti-terror drills"/>
    <x v="1"/>
    <m/>
    <m/>
    <m/>
    <m/>
    <m/>
  </r>
  <r>
    <x v="1"/>
    <x v="1"/>
    <s v="Asia"/>
    <s v="Comprehensive Strategic Cooperative Partnership [全面战略合作伙伴关系]"/>
    <s v="None"/>
    <x v="0"/>
    <x v="52"/>
    <x v="24"/>
    <n v="10"/>
    <x v="3"/>
    <s v="Sun Jianguo"/>
    <m/>
    <s v="GSD DCGS"/>
    <n v="6"/>
    <x v="2"/>
    <s v="Delegation of senior army officers"/>
    <x v="0"/>
    <m/>
    <x v="0"/>
    <m/>
    <x v="1"/>
    <m/>
    <m/>
    <m/>
    <m/>
    <m/>
  </r>
  <r>
    <x v="1"/>
    <x v="8"/>
    <s v="Europe and Central Asia"/>
    <s v="Friendly Cooperative Partnership [友好合作伙伴关系]"/>
    <s v="NATO"/>
    <x v="3"/>
    <x v="157"/>
    <x v="24"/>
    <n v="10"/>
    <x v="3"/>
    <s v="Fang Fenghui"/>
    <m/>
    <s v="GSD Commander; CMC Member"/>
    <n v="8"/>
    <x v="2"/>
    <s v="CinC Armed Forces"/>
    <x v="0"/>
    <m/>
    <x v="0"/>
    <m/>
    <x v="1"/>
    <m/>
    <m/>
    <m/>
    <m/>
    <m/>
  </r>
  <r>
    <x v="1"/>
    <x v="1"/>
    <s v="Asia"/>
    <s v="Comprehensive Strategic Partnership [全面战略伙伴关系]"/>
    <s v="None"/>
    <x v="0"/>
    <x v="10"/>
    <x v="24"/>
    <n v="10"/>
    <x v="3"/>
    <s v="Fan Changlong"/>
    <m/>
    <s v="CMC Vice Chairman"/>
    <n v="10"/>
    <x v="2"/>
    <s v="Defense Minister"/>
    <x v="0"/>
    <m/>
    <x v="0"/>
    <m/>
    <x v="1"/>
    <m/>
    <m/>
    <m/>
    <m/>
    <m/>
  </r>
  <r>
    <x v="1"/>
    <x v="4"/>
    <s v="Asia"/>
    <s v="Comprehensive Strategic Partnership [全面战略伙伴关系]"/>
    <s v="None"/>
    <x v="0"/>
    <x v="53"/>
    <x v="24"/>
    <n v="10"/>
    <x v="4"/>
    <s v="Chang Wanquan"/>
    <m/>
    <s v="Defense Minister; CMC Member"/>
    <n v="8"/>
    <x v="1"/>
    <m/>
    <x v="0"/>
    <m/>
    <x v="0"/>
    <m/>
    <x v="1"/>
    <m/>
    <m/>
    <m/>
    <m/>
    <m/>
  </r>
  <r>
    <x v="2"/>
    <x v="4"/>
    <s v="Asia"/>
    <s v="Comprehensive Strategic Partnership [全面战略伙伴关系]"/>
    <s v="None"/>
    <x v="0"/>
    <x v="53"/>
    <x v="24"/>
    <n v="10"/>
    <x v="5"/>
    <m/>
    <m/>
    <m/>
    <m/>
    <x v="0"/>
    <m/>
    <x v="1"/>
    <s v="Falcon 2015"/>
    <x v="1"/>
    <s v="PLAA SOF, anti-terrorism"/>
    <x v="1"/>
    <m/>
    <m/>
    <m/>
    <m/>
    <m/>
  </r>
  <r>
    <x v="1"/>
    <x v="7"/>
    <s v="West Asia and Africa"/>
    <s v="No Specific Relationship"/>
    <s v="None"/>
    <x v="4"/>
    <x v="84"/>
    <x v="24"/>
    <n v="10"/>
    <x v="3"/>
    <s v="Fan Changlong"/>
    <m/>
    <s v="CMC Vice Chairman"/>
    <n v="10"/>
    <x v="2"/>
    <s v="Defense Minister"/>
    <x v="0"/>
    <m/>
    <x v="0"/>
    <m/>
    <x v="1"/>
    <m/>
    <m/>
    <m/>
    <m/>
    <m/>
  </r>
  <r>
    <x v="1"/>
    <x v="1"/>
    <s v="Asia"/>
    <s v="Comprehensive Strategic Cooperative Partnership [全面战略合作伙伴关系]"/>
    <s v="None"/>
    <x v="0"/>
    <x v="1"/>
    <x v="24"/>
    <n v="10"/>
    <x v="3"/>
    <s v="Chang Wanquan"/>
    <m/>
    <s v="Defense Minister; CMC Member"/>
    <n v="8"/>
    <x v="2"/>
    <s v="Defense Minister"/>
    <x v="0"/>
    <m/>
    <x v="0"/>
    <m/>
    <x v="1"/>
    <m/>
    <m/>
    <m/>
    <m/>
    <m/>
  </r>
  <r>
    <x v="1"/>
    <x v="4"/>
    <s v="Asia"/>
    <s v="N/A"/>
    <s v="None"/>
    <x v="0"/>
    <x v="161"/>
    <x v="24"/>
    <n v="10"/>
    <x v="2"/>
    <s v="Chang Wanquan"/>
    <m/>
    <s v="Defense Minister; CMC Member"/>
    <n v="8"/>
    <x v="2"/>
    <s v="Xiangshan Forum 2015; Defense Minister"/>
    <x v="0"/>
    <m/>
    <x v="0"/>
    <m/>
    <x v="1"/>
    <m/>
    <m/>
    <m/>
    <s v="http://eng.mod.gov.cn/SpecialReports/node_46641.htm "/>
    <m/>
  </r>
  <r>
    <x v="0"/>
    <x v="8"/>
    <s v="Europe and Central Asia"/>
    <s v="Strategic Partnership [战略伙伴关系]"/>
    <s v="NATO"/>
    <x v="3"/>
    <x v="59"/>
    <x v="24"/>
    <n v="10"/>
    <x v="0"/>
    <m/>
    <m/>
    <m/>
    <m/>
    <x v="0"/>
    <m/>
    <x v="0"/>
    <m/>
    <x v="0"/>
    <m/>
    <x v="2"/>
    <s v="ETF-20"/>
    <s v="East Sea Fleet"/>
    <s v="DDG152 Jinan, FFG548 Yiyang, AOR886 Qiandao Hu "/>
    <m/>
    <m/>
  </r>
  <r>
    <x v="0"/>
    <x v="8"/>
    <s v="Europe and Central Asia"/>
    <s v="Comprehensive Strategic Partnership [全面战略伙伴关系]"/>
    <s v="NATO"/>
    <x v="3"/>
    <x v="48"/>
    <x v="24"/>
    <n v="10"/>
    <x v="0"/>
    <m/>
    <m/>
    <m/>
    <m/>
    <x v="0"/>
    <m/>
    <x v="0"/>
    <m/>
    <x v="0"/>
    <m/>
    <x v="2"/>
    <s v="ETF-20"/>
    <s v="East Sea Fleet"/>
    <s v="DDG152 Jinan, FFG548 Yiyang, AOR886 Qiandao Hu "/>
    <m/>
    <m/>
  </r>
  <r>
    <x v="1"/>
    <x v="9"/>
    <s v="West Asia and Africa"/>
    <s v="No Specific Relationship"/>
    <s v="None"/>
    <x v="1"/>
    <x v="142"/>
    <x v="24"/>
    <n v="10"/>
    <x v="3"/>
    <s v="Wu Shengli"/>
    <m/>
    <s v="PLAN Commander; CMC Member"/>
    <n v="8"/>
    <x v="2"/>
    <s v="Navy Commander"/>
    <x v="0"/>
    <m/>
    <x v="0"/>
    <m/>
    <x v="1"/>
    <m/>
    <m/>
    <m/>
    <m/>
    <m/>
  </r>
  <r>
    <x v="1"/>
    <x v="0"/>
    <s v="Asia"/>
    <s v="Strategic Cooperative Partnership [战略合作伙伴关系]"/>
    <s v="None"/>
    <x v="0"/>
    <x v="3"/>
    <x v="24"/>
    <n v="10"/>
    <x v="3"/>
    <s v="Sun Jianguo"/>
    <m/>
    <s v="GSD DCGS"/>
    <n v="6"/>
    <x v="2"/>
    <s v="Secretary to the Defense Minister"/>
    <x v="0"/>
    <m/>
    <x v="0"/>
    <m/>
    <x v="1"/>
    <m/>
    <m/>
    <m/>
    <m/>
    <m/>
  </r>
  <r>
    <x v="0"/>
    <x v="8"/>
    <s v="Europe and Central Asia"/>
    <s v="No Specific Relationship"/>
    <s v="None"/>
    <x v="3"/>
    <x v="92"/>
    <x v="24"/>
    <n v="10"/>
    <x v="0"/>
    <m/>
    <m/>
    <m/>
    <m/>
    <x v="0"/>
    <m/>
    <x v="0"/>
    <m/>
    <x v="0"/>
    <m/>
    <x v="2"/>
    <s v="ETF-20"/>
    <s v="East Sea Fleet"/>
    <s v="DDG152 Jinan, FFG548 Yiyang, AOR886 Qiandao Hu "/>
    <m/>
    <m/>
  </r>
  <r>
    <x v="1"/>
    <x v="6"/>
    <s v="Europe and Central Asia"/>
    <s v="Strategic Partnership [战略伙伴关系]"/>
    <s v="None"/>
    <x v="1"/>
    <x v="60"/>
    <x v="24"/>
    <n v="10"/>
    <x v="7"/>
    <s v="Chang Wanquan"/>
    <m/>
    <s v="Defense Minister; CMC Member"/>
    <n v="8"/>
    <x v="2"/>
    <s v="Defense Minister"/>
    <x v="0"/>
    <m/>
    <x v="0"/>
    <m/>
    <x v="1"/>
    <m/>
    <m/>
    <m/>
    <s v="http://eng.mod.gov.cn/SpecialReports/2015-10/15/content_4624532.htm"/>
    <m/>
  </r>
  <r>
    <x v="0"/>
    <x v="2"/>
    <s v="America and Oceania"/>
    <s v="No Specific Relationship"/>
    <s v="N/A"/>
    <x v="2"/>
    <x v="4"/>
    <x v="24"/>
    <n v="10"/>
    <x v="0"/>
    <m/>
    <m/>
    <m/>
    <m/>
    <x v="0"/>
    <m/>
    <x v="0"/>
    <m/>
    <x v="0"/>
    <m/>
    <x v="0"/>
    <s v="2015-10  Zhenghe"/>
    <s v="East Sea Fleet"/>
    <m/>
    <m/>
    <m/>
  </r>
  <r>
    <x v="2"/>
    <x v="2"/>
    <s v="America and Oceania"/>
    <s v="No Specific Relationship"/>
    <s v="N/A"/>
    <x v="2"/>
    <x v="4"/>
    <x v="24"/>
    <n v="10"/>
    <x v="5"/>
    <m/>
    <m/>
    <m/>
    <m/>
    <x v="0"/>
    <m/>
    <x v="5"/>
    <s v="None"/>
    <x v="2"/>
    <s v="Damage control, SAR planning"/>
    <x v="1"/>
    <m/>
    <m/>
    <m/>
    <m/>
    <m/>
  </r>
  <r>
    <x v="1"/>
    <x v="1"/>
    <s v="Asia"/>
    <s v="Strategic Partnership [战略伙伴关系] for Peace and Prosperity"/>
    <s v="None"/>
    <x v="0"/>
    <x v="153"/>
    <x v="24"/>
    <n v="11"/>
    <x v="1"/>
    <s v="Chang Wanquan"/>
    <m/>
    <s v="Defense Minister; CMC Member"/>
    <n v="8"/>
    <x v="1"/>
    <s v="3rd ADMM+ Malaysia"/>
    <x v="0"/>
    <m/>
    <x v="0"/>
    <m/>
    <x v="1"/>
    <m/>
    <m/>
    <m/>
    <s v="http://www.chinadaily.com.cn/world/2015liattendsASEAN/2015-11/04/content_22504960.htm"/>
    <s v="corrected partnership to strategic partnership for peace and prosperity"/>
  </r>
  <r>
    <x v="1"/>
    <x v="5"/>
    <s v="America and Oceania"/>
    <s v="Comprehensive Strategic Partnership [全面战略伙伴关系]"/>
    <s v="ANZUS Treaty"/>
    <x v="0"/>
    <x v="12"/>
    <x v="24"/>
    <n v="11"/>
    <x v="7"/>
    <s v="Chang Wanquan"/>
    <m/>
    <s v="Defense Minister; CMC Member"/>
    <n v="8"/>
    <x v="1"/>
    <s v="Defense Minister"/>
    <x v="0"/>
    <m/>
    <x v="0"/>
    <m/>
    <x v="1"/>
    <m/>
    <m/>
    <m/>
    <s v="http://english.chinamil.com.cn/news-channels/china-military-news/2015-11/04/content_6754945.htm"/>
    <m/>
  </r>
  <r>
    <x v="2"/>
    <x v="5"/>
    <s v="America and Oceania"/>
    <s v="Comprehensive Strategic Partnership [全面战略伙伴关系]"/>
    <s v="ANZUS Treaty"/>
    <x v="0"/>
    <x v="12"/>
    <x v="24"/>
    <n v="11"/>
    <x v="5"/>
    <m/>
    <m/>
    <m/>
    <m/>
    <x v="0"/>
    <m/>
    <x v="2"/>
    <s v="None"/>
    <x v="2"/>
    <s v="Navigation drills"/>
    <x v="1"/>
    <m/>
    <m/>
    <m/>
    <m/>
    <m/>
  </r>
  <r>
    <x v="1"/>
    <x v="8"/>
    <s v="Europe and Central Asia"/>
    <s v="Comprehensive Strategic Partnership [全面战略伙伴关系]"/>
    <s v="None"/>
    <x v="3"/>
    <x v="34"/>
    <x v="24"/>
    <n v="11"/>
    <x v="3"/>
    <s v="Zhao Keshi"/>
    <m/>
    <s v="GLD Director; CMC Member"/>
    <n v="8"/>
    <x v="2"/>
    <s v="Deputy Minister of Defense for Logistics"/>
    <x v="0"/>
    <m/>
    <x v="0"/>
    <m/>
    <x v="1"/>
    <m/>
    <m/>
    <m/>
    <m/>
    <m/>
  </r>
  <r>
    <x v="1"/>
    <x v="1"/>
    <s v="Asia"/>
    <s v="Comprehensive Strategic Cooperative Partnership [全面战略合作伙伴关系]"/>
    <s v="None"/>
    <x v="0"/>
    <x v="94"/>
    <x v="24"/>
    <n v="11"/>
    <x v="4"/>
    <s v="Chang Wanquan"/>
    <m/>
    <s v="Defense Minister; CMC Member"/>
    <n v="8"/>
    <x v="1"/>
    <s v="Defense Minister"/>
    <x v="0"/>
    <m/>
    <x v="0"/>
    <m/>
    <x v="1"/>
    <m/>
    <m/>
    <m/>
    <m/>
    <m/>
  </r>
  <r>
    <x v="0"/>
    <x v="10"/>
    <s v="America and Oceania"/>
    <s v="No Specific Relationship"/>
    <s v="None"/>
    <x v="5"/>
    <x v="49"/>
    <x v="24"/>
    <n v="11"/>
    <x v="0"/>
    <m/>
    <m/>
    <m/>
    <m/>
    <x v="0"/>
    <m/>
    <x v="0"/>
    <m/>
    <x v="0"/>
    <m/>
    <x v="2"/>
    <s v="ETF-20"/>
    <s v="East Sea Fleet"/>
    <s v="DDG152 Jinan, FFG548 Yiyang, AOR886 Qiandao Hu "/>
    <m/>
    <m/>
  </r>
  <r>
    <x v="2"/>
    <x v="8"/>
    <s v="Europe and Central Asia"/>
    <s v="Comprehensive Strategic Partnership [全面战略伙伴关系]"/>
    <s v="NATO"/>
    <x v="3"/>
    <x v="116"/>
    <x v="24"/>
    <n v="11"/>
    <x v="5"/>
    <m/>
    <m/>
    <m/>
    <m/>
    <x v="0"/>
    <m/>
    <x v="4"/>
    <s v="None"/>
    <x v="2"/>
    <s v="helicopter landing on each other’s warship, maritime replenishment, visit, board, search and seizure training; UNREP, fleet maneuvers, boarding; ETF-21; anti-piracy"/>
    <x v="1"/>
    <m/>
    <m/>
    <m/>
    <s v="http://eng.chinamil.com.cn/news-channels/2015-11/30/content_6792347.htm"/>
    <m/>
  </r>
  <r>
    <x v="1"/>
    <x v="9"/>
    <s v="West Asia and Africa"/>
    <s v="No Specific Relationship"/>
    <s v="None"/>
    <x v="1"/>
    <x v="119"/>
    <x v="24"/>
    <n v="11"/>
    <x v="4"/>
    <s v="Fang Fenghui"/>
    <m/>
    <s v="GSD Commander; CMC Member"/>
    <n v="8"/>
    <x v="1"/>
    <m/>
    <x v="0"/>
    <m/>
    <x v="0"/>
    <m/>
    <x v="1"/>
    <m/>
    <m/>
    <m/>
    <m/>
    <m/>
  </r>
  <r>
    <x v="0"/>
    <x v="9"/>
    <s v="West Asia and Africa"/>
    <s v="No Specific Relationship"/>
    <s v="None"/>
    <x v="1"/>
    <x v="119"/>
    <x v="24"/>
    <n v="11"/>
    <x v="9"/>
    <m/>
    <m/>
    <m/>
    <m/>
    <x v="0"/>
    <m/>
    <x v="0"/>
    <m/>
    <x v="0"/>
    <m/>
    <x v="2"/>
    <s v="ETF-21"/>
    <s v="South Sea Fleet"/>
    <s v="FFG573 Liuzhou, FFG574 Sanya, AOR885 Qinghai Hu"/>
    <m/>
    <m/>
  </r>
  <r>
    <x v="1"/>
    <x v="10"/>
    <s v="America and Oceania"/>
    <s v="Strategic Partnership [战略伙伴关系]"/>
    <s v="None"/>
    <x v="5"/>
    <x v="51"/>
    <x v="24"/>
    <n v="11"/>
    <x v="3"/>
    <s v="Chang Wanquan"/>
    <m/>
    <s v="Defense Minister; CMC Member"/>
    <n v="8"/>
    <x v="2"/>
    <s v="Defense Minister"/>
    <x v="0"/>
    <m/>
    <x v="0"/>
    <m/>
    <x v="1"/>
    <m/>
    <m/>
    <m/>
    <m/>
    <m/>
  </r>
  <r>
    <x v="1"/>
    <x v="7"/>
    <s v="West Asia and Africa"/>
    <s v="No Specific Relationship"/>
    <s v="None"/>
    <x v="4"/>
    <x v="87"/>
    <x v="24"/>
    <n v="11"/>
    <x v="3"/>
    <s v="Xu Qiliang"/>
    <m/>
    <s v="CMC Vice Chairman"/>
    <n v="10"/>
    <x v="2"/>
    <s v="Defense Minister"/>
    <x v="0"/>
    <m/>
    <x v="0"/>
    <m/>
    <x v="1"/>
    <m/>
    <m/>
    <m/>
    <m/>
    <m/>
  </r>
  <r>
    <x v="1"/>
    <x v="8"/>
    <s v="Europe and Central Asia"/>
    <s v="No Specific Relationship"/>
    <s v="NATO"/>
    <x v="3"/>
    <x v="82"/>
    <x v="24"/>
    <n v="11"/>
    <x v="3"/>
    <s v="Wang Guanzhong"/>
    <m/>
    <s v="GSD DCGS"/>
    <n v="6"/>
    <x v="2"/>
    <s v="Deputy Chairman JCS"/>
    <x v="0"/>
    <m/>
    <x v="0"/>
    <m/>
    <x v="1"/>
    <m/>
    <m/>
    <m/>
    <m/>
    <m/>
  </r>
  <r>
    <x v="1"/>
    <x v="0"/>
    <s v="Asia"/>
    <s v="Strategic Partnership for Peace and Prosperity [战略伙伴关系]"/>
    <s v="None"/>
    <x v="0"/>
    <x v="6"/>
    <x v="24"/>
    <n v="11"/>
    <x v="4"/>
    <s v="Fan Changlong"/>
    <m/>
    <s v="CMC Vice Chairman"/>
    <n v="10"/>
    <x v="1"/>
    <m/>
    <x v="0"/>
    <m/>
    <x v="0"/>
    <m/>
    <x v="1"/>
    <m/>
    <m/>
    <m/>
    <m/>
    <m/>
  </r>
  <r>
    <x v="1"/>
    <x v="1"/>
    <s v="Asia"/>
    <s v="Comprehensive Strategic Partnership [全面战略伙伴关系]"/>
    <s v="None"/>
    <x v="0"/>
    <x v="8"/>
    <x v="24"/>
    <n v="11"/>
    <x v="4"/>
    <s v="Wu Shengli"/>
    <m/>
    <s v="PLAN Commander; CMC Member"/>
    <n v="8"/>
    <x v="1"/>
    <m/>
    <x v="0"/>
    <m/>
    <x v="0"/>
    <m/>
    <x v="1"/>
    <m/>
    <m/>
    <m/>
    <m/>
    <m/>
  </r>
  <r>
    <x v="1"/>
    <x v="9"/>
    <s v="West Asia and Africa"/>
    <s v="No Specific Relationship"/>
    <s v="None"/>
    <x v="1"/>
    <x v="89"/>
    <x v="24"/>
    <n v="11"/>
    <x v="3"/>
    <s v="Ma Xiaotian"/>
    <m/>
    <s v="PLAAF Commander; CMC Member"/>
    <n v="8"/>
    <x v="2"/>
    <s v="Air Force Commander"/>
    <x v="0"/>
    <m/>
    <x v="0"/>
    <m/>
    <x v="1"/>
    <m/>
    <m/>
    <m/>
    <m/>
    <m/>
  </r>
  <r>
    <x v="1"/>
    <x v="1"/>
    <s v="Asia"/>
    <s v="Comprehensive Strategic Partnership [全面战略伙伴关系]"/>
    <s v="None"/>
    <x v="0"/>
    <x v="10"/>
    <x v="24"/>
    <n v="11"/>
    <x v="4"/>
    <s v="Chang Wanquan"/>
    <m/>
    <s v="Defense Minister; CMC Member"/>
    <n v="8"/>
    <x v="1"/>
    <s v="Defense Minister"/>
    <x v="0"/>
    <m/>
    <x v="0"/>
    <m/>
    <x v="1"/>
    <m/>
    <m/>
    <m/>
    <s v="http://english.chinamil.com.cn/news-channels/china-military-news/2015-11/05/content_6756726.htm"/>
    <m/>
  </r>
  <r>
    <x v="1"/>
    <x v="1"/>
    <s v="Asia"/>
    <s v="Comprehensive Strategic Partnership [全面战略伙伴关系]"/>
    <s v="None"/>
    <x v="0"/>
    <x v="10"/>
    <x v="24"/>
    <n v="11"/>
    <x v="4"/>
    <s v="Wu Shengli"/>
    <m/>
    <s v="PLAN Commander; CMC Member"/>
    <n v="8"/>
    <x v="1"/>
    <m/>
    <x v="0"/>
    <m/>
    <x v="0"/>
    <m/>
    <x v="1"/>
    <m/>
    <m/>
    <m/>
    <m/>
    <m/>
  </r>
  <r>
    <x v="1"/>
    <x v="0"/>
    <s v="West Asia and Africa"/>
    <s v="Comprehensive Friendly Cooperative Partnership [全面友好合作伙伴关系]"/>
    <s v="None"/>
    <x v="0"/>
    <x v="149"/>
    <x v="24"/>
    <n v="11"/>
    <x v="4"/>
    <s v="Wu Shengli"/>
    <m/>
    <s v="PLAN Commander; CMC Member"/>
    <n v="8"/>
    <x v="1"/>
    <m/>
    <x v="0"/>
    <m/>
    <x v="0"/>
    <m/>
    <x v="1"/>
    <m/>
    <m/>
    <m/>
    <m/>
    <m/>
  </r>
  <r>
    <x v="1"/>
    <x v="7"/>
    <s v="West Asia and Africa"/>
    <s v="No Specific Relationship"/>
    <s v="None"/>
    <x v="4"/>
    <x v="121"/>
    <x v="24"/>
    <n v="11"/>
    <x v="3"/>
    <s v="Fan Changlong"/>
    <m/>
    <s v="CMC Vice Chairman"/>
    <n v="10"/>
    <x v="2"/>
    <s v="Defense Minister"/>
    <x v="0"/>
    <m/>
    <x v="0"/>
    <m/>
    <x v="1"/>
    <m/>
    <m/>
    <m/>
    <m/>
    <m/>
  </r>
  <r>
    <x v="0"/>
    <x v="2"/>
    <s v="America and Oceania"/>
    <s v="Comprehensive Strategic Partnership [全面战略伙伴关系]"/>
    <s v="None"/>
    <x v="2"/>
    <x v="77"/>
    <x v="24"/>
    <n v="11"/>
    <x v="0"/>
    <m/>
    <m/>
    <m/>
    <m/>
    <x v="0"/>
    <m/>
    <x v="0"/>
    <m/>
    <x v="0"/>
    <m/>
    <x v="2"/>
    <s v="ETF-20"/>
    <s v="East Sea Fleet"/>
    <s v="DDG152 Jinan, FFG548 Yiyang, AOR886 Qiandao Hu "/>
    <m/>
    <m/>
  </r>
  <r>
    <x v="0"/>
    <x v="2"/>
    <s v="America and Oceania"/>
    <s v="Comprehensive Strategic Partnership [全面战略伙伴关系]"/>
    <s v="None"/>
    <x v="2"/>
    <x v="77"/>
    <x v="24"/>
    <n v="11"/>
    <x v="12"/>
    <m/>
    <m/>
    <m/>
    <m/>
    <x v="0"/>
    <m/>
    <x v="0"/>
    <m/>
    <x v="0"/>
    <m/>
    <x v="0"/>
    <s v="2015-11 Harmonious Mission "/>
    <s v="East Sea Fleet"/>
    <m/>
    <m/>
    <s v="recoded to delete drills"/>
  </r>
  <r>
    <x v="1"/>
    <x v="0"/>
    <s v="Asia"/>
    <s v="All-Weather Strategic Cooperative Partnership [全天候战略合作伙伴关系]"/>
    <s v="Major Non-NATO Ally"/>
    <x v="1"/>
    <x v="2"/>
    <x v="24"/>
    <n v="11"/>
    <x v="4"/>
    <s v="Fan Changlong"/>
    <m/>
    <s v="CMC Vice Chairman"/>
    <n v="10"/>
    <x v="1"/>
    <m/>
    <x v="0"/>
    <m/>
    <x v="0"/>
    <m/>
    <x v="1"/>
    <m/>
    <m/>
    <m/>
    <m/>
    <m/>
  </r>
  <r>
    <x v="1"/>
    <x v="8"/>
    <s v="Europe and Central Asia"/>
    <s v="Comprehensive Strategic Partnership [全面战略伙伴关系]"/>
    <s v="NATO"/>
    <x v="3"/>
    <x v="48"/>
    <x v="24"/>
    <n v="11"/>
    <x v="3"/>
    <s v="Chang Wanquan "/>
    <m/>
    <s v="Defense Minister; CMC Member"/>
    <n v="8"/>
    <x v="2"/>
    <s v="COGS"/>
    <x v="0"/>
    <m/>
    <x v="0"/>
    <m/>
    <x v="1"/>
    <m/>
    <m/>
    <m/>
    <m/>
    <m/>
  </r>
  <r>
    <x v="1"/>
    <x v="9"/>
    <s v="West Asia and Africa"/>
    <s v="Strategic Partnership [战略伙伴关系]"/>
    <s v="None"/>
    <x v="1"/>
    <x v="131"/>
    <x v="24"/>
    <n v="11"/>
    <x v="3"/>
    <s v="Fang Fenghui"/>
    <m/>
    <s v="GSD Commander; CMC Member"/>
    <n v="8"/>
    <x v="2"/>
    <s v="COGS"/>
    <x v="0"/>
    <m/>
    <x v="0"/>
    <m/>
    <x v="1"/>
    <m/>
    <m/>
    <m/>
    <m/>
    <m/>
  </r>
  <r>
    <x v="1"/>
    <x v="3"/>
    <s v="Europe and Central Asia"/>
    <s v="Comprehensive Collaborative Strategic Partnership [全面战略协作伙伴关系]"/>
    <s v="None"/>
    <x v="3"/>
    <x v="7"/>
    <x v="24"/>
    <n v="11"/>
    <x v="4"/>
    <s v="Xu Qiliang"/>
    <m/>
    <s v="CMC Vice Chairman"/>
    <n v="10"/>
    <x v="1"/>
    <m/>
    <x v="0"/>
    <m/>
    <x v="0"/>
    <m/>
    <x v="1"/>
    <m/>
    <m/>
    <m/>
    <m/>
    <m/>
  </r>
  <r>
    <x v="1"/>
    <x v="1"/>
    <s v="Asia"/>
    <s v="All-Round Cooperative Partnership [全方合作伙伴关系]"/>
    <s v="None"/>
    <x v="0"/>
    <x v="39"/>
    <x v="24"/>
    <n v="11"/>
    <x v="3"/>
    <s v="Zhao Keshi"/>
    <m/>
    <s v="GLD Director; CMC Member"/>
    <n v="8"/>
    <x v="2"/>
    <s v="Head of Joint Logistics Department"/>
    <x v="0"/>
    <m/>
    <x v="0"/>
    <m/>
    <x v="1"/>
    <m/>
    <m/>
    <m/>
    <m/>
    <m/>
  </r>
  <r>
    <x v="1"/>
    <x v="7"/>
    <s v="West Asia and Africa"/>
    <s v="Comprehensive Strategic Partnership [全面战略伙伴关系]"/>
    <s v="None"/>
    <x v="4"/>
    <x v="15"/>
    <x v="24"/>
    <n v="11"/>
    <x v="3"/>
    <s v="Wu Shengli"/>
    <m/>
    <s v="PLAN Commander; CMC Member"/>
    <n v="8"/>
    <x v="2"/>
    <s v="Navy Commander"/>
    <x v="0"/>
    <m/>
    <x v="0"/>
    <m/>
    <x v="1"/>
    <m/>
    <m/>
    <m/>
    <m/>
    <m/>
  </r>
  <r>
    <x v="1"/>
    <x v="4"/>
    <s v="Asia"/>
    <s v="Strategic Cooperative Partnership [战略合作伙伴关系]"/>
    <s v="Bilateral Defense Treaty"/>
    <x v="0"/>
    <x v="25"/>
    <x v="24"/>
    <n v="11"/>
    <x v="7"/>
    <s v="Chang Wanquan"/>
    <m/>
    <s v="Defense Minister; CMC Member"/>
    <n v="8"/>
    <x v="1"/>
    <s v="Defense Minister"/>
    <x v="0"/>
    <m/>
    <x v="0"/>
    <m/>
    <x v="1"/>
    <m/>
    <m/>
    <m/>
    <s v="https://www.upi.com/Top_News/World-News/2015/11/04/South-Korea-agrees-to-military-hotline-with-China/4351446662720/"/>
    <m/>
  </r>
  <r>
    <x v="2"/>
    <x v="4"/>
    <s v="Asia"/>
    <s v="Strategic Cooperative Partnership [战略合作伙伴关系]"/>
    <s v="Bilateral Defense Treaty"/>
    <x v="0"/>
    <x v="25"/>
    <x v="24"/>
    <n v="11"/>
    <x v="5"/>
    <m/>
    <m/>
    <m/>
    <m/>
    <x v="0"/>
    <m/>
    <x v="4"/>
    <s v="None"/>
    <x v="2"/>
    <s v="anti-piracy in Gulf of Aden"/>
    <x v="1"/>
    <m/>
    <m/>
    <m/>
    <m/>
    <m/>
  </r>
  <r>
    <x v="2"/>
    <x v="1"/>
    <s v="Asia"/>
    <s v="Comprehensive Strategic Cooperative Partnership [全面战略合作伙伴关系]"/>
    <s v="Bilateral Defense Treaty"/>
    <x v="0"/>
    <x v="5"/>
    <x v="24"/>
    <n v="11"/>
    <x v="5"/>
    <m/>
    <m/>
    <m/>
    <m/>
    <x v="0"/>
    <m/>
    <x v="3"/>
    <s v="Falcon Strike 2015"/>
    <x v="5"/>
    <s v="Aerial maneuvers"/>
    <x v="1"/>
    <m/>
    <m/>
    <m/>
    <s v="https://web.archive.org/web/20150926012801/https://www.news.lk/news/sri-lanka/item/9929-exercise-cormorant-exercise-vi-draws-to-a-close"/>
    <m/>
  </r>
  <r>
    <x v="1"/>
    <x v="2"/>
    <s v="America and Oceania"/>
    <s v="No Specific Relationship"/>
    <s v="N/A"/>
    <x v="2"/>
    <x v="4"/>
    <x v="24"/>
    <n v="11"/>
    <x v="7"/>
    <s v="Chang Wanquan"/>
    <m/>
    <s v="Defense Minister; CMC Member"/>
    <n v="8"/>
    <x v="1"/>
    <s v="Secretary of Defense Carter"/>
    <x v="0"/>
    <m/>
    <x v="0"/>
    <m/>
    <x v="1"/>
    <m/>
    <m/>
    <m/>
    <s v="https://www.defense.gov/Newsroom/Releases/Release/Article/627162/readout-of-secretary-of-defense-ash-carters-meeting-with-peoples-republic-of-ch/"/>
    <s v="on margins of ADMM+"/>
  </r>
  <r>
    <x v="1"/>
    <x v="2"/>
    <s v="America and Oceania"/>
    <s v="No Specific Relationship"/>
    <s v="N/A"/>
    <x v="2"/>
    <x v="4"/>
    <x v="24"/>
    <n v="11"/>
    <x v="3"/>
    <s v="Fan Changlong"/>
    <m/>
    <s v="CMC Vice Chairman"/>
    <n v="10"/>
    <x v="2"/>
    <s v="PACOM Commander Harris"/>
    <x v="0"/>
    <m/>
    <x v="0"/>
    <m/>
    <x v="1"/>
    <m/>
    <m/>
    <m/>
    <s v="2016 CH Milpower Report"/>
    <m/>
  </r>
  <r>
    <x v="0"/>
    <x v="2"/>
    <s v="America and Oceania"/>
    <s v="No Specific Relationship"/>
    <s v="N/A"/>
    <x v="2"/>
    <x v="4"/>
    <x v="24"/>
    <n v="11"/>
    <x v="10"/>
    <m/>
    <m/>
    <m/>
    <m/>
    <x v="0"/>
    <m/>
    <x v="0"/>
    <m/>
    <x v="0"/>
    <m/>
    <x v="2"/>
    <s v="ETF-20"/>
    <s v="East Sea Fleet"/>
    <s v="DDG152 Jinan, FFG548 Yiyang, AOR886 Qiandao Hu; Florida and Hawaii"/>
    <s v="2016 CH Milpower Report"/>
    <m/>
  </r>
  <r>
    <x v="0"/>
    <x v="2"/>
    <s v="America and Oceania"/>
    <s v="No Specific Relationship"/>
    <s v="N/A"/>
    <x v="2"/>
    <x v="4"/>
    <x v="24"/>
    <n v="11"/>
    <x v="12"/>
    <m/>
    <m/>
    <m/>
    <m/>
    <x v="0"/>
    <m/>
    <x v="0"/>
    <m/>
    <x v="0"/>
    <m/>
    <x v="0"/>
    <s v="2015-11  Harmonious Mission "/>
    <s v="East Sea Fleet"/>
    <s v="Peace Ark to San Diego"/>
    <m/>
    <s v="recoded to delete drills"/>
  </r>
  <r>
    <x v="2"/>
    <x v="2"/>
    <s v="America and Oceania"/>
    <s v="No Specific Relationship"/>
    <s v="N/A"/>
    <x v="2"/>
    <x v="4"/>
    <x v="24"/>
    <n v="11"/>
    <x v="5"/>
    <m/>
    <m/>
    <m/>
    <m/>
    <x v="0"/>
    <m/>
    <x v="2"/>
    <s v="11th Disaster Management Exchange"/>
    <x v="1"/>
    <s v="Joint Base Lewis-McChord; HADR with academic discussion, TTX, and field exchange"/>
    <x v="1"/>
    <m/>
    <m/>
    <m/>
    <m/>
    <m/>
  </r>
  <r>
    <x v="2"/>
    <x v="2"/>
    <s v="America and Oceania"/>
    <s v="No Specific Relationship"/>
    <s v="N/A"/>
    <x v="2"/>
    <x v="4"/>
    <x v="24"/>
    <n v="11"/>
    <x v="5"/>
    <m/>
    <m/>
    <m/>
    <m/>
    <x v="0"/>
    <m/>
    <x v="2"/>
    <s v="None"/>
    <x v="2"/>
    <s v="Communications and SAR exercise; USS Stethem"/>
    <x v="1"/>
    <m/>
    <m/>
    <m/>
    <s v="https://www.cpf.navy.mil/Newsroom/News/Article/2745342/uss-stethem-joins-with-plan-to-conduct-exercise/"/>
    <m/>
  </r>
  <r>
    <x v="1"/>
    <x v="5"/>
    <s v="America and Oceania"/>
    <s v="Comprehensive Strategic Partnership [全面战略伙伴关系]"/>
    <s v="ANZUS Treaty"/>
    <x v="0"/>
    <x v="12"/>
    <x v="24"/>
    <n v="12"/>
    <x v="4"/>
    <s v="Fang Fenghui"/>
    <m/>
    <s v="GSD Commander; CMC Member"/>
    <n v="8"/>
    <x v="1"/>
    <m/>
    <x v="0"/>
    <m/>
    <x v="0"/>
    <m/>
    <x v="1"/>
    <m/>
    <m/>
    <m/>
    <s v="http://english.chinamil.com.cn/view/2017-11/10/content_7819995.htm"/>
    <m/>
  </r>
  <r>
    <x v="1"/>
    <x v="0"/>
    <s v="Asia"/>
    <s v="Comprehensive Cooperative Partnership [全面合作伙伴关系]"/>
    <s v="None"/>
    <x v="0"/>
    <x v="0"/>
    <x v="24"/>
    <n v="12"/>
    <x v="3"/>
    <s v="Chang Wanquan"/>
    <m/>
    <s v="Defense Minister; CMC Member"/>
    <n v="8"/>
    <x v="2"/>
    <s v="Army Chief of Staff"/>
    <x v="0"/>
    <m/>
    <x v="0"/>
    <m/>
    <x v="1"/>
    <m/>
    <m/>
    <m/>
    <s v="http://english.chinamil.com.cn/view/2017-11/02/content_7810455.htm"/>
    <m/>
  </r>
  <r>
    <x v="0"/>
    <x v="10"/>
    <s v="America and Oceania"/>
    <s v="No Specific Relationship"/>
    <s v="None"/>
    <x v="5"/>
    <x v="103"/>
    <x v="24"/>
    <n v="12"/>
    <x v="12"/>
    <m/>
    <m/>
    <m/>
    <m/>
    <x v="0"/>
    <m/>
    <x v="0"/>
    <m/>
    <x v="0"/>
    <m/>
    <x v="0"/>
    <s v="2015-12 Harmonious Mission "/>
    <s v="East Sea Fleet"/>
    <m/>
    <m/>
    <s v="recoded to delete drills"/>
  </r>
  <r>
    <x v="1"/>
    <x v="8"/>
    <s v="Europe and Central Asia"/>
    <s v="Comprehensive Strategic Partnership [全面战略伙伴关系]"/>
    <s v="NATO"/>
    <x v="3"/>
    <x v="18"/>
    <x v="24"/>
    <n v="12"/>
    <x v="3"/>
    <s v="Sun Jianguo"/>
    <m/>
    <s v="GSD DCGS"/>
    <n v="6"/>
    <x v="2"/>
    <s v="Delegation of senior military officers"/>
    <x v="0"/>
    <m/>
    <x v="0"/>
    <m/>
    <x v="1"/>
    <m/>
    <m/>
    <m/>
    <s v="http://english.chinamil.com.cn/view/2017-11/20/content_7833802.htm"/>
    <m/>
  </r>
  <r>
    <x v="0"/>
    <x v="10"/>
    <s v="America and Oceania"/>
    <s v="No Specific Relationship"/>
    <s v="None"/>
    <x v="5"/>
    <x v="138"/>
    <x v="24"/>
    <n v="12"/>
    <x v="12"/>
    <m/>
    <m/>
    <m/>
    <m/>
    <x v="0"/>
    <m/>
    <x v="0"/>
    <m/>
    <x v="0"/>
    <m/>
    <x v="0"/>
    <s v="2015-12 Harmonious Mission "/>
    <s v="East Sea Fleet"/>
    <m/>
    <m/>
    <s v="recoded to delete drills"/>
  </r>
  <r>
    <x v="1"/>
    <x v="0"/>
    <s v="Asia"/>
    <s v="Strategic Partnership for Peace and Prosperity [战略伙伴关系]"/>
    <s v="None"/>
    <x v="0"/>
    <x v="6"/>
    <x v="24"/>
    <n v="12"/>
    <x v="3"/>
    <s v="Qi Jianguo"/>
    <m/>
    <s v="GSD DCGS"/>
    <n v="6"/>
    <x v="2"/>
    <s v="CinC Indian Army Northern Command"/>
    <x v="0"/>
    <m/>
    <x v="0"/>
    <m/>
    <x v="1"/>
    <m/>
    <m/>
    <m/>
    <s v="http://english.chinamil.com.cn/view/2017-11/30/content_7851222.htm"/>
    <m/>
  </r>
  <r>
    <x v="2"/>
    <x v="0"/>
    <s v="Asia"/>
    <s v="All-Weather Strategic Cooperative Partnership [全天候战略合作伙伴关系]"/>
    <s v="Major Non-NATO Ally"/>
    <x v="1"/>
    <x v="2"/>
    <x v="24"/>
    <n v="12"/>
    <x v="5"/>
    <m/>
    <m/>
    <m/>
    <m/>
    <x v="0"/>
    <m/>
    <x v="3"/>
    <s v="Friends"/>
    <x v="2"/>
    <s v="live-fire drills, joint escort, anti-piracy with FFGs Xuzhou, Yangzhou, and Shamsheer; ASW"/>
    <x v="1"/>
    <m/>
    <m/>
    <m/>
    <m/>
    <m/>
  </r>
  <r>
    <x v="2"/>
    <x v="0"/>
    <s v="Asia"/>
    <s v="All-Weather Strategic Cooperative Partnership [全天候战略合作伙伴关系]"/>
    <s v="Major Non-NATO Ally"/>
    <x v="1"/>
    <x v="2"/>
    <x v="24"/>
    <n v="12"/>
    <x v="5"/>
    <m/>
    <m/>
    <m/>
    <m/>
    <x v="0"/>
    <m/>
    <x v="1"/>
    <s v="Friendship 2015"/>
    <x v="1"/>
    <s v="anti-terrorism"/>
    <x v="1"/>
    <m/>
    <m/>
    <m/>
    <s v="http://eng.chinamil.com.cn/news-channels/2016-01/04/content_6843101_2.htm"/>
    <m/>
  </r>
  <r>
    <x v="0"/>
    <x v="10"/>
    <s v="America and Oceania"/>
    <s v="Comprehensive Strategic Partnership [全面战略伙伴关系]"/>
    <s v="None"/>
    <x v="5"/>
    <x v="54"/>
    <x v="24"/>
    <n v="12"/>
    <x v="12"/>
    <m/>
    <m/>
    <m/>
    <m/>
    <x v="0"/>
    <m/>
    <x v="0"/>
    <m/>
    <x v="0"/>
    <m/>
    <x v="0"/>
    <s v="2015-12 Harmonious Mission "/>
    <s v="East Sea Fleet"/>
    <m/>
    <m/>
    <s v="recoded to delete drills"/>
  </r>
  <r>
    <x v="2"/>
    <x v="5"/>
    <s v="America and Oceania"/>
    <s v="Comprehensive Strategic Partnership [全面战略伙伴关系]"/>
    <s v="ANZUS Treaty"/>
    <x v="0"/>
    <x v="12"/>
    <x v="25"/>
    <n v="1"/>
    <x v="5"/>
    <m/>
    <m/>
    <m/>
    <m/>
    <x v="0"/>
    <m/>
    <x v="5"/>
    <s v="None"/>
    <x v="2"/>
    <s v="FFG Yiyang and FFG Darwin maritime exercises"/>
    <x v="1"/>
    <m/>
    <m/>
    <m/>
    <m/>
    <m/>
  </r>
  <r>
    <x v="0"/>
    <x v="5"/>
    <s v="America and Oceania"/>
    <s v="Comprehensive Strategic Partnership [全面战略伙伴关系]"/>
    <s v="ANZUS Treaty"/>
    <x v="0"/>
    <x v="12"/>
    <x v="25"/>
    <n v="1"/>
    <x v="10"/>
    <m/>
    <m/>
    <m/>
    <m/>
    <x v="0"/>
    <m/>
    <x v="0"/>
    <m/>
    <x v="0"/>
    <m/>
    <x v="2"/>
    <s v="ETF-20"/>
    <s v="East Sea Fleet"/>
    <s v="DDG152 Jinan, FFG548 Yiyang, AOR886 Qiandao Hu "/>
    <m/>
    <m/>
  </r>
  <r>
    <x v="2"/>
    <x v="0"/>
    <s v="Asia"/>
    <s v="Comprehensive Cooperative Partnership [全面合作伙伴关系]"/>
    <s v="None"/>
    <x v="0"/>
    <x v="0"/>
    <x v="25"/>
    <n v="1"/>
    <x v="5"/>
    <m/>
    <m/>
    <m/>
    <m/>
    <x v="0"/>
    <m/>
    <x v="2"/>
    <s v="None"/>
    <x v="2"/>
    <s v="fleet maneuvers, communications drill, SAR, UNREP; ETF-21"/>
    <x v="1"/>
    <m/>
    <m/>
    <m/>
    <m/>
    <m/>
  </r>
  <r>
    <x v="0"/>
    <x v="0"/>
    <s v="Asia"/>
    <s v="Comprehensive Cooperative Partnership [全面合作伙伴关系]"/>
    <s v="None"/>
    <x v="0"/>
    <x v="0"/>
    <x v="25"/>
    <n v="1"/>
    <x v="10"/>
    <m/>
    <m/>
    <m/>
    <m/>
    <x v="0"/>
    <m/>
    <x v="0"/>
    <m/>
    <x v="0"/>
    <m/>
    <x v="2"/>
    <s v="ETF-21"/>
    <s v="South Sea Fleet"/>
    <s v="FFG573 Liuzhou, FFG574 Sanya, AOR885 Qinghai Hu"/>
    <m/>
    <m/>
  </r>
  <r>
    <x v="0"/>
    <x v="1"/>
    <s v="Asia"/>
    <s v="Comprehensive Cooperative Partnership [全面合作伙伴关系]"/>
    <s v="None"/>
    <x v="0"/>
    <x v="50"/>
    <x v="25"/>
    <n v="1"/>
    <x v="0"/>
    <m/>
    <m/>
    <m/>
    <m/>
    <x v="0"/>
    <m/>
    <x v="0"/>
    <m/>
    <x v="0"/>
    <m/>
    <x v="2"/>
    <s v="ETF-20"/>
    <s v="East Sea Fleet"/>
    <s v="DDG152 Jinan, FFG548 Yiyang, AOR886 Qiandao Hu "/>
    <m/>
    <m/>
  </r>
  <r>
    <x v="0"/>
    <x v="1"/>
    <s v="Asia"/>
    <s v="Comprehensive Strategic Partnership [全面战略伙伴关系]"/>
    <s v="None"/>
    <x v="0"/>
    <x v="8"/>
    <x v="25"/>
    <n v="1"/>
    <x v="0"/>
    <m/>
    <m/>
    <m/>
    <m/>
    <x v="0"/>
    <m/>
    <x v="0"/>
    <m/>
    <x v="0"/>
    <m/>
    <x v="2"/>
    <s v="ETF-20"/>
    <s v="East Sea Fleet"/>
    <s v="DDG152 Jinan, FFG548 Yiyang, AOR886 Qiandao Hu "/>
    <m/>
    <m/>
  </r>
  <r>
    <x v="2"/>
    <x v="0"/>
    <s v="Asia"/>
    <s v="All-Weather Strategic Cooperative Partnership [全天候战略合作伙伴关系]"/>
    <s v="Major Non-NATO Ally"/>
    <x v="1"/>
    <x v="2"/>
    <x v="25"/>
    <n v="1"/>
    <x v="5"/>
    <m/>
    <m/>
    <m/>
    <m/>
    <x v="0"/>
    <m/>
    <x v="5"/>
    <s v="None"/>
    <x v="2"/>
    <s v="ETF-21, formation maneuver, replenishment, formation air defense, cross-deck helo landing"/>
    <x v="1"/>
    <m/>
    <m/>
    <m/>
    <m/>
    <m/>
  </r>
  <r>
    <x v="0"/>
    <x v="0"/>
    <s v="Asia"/>
    <s v="All-Weather Strategic Cooperative Partnership [全天候战略合作伙伴关系]"/>
    <s v="Major Non-NATO Ally"/>
    <x v="1"/>
    <x v="2"/>
    <x v="25"/>
    <n v="1"/>
    <x v="10"/>
    <m/>
    <m/>
    <m/>
    <m/>
    <x v="0"/>
    <m/>
    <x v="0"/>
    <m/>
    <x v="0"/>
    <m/>
    <x v="2"/>
    <s v="ETF-21"/>
    <s v="South Sea Fleet"/>
    <s v="FFG573 Liuzhou, FFG574 Sanya, AOR885 Qinghai Hu; communications drills"/>
    <s v="http://eng.chinamil.com.cn/news-channels/2016-01/04/content_6843101_2.htm"/>
    <m/>
  </r>
  <r>
    <x v="2"/>
    <x v="0"/>
    <s v="Asia"/>
    <s v="Strategic Cooperative Partnership [战略合作伙伴关系]"/>
    <s v="None"/>
    <x v="0"/>
    <x v="3"/>
    <x v="25"/>
    <n v="1"/>
    <x v="5"/>
    <m/>
    <m/>
    <m/>
    <m/>
    <x v="0"/>
    <m/>
    <x v="2"/>
    <s v="None"/>
    <x v="2"/>
    <s v="fleet maneuvers, communications drill, SAR,ETF-21"/>
    <x v="1"/>
    <m/>
    <m/>
    <m/>
    <m/>
    <m/>
  </r>
  <r>
    <x v="0"/>
    <x v="0"/>
    <s v="Asia"/>
    <s v="Strategic Cooperative Partnership [战略合作伙伴关系]"/>
    <s v="None"/>
    <x v="0"/>
    <x v="3"/>
    <x v="25"/>
    <n v="1"/>
    <x v="10"/>
    <m/>
    <m/>
    <m/>
    <m/>
    <x v="0"/>
    <m/>
    <x v="0"/>
    <m/>
    <x v="0"/>
    <m/>
    <x v="2"/>
    <s v="ETF-21"/>
    <s v="South Sea Fleet"/>
    <s v="FFG573 Liuzhou, FFG574 Sanya, AOR885 Qinghai Hu"/>
    <m/>
    <m/>
  </r>
  <r>
    <x v="1"/>
    <x v="1"/>
    <s v="Asia"/>
    <s v="Comprehensive Strategic Cooperative Partnership [全面战略合作伙伴关系]"/>
    <s v="Bilateral Defense Treaty"/>
    <x v="0"/>
    <x v="5"/>
    <x v="25"/>
    <n v="1"/>
    <x v="3"/>
    <s v="Chang Wanquan"/>
    <m/>
    <s v="Defense Minister; CMC Member"/>
    <n v="8"/>
    <x v="2"/>
    <s v="Chief of Army"/>
    <x v="0"/>
    <m/>
    <x v="0"/>
    <m/>
    <x v="1"/>
    <m/>
    <m/>
    <m/>
    <m/>
    <m/>
  </r>
  <r>
    <x v="1"/>
    <x v="1"/>
    <s v="Asia"/>
    <s v="Comprehensive Strategic Cooperative Partnership [全面战略合作伙伴关系]"/>
    <s v="None"/>
    <x v="0"/>
    <x v="23"/>
    <x v="25"/>
    <n v="1"/>
    <x v="3"/>
    <s v="Sun Jianguo"/>
    <m/>
    <s v="CMC/JSD DCJS"/>
    <n v="6"/>
    <x v="2"/>
    <s v="Vice Defense Minister"/>
    <x v="0"/>
    <m/>
    <x v="0"/>
    <m/>
    <x v="1"/>
    <m/>
    <m/>
    <m/>
    <m/>
    <m/>
  </r>
  <r>
    <x v="1"/>
    <x v="0"/>
    <s v="Europe and Central Asia"/>
    <s v="Strategic Partnership [战略伙伴关系]"/>
    <s v="Major Non-NATO Ally"/>
    <x v="1"/>
    <x v="123"/>
    <x v="25"/>
    <n v="2"/>
    <x v="4"/>
    <s v="Fang Fenghui"/>
    <m/>
    <s v="CMC/JSD Commander; CMC Member"/>
    <n v="8"/>
    <x v="1"/>
    <m/>
    <x v="0"/>
    <m/>
    <x v="0"/>
    <m/>
    <x v="1"/>
    <m/>
    <m/>
    <m/>
    <m/>
    <m/>
  </r>
  <r>
    <x v="0"/>
    <x v="1"/>
    <s v="Asia"/>
    <s v="Comprehensive Strategic Cooperative Partnership [全面战略合作伙伴关系]"/>
    <s v="None"/>
    <x v="0"/>
    <x v="94"/>
    <x v="25"/>
    <n v="2"/>
    <x v="0"/>
    <m/>
    <m/>
    <m/>
    <m/>
    <x v="0"/>
    <m/>
    <x v="0"/>
    <m/>
    <x v="0"/>
    <m/>
    <x v="2"/>
    <s v="ETF-21"/>
    <s v="South Sea Fleet"/>
    <s v="FFG573 Liuzhou, FFG574 Sanya, AOR885 Qinghai Hu"/>
    <m/>
    <m/>
  </r>
  <r>
    <x v="2"/>
    <x v="8"/>
    <s v="Europe and Central Asia"/>
    <s v="Comprehensive Cooperative Partnership [全面合作伙伴关系]"/>
    <s v="None"/>
    <x v="3"/>
    <x v="158"/>
    <x v="25"/>
    <n v="2"/>
    <x v="6"/>
    <m/>
    <m/>
    <m/>
    <m/>
    <x v="0"/>
    <m/>
    <x v="4"/>
    <s v="None"/>
    <x v="2"/>
    <s v="ETF-22 anti-piracy drills with EU Combined Task Force 465"/>
    <x v="1"/>
    <m/>
    <m/>
    <m/>
    <m/>
    <m/>
  </r>
  <r>
    <x v="2"/>
    <x v="0"/>
    <s v="Asia"/>
    <s v="Strategic Partnership for Peace and Prosperity [战略伙伴关系]"/>
    <s v="None"/>
    <x v="0"/>
    <x v="6"/>
    <x v="25"/>
    <n v="2"/>
    <x v="6"/>
    <m/>
    <m/>
    <m/>
    <m/>
    <x v="0"/>
    <m/>
    <x v="2"/>
    <s v="Indian Fleet Review 2016"/>
    <x v="2"/>
    <s v="navigation and formation maneuvers; ETF-21. Other countries: refer to source for a complete list of countries"/>
    <x v="1"/>
    <m/>
    <m/>
    <m/>
    <s v="http://english.chinamil.com.cn/news-channels/china-military-news/2016-02/15/content_6908979.htm;  https://www.indiannavy.nic.in/content/international-fleet-review-2016-1l https://www.indiannavy.nic.in/content/international-fleet-review-2016-1; "/>
    <m/>
  </r>
  <r>
    <x v="1"/>
    <x v="6"/>
    <s v="Europe and Central Asia"/>
    <s v="Strategic Partnership [战略伙伴关系]"/>
    <s v="None"/>
    <x v="1"/>
    <x v="60"/>
    <x v="25"/>
    <n v="2"/>
    <x v="4"/>
    <s v="Fang Fenghui"/>
    <m/>
    <s v="CMC/JSD Commander; CMC Member"/>
    <n v="8"/>
    <x v="1"/>
    <s v="Defense Minister"/>
    <x v="0"/>
    <m/>
    <x v="0"/>
    <m/>
    <x v="1"/>
    <m/>
    <m/>
    <m/>
    <m/>
    <m/>
  </r>
  <r>
    <x v="2"/>
    <x v="1"/>
    <s v="Asia"/>
    <s v="Comprehensive Strategic Cooperative Partnership [全面战略合作伙伴关系]"/>
    <s v="Bilateral Defense Treaty"/>
    <x v="0"/>
    <x v="5"/>
    <x v="25"/>
    <n v="2"/>
    <x v="6"/>
    <m/>
    <m/>
    <m/>
    <m/>
    <x v="0"/>
    <m/>
    <x v="2"/>
    <s v="Cobra Gold 2016"/>
    <x v="1"/>
    <s v="HADR"/>
    <x v="1"/>
    <m/>
    <m/>
    <m/>
    <s v="https://www.marines.mil/News/News-Display/Article/644293/exercise-cobra-gold-2016-to-begin-february-9/"/>
    <m/>
  </r>
  <r>
    <x v="0"/>
    <x v="1"/>
    <s v="Asia"/>
    <s v="Comprehensive Strategic Cooperative Partnership [全面战略合作伙伴关系]"/>
    <s v="Bilateral Defense Treaty"/>
    <x v="0"/>
    <x v="5"/>
    <x v="25"/>
    <n v="2"/>
    <x v="10"/>
    <m/>
    <m/>
    <m/>
    <m/>
    <x v="0"/>
    <m/>
    <x v="0"/>
    <m/>
    <x v="0"/>
    <m/>
    <x v="2"/>
    <s v="ETF-21"/>
    <s v="South Sea Fleet"/>
    <s v="FFG573 Liuzhou, FFG574 Sanya, AOR885 Qinghai Hu"/>
    <m/>
    <m/>
  </r>
  <r>
    <x v="2"/>
    <x v="1"/>
    <s v="Asia"/>
    <s v="Strategic Partnership [战略伙伴关系] for Peace and Prosperity"/>
    <s v="None"/>
    <x v="0"/>
    <x v="153"/>
    <x v="25"/>
    <n v="3"/>
    <x v="6"/>
    <m/>
    <m/>
    <m/>
    <m/>
    <x v="0"/>
    <m/>
    <x v="2"/>
    <s v="Force 18"/>
    <x v="1"/>
    <s v="ADMM-Plus Humanitarian Mine Action and Peacekeeping Operations: Hosted by India with ASEAN and 8 dialogue partners"/>
    <x v="1"/>
    <m/>
    <m/>
    <m/>
    <s v="https://thediplomat.com/2016/03/india-concludes-watershed-military-exercise-with-asean-plus-nations/"/>
    <s v="corrected partnership to strategic partnership for peace and prosperity"/>
  </r>
  <r>
    <x v="1"/>
    <x v="9"/>
    <s v="West Asia and Africa"/>
    <s v="All-Round Partnership for Innovation [创新全面伙伴关系]"/>
    <s v="Major Non-NATO Ally"/>
    <x v="1"/>
    <x v="100"/>
    <x v="25"/>
    <n v="3"/>
    <x v="3"/>
    <s v="Zhao Keshi"/>
    <m/>
    <s v="CMC/LSD Director; CMC Member"/>
    <n v="8"/>
    <x v="2"/>
    <m/>
    <x v="0"/>
    <m/>
    <x v="0"/>
    <m/>
    <x v="1"/>
    <m/>
    <m/>
    <m/>
    <m/>
    <m/>
  </r>
  <r>
    <x v="1"/>
    <x v="0"/>
    <s v="Asia"/>
    <s v="All-Round Strategic Partnership [全方位战略伙伴关系]"/>
    <s v="None"/>
    <x v="0"/>
    <x v="32"/>
    <x v="25"/>
    <n v="3"/>
    <x v="3"/>
    <s v="Xu Qiliang"/>
    <m/>
    <s v="CMC Vice Chairman"/>
    <n v="10"/>
    <x v="2"/>
    <s v="Chief of Army Staff"/>
    <x v="0"/>
    <m/>
    <x v="0"/>
    <m/>
    <x v="1"/>
    <m/>
    <m/>
    <m/>
    <m/>
    <m/>
  </r>
  <r>
    <x v="2"/>
    <x v="8"/>
    <s v="Europe and Central Asia"/>
    <s v="Comprehensive Strategic Partnership [全面战略伙伴关系]"/>
    <s v="NATO"/>
    <x v="3"/>
    <x v="21"/>
    <x v="25"/>
    <n v="3"/>
    <x v="5"/>
    <m/>
    <m/>
    <m/>
    <m/>
    <x v="0"/>
    <m/>
    <x v="2"/>
    <s v="Joint Evacuation 2016"/>
    <x v="2"/>
    <s v="TTX; NEO"/>
    <x v="1"/>
    <m/>
    <m/>
    <m/>
    <m/>
    <m/>
  </r>
  <r>
    <x v="1"/>
    <x v="1"/>
    <s v="Asia"/>
    <s v="Comprehensive Strategic Cooperative Partnership [全面战略合作伙伴关系]"/>
    <s v="None"/>
    <x v="0"/>
    <x v="23"/>
    <x v="25"/>
    <n v="3"/>
    <x v="4"/>
    <s v="Chang Wanquan"/>
    <m/>
    <s v="Defense Minister; CMC Member"/>
    <n v="8"/>
    <x v="1"/>
    <s v="Defense Minister"/>
    <x v="0"/>
    <m/>
    <x v="0"/>
    <m/>
    <x v="1"/>
    <m/>
    <m/>
    <m/>
    <m/>
    <m/>
  </r>
  <r>
    <x v="1"/>
    <x v="0"/>
    <s v="Europe and Central Asia"/>
    <s v="Strategic Partnership [战略伙伴关系]"/>
    <s v="Major Non-NATO Ally"/>
    <x v="1"/>
    <x v="123"/>
    <x v="25"/>
    <n v="4"/>
    <x v="3"/>
    <s v="Fang Fenghui"/>
    <m/>
    <s v="CMC/JSD Commander; CMC Member"/>
    <n v="8"/>
    <x v="2"/>
    <s v="National Security Advisor"/>
    <x v="0"/>
    <m/>
    <x v="0"/>
    <m/>
    <x v="1"/>
    <m/>
    <m/>
    <m/>
    <m/>
    <m/>
  </r>
  <r>
    <x v="1"/>
    <x v="0"/>
    <s v="Asia"/>
    <s v="Strategic Partnership for Peace and Prosperity [战略伙伴关系]"/>
    <s v="None"/>
    <x v="0"/>
    <x v="6"/>
    <x v="25"/>
    <n v="4"/>
    <x v="3"/>
    <s v="Chang Wanquan"/>
    <m/>
    <s v="Defense Minister; CMC Member"/>
    <n v="8"/>
    <x v="2"/>
    <s v="Defense Minister"/>
    <x v="0"/>
    <m/>
    <x v="0"/>
    <m/>
    <x v="1"/>
    <m/>
    <m/>
    <m/>
    <m/>
    <m/>
  </r>
  <r>
    <x v="2"/>
    <x v="1"/>
    <s v="Asia"/>
    <s v="Comprehensive Strategic Partnership [全面战略伙伴关系]"/>
    <s v="None"/>
    <x v="0"/>
    <x v="8"/>
    <x v="25"/>
    <n v="4"/>
    <x v="6"/>
    <m/>
    <m/>
    <m/>
    <m/>
    <x v="0"/>
    <m/>
    <x v="5"/>
    <s v="None"/>
    <x v="2"/>
    <s v="port-and-shore activities, maritime drills, engineering and rescue ashore; Russia; France; US"/>
    <x v="1"/>
    <m/>
    <m/>
    <m/>
    <m/>
    <m/>
  </r>
  <r>
    <x v="2"/>
    <x v="1"/>
    <s v="Asia"/>
    <s v="Comprehensive Strategic Partnership [全面战略伙伴关系]"/>
    <s v="None"/>
    <x v="0"/>
    <x v="8"/>
    <x v="25"/>
    <n v="4"/>
    <x v="6"/>
    <m/>
    <m/>
    <m/>
    <m/>
    <x v="0"/>
    <m/>
    <x v="2"/>
    <s v="Komodo 2016"/>
    <x v="2"/>
    <s v="HADR TTX; formation maneuvers, communication drills. Other countries: refer to source for a complete list of countries "/>
    <x v="1"/>
    <m/>
    <m/>
    <m/>
    <s v="http://www.navy.mil/submit/display.asp?story_id=94132"/>
    <m/>
  </r>
  <r>
    <x v="2"/>
    <x v="0"/>
    <s v="Asia"/>
    <s v="All-Weather Strategic Cooperative Partnership [全天候战略合作伙伴关系]"/>
    <s v="Major Non-NATO Ally"/>
    <x v="1"/>
    <x v="2"/>
    <x v="25"/>
    <n v="4"/>
    <x v="5"/>
    <m/>
    <m/>
    <m/>
    <m/>
    <x v="0"/>
    <m/>
    <x v="3"/>
    <s v="Shaheen 5"/>
    <x v="5"/>
    <s v="combat exercises"/>
    <x v="1"/>
    <m/>
    <m/>
    <m/>
    <m/>
    <m/>
  </r>
  <r>
    <x v="1"/>
    <x v="3"/>
    <s v="Europe and Central Asia"/>
    <s v="Comprehensive Collaborative Strategic Partnership [全面战略协作伙伴关系]"/>
    <s v="None"/>
    <x v="3"/>
    <x v="7"/>
    <x v="25"/>
    <n v="4"/>
    <x v="4"/>
    <s v="Chang Wanquan"/>
    <m/>
    <s v="Defense Minister; CMC Member"/>
    <n v="8"/>
    <x v="1"/>
    <s v="Defense Minister"/>
    <x v="0"/>
    <m/>
    <x v="0"/>
    <m/>
    <x v="1"/>
    <m/>
    <m/>
    <m/>
    <m/>
    <m/>
  </r>
  <r>
    <x v="1"/>
    <x v="8"/>
    <s v="Europe and Central Asia"/>
    <s v="Comprehensive Strategic Partnership [全面战略伙伴关系]"/>
    <s v="NATO"/>
    <x v="3"/>
    <x v="21"/>
    <x v="25"/>
    <n v="4"/>
    <x v="3"/>
    <s v="Ma Xiaotian"/>
    <m/>
    <s v="PLAAF Commander; CMC Member"/>
    <n v="8"/>
    <x v="2"/>
    <s v="Air Chief Marshal"/>
    <x v="0"/>
    <m/>
    <x v="0"/>
    <m/>
    <x v="1"/>
    <m/>
    <m/>
    <m/>
    <m/>
    <m/>
  </r>
  <r>
    <x v="1"/>
    <x v="1"/>
    <s v="Asia"/>
    <s v="Strategic Partnership [战略伙伴关系] for Peace and Prosperity"/>
    <s v="None"/>
    <x v="0"/>
    <x v="153"/>
    <x v="25"/>
    <n v="5"/>
    <x v="1"/>
    <s v="Chang Wanquan"/>
    <m/>
    <s v="Defense Minister; CMC Member"/>
    <n v="8"/>
    <x v="1"/>
    <s v="Sixth China-ASEAN Defense Ministers' Informal Meeting in Laos"/>
    <x v="0"/>
    <m/>
    <x v="0"/>
    <m/>
    <x v="1"/>
    <m/>
    <m/>
    <m/>
    <s v="http://en.people.cn/n3/2016/0526/c90883-9063888.html"/>
    <s v="corrected partnership to strategic partnership for peace and prosperity"/>
  </r>
  <r>
    <x v="2"/>
    <x v="1"/>
    <s v="Asia"/>
    <s v="Strategic Partnership [战略伙伴关系] for Peace and Prosperity"/>
    <s v="None"/>
    <x v="0"/>
    <x v="153"/>
    <x v="25"/>
    <n v="5"/>
    <x v="6"/>
    <m/>
    <m/>
    <m/>
    <m/>
    <x v="0"/>
    <m/>
    <x v="1"/>
    <s v="ADMM-Plus Maritime Security and Counter Terrorism Exercise"/>
    <x v="1"/>
    <s v="ADMM-Plus Maritime Security and Counter Terrorism Exercise; Brunei and Singapore hosted"/>
    <x v="1"/>
    <m/>
    <m/>
    <m/>
    <m/>
    <s v="corrected partnership to strategic partnership for peace and prosperity"/>
  </r>
  <r>
    <x v="1"/>
    <x v="5"/>
    <s v="America and Oceania"/>
    <s v="Comprehensive Strategic Partnership [全面战略伙伴关系]"/>
    <s v="ANZUS Treaty"/>
    <x v="0"/>
    <x v="12"/>
    <x v="25"/>
    <n v="5"/>
    <x v="3"/>
    <s v="Sun Jianguo"/>
    <m/>
    <s v="CMC/JSD DCJS"/>
    <n v="6"/>
    <x v="2"/>
    <s v="Vice Chief ADF"/>
    <x v="0"/>
    <m/>
    <x v="0"/>
    <m/>
    <x v="1"/>
    <m/>
    <m/>
    <m/>
    <m/>
    <m/>
  </r>
  <r>
    <x v="2"/>
    <x v="5"/>
    <s v="America and Oceania"/>
    <s v="Comprehensive Strategic Partnership [全面战略伙伴关系]"/>
    <s v="ANZUS Treaty"/>
    <x v="0"/>
    <x v="12"/>
    <x v="25"/>
    <n v="5"/>
    <x v="6"/>
    <m/>
    <m/>
    <m/>
    <m/>
    <x v="0"/>
    <m/>
    <x v="6"/>
    <s v="Australian Army Skill At Arms Meeting (AASAM)"/>
    <x v="1"/>
    <s v="27th Combined Corps Chinese Central TC; sharpshooting competition. Other countries: Canada, France, Indonesia, Malaysia, Philippines, South Korea, United Kingdom, United States"/>
    <x v="1"/>
    <m/>
    <m/>
    <m/>
    <m/>
    <m/>
  </r>
  <r>
    <x v="1"/>
    <x v="0"/>
    <s v="Asia"/>
    <s v="Comprehensive Cooperative Partnership [全面合作伙伴关系]"/>
    <s v="None"/>
    <x v="0"/>
    <x v="0"/>
    <x v="25"/>
    <n v="5"/>
    <x v="4"/>
    <s v="Chang Wanquan"/>
    <m/>
    <s v="Defense Minister; CMC Member"/>
    <n v="8"/>
    <x v="1"/>
    <m/>
    <x v="0"/>
    <m/>
    <x v="0"/>
    <m/>
    <x v="1"/>
    <m/>
    <m/>
    <m/>
    <m/>
    <m/>
  </r>
  <r>
    <x v="0"/>
    <x v="9"/>
    <s v="West Asia and Africa"/>
    <s v="No Specific Relationship"/>
    <s v="None"/>
    <x v="1"/>
    <x v="119"/>
    <x v="25"/>
    <n v="5"/>
    <x v="9"/>
    <m/>
    <m/>
    <m/>
    <m/>
    <x v="0"/>
    <m/>
    <x v="0"/>
    <m/>
    <x v="0"/>
    <m/>
    <x v="2"/>
    <s v="ETF-22"/>
    <s v="North Sea Fleet"/>
    <s v="DDG113 Qingdao, FFG576 Daqing, AOR889 Tai Hu "/>
    <m/>
    <m/>
  </r>
  <r>
    <x v="1"/>
    <x v="9"/>
    <s v="West Asia and Africa"/>
    <s v="Comprehensive Strategic Partnership [全面战略伙伴关系]"/>
    <s v="Major Non-NATO Ally"/>
    <x v="1"/>
    <x v="24"/>
    <x v="25"/>
    <n v="5"/>
    <x v="4"/>
    <s v="Wu Shengli"/>
    <m/>
    <s v="PLAN Commander; CMC Member"/>
    <n v="8"/>
    <x v="1"/>
    <m/>
    <x v="0"/>
    <m/>
    <x v="0"/>
    <m/>
    <x v="1"/>
    <m/>
    <m/>
    <m/>
    <m/>
    <m/>
  </r>
  <r>
    <x v="1"/>
    <x v="1"/>
    <s v="Asia"/>
    <s v="Comprehensive Strategic Partnership [全面战略伙伴关系]"/>
    <s v="None"/>
    <x v="0"/>
    <x v="8"/>
    <x v="25"/>
    <n v="5"/>
    <x v="4"/>
    <s v="Chang Wanquan"/>
    <m/>
    <s v="Defense Minister; CMC Member"/>
    <n v="8"/>
    <x v="1"/>
    <s v="Defense Minister"/>
    <x v="0"/>
    <m/>
    <x v="0"/>
    <m/>
    <x v="1"/>
    <m/>
    <m/>
    <m/>
    <m/>
    <m/>
  </r>
  <r>
    <x v="1"/>
    <x v="8"/>
    <s v="Europe and Central Asia"/>
    <s v="Comprehensive Strategic Partnership [全面战略伙伴关系]"/>
    <s v="NATO"/>
    <x v="3"/>
    <x v="20"/>
    <x v="25"/>
    <n v="5"/>
    <x v="4"/>
    <s v="Zhang Youxia"/>
    <m/>
    <s v="CMC/EDD Director; CMC Member"/>
    <n v="8"/>
    <x v="1"/>
    <s v="Secretary General of Defense and National Armaments Director"/>
    <x v="0"/>
    <m/>
    <x v="0"/>
    <m/>
    <x v="1"/>
    <m/>
    <m/>
    <m/>
    <m/>
    <m/>
  </r>
  <r>
    <x v="1"/>
    <x v="1"/>
    <s v="Asia"/>
    <s v="Comprehensive Strategic Cooperative Partnership [全面战略合作伙伴关系]"/>
    <s v="None"/>
    <x v="0"/>
    <x v="52"/>
    <x v="25"/>
    <n v="5"/>
    <x v="4"/>
    <s v="Chang Wanquan"/>
    <m/>
    <s v="Defense Minister; CMC Member"/>
    <n v="8"/>
    <x v="1"/>
    <s v="Defense Minister"/>
    <x v="0"/>
    <m/>
    <x v="0"/>
    <m/>
    <x v="1"/>
    <m/>
    <m/>
    <m/>
    <m/>
    <m/>
  </r>
  <r>
    <x v="1"/>
    <x v="1"/>
    <s v="Asia"/>
    <s v="Comprehensive Strategic Partnership [全面战略伙伴关系]"/>
    <s v="None"/>
    <x v="0"/>
    <x v="10"/>
    <x v="25"/>
    <n v="5"/>
    <x v="3"/>
    <s v="Xu Qiliang"/>
    <m/>
    <s v="CMC Vice Chairman"/>
    <n v="10"/>
    <x v="2"/>
    <s v="Navy Chief"/>
    <x v="0"/>
    <m/>
    <x v="0"/>
    <m/>
    <x v="1"/>
    <m/>
    <m/>
    <m/>
    <m/>
    <m/>
  </r>
  <r>
    <x v="1"/>
    <x v="0"/>
    <s v="Asia"/>
    <s v="All-Weather Strategic Cooperative Partnership [全天候战略合作伙伴关系]"/>
    <s v="Major Non-NATO Ally"/>
    <x v="1"/>
    <x v="2"/>
    <x v="25"/>
    <n v="5"/>
    <x v="3"/>
    <s v="Fan Changlong"/>
    <m/>
    <s v="CMC Vice Chairman"/>
    <n v="10"/>
    <x v="2"/>
    <s v="Chief of Army Staff"/>
    <x v="0"/>
    <m/>
    <x v="0"/>
    <m/>
    <x v="1"/>
    <m/>
    <m/>
    <m/>
    <m/>
    <m/>
  </r>
  <r>
    <x v="1"/>
    <x v="3"/>
    <s v="Europe and Central Asia"/>
    <s v="Comprehensive Collaborative Strategic Partnership [全面战略协作伙伴关系]"/>
    <s v="None"/>
    <x v="3"/>
    <x v="7"/>
    <x v="25"/>
    <n v="5"/>
    <x v="4"/>
    <s v="Sun Jianguo"/>
    <m/>
    <s v="CMC/JSD DCJS"/>
    <n v="6"/>
    <x v="1"/>
    <s v="DCOGS"/>
    <x v="0"/>
    <m/>
    <x v="0"/>
    <m/>
    <x v="1"/>
    <m/>
    <m/>
    <m/>
    <m/>
    <m/>
  </r>
  <r>
    <x v="2"/>
    <x v="3"/>
    <s v="Europe and Central Asia"/>
    <s v="Comprehensive Collaborative Strategic Partnership [全面战略协作伙伴关系]"/>
    <s v="None"/>
    <x v="3"/>
    <x v="7"/>
    <x v="25"/>
    <n v="5"/>
    <x v="5"/>
    <m/>
    <m/>
    <m/>
    <m/>
    <x v="0"/>
    <m/>
    <x v="1"/>
    <s v="Cooperation 2016"/>
    <x v="4"/>
    <s v="&quot;fighting, tactical shooting, helicopter fast-roping, fast evacuation, building climbing and units tactical comprehensive exercises and other subjects&quot;; Falcon Commando Unit, Snow Leopard Commando Unit"/>
    <x v="1"/>
    <m/>
    <m/>
    <m/>
    <s v="https://web.archive.org/web/20180821103143/http://news.ifeng.com/a/20160519/48800334_0.shtml"/>
    <m/>
  </r>
  <r>
    <x v="2"/>
    <x v="3"/>
    <s v="Europe and Central Asia"/>
    <s v="Comprehensive Collaborative Strategic Partnership [全面战略协作伙伴关系]"/>
    <s v="None"/>
    <x v="3"/>
    <x v="7"/>
    <x v="25"/>
    <n v="5"/>
    <x v="5"/>
    <m/>
    <m/>
    <m/>
    <m/>
    <x v="0"/>
    <m/>
    <x v="7"/>
    <s v="Aerospace Security 2016"/>
    <x v="5"/>
    <s v="Computer-enabled missile defense exercise (TTX)"/>
    <x v="1"/>
    <m/>
    <m/>
    <m/>
    <m/>
    <s v="Included even though it is a CPX due to the strategic significance of the exercise subject"/>
  </r>
  <r>
    <x v="1"/>
    <x v="7"/>
    <s v="West Asia and Africa"/>
    <s v="Comprehensive Strategic Partnership [全面战略伙伴关系]"/>
    <s v="None"/>
    <x v="4"/>
    <x v="15"/>
    <x v="25"/>
    <n v="5"/>
    <x v="4"/>
    <s v="Wu Shengli"/>
    <m/>
    <s v="PLAN Commander; CMC Member"/>
    <n v="8"/>
    <x v="1"/>
    <m/>
    <x v="0"/>
    <m/>
    <x v="0"/>
    <m/>
    <x v="1"/>
    <m/>
    <m/>
    <m/>
    <m/>
    <m/>
  </r>
  <r>
    <x v="2"/>
    <x v="7"/>
    <s v="West Asia and Africa"/>
    <s v="Comprehensive Strategic Partnership [全面战略伙伴关系]"/>
    <s v="None"/>
    <x v="4"/>
    <x v="15"/>
    <x v="25"/>
    <n v="5"/>
    <x v="5"/>
    <m/>
    <m/>
    <m/>
    <m/>
    <x v="0"/>
    <m/>
    <x v="2"/>
    <s v="None"/>
    <x v="2"/>
    <s v="unspecified communications and maneuvers drills with South African Navy; ETF-22"/>
    <x v="1"/>
    <m/>
    <m/>
    <m/>
    <m/>
    <m/>
  </r>
  <r>
    <x v="0"/>
    <x v="7"/>
    <s v="West Asia and Africa"/>
    <s v="Comprehensive Strategic Partnership [全面战略伙伴关系]"/>
    <s v="None"/>
    <x v="4"/>
    <x v="15"/>
    <x v="25"/>
    <n v="5"/>
    <x v="10"/>
    <m/>
    <m/>
    <m/>
    <m/>
    <x v="0"/>
    <m/>
    <x v="0"/>
    <m/>
    <x v="0"/>
    <m/>
    <x v="2"/>
    <s v="ETF-22"/>
    <s v="North Sea Fleet"/>
    <s v="DDG113 Qingdao, FFG576 Daqing, AOR889 Tai Hu "/>
    <m/>
    <m/>
  </r>
  <r>
    <x v="1"/>
    <x v="6"/>
    <s v="Europe and Central Asia"/>
    <s v="Strategic Partnership [战略伙伴关系]"/>
    <s v="None"/>
    <x v="1"/>
    <x v="60"/>
    <x v="25"/>
    <n v="5"/>
    <x v="4"/>
    <s v="Xu Fenlin"/>
    <m/>
    <s v="CMC/JSD DCJS"/>
    <n v="6"/>
    <x v="1"/>
    <s v="Defense Minister"/>
    <x v="0"/>
    <m/>
    <x v="0"/>
    <m/>
    <x v="1"/>
    <m/>
    <m/>
    <m/>
    <m/>
    <m/>
  </r>
  <r>
    <x v="1"/>
    <x v="1"/>
    <s v="Asia"/>
    <s v="Comprehensive Strategic Cooperative Partnership [全面战略合作伙伴关系]"/>
    <s v="Bilateral Defense Treaty"/>
    <x v="0"/>
    <x v="5"/>
    <x v="25"/>
    <n v="5"/>
    <x v="4"/>
    <s v="Chang Wanquan"/>
    <m/>
    <s v="Defense Minister; CMC Member"/>
    <n v="8"/>
    <x v="1"/>
    <s v="Defense Minister"/>
    <x v="0"/>
    <m/>
    <x v="0"/>
    <m/>
    <x v="1"/>
    <m/>
    <m/>
    <m/>
    <m/>
    <m/>
  </r>
  <r>
    <x v="1"/>
    <x v="2"/>
    <s v="America and Oceania"/>
    <s v="No Specific Relationship"/>
    <s v="N/A"/>
    <x v="2"/>
    <x v="4"/>
    <x v="25"/>
    <n v="5"/>
    <x v="4"/>
    <s v="Ma Yiming"/>
    <m/>
    <s v="CMC/JSD Assistant Commander"/>
    <n v="5"/>
    <x v="1"/>
    <s v="ASD Christine Wormuth"/>
    <x v="0"/>
    <m/>
    <x v="0"/>
    <m/>
    <x v="1"/>
    <m/>
    <m/>
    <m/>
    <s v="2017 CH Mil Power Report "/>
    <m/>
  </r>
  <r>
    <x v="1"/>
    <x v="5"/>
    <s v="America and Oceania"/>
    <s v="Comprehensive Strategic Partnership [全面战略伙伴关系]"/>
    <s v="ANZUS Treaty"/>
    <x v="0"/>
    <x v="12"/>
    <x v="25"/>
    <n v="6"/>
    <x v="7"/>
    <s v="Sun Jianguo"/>
    <m/>
    <s v="CMC/JSD DCJS"/>
    <n v="6"/>
    <x v="1"/>
    <s v="Chief ADF"/>
    <x v="0"/>
    <m/>
    <x v="0"/>
    <m/>
    <x v="1"/>
    <m/>
    <m/>
    <m/>
    <m/>
    <s v="15th Shangri-La Dialogue"/>
  </r>
  <r>
    <x v="1"/>
    <x v="10"/>
    <s v="America and Oceania"/>
    <s v="No Specific Relationship"/>
    <s v="None"/>
    <x v="5"/>
    <x v="49"/>
    <x v="25"/>
    <n v="6"/>
    <x v="3"/>
    <s v="Fan Changlong"/>
    <m/>
    <s v="CMC Vice Chairman"/>
    <n v="10"/>
    <x v="2"/>
    <s v="Deputy Defense Minister"/>
    <x v="0"/>
    <m/>
    <x v="0"/>
    <m/>
    <x v="1"/>
    <m/>
    <m/>
    <m/>
    <m/>
    <m/>
  </r>
  <r>
    <x v="0"/>
    <x v="8"/>
    <s v="Europe and Central Asia"/>
    <s v="Comprehensive Strategic Partnership [全面战略伙伴关系]"/>
    <s v="NATO"/>
    <x v="3"/>
    <x v="18"/>
    <x v="25"/>
    <n v="6"/>
    <x v="0"/>
    <m/>
    <m/>
    <m/>
    <m/>
    <x v="0"/>
    <m/>
    <x v="0"/>
    <m/>
    <x v="0"/>
    <m/>
    <x v="2"/>
    <s v="ETF-23"/>
    <s v="East Sea Fleet"/>
    <s v="FFG531 Xiangtan, FFG529 Zhoushan, AOR890 Chao Hu"/>
    <m/>
    <m/>
  </r>
  <r>
    <x v="1"/>
    <x v="1"/>
    <s v="Asia"/>
    <s v="No Specific Relationship"/>
    <s v="None"/>
    <x v="0"/>
    <x v="137"/>
    <x v="25"/>
    <n v="6"/>
    <x v="1"/>
    <s v="Sun Jianguo"/>
    <m/>
    <s v="CMC/JSD DCJS"/>
    <n v="6"/>
    <x v="1"/>
    <s v="Defense Minister; 15th Shangri-la"/>
    <x v="0"/>
    <m/>
    <x v="0"/>
    <m/>
    <x v="1"/>
    <m/>
    <m/>
    <m/>
    <m/>
    <m/>
  </r>
  <r>
    <x v="1"/>
    <x v="4"/>
    <s v="Asia"/>
    <s v="Mutually Beneficial Strategic Relationship [战略互惠关系]"/>
    <s v="Bilateral Defense Treaty"/>
    <x v="0"/>
    <x v="83"/>
    <x v="25"/>
    <n v="6"/>
    <x v="3"/>
    <s v="Chang Wanquan"/>
    <m/>
    <s v="Defense Minister; CMC Member"/>
    <n v="8"/>
    <x v="2"/>
    <s v="Former Chief of Staff Army"/>
    <x v="0"/>
    <m/>
    <x v="0"/>
    <m/>
    <x v="1"/>
    <m/>
    <m/>
    <m/>
    <m/>
    <m/>
  </r>
  <r>
    <x v="1"/>
    <x v="6"/>
    <s v="Europe and Central Asia"/>
    <s v="Comprehensive Strategic Partnership [全面战略伙伴关系]"/>
    <s v="None"/>
    <x v="1"/>
    <x v="30"/>
    <x v="25"/>
    <n v="6"/>
    <x v="4"/>
    <s v="Chang Wanquan"/>
    <m/>
    <s v="Defense Minister; CMC Member"/>
    <n v="8"/>
    <x v="1"/>
    <s v="Defense Minister"/>
    <x v="0"/>
    <m/>
    <x v="0"/>
    <m/>
    <x v="1"/>
    <m/>
    <m/>
    <m/>
    <m/>
    <m/>
  </r>
  <r>
    <x v="1"/>
    <x v="6"/>
    <s v="Europe and Central Asia"/>
    <s v="Strategic Partnership [战略伙伴关系]"/>
    <s v="None"/>
    <x v="1"/>
    <x v="31"/>
    <x v="25"/>
    <n v="6"/>
    <x v="7"/>
    <s v="Chang Wanquan"/>
    <m/>
    <s v="Defense Minister; CMC Member"/>
    <n v="8"/>
    <x v="1"/>
    <s v="Defense Minister"/>
    <x v="0"/>
    <m/>
    <x v="0"/>
    <m/>
    <x v="1"/>
    <m/>
    <m/>
    <m/>
    <m/>
    <m/>
  </r>
  <r>
    <x v="1"/>
    <x v="1"/>
    <s v="Asia"/>
    <s v="Comprehensive Strategic Cooperative Partnership [全面战略合作伙伴关系]"/>
    <s v="None"/>
    <x v="0"/>
    <x v="52"/>
    <x v="25"/>
    <n v="6"/>
    <x v="7"/>
    <s v="Sun Jianguo"/>
    <m/>
    <s v="CMC/JSD DCJS"/>
    <n v="6"/>
    <x v="1"/>
    <s v="Deputy Defense Minister"/>
    <x v="0"/>
    <m/>
    <x v="0"/>
    <m/>
    <x v="1"/>
    <m/>
    <m/>
    <m/>
    <m/>
    <s v="15th Shangri-La Dialogue"/>
  </r>
  <r>
    <x v="1"/>
    <x v="8"/>
    <s v="Europe and Central Asia"/>
    <s v="No Specific Relationship"/>
    <s v="NATO"/>
    <x v="3"/>
    <x v="151"/>
    <x v="25"/>
    <n v="6"/>
    <x v="7"/>
    <s v="Sun Jianguo"/>
    <m/>
    <s v="CMC/JSD DCJS"/>
    <n v="6"/>
    <x v="1"/>
    <s v="Chairman NATO Military Committee"/>
    <x v="0"/>
    <m/>
    <x v="0"/>
    <m/>
    <x v="1"/>
    <m/>
    <m/>
    <m/>
    <m/>
    <s v="15th Shangri-La Dialogue"/>
  </r>
  <r>
    <x v="1"/>
    <x v="0"/>
    <s v="Asia"/>
    <s v="All-Round Strategic Partnership [全方位战略伙伴关系]"/>
    <s v="None"/>
    <x v="0"/>
    <x v="32"/>
    <x v="25"/>
    <n v="6"/>
    <x v="7"/>
    <s v="Sun Jianguo"/>
    <m/>
    <s v="CMC/JSD DCJS"/>
    <n v="6"/>
    <x v="1"/>
    <s v="Chief of Army Staff"/>
    <x v="0"/>
    <m/>
    <x v="0"/>
    <m/>
    <x v="1"/>
    <m/>
    <m/>
    <m/>
    <m/>
    <s v="15th Shangri-La Dialogue"/>
  </r>
  <r>
    <x v="1"/>
    <x v="5"/>
    <s v="America and Oceania"/>
    <s v="Comprehensive Strategic Partnership [全面战略伙伴关系]"/>
    <s v="ANZUS Treaty"/>
    <x v="0"/>
    <x v="13"/>
    <x v="25"/>
    <n v="6"/>
    <x v="7"/>
    <s v="Sun Jianguo"/>
    <m/>
    <s v="CMC/JSD DCJS"/>
    <n v="6"/>
    <x v="2"/>
    <s v="National Defense Secretary"/>
    <x v="0"/>
    <m/>
    <x v="0"/>
    <m/>
    <x v="1"/>
    <m/>
    <m/>
    <m/>
    <m/>
    <s v="15th Shangri-La Dialogue"/>
  </r>
  <r>
    <x v="1"/>
    <x v="3"/>
    <s v="Europe and Central Asia"/>
    <s v="Comprehensive Collaborative Strategic Partnership [全面战略协作伙伴关系]"/>
    <s v="None"/>
    <x v="3"/>
    <x v="7"/>
    <x v="25"/>
    <n v="6"/>
    <x v="7"/>
    <s v="Chang Wanquan"/>
    <m/>
    <s v="Defense Minister; CMC Member"/>
    <n v="8"/>
    <x v="1"/>
    <s v="Defense Minister"/>
    <x v="0"/>
    <m/>
    <x v="0"/>
    <m/>
    <x v="1"/>
    <m/>
    <m/>
    <m/>
    <m/>
    <m/>
  </r>
  <r>
    <x v="1"/>
    <x v="6"/>
    <s v="Europe and Central Asia"/>
    <s v="Member"/>
    <s v="None"/>
    <x v="1"/>
    <x v="14"/>
    <x v="25"/>
    <n v="6"/>
    <x v="1"/>
    <s v="Chang Wanquan"/>
    <m/>
    <s v="Defense Minister; CMC Member"/>
    <n v="8"/>
    <x v="1"/>
    <s v="13th official meeting of the SCO Ministers' of Defense in Astana; Other countries: Kazakhstan, Kyrgyztan, Russia, Tajikistan, Uzbekistan"/>
    <x v="0"/>
    <m/>
    <x v="0"/>
    <m/>
    <x v="1"/>
    <m/>
    <m/>
    <m/>
    <m/>
    <m/>
  </r>
  <r>
    <x v="1"/>
    <x v="8"/>
    <s v="Europe and Central Asia"/>
    <s v="Comprehensive Strategic Partnership [全面战略伙伴关系]"/>
    <s v="None"/>
    <x v="3"/>
    <x v="112"/>
    <x v="25"/>
    <n v="6"/>
    <x v="3"/>
    <s v="Fan Changlong"/>
    <m/>
    <s v="CMC Vice Chairman"/>
    <n v="10"/>
    <x v="2"/>
    <s v="Chief Armed Forces"/>
    <x v="0"/>
    <m/>
    <x v="0"/>
    <m/>
    <x v="1"/>
    <m/>
    <m/>
    <m/>
    <m/>
    <m/>
  </r>
  <r>
    <x v="1"/>
    <x v="1"/>
    <s v="Asia"/>
    <s v="All-Round Cooperative Partnership [全方合作伙伴关系]"/>
    <s v="None"/>
    <x v="0"/>
    <x v="39"/>
    <x v="25"/>
    <n v="6"/>
    <x v="4"/>
    <s v="Sun Jianguo"/>
    <m/>
    <s v="CMC/JSD DCJS"/>
    <n v="6"/>
    <x v="1"/>
    <s v="Defense Minister"/>
    <x v="0"/>
    <m/>
    <x v="0"/>
    <m/>
    <x v="1"/>
    <m/>
    <m/>
    <m/>
    <m/>
    <m/>
  </r>
  <r>
    <x v="0"/>
    <x v="4"/>
    <s v="Asia"/>
    <s v="Strategic Cooperative Partnership [战略合作伙伴关系]"/>
    <s v="Bilateral Defense Treaty"/>
    <x v="0"/>
    <x v="25"/>
    <x v="25"/>
    <n v="6"/>
    <x v="0"/>
    <m/>
    <m/>
    <m/>
    <m/>
    <x v="0"/>
    <m/>
    <x v="0"/>
    <m/>
    <x v="0"/>
    <m/>
    <x v="2"/>
    <s v="ETF-22"/>
    <s v="North Sea Fleet"/>
    <s v="DDG113 Qingdao, FFG576 Daqing, AOR889 Tai Hu "/>
    <m/>
    <m/>
  </r>
  <r>
    <x v="2"/>
    <x v="1"/>
    <s v="Asia"/>
    <s v="Comprehensive Strategic Cooperative Partnership [全面战略合作伙伴关系]"/>
    <s v="Bilateral Defense Treaty"/>
    <x v="0"/>
    <x v="5"/>
    <x v="25"/>
    <n v="6"/>
    <x v="5"/>
    <m/>
    <m/>
    <m/>
    <m/>
    <x v="0"/>
    <m/>
    <x v="5"/>
    <s v="Blue Strike 2016"/>
    <x v="2"/>
    <s v="Marines"/>
    <x v="1"/>
    <m/>
    <m/>
    <m/>
    <m/>
    <m/>
  </r>
  <r>
    <x v="1"/>
    <x v="8"/>
    <s v="Europe and Central Asia"/>
    <s v="Comprehensive Strategic Partnership [全面战略伙伴关系]"/>
    <s v="NATO"/>
    <x v="3"/>
    <x v="21"/>
    <x v="25"/>
    <n v="6"/>
    <x v="7"/>
    <s v="Sun Jianguo"/>
    <m/>
    <s v="CMC/JSD DCJS"/>
    <n v="6"/>
    <x v="1"/>
    <s v="COGS"/>
    <x v="0"/>
    <m/>
    <x v="0"/>
    <m/>
    <x v="1"/>
    <m/>
    <m/>
    <m/>
    <m/>
    <s v="15th Shangri-La Dialogue"/>
  </r>
  <r>
    <x v="1"/>
    <x v="11"/>
    <s v="N/A"/>
    <s v="Member"/>
    <s v="N/A"/>
    <x v="6"/>
    <x v="163"/>
    <x v="25"/>
    <n v="6"/>
    <x v="3"/>
    <s v="Yi Xiaoguang"/>
    <m/>
    <s v="CMC/JSD DCJS"/>
    <n v="6"/>
    <x v="2"/>
    <s v="Deputy General Secretary"/>
    <x v="0"/>
    <m/>
    <x v="0"/>
    <m/>
    <x v="1"/>
    <m/>
    <m/>
    <m/>
    <m/>
    <m/>
  </r>
  <r>
    <x v="1"/>
    <x v="6"/>
    <s v="Europe and Central Asia"/>
    <s v="Comprehensive Strategic Partnership [全面战略伙伴关系]"/>
    <s v="None"/>
    <x v="1"/>
    <x v="73"/>
    <x v="25"/>
    <n v="6"/>
    <x v="7"/>
    <s v="Chang Wanquan"/>
    <m/>
    <s v="Defense Minister; CMC Member"/>
    <n v="8"/>
    <x v="1"/>
    <s v="Army Chief"/>
    <x v="0"/>
    <m/>
    <x v="0"/>
    <m/>
    <x v="1"/>
    <m/>
    <m/>
    <m/>
    <m/>
    <m/>
  </r>
  <r>
    <x v="1"/>
    <x v="1"/>
    <s v="Asia"/>
    <s v="Comprehensive Strategic Cooperative Partnership [全面战略合作伙伴关系]"/>
    <s v="None"/>
    <x v="0"/>
    <x v="94"/>
    <x v="25"/>
    <n v="7"/>
    <x v="3"/>
    <s v="Sun Jianguo"/>
    <m/>
    <s v="CMC/JSD DCJS"/>
    <n v="6"/>
    <x v="2"/>
    <s v="Director General MoD Policy and Foreign Affairs"/>
    <x v="0"/>
    <m/>
    <x v="0"/>
    <m/>
    <x v="1"/>
    <m/>
    <m/>
    <m/>
    <m/>
    <m/>
  </r>
  <r>
    <x v="1"/>
    <x v="10"/>
    <s v="America and Oceania"/>
    <s v="Comprehensive Cooperative Partnership [全面合作伙伴关系]"/>
    <s v="None"/>
    <x v="5"/>
    <x v="159"/>
    <x v="25"/>
    <n v="7"/>
    <x v="2"/>
    <s v="Chang Wanquan"/>
    <m/>
    <s v="Defense Minister; CMC Member"/>
    <n v="8"/>
    <x v="2"/>
    <s v="Third China-Latin America Defense Forum"/>
    <x v="0"/>
    <m/>
    <x v="0"/>
    <m/>
    <x v="1"/>
    <m/>
    <m/>
    <m/>
    <s v="http://www.cdsndu.org/html_en/to_articleContent_article.id=40288a8556065bc90156d938284d0134.html"/>
    <m/>
  </r>
  <r>
    <x v="1"/>
    <x v="8"/>
    <s v="Europe and Central Asia"/>
    <s v="Comprehensive Cooperative Partnership [全面合作伙伴关系]"/>
    <s v="None"/>
    <x v="3"/>
    <x v="158"/>
    <x v="25"/>
    <n v="7"/>
    <x v="3"/>
    <s v="Chang Wanquan"/>
    <m/>
    <s v="Defense Minister; CMC Member"/>
    <n v="8"/>
    <x v="2"/>
    <s v="High Representative for Foreign Affairs and Security Policy"/>
    <x v="0"/>
    <m/>
    <x v="0"/>
    <m/>
    <x v="1"/>
    <m/>
    <m/>
    <m/>
    <m/>
    <m/>
  </r>
  <r>
    <x v="1"/>
    <x v="5"/>
    <s v="America and Oceania"/>
    <s v="Comprehensive Strategic Partnership [全面战略伙伴关系]"/>
    <s v="ANZUS Treaty"/>
    <x v="0"/>
    <x v="13"/>
    <x v="25"/>
    <n v="7"/>
    <x v="3"/>
    <s v="Zhao Keshi"/>
    <m/>
    <s v="CMC/LSD Director; CMC Member"/>
    <n v="8"/>
    <x v="2"/>
    <s v="Logistics Commander"/>
    <x v="0"/>
    <m/>
    <x v="0"/>
    <m/>
    <x v="1"/>
    <m/>
    <m/>
    <m/>
    <m/>
    <m/>
  </r>
  <r>
    <x v="1"/>
    <x v="8"/>
    <s v="Europe and Central Asia"/>
    <s v="No Specific Relationship"/>
    <s v="None"/>
    <x v="3"/>
    <x v="92"/>
    <x v="25"/>
    <n v="7"/>
    <x v="3"/>
    <s v="Sun Jianguo"/>
    <m/>
    <s v="CMC/JSD DCJS"/>
    <n v="6"/>
    <x v="2"/>
    <s v="Chief of Staff"/>
    <x v="0"/>
    <m/>
    <x v="0"/>
    <m/>
    <x v="1"/>
    <m/>
    <m/>
    <m/>
    <m/>
    <m/>
  </r>
  <r>
    <x v="1"/>
    <x v="1"/>
    <s v="Asia"/>
    <s v="Comprehensive Strategic Cooperative Partnership [全面战略合作伙伴关系]"/>
    <s v="Bilateral Defense Treaty"/>
    <x v="0"/>
    <x v="5"/>
    <x v="25"/>
    <n v="7"/>
    <x v="3"/>
    <s v="Fang Fenghui"/>
    <m/>
    <s v="CMC/JSD Commander; CMC Member"/>
    <n v="8"/>
    <x v="2"/>
    <s v="Chief of Joint Staff"/>
    <x v="0"/>
    <m/>
    <x v="0"/>
    <m/>
    <x v="1"/>
    <m/>
    <m/>
    <m/>
    <m/>
    <m/>
  </r>
  <r>
    <x v="1"/>
    <x v="2"/>
    <s v="America and Oceania"/>
    <s v="No Specific Relationship"/>
    <s v="N/A"/>
    <x v="2"/>
    <x v="4"/>
    <x v="25"/>
    <n v="7"/>
    <x v="3"/>
    <s v="Wu Shengli"/>
    <m/>
    <s v="PLAN Commander; CMC Member"/>
    <n v="8"/>
    <x v="2"/>
    <s v="CNO Richardson"/>
    <x v="0"/>
    <m/>
    <x v="0"/>
    <m/>
    <x v="1"/>
    <m/>
    <m/>
    <m/>
    <s v="2017 CH Mil Power Report "/>
    <m/>
  </r>
  <r>
    <x v="1"/>
    <x v="0"/>
    <s v="Europe and Central Asia"/>
    <s v="Strategic Partnership [战略伙伴关系]"/>
    <s v="Major Non-NATO Ally"/>
    <x v="1"/>
    <x v="123"/>
    <x v="25"/>
    <n v="8"/>
    <x v="3"/>
    <s v="Chang Wanquan"/>
    <m/>
    <s v="Defense Minister; CMC Member"/>
    <n v="8"/>
    <x v="2"/>
    <s v="COGS Army"/>
    <x v="0"/>
    <m/>
    <x v="0"/>
    <m/>
    <x v="1"/>
    <m/>
    <m/>
    <m/>
    <m/>
    <m/>
  </r>
  <r>
    <x v="2"/>
    <x v="5"/>
    <s v="America and Oceania"/>
    <s v="Comprehensive Strategic Partnership [全面战略伙伴关系]"/>
    <s v="ANZUS Treaty"/>
    <x v="0"/>
    <x v="12"/>
    <x v="25"/>
    <n v="8"/>
    <x v="6"/>
    <m/>
    <m/>
    <m/>
    <m/>
    <x v="0"/>
    <m/>
    <x v="2"/>
    <s v="Kowari 2016"/>
    <x v="1"/>
    <s v="Army field survival training"/>
    <x v="1"/>
    <m/>
    <m/>
    <m/>
    <s v="https://www.pacom.mil/Media/News/News-Article-View/Article/929481/exercise-kowari-us-australia-china-set-to-survive-inside-the-outback/"/>
    <m/>
  </r>
  <r>
    <x v="2"/>
    <x v="10"/>
    <s v="America and Oceania"/>
    <s v="Comprehensive Strategic Partnership [全面战略伙伴关系]"/>
    <s v="None"/>
    <x v="5"/>
    <x v="43"/>
    <x v="25"/>
    <n v="8"/>
    <x v="6"/>
    <m/>
    <m/>
    <m/>
    <m/>
    <x v="0"/>
    <m/>
    <x v="6"/>
    <s v="Jungle Patrol Competition"/>
    <x v="1"/>
    <s v="PLAA team from &quot;14th Combined Corps&quot;. Other countries: Colombia, France, Germany "/>
    <x v="1"/>
    <m/>
    <m/>
    <m/>
    <s v="http://english.chinamil.com.cn/news-channels/china-military-news/2016-08/11/content_7202787.htm"/>
    <m/>
  </r>
  <r>
    <x v="1"/>
    <x v="8"/>
    <s v="Europe and Central Asia"/>
    <s v="Comprehensive Strategic Partnership [全面战略伙伴关系]"/>
    <s v="NATO"/>
    <x v="3"/>
    <x v="18"/>
    <x v="25"/>
    <n v="8"/>
    <x v="3"/>
    <s v="Wu Shengli"/>
    <m/>
    <s v="PLAN Commander; CMC Member"/>
    <n v="8"/>
    <x v="2"/>
    <s v="Navy Inspector General"/>
    <x v="0"/>
    <m/>
    <x v="0"/>
    <m/>
    <x v="1"/>
    <m/>
    <m/>
    <m/>
    <m/>
    <m/>
  </r>
  <r>
    <x v="1"/>
    <x v="4"/>
    <s v="Asia"/>
    <s v="Comprehensive Strategic Partnership [全面战略伙伴关系]"/>
    <s v="None"/>
    <x v="0"/>
    <x v="53"/>
    <x v="25"/>
    <n v="8"/>
    <x v="4"/>
    <s v="Sun Jianguo"/>
    <m/>
    <s v="CMC/JSD DCJS"/>
    <n v="6"/>
    <x v="1"/>
    <s v="COGS"/>
    <x v="0"/>
    <m/>
    <x v="0"/>
    <m/>
    <x v="1"/>
    <m/>
    <m/>
    <m/>
    <m/>
    <m/>
  </r>
  <r>
    <x v="1"/>
    <x v="0"/>
    <s v="Asia"/>
    <s v="All-Weather Strategic Cooperative Partnership [全天候战略合作伙伴关系]"/>
    <s v="Major Non-NATO Ally"/>
    <x v="1"/>
    <x v="2"/>
    <x v="25"/>
    <n v="8"/>
    <x v="3"/>
    <s v="Zhao Keshi"/>
    <m/>
    <s v="CMC/LSD Director; CMC Member"/>
    <n v="8"/>
    <x v="2"/>
    <s v="Army Logistics Chief"/>
    <x v="0"/>
    <m/>
    <x v="0"/>
    <m/>
    <x v="1"/>
    <m/>
    <m/>
    <m/>
    <m/>
    <m/>
  </r>
  <r>
    <x v="2"/>
    <x v="3"/>
    <s v="Europe and Central Asia"/>
    <s v="Comprehensive Collaborative Strategic Partnership [全面战略协作伙伴关系]"/>
    <s v="None"/>
    <x v="3"/>
    <x v="7"/>
    <x v="25"/>
    <n v="8"/>
    <x v="6"/>
    <m/>
    <m/>
    <m/>
    <m/>
    <x v="0"/>
    <m/>
    <x v="6"/>
    <s v="International Army Games 2016"/>
    <x v="1"/>
    <s v="Competition. Other countries: refer to source for a complete list of countries "/>
    <x v="1"/>
    <m/>
    <m/>
    <m/>
    <s v="https://sputniknews.com/military/201606291042146258-airborne-platoon-2016/"/>
    <m/>
  </r>
  <r>
    <x v="1"/>
    <x v="9"/>
    <s v="West Asia and Africa"/>
    <s v="Comprehensive Strategic Partnership [全面战略伙伴关系]"/>
    <s v="None"/>
    <x v="1"/>
    <x v="142"/>
    <x v="25"/>
    <n v="8"/>
    <x v="3"/>
    <s v="Chang Wanquan"/>
    <m/>
    <s v="Defense Minister; CMC Member"/>
    <n v="8"/>
    <x v="2"/>
    <s v="2nd Prime Minister; Defense Minister"/>
    <x v="0"/>
    <m/>
    <x v="0"/>
    <m/>
    <x v="1"/>
    <m/>
    <m/>
    <m/>
    <m/>
    <m/>
  </r>
  <r>
    <x v="1"/>
    <x v="6"/>
    <s v="Europe and Central Asia"/>
    <s v="Strategic Partnership [战略伙伴关系]"/>
    <s v="None"/>
    <x v="1"/>
    <x v="60"/>
    <x v="25"/>
    <n v="8"/>
    <x v="3"/>
    <s v="Fang Fenghui"/>
    <m/>
    <s v="CMC/JSD Commander; CMC Member"/>
    <n v="8"/>
    <x v="2"/>
    <s v="Deputy Defense Minister"/>
    <x v="0"/>
    <m/>
    <x v="0"/>
    <m/>
    <x v="1"/>
    <m/>
    <m/>
    <m/>
    <m/>
    <m/>
  </r>
  <r>
    <x v="1"/>
    <x v="2"/>
    <s v="America and Oceania"/>
    <s v="No Specific Relationship"/>
    <s v="N/A"/>
    <x v="2"/>
    <x v="4"/>
    <x v="25"/>
    <n v="8"/>
    <x v="3"/>
    <s v="Li Zuocheng"/>
    <m/>
    <s v="PLAA Commander"/>
    <n v="6"/>
    <x v="2"/>
    <s v="Army Chief of Staff Milley"/>
    <x v="0"/>
    <m/>
    <x v="0"/>
    <m/>
    <x v="1"/>
    <m/>
    <m/>
    <m/>
    <s v="2017 CH Mil Power Report "/>
    <m/>
  </r>
  <r>
    <x v="2"/>
    <x v="2"/>
    <s v="America and Oceania"/>
    <s v="No Specific Relationship"/>
    <s v="N/A"/>
    <x v="2"/>
    <x v="4"/>
    <x v="25"/>
    <n v="8"/>
    <x v="6"/>
    <m/>
    <m/>
    <m/>
    <m/>
    <x v="0"/>
    <m/>
    <x v="3"/>
    <s v="RIMPAC 2016"/>
    <x v="2"/>
    <s v="Maritime docking; Combined Task Force 175; PLAN flotilla is FFG572 Hengshui (ESF), DDG153 Xi'an (ESF), AOR966 Gaoyou Hu, AS867 Changdao (NSF), 866 Peace Ark. Other countries: refer to source for a complete list of countries "/>
    <x v="1"/>
    <m/>
    <m/>
    <m/>
    <s v="https://navaltoday.com/2016/06/01/record-number-of-countries-to-take-part-in-rimpac-2016/"/>
    <m/>
  </r>
  <r>
    <x v="1"/>
    <x v="1"/>
    <s v="Asia"/>
    <s v="Comprehensive Strategic Cooperative Partnership [全面战略合作伙伴关系]"/>
    <s v="None"/>
    <x v="0"/>
    <x v="23"/>
    <x v="25"/>
    <n v="8"/>
    <x v="3"/>
    <s v="Fan Changlong"/>
    <m/>
    <s v="CMC Vice Chairman"/>
    <n v="10"/>
    <x v="2"/>
    <s v="Defense Minister"/>
    <x v="0"/>
    <m/>
    <x v="0"/>
    <m/>
    <x v="1"/>
    <m/>
    <m/>
    <m/>
    <m/>
    <m/>
  </r>
  <r>
    <x v="2"/>
    <x v="1"/>
    <s v="Asia"/>
    <s v="Strategic Partnership [战略伙伴关系] for Peace and Prosperity"/>
    <s v="None"/>
    <x v="0"/>
    <x v="153"/>
    <x v="25"/>
    <n v="9"/>
    <x v="6"/>
    <m/>
    <m/>
    <m/>
    <m/>
    <x v="0"/>
    <m/>
    <x v="2"/>
    <s v="AMHex 2016"/>
    <x v="3"/>
    <s v="HADR, rescue operations. Other countries: Refer to source of a complete list of countries; hosted by Thailand"/>
    <x v="1"/>
    <m/>
    <m/>
    <m/>
    <m/>
    <s v="corrected partnership to strategic partnership for peace and prosperity"/>
  </r>
  <r>
    <x v="2"/>
    <x v="5"/>
    <s v="America and Oceania"/>
    <s v="Comprehensive Strategic Partnership [全面战略伙伴关系]"/>
    <s v="ANZUS Treaty"/>
    <x v="0"/>
    <x v="12"/>
    <x v="25"/>
    <n v="9"/>
    <x v="5"/>
    <m/>
    <m/>
    <m/>
    <m/>
    <x v="0"/>
    <m/>
    <x v="2"/>
    <s v="Pandaroo-2016"/>
    <x v="1"/>
    <s v="Canoeing and abseiling"/>
    <x v="1"/>
    <m/>
    <m/>
    <m/>
    <m/>
    <m/>
  </r>
  <r>
    <x v="1"/>
    <x v="0"/>
    <s v="Asia"/>
    <s v="Comprehensive Cooperative Partnership [全面合作伙伴关系]"/>
    <s v="None"/>
    <x v="0"/>
    <x v="0"/>
    <x v="25"/>
    <n v="9"/>
    <x v="3"/>
    <s v="Ma Xiaotian"/>
    <m/>
    <s v="PLAAF Commander; CMC Member"/>
    <n v="8"/>
    <x v="2"/>
    <s v="Air Force Chief of Staff"/>
    <x v="0"/>
    <m/>
    <x v="0"/>
    <m/>
    <x v="1"/>
    <m/>
    <m/>
    <m/>
    <m/>
    <m/>
  </r>
  <r>
    <x v="1"/>
    <x v="10"/>
    <s v="America and Oceania"/>
    <s v="Comprehensive Strategic Cooperative Partnership [全面战略合作伙伴关系]"/>
    <s v="None"/>
    <x v="5"/>
    <x v="66"/>
    <x v="25"/>
    <n v="9"/>
    <x v="3"/>
    <s v="Wu Shengli"/>
    <m/>
    <s v="PLAN Commander; CMC Member"/>
    <n v="8"/>
    <x v="2"/>
    <s v="Navy Commander"/>
    <x v="0"/>
    <m/>
    <x v="0"/>
    <m/>
    <x v="1"/>
    <m/>
    <m/>
    <m/>
    <m/>
    <m/>
  </r>
  <r>
    <x v="1"/>
    <x v="8"/>
    <s v="Europe and Central Asia"/>
    <s v="No Specific Relationship"/>
    <s v="None"/>
    <x v="3"/>
    <x v="81"/>
    <x v="25"/>
    <n v="9"/>
    <x v="3"/>
    <s v="Chang Wanquan"/>
    <m/>
    <s v="Defense Minister; CMC Member"/>
    <n v="8"/>
    <x v="2"/>
    <s v="Defense Minister"/>
    <x v="0"/>
    <m/>
    <x v="0"/>
    <m/>
    <x v="1"/>
    <m/>
    <m/>
    <m/>
    <m/>
    <m/>
  </r>
  <r>
    <x v="0"/>
    <x v="9"/>
    <s v="West Asia and Africa"/>
    <s v="No Specific Relationship"/>
    <s v="None"/>
    <x v="1"/>
    <x v="147"/>
    <x v="25"/>
    <n v="9"/>
    <x v="9"/>
    <m/>
    <m/>
    <m/>
    <m/>
    <x v="0"/>
    <m/>
    <x v="0"/>
    <m/>
    <x v="0"/>
    <m/>
    <x v="2"/>
    <s v="ETF-24"/>
    <s v="North Sea Fleet"/>
    <s v="DDG112 Harbin, FFG579 Handan, AOR960 Dongping Hu"/>
    <m/>
    <m/>
  </r>
  <r>
    <x v="1"/>
    <x v="1"/>
    <s v="Asia"/>
    <s v="Strategic Cooperative Partnership [战略合作伙伴关系]"/>
    <s v="Bilateral Defense Treaty"/>
    <x v="0"/>
    <x v="11"/>
    <x v="25"/>
    <n v="9"/>
    <x v="4"/>
    <s v="Sun Jianguo"/>
    <m/>
    <s v="CMC/JSD DCJS"/>
    <n v="6"/>
    <x v="1"/>
    <m/>
    <x v="0"/>
    <m/>
    <x v="0"/>
    <m/>
    <x v="1"/>
    <m/>
    <m/>
    <m/>
    <m/>
    <m/>
  </r>
  <r>
    <x v="2"/>
    <x v="3"/>
    <s v="Europe and Central Asia"/>
    <s v="Comprehensive Collaborative Strategic Partnership [全面战略协作伙伴关系]"/>
    <s v="None"/>
    <x v="3"/>
    <x v="7"/>
    <x v="25"/>
    <n v="9"/>
    <x v="5"/>
    <m/>
    <m/>
    <m/>
    <m/>
    <x v="0"/>
    <m/>
    <x v="3"/>
    <s v="Joint Sea 2016"/>
    <x v="2"/>
    <s v="Amphibious operations, island seizure; occurred in South China Sea. September 12-19"/>
    <x v="1"/>
    <m/>
    <m/>
    <m/>
    <m/>
    <m/>
  </r>
  <r>
    <x v="1"/>
    <x v="3"/>
    <s v="Europe and Central Asia"/>
    <s v="Comprehensive Collaborative Strategic Partnership [全面战略协作伙伴关系]"/>
    <s v="None"/>
    <x v="3"/>
    <x v="7"/>
    <x v="25"/>
    <n v="9"/>
    <x v="7"/>
    <s v="Xu Fenlin"/>
    <m/>
    <s v="CMC/JSD DCJS"/>
    <n v="6"/>
    <x v="1"/>
    <s v="DCOGS"/>
    <x v="0"/>
    <m/>
    <x v="0"/>
    <m/>
    <x v="1"/>
    <m/>
    <m/>
    <m/>
    <m/>
    <m/>
  </r>
  <r>
    <x v="1"/>
    <x v="6"/>
    <s v="Europe and Central Asia"/>
    <s v="Member"/>
    <s v="None"/>
    <x v="1"/>
    <x v="14"/>
    <x v="25"/>
    <n v="9"/>
    <x v="1"/>
    <s v="Xu Fenlin"/>
    <m/>
    <s v="CMC/JSD DCJS"/>
    <n v="6"/>
    <x v="1"/>
    <s v="Fourth meeting of SCO military chiefs of staff in Kyrgyzstan"/>
    <x v="0"/>
    <m/>
    <x v="0"/>
    <m/>
    <x v="1"/>
    <m/>
    <m/>
    <m/>
    <s v="http://eng.chinamil.com.cn/view/2016-09/22/content_7271778.htm"/>
    <m/>
  </r>
  <r>
    <x v="2"/>
    <x v="6"/>
    <s v="Europe and Central Asia"/>
    <s v="Member"/>
    <s v="None"/>
    <x v="1"/>
    <x v="14"/>
    <x v="25"/>
    <n v="9"/>
    <x v="6"/>
    <m/>
    <m/>
    <m/>
    <m/>
    <x v="0"/>
    <m/>
    <x v="3"/>
    <s v="Peace Mission 2016"/>
    <x v="3"/>
    <s v="Held at the Edelweiss range located in Kyrgyzstan’s Issyk-Kul region.  September 15-21"/>
    <x v="1"/>
    <m/>
    <m/>
    <m/>
    <s v="http://english.chinamil.com.cn/view/2016-09/18/content_7263185.htm"/>
    <m/>
  </r>
  <r>
    <x v="1"/>
    <x v="6"/>
    <s v="Europe and Central Asia"/>
    <s v="Strategic Partnership [战略伙伴关系]"/>
    <s v="None"/>
    <x v="1"/>
    <x v="60"/>
    <x v="25"/>
    <n v="9"/>
    <x v="7"/>
    <s v="Xu Fenlin"/>
    <m/>
    <s v="CMC/JSD DCJS"/>
    <n v="6"/>
    <x v="1"/>
    <s v="COGS"/>
    <x v="0"/>
    <m/>
    <x v="0"/>
    <m/>
    <x v="1"/>
    <m/>
    <m/>
    <m/>
    <m/>
    <m/>
  </r>
  <r>
    <x v="1"/>
    <x v="8"/>
    <s v="Europe and Central Asia"/>
    <s v="Comprehensive Strategic Partnership [全面战略伙伴关系]"/>
    <s v="NATO"/>
    <x v="3"/>
    <x v="21"/>
    <x v="25"/>
    <n v="9"/>
    <x v="4"/>
    <s v="Chang Wanquan"/>
    <m/>
    <s v="Defense Minister; CMC Member"/>
    <n v="8"/>
    <x v="1"/>
    <s v="Secretary of State for Defense"/>
    <x v="0"/>
    <m/>
    <x v="0"/>
    <m/>
    <x v="1"/>
    <m/>
    <m/>
    <m/>
    <m/>
    <m/>
  </r>
  <r>
    <x v="1"/>
    <x v="2"/>
    <s v="America and Oceania"/>
    <s v="No Specific Relationship"/>
    <s v="N/A"/>
    <x v="2"/>
    <x v="4"/>
    <x v="25"/>
    <n v="9"/>
    <x v="4"/>
    <s v="Sun Jianguo"/>
    <m/>
    <s v="CMC/JSD DCJS"/>
    <n v="6"/>
    <x v="1"/>
    <s v="PACOM Commander Harris"/>
    <x v="0"/>
    <m/>
    <x v="0"/>
    <m/>
    <x v="1"/>
    <m/>
    <m/>
    <m/>
    <s v="2017 CH Mil Power Report "/>
    <s v="2016 PACOM CHOD conference in Manila; Sun attended and met with Harris on the margins"/>
  </r>
  <r>
    <x v="1"/>
    <x v="1"/>
    <s v="Asia"/>
    <s v="Comprehensive Strategic Cooperative Partnership [全面战略合作伙伴关系]"/>
    <s v="None"/>
    <x v="0"/>
    <x v="23"/>
    <x v="25"/>
    <n v="9"/>
    <x v="3"/>
    <s v="Qi Jianguo"/>
    <m/>
    <s v="CMC/JSD DCJS"/>
    <n v="6"/>
    <x v="2"/>
    <s v="Deputy Defense Minister"/>
    <x v="0"/>
    <m/>
    <x v="0"/>
    <m/>
    <x v="1"/>
    <m/>
    <m/>
    <m/>
    <m/>
    <m/>
  </r>
  <r>
    <x v="1"/>
    <x v="0"/>
    <s v="Europe and Central Asia"/>
    <s v="Strategic Partnership [战略伙伴关系]"/>
    <s v="Major Non-NATO Ally"/>
    <x v="1"/>
    <x v="123"/>
    <x v="25"/>
    <n v="10"/>
    <x v="3"/>
    <s v="Sun Jianguo"/>
    <m/>
    <s v="CMC/JSD DCJS"/>
    <n v="6"/>
    <x v="2"/>
    <s v="Deputy Defense Minister"/>
    <x v="0"/>
    <m/>
    <x v="0"/>
    <m/>
    <x v="1"/>
    <m/>
    <m/>
    <m/>
    <m/>
    <m/>
  </r>
  <r>
    <x v="1"/>
    <x v="8"/>
    <s v="Europe and Central Asia"/>
    <s v="Comprehensive Strategic Partnership [全面战略伙伴关系]"/>
    <s v="None"/>
    <x v="3"/>
    <x v="34"/>
    <x v="25"/>
    <n v="10"/>
    <x v="3"/>
    <s v="Fang Fenghui"/>
    <m/>
    <s v="CMC/JSD Commander; CMC Member"/>
    <n v="8"/>
    <x v="2"/>
    <s v="Deputy Defense Minister and COGS"/>
    <x v="0"/>
    <m/>
    <x v="0"/>
    <m/>
    <x v="1"/>
    <m/>
    <m/>
    <m/>
    <m/>
    <m/>
  </r>
  <r>
    <x v="1"/>
    <x v="1"/>
    <s v="Asia"/>
    <s v="No Specific Relationship"/>
    <s v="None"/>
    <x v="0"/>
    <x v="44"/>
    <x v="25"/>
    <n v="10"/>
    <x v="3"/>
    <s v="Xu Qiliang"/>
    <m/>
    <s v="CMC Vice Chairman"/>
    <n v="10"/>
    <x v="2"/>
    <s v="Deputy Defense Minister"/>
    <x v="0"/>
    <m/>
    <x v="0"/>
    <m/>
    <x v="1"/>
    <m/>
    <m/>
    <m/>
    <m/>
    <m/>
  </r>
  <r>
    <x v="1"/>
    <x v="1"/>
    <s v="Asia"/>
    <s v="Comprehensive Strategic Cooperative Partnership [全面战略合作伙伴关系]"/>
    <s v="None"/>
    <x v="0"/>
    <x v="94"/>
    <x v="25"/>
    <n v="10"/>
    <x v="3"/>
    <s v="Fan Changlong"/>
    <m/>
    <s v="CMC Vice Chairman"/>
    <n v="10"/>
    <x v="2"/>
    <s v="Defense Minister"/>
    <x v="0"/>
    <m/>
    <x v="0"/>
    <m/>
    <x v="1"/>
    <m/>
    <m/>
    <m/>
    <m/>
    <m/>
  </r>
  <r>
    <x v="0"/>
    <x v="1"/>
    <s v="Asia"/>
    <s v="Comprehensive Strategic Cooperative Partnership [全面战略合作伙伴关系]"/>
    <s v="None"/>
    <x v="0"/>
    <x v="94"/>
    <x v="25"/>
    <n v="10"/>
    <x v="0"/>
    <m/>
    <m/>
    <m/>
    <m/>
    <x v="0"/>
    <m/>
    <x v="0"/>
    <m/>
    <x v="0"/>
    <m/>
    <x v="2"/>
    <s v="ETF-23"/>
    <s v="East Sea Fleet"/>
    <s v="FFG531 Xiangtan, FFG529 Zhoushan, AOR890 Chao Hu"/>
    <m/>
    <m/>
  </r>
  <r>
    <x v="1"/>
    <x v="8"/>
    <s v="Europe and Central Asia"/>
    <s v="Strategic Partnership [战略伙伴关系]"/>
    <s v="NATO"/>
    <x v="3"/>
    <x v="58"/>
    <x v="25"/>
    <n v="10"/>
    <x v="3"/>
    <s v="Sun Jianguo"/>
    <m/>
    <s v="CMC/JSD DCJS"/>
    <n v="6"/>
    <x v="2"/>
    <s v="DCOGS"/>
    <x v="0"/>
    <m/>
    <x v="0"/>
    <m/>
    <x v="1"/>
    <m/>
    <m/>
    <m/>
    <m/>
    <m/>
  </r>
  <r>
    <x v="1"/>
    <x v="9"/>
    <s v="West Asia and Africa"/>
    <s v="Comprehensive Strategic Partnership [全面战略伙伴关系]"/>
    <s v="Major Non-NATO Ally"/>
    <x v="1"/>
    <x v="24"/>
    <x v="25"/>
    <n v="10"/>
    <x v="3"/>
    <s v="Sun Jianguo"/>
    <m/>
    <s v="CMC/JSD DCJS"/>
    <n v="6"/>
    <x v="2"/>
    <s v="Deputy Defense Minister"/>
    <x v="0"/>
    <m/>
    <x v="0"/>
    <m/>
    <x v="1"/>
    <m/>
    <m/>
    <m/>
    <m/>
    <m/>
  </r>
  <r>
    <x v="2"/>
    <x v="8"/>
    <s v="Europe and Central Asia"/>
    <s v="Comprehensive Strategic Partnership [全面战略伙伴关系]"/>
    <s v="NATO"/>
    <x v="3"/>
    <x v="18"/>
    <x v="25"/>
    <n v="10"/>
    <x v="5"/>
    <m/>
    <m/>
    <m/>
    <m/>
    <x v="0"/>
    <m/>
    <x v="2"/>
    <s v="Combined Aid 2016"/>
    <x v="1"/>
    <s v="HADR"/>
    <x v="1"/>
    <m/>
    <m/>
    <m/>
    <m/>
    <m/>
  </r>
  <r>
    <x v="2"/>
    <x v="0"/>
    <s v="Asia"/>
    <s v="Strategic Partnership for Peace and Prosperity [战略伙伴关系]"/>
    <s v="None"/>
    <x v="0"/>
    <x v="6"/>
    <x v="25"/>
    <n v="10"/>
    <x v="5"/>
    <m/>
    <m/>
    <m/>
    <m/>
    <x v="0"/>
    <m/>
    <x v="2"/>
    <s v="None"/>
    <x v="1"/>
    <s v="HADR"/>
    <x v="1"/>
    <m/>
    <m/>
    <m/>
    <m/>
    <m/>
  </r>
  <r>
    <x v="0"/>
    <x v="1"/>
    <s v="Asia"/>
    <s v="Comprehensive Strategic Partnership [全面战略伙伴关系]"/>
    <s v="None"/>
    <x v="0"/>
    <x v="8"/>
    <x v="25"/>
    <n v="10"/>
    <x v="0"/>
    <m/>
    <m/>
    <m/>
    <m/>
    <x v="0"/>
    <m/>
    <x v="0"/>
    <m/>
    <x v="0"/>
    <m/>
    <x v="0"/>
    <s v="2016-10 Zhenghe "/>
    <s v="North Sea Fleet"/>
    <m/>
    <m/>
    <m/>
  </r>
  <r>
    <x v="1"/>
    <x v="9"/>
    <s v="West Asia and Africa"/>
    <s v="Comprehensive Strategic Partnership [全面战略伙伴关系]"/>
    <s v="None"/>
    <x v="1"/>
    <x v="89"/>
    <x v="25"/>
    <n v="10"/>
    <x v="3"/>
    <s v="Sun Jianguo"/>
    <m/>
    <s v="CMC/JSD DCJS"/>
    <n v="6"/>
    <x v="2"/>
    <s v="Director Foreign Affairs, General Staff Office Iran Armed Forces"/>
    <x v="0"/>
    <m/>
    <x v="0"/>
    <m/>
    <x v="1"/>
    <m/>
    <m/>
    <m/>
    <m/>
    <m/>
  </r>
  <r>
    <x v="1"/>
    <x v="1"/>
    <s v="Asia"/>
    <s v="Comprehensive Strategic Partnership [全面战略伙伴关系]"/>
    <s v="None"/>
    <x v="0"/>
    <x v="10"/>
    <x v="25"/>
    <n v="10"/>
    <x v="3"/>
    <s v="Fang Fenghui"/>
    <m/>
    <s v="CMC/JSD Commander; CMC Member"/>
    <n v="8"/>
    <x v="2"/>
    <s v="Chief of Defense Forces"/>
    <x v="0"/>
    <m/>
    <x v="0"/>
    <m/>
    <x v="1"/>
    <m/>
    <m/>
    <m/>
    <m/>
    <m/>
  </r>
  <r>
    <x v="0"/>
    <x v="1"/>
    <s v="Asia"/>
    <s v="Comprehensive Strategic Partnership [全面战略伙伴关系]"/>
    <s v="None"/>
    <x v="0"/>
    <x v="10"/>
    <x v="25"/>
    <n v="10"/>
    <x v="0"/>
    <m/>
    <m/>
    <m/>
    <m/>
    <x v="0"/>
    <m/>
    <x v="0"/>
    <m/>
    <x v="0"/>
    <m/>
    <x v="2"/>
    <s v="ETF-23"/>
    <s v="East Sea Fleet"/>
    <s v="FFG531 Xiangtan, FFG529 Zhoushan, AOR890 Chao Hu"/>
    <m/>
    <m/>
  </r>
  <r>
    <x v="1"/>
    <x v="2"/>
    <s v="America and Oceania"/>
    <s v="Comprehensive Strategic Partnership [全面战略伙伴关系]"/>
    <s v="None"/>
    <x v="2"/>
    <x v="77"/>
    <x v="25"/>
    <n v="10"/>
    <x v="3"/>
    <s v="Fan Changlong"/>
    <m/>
    <s v="CMC Vice Chairman"/>
    <n v="10"/>
    <x v="2"/>
    <s v="Navy Minister"/>
    <x v="0"/>
    <m/>
    <x v="0"/>
    <m/>
    <x v="1"/>
    <m/>
    <m/>
    <m/>
    <m/>
    <m/>
  </r>
  <r>
    <x v="1"/>
    <x v="4"/>
    <s v="Asia"/>
    <s v="Comprehensive Strategic Partnership [全面战略伙伴关系]"/>
    <s v="None"/>
    <x v="0"/>
    <x v="53"/>
    <x v="25"/>
    <n v="10"/>
    <x v="3"/>
    <s v="Xu Qiliang"/>
    <m/>
    <s v="CMC Vice Chairman"/>
    <n v="10"/>
    <x v="2"/>
    <s v="COGS"/>
    <x v="0"/>
    <m/>
    <x v="0"/>
    <m/>
    <x v="1"/>
    <m/>
    <m/>
    <m/>
    <m/>
    <m/>
  </r>
  <r>
    <x v="1"/>
    <x v="4"/>
    <s v="Asia"/>
    <s v="N/A"/>
    <s v="None"/>
    <x v="0"/>
    <x v="161"/>
    <x v="25"/>
    <n v="10"/>
    <x v="2"/>
    <s v="Chang Wanquan"/>
    <m/>
    <s v="Defense Minister; CMC Member"/>
    <n v="8"/>
    <x v="2"/>
    <s v="Xiangshan Forum 2016; Defense Minister"/>
    <x v="0"/>
    <m/>
    <x v="0"/>
    <m/>
    <x v="1"/>
    <m/>
    <m/>
    <m/>
    <s v="http://en.people.cn/n3/2016/1012/c90883-9125693.html"/>
    <m/>
  </r>
  <r>
    <x v="1"/>
    <x v="5"/>
    <s v="America and Oceania"/>
    <s v="Comprehensive Strategic Partnership [全面战略伙伴关系]"/>
    <s v="ANZUS Treaty"/>
    <x v="0"/>
    <x v="13"/>
    <x v="25"/>
    <n v="10"/>
    <x v="3"/>
    <s v="Sun Jianguo"/>
    <m/>
    <s v="CMC/JSD DCJS"/>
    <n v="6"/>
    <x v="2"/>
    <s v="Defense Minister"/>
    <x v="0"/>
    <m/>
    <x v="0"/>
    <m/>
    <x v="1"/>
    <m/>
    <m/>
    <m/>
    <m/>
    <m/>
  </r>
  <r>
    <x v="1"/>
    <x v="0"/>
    <s v="Asia"/>
    <s v="All-Weather Strategic Cooperative Partnership [全天候战略合作伙伴关系]"/>
    <s v="Major Non-NATO Ally"/>
    <x v="1"/>
    <x v="2"/>
    <x v="25"/>
    <n v="10"/>
    <x v="3"/>
    <s v="Fang Fenghui"/>
    <m/>
    <s v="CMC/JSD Commander; CMC Member"/>
    <n v="8"/>
    <x v="2"/>
    <s v="Army Chief of Staff"/>
    <x v="0"/>
    <m/>
    <x v="0"/>
    <m/>
    <x v="1"/>
    <m/>
    <m/>
    <m/>
    <m/>
    <m/>
  </r>
  <r>
    <x v="2"/>
    <x v="0"/>
    <s v="Asia"/>
    <s v="All-Weather Strategic Cooperative Partnership [全天候战略合作伙伴关系]"/>
    <s v="Major Non-NATO Ally"/>
    <x v="1"/>
    <x v="2"/>
    <x v="25"/>
    <n v="10"/>
    <x v="6"/>
    <m/>
    <m/>
    <m/>
    <m/>
    <x v="0"/>
    <m/>
    <x v="6"/>
    <s v="International Physical Agility and Combat Efficiency System (PACES)"/>
    <x v="1"/>
    <s v="PLAA team from 14th GA. Other countries: Nepal, Saudi Arabia "/>
    <x v="1"/>
    <m/>
    <m/>
    <m/>
    <m/>
    <m/>
  </r>
  <r>
    <x v="2"/>
    <x v="0"/>
    <s v="Asia"/>
    <s v="All-Weather Strategic Cooperative Partnership [全天候战略合作伙伴关系]"/>
    <s v="Major Non-NATO Ally"/>
    <x v="1"/>
    <x v="2"/>
    <x v="25"/>
    <n v="10"/>
    <x v="5"/>
    <m/>
    <m/>
    <m/>
    <m/>
    <x v="0"/>
    <m/>
    <x v="1"/>
    <s v="Friendship 2016"/>
    <x v="1"/>
    <s v="21st GA SOF brigade and SSG commandos; CQB, recon, maneuver and penetration, search and capture, ambush/anti-ambush"/>
    <x v="1"/>
    <m/>
    <m/>
    <m/>
    <m/>
    <m/>
  </r>
  <r>
    <x v="1"/>
    <x v="1"/>
    <s v="America and Oceania"/>
    <s v="Strategic Partnership [战略伙伴关系]"/>
    <s v="None"/>
    <x v="0"/>
    <x v="122"/>
    <x v="25"/>
    <n v="10"/>
    <x v="3"/>
    <s v="Fang Fenghui"/>
    <m/>
    <s v="CMC/JSD Commander; CMC Member"/>
    <n v="8"/>
    <x v="2"/>
    <s v="Commander Armed Forces"/>
    <x v="0"/>
    <m/>
    <x v="0"/>
    <m/>
    <x v="1"/>
    <m/>
    <m/>
    <m/>
    <m/>
    <m/>
  </r>
  <r>
    <x v="1"/>
    <x v="1"/>
    <s v="Asia"/>
    <s v="Strategic Cooperative Partnership [战略合作伙伴关系]"/>
    <s v="Bilateral Defense Treaty"/>
    <x v="0"/>
    <x v="11"/>
    <x v="25"/>
    <n v="10"/>
    <x v="3"/>
    <s v="Chang Wanquan"/>
    <m/>
    <s v="Defense Minister; CMC Member"/>
    <n v="8"/>
    <x v="2"/>
    <s v="Defense Minister"/>
    <x v="0"/>
    <m/>
    <x v="0"/>
    <m/>
    <x v="1"/>
    <m/>
    <m/>
    <m/>
    <m/>
    <m/>
  </r>
  <r>
    <x v="2"/>
    <x v="9"/>
    <s v="West Asia and Africa"/>
    <s v="Comprehensive Strategic Partnership [全面战略伙伴关系]"/>
    <s v="None"/>
    <x v="1"/>
    <x v="142"/>
    <x v="25"/>
    <n v="10"/>
    <x v="5"/>
    <m/>
    <m/>
    <m/>
    <m/>
    <x v="0"/>
    <m/>
    <x v="1"/>
    <s v="None"/>
    <x v="1"/>
    <s v="anti-terrorism drills"/>
    <x v="1"/>
    <m/>
    <m/>
    <m/>
    <m/>
    <m/>
  </r>
  <r>
    <x v="1"/>
    <x v="1"/>
    <s v="Asia"/>
    <s v="All-Round Cooperative Partnership [全方合作伙伴关系]"/>
    <s v="None"/>
    <x v="0"/>
    <x v="39"/>
    <x v="25"/>
    <n v="10"/>
    <x v="3"/>
    <s v="Sun Jianguo"/>
    <m/>
    <s v="CMC/JSD DCJS"/>
    <n v="6"/>
    <x v="2"/>
    <s v="Senior Minister of State for MoD"/>
    <x v="0"/>
    <m/>
    <x v="0"/>
    <m/>
    <x v="1"/>
    <m/>
    <m/>
    <m/>
    <m/>
    <m/>
  </r>
  <r>
    <x v="2"/>
    <x v="6"/>
    <s v="Europe and Central Asia"/>
    <s v="Strategic Partnership [战略伙伴关系]"/>
    <s v="None"/>
    <x v="1"/>
    <x v="60"/>
    <x v="25"/>
    <n v="10"/>
    <x v="5"/>
    <m/>
    <m/>
    <m/>
    <m/>
    <x v="0"/>
    <m/>
    <x v="1"/>
    <s v="Cooperation-2016 Joint Anti-Terrorism Exercise "/>
    <x v="1"/>
    <s v="anti-terrorism drills"/>
    <x v="1"/>
    <m/>
    <m/>
    <m/>
    <s v="2019 PRC Defense White Paper"/>
    <m/>
  </r>
  <r>
    <x v="1"/>
    <x v="2"/>
    <s v="America and Oceania"/>
    <s v="No Specific Relationship"/>
    <s v="N/A"/>
    <x v="2"/>
    <x v="4"/>
    <x v="25"/>
    <n v="10"/>
    <x v="7"/>
    <s v="Sun Jianguo"/>
    <m/>
    <s v="CMC/JSD DCJS"/>
    <n v="6"/>
    <x v="2"/>
    <s v="NDU President MajGen Padilla"/>
    <x v="0"/>
    <m/>
    <x v="0"/>
    <m/>
    <x v="1"/>
    <m/>
    <m/>
    <m/>
    <m/>
    <s v="On margins of Xiangshan Forum"/>
  </r>
  <r>
    <x v="0"/>
    <x v="1"/>
    <s v="Asia"/>
    <s v="Comprehensive Strategic Cooperative Partnership [全面战略合作伙伴关系]"/>
    <s v="None"/>
    <x v="0"/>
    <x v="23"/>
    <x v="25"/>
    <n v="10"/>
    <x v="0"/>
    <m/>
    <m/>
    <m/>
    <m/>
    <x v="0"/>
    <m/>
    <x v="0"/>
    <m/>
    <x v="0"/>
    <m/>
    <x v="2"/>
    <s v="ETF-23"/>
    <s v="East Sea Fleet"/>
    <s v="FFG531 Xiangtan, FFG529 Zhoushan, AOR890 Chao Hu"/>
    <m/>
    <m/>
  </r>
  <r>
    <x v="2"/>
    <x v="1"/>
    <s v="Asia"/>
    <s v="Strategic Partnership [战略伙伴关系] for Peace and Prosperity"/>
    <s v="None"/>
    <x v="0"/>
    <x v="153"/>
    <x v="25"/>
    <n v="11"/>
    <x v="6"/>
    <m/>
    <m/>
    <m/>
    <m/>
    <x v="0"/>
    <m/>
    <x v="5"/>
    <s v="ADMM-Plus Maritime Security Exercise 2016"/>
    <x v="2"/>
    <s v="likely formation maneuvers, SAR, other combat support. Other countries: Indonesia, New Zealand ;boarding operations, manoeuvring serials and maritime security patrols"/>
    <x v="1"/>
    <m/>
    <m/>
    <m/>
    <m/>
    <s v="corrected partnership to strategic partnership for peace and prosperity"/>
  </r>
  <r>
    <x v="0"/>
    <x v="5"/>
    <s v="America and Oceania"/>
    <s v="Comprehensive Strategic Partnership [全面战略伙伴关系]"/>
    <s v="ANZUS Treaty"/>
    <x v="0"/>
    <x v="12"/>
    <x v="25"/>
    <n v="11"/>
    <x v="0"/>
    <m/>
    <m/>
    <m/>
    <m/>
    <x v="0"/>
    <m/>
    <x v="0"/>
    <m/>
    <x v="0"/>
    <m/>
    <x v="0"/>
    <s v="2016-11 Zhenghe "/>
    <s v="North Sea Fleet"/>
    <m/>
    <m/>
    <m/>
  </r>
  <r>
    <x v="1"/>
    <x v="0"/>
    <s v="Asia"/>
    <s v="Comprehensive Cooperative Partnership [全面合作伙伴关系]"/>
    <s v="None"/>
    <x v="0"/>
    <x v="0"/>
    <x v="25"/>
    <n v="11"/>
    <x v="3"/>
    <s v="Xu Qiliang"/>
    <m/>
    <s v="CMC Vice Chairman"/>
    <n v="10"/>
    <x v="2"/>
    <s v="Chief of Navy Staff"/>
    <x v="0"/>
    <m/>
    <x v="0"/>
    <m/>
    <x v="1"/>
    <m/>
    <m/>
    <m/>
    <m/>
    <m/>
  </r>
  <r>
    <x v="1"/>
    <x v="10"/>
    <s v="America and Oceania"/>
    <s v="Comprehensive Strategic Partnership [全面战略伙伴关系]"/>
    <s v="None"/>
    <x v="5"/>
    <x v="43"/>
    <x v="25"/>
    <n v="11"/>
    <x v="3"/>
    <s v="Sun Jianguo"/>
    <m/>
    <s v="CMC/JSD DCJS"/>
    <n v="6"/>
    <x v="2"/>
    <s v="Secretary of Strategy and International Affairs MoD"/>
    <x v="0"/>
    <m/>
    <x v="0"/>
    <m/>
    <x v="1"/>
    <m/>
    <m/>
    <m/>
    <m/>
    <m/>
  </r>
  <r>
    <x v="1"/>
    <x v="9"/>
    <s v="West Asia and Africa"/>
    <s v="No Specific Relationship"/>
    <s v="None"/>
    <x v="1"/>
    <x v="119"/>
    <x v="25"/>
    <n v="11"/>
    <x v="4"/>
    <s v="Fan Changlong"/>
    <m/>
    <s v="CMC Vice Chairman"/>
    <n v="10"/>
    <x v="1"/>
    <m/>
    <x v="0"/>
    <m/>
    <x v="0"/>
    <m/>
    <x v="1"/>
    <m/>
    <m/>
    <m/>
    <m/>
    <m/>
  </r>
  <r>
    <x v="1"/>
    <x v="7"/>
    <s v="West Asia and Africa"/>
    <s v="Comprehensive Cooperative Partnership [全面合作伙伴关系]"/>
    <s v="None"/>
    <x v="4"/>
    <x v="95"/>
    <x v="25"/>
    <n v="11"/>
    <x v="4"/>
    <s v="Fan Changlong"/>
    <m/>
    <s v="CMC Vice Chairman"/>
    <n v="10"/>
    <x v="1"/>
    <s v="Defense Minister"/>
    <x v="0"/>
    <m/>
    <x v="0"/>
    <m/>
    <x v="1"/>
    <m/>
    <m/>
    <m/>
    <m/>
    <m/>
  </r>
  <r>
    <x v="1"/>
    <x v="0"/>
    <s v="Asia"/>
    <s v="Strategic Partnership for Peace and Prosperity [战略伙伴关系]"/>
    <s v="None"/>
    <x v="0"/>
    <x v="6"/>
    <x v="25"/>
    <n v="11"/>
    <x v="3"/>
    <s v="Xu Qiliang"/>
    <m/>
    <s v="CMC Vice Chairman"/>
    <n v="10"/>
    <x v="2"/>
    <s v="Chief of Army Staff"/>
    <x v="0"/>
    <m/>
    <x v="0"/>
    <m/>
    <x v="1"/>
    <m/>
    <m/>
    <m/>
    <m/>
    <m/>
  </r>
  <r>
    <x v="2"/>
    <x v="0"/>
    <s v="Asia"/>
    <s v="Strategic Partnership for Peace and Prosperity [战略伙伴关系]"/>
    <s v="None"/>
    <x v="0"/>
    <x v="6"/>
    <x v="25"/>
    <n v="11"/>
    <x v="5"/>
    <m/>
    <m/>
    <m/>
    <m/>
    <x v="0"/>
    <m/>
    <x v="1"/>
    <s v="Hand-in-Hand 2016"/>
    <x v="1"/>
    <s v="anti-terrorism drills"/>
    <x v="1"/>
    <m/>
    <m/>
    <m/>
    <m/>
    <m/>
  </r>
  <r>
    <x v="1"/>
    <x v="9"/>
    <s v="West Asia and Africa"/>
    <s v="Comprehensive Strategic Partnership [全面战略伙伴关系]"/>
    <s v="None"/>
    <x v="1"/>
    <x v="89"/>
    <x v="25"/>
    <n v="11"/>
    <x v="4"/>
    <s v="Chang Wanquan"/>
    <m/>
    <s v="Defense Minister; CMC Member"/>
    <n v="8"/>
    <x v="1"/>
    <s v="Defense Minister"/>
    <x v="0"/>
    <m/>
    <x v="0"/>
    <m/>
    <x v="1"/>
    <m/>
    <m/>
    <m/>
    <m/>
    <m/>
  </r>
  <r>
    <x v="1"/>
    <x v="8"/>
    <s v="Europe and Central Asia"/>
    <s v="Comprehensive Strategic Partnership [全面战略伙伴关系]"/>
    <s v="NATO"/>
    <x v="3"/>
    <x v="20"/>
    <x v="25"/>
    <n v="11"/>
    <x v="3"/>
    <s v="Li Zuocheng"/>
    <m/>
    <s v="PLAA Commander"/>
    <n v="6"/>
    <x v="2"/>
    <s v="Army Chief of Staff"/>
    <x v="0"/>
    <m/>
    <x v="0"/>
    <m/>
    <x v="1"/>
    <m/>
    <m/>
    <m/>
    <m/>
    <m/>
  </r>
  <r>
    <x v="1"/>
    <x v="9"/>
    <s v="West Asia and Africa"/>
    <s v="No Specific Relationship"/>
    <s v="None"/>
    <x v="1"/>
    <x v="110"/>
    <x v="25"/>
    <n v="11"/>
    <x v="4"/>
    <s v="Fan Changlong"/>
    <m/>
    <s v="CMC Vice Chairman"/>
    <n v="10"/>
    <x v="1"/>
    <s v="Army Chief"/>
    <x v="0"/>
    <m/>
    <x v="0"/>
    <m/>
    <x v="1"/>
    <m/>
    <m/>
    <m/>
    <m/>
    <m/>
  </r>
  <r>
    <x v="1"/>
    <x v="1"/>
    <s v="Asia"/>
    <s v="Comprehensive Strategic Partnership [全面战略伙伴关系]"/>
    <s v="None"/>
    <x v="0"/>
    <x v="10"/>
    <x v="25"/>
    <n v="11"/>
    <x v="3"/>
    <s v="Chang Wanquan"/>
    <m/>
    <s v="Defense Minister; CMC Member"/>
    <n v="8"/>
    <x v="2"/>
    <s v="Defense Minister"/>
    <x v="0"/>
    <m/>
    <x v="0"/>
    <m/>
    <x v="1"/>
    <m/>
    <m/>
    <m/>
    <m/>
    <m/>
  </r>
  <r>
    <x v="2"/>
    <x v="1"/>
    <s v="Asia"/>
    <s v="Comprehensive Strategic Partnership [全面战略伙伴关系]"/>
    <s v="None"/>
    <x v="0"/>
    <x v="10"/>
    <x v="25"/>
    <n v="11"/>
    <x v="5"/>
    <m/>
    <m/>
    <m/>
    <m/>
    <x v="0"/>
    <m/>
    <x v="2"/>
    <s v="Peace and Friendship 2016"/>
    <x v="1"/>
    <m/>
    <x v="1"/>
    <m/>
    <m/>
    <m/>
    <s v="http://eng.mod.gov.cn/news/2016-11/18/content_4778131.htm"/>
    <m/>
  </r>
  <r>
    <x v="1"/>
    <x v="1"/>
    <s v="Asia"/>
    <s v="Comprehensive Strategic Cooperative Partnership [全面战略合作伙伴关系]"/>
    <s v="None"/>
    <x v="0"/>
    <x v="1"/>
    <x v="25"/>
    <n v="11"/>
    <x v="3"/>
    <s v="Xu Qiliang"/>
    <m/>
    <s v="CMC Vice Chairman"/>
    <n v="10"/>
    <x v="2"/>
    <s v="CinC Armed Forces"/>
    <x v="0"/>
    <m/>
    <x v="0"/>
    <m/>
    <x v="1"/>
    <m/>
    <m/>
    <m/>
    <m/>
    <m/>
  </r>
  <r>
    <x v="1"/>
    <x v="5"/>
    <s v="America and Oceania"/>
    <s v="Comprehensive Strategic Partnership [全面战略伙伴关系]"/>
    <s v="ANZUS Treaty"/>
    <x v="0"/>
    <x v="13"/>
    <x v="25"/>
    <n v="11"/>
    <x v="3"/>
    <s v="Ma Xiaotian"/>
    <m/>
    <s v="PLAAF Commander; CMC Member"/>
    <n v="8"/>
    <x v="2"/>
    <s v="Air Force Commander"/>
    <x v="0"/>
    <m/>
    <x v="0"/>
    <m/>
    <x v="1"/>
    <m/>
    <m/>
    <m/>
    <m/>
    <m/>
  </r>
  <r>
    <x v="0"/>
    <x v="5"/>
    <s v="America and Oceania"/>
    <s v="Comprehensive Strategic Partnership [全面战略伙伴关系]"/>
    <s v="ANZUS Treaty"/>
    <x v="0"/>
    <x v="13"/>
    <x v="25"/>
    <n v="11"/>
    <x v="0"/>
    <m/>
    <m/>
    <m/>
    <m/>
    <x v="0"/>
    <m/>
    <x v="0"/>
    <m/>
    <x v="0"/>
    <m/>
    <x v="0"/>
    <s v="2016-11 DDG546 Yancheng"/>
    <s v="North Sea Fleet"/>
    <s v="unknown if other PLAN ships present"/>
    <m/>
    <m/>
  </r>
  <r>
    <x v="1"/>
    <x v="0"/>
    <s v="Asia"/>
    <s v="All-Weather Strategic Cooperative Partnership [全天候战略合作伙伴关系]"/>
    <s v="Major Non-NATO Ally"/>
    <x v="1"/>
    <x v="2"/>
    <x v="25"/>
    <n v="11"/>
    <x v="3"/>
    <s v="Chang Wanquan"/>
    <m/>
    <s v="Defense Minister; CMC Member"/>
    <n v="8"/>
    <x v="2"/>
    <s v="Chief of Air Staff"/>
    <x v="0"/>
    <m/>
    <x v="0"/>
    <m/>
    <x v="1"/>
    <m/>
    <m/>
    <m/>
    <m/>
    <m/>
  </r>
  <r>
    <x v="0"/>
    <x v="0"/>
    <s v="Asia"/>
    <s v="All-Weather Strategic Cooperative Partnership [全天候战略合作伙伴关系]"/>
    <s v="Major Non-NATO Ally"/>
    <x v="1"/>
    <x v="2"/>
    <x v="25"/>
    <n v="11"/>
    <x v="10"/>
    <m/>
    <m/>
    <m/>
    <m/>
    <x v="0"/>
    <m/>
    <x v="0"/>
    <m/>
    <x v="0"/>
    <m/>
    <x v="2"/>
    <s v="ETF-24"/>
    <s v="North Sea Fleet"/>
    <s v="DDG112 Harbin, FFG579 Handan, AOR960 Dongping Hu"/>
    <m/>
    <m/>
  </r>
  <r>
    <x v="2"/>
    <x v="0"/>
    <s v="Asia"/>
    <s v="All-Weather Strategic Cooperative Partnership [全天候战略合作伙伴关系]"/>
    <s v="Major Non-NATO Ally"/>
    <x v="1"/>
    <x v="2"/>
    <x v="25"/>
    <n v="11"/>
    <x v="5"/>
    <m/>
    <m/>
    <m/>
    <m/>
    <x v="0"/>
    <m/>
    <x v="4"/>
    <s v="None"/>
    <x v="2"/>
    <s v="ETF-24; Marines; anti-piracy drills, special operations"/>
    <x v="1"/>
    <m/>
    <m/>
    <m/>
    <m/>
    <m/>
  </r>
  <r>
    <x v="1"/>
    <x v="9"/>
    <s v="West Asia and Africa"/>
    <s v="Strategic Partnership [战略伙伴关系]"/>
    <s v="None"/>
    <x v="1"/>
    <x v="131"/>
    <x v="25"/>
    <n v="11"/>
    <x v="3"/>
    <s v="Chang Wanquan"/>
    <m/>
    <s v="Defense Minister; CMC Member"/>
    <n v="8"/>
    <x v="2"/>
    <s v="Defense Minister"/>
    <x v="0"/>
    <m/>
    <x v="0"/>
    <m/>
    <x v="1"/>
    <m/>
    <m/>
    <m/>
    <m/>
    <m/>
  </r>
  <r>
    <x v="1"/>
    <x v="3"/>
    <s v="Europe and Central Asia"/>
    <s v="Comprehensive Collaborative Strategic Partnership [全面战略协作伙伴关系]"/>
    <s v="None"/>
    <x v="3"/>
    <x v="7"/>
    <x v="25"/>
    <n v="11"/>
    <x v="3"/>
    <s v="Xu Qiliang"/>
    <m/>
    <s v="CMC Vice Chairman"/>
    <n v="10"/>
    <x v="2"/>
    <s v="Defense Minister"/>
    <x v="0"/>
    <m/>
    <x v="0"/>
    <m/>
    <x v="1"/>
    <m/>
    <m/>
    <m/>
    <m/>
    <m/>
  </r>
  <r>
    <x v="2"/>
    <x v="6"/>
    <s v="Europe and Central Asia"/>
    <s v="Member"/>
    <s v="None"/>
    <x v="1"/>
    <x v="14"/>
    <x v="25"/>
    <n v="11"/>
    <x v="6"/>
    <m/>
    <m/>
    <m/>
    <m/>
    <x v="0"/>
    <m/>
    <x v="3"/>
    <s v="None"/>
    <x v="1"/>
    <s v="mountain infantry troops; actual combat abilities but few details;SCO; Counries: Kazakhstan, Kyrgyzstan, Tajikistan, Uzbekistan, Russia"/>
    <x v="1"/>
    <m/>
    <m/>
    <m/>
    <m/>
    <m/>
  </r>
  <r>
    <x v="1"/>
    <x v="7"/>
    <s v="West Asia and Africa"/>
    <s v="No Specific Relationship"/>
    <s v="None"/>
    <x v="4"/>
    <x v="139"/>
    <x v="25"/>
    <n v="11"/>
    <x v="3"/>
    <s v="Wang Guanzhong"/>
    <m/>
    <s v="CMC/JSD DCJS"/>
    <n v="6"/>
    <x v="2"/>
    <s v="President"/>
    <x v="0"/>
    <m/>
    <x v="0"/>
    <m/>
    <x v="1"/>
    <m/>
    <m/>
    <m/>
    <m/>
    <m/>
  </r>
  <r>
    <x v="1"/>
    <x v="7"/>
    <s v="West Asia and Africa"/>
    <s v="Comprehensive Cooperative Partnership [全面合作伙伴关系]"/>
    <s v="None"/>
    <x v="4"/>
    <x v="16"/>
    <x v="25"/>
    <n v="11"/>
    <x v="4"/>
    <s v="Fan Changlong"/>
    <m/>
    <s v="CMC Vice Chairman"/>
    <n v="10"/>
    <x v="1"/>
    <s v="Defense Minister"/>
    <x v="0"/>
    <m/>
    <x v="0"/>
    <m/>
    <x v="1"/>
    <m/>
    <m/>
    <m/>
    <m/>
    <m/>
  </r>
  <r>
    <x v="1"/>
    <x v="2"/>
    <s v="America and Oceania"/>
    <s v="No Specific Relationship"/>
    <s v="N/A"/>
    <x v="2"/>
    <x v="4"/>
    <x v="25"/>
    <n v="11"/>
    <x v="4"/>
    <s v="Zhao Zongqi"/>
    <m/>
    <s v="Western TC Commander"/>
    <n v="6"/>
    <x v="1"/>
    <s v="PACOM Commander Harris"/>
    <x v="0"/>
    <m/>
    <x v="0"/>
    <m/>
    <x v="1"/>
    <m/>
    <m/>
    <s v="2017 CH Mil Power Report "/>
    <s v="2017 CH Mil Power Report "/>
    <s v="Also visited JB Lewis-McChord"/>
  </r>
  <r>
    <x v="2"/>
    <x v="2"/>
    <s v="America and Oceania"/>
    <s v="No Specific Relationship"/>
    <s v="N/A"/>
    <x v="2"/>
    <x v="4"/>
    <x v="25"/>
    <n v="11"/>
    <x v="5"/>
    <m/>
    <m/>
    <m/>
    <m/>
    <x v="0"/>
    <m/>
    <x v="2"/>
    <s v="12th Disaster Management Exchange TTX"/>
    <x v="1"/>
    <s v="Kunming; HADR academic discussion; TTX; and field exchange"/>
    <x v="1"/>
    <m/>
    <m/>
    <m/>
    <m/>
    <m/>
  </r>
  <r>
    <x v="1"/>
    <x v="1"/>
    <s v="Asia"/>
    <s v="Comprehensive Strategic Cooperative Partnership [全面战略合作伙伴关系]"/>
    <s v="None"/>
    <x v="0"/>
    <x v="23"/>
    <x v="25"/>
    <n v="11"/>
    <x v="3"/>
    <s v="Chang Wanquan"/>
    <m/>
    <s v="Defense Minister; CMC Member"/>
    <n v="8"/>
    <x v="2"/>
    <s v="Deputy Defense Minister"/>
    <x v="0"/>
    <m/>
    <x v="0"/>
    <m/>
    <x v="1"/>
    <m/>
    <m/>
    <m/>
    <m/>
    <m/>
  </r>
  <r>
    <x v="1"/>
    <x v="9"/>
    <s v="West Asia and Africa"/>
    <s v="No Specific Relationship"/>
    <s v="None"/>
    <x v="1"/>
    <x v="119"/>
    <x v="25"/>
    <n v="12"/>
    <x v="3"/>
    <s v="Fan Changlong"/>
    <m/>
    <s v="CMC Vice Chairman"/>
    <n v="10"/>
    <x v="2"/>
    <s v="COGS"/>
    <x v="0"/>
    <m/>
    <x v="0"/>
    <m/>
    <x v="1"/>
    <m/>
    <m/>
    <m/>
    <m/>
    <m/>
  </r>
  <r>
    <x v="0"/>
    <x v="5"/>
    <s v="America and Oceania"/>
    <s v="Strategic Partnership [战略伙伴关系]"/>
    <s v="None"/>
    <x v="0"/>
    <x v="128"/>
    <x v="25"/>
    <n v="12"/>
    <x v="0"/>
    <m/>
    <m/>
    <m/>
    <m/>
    <x v="0"/>
    <m/>
    <x v="0"/>
    <m/>
    <x v="0"/>
    <m/>
    <x v="0"/>
    <s v="2016-12 Zhenghe "/>
    <s v="North Sea Fleet"/>
    <m/>
    <m/>
    <s v="Coded as Oceania instead of Southeast Asia"/>
  </r>
  <r>
    <x v="0"/>
    <x v="5"/>
    <s v="America and Oceania"/>
    <s v="Comprehensive Strategic Partnership [全面战略伙伴关系]"/>
    <s v="ANZUS Treaty"/>
    <x v="0"/>
    <x v="13"/>
    <x v="25"/>
    <n v="12"/>
    <x v="0"/>
    <m/>
    <m/>
    <m/>
    <m/>
    <x v="0"/>
    <m/>
    <x v="0"/>
    <m/>
    <x v="0"/>
    <m/>
    <x v="0"/>
    <s v="2016-12 Zhenghe "/>
    <s v="North Sea Fleet"/>
    <m/>
    <m/>
    <m/>
  </r>
  <r>
    <x v="1"/>
    <x v="0"/>
    <s v="Asia"/>
    <s v="All-Weather Strategic Cooperative Partnership [全天候战略合作伙伴关系]"/>
    <s v="Major Non-NATO Ally"/>
    <x v="1"/>
    <x v="2"/>
    <x v="25"/>
    <n v="12"/>
    <x v="4"/>
    <s v="Zhao Zongqi"/>
    <m/>
    <s v="Western TC Commander"/>
    <n v="6"/>
    <x v="1"/>
    <s v="Army Chief of Staff"/>
    <x v="0"/>
    <m/>
    <x v="0"/>
    <m/>
    <x v="1"/>
    <m/>
    <m/>
    <m/>
    <m/>
    <m/>
  </r>
  <r>
    <x v="0"/>
    <x v="2"/>
    <s v="America and Oceania"/>
    <s v="No Specific Relationship"/>
    <s v="N/A"/>
    <x v="2"/>
    <x v="4"/>
    <x v="25"/>
    <n v="12"/>
    <x v="0"/>
    <m/>
    <m/>
    <m/>
    <m/>
    <x v="0"/>
    <m/>
    <x v="8"/>
    <s v=" "/>
    <x v="6"/>
    <s v=" "/>
    <x v="0"/>
    <s v="2016-12"/>
    <s v="North Sea Fleet"/>
    <s v="Yancheng FFG, Daqing, FFG, Tai Hu oiler visited San Diego"/>
    <s v="https://thaimilitaryandasianregion.blogspot.com/2016/12/chinese-naval-ships-visit-san-diego.html"/>
    <m/>
  </r>
  <r>
    <x v="0"/>
    <x v="9"/>
    <s v="West Asia and Africa"/>
    <s v="Strategic Partnership [战略伙伴关系]"/>
    <s v="None"/>
    <x v="1"/>
    <x v="131"/>
    <x v="26"/>
    <n v="1"/>
    <x v="0"/>
    <m/>
    <m/>
    <m/>
    <m/>
    <x v="0"/>
    <m/>
    <x v="0"/>
    <m/>
    <x v="0"/>
    <m/>
    <x v="2"/>
    <s v="ETF-24"/>
    <s v="North Sea Fleet"/>
    <s v="DDG112 Harbin, FFG579 Handan"/>
    <s v="http://eng.mod.gov.cn/DefenseNews/2017-01/23/content_4770731.htm"/>
    <m/>
  </r>
  <r>
    <x v="2"/>
    <x v="9"/>
    <s v="West Asia and Africa"/>
    <s v="Strategic Partnership [战略伙伴关系]"/>
    <s v="None"/>
    <x v="1"/>
    <x v="106"/>
    <x v="26"/>
    <n v="1"/>
    <x v="5"/>
    <m/>
    <m/>
    <m/>
    <m/>
    <x v="0"/>
    <m/>
    <x v="2"/>
    <s v="Unnamed "/>
    <x v="2"/>
    <s v="Maritime "/>
    <x v="1"/>
    <m/>
    <m/>
    <m/>
    <m/>
    <m/>
  </r>
  <r>
    <x v="1"/>
    <x v="1"/>
    <s v="Asia"/>
    <s v="Comprehensive Strategic Cooperative Partnership [全面战略合作伙伴关系]"/>
    <s v="None"/>
    <x v="0"/>
    <x v="23"/>
    <x v="26"/>
    <n v="1"/>
    <x v="3"/>
    <s v="Fan Changlong"/>
    <m/>
    <s v="CMC Vice Chairman"/>
    <n v="10"/>
    <x v="2"/>
    <s v="Defense Minister"/>
    <x v="0"/>
    <m/>
    <x v="0"/>
    <m/>
    <x v="1"/>
    <m/>
    <m/>
    <m/>
    <m/>
    <m/>
  </r>
  <r>
    <x v="1"/>
    <x v="7"/>
    <s v="West Asia and Africa"/>
    <s v="Comprehensive Cooperative Partnership [全面合作伙伴关系]"/>
    <s v="None"/>
    <x v="4"/>
    <x v="95"/>
    <x v="26"/>
    <n v="2"/>
    <x v="3"/>
    <s v="Chang Wanquan"/>
    <m/>
    <s v="Defense Minister; CMC Member"/>
    <n v="8"/>
    <x v="2"/>
    <s v="Defense Minister"/>
    <x v="0"/>
    <m/>
    <x v="0"/>
    <m/>
    <x v="1"/>
    <m/>
    <m/>
    <m/>
    <s v="http://eng.mod.gov.cn/DefenseNews/2017-02/24/content_4773595.htm"/>
    <m/>
  </r>
  <r>
    <x v="1"/>
    <x v="9"/>
    <s v="West Asia and Africa"/>
    <s v="All-Round Partnership for Innovation [创新全面伙伴关系]"/>
    <s v="Major Non-NATO Ally"/>
    <x v="1"/>
    <x v="100"/>
    <x v="26"/>
    <n v="2"/>
    <x v="3"/>
    <s v="Zhao Keshi"/>
    <m/>
    <s v="CMC/LSD Director; CMC Member"/>
    <n v="8"/>
    <x v="2"/>
    <s v="Major General"/>
    <x v="0"/>
    <m/>
    <x v="0"/>
    <m/>
    <x v="1"/>
    <m/>
    <m/>
    <m/>
    <s v="http://eng.mod.gov.cn/DefenseNews/2017-02/21/content_4773208.htm"/>
    <m/>
  </r>
  <r>
    <x v="2"/>
    <x v="9"/>
    <s v="West Asia and Africa"/>
    <s v="No Specific Relationship"/>
    <s v="Major Non-NATO Ally"/>
    <x v="1"/>
    <x v="72"/>
    <x v="26"/>
    <n v="2"/>
    <x v="5"/>
    <m/>
    <m/>
    <m/>
    <m/>
    <x v="0"/>
    <m/>
    <x v="2"/>
    <s v="Unnamed"/>
    <x v="2"/>
    <s v="Maritime"/>
    <x v="1"/>
    <m/>
    <m/>
    <m/>
    <m/>
    <m/>
  </r>
  <r>
    <x v="0"/>
    <x v="9"/>
    <s v="West Asia and Africa"/>
    <s v="No Specific Relationship"/>
    <s v="Major Non-NATO Ally"/>
    <x v="1"/>
    <x v="72"/>
    <x v="26"/>
    <n v="2"/>
    <x v="0"/>
    <m/>
    <m/>
    <s v=" "/>
    <m/>
    <x v="0"/>
    <m/>
    <x v="0"/>
    <m/>
    <x v="0"/>
    <m/>
    <x v="2"/>
    <s v="ETF-24"/>
    <s v="North Sea Fleet"/>
    <s v="DDG112 Harbin, FFG579 Handan"/>
    <s v="http://eng.mod.gov.cn/DefenseNews/2017-02/03/content_4771399.htm"/>
    <m/>
  </r>
  <r>
    <x v="1"/>
    <x v="0"/>
    <s v="Asia"/>
    <s v="All-Round Strategic Partnership [全方位战略伙伴关系]"/>
    <s v="None"/>
    <x v="0"/>
    <x v="32"/>
    <x v="26"/>
    <n v="2"/>
    <x v="4"/>
    <s v="Zhao Jinsong"/>
    <m/>
    <s v="Western TC Deputy Commander"/>
    <n v="8"/>
    <x v="1"/>
    <s v="Chief of the Army Staff"/>
    <x v="0"/>
    <m/>
    <x v="0"/>
    <m/>
    <x v="1"/>
    <m/>
    <m/>
    <m/>
    <s v="http://eng.mod.gov.cn/DefenseNews/2017-02/20/content_4773000.htm"/>
    <s v="Recoded as South Asia"/>
  </r>
  <r>
    <x v="2"/>
    <x v="0"/>
    <s v="Asia"/>
    <s v="All-Weather Strategic Cooperative Partnership [全天候战略合作伙伴关系]"/>
    <s v="Major Non-NATO Ally"/>
    <x v="1"/>
    <x v="2"/>
    <x v="26"/>
    <n v="2"/>
    <x v="6"/>
    <m/>
    <m/>
    <m/>
    <m/>
    <x v="0"/>
    <m/>
    <x v="2"/>
    <s v="Aman-17"/>
    <x v="2"/>
    <s v="Maritime "/>
    <x v="1"/>
    <m/>
    <m/>
    <m/>
    <m/>
    <m/>
  </r>
  <r>
    <x v="2"/>
    <x v="1"/>
    <s v="Asia"/>
    <s v="Comprehensive Strategic Cooperative Partnership [全面战略合作伙伴关系]"/>
    <s v="Bilateral Defense Treaty"/>
    <x v="0"/>
    <x v="5"/>
    <x v="26"/>
    <n v="2"/>
    <x v="6"/>
    <m/>
    <m/>
    <m/>
    <m/>
    <x v="0"/>
    <m/>
    <x v="2"/>
    <s v="Cobra Gold 2017"/>
    <x v="1"/>
    <s v="Humanitarian assistance and disaster relief"/>
    <x v="1"/>
    <m/>
    <m/>
    <m/>
    <m/>
    <m/>
  </r>
  <r>
    <x v="0"/>
    <x v="9"/>
    <s v="West Asia and Africa"/>
    <s v="Strategic Partnership [战略伙伴关系]"/>
    <s v="None"/>
    <x v="1"/>
    <x v="106"/>
    <x v="26"/>
    <n v="2"/>
    <x v="0"/>
    <m/>
    <m/>
    <m/>
    <m/>
    <x v="0"/>
    <m/>
    <x v="0"/>
    <m/>
    <x v="0"/>
    <m/>
    <x v="2"/>
    <s v="ETF-24"/>
    <s v="North Sea Fleet"/>
    <s v="DDG112 Harbin, FFG579 Handan"/>
    <s v="http://eng.mod.gov.cn/DefenseNews/2017-02/03/content_4771404.htm"/>
    <m/>
  </r>
  <r>
    <x v="1"/>
    <x v="10"/>
    <s v="America and Oceania"/>
    <s v="No Specific Relationship"/>
    <s v="None"/>
    <x v="5"/>
    <x v="49"/>
    <x v="26"/>
    <n v="3"/>
    <x v="3"/>
    <s v="Chang Wanquan"/>
    <m/>
    <s v="Defense Minister; CMC Member"/>
    <n v="8"/>
    <x v="2"/>
    <s v="Defense Minister "/>
    <x v="0"/>
    <m/>
    <x v="0"/>
    <m/>
    <x v="1"/>
    <m/>
    <m/>
    <m/>
    <m/>
    <m/>
  </r>
  <r>
    <x v="1"/>
    <x v="6"/>
    <s v="Europe and Central Asia"/>
    <s v="Strategic Partnership [战略伙伴关系]"/>
    <s v="None"/>
    <x v="1"/>
    <x v="31"/>
    <x v="26"/>
    <n v="3"/>
    <x v="3"/>
    <s v="Chang Wanquan"/>
    <m/>
    <s v="Defense Minister; CMC Member"/>
    <n v="8"/>
    <x v="2"/>
    <s v="Chief of Staff"/>
    <x v="0"/>
    <m/>
    <x v="0"/>
    <m/>
    <x v="1"/>
    <m/>
    <m/>
    <m/>
    <s v="http://english.chinamil.com.cn/view/2017-03/17/content_7529919.htm"/>
    <m/>
  </r>
  <r>
    <x v="1"/>
    <x v="1"/>
    <s v="Asia"/>
    <s v="Comprehensive Strategic Partnership [全面战略伙伴关系]"/>
    <s v="None"/>
    <x v="0"/>
    <x v="10"/>
    <x v="26"/>
    <n v="3"/>
    <x v="4"/>
    <s v="Xu Qiliang"/>
    <m/>
    <s v="CMC Vice Chairman"/>
    <n v="10"/>
    <x v="1"/>
    <s v="Defense Minister"/>
    <x v="0"/>
    <m/>
    <x v="0"/>
    <m/>
    <x v="1"/>
    <m/>
    <m/>
    <m/>
    <s v="http://eng.mod.gov.cn/DefenseNews/2017-03/28/content_4776738.htm; http://eng.mod.gov.cn/DefenseNews/2017-03/29/content_4776836.htm"/>
    <m/>
  </r>
  <r>
    <x v="1"/>
    <x v="0"/>
    <s v="Asia"/>
    <s v="All-Round Strategic Partnership [全方位战略伙伴关系]"/>
    <s v="None"/>
    <x v="0"/>
    <x v="32"/>
    <x v="26"/>
    <n v="3"/>
    <x v="4"/>
    <s v="Chang Wanquan"/>
    <m/>
    <s v="Defense Minister; CMC Member"/>
    <n v="8"/>
    <x v="2"/>
    <s v="President "/>
    <x v="0"/>
    <m/>
    <x v="0"/>
    <m/>
    <x v="1"/>
    <m/>
    <m/>
    <m/>
    <m/>
    <s v="Recoded as South Asia"/>
  </r>
  <r>
    <x v="1"/>
    <x v="0"/>
    <s v="Asia"/>
    <s v="All-Weather Strategic Cooperative Partnership [全天候战略合作伙伴关系]"/>
    <s v="Major Non-NATO Ally"/>
    <x v="1"/>
    <x v="2"/>
    <x v="26"/>
    <n v="3"/>
    <x v="3"/>
    <s v="Fan Changlong"/>
    <m/>
    <s v="CMC Vice Chairman"/>
    <n v="10"/>
    <x v="2"/>
    <s v="Chief General"/>
    <x v="0"/>
    <m/>
    <x v="0"/>
    <m/>
    <x v="1"/>
    <m/>
    <m/>
    <m/>
    <s v="http://www.xinhuanet.com/english/2017-03/16/c_136134589.htm"/>
    <m/>
  </r>
  <r>
    <x v="1"/>
    <x v="9"/>
    <s v="West Asia and Africa"/>
    <s v="Comprehensive Strategic Partnership [全面战略伙伴关系]"/>
    <s v="None"/>
    <x v="1"/>
    <x v="142"/>
    <x v="26"/>
    <n v="3"/>
    <x v="4"/>
    <s v="Xu Qiliang"/>
    <m/>
    <s v="CMC Vice Chairman"/>
    <n v="10"/>
    <x v="1"/>
    <s v="Defense Minister"/>
    <x v="0"/>
    <m/>
    <x v="0"/>
    <m/>
    <x v="1"/>
    <m/>
    <m/>
    <m/>
    <s v="http://eng.mod.gov.cn/DefenseNews/2017-03/28/content_4776738.htm"/>
    <m/>
  </r>
  <r>
    <x v="2"/>
    <x v="8"/>
    <s v="Europe and Central Asia"/>
    <s v="Comprehensive Strategic Partnership [全面战略伙伴关系]"/>
    <s v="NATO"/>
    <x v="3"/>
    <x v="21"/>
    <x v="26"/>
    <n v="3"/>
    <x v="5"/>
    <m/>
    <m/>
    <m/>
    <m/>
    <x v="0"/>
    <m/>
    <x v="2"/>
    <s v="Joint Evacuation 2017"/>
    <x v="2"/>
    <m/>
    <x v="1"/>
    <m/>
    <m/>
    <m/>
    <m/>
    <m/>
  </r>
  <r>
    <x v="1"/>
    <x v="8"/>
    <s v="Europe and Central Asia"/>
    <s v="Friendly Cooperative Partnership [友好合作伙伴关系]"/>
    <s v="None"/>
    <x v="3"/>
    <x v="63"/>
    <x v="26"/>
    <n v="4"/>
    <x v="4"/>
    <s v="Guan Youfei"/>
    <m/>
    <s v="CMC/OIMC Director"/>
    <n v="5"/>
    <x v="1"/>
    <s v="Defense Minister "/>
    <x v="0"/>
    <m/>
    <x v="0"/>
    <m/>
    <x v="1"/>
    <m/>
    <m/>
    <m/>
    <s v="http://english.chinamil.com.cn/view/2017-04/12/content_7559734.htm"/>
    <s v="Head of CMC/OIMC is not senior enough, but is meeting with Armenian MINDEF.  KEEP?"/>
  </r>
  <r>
    <x v="1"/>
    <x v="5"/>
    <s v="America and Oceania"/>
    <s v="Comprehensive Strategic Partnership [全面战略伙伴关系]"/>
    <s v="ANZUS Treaty"/>
    <x v="0"/>
    <x v="12"/>
    <x v="26"/>
    <n v="4"/>
    <x v="3"/>
    <s v="Li Zuocheng"/>
    <m/>
    <s v="PLAA Commander"/>
    <n v="6"/>
    <x v="2"/>
    <s v="Army Lieutenant General "/>
    <x v="0"/>
    <m/>
    <x v="0"/>
    <m/>
    <x v="1"/>
    <m/>
    <m/>
    <m/>
    <s v="http://eng.mod.gov.cn/DefenseNews/2017-04/06/content_4777529.htm"/>
    <m/>
  </r>
  <r>
    <x v="2"/>
    <x v="5"/>
    <s v="America and Oceania"/>
    <s v="Comprehensive Strategic Partnership [全面战略伙伴关系]"/>
    <s v="ANZUS Treaty"/>
    <x v="0"/>
    <x v="12"/>
    <x v="26"/>
    <n v="4"/>
    <x v="5"/>
    <m/>
    <m/>
    <m/>
    <m/>
    <x v="0"/>
    <m/>
    <x v="2"/>
    <s v="Unnamed"/>
    <x v="2"/>
    <s v="Maritime "/>
    <x v="1"/>
    <m/>
    <m/>
    <m/>
    <m/>
    <m/>
  </r>
  <r>
    <x v="1"/>
    <x v="8"/>
    <s v="Europe and Central Asia"/>
    <s v="Comprehensive Strategic Partnership [全面战略伙伴关系]"/>
    <s v="None"/>
    <x v="3"/>
    <x v="34"/>
    <x v="26"/>
    <n v="4"/>
    <x v="3"/>
    <s v="Chang Wanquan"/>
    <m/>
    <s v="Defense Minister; CMC Member"/>
    <n v="8"/>
    <x v="2"/>
    <s v="Chairman of State Border Committee "/>
    <x v="0"/>
    <m/>
    <x v="0"/>
    <m/>
    <x v="1"/>
    <m/>
    <m/>
    <m/>
    <m/>
    <m/>
  </r>
  <r>
    <x v="1"/>
    <x v="8"/>
    <s v="Europe and Central Asia"/>
    <s v="Comprehensive Strategic Partnership [全面战略伙伴关系]"/>
    <s v="NATO"/>
    <x v="3"/>
    <x v="22"/>
    <x v="26"/>
    <n v="4"/>
    <x v="3"/>
    <s v="Chang Wanquan"/>
    <m/>
    <s v="Defense Minister; CMC Member"/>
    <n v="8"/>
    <x v="2"/>
    <s v="Vice Admiral "/>
    <x v="0"/>
    <m/>
    <x v="0"/>
    <m/>
    <x v="1"/>
    <m/>
    <m/>
    <m/>
    <m/>
    <m/>
  </r>
  <r>
    <x v="1"/>
    <x v="7"/>
    <s v="West Asia and Africa"/>
    <s v="Comprehensive Cooperative Partnership [全面合作伙伴关系]"/>
    <s v="None"/>
    <x v="4"/>
    <x v="47"/>
    <x v="26"/>
    <n v="4"/>
    <x v="3"/>
    <s v="Xu Qiliang"/>
    <m/>
    <s v="CMC Vice Chairman"/>
    <n v="10"/>
    <x v="2"/>
    <s v="Secretary for Defense"/>
    <x v="0"/>
    <m/>
    <x v="0"/>
    <m/>
    <x v="1"/>
    <m/>
    <m/>
    <m/>
    <m/>
    <m/>
  </r>
  <r>
    <x v="1"/>
    <x v="1"/>
    <s v="Asia"/>
    <s v="Comprehensive Strategic Partnership [全面战略伙伴关系]"/>
    <s v="None"/>
    <x v="0"/>
    <x v="10"/>
    <x v="26"/>
    <n v="4"/>
    <x v="3"/>
    <s v="Xu Qiliang"/>
    <m/>
    <s v="CMC Vice Chairman"/>
    <n v="10"/>
    <x v="2"/>
    <s v="Defense Minister"/>
    <x v="0"/>
    <m/>
    <x v="0"/>
    <m/>
    <x v="1"/>
    <m/>
    <m/>
    <m/>
    <s v="http://english.chinamil.com.cn/view/2017-04/21/content_7571498.htm"/>
    <m/>
  </r>
  <r>
    <x v="2"/>
    <x v="0"/>
    <s v="Asia"/>
    <s v="All-Round Strategic Partnership [全方位战略伙伴关系]"/>
    <s v="None"/>
    <x v="0"/>
    <x v="32"/>
    <x v="26"/>
    <n v="4"/>
    <x v="5"/>
    <m/>
    <m/>
    <m/>
    <m/>
    <x v="0"/>
    <m/>
    <x v="1"/>
    <s v="Sagarmatha Friendship 2017"/>
    <x v="1"/>
    <s v="Competition "/>
    <x v="1"/>
    <m/>
    <m/>
    <m/>
    <s v="http://eng.mod.gov.cn/DefenseNews/2017-04/17/content_4778533.htm"/>
    <m/>
  </r>
  <r>
    <x v="2"/>
    <x v="0"/>
    <s v="Asia"/>
    <s v="All-Weather Strategic Cooperative Partnership [全天候战略合作伙伴关系]"/>
    <s v="Major Non-NATO Ally"/>
    <x v="1"/>
    <x v="2"/>
    <x v="26"/>
    <n v="4"/>
    <x v="5"/>
    <m/>
    <m/>
    <m/>
    <m/>
    <x v="0"/>
    <m/>
    <x v="1"/>
    <s v="Pakistan Army Team  Spirit"/>
    <x v="1"/>
    <s v="Competition "/>
    <x v="1"/>
    <m/>
    <m/>
    <m/>
    <s v="http://eng.mod.gov.cn/DefenseNews/2017-04/05/content_4777417.htm"/>
    <m/>
  </r>
  <r>
    <x v="2"/>
    <x v="1"/>
    <s v="Asia"/>
    <s v="All-Round Cooperative Partnership [全方合作伙伴关系]"/>
    <s v="None"/>
    <x v="0"/>
    <x v="39"/>
    <x v="26"/>
    <n v="4"/>
    <x v="5"/>
    <m/>
    <m/>
    <m/>
    <m/>
    <x v="0"/>
    <m/>
    <x v="2"/>
    <s v="Unnamed"/>
    <x v="2"/>
    <s v="Maritime "/>
    <x v="1"/>
    <m/>
    <m/>
    <m/>
    <s v="http://english.chinamil.com.cn/view/2017-05/09/content_7594109.htm; https://navaltoday.com/2017/05/15/singapore-navy-hosts-its-first-international-maritime-review/"/>
    <m/>
  </r>
  <r>
    <x v="1"/>
    <x v="8"/>
    <s v="Europe and Central Asia"/>
    <s v="Strategic Partnership [战略伙伴关系]"/>
    <s v="None"/>
    <x v="3"/>
    <x v="78"/>
    <x v="26"/>
    <n v="4"/>
    <x v="3"/>
    <s v="Fan Changlong"/>
    <m/>
    <s v="CMC Vice Chairman"/>
    <n v="10"/>
    <x v="2"/>
    <s v="Head of Department of Defense "/>
    <x v="0"/>
    <m/>
    <x v="0"/>
    <m/>
    <x v="1"/>
    <m/>
    <m/>
    <m/>
    <m/>
    <m/>
  </r>
  <r>
    <x v="1"/>
    <x v="7"/>
    <s v="West Asia and Africa"/>
    <s v="Comprehensive Cooperative Partnership [全面合作伙伴关系]"/>
    <s v="None"/>
    <x v="4"/>
    <x v="16"/>
    <x v="26"/>
    <n v="4"/>
    <x v="3"/>
    <s v="Ma Xiaotian"/>
    <m/>
    <s v="PLAAF Commander; CMC Member"/>
    <n v="8"/>
    <x v="2"/>
    <s v="Commander of Air Force "/>
    <x v="0"/>
    <m/>
    <x v="0"/>
    <m/>
    <x v="1"/>
    <m/>
    <m/>
    <m/>
    <s v="http://english.chinamil.com.cn/view/2017-04/25/content_7577039.htm"/>
    <m/>
  </r>
  <r>
    <x v="1"/>
    <x v="7"/>
    <s v="West Asia and Africa"/>
    <s v="Strategic Partnership [战略伙伴关系]"/>
    <s v="None"/>
    <x v="4"/>
    <x v="105"/>
    <x v="26"/>
    <n v="5"/>
    <x v="3"/>
    <s v="Zhang Yang"/>
    <m/>
    <s v="GPD Director; CMC Member"/>
    <n v="8"/>
    <x v="2"/>
    <s v="Deputy Chief of General Staff"/>
    <x v="0"/>
    <m/>
    <x v="0"/>
    <m/>
    <x v="1"/>
    <m/>
    <m/>
    <m/>
    <s v="https://web.archive.org/web/20170522140635/http://english.chinamil.com.cn/view/2017-05/22/content_7612829.htm"/>
    <m/>
  </r>
  <r>
    <x v="0"/>
    <x v="0"/>
    <s v="Asia"/>
    <s v="Strategic Cooperative Partnership [战略合作伙伴关系]"/>
    <s v="None"/>
    <x v="0"/>
    <x v="0"/>
    <x v="26"/>
    <n v="5"/>
    <x v="0"/>
    <m/>
    <m/>
    <m/>
    <m/>
    <x v="0"/>
    <m/>
    <x v="0"/>
    <m/>
    <x v="0"/>
    <m/>
    <x v="0"/>
    <s v="2017-05 DDG150 Changchun"/>
    <s v="East Sea Fleet"/>
    <s v="DDG150 Changchun, FFG532 Jingzhou"/>
    <s v="http://english.chinamil.com.cn/view/2017-05/24/content_7616128.htm"/>
    <m/>
  </r>
  <r>
    <x v="2"/>
    <x v="0"/>
    <s v="Asia"/>
    <s v="Strategic Cooperative Partnership [战略合作伙伴关系]"/>
    <s v="None"/>
    <x v="0"/>
    <x v="0"/>
    <x v="26"/>
    <n v="5"/>
    <x v="5"/>
    <m/>
    <m/>
    <m/>
    <m/>
    <x v="0"/>
    <m/>
    <x v="2"/>
    <s v="Unnamed "/>
    <x v="2"/>
    <s v="Maritime "/>
    <x v="1"/>
    <m/>
    <m/>
    <m/>
    <s v="http://english.chinamil.com.cn/view/2017-05/27/content_7620906.htm"/>
    <m/>
  </r>
  <r>
    <x v="1"/>
    <x v="8"/>
    <s v="Europe and Central Asia"/>
    <s v="Comprehensive Strategic Partnership [全面战略伙伴关系]"/>
    <s v="None"/>
    <x v="3"/>
    <x v="34"/>
    <x v="26"/>
    <n v="5"/>
    <x v="3"/>
    <s v="Zhang Youxia"/>
    <m/>
    <s v="CMC/EDD Director; CMC Member"/>
    <n v="8"/>
    <x v="1"/>
    <s v="Defense Minister"/>
    <x v="0"/>
    <m/>
    <x v="0"/>
    <m/>
    <x v="1"/>
    <m/>
    <m/>
    <m/>
    <s v="http://english.chinamil.com.cn/view/2017-05/18/content_7607981.htm"/>
    <m/>
  </r>
  <r>
    <x v="1"/>
    <x v="8"/>
    <s v="Europe and Central Asia"/>
    <s v="No Specific Relationship"/>
    <s v="None"/>
    <x v="3"/>
    <x v="124"/>
    <x v="26"/>
    <n v="5"/>
    <x v="3"/>
    <s v="Chang Wanquan"/>
    <m/>
    <s v="Defense Minister; CMC Member"/>
    <n v="8"/>
    <x v="2"/>
    <s v="Defense Minister"/>
    <x v="0"/>
    <m/>
    <x v="0"/>
    <m/>
    <x v="1"/>
    <m/>
    <m/>
    <m/>
    <s v="http://english.chinamil.com.cn/view/2017-05/17/content_7606327.htm"/>
    <m/>
  </r>
  <r>
    <x v="2"/>
    <x v="8"/>
    <s v="Europe and Central Asia"/>
    <s v="Comprehensive Strategic Partnership [全面战略伙伴关系]"/>
    <s v="NATO"/>
    <x v="3"/>
    <x v="22"/>
    <x v="26"/>
    <n v="5"/>
    <x v="5"/>
    <m/>
    <m/>
    <m/>
    <m/>
    <x v="0"/>
    <m/>
    <x v="2"/>
    <s v="Unnamed"/>
    <x v="2"/>
    <s v="VBSS "/>
    <x v="1"/>
    <m/>
    <m/>
    <m/>
    <s v="http://english.chinamil.com.cn/view/2017-05/08/content_7592399.htm"/>
    <m/>
  </r>
  <r>
    <x v="1"/>
    <x v="8"/>
    <s v="Europe and Central Asia"/>
    <s v="Comprehensive Strategic Partnership [全面战略伙伴关系]"/>
    <s v="NATO"/>
    <x v="3"/>
    <x v="82"/>
    <x v="26"/>
    <n v="5"/>
    <x v="4"/>
    <s v="Zhang Youxia"/>
    <m/>
    <s v="CMC/EDD Director; CMC Member"/>
    <n v="8"/>
    <x v="1"/>
    <s v="Defense Minister"/>
    <x v="0"/>
    <m/>
    <x v="0"/>
    <m/>
    <x v="1"/>
    <m/>
    <m/>
    <m/>
    <s v="http://english.chinamil.com.cn/view/2017-05/18/content_7607981.htm"/>
    <m/>
  </r>
  <r>
    <x v="0"/>
    <x v="7"/>
    <s v="West Asia and Africa"/>
    <s v="Comprehensive Partnership [全面伙伴关系]"/>
    <s v="None"/>
    <x v="4"/>
    <x v="141"/>
    <x v="26"/>
    <n v="5"/>
    <x v="0"/>
    <m/>
    <m/>
    <m/>
    <m/>
    <x v="0"/>
    <m/>
    <x v="0"/>
    <m/>
    <x v="0"/>
    <m/>
    <x v="2"/>
    <s v="ETF-25"/>
    <s v="South Sea Fleet"/>
    <s v="FFG568 Hengyang, FFG569 Yulin, AOR 963 Honghu "/>
    <s v="http://english.chinamil.com.cn/view/2017-05/14/content_7600876.htm"/>
    <m/>
  </r>
  <r>
    <x v="0"/>
    <x v="1"/>
    <s v="Asia"/>
    <s v="Comprehensive Strategic Partnership [全面战略伙伴关系]"/>
    <s v="None"/>
    <x v="0"/>
    <x v="10"/>
    <x v="26"/>
    <n v="5"/>
    <x v="0"/>
    <m/>
    <m/>
    <m/>
    <m/>
    <x v="0"/>
    <m/>
    <x v="0"/>
    <m/>
    <x v="0"/>
    <m/>
    <x v="0"/>
    <s v="2017-05 DDG150 Changchun"/>
    <s v="East Sea Fleet"/>
    <s v="DDG150 Changchun, FFG532 Jingzhou"/>
    <s v="http://english.chinamil.com.cn/view/2017-05/16/content_7604554.htm"/>
    <m/>
  </r>
  <r>
    <x v="2"/>
    <x v="1"/>
    <s v="Asia"/>
    <s v="Comprehensive Strategic Cooperative Partnership [全面战略合作伙伴关系]"/>
    <s v="None"/>
    <x v="0"/>
    <x v="1"/>
    <x v="26"/>
    <n v="5"/>
    <x v="5"/>
    <m/>
    <m/>
    <m/>
    <m/>
    <x v="0"/>
    <m/>
    <x v="2"/>
    <s v="Unnamed"/>
    <x v="2"/>
    <s v="Maritime"/>
    <x v="1"/>
    <m/>
    <m/>
    <m/>
    <s v="http://english.chinamil.com.cn/view/2017-05/22/content_7612831.htm"/>
    <s v="DUPLICATE?"/>
  </r>
  <r>
    <x v="2"/>
    <x v="1"/>
    <s v="Asia"/>
    <s v="Comprehensive Strategic Cooperative Partnership [全面战略合作伙伴关系]"/>
    <s v="None"/>
    <x v="0"/>
    <x v="1"/>
    <x v="26"/>
    <n v="5"/>
    <x v="5"/>
    <m/>
    <m/>
    <m/>
    <m/>
    <x v="0"/>
    <m/>
    <x v="2"/>
    <s v="Unnamed "/>
    <x v="2"/>
    <s v="Maritime "/>
    <x v="1"/>
    <m/>
    <m/>
    <m/>
    <m/>
    <s v="DUPLICATE?"/>
  </r>
  <r>
    <x v="0"/>
    <x v="1"/>
    <s v="Asia"/>
    <s v="Comprehensive Strategic Cooperative Partnership [全面战略合作伙伴关系]"/>
    <s v="None"/>
    <x v="0"/>
    <x v="1"/>
    <x v="26"/>
    <n v="5"/>
    <x v="0"/>
    <m/>
    <m/>
    <m/>
    <m/>
    <x v="0"/>
    <m/>
    <x v="0"/>
    <m/>
    <x v="0"/>
    <m/>
    <x v="0"/>
    <s v="2017-05 DDG150 Changchun"/>
    <s v="East Sea Fleet"/>
    <s v="DDG150 Changchun, FFG532 Jingzhou"/>
    <m/>
    <m/>
  </r>
  <r>
    <x v="1"/>
    <x v="0"/>
    <s v="Asia"/>
    <s v="All-Weather Strategic Cooperative Partnership [全天候战略合作伙伴关系]"/>
    <s v="Major Non-NATO Ally"/>
    <x v="1"/>
    <x v="2"/>
    <x v="26"/>
    <n v="5"/>
    <x v="3"/>
    <s v="Shen Jinlong"/>
    <m/>
    <s v="PLAN Commander "/>
    <n v="6"/>
    <x v="2"/>
    <s v="Chief of the Naval Staff"/>
    <x v="0"/>
    <m/>
    <x v="0"/>
    <m/>
    <x v="1"/>
    <m/>
    <m/>
    <m/>
    <m/>
    <m/>
  </r>
  <r>
    <x v="0"/>
    <x v="1"/>
    <s v="Asia"/>
    <s v="Strategic Cooperative Partnership [战略合作伙伴关系]"/>
    <s v="Bilateral Defense Treaty"/>
    <x v="0"/>
    <x v="11"/>
    <x v="26"/>
    <n v="5"/>
    <x v="0"/>
    <m/>
    <m/>
    <m/>
    <m/>
    <x v="0"/>
    <m/>
    <x v="0"/>
    <m/>
    <x v="0"/>
    <m/>
    <x v="0"/>
    <s v="2017-05 DDG150 Changchun"/>
    <s v="East Sea Fleet"/>
    <s v="DDG150 Changchun, FFG532 Jingzhou"/>
    <s v="http://www.xinhuanet.com/english/2017-05/02/c_136251579.htm"/>
    <s v="First stop on 20 country, six month series of port calls"/>
  </r>
  <r>
    <x v="1"/>
    <x v="1"/>
    <s v="Asia"/>
    <s v="Comprehensive Strategic Cooperative Partnership [全面战略合作伙伴关系]"/>
    <s v="Bilateral Defense Treaty"/>
    <x v="0"/>
    <x v="5"/>
    <x v="26"/>
    <n v="5"/>
    <x v="3"/>
    <s v="Fang Fenghui"/>
    <m/>
    <s v="CMC/JSD Commander; CMC Member"/>
    <n v="8"/>
    <x v="2"/>
    <s v="Prime Minister "/>
    <x v="0"/>
    <m/>
    <x v="0"/>
    <m/>
    <x v="1"/>
    <m/>
    <m/>
    <m/>
    <m/>
    <m/>
  </r>
  <r>
    <x v="1"/>
    <x v="8"/>
    <s v="Europe and Central Asia"/>
    <s v="Strategic Cooperative Partnership [战略合作伙伴关系]"/>
    <s v="NATO"/>
    <x v="3"/>
    <x v="38"/>
    <x v="26"/>
    <n v="5"/>
    <x v="3"/>
    <s v="Fang Fenghui"/>
    <m/>
    <s v="CMC/JSD Commander; CMC Member"/>
    <n v="8"/>
    <x v="2"/>
    <s v="Chief of General Staff"/>
    <x v="0"/>
    <m/>
    <x v="0"/>
    <m/>
    <x v="1"/>
    <m/>
    <m/>
    <m/>
    <m/>
    <m/>
  </r>
  <r>
    <x v="1"/>
    <x v="9"/>
    <s v="West Asia and Africa"/>
    <s v="Strategic Partnership [战略伙伴关系]"/>
    <s v="None"/>
    <x v="1"/>
    <x v="106"/>
    <x v="26"/>
    <n v="5"/>
    <x v="3"/>
    <s v="Fan Changlong"/>
    <m/>
    <s v="CMC Vice Chairman"/>
    <n v="10"/>
    <x v="2"/>
    <s v="Visiting Minister of State"/>
    <x v="0"/>
    <m/>
    <x v="0"/>
    <m/>
    <x v="1"/>
    <m/>
    <m/>
    <m/>
    <m/>
    <m/>
  </r>
  <r>
    <x v="1"/>
    <x v="1"/>
    <s v="Asia"/>
    <s v="Comprehensive Strategic Cooperative Partnership [全面战略合作伙伴关系]"/>
    <s v="None"/>
    <x v="0"/>
    <x v="23"/>
    <x v="26"/>
    <n v="5"/>
    <x v="3"/>
    <s v="Fan Changlong"/>
    <m/>
    <s v="CMC Vice Chairman"/>
    <n v="10"/>
    <x v="2"/>
    <s v="Defense Minister "/>
    <x v="0"/>
    <m/>
    <x v="0"/>
    <m/>
    <x v="1"/>
    <m/>
    <m/>
    <m/>
    <s v="http://english.chinamil.com.cn/view/2017-05/12/content_7599711.htm"/>
    <m/>
  </r>
  <r>
    <x v="0"/>
    <x v="1"/>
    <s v="Asia"/>
    <s v="Comprehensive Strategic Cooperative Partnership [全面战略合作伙伴关系]"/>
    <s v="None"/>
    <x v="0"/>
    <x v="23"/>
    <x v="26"/>
    <n v="5"/>
    <x v="0"/>
    <m/>
    <m/>
    <m/>
    <m/>
    <x v="0"/>
    <m/>
    <x v="0"/>
    <m/>
    <x v="0"/>
    <m/>
    <x v="0"/>
    <s v="2017-05 DDG150 Changchun"/>
    <s v="East Sea Fleet"/>
    <s v="DDG150 Changchun, FFG532 Jingzhou"/>
    <s v="http://english.chinamil.com.cn/view/2017-05/10/content_7596291.htm; http://english.chinamil.com.cn/view/2017-05/18/content_7607843.htm"/>
    <s v="Second stop on 20 country series of port calls"/>
  </r>
  <r>
    <x v="2"/>
    <x v="4"/>
    <s v="N/A"/>
    <s v="Member"/>
    <s v="None"/>
    <x v="0"/>
    <x v="136"/>
    <x v="26"/>
    <n v="5"/>
    <x v="6"/>
    <m/>
    <m/>
    <m/>
    <m/>
    <x v="0"/>
    <m/>
    <x v="2"/>
    <s v="WPNS 2017"/>
    <x v="2"/>
    <s v="Second Multilateral held off of Guam; Countries: Australia, Canada, Chile, Indonesia, Japan, Republic of Korea, Singapore, United Kingdom, and the United States."/>
    <x v="1"/>
    <m/>
    <m/>
    <m/>
    <s v="https://www.navy.mil/submit/display.asp?story_id=100979#:~:text=Western%20Pacific%20Naval%20Symposium%20Diving%20Exercise%202017%20is%20a%20biennial,held%20in%20Singapore%20in%202015."/>
    <m/>
  </r>
  <r>
    <x v="0"/>
    <x v="5"/>
    <s v="America and Oceania"/>
    <s v="Comprehensive Strategic Partnership [全面战略伙伴关系]"/>
    <s v="ANZUS Treaty"/>
    <x v="0"/>
    <x v="12"/>
    <x v="26"/>
    <n v="6"/>
    <x v="0"/>
    <m/>
    <m/>
    <m/>
    <m/>
    <x v="0"/>
    <m/>
    <x v="0"/>
    <m/>
    <x v="0"/>
    <m/>
    <x v="2"/>
    <s v="ETF-25 "/>
    <s v="South Sea Fleet"/>
    <s v="FFG568 Hengyang, FFG569 Yulin, AOR 963 Honghu  "/>
    <s v="http://english.chinamil.com.cn/view/2017-06/09/content_7633894.htm"/>
    <m/>
  </r>
  <r>
    <x v="2"/>
    <x v="2"/>
    <s v="America and Oceania"/>
    <s v="Strategic Partnership [战略伙伴关系]"/>
    <s v="NATO"/>
    <x v="2"/>
    <x v="17"/>
    <x v="26"/>
    <n v="6"/>
    <x v="5"/>
    <m/>
    <m/>
    <m/>
    <m/>
    <x v="0"/>
    <m/>
    <x v="2"/>
    <s v="Unnamed"/>
    <x v="2"/>
    <s v="Maritime "/>
    <x v="1"/>
    <m/>
    <m/>
    <m/>
    <m/>
    <m/>
  </r>
  <r>
    <x v="0"/>
    <x v="9"/>
    <s v="West Asia and Africa"/>
    <s v="Strategic Partnership [战略伙伴关系]"/>
    <s v="None"/>
    <x v="1"/>
    <x v="119"/>
    <x v="26"/>
    <n v="6"/>
    <x v="0"/>
    <m/>
    <m/>
    <m/>
    <m/>
    <x v="0"/>
    <m/>
    <x v="0"/>
    <m/>
    <x v="0"/>
    <m/>
    <x v="0"/>
    <s v="2017-05 DDG150 Changchun"/>
    <s v="East Sea Fleet"/>
    <s v="DDG150 Changchun, FFG532 Jingzhou"/>
    <s v="http://english.chinamil.com.cn/view/2017-06/30/content_7658357.htm"/>
    <m/>
  </r>
  <r>
    <x v="1"/>
    <x v="8"/>
    <s v="Europe and Central Asia"/>
    <s v="New Type of Cooperative Partnership [新型合作伙伴关系]"/>
    <s v="None"/>
    <x v="3"/>
    <x v="81"/>
    <x v="26"/>
    <n v="6"/>
    <x v="4"/>
    <s v="Fan Changlong"/>
    <m/>
    <s v="CMC Vice Chairman"/>
    <n v="10"/>
    <x v="1"/>
    <s v="Defense Minister"/>
    <x v="0"/>
    <m/>
    <x v="0"/>
    <m/>
    <x v="1"/>
    <m/>
    <m/>
    <m/>
    <m/>
    <m/>
  </r>
  <r>
    <x v="1"/>
    <x v="1"/>
    <s v="Asia"/>
    <s v="No Specific Relationship"/>
    <s v="None"/>
    <x v="0"/>
    <x v="137"/>
    <x v="26"/>
    <n v="6"/>
    <x v="1"/>
    <s v="He Lei "/>
    <m/>
    <s v="AMS Vice President"/>
    <n v="6"/>
    <x v="1"/>
    <s v="16th Shangri-La"/>
    <x v="0"/>
    <m/>
    <x v="0"/>
    <m/>
    <x v="1"/>
    <m/>
    <m/>
    <m/>
    <m/>
    <m/>
  </r>
  <r>
    <x v="0"/>
    <x v="9"/>
    <s v="West Asia and Africa"/>
    <s v="Comprehensive Strategic Partnership [全面战略伙伴关系]"/>
    <s v="None"/>
    <x v="1"/>
    <x v="89"/>
    <x v="26"/>
    <n v="6"/>
    <x v="0"/>
    <m/>
    <m/>
    <m/>
    <m/>
    <x v="0"/>
    <m/>
    <x v="0"/>
    <m/>
    <x v="0"/>
    <m/>
    <x v="0"/>
    <s v="2017-05 DDG150 Changchun"/>
    <s v="East Sea Fleet"/>
    <s v="DDG150 Changchun, FFG532 Jingzhou"/>
    <s v="http://english.chinamil.com.cn/view/2017-06/16/content_7642344.htm"/>
    <m/>
  </r>
  <r>
    <x v="2"/>
    <x v="9"/>
    <s v="West Asia and Africa"/>
    <s v="Comprehensive Strategic Partnership [全面战略伙伴关系]"/>
    <s v="None"/>
    <x v="1"/>
    <x v="89"/>
    <x v="26"/>
    <n v="6"/>
    <x v="5"/>
    <m/>
    <m/>
    <m/>
    <m/>
    <x v="0"/>
    <m/>
    <x v="2"/>
    <s v="Unnamed"/>
    <x v="2"/>
    <s v="Maritime "/>
    <x v="1"/>
    <m/>
    <m/>
    <m/>
    <m/>
    <m/>
  </r>
  <r>
    <x v="1"/>
    <x v="6"/>
    <s v="Europe and Central Asia"/>
    <s v="Strategic Partnership [战略伙伴关系]"/>
    <s v="None"/>
    <x v="1"/>
    <x v="31"/>
    <x v="26"/>
    <n v="6"/>
    <x v="3"/>
    <s v="Chang Wanquan"/>
    <m/>
    <s v="Defense Minister; CMC Member"/>
    <n v="8"/>
    <x v="2"/>
    <s v="Deputy Chief of General Staff"/>
    <x v="0"/>
    <m/>
    <x v="0"/>
    <m/>
    <x v="1"/>
    <m/>
    <m/>
    <m/>
    <s v="http://english.chinamil.com.cn/view/2017-06/30/content_7658542.htm"/>
    <m/>
  </r>
  <r>
    <x v="1"/>
    <x v="5"/>
    <s v="America and Oceania"/>
    <s v="Comprehensive Strategic Partnership [全面战略伙伴关系]"/>
    <s v="ANZUS Treaty"/>
    <x v="0"/>
    <x v="13"/>
    <x v="26"/>
    <n v="6"/>
    <x v="3"/>
    <s v="Shen Jinlong"/>
    <m/>
    <s v="PLAN Commander "/>
    <n v="6"/>
    <x v="2"/>
    <s v="Chief of the Navy "/>
    <x v="0"/>
    <m/>
    <x v="0"/>
    <m/>
    <x v="1"/>
    <m/>
    <m/>
    <m/>
    <m/>
    <m/>
  </r>
  <r>
    <x v="2"/>
    <x v="5"/>
    <s v="America and Oceania"/>
    <s v="Comprehensive Strategic Partnership [全面战略伙伴关系]"/>
    <s v="ANZUS Treaty"/>
    <x v="0"/>
    <x v="13"/>
    <x v="26"/>
    <n v="6"/>
    <x v="5"/>
    <m/>
    <m/>
    <m/>
    <m/>
    <x v="0"/>
    <m/>
    <x v="2"/>
    <s v="Unnamed"/>
    <x v="2"/>
    <s v="Maritime "/>
    <x v="1"/>
    <m/>
    <m/>
    <m/>
    <m/>
    <m/>
  </r>
  <r>
    <x v="0"/>
    <x v="5"/>
    <s v="America and Oceania"/>
    <s v="Comprehensive Strategic Partnership [全面战略伙伴关系]"/>
    <s v="ANZUS Treaty"/>
    <x v="0"/>
    <x v="13"/>
    <x v="26"/>
    <n v="6"/>
    <x v="0"/>
    <m/>
    <m/>
    <m/>
    <m/>
    <x v="0"/>
    <m/>
    <x v="0"/>
    <m/>
    <x v="0"/>
    <m/>
    <x v="2"/>
    <s v="ETF-25"/>
    <s v="South Sea Fleet"/>
    <s v="FFG568 Hengyang, FFG569 Yulin, AOR 963 Honghu  "/>
    <s v="http://english.chinamil.com.cn/view/2017-06/16/content_7642495.htm"/>
    <m/>
  </r>
  <r>
    <x v="2"/>
    <x v="9"/>
    <s v="West Asia and Africa"/>
    <s v="No Specific Relationship"/>
    <s v="None"/>
    <x v="1"/>
    <x v="147"/>
    <x v="26"/>
    <n v="6"/>
    <x v="5"/>
    <m/>
    <m/>
    <m/>
    <m/>
    <x v="0"/>
    <m/>
    <x v="2"/>
    <s v="Unnamed"/>
    <x v="2"/>
    <s v="Maritime "/>
    <x v="1"/>
    <m/>
    <m/>
    <m/>
    <m/>
    <m/>
  </r>
  <r>
    <x v="0"/>
    <x v="9"/>
    <s v="West Asia and Africa"/>
    <s v="No Specific Relationship"/>
    <s v="None"/>
    <x v="1"/>
    <x v="147"/>
    <x v="26"/>
    <n v="6"/>
    <x v="0"/>
    <m/>
    <m/>
    <m/>
    <m/>
    <x v="0"/>
    <m/>
    <x v="0"/>
    <m/>
    <x v="0"/>
    <m/>
    <x v="0"/>
    <s v="2017-05 DDG150 Changchun"/>
    <s v="East Sea Fleet"/>
    <s v="DDG150 Changchun, FFG532 Jingzhou"/>
    <s v="http://english.chinamil.com.cn/view/2017-06/20/content_7646396.htm"/>
    <m/>
  </r>
  <r>
    <x v="1"/>
    <x v="0"/>
    <s v="Asia"/>
    <s v="All-Weather Strategic Cooperative Partnership [全天候战略合作伙伴关系]"/>
    <s v="Major Non-NATO Ally"/>
    <x v="1"/>
    <x v="2"/>
    <x v="26"/>
    <n v="6"/>
    <x v="3"/>
    <s v="Xu Qiliang"/>
    <m/>
    <s v="CMC Vice Chairman"/>
    <n v="10"/>
    <x v="2"/>
    <s v="Chairman of Joint Chiefs of Staff Committee"/>
    <x v="0"/>
    <m/>
    <x v="0"/>
    <m/>
    <x v="1"/>
    <m/>
    <m/>
    <m/>
    <s v="http://english.chinamil.com.cn/view/2017-06/19/content_7644422.htm"/>
    <m/>
  </r>
  <r>
    <x v="2"/>
    <x v="0"/>
    <s v="Asia"/>
    <s v="All-Weather Strategic Cooperative Partnership [全天候战略合作伙伴关系]"/>
    <s v="Major Non-NATO Ally"/>
    <x v="1"/>
    <x v="2"/>
    <x v="26"/>
    <n v="6"/>
    <x v="5"/>
    <m/>
    <m/>
    <m/>
    <m/>
    <x v="0"/>
    <m/>
    <x v="2"/>
    <s v="Unnamed "/>
    <x v="2"/>
    <s v="Maritime"/>
    <x v="1"/>
    <m/>
    <m/>
    <m/>
    <s v="http://english.chinamil.com.cn/view/2017-06/13/content_7637523.htm"/>
    <m/>
  </r>
  <r>
    <x v="0"/>
    <x v="0"/>
    <s v="Asia"/>
    <s v="All-Weather Strategic Cooperative Partnership [全天候战略合作伙伴关系]"/>
    <s v="Major Non-NATO Ally"/>
    <x v="1"/>
    <x v="2"/>
    <x v="26"/>
    <n v="6"/>
    <x v="10"/>
    <m/>
    <m/>
    <m/>
    <m/>
    <x v="0"/>
    <m/>
    <x v="0"/>
    <m/>
    <x v="0"/>
    <m/>
    <x v="0"/>
    <s v="2017-05 DDG150 Changchun"/>
    <s v="East Sea Fleet"/>
    <s v="DDG150 Changchun, FFG532 Jingzhou"/>
    <s v="http://english.chinamil.com.cn/view/2017-06/14/content_7639359.htm"/>
    <m/>
  </r>
  <r>
    <x v="1"/>
    <x v="1"/>
    <s v="Asia"/>
    <s v="Strategic Cooperative Partnership [战略合作伙伴关系]"/>
    <s v="Bilateral Defense Treaty"/>
    <x v="0"/>
    <x v="11"/>
    <x v="26"/>
    <n v="6"/>
    <x v="3"/>
    <s v="Chang Wanquan"/>
    <m/>
    <s v="Defense Minister; CMC Member"/>
    <n v="8"/>
    <x v="2"/>
    <s v="Secretary of Foreign Affairs "/>
    <x v="0"/>
    <m/>
    <x v="0"/>
    <m/>
    <x v="1"/>
    <m/>
    <m/>
    <m/>
    <s v="http://english.chinamil.com.cn/view/2017-06/30/content_7658903.htm"/>
    <m/>
  </r>
  <r>
    <x v="1"/>
    <x v="3"/>
    <s v="Europe and Central Asia"/>
    <s v="Comprehensive Collaborative Strategic Partnership [全面战略协作伙伴关系]"/>
    <s v="None"/>
    <x v="3"/>
    <x v="7"/>
    <x v="26"/>
    <n v="6"/>
    <x v="4"/>
    <s v="He Lei "/>
    <m/>
    <s v="AMS Vice President"/>
    <n v="6"/>
    <x v="1"/>
    <s v="Deputy Minister"/>
    <x v="0"/>
    <m/>
    <x v="0"/>
    <m/>
    <x v="1"/>
    <m/>
    <m/>
    <m/>
    <s v="http://english.chinamil.com.cn/view/2017-06/03/content_7627210.htm"/>
    <m/>
  </r>
  <r>
    <x v="1"/>
    <x v="6"/>
    <s v="Europe and Central Asia"/>
    <s v="Member"/>
    <s v="None"/>
    <x v="1"/>
    <x v="14"/>
    <x v="26"/>
    <n v="6"/>
    <x v="1"/>
    <s v="Chang Wanquan"/>
    <m/>
    <s v="Defense Minister; CMC Member"/>
    <n v="8"/>
    <x v="1"/>
    <s v="14th official meeting of the SCO Ministers' of Defense in Kyrgyzstan; Other countries: Kazakhstan, Kyrgyztan, Russia, Tajikistan, Uzbekistan"/>
    <x v="0"/>
    <m/>
    <x v="0"/>
    <m/>
    <x v="1"/>
    <m/>
    <m/>
    <m/>
    <s v="http://eng.sectsco.org/news/20170607/287235.html"/>
    <m/>
  </r>
  <r>
    <x v="1"/>
    <x v="8"/>
    <s v="Europe and Central Asia"/>
    <s v="Comprehensive Strategic Partnership [全面战略伙伴关系]"/>
    <s v="NATO"/>
    <x v="3"/>
    <x v="70"/>
    <x v="26"/>
    <n v="6"/>
    <x v="4"/>
    <s v="Fan Changlong"/>
    <m/>
    <s v="CMC Vice Chairman"/>
    <n v="10"/>
    <x v="1"/>
    <s v="Defense Minister"/>
    <x v="0"/>
    <m/>
    <x v="0"/>
    <m/>
    <x v="1"/>
    <m/>
    <m/>
    <m/>
    <m/>
    <m/>
  </r>
  <r>
    <x v="2"/>
    <x v="0"/>
    <s v="Asia"/>
    <s v="Strategic Cooperative Partnership [战略合作伙伴关系]"/>
    <s v="None"/>
    <x v="0"/>
    <x v="3"/>
    <x v="26"/>
    <n v="6"/>
    <x v="5"/>
    <m/>
    <m/>
    <m/>
    <m/>
    <x v="0"/>
    <m/>
    <x v="2"/>
    <s v="Unnamed"/>
    <x v="2"/>
    <s v="Maritime "/>
    <x v="1"/>
    <m/>
    <m/>
    <m/>
    <m/>
    <m/>
  </r>
  <r>
    <x v="0"/>
    <x v="0"/>
    <s v="Asia"/>
    <s v="Strategic Cooperative Partnership [战略合作伙伴关系]"/>
    <s v="None"/>
    <x v="0"/>
    <x v="3"/>
    <x v="26"/>
    <n v="6"/>
    <x v="10"/>
    <m/>
    <m/>
    <m/>
    <m/>
    <x v="0"/>
    <m/>
    <x v="0"/>
    <m/>
    <x v="0"/>
    <m/>
    <x v="0"/>
    <s v="2017-05 DDG150 Changchun"/>
    <s v="East Sea Fleet"/>
    <s v="DDG150 Changchun, FFG532 Jingzhou"/>
    <s v="http://english.chinamil.com.cn/view/2017-06/05/content_7628604.htm"/>
    <m/>
  </r>
  <r>
    <x v="1"/>
    <x v="8"/>
    <s v="Europe and Central Asia"/>
    <s v="Comprehensive Strategic Partnership [全面战略伙伴关系]"/>
    <s v="NATO"/>
    <x v="3"/>
    <x v="21"/>
    <x v="26"/>
    <n v="6"/>
    <x v="3"/>
    <s v="Zhao Keshi"/>
    <m/>
    <s v="CMC/LSD Director; CMC Member"/>
    <n v="8"/>
    <x v="2"/>
    <s v="Major General"/>
    <x v="0"/>
    <m/>
    <x v="0"/>
    <m/>
    <x v="1"/>
    <m/>
    <m/>
    <m/>
    <m/>
    <m/>
  </r>
  <r>
    <x v="1"/>
    <x v="2"/>
    <s v="America and Oceania"/>
    <s v="No Specific Relationship"/>
    <s v="N/A"/>
    <x v="2"/>
    <x v="4"/>
    <x v="26"/>
    <n v="6"/>
    <x v="4"/>
    <s v="Fang Fenghui"/>
    <m/>
    <s v="CMC/JSD Commander; CMC Member"/>
    <n v="8"/>
    <x v="1"/>
    <s v="Secretary of State"/>
    <x v="0"/>
    <m/>
    <x v="0"/>
    <m/>
    <x v="1"/>
    <m/>
    <m/>
    <m/>
    <s v="http://www.xinhuanet.com/english/2017-06/21/c_136384259.htm"/>
    <m/>
  </r>
  <r>
    <x v="2"/>
    <x v="2"/>
    <s v="America and Oceania"/>
    <s v="No Specific Relationship"/>
    <s v="N/A"/>
    <x v="2"/>
    <x v="4"/>
    <x v="26"/>
    <n v="6"/>
    <x v="5"/>
    <m/>
    <m/>
    <m/>
    <m/>
    <x v="0"/>
    <m/>
    <x v="2"/>
    <s v="Unnamed"/>
    <x v="2"/>
    <s v="Maritime "/>
    <x v="1"/>
    <m/>
    <m/>
    <m/>
    <m/>
    <m/>
  </r>
  <r>
    <x v="0"/>
    <x v="5"/>
    <s v="America and Oceania"/>
    <s v="Strategic Partnership [战略伙伴关系]"/>
    <s v="None"/>
    <x v="0"/>
    <x v="120"/>
    <x v="26"/>
    <n v="6"/>
    <x v="0"/>
    <m/>
    <m/>
    <m/>
    <m/>
    <x v="0"/>
    <m/>
    <x v="0"/>
    <m/>
    <x v="0"/>
    <m/>
    <x v="2"/>
    <s v="ETF-25 "/>
    <s v="South Sea Fleet"/>
    <s v="FFG568 Hengyang, FFG569 Yulin, AOR 963 Honghu  "/>
    <s v="http://english.chinamil.com.cn/view/2017-06/26/content_7652811.htm"/>
    <m/>
  </r>
  <r>
    <x v="1"/>
    <x v="1"/>
    <s v="Asia"/>
    <s v="Comprehensive Strategic Cooperative Partnership [全面战略合作伙伴关系]"/>
    <s v="None"/>
    <x v="0"/>
    <x v="23"/>
    <x v="26"/>
    <n v="6"/>
    <x v="4"/>
    <s v="Fan Changlong"/>
    <m/>
    <s v="CMC Vice Chairman"/>
    <n v="10"/>
    <x v="1"/>
    <s v="President"/>
    <x v="0"/>
    <m/>
    <x v="0"/>
    <m/>
    <x v="1"/>
    <m/>
    <m/>
    <m/>
    <m/>
    <m/>
  </r>
  <r>
    <x v="1"/>
    <x v="7"/>
    <s v="West Asia and Africa"/>
    <s v="Strategic Partnership [战略伙伴关系]"/>
    <s v="None"/>
    <x v="4"/>
    <x v="105"/>
    <x v="26"/>
    <n v="7"/>
    <x v="4"/>
    <s v="Chang Wanquan"/>
    <m/>
    <s v="Defense Minister; CMC Member"/>
    <n v="8"/>
    <x v="1"/>
    <s v="Vice President"/>
    <x v="0"/>
    <m/>
    <x v="0"/>
    <m/>
    <x v="1"/>
    <m/>
    <m/>
    <m/>
    <s v="http://english.chinamil.com.cn/view/2017-07/14/content_7675380.htm"/>
    <m/>
  </r>
  <r>
    <x v="2"/>
    <x v="8"/>
    <s v="Europe and Central Asia"/>
    <s v="Comprehensive Strategic Partnership [全面战略伙伴关系]"/>
    <s v="None"/>
    <x v="3"/>
    <x v="34"/>
    <x v="26"/>
    <n v="7"/>
    <x v="5"/>
    <m/>
    <m/>
    <m/>
    <m/>
    <x v="0"/>
    <m/>
    <x v="1"/>
    <s v="United-Shield 2017"/>
    <x v="4"/>
    <s v="Anti-terrorism drills"/>
    <x v="1"/>
    <m/>
    <m/>
    <m/>
    <s v="http://english.chinamil.com.cn/view/2017-07/12/content_7673496.htm"/>
    <m/>
  </r>
  <r>
    <x v="1"/>
    <x v="10"/>
    <s v="America and Oceania"/>
    <s v="Comprehensive Strategic Cooperative Partnership [全面战略合作伙伴关系]"/>
    <s v="None"/>
    <x v="5"/>
    <x v="66"/>
    <x v="26"/>
    <n v="7"/>
    <x v="3"/>
    <s v="Li Zuocheng"/>
    <m/>
    <s v="PLAA Commander"/>
    <n v="6"/>
    <x v="2"/>
    <s v="Commander in Chief "/>
    <x v="0"/>
    <m/>
    <x v="0"/>
    <m/>
    <x v="1"/>
    <m/>
    <m/>
    <m/>
    <s v="http://english.chinamil.com.cn/view/2017-07/19/content_7682288.htm"/>
    <m/>
  </r>
  <r>
    <x v="2"/>
    <x v="9"/>
    <s v="West Asia and Africa"/>
    <s v="Strategic Partnership [战略伙伴关系]"/>
    <s v="None"/>
    <x v="1"/>
    <x v="119"/>
    <x v="26"/>
    <n v="7"/>
    <x v="5"/>
    <m/>
    <m/>
    <m/>
    <m/>
    <x v="0"/>
    <m/>
    <x v="2"/>
    <s v="Unnamed"/>
    <x v="2"/>
    <s v="Maritime "/>
    <x v="1"/>
    <m/>
    <m/>
    <m/>
    <m/>
    <m/>
  </r>
  <r>
    <x v="0"/>
    <x v="8"/>
    <s v="Europe and Central Asia"/>
    <s v="Comprehensive Strategic Partnership [全面战略伙伴关系]"/>
    <s v="NATO"/>
    <x v="3"/>
    <x v="29"/>
    <x v="26"/>
    <n v="7"/>
    <x v="0"/>
    <m/>
    <m/>
    <m/>
    <m/>
    <x v="0"/>
    <m/>
    <x v="0"/>
    <m/>
    <x v="0"/>
    <m/>
    <x v="0"/>
    <s v="2017-05 DDG150 Changchun"/>
    <s v="East Sea Fleet"/>
    <s v="DDG150 Changchun, FFG532 Jingzhou"/>
    <s v="http://english.chinamil.com.cn/view/2017-07/24/content_7686625.htm"/>
    <m/>
  </r>
  <r>
    <x v="2"/>
    <x v="8"/>
    <s v="Europe and Central Asia"/>
    <s v="Comprehensive Strategic Partnership [全面战略伙伴关系]"/>
    <s v="NATO"/>
    <x v="3"/>
    <x v="29"/>
    <x v="26"/>
    <n v="7"/>
    <x v="5"/>
    <m/>
    <m/>
    <m/>
    <m/>
    <x v="0"/>
    <m/>
    <x v="2"/>
    <s v="Unnamed"/>
    <x v="2"/>
    <s v="Maritime "/>
    <x v="1"/>
    <m/>
    <m/>
    <m/>
    <m/>
    <m/>
  </r>
  <r>
    <x v="1"/>
    <x v="7"/>
    <s v="West Asia and Africa"/>
    <s v="Comprehensive Strategic Cooperative Partnership [全面战略合作伙伴关系]"/>
    <s v="None"/>
    <x v="4"/>
    <x v="80"/>
    <x v="26"/>
    <n v="7"/>
    <x v="3"/>
    <s v="Xu Qiliang"/>
    <m/>
    <s v="CMC Vice Chairman"/>
    <n v="10"/>
    <x v="2"/>
    <s v="Vice President"/>
    <x v="0"/>
    <m/>
    <x v="0"/>
    <m/>
    <x v="1"/>
    <m/>
    <m/>
    <m/>
    <m/>
    <m/>
  </r>
  <r>
    <x v="1"/>
    <x v="8"/>
    <s v="Europe and Central Asia"/>
    <s v="Comprehensive Strategic Partnership [全面战略伙伴关系]"/>
    <s v="NATO"/>
    <x v="3"/>
    <x v="20"/>
    <x v="26"/>
    <n v="7"/>
    <x v="3"/>
    <s v="Xu Qiliang"/>
    <m/>
    <s v="CMC Vice Chairman"/>
    <n v="10"/>
    <x v="2"/>
    <s v="Secretary General of Defense "/>
    <x v="0"/>
    <m/>
    <x v="0"/>
    <m/>
    <x v="1"/>
    <m/>
    <m/>
    <m/>
    <m/>
    <m/>
  </r>
  <r>
    <x v="0"/>
    <x v="8"/>
    <s v="Europe and Central Asia"/>
    <s v="Comprehensive Strategic Partnership [全面战略伙伴关系]"/>
    <s v="NATO"/>
    <x v="3"/>
    <x v="20"/>
    <x v="26"/>
    <n v="7"/>
    <x v="0"/>
    <m/>
    <m/>
    <m/>
    <m/>
    <x v="0"/>
    <m/>
    <x v="0"/>
    <m/>
    <x v="0"/>
    <m/>
    <x v="0"/>
    <s v="2017-05 DDG150 Changchun"/>
    <s v="East Sea Fleet "/>
    <s v="DDG150 Changchun, FFG532 Jingzhou"/>
    <s v="http://english.chinamil.com.cn/view/2017-07/12/content_7673162.htm"/>
    <m/>
  </r>
  <r>
    <x v="2"/>
    <x v="8"/>
    <s v="Europe and Central Asia"/>
    <s v="Comprehensive Strategic Partnership [全面战略伙伴关系]"/>
    <s v="NATO"/>
    <x v="3"/>
    <x v="20"/>
    <x v="26"/>
    <n v="7"/>
    <x v="5"/>
    <m/>
    <m/>
    <m/>
    <m/>
    <x v="0"/>
    <m/>
    <x v="2"/>
    <s v="Unnamed"/>
    <x v="2"/>
    <s v="Maritime "/>
    <x v="1"/>
    <m/>
    <m/>
    <m/>
    <m/>
    <m/>
  </r>
  <r>
    <x v="1"/>
    <x v="7"/>
    <s v="West Asia and Africa"/>
    <s v="Comprehensive Cooperative Partnership [全面合作伙伴关系]"/>
    <s v="None"/>
    <x v="4"/>
    <x v="47"/>
    <x v="26"/>
    <n v="7"/>
    <x v="4"/>
    <s v="Chang Wanquan"/>
    <m/>
    <s v="Defense Minister; CMC Member"/>
    <n v="8"/>
    <x v="2"/>
    <s v="President "/>
    <x v="0"/>
    <m/>
    <x v="0"/>
    <m/>
    <x v="1"/>
    <m/>
    <m/>
    <m/>
    <s v="http://english.chinamil.com.cn/view/2017-07/09/content_7669819.htm"/>
    <m/>
  </r>
  <r>
    <x v="1"/>
    <x v="7"/>
    <s v="West Asia and Africa"/>
    <s v="Comprehensive Strategic Cooperative Partnership [全面战略合作伙伴关系]"/>
    <s v="None"/>
    <x v="4"/>
    <x v="84"/>
    <x v="26"/>
    <n v="7"/>
    <x v="4"/>
    <s v="Chang Wanquan"/>
    <m/>
    <s v="Defense Minister; CMC Member"/>
    <n v="8"/>
    <x v="1"/>
    <s v="President"/>
    <x v="0"/>
    <m/>
    <x v="0"/>
    <m/>
    <x v="1"/>
    <m/>
    <m/>
    <m/>
    <s v="http://english.chinamil.com.cn/view/2017-07/12/content_7673794.htm"/>
    <m/>
  </r>
  <r>
    <x v="2"/>
    <x v="3"/>
    <s v="Europe and Central Asia"/>
    <s v="Comprehensive Collaborative Strategic Partnership [全面战略协作伙伴关系]"/>
    <s v="None"/>
    <x v="3"/>
    <x v="7"/>
    <x v="26"/>
    <n v="7"/>
    <x v="6"/>
    <m/>
    <m/>
    <m/>
    <m/>
    <x v="0"/>
    <m/>
    <x v="6"/>
    <s v="International Army Games"/>
    <x v="1"/>
    <s v="Fighting capabilities. Other countries: Belarus, Azerbaijan, Kazakhstan, Armenia, Iran, Zimbabwe, Pakistan, Venezuela, Sudan, Uzbekistan, Egypt, Vietnam, Syria"/>
    <x v="1"/>
    <m/>
    <m/>
    <m/>
    <s v="https://armedforcessports.defense.gov/CISM/Military-World-Games/6th-Military-World-Games/"/>
    <m/>
  </r>
  <r>
    <x v="2"/>
    <x v="3"/>
    <s v="Europe and Central Asia"/>
    <s v="Comprehensive Collaborative Strategic Partnership [全面战略协作伙伴关系]"/>
    <s v="None"/>
    <x v="3"/>
    <x v="7"/>
    <x v="26"/>
    <n v="7"/>
    <x v="5"/>
    <m/>
    <m/>
    <m/>
    <m/>
    <x v="0"/>
    <m/>
    <x v="3"/>
    <s v="Joint Sea 2017 (I)"/>
    <x v="2"/>
    <s v=" Location: Baltic Sea.  July 21-28"/>
    <x v="1"/>
    <m/>
    <m/>
    <m/>
    <s v="http://english.chinamil.com.cn/view/2017-06/19/content_7643658.htm"/>
    <s v="RECODED as COMBAT based on closer analysis of exercise activities"/>
  </r>
  <r>
    <x v="0"/>
    <x v="8"/>
    <s v="Europe and Central Asia"/>
    <s v="Strategic Cooperative Partnership [战略合作伙伴关系]"/>
    <s v="NATO"/>
    <x v="3"/>
    <x v="38"/>
    <x v="26"/>
    <n v="7"/>
    <x v="0"/>
    <m/>
    <m/>
    <m/>
    <m/>
    <x v="0"/>
    <m/>
    <x v="0"/>
    <m/>
    <x v="0"/>
    <m/>
    <x v="0"/>
    <s v="2017-05 DDG150 Changchun"/>
    <s v="East Sea Fleet"/>
    <s v="DDG150 Changchun, FFG532 Jingzhou"/>
    <s v="http://english.chinamil.com.cn/view/2017-07/17/content_7678654.htm"/>
    <s v="Source refers to Turkey as next stop; wrap up report includes a port call in Turkey"/>
  </r>
  <r>
    <x v="1"/>
    <x v="8"/>
    <s v="Europe and Central Asia"/>
    <s v="Comprehensive Strategic Partnership [全面战略伙伴关系]"/>
    <s v="NATO"/>
    <x v="3"/>
    <x v="21"/>
    <x v="26"/>
    <n v="7"/>
    <x v="3"/>
    <s v="Chang Wanquan"/>
    <m/>
    <s v="Defense Minister; CMC Member"/>
    <n v="8"/>
    <x v="2"/>
    <s v="National Security Advisor "/>
    <x v="0"/>
    <m/>
    <x v="0"/>
    <m/>
    <x v="1"/>
    <m/>
    <m/>
    <m/>
    <s v="http://english.chinamil.com.cn/view/2017-07/21/content_7684472.htm"/>
    <m/>
  </r>
  <r>
    <x v="1"/>
    <x v="0"/>
    <s v="Europe and Central Asia"/>
    <s v="Strategic Partnership [战略伙伴关系]"/>
    <s v="Major Non-NATO Ally"/>
    <x v="1"/>
    <x v="123"/>
    <x v="26"/>
    <n v="8"/>
    <x v="4"/>
    <s v="Li Zuocheng"/>
    <m/>
    <s v="PLAA Commander"/>
    <n v="6"/>
    <x v="1"/>
    <s v="Chief of General Staff"/>
    <x v="0"/>
    <m/>
    <x v="0"/>
    <m/>
    <x v="1"/>
    <m/>
    <m/>
    <m/>
    <m/>
    <m/>
  </r>
  <r>
    <x v="2"/>
    <x v="5"/>
    <s v="America and Oceania"/>
    <s v="Comprehensive Strategic Partnership [全面战略伙伴关系]"/>
    <s v="ANZUS Treaty"/>
    <x v="0"/>
    <x v="12"/>
    <x v="26"/>
    <n v="8"/>
    <x v="6"/>
    <m/>
    <m/>
    <m/>
    <m/>
    <x v="0"/>
    <m/>
    <x v="2"/>
    <s v="Kowari 2017"/>
    <x v="1"/>
    <s v="Survival Exercise"/>
    <x v="1"/>
    <m/>
    <m/>
    <m/>
    <m/>
    <m/>
  </r>
  <r>
    <x v="1"/>
    <x v="5"/>
    <s v="America and Oceania"/>
    <s v="Comprehensive Strategic Partnership [全面战略伙伴关系]"/>
    <s v="ANZUS Treaty"/>
    <x v="0"/>
    <x v="12"/>
    <x v="26"/>
    <n v="8"/>
    <x v="4"/>
    <s v="Shao Yuanming"/>
    <m/>
    <s v="CMC/JSD DCJS"/>
    <n v="5"/>
    <x v="1"/>
    <s v="Vice Chief of Defence Force"/>
    <x v="0"/>
    <m/>
    <x v="0"/>
    <m/>
    <x v="1"/>
    <m/>
    <m/>
    <m/>
    <s v="http://english.chinamil.com.cn/view/2017-08/29/content_7735681.htm"/>
    <s v="JSD/DCJS position downgraded to TC deputy grade; position weights adjusted"/>
  </r>
  <r>
    <x v="1"/>
    <x v="1"/>
    <s v="Asia"/>
    <s v="Comprehensive Strategic Cooperative Partnership [全面战略合作伙伴关系]"/>
    <s v="None"/>
    <x v="0"/>
    <x v="94"/>
    <x v="26"/>
    <n v="8"/>
    <x v="3"/>
    <s v="Xu Qiliang"/>
    <m/>
    <s v="CMC Vice Chairman"/>
    <n v="10"/>
    <x v="2"/>
    <s v="Commander of Air Force"/>
    <x v="0"/>
    <m/>
    <x v="0"/>
    <m/>
    <x v="1"/>
    <m/>
    <m/>
    <m/>
    <m/>
    <m/>
  </r>
  <r>
    <x v="0"/>
    <x v="9"/>
    <s v="West Asia and Africa"/>
    <s v="Strategic Partnership [战略伙伴关系]"/>
    <s v="None"/>
    <x v="1"/>
    <x v="119"/>
    <x v="26"/>
    <n v="8"/>
    <x v="0"/>
    <m/>
    <m/>
    <m/>
    <m/>
    <x v="0"/>
    <m/>
    <x v="0"/>
    <m/>
    <x v="0"/>
    <m/>
    <x v="0"/>
    <s v="2017-08 Peace Ark"/>
    <s v="East Sea Fleet"/>
    <m/>
    <s v="http://english.chinamil.com.cn/view/2017-08/24/content_7729644.htm"/>
    <m/>
  </r>
  <r>
    <x v="1"/>
    <x v="7"/>
    <s v="West Asia and Africa"/>
    <s v="Comprehensive Cooperative Partnership [全面合作伙伴关系]"/>
    <s v="None"/>
    <x v="4"/>
    <x v="95"/>
    <x v="26"/>
    <n v="8"/>
    <x v="3"/>
    <s v="Fan Changlong"/>
    <m/>
    <s v="CMC Vice Chairman"/>
    <n v="10"/>
    <x v="2"/>
    <s v="Chief of Staff of National Defense Forces"/>
    <x v="0"/>
    <m/>
    <x v="0"/>
    <m/>
    <x v="1"/>
    <m/>
    <m/>
    <m/>
    <s v="http://english.chinamil.com.cn/view/2017-08/19/content_7723327.htm"/>
    <m/>
  </r>
  <r>
    <x v="0"/>
    <x v="8"/>
    <s v="Europe and Central Asia"/>
    <s v="New Type of Cooperative Partnership [新型合作伙伴关系]"/>
    <s v="None"/>
    <x v="3"/>
    <x v="81"/>
    <x v="26"/>
    <n v="8"/>
    <x v="0"/>
    <m/>
    <m/>
    <m/>
    <m/>
    <x v="0"/>
    <m/>
    <x v="0"/>
    <m/>
    <x v="0"/>
    <m/>
    <x v="0"/>
    <s v="2017-08 DDG174 Hefei"/>
    <s v="South Sea Fleet"/>
    <s v="DDGHefei, FFG571 Yuncheng"/>
    <s v="http://english.chinamil.com.cn/view/2017-08/02/content_7699947.htm; http://english.chinamil.com.cn/view/2017-08/16/content_7720657.htm"/>
    <s v="In conjunction with Joint Sea 2017 exercise with Russian Navy"/>
  </r>
  <r>
    <x v="0"/>
    <x v="1"/>
    <s v="Asia"/>
    <s v="Comprehensive Strategic Cooperative Partnership [全面战略合作伙伴关系]"/>
    <s v="None"/>
    <x v="0"/>
    <x v="52"/>
    <x v="26"/>
    <n v="8"/>
    <x v="0"/>
    <m/>
    <m/>
    <m/>
    <m/>
    <x v="0"/>
    <m/>
    <x v="0"/>
    <m/>
    <x v="0"/>
    <m/>
    <x v="0"/>
    <s v="2017-08 Peace Ark"/>
    <s v="East Sea Fleet"/>
    <m/>
    <s v="http://english.chinamil.com.cn/view/2017-08/22/content_7725742.htm"/>
    <m/>
  </r>
  <r>
    <x v="0"/>
    <x v="8"/>
    <s v="Europe and Central Asia"/>
    <s v="Friendly Cooperative Partnership [友好合作伙伴关系]"/>
    <s v="NATO"/>
    <x v="3"/>
    <x v="157"/>
    <x v="26"/>
    <n v="8"/>
    <x v="0"/>
    <m/>
    <m/>
    <m/>
    <m/>
    <x v="0"/>
    <m/>
    <x v="0"/>
    <m/>
    <x v="0"/>
    <m/>
    <x v="0"/>
    <s v="2017-08 DDG174 Hefei"/>
    <s v="South Sea Fleet"/>
    <s v="DDGHefei, FFG571 Yuncheng, AOR Luomahu"/>
    <s v="http://english.chinamil.com.cn/view/2017-08/06/content_7705899.htm; http://english.chinamil.com.cn/view/2017-08/16/content_7720657.htm"/>
    <s v="In conjunction with Joint Sea 2017 exercise with Russian Navy"/>
  </r>
  <r>
    <x v="0"/>
    <x v="0"/>
    <s v="West Asia and Africa"/>
    <s v="Comprehensive Friendly Cooperative Partnership [全面友好合作伙伴关系]"/>
    <s v="None"/>
    <x v="0"/>
    <x v="149"/>
    <x v="26"/>
    <n v="8"/>
    <x v="0"/>
    <m/>
    <m/>
    <m/>
    <m/>
    <x v="0"/>
    <m/>
    <x v="0"/>
    <m/>
    <x v="0"/>
    <m/>
    <x v="0"/>
    <s v="2017-08 DDG150 Changchun"/>
    <s v="East Sea Fleet"/>
    <s v="DDG150 Changchun, FFG532 Jingzhou, AOR890 Chaohu"/>
    <s v="http://english.chinamil.com.cn/view/2017-08/28/content_7733398.htm; http://www.xinhuanet.com/mil/2017-08/27/c_129690040.htm"/>
    <m/>
  </r>
  <r>
    <x v="2"/>
    <x v="0"/>
    <s v="West Asia and Africa"/>
    <s v="Comprehensive Friendly Cooperative Partnership [全面友好合作伙伴关系]"/>
    <s v="None"/>
    <x v="0"/>
    <x v="149"/>
    <x v="26"/>
    <n v="8"/>
    <x v="5"/>
    <m/>
    <m/>
    <m/>
    <m/>
    <x v="0"/>
    <m/>
    <x v="2"/>
    <s v="Unnamed"/>
    <x v="2"/>
    <s v="Unknown "/>
    <x v="1"/>
    <m/>
    <m/>
    <m/>
    <m/>
    <m/>
  </r>
  <r>
    <x v="2"/>
    <x v="4"/>
    <s v="Asia"/>
    <s v="Comprehensive Strategic Partnership [全面战略伙伴关系]"/>
    <s v="None"/>
    <x v="0"/>
    <x v="53"/>
    <x v="26"/>
    <n v="8"/>
    <x v="6"/>
    <m/>
    <m/>
    <m/>
    <m/>
    <x v="0"/>
    <m/>
    <x v="2"/>
    <s v="Khaan Quest 2017"/>
    <x v="1"/>
    <s v="Peacekeeping "/>
    <x v="1"/>
    <m/>
    <m/>
    <m/>
    <m/>
    <m/>
  </r>
  <r>
    <x v="1"/>
    <x v="5"/>
    <s v="America and Oceania"/>
    <s v="Comprehensive Strategic Partnership [全面战略伙伴关系]"/>
    <s v="ANZUS Treaty"/>
    <x v="0"/>
    <x v="13"/>
    <x v="26"/>
    <n v="8"/>
    <x v="3"/>
    <s v="Shao Yuanming"/>
    <m/>
    <s v="CMC/JSD DCJS"/>
    <n v="5"/>
    <x v="2"/>
    <s v="Deputy Chief of Defense Force "/>
    <x v="0"/>
    <m/>
    <x v="0"/>
    <m/>
    <x v="1"/>
    <m/>
    <m/>
    <m/>
    <s v="https://web.archive.org/web/20170920220529/http://english.chinamil.com.cn/view/2017-08/15/content_7719318.htm; http://english.chinamil.com.cn/view/2017-08/28/content_7733889.htm"/>
    <s v="JSD/DCJS position downgraded to TC deputy grade; position weights adjusted"/>
  </r>
  <r>
    <x v="1"/>
    <x v="0"/>
    <s v="Asia"/>
    <s v="All-Weather Strategic Cooperative Partnership [全天候战略合作伙伴关系]"/>
    <s v="Major Non-NATO Ally"/>
    <x v="1"/>
    <x v="2"/>
    <x v="26"/>
    <n v="8"/>
    <x v="4"/>
    <s v="Li Zuocheng"/>
    <m/>
    <s v="PLAA Commander"/>
    <n v="6"/>
    <x v="1"/>
    <s v="Chief of Army Staff "/>
    <x v="0"/>
    <m/>
    <x v="0"/>
    <m/>
    <x v="1"/>
    <m/>
    <m/>
    <m/>
    <s v="http://english.chinamil.com.cn/view/2017-08/28/content_7733909.htm"/>
    <m/>
  </r>
  <r>
    <x v="0"/>
    <x v="9"/>
    <s v="West Asia and Africa"/>
    <s v="Comprehensive Strategic Partnership [全面战略伙伴关系]"/>
    <s v="None"/>
    <x v="1"/>
    <x v="142"/>
    <x v="26"/>
    <n v="8"/>
    <x v="0"/>
    <m/>
    <m/>
    <m/>
    <m/>
    <x v="0"/>
    <m/>
    <x v="0"/>
    <m/>
    <x v="0"/>
    <m/>
    <x v="0"/>
    <s v="2017-05 DDG150 Changchun"/>
    <s v="East Sea Fleet"/>
    <s v="DDG150 Changchun, FFG532 Jingzhou"/>
    <s v="http://english.chinamil.com.cn/view/2017-08/01/content_7699372.htm"/>
    <m/>
  </r>
  <r>
    <x v="0"/>
    <x v="0"/>
    <s v="Asia"/>
    <s v="Strategic Cooperative Partnership [战略合作伙伴关系]"/>
    <s v="None"/>
    <x v="0"/>
    <x v="3"/>
    <x v="26"/>
    <n v="8"/>
    <x v="0"/>
    <m/>
    <m/>
    <m/>
    <m/>
    <x v="0"/>
    <m/>
    <x v="0"/>
    <m/>
    <x v="0"/>
    <m/>
    <x v="0"/>
    <s v="2017-08 Peace Ark"/>
    <s v="East Sea Fleet"/>
    <m/>
    <s v="http://eng.chinamil.com.cn/view/2017-08/11/content_7715167.htm"/>
    <m/>
  </r>
  <r>
    <x v="2"/>
    <x v="0"/>
    <s v="Asia"/>
    <s v="Strategic Cooperative Partnership [战略合作伙伴关系]"/>
    <s v="None"/>
    <x v="0"/>
    <x v="3"/>
    <x v="26"/>
    <n v="8"/>
    <x v="5"/>
    <m/>
    <m/>
    <m/>
    <m/>
    <x v="0"/>
    <m/>
    <x v="2"/>
    <s v="Harmonious Mission-2017"/>
    <x v="1"/>
    <s v="Rescue drill"/>
    <x v="1"/>
    <m/>
    <m/>
    <m/>
    <s v="http://english.chinamil.com.cn/view/2017-08/11/content_7715167.htm"/>
    <m/>
  </r>
  <r>
    <x v="1"/>
    <x v="6"/>
    <s v="Europe and Central Asia"/>
    <s v="Comprehensive Strategic Partnership [全面战略伙伴关系]"/>
    <s v="None"/>
    <x v="1"/>
    <x v="60"/>
    <x v="26"/>
    <n v="8"/>
    <x v="4"/>
    <s v="Li Zuocheng"/>
    <m/>
    <s v="PLAA Commander"/>
    <n v="6"/>
    <x v="1"/>
    <s v="President "/>
    <x v="0"/>
    <m/>
    <x v="0"/>
    <m/>
    <x v="1"/>
    <m/>
    <m/>
    <m/>
    <m/>
    <m/>
  </r>
  <r>
    <x v="0"/>
    <x v="7"/>
    <s v="West Asia and Africa"/>
    <s v="Comprehensive Cooperative Partnership [全面合作伙伴关系]"/>
    <s v="None"/>
    <x v="4"/>
    <x v="16"/>
    <x v="26"/>
    <n v="8"/>
    <x v="0"/>
    <m/>
    <m/>
    <m/>
    <m/>
    <x v="0"/>
    <m/>
    <x v="0"/>
    <m/>
    <x v="0"/>
    <m/>
    <x v="0"/>
    <s v="2017-08 DDG150 Changchun"/>
    <s v="East Sea Fleet"/>
    <s v="DDG150 Changchun, FFG532 Jingzhou, AOR890 Chaohu"/>
    <s v="http://english.chinamil.com.cn/view/2017-08/17/content_7720968.htm"/>
    <m/>
  </r>
  <r>
    <x v="2"/>
    <x v="7"/>
    <s v="West Asia and Africa"/>
    <s v="Comprehensive Cooperative Partnership [全面合作伙伴关系]"/>
    <s v="None"/>
    <x v="4"/>
    <x v="16"/>
    <x v="26"/>
    <n v="8"/>
    <x v="5"/>
    <m/>
    <m/>
    <m/>
    <m/>
    <x v="0"/>
    <m/>
    <x v="2"/>
    <s v="Unnamed"/>
    <x v="2"/>
    <s v="Maritime"/>
    <x v="1"/>
    <m/>
    <m/>
    <m/>
    <m/>
    <m/>
  </r>
  <r>
    <x v="1"/>
    <x v="1"/>
    <s v="Asia"/>
    <s v="Comprehensive Strategic Cooperative Partnership [全面战略合作伙伴关系]"/>
    <s v="Bilateral Defense Treaty"/>
    <x v="0"/>
    <x v="5"/>
    <x v="26"/>
    <n v="8"/>
    <x v="3"/>
    <s v="Chang Wanquan"/>
    <m/>
    <s v="Defense Minister; CMC Member"/>
    <n v="8"/>
    <x v="2"/>
    <s v="Chief of Defense Forces"/>
    <x v="0"/>
    <m/>
    <x v="0"/>
    <m/>
    <x v="1"/>
    <m/>
    <m/>
    <m/>
    <s v="http://english.chinamil.com.cn/view/2017-08/17/content_7721898.htm"/>
    <m/>
  </r>
  <r>
    <x v="2"/>
    <x v="1"/>
    <s v="Asia"/>
    <s v="Comprehensive Strategic Cooperative Partnership [全面战略合作伙伴关系]"/>
    <s v="Bilateral Defense Treaty"/>
    <x v="0"/>
    <x v="5"/>
    <x v="26"/>
    <n v="8"/>
    <x v="5"/>
    <m/>
    <m/>
    <m/>
    <m/>
    <x v="0"/>
    <m/>
    <x v="3"/>
    <s v="Falcon Strike 2017"/>
    <x v="5"/>
    <s v="Joint training exercise "/>
    <x v="1"/>
    <m/>
    <m/>
    <m/>
    <m/>
    <m/>
  </r>
  <r>
    <x v="1"/>
    <x v="2"/>
    <s v="America and Oceania"/>
    <s v="No Specific Relationship"/>
    <s v="N/A"/>
    <x v="2"/>
    <x v="4"/>
    <x v="26"/>
    <n v="8"/>
    <x v="3"/>
    <s v="Fang Fenghui"/>
    <m/>
    <s v="CMC/JSD Commander; CMC Member"/>
    <n v="8"/>
    <x v="2"/>
    <s v="Marine Crops General "/>
    <x v="0"/>
    <m/>
    <x v="0"/>
    <m/>
    <x v="1"/>
    <m/>
    <m/>
    <m/>
    <m/>
    <m/>
  </r>
  <r>
    <x v="1"/>
    <x v="8"/>
    <s v="Europe and Central Asia"/>
    <s v="Friendly Cooperative Partnership [友好合作伙伴关系]"/>
    <s v="None"/>
    <x v="3"/>
    <x v="63"/>
    <x v="26"/>
    <n v="9"/>
    <x v="3"/>
    <s v="Xu Qiliang"/>
    <m/>
    <s v="CMC Vice Chairman"/>
    <n v="10"/>
    <x v="2"/>
    <s v="Defense Minister"/>
    <x v="0"/>
    <m/>
    <x v="0"/>
    <m/>
    <x v="1"/>
    <m/>
    <m/>
    <m/>
    <m/>
    <m/>
  </r>
  <r>
    <x v="2"/>
    <x v="5"/>
    <s v="America and Oceania"/>
    <s v="Comprehensive Strategic Partnership [全面战略伙伴关系]"/>
    <s v="ANZUS Treaty"/>
    <x v="0"/>
    <x v="12"/>
    <x v="26"/>
    <n v="9"/>
    <x v="5"/>
    <m/>
    <m/>
    <m/>
    <m/>
    <x v="0"/>
    <m/>
    <x v="2"/>
    <s v="Panda-Kangaroo 2017"/>
    <x v="1"/>
    <s v="Joint training "/>
    <x v="1"/>
    <m/>
    <m/>
    <m/>
    <s v="http://english.chinamil.com.cn/view/2017-09/11/content_7751741.htm"/>
    <m/>
  </r>
  <r>
    <x v="1"/>
    <x v="8"/>
    <s v="Europe and Central Asia"/>
    <s v="No Specific Relationship"/>
    <s v="NATO"/>
    <x v="3"/>
    <x v="108"/>
    <x v="26"/>
    <n v="9"/>
    <x v="3"/>
    <s v="Chang Wanquan"/>
    <m/>
    <s v="Defense Minister; CMC Member"/>
    <n v="8"/>
    <x v="2"/>
    <s v="Chief of Defense Forces"/>
    <x v="0"/>
    <m/>
    <x v="0"/>
    <m/>
    <x v="1"/>
    <m/>
    <m/>
    <m/>
    <s v="http://english.chinamil.com.cn/view/2017-09/08/content_7749343.htm"/>
    <m/>
  </r>
  <r>
    <x v="0"/>
    <x v="8"/>
    <s v="Europe and Central Asia"/>
    <s v="All-Round Strategic Partnership [全方位战略伙伴关系]"/>
    <s v="NATO"/>
    <x v="3"/>
    <x v="68"/>
    <x v="26"/>
    <n v="9"/>
    <x v="0"/>
    <m/>
    <m/>
    <m/>
    <m/>
    <x v="0"/>
    <m/>
    <x v="0"/>
    <m/>
    <x v="0"/>
    <m/>
    <x v="2"/>
    <s v="ETF-26"/>
    <s v="East Sea Fleet"/>
    <s v="FFG577 Huanggang, FFG578 Yangzhou, AOR966 Gaoyouhu"/>
    <s v="http://english.chinamil.com.cn/view/2017-09/15/content_7757901.htm; http://english.chinamil.com.cn/view/2017-10/17/content_7790399.htm"/>
    <m/>
  </r>
  <r>
    <x v="0"/>
    <x v="1"/>
    <s v="Asia"/>
    <s v="No Specific Relationship"/>
    <s v="None"/>
    <x v="0"/>
    <x v="44"/>
    <x v="26"/>
    <n v="9"/>
    <x v="10"/>
    <m/>
    <m/>
    <m/>
    <m/>
    <x v="0"/>
    <m/>
    <x v="0"/>
    <m/>
    <x v="0"/>
    <m/>
    <x v="0"/>
    <s v="2017-09 DDG150 Changchun"/>
    <s v="East Sea Fleet"/>
    <s v="DDG150 Changchun, FFG532 Jingzhou, AOR890 Chaohu"/>
    <s v="http://english.chinamil.com.cn/view/2017-09/29/content_7774095.htm"/>
    <m/>
  </r>
  <r>
    <x v="1"/>
    <x v="1"/>
    <s v="Asia"/>
    <s v="Comprehensive Strategic Cooperative Partnership [全面战略合作伙伴关系]"/>
    <s v="None"/>
    <x v="0"/>
    <x v="94"/>
    <x v="26"/>
    <n v="9"/>
    <x v="3"/>
    <s v="Shen Jinlong"/>
    <m/>
    <s v="PLAN Commander "/>
    <n v="6"/>
    <x v="2"/>
    <s v="Navy Commander"/>
    <x v="0"/>
    <m/>
    <x v="0"/>
    <m/>
    <x v="1"/>
    <m/>
    <m/>
    <m/>
    <s v="http://english.chinamil.com.cn/view/2017-09/01/content_7740479.htm"/>
    <m/>
  </r>
  <r>
    <x v="0"/>
    <x v="8"/>
    <s v="Europe and Central Asia"/>
    <s v="Comprehensive Strategic Partnership [全面战略伙伴关系]"/>
    <s v="NATO"/>
    <x v="3"/>
    <x v="116"/>
    <x v="26"/>
    <n v="9"/>
    <x v="0"/>
    <m/>
    <m/>
    <m/>
    <m/>
    <x v="0"/>
    <m/>
    <x v="0"/>
    <m/>
    <x v="0"/>
    <m/>
    <x v="2"/>
    <s v="ETF-26"/>
    <s v="East Sea Fleet"/>
    <s v="FFG577 Huanggang, FFG578 Yangzhou"/>
    <s v="http://english.chinamil.com.cn/view/2017-09/26/content_7769056.htm; http://english.chinamil.com.cn/view/2017-09/26/content_7769059.htm"/>
    <m/>
  </r>
  <r>
    <x v="2"/>
    <x v="8"/>
    <s v="Europe and Central Asia"/>
    <s v="Comprehensive Strategic Partnership [全面战略伙伴关系]"/>
    <s v="NATO"/>
    <x v="3"/>
    <x v="116"/>
    <x v="26"/>
    <n v="9"/>
    <x v="5"/>
    <m/>
    <m/>
    <m/>
    <m/>
    <x v="0"/>
    <m/>
    <x v="2"/>
    <s v="Unnamed"/>
    <x v="2"/>
    <s v="Maritime"/>
    <x v="1"/>
    <m/>
    <m/>
    <m/>
    <m/>
    <m/>
  </r>
  <r>
    <x v="1"/>
    <x v="10"/>
    <s v="America and Oceania"/>
    <s v="Comprehensive Strategic Partnership [全面战略伙伴关系]"/>
    <s v="None"/>
    <x v="5"/>
    <x v="51"/>
    <x v="26"/>
    <n v="9"/>
    <x v="4"/>
    <s v="Ma Yiming"/>
    <m/>
    <s v="CMC/JSD DCJS"/>
    <n v="5"/>
    <x v="1"/>
    <s v="Minister of National Defense "/>
    <x v="0"/>
    <m/>
    <x v="0"/>
    <m/>
    <x v="1"/>
    <m/>
    <m/>
    <m/>
    <s v="http://english.chinamil.com.cn/view/2017-09/11/content_7751586.htm"/>
    <s v="JSD/DCJS position downgraded to TC deputy grade; position weights adjusted"/>
  </r>
  <r>
    <x v="1"/>
    <x v="8"/>
    <s v="Europe and Central Asia"/>
    <s v="Comprehensive Strategic Partnership [全面战略伙伴关系]"/>
    <s v="NATO"/>
    <x v="3"/>
    <x v="18"/>
    <x v="26"/>
    <n v="9"/>
    <x v="3"/>
    <s v="Shao Yuanming"/>
    <m/>
    <s v="CMC/JSD DCJS"/>
    <n v="5"/>
    <x v="2"/>
    <s v="Former General Inspector of Defense Force "/>
    <x v="0"/>
    <m/>
    <x v="0"/>
    <m/>
    <x v="1"/>
    <m/>
    <m/>
    <m/>
    <s v="http://english.chinamil.com.cn/view/2017-09/25/content_7768600.htm"/>
    <s v="JSD/DCJS position downgraded to TC deputy grade; position weights adjusted"/>
  </r>
  <r>
    <x v="1"/>
    <x v="1"/>
    <s v="Asia"/>
    <s v="Comprehensive Strategic Partnership [全面战略伙伴关系]"/>
    <s v="None"/>
    <x v="0"/>
    <x v="8"/>
    <x v="26"/>
    <n v="9"/>
    <x v="3"/>
    <s v="Shen Jinlong"/>
    <m/>
    <s v="PLAN Commander "/>
    <n v="6"/>
    <x v="2"/>
    <s v="Chief of Staff"/>
    <x v="0"/>
    <m/>
    <x v="0"/>
    <m/>
    <x v="1"/>
    <m/>
    <m/>
    <m/>
    <s v="http://english.chinamil.com.cn/view/2017-09/07/content_7747221.htm"/>
    <m/>
  </r>
  <r>
    <x v="0"/>
    <x v="1"/>
    <s v="Asia"/>
    <s v="Comprehensive Strategic Partnership [全面战略伙伴关系]"/>
    <s v="None"/>
    <x v="0"/>
    <x v="8"/>
    <x v="26"/>
    <n v="9"/>
    <x v="0"/>
    <m/>
    <m/>
    <m/>
    <m/>
    <x v="0"/>
    <m/>
    <x v="0"/>
    <m/>
    <x v="0"/>
    <m/>
    <x v="0"/>
    <s v="2017-09 DDG150 Changchun"/>
    <s v="East Sea Fleet"/>
    <s v="DDG150 Changchun, FFG532 Jingzhou, AOR890 Chaohu"/>
    <s v="http://english.chinamil.com.cn/view/2017-10/16/content_7788876.htm"/>
    <s v="Date inferred from Brunei visit date and wrapup article"/>
  </r>
  <r>
    <x v="2"/>
    <x v="0"/>
    <s v="Asia"/>
    <s v="All-Weather Strategic Cooperative Partnership [全天候战略合作伙伴关系]"/>
    <s v="Major Non-NATO Ally"/>
    <x v="1"/>
    <x v="2"/>
    <x v="26"/>
    <n v="9"/>
    <x v="5"/>
    <m/>
    <m/>
    <m/>
    <m/>
    <x v="0"/>
    <m/>
    <x v="3"/>
    <s v="Shaheen-VI"/>
    <x v="5"/>
    <s v="Joint air training "/>
    <x v="1"/>
    <m/>
    <m/>
    <m/>
    <s v="http://english.chinamil.com.cn/view/2017-09/26/content_7770309.htm"/>
    <m/>
  </r>
  <r>
    <x v="2"/>
    <x v="3"/>
    <s v="Europe and Central Asia"/>
    <s v="Comprehensive Collaborative Strategic Partnership [全面战略协作伙伴关系]"/>
    <s v="None"/>
    <x v="3"/>
    <x v="7"/>
    <x v="26"/>
    <n v="9"/>
    <x v="5"/>
    <m/>
    <m/>
    <m/>
    <m/>
    <x v="0"/>
    <m/>
    <x v="3"/>
    <s v="Joint Sea 2017 (II)"/>
    <x v="2"/>
    <s v="Maritime in Sea of Japan and Sea of Okhotsk.  &quot;This exercise is the first to organize a joint submarine rescue drill and a joint anti-submarine exercise with multiple arms, aircraft, and ships.&quot;  "/>
    <x v="1"/>
    <m/>
    <m/>
    <m/>
    <s v="https://www.chinanews.com.cn/mil/2017/09-17/8333127.shtml "/>
    <m/>
  </r>
  <r>
    <x v="0"/>
    <x v="7"/>
    <s v="West Asia and Africa"/>
    <s v="Comprehensive Strategic Cooperative Partnership [全面战略合作伙伴关系]"/>
    <s v="None"/>
    <x v="4"/>
    <x v="90"/>
    <x v="26"/>
    <n v="9"/>
    <x v="0"/>
    <m/>
    <m/>
    <m/>
    <m/>
    <x v="0"/>
    <m/>
    <x v="0"/>
    <m/>
    <x v="0"/>
    <m/>
    <x v="0"/>
    <s v="2017-09 Peace Ark"/>
    <s v="East Sea Fleet"/>
    <m/>
    <s v="http://english.chinamil.com.cn/view/2017-09/13/content_7754313.htm"/>
    <m/>
  </r>
  <r>
    <x v="1"/>
    <x v="1"/>
    <s v="Asia"/>
    <s v="All-Round Cooperative Partnership [全方合作伙伴关系]"/>
    <s v="None"/>
    <x v="0"/>
    <x v="39"/>
    <x v="26"/>
    <n v="9"/>
    <x v="3"/>
    <s v="Chang Wanquan"/>
    <m/>
    <s v="Defense Minister; CMC Member"/>
    <n v="8"/>
    <x v="2"/>
    <s v="Defense Minister"/>
    <x v="0"/>
    <m/>
    <x v="0"/>
    <m/>
    <x v="1"/>
    <m/>
    <m/>
    <m/>
    <s v="http://english.chinamil.com.cn/view/2017-09/22/content_7765269.htm"/>
    <m/>
  </r>
  <r>
    <x v="0"/>
    <x v="8"/>
    <s v="Europe and Central Asia"/>
    <s v="Comprehensive Strategic Partnership [全面战略伙伴关系]"/>
    <s v="NATO"/>
    <x v="3"/>
    <x v="70"/>
    <x v="26"/>
    <n v="9"/>
    <x v="0"/>
    <m/>
    <m/>
    <m/>
    <m/>
    <x v="0"/>
    <m/>
    <x v="0"/>
    <m/>
    <x v="0"/>
    <m/>
    <x v="0"/>
    <s v="2017-09 Peace Ark"/>
    <s v="East Sea Fleet"/>
    <m/>
    <s v="http://english.chinamil.com.cn/view/2017-09/11/content_7751723.htm"/>
    <m/>
  </r>
  <r>
    <x v="2"/>
    <x v="0"/>
    <s v="Asia"/>
    <s v="Strategic Cooperative Partnership [战略合作伙伴关系]"/>
    <s v="None"/>
    <x v="0"/>
    <x v="3"/>
    <x v="26"/>
    <n v="9"/>
    <x v="6"/>
    <m/>
    <m/>
    <m/>
    <m/>
    <x v="0"/>
    <m/>
    <x v="3"/>
    <s v="Cormorant Strike VIII - 2017"/>
    <x v="2"/>
    <s v="Special Operations"/>
    <x v="1"/>
    <m/>
    <m/>
    <m/>
    <m/>
    <m/>
  </r>
  <r>
    <x v="1"/>
    <x v="2"/>
    <s v="America and Oceania"/>
    <s v="No Specific Relationship"/>
    <s v="N/A"/>
    <x v="2"/>
    <x v="4"/>
    <x v="26"/>
    <n v="9"/>
    <x v="3"/>
    <s v="Shao Yuanming"/>
    <m/>
    <s v="CMC/JSD DCJS"/>
    <n v="5"/>
    <x v="2"/>
    <s v="US Congress "/>
    <x v="0"/>
    <m/>
    <x v="0"/>
    <m/>
    <x v="1"/>
    <m/>
    <m/>
    <m/>
    <m/>
    <s v="JSD/DCJS position downgraded to TC deputy grade; position weights adjusted"/>
  </r>
  <r>
    <x v="1"/>
    <x v="1"/>
    <s v="Asia"/>
    <s v="Comprehensive Strategic Cooperative Partnership [全面战略合作伙伴关系]"/>
    <s v="None"/>
    <x v="0"/>
    <x v="23"/>
    <x v="26"/>
    <n v="9"/>
    <x v="3"/>
    <s v="Fan Changlong"/>
    <m/>
    <s v="CMC Vice Chairman"/>
    <n v="10"/>
    <x v="2"/>
    <s v="Defense Minister"/>
    <x v="0"/>
    <m/>
    <x v="0"/>
    <m/>
    <x v="1"/>
    <m/>
    <m/>
    <m/>
    <m/>
    <m/>
  </r>
  <r>
    <x v="2"/>
    <x v="1"/>
    <s v="Asia"/>
    <s v="Comprehensive Strategic Cooperative Partnership [全面战略合作伙伴关系]"/>
    <s v="None"/>
    <x v="0"/>
    <x v="23"/>
    <x v="26"/>
    <n v="9"/>
    <x v="5"/>
    <m/>
    <m/>
    <m/>
    <m/>
    <x v="0"/>
    <m/>
    <x v="1"/>
    <s v="Unnamed"/>
    <x v="1"/>
    <s v="Anti-terrorism drills "/>
    <x v="1"/>
    <m/>
    <m/>
    <m/>
    <m/>
    <m/>
  </r>
  <r>
    <x v="0"/>
    <x v="7"/>
    <s v="West Asia and Africa"/>
    <s v="Strategic Partnership [战略伙伴关系]"/>
    <s v="None"/>
    <x v="4"/>
    <x v="105"/>
    <x v="26"/>
    <n v="10"/>
    <x v="0"/>
    <m/>
    <m/>
    <m/>
    <m/>
    <x v="0"/>
    <m/>
    <x v="0"/>
    <m/>
    <x v="0"/>
    <m/>
    <x v="0"/>
    <s v="2017-10 Peace Ark"/>
    <s v="East Sea Fleet"/>
    <m/>
    <s v="http://english.chinamil.com.cn/view/2017-10/20/content_7794034.htm"/>
    <m/>
  </r>
  <r>
    <x v="1"/>
    <x v="1"/>
    <s v="Asia"/>
    <s v="Strategic Partnership [战略伙伴关系] for Peace and Prosperity"/>
    <s v="None"/>
    <x v="0"/>
    <x v="153"/>
    <x v="26"/>
    <n v="10"/>
    <x v="1"/>
    <s v="Chang Wanquan"/>
    <m/>
    <s v="Defense Minister; CMC Member"/>
    <n v="8"/>
    <x v="1"/>
    <s v="Seventh China-ASEAN Defense Ministers' Informal Meeting in Laos"/>
    <x v="0"/>
    <m/>
    <x v="0"/>
    <m/>
    <x v="1"/>
    <m/>
    <m/>
    <m/>
    <s v="http://en.people.cn/n3/2016/0526/c90883-9063888.html"/>
    <s v="corrected partnership to strategic partnership for peace and prosperity"/>
  </r>
  <r>
    <x v="1"/>
    <x v="1"/>
    <s v="Asia"/>
    <s v="Strategic Partnership [战略伙伴关系] for Peace and Prosperity"/>
    <s v="None"/>
    <x v="0"/>
    <x v="153"/>
    <x v="26"/>
    <n v="10"/>
    <x v="1"/>
    <s v="Chang Wanquan"/>
    <m/>
    <s v="Defense Minister; CMC Member"/>
    <n v="8"/>
    <x v="1"/>
    <s v="4th ADMM+ Philippines"/>
    <x v="0"/>
    <m/>
    <x v="0"/>
    <m/>
    <x v="1"/>
    <m/>
    <m/>
    <m/>
    <s v="http://www.china.org.cn/world/2017-10/25/content_41788870.htm"/>
    <s v="corrected partnership to strategic partnership for peace and prosperity"/>
  </r>
  <r>
    <x v="1"/>
    <x v="8"/>
    <s v="Europe and Central Asia"/>
    <s v="Comprehensive Strategic Partnership [全面战略伙伴关系]"/>
    <s v="None"/>
    <x v="3"/>
    <x v="34"/>
    <x v="26"/>
    <n v="10"/>
    <x v="3"/>
    <s v="Chang Wanquan"/>
    <m/>
    <s v="Defense Minister; CMC Member"/>
    <n v="8"/>
    <x v="2"/>
    <s v="Defense Minister"/>
    <x v="0"/>
    <m/>
    <x v="0"/>
    <m/>
    <x v="1"/>
    <m/>
    <m/>
    <m/>
    <s v="http://english.chinamil.com.cn/view/2017-10/31/content_7806844.htm"/>
    <m/>
  </r>
  <r>
    <x v="2"/>
    <x v="1"/>
    <s v="Asia"/>
    <s v="Comprehensive Strategic Cooperative Partnership [全面战略合作伙伴关系]"/>
    <s v="None"/>
    <x v="0"/>
    <x v="94"/>
    <x v="26"/>
    <n v="10"/>
    <x v="5"/>
    <m/>
    <m/>
    <m/>
    <m/>
    <x v="0"/>
    <m/>
    <x v="2"/>
    <s v="Unnamed"/>
    <x v="2"/>
    <s v="Maritime"/>
    <x v="1"/>
    <m/>
    <m/>
    <m/>
    <m/>
    <m/>
  </r>
  <r>
    <x v="0"/>
    <x v="1"/>
    <s v="Asia"/>
    <s v="Comprehensive Strategic Cooperative Partnership [全面战略合作伙伴关系]"/>
    <s v="None"/>
    <x v="0"/>
    <x v="94"/>
    <x v="26"/>
    <n v="10"/>
    <x v="0"/>
    <m/>
    <m/>
    <m/>
    <m/>
    <x v="0"/>
    <m/>
    <x v="0"/>
    <m/>
    <x v="0"/>
    <m/>
    <x v="0"/>
    <s v="2017-10 DDG150 Changchun"/>
    <s v="East Sea Fleet"/>
    <s v="DDG150 Changchun, FFG532 Jingzhou, AOR890 Chaohu"/>
    <s v="http://www.chinadaily.com.cn/china/2017-10/06/content_32901405.htm"/>
    <s v="Date inferred from Brunei and Thailand visit dates and wrapup article, which suggests this is the 19th of 20 port calls"/>
  </r>
  <r>
    <x v="0"/>
    <x v="7"/>
    <s v="West Asia and Africa"/>
    <s v="Comprehensive Strategic Partnership [全面战略伙伴关系]"/>
    <s v="None"/>
    <x v="4"/>
    <x v="28"/>
    <x v="26"/>
    <n v="10"/>
    <x v="0"/>
    <m/>
    <m/>
    <m/>
    <m/>
    <x v="0"/>
    <m/>
    <x v="0"/>
    <m/>
    <x v="0"/>
    <m/>
    <x v="0"/>
    <s v="2017-10 Peace Ark"/>
    <s v="East Sea Fleet"/>
    <m/>
    <s v="http://english.chinamil.com.cn/view/2017-10/11/content_7783463.htm"/>
    <m/>
  </r>
  <r>
    <x v="0"/>
    <x v="8"/>
    <s v="Europe and Central Asia"/>
    <s v="Comprehensive Strategic Partnership [全面战略伙伴关系]"/>
    <s v="NATO"/>
    <x v="3"/>
    <x v="22"/>
    <x v="26"/>
    <n v="10"/>
    <x v="0"/>
    <m/>
    <m/>
    <m/>
    <m/>
    <x v="0"/>
    <m/>
    <x v="0"/>
    <m/>
    <x v="0"/>
    <m/>
    <x v="2"/>
    <s v="ETF-26"/>
    <s v="East Sea Fleet"/>
    <s v="FFG577 Huanggang, FFG578 Yangzhou"/>
    <s v="http://english.chinamil.com.cn/view/2017-10/17/content_7790399.htm"/>
    <m/>
  </r>
  <r>
    <x v="2"/>
    <x v="8"/>
    <s v="Europe and Central Asia"/>
    <s v="Comprehensive Strategic Partnership [全面战略伙伴关系]"/>
    <s v="NATO"/>
    <x v="3"/>
    <x v="22"/>
    <x v="26"/>
    <n v="10"/>
    <x v="5"/>
    <m/>
    <m/>
    <m/>
    <m/>
    <x v="0"/>
    <m/>
    <x v="2"/>
    <s v="Unnamed"/>
    <x v="2"/>
    <s v="Maritime"/>
    <x v="1"/>
    <m/>
    <m/>
    <m/>
    <m/>
    <m/>
  </r>
  <r>
    <x v="0"/>
    <x v="7"/>
    <s v="West Asia and Africa"/>
    <s v="Comprehensive Cooperative Partnership [全面合作伙伴关系]"/>
    <s v="None"/>
    <x v="4"/>
    <x v="67"/>
    <x v="26"/>
    <n v="10"/>
    <x v="0"/>
    <m/>
    <m/>
    <m/>
    <m/>
    <x v="0"/>
    <m/>
    <x v="0"/>
    <m/>
    <x v="0"/>
    <m/>
    <x v="0"/>
    <s v="2017-10 Peace Ark"/>
    <s v="East Sea Fleet"/>
    <m/>
    <s v="http://eng.chinamil.com.cn/view/2017-10/09/content_7779858.htm"/>
    <m/>
  </r>
  <r>
    <x v="0"/>
    <x v="8"/>
    <s v="Europe and Central Asia"/>
    <s v="Comprehensive Strategic Partnership [全面战略伙伴关系]"/>
    <s v="NATO"/>
    <x v="3"/>
    <x v="20"/>
    <x v="26"/>
    <n v="10"/>
    <x v="0"/>
    <m/>
    <m/>
    <m/>
    <m/>
    <x v="0"/>
    <m/>
    <x v="0"/>
    <m/>
    <x v="0"/>
    <m/>
    <x v="0"/>
    <s v="2017-10 TS83 Qi Jiguang"/>
    <s v="East Sea Fleet"/>
    <s v="TS83 QiJiguang"/>
    <s v="http://english.chinamil.com.cn/view/2017-10/30/content_7805014.htm"/>
    <m/>
  </r>
  <r>
    <x v="1"/>
    <x v="1"/>
    <s v="Asia"/>
    <s v="Comprehensive Strategic Cooperative Partnership [全面战略合作伙伴关系]"/>
    <s v="None"/>
    <x v="0"/>
    <x v="52"/>
    <x v="26"/>
    <n v="10"/>
    <x v="4"/>
    <s v="Chang Wanquan"/>
    <m/>
    <s v="Defense Minister; CMC Member"/>
    <n v="8"/>
    <x v="1"/>
    <s v="Defense Minister"/>
    <x v="0"/>
    <m/>
    <x v="0"/>
    <m/>
    <x v="1"/>
    <m/>
    <m/>
    <m/>
    <m/>
    <m/>
  </r>
  <r>
    <x v="1"/>
    <x v="1"/>
    <s v="Asia"/>
    <s v="Comprehensive Strategic Partnership [全面战略伙伴关系]"/>
    <s v="None"/>
    <x v="0"/>
    <x v="10"/>
    <x v="26"/>
    <n v="10"/>
    <x v="7"/>
    <s v="Chang Wanquan"/>
    <m/>
    <s v="Defense Minister; CMC Member"/>
    <n v="8"/>
    <x v="1"/>
    <s v="Defense Minister"/>
    <x v="0"/>
    <m/>
    <x v="0"/>
    <m/>
    <x v="1"/>
    <m/>
    <m/>
    <m/>
    <s v="http://www.china.org.cn/world/2017-10/25/content_41788870.htm"/>
    <m/>
  </r>
  <r>
    <x v="1"/>
    <x v="1"/>
    <s v="Asia"/>
    <s v="Strategic Cooperative Partnership [战略合作伙伴关系]"/>
    <s v="Bilateral Defense Treaty"/>
    <x v="0"/>
    <x v="11"/>
    <x v="26"/>
    <n v="10"/>
    <x v="4"/>
    <s v="Chang Wanquan"/>
    <m/>
    <s v="Defense Minister; CMC Member"/>
    <n v="8"/>
    <x v="1"/>
    <s v="President"/>
    <x v="0"/>
    <m/>
    <x v="0"/>
    <m/>
    <x v="1"/>
    <m/>
    <m/>
    <m/>
    <s v="http://www.xinhuanet.com//english/2017-10/26/c_136706834.htm; https://www.philstar.com/headlines/2017/10/25/1752613/philippines-china-agree-strengthen-defense-ties"/>
    <m/>
  </r>
  <r>
    <x v="0"/>
    <x v="8"/>
    <s v="Europe and Central Asia"/>
    <s v="Comprehensive Strategic Partnership [全面战略伙伴关系]"/>
    <s v="NATO"/>
    <x v="3"/>
    <x v="48"/>
    <x v="26"/>
    <n v="10"/>
    <x v="0"/>
    <m/>
    <m/>
    <m/>
    <m/>
    <x v="0"/>
    <m/>
    <x v="0"/>
    <m/>
    <x v="0"/>
    <m/>
    <x v="0"/>
    <s v="2017-10 TS83 Qi Jiguang"/>
    <s v="East Sea Fleet"/>
    <s v="TS83 QiJiguang"/>
    <s v="http://english.chinamil.com.cn/view/2017-10/17/content_7790455.htm"/>
    <m/>
  </r>
  <r>
    <x v="1"/>
    <x v="3"/>
    <s v="Europe and Central Asia"/>
    <s v="Comprehensive Collaborative Strategic Partnership [全面战略协作伙伴关系]"/>
    <s v="None"/>
    <x v="3"/>
    <x v="7"/>
    <x v="26"/>
    <n v="10"/>
    <x v="7"/>
    <s v="Chang Wanquan"/>
    <m/>
    <s v="Defense Minister; CMC Member"/>
    <n v="8"/>
    <x v="1"/>
    <s v="Defense Minister"/>
    <x v="0"/>
    <m/>
    <x v="0"/>
    <m/>
    <x v="1"/>
    <m/>
    <m/>
    <m/>
    <s v="http://eng.mil.ru/en/news_page/country/more.htm?id=12148169@egNews"/>
    <m/>
  </r>
  <r>
    <x v="1"/>
    <x v="1"/>
    <s v="Asia"/>
    <s v="All-Round Cooperative Partnership [全方合作伙伴关系]"/>
    <s v="None"/>
    <x v="0"/>
    <x v="39"/>
    <x v="26"/>
    <n v="10"/>
    <x v="7"/>
    <s v="Chang Wanquan"/>
    <m/>
    <s v="Defense Minister; CMC Member"/>
    <n v="8"/>
    <x v="1"/>
    <s v="Defense Minister"/>
    <x v="0"/>
    <m/>
    <x v="0"/>
    <m/>
    <x v="1"/>
    <m/>
    <m/>
    <m/>
    <s v="http://english.chinamil.com.cn/view/2017-10/24/content_7798270.htm"/>
    <m/>
  </r>
  <r>
    <x v="1"/>
    <x v="4"/>
    <s v="Asia"/>
    <s v="Strategic Cooperative Partnership [战略合作伙伴关系]"/>
    <s v="Bilateral Defense Treaty"/>
    <x v="0"/>
    <x v="25"/>
    <x v="26"/>
    <n v="10"/>
    <x v="7"/>
    <s v="Chang Wanquan"/>
    <m/>
    <s v="Defense Minister; CMC Member"/>
    <n v="8"/>
    <x v="1"/>
    <s v="Defense Minister"/>
    <x v="0"/>
    <m/>
    <x v="0"/>
    <m/>
    <x v="1"/>
    <m/>
    <m/>
    <m/>
    <s v="http://www.china.org.cn/world/2017-10/25/content_41788870.htm"/>
    <m/>
  </r>
  <r>
    <x v="2"/>
    <x v="1"/>
    <s v="Asia"/>
    <s v="Comprehensive Strategic Cooperative Partnership [全面战略合作伙伴关系]"/>
    <s v="Bilateral Defense Treaty"/>
    <x v="0"/>
    <x v="5"/>
    <x v="26"/>
    <n v="10"/>
    <x v="5"/>
    <m/>
    <m/>
    <m/>
    <m/>
    <x v="0"/>
    <m/>
    <x v="2"/>
    <s v="Unnamed"/>
    <x v="2"/>
    <s v="Maritime"/>
    <x v="1"/>
    <m/>
    <m/>
    <m/>
    <m/>
    <m/>
  </r>
  <r>
    <x v="0"/>
    <x v="1"/>
    <s v="Asia"/>
    <s v="Comprehensive Strategic Cooperative Partnership [全面战略合作伙伴关系]"/>
    <s v="Bilateral Defense Treaty"/>
    <x v="0"/>
    <x v="5"/>
    <x v="26"/>
    <n v="10"/>
    <x v="0"/>
    <m/>
    <m/>
    <m/>
    <m/>
    <x v="0"/>
    <m/>
    <x v="0"/>
    <m/>
    <x v="0"/>
    <m/>
    <x v="0"/>
    <s v="2017-10 DDG150 Changchun"/>
    <s v="East Sea Fleet"/>
    <s v="DDG150 Changchun, FFG532 Jingzhou, AOR890 Chaohu"/>
    <s v="http://www.chinadaily.com.cn/china/2017-10/06/content_32901405.htm"/>
    <s v="Last stop of 20 country, six month series of port calls"/>
  </r>
  <r>
    <x v="0"/>
    <x v="8"/>
    <s v="Europe and Central Asia"/>
    <s v="Comprehensive Strategic Partnership [全面战略伙伴关系]"/>
    <s v="NATO"/>
    <x v="3"/>
    <x v="21"/>
    <x v="26"/>
    <n v="10"/>
    <x v="0"/>
    <m/>
    <m/>
    <m/>
    <m/>
    <x v="0"/>
    <m/>
    <x v="0"/>
    <m/>
    <x v="0"/>
    <m/>
    <x v="2"/>
    <s v="ETF-26"/>
    <s v="East Sea Fleet"/>
    <s v="FFG577 Huanggang, FFG578 Yangzhou"/>
    <s v="http://english.chinamil.com.cn/view/2017-10/06/content_7778058.htm"/>
    <m/>
  </r>
  <r>
    <x v="0"/>
    <x v="0"/>
    <s v="Asia"/>
    <s v="Strategic Cooperative Partnership [战略合作伙伴关系]"/>
    <s v="None"/>
    <x v="0"/>
    <x v="0"/>
    <x v="26"/>
    <n v="11"/>
    <x v="0"/>
    <m/>
    <m/>
    <m/>
    <m/>
    <x v="0"/>
    <m/>
    <x v="0"/>
    <m/>
    <x v="0"/>
    <m/>
    <x v="0"/>
    <s v="2017-11 FFG571 Yuncheng"/>
    <s v="East Sea Fleet"/>
    <s v="FFG571 Yuncheng"/>
    <s v=" http://english.chinamil.com.cn/view/2017-11/27/content_7845199.htm; http://english.chinamil.com.cn/view/2017-11/28/content_7847148.htm"/>
    <s v="Had previously participated in Joint Sea 2017 with DDG Hefei"/>
  </r>
  <r>
    <x v="1"/>
    <x v="8"/>
    <s v="Europe and Central Asia"/>
    <s v="Comprehensive Friendly Cooperative Partnership [全面友好合作伙伴关系]"/>
    <s v="NATO"/>
    <x v="3"/>
    <x v="79"/>
    <x v="26"/>
    <n v="11"/>
    <x v="3"/>
    <s v="Ding Laihang "/>
    <m/>
    <s v="PLAAF Commander "/>
    <n v="6"/>
    <x v="2"/>
    <s v="Commander of Air Force"/>
    <x v="0"/>
    <m/>
    <x v="0"/>
    <m/>
    <x v="1"/>
    <m/>
    <m/>
    <m/>
    <s v="http://english.chinamil.com.cn/view/2017-11/28/content_7847062.htm"/>
    <m/>
  </r>
  <r>
    <x v="1"/>
    <x v="7"/>
    <s v="West Asia and Africa"/>
    <s v="No Specific Relationship"/>
    <s v="None"/>
    <x v="4"/>
    <x v="132"/>
    <x v="26"/>
    <n v="11"/>
    <x v="3"/>
    <s v="Chang Wanquan"/>
    <m/>
    <s v="Defense Minister; CMC Member"/>
    <n v="8"/>
    <x v="2"/>
    <s v="Minister for Foreign Affairs "/>
    <x v="0"/>
    <m/>
    <x v="0"/>
    <m/>
    <x v="1"/>
    <m/>
    <m/>
    <m/>
    <s v="http://english.chinamil.com.cn/view/2017-11/10/content_7819995.htm"/>
    <m/>
  </r>
  <r>
    <x v="2"/>
    <x v="0"/>
    <s v="Asia"/>
    <s v="No Specific Relationship"/>
    <s v="None"/>
    <x v="0"/>
    <x v="164"/>
    <x v="26"/>
    <n v="11"/>
    <x v="6"/>
    <m/>
    <m/>
    <m/>
    <m/>
    <x v="0"/>
    <m/>
    <x v="2"/>
    <s v="International Maritime Search and Rescue Exercise"/>
    <x v="2"/>
    <s v="Search and rescue; held in Bangladesh"/>
    <x v="1"/>
    <m/>
    <m/>
    <m/>
    <m/>
    <m/>
  </r>
  <r>
    <x v="0"/>
    <x v="7"/>
    <s v="West Asia and Africa"/>
    <s v="Comprehensive Strategic Cooperative Partnership [全面战略合作伙伴关系]"/>
    <s v="None"/>
    <x v="4"/>
    <x v="84"/>
    <x v="26"/>
    <n v="11"/>
    <x v="0"/>
    <m/>
    <m/>
    <m/>
    <m/>
    <x v="0"/>
    <m/>
    <x v="0"/>
    <m/>
    <x v="0"/>
    <m/>
    <x v="0"/>
    <s v="2017-11 Peace Ark"/>
    <s v="East Sea Fleet"/>
    <m/>
    <s v="http://english.chinamil.com.cn/view/2017-11/08/content_7816817.htm"/>
    <m/>
  </r>
  <r>
    <x v="1"/>
    <x v="1"/>
    <s v="Asia"/>
    <s v="Comprehensive Strategic Cooperative Partnership [全面战略合作伙伴关系]"/>
    <s v="None"/>
    <x v="0"/>
    <x v="1"/>
    <x v="26"/>
    <n v="11"/>
    <x v="3"/>
    <s v="Xu Qiliang"/>
    <m/>
    <s v="CMC Vice Chairman"/>
    <n v="10"/>
    <x v="2"/>
    <s v="Visiting Commander in Chief"/>
    <x v="0"/>
    <m/>
    <x v="0"/>
    <m/>
    <x v="1"/>
    <m/>
    <m/>
    <m/>
    <m/>
    <m/>
  </r>
  <r>
    <x v="1"/>
    <x v="5"/>
    <s v="America and Oceania"/>
    <s v="Comprehensive Strategic Partnership [全面战略伙伴关系]"/>
    <s v="ANZUS Treaty"/>
    <x v="0"/>
    <x v="13"/>
    <x v="26"/>
    <n v="11"/>
    <x v="3"/>
    <s v="Song Puxuan"/>
    <m/>
    <s v="CMC/LSD Director"/>
    <n v="8"/>
    <x v="2"/>
    <s v="Commander of the Logistics Command "/>
    <x v="0"/>
    <m/>
    <x v="0"/>
    <m/>
    <x v="1"/>
    <m/>
    <m/>
    <m/>
    <s v="http://english.chinamil.com.cn/view/2017-11/02/content_7810455.htm"/>
    <m/>
  </r>
  <r>
    <x v="1"/>
    <x v="0"/>
    <s v="Asia"/>
    <s v="All-Weather Strategic Cooperative Partnership [全天候战略合作伙伴关系]"/>
    <s v="Major Non-NATO Ally"/>
    <x v="1"/>
    <x v="2"/>
    <x v="26"/>
    <n v="11"/>
    <x v="3"/>
    <s v="Li Zuocheng"/>
    <m/>
    <s v="PLAA Commander"/>
    <n v="6"/>
    <x v="2"/>
    <s v="Chief of General Staff"/>
    <x v="0"/>
    <m/>
    <x v="0"/>
    <m/>
    <x v="1"/>
    <m/>
    <m/>
    <m/>
    <s v="http://english.chinamil.com.cn/view/2017-11/20/content_7833802.htm"/>
    <m/>
  </r>
  <r>
    <x v="2"/>
    <x v="0"/>
    <s v="Asia"/>
    <s v="All-Weather Strategic Cooperative Partnership [全天候战略合作伙伴关系]"/>
    <s v="Major Non-NATO Ally"/>
    <x v="1"/>
    <x v="2"/>
    <x v="26"/>
    <n v="11"/>
    <x v="5"/>
    <m/>
    <m/>
    <m/>
    <m/>
    <x v="0"/>
    <m/>
    <x v="2"/>
    <s v="Unnamed"/>
    <x v="2"/>
    <s v="Maritime"/>
    <x v="1"/>
    <m/>
    <m/>
    <m/>
    <m/>
    <m/>
  </r>
  <r>
    <x v="0"/>
    <x v="0"/>
    <s v="Asia"/>
    <s v="Strategic Cooperative Partnership [战略合作伙伴关系]"/>
    <s v="None"/>
    <x v="0"/>
    <x v="3"/>
    <x v="26"/>
    <n v="11"/>
    <x v="0"/>
    <m/>
    <m/>
    <m/>
    <m/>
    <x v="0"/>
    <m/>
    <x v="0"/>
    <m/>
    <x v="0"/>
    <m/>
    <x v="0"/>
    <s v="2017-11 TS83 Qi Jiguang"/>
    <s v="East Sea Fleet"/>
    <s v="TS83 QiJiguang"/>
    <s v="http://english.chinamil.com.cn/view/2017-11/15/content_7827412.htm"/>
    <m/>
  </r>
  <r>
    <x v="0"/>
    <x v="7"/>
    <s v="West Asia and Africa"/>
    <s v="Comprehensive Cooperative Partnership [全面合作伙伴关系]"/>
    <s v="None"/>
    <x v="4"/>
    <x v="16"/>
    <x v="26"/>
    <n v="11"/>
    <x v="0"/>
    <m/>
    <m/>
    <m/>
    <m/>
    <x v="0"/>
    <m/>
    <x v="0"/>
    <m/>
    <x v="0"/>
    <m/>
    <x v="0"/>
    <s v="2017-11 Peace Ark"/>
    <s v="East Sea Fleet"/>
    <m/>
    <s v="http://english.chinamil.com.cn/view/2017-11/20/content_7832446.htm"/>
    <m/>
  </r>
  <r>
    <x v="0"/>
    <x v="1"/>
    <s v="Asia"/>
    <s v="Comprehensive Strategic Cooperative Partnership [全面战略合作伙伴关系]"/>
    <s v="Bilateral Defense Treaty"/>
    <x v="0"/>
    <x v="5"/>
    <x v="26"/>
    <n v="11"/>
    <x v="0"/>
    <m/>
    <m/>
    <m/>
    <m/>
    <x v="0"/>
    <m/>
    <x v="0"/>
    <m/>
    <x v="0"/>
    <m/>
    <x v="0"/>
    <s v="2017-11 TS83 Qi Jiguang"/>
    <s v="East Sea Fleet"/>
    <s v="TS83 QiJiguang"/>
    <s v="http://eng.chinamil.com.cn/view/2017-11/27/content_7845180.htm"/>
    <m/>
  </r>
  <r>
    <x v="0"/>
    <x v="1"/>
    <s v="Asia"/>
    <s v="Comprehensive Strategic Cooperative Partnership [全面战略合作伙伴关系]"/>
    <s v="Bilateral Defense Treaty"/>
    <x v="0"/>
    <x v="5"/>
    <x v="26"/>
    <n v="11"/>
    <x v="0"/>
    <m/>
    <m/>
    <m/>
    <m/>
    <x v="0"/>
    <m/>
    <x v="0"/>
    <m/>
    <x v="0"/>
    <m/>
    <x v="0"/>
    <s v="2017-11 DDG150 Changchun"/>
    <s v="East Sea Fleet"/>
    <s v="DDG150 Changchun"/>
    <s v="http://english.chinamil.com.cn/view/2017-11/10/content_7820123.htm"/>
    <s v="Participated in International Fleet Review 2017; sailed from Zhoushan"/>
  </r>
  <r>
    <x v="2"/>
    <x v="2"/>
    <s v="America and Oceania"/>
    <s v="No Specific Relationship"/>
    <s v="N/A"/>
    <x v="2"/>
    <x v="4"/>
    <x v="26"/>
    <n v="11"/>
    <x v="5"/>
    <m/>
    <m/>
    <m/>
    <m/>
    <x v="0"/>
    <m/>
    <x v="2"/>
    <s v="13th China-US Disaster Management TTX"/>
    <x v="1"/>
    <s v="Oregon; HADR academic discussion; TTX; and field exchange"/>
    <x v="1"/>
    <m/>
    <m/>
    <m/>
    <s v="http://english.chinamil.com.cn/view/2017-11/20/content_7833799.htm; https://www.defense.gov/News/News-Stories/Article/Article/1380334/us-chinese-troops-attend-disaster-management-exchange/"/>
    <m/>
  </r>
  <r>
    <x v="1"/>
    <x v="2"/>
    <s v="America and Oceania"/>
    <s v="No Specific Relationship"/>
    <s v="N/A"/>
    <x v="2"/>
    <x v="4"/>
    <x v="26"/>
    <n v="11"/>
    <x v="4"/>
    <s v="Shao Yuanming"/>
    <m/>
    <s v="CMC/JSD DCJS"/>
    <n v="5"/>
    <x v="1"/>
    <s v="Director for Strategic Plans and Policy of the Joint Chiefs of Staff"/>
    <x v="0"/>
    <m/>
    <x v="0"/>
    <m/>
    <x v="1"/>
    <m/>
    <m/>
    <m/>
    <s v="http://english.chinamil.com.cn/view/2017-11/30/content_7851222.htm"/>
    <s v="JSD/DCJS position downgraded to TC deputy grade; position weights adjusted"/>
  </r>
  <r>
    <x v="1"/>
    <x v="7"/>
    <s v="West Asia and Africa"/>
    <s v="No Specific Relationship"/>
    <s v="None"/>
    <x v="4"/>
    <x v="61"/>
    <x v="26"/>
    <n v="11"/>
    <x v="3"/>
    <s v="Ding Laihang "/>
    <m/>
    <s v="PLAAF Commander "/>
    <n v="6"/>
    <x v="2"/>
    <s v="Commander of Air Force"/>
    <x v="0"/>
    <m/>
    <x v="0"/>
    <m/>
    <x v="1"/>
    <m/>
    <m/>
    <m/>
    <s v="http://english.chinamil.com.cn/view/2017-11/17/content_7831111.htm"/>
    <m/>
  </r>
  <r>
    <x v="1"/>
    <x v="7"/>
    <s v="West Asia and Africa"/>
    <s v="No Specific Relationship"/>
    <s v="None"/>
    <x v="4"/>
    <x v="86"/>
    <x v="26"/>
    <n v="11"/>
    <x v="3"/>
    <s v="Chang Wanquan"/>
    <m/>
    <s v="Defense Minister; CMC Member"/>
    <n v="8"/>
    <x v="2"/>
    <s v="Commander of Defense Forces"/>
    <x v="0"/>
    <m/>
    <x v="0"/>
    <m/>
    <x v="1"/>
    <m/>
    <m/>
    <m/>
    <s v="http://english.chinamil.com.cn/view/2017-11/09/content_7818645.htm"/>
    <m/>
  </r>
  <r>
    <x v="1"/>
    <x v="0"/>
    <s v="Europe and Central Asia"/>
    <s v="Strategic Partnership [战略伙伴关系]"/>
    <s v="Major Non-NATO Ally"/>
    <x v="1"/>
    <x v="123"/>
    <x v="26"/>
    <n v="12"/>
    <x v="3"/>
    <s v="Chang Wanquan"/>
    <m/>
    <s v="Defense Minister; CMC Member"/>
    <n v="8"/>
    <x v="2"/>
    <s v="Defense Minister"/>
    <x v="0"/>
    <m/>
    <x v="0"/>
    <m/>
    <x v="1"/>
    <m/>
    <m/>
    <m/>
    <s v="http://english.chinamil.com.cn/view/2017-12/27/content_7886245.htm"/>
    <m/>
  </r>
  <r>
    <x v="2"/>
    <x v="5"/>
    <s v="America and Oceania"/>
    <s v="Comprehensive Strategic Partnership [全面战略伙伴关系]"/>
    <s v="ANZUS Treaty"/>
    <x v="0"/>
    <x v="12"/>
    <x v="26"/>
    <n v="12"/>
    <x v="6"/>
    <m/>
    <m/>
    <m/>
    <m/>
    <x v="0"/>
    <m/>
    <x v="2"/>
    <s v="Cooperation Spirit 2017"/>
    <x v="2"/>
    <s v="Humanitarian aid "/>
    <x v="1"/>
    <m/>
    <m/>
    <m/>
    <s v="http://english.chinamil.com.cn/view/2017-12/07/content_7858238.htm"/>
    <m/>
  </r>
  <r>
    <x v="1"/>
    <x v="1"/>
    <s v="Asia"/>
    <s v="Comprehensive Strategic Cooperative Partnership [全面战略合作伙伴关系]"/>
    <s v="None"/>
    <x v="0"/>
    <x v="94"/>
    <x v="26"/>
    <n v="12"/>
    <x v="3"/>
    <s v="Ma Yiming"/>
    <m/>
    <s v="CMC/JSD DCJS"/>
    <n v="5"/>
    <x v="2"/>
    <s v="Deputy Commander in Chief"/>
    <x v="0"/>
    <m/>
    <x v="0"/>
    <m/>
    <x v="1"/>
    <m/>
    <m/>
    <m/>
    <m/>
    <s v="JSD/DCJS position downgraded to TC deputy grade; position weights adjusted"/>
  </r>
  <r>
    <x v="0"/>
    <x v="1"/>
    <s v="Asia"/>
    <s v="Comprehensive Cooperative Partnership [全面合作伙伴关系]"/>
    <s v="None"/>
    <x v="0"/>
    <x v="50"/>
    <x v="26"/>
    <n v="12"/>
    <x v="0"/>
    <m/>
    <m/>
    <m/>
    <m/>
    <x v="0"/>
    <m/>
    <x v="0"/>
    <m/>
    <x v="0"/>
    <m/>
    <x v="0"/>
    <s v="2017-12 Peace Ark"/>
    <s v="East Sea Fleet "/>
    <m/>
    <s v="http://eng.chinamil.com.cn/view/2017-12/15/content_7870166.htm"/>
    <m/>
  </r>
  <r>
    <x v="2"/>
    <x v="1"/>
    <s v="Asia"/>
    <s v="Comprehensive Cooperative Partnership [全面合作伙伴关系]"/>
    <s v="None"/>
    <x v="0"/>
    <x v="50"/>
    <x v="26"/>
    <n v="12"/>
    <x v="5"/>
    <m/>
    <m/>
    <m/>
    <m/>
    <x v="0"/>
    <m/>
    <x v="2"/>
    <s v="Unnamed"/>
    <x v="2"/>
    <s v="Humanitarian assistance and disaster relief"/>
    <x v="1"/>
    <m/>
    <m/>
    <m/>
    <m/>
    <m/>
  </r>
  <r>
    <x v="1"/>
    <x v="7"/>
    <s v="West Asia and Africa"/>
    <s v="Comprehensive Cooperative Partnership [全面合作伙伴关系]"/>
    <s v="None"/>
    <x v="4"/>
    <x v="67"/>
    <x v="26"/>
    <n v="12"/>
    <x v="3"/>
    <s v="Chang Wanquan"/>
    <m/>
    <s v="Defense Minister; CMC Member"/>
    <n v="8"/>
    <x v="2"/>
    <s v="Defense Minister"/>
    <x v="0"/>
    <m/>
    <x v="0"/>
    <m/>
    <x v="1"/>
    <m/>
    <m/>
    <m/>
    <s v="http://english.chinamil.com.cn/view/2017-12/19/content_7873974.htm"/>
    <m/>
  </r>
  <r>
    <x v="1"/>
    <x v="9"/>
    <s v="West Asia and Africa"/>
    <s v="Comprehensive Strategic Partnership [全面战略伙伴关系]"/>
    <s v="None"/>
    <x v="1"/>
    <x v="89"/>
    <x v="26"/>
    <n v="12"/>
    <x v="3"/>
    <s v="Chang Wanquan"/>
    <m/>
    <s v="Defense Minister; CMC Member"/>
    <n v="8"/>
    <x v="2"/>
    <s v="Defense Minister"/>
    <x v="0"/>
    <m/>
    <x v="0"/>
    <m/>
    <x v="1"/>
    <m/>
    <m/>
    <m/>
    <s v="http://english.chinamil.com.cn/view/2017-12/11/content_7863222.htm"/>
    <m/>
  </r>
  <r>
    <x v="1"/>
    <x v="7"/>
    <s v="West Asia and Africa"/>
    <s v="Comprehensive Strategic Cooperative Partnership [全面战略合作伙伴关系]"/>
    <s v="None"/>
    <x v="4"/>
    <x v="84"/>
    <x v="26"/>
    <n v="12"/>
    <x v="3"/>
    <s v="Li Zuocheng"/>
    <m/>
    <s v="CMC/JSD CJS"/>
    <n v="8"/>
    <x v="2"/>
    <s v="Chief of General Staff"/>
    <x v="0"/>
    <m/>
    <x v="0"/>
    <m/>
    <x v="1"/>
    <m/>
    <m/>
    <m/>
    <s v="http://english.chinamil.com.cn/view/2017-12/13/content_7865423.htm; http://english.chinamil.com.cn/view/2017-12/21/content_7878182.htm"/>
    <m/>
  </r>
  <r>
    <x v="2"/>
    <x v="0"/>
    <s v="Asia"/>
    <s v="All-Weather Strategic Cooperative Partnership [全天候战略合作伙伴关系]"/>
    <s v="Major Non-NATO Ally"/>
    <x v="1"/>
    <x v="2"/>
    <x v="26"/>
    <n v="12"/>
    <x v="5"/>
    <m/>
    <m/>
    <m/>
    <m/>
    <x v="0"/>
    <m/>
    <x v="4"/>
    <s v="Friend-2017"/>
    <x v="2"/>
    <s v="Anti-piracy"/>
    <x v="1"/>
    <m/>
    <m/>
    <m/>
    <s v="http://english.chinamil.com.cn/view/2017-12/05/content_7855318.htm"/>
    <m/>
  </r>
  <r>
    <x v="1"/>
    <x v="3"/>
    <s v="Europe and Central Asia"/>
    <s v="Comprehensive Collaborative Strategic Partnership [全面战略协作伙伴关系]"/>
    <s v="None"/>
    <x v="3"/>
    <x v="7"/>
    <x v="26"/>
    <n v="12"/>
    <x v="4"/>
    <s v="Zhang Youxia"/>
    <m/>
    <s v="CMC Vice Chairman"/>
    <n v="10"/>
    <x v="1"/>
    <s v="Defense Minister"/>
    <x v="0"/>
    <m/>
    <x v="0"/>
    <m/>
    <x v="1"/>
    <m/>
    <m/>
    <m/>
    <s v="http://english.chinamil.com.cn/view/2017-12/21/content_7878182.htm; http://english.chinamil.com.cn/view/2017-12/06/content_7857475.htm"/>
    <m/>
  </r>
  <r>
    <x v="2"/>
    <x v="3"/>
    <s v="Europe and Central Asia"/>
    <s v="Comprehensive Collaborative Strategic Partnership [全面战略协作伙伴关系]"/>
    <s v="None"/>
    <x v="3"/>
    <x v="7"/>
    <x v="26"/>
    <n v="12"/>
    <x v="5"/>
    <m/>
    <m/>
    <m/>
    <m/>
    <x v="0"/>
    <m/>
    <x v="1"/>
    <s v="Cooperation 2017"/>
    <x v="4"/>
    <s v="Held in Yinchuan; &quot;training of assault into buildings, searching and combating in blocks and anti-hijacking of bus&quot;"/>
    <x v="1"/>
    <m/>
    <m/>
    <m/>
    <s v="http://english.chinamil.com.cn/view/2017-12/09/content_7861253.htm"/>
    <m/>
  </r>
  <r>
    <x v="2"/>
    <x v="3"/>
    <s v="Europe and Central Asia"/>
    <s v="Comprehensive Collaborative Strategic Partnership [全面战略协作伙伴关系]"/>
    <s v="None"/>
    <x v="3"/>
    <x v="7"/>
    <x v="26"/>
    <n v="12"/>
    <x v="5"/>
    <m/>
    <m/>
    <m/>
    <m/>
    <x v="0"/>
    <m/>
    <x v="7"/>
    <s v="Aerospace Security 2017"/>
    <x v="5"/>
    <s v="Computer-enabled missile defense exercise (TTX).  Held at  Air Defense and Anti-Missile Defense Research Institute of the Air Force Academy of the Chinese People's Liberation Army in Beijing."/>
    <x v="1"/>
    <m/>
    <m/>
    <m/>
    <s v="2019 Defense White Paper "/>
    <s v="Included even though it is a CPX due to the strategic significance of the exercise subject"/>
  </r>
  <r>
    <x v="1"/>
    <x v="1"/>
    <s v="Asia"/>
    <s v="All-Round Cooperative Partnership [全方合作伙伴关系]"/>
    <s v="None"/>
    <x v="0"/>
    <x v="39"/>
    <x v="26"/>
    <n v="12"/>
    <x v="4"/>
    <s v="Jiang Guoping"/>
    <m/>
    <s v="CMC/JSD Assistant Commander"/>
    <n v="5"/>
    <x v="1"/>
    <s v="Defense Minister"/>
    <x v="0"/>
    <m/>
    <x v="0"/>
    <m/>
    <x v="1"/>
    <m/>
    <m/>
    <m/>
    <s v="http://english.chinamil.com.cn/view/2017-12/13/content_7866854.htm"/>
    <s v="Added source"/>
  </r>
  <r>
    <x v="1"/>
    <x v="6"/>
    <s v="Europe and Central Asia"/>
    <s v="Comprehensive Strategic Partnership [全面战略伙伴关系]"/>
    <s v="None"/>
    <x v="1"/>
    <x v="73"/>
    <x v="26"/>
    <n v="12"/>
    <x v="4"/>
    <s v="Chang Wanquan"/>
    <m/>
    <s v="Defense Minister; CMC Member"/>
    <n v="8"/>
    <x v="1"/>
    <s v="Major General"/>
    <x v="0"/>
    <m/>
    <x v="0"/>
    <m/>
    <x v="1"/>
    <m/>
    <m/>
    <m/>
    <s v="http://english.chinamil.com.cn/view/2017-12/14/content_7868625.htm; http://english.chinamil.com.cn/view/2017-12/20/content_7877799.htm"/>
    <m/>
  </r>
  <r>
    <x v="0"/>
    <x v="7"/>
    <s v="West Asia and Africa"/>
    <s v="Comprehensive Strategic Partnership [全面战略伙伴关系]"/>
    <s v="None"/>
    <x v="4"/>
    <x v="76"/>
    <x v="27"/>
    <n v="1"/>
    <x v="0"/>
    <m/>
    <m/>
    <m/>
    <m/>
    <x v="0"/>
    <m/>
    <x v="0"/>
    <m/>
    <x v="0"/>
    <m/>
    <x v="2"/>
    <s v="ETF-27"/>
    <s v="South Sea Fleet"/>
    <s v="DDG171 Haikou, FFG575 Yueyang"/>
    <s v="http://english.chinamil.com.cn/view/2018-01/09/content_7901186.htm"/>
    <m/>
  </r>
  <r>
    <x v="0"/>
    <x v="7"/>
    <s v="West Asia and Africa"/>
    <s v="Strategic Partnership [战略伙伴关系]"/>
    <s v="Major Non-NATO Ally"/>
    <x v="4"/>
    <x v="27"/>
    <x v="27"/>
    <n v="1"/>
    <x v="0"/>
    <m/>
    <m/>
    <m/>
    <m/>
    <x v="0"/>
    <m/>
    <x v="0"/>
    <m/>
    <x v="0"/>
    <m/>
    <x v="2"/>
    <s v="ETF-27"/>
    <s v="South Sea Fleet"/>
    <s v="DDG171 Haikou, FFG575 Yueyang"/>
    <s v="http://english.chinamil.com.cn/view/2018-01/30/content_7926171.htm"/>
    <m/>
  </r>
  <r>
    <x v="1"/>
    <x v="1"/>
    <s v="Asia"/>
    <s v="Comprehensive Strategic Cooperative Partnership [全面战略合作伙伴关系]"/>
    <s v="None"/>
    <x v="0"/>
    <x v="1"/>
    <x v="27"/>
    <n v="1"/>
    <x v="3"/>
    <s v="Chang Wanquan"/>
    <m/>
    <s v="Defense Minister; CMC Member"/>
    <n v="8"/>
    <x v="2"/>
    <s v="Navy Commander"/>
    <x v="0"/>
    <m/>
    <x v="0"/>
    <m/>
    <x v="1"/>
    <m/>
    <m/>
    <m/>
    <s v="http://www.81.cn/jwzb/2018-01/12/content_7906916.htm; http://english.chinamil.com.cn/view/2018-01/17/content_7912398.htm"/>
    <s v="Added; MINDEF and MY Navy Chief as participants"/>
  </r>
  <r>
    <x v="1"/>
    <x v="1"/>
    <s v="Asia"/>
    <s v="Comprehensive Strategic Cooperative Partnership [全面战略合作伙伴关系]"/>
    <s v="None"/>
    <x v="0"/>
    <x v="1"/>
    <x v="27"/>
    <n v="1"/>
    <x v="4"/>
    <s v="Shao Yuanming"/>
    <m/>
    <s v="CMC/JSD DCJS"/>
    <n v="5"/>
    <x v="2"/>
    <s v="Minister of International Cooperation "/>
    <x v="0"/>
    <m/>
    <x v="0"/>
    <m/>
    <x v="1"/>
    <m/>
    <m/>
    <m/>
    <s v="http://english.chinamil.com.cn/view/2018-01/17/content_7912398.htm; http://www.xinhuanet.com/english/2018-01/17/c_136903260.htm"/>
    <s v="diplomacy and defense talks; original entry miscoded as hosted visit; JSD/DCJS position downgraded so position weight adjusted"/>
  </r>
  <r>
    <x v="0"/>
    <x v="7"/>
    <s v="West Asia and Africa"/>
    <s v="No Specific Relationship"/>
    <s v="Major Non-NATO Ally"/>
    <x v="4"/>
    <x v="85"/>
    <x v="27"/>
    <n v="1"/>
    <x v="0"/>
    <m/>
    <m/>
    <m/>
    <m/>
    <x v="0"/>
    <m/>
    <x v="0"/>
    <m/>
    <x v="0"/>
    <m/>
    <x v="2"/>
    <s v="ETF-27"/>
    <s v="South Sea Fleet"/>
    <s v="DDG171 Haikou, FFG575 Yueyang"/>
    <s v="http://english.chinamil.com.cn/view/2018-01/23/content_7918716.htm"/>
    <m/>
  </r>
  <r>
    <x v="1"/>
    <x v="1"/>
    <s v="Asia"/>
    <s v="Strategic Partnership [战略伙伴关系] for Peace and Prosperity"/>
    <s v="None"/>
    <x v="0"/>
    <x v="153"/>
    <x v="27"/>
    <n v="2"/>
    <x v="1"/>
    <s v="Chang Wanquan"/>
    <m/>
    <s v="Defense Minister; CMC Member"/>
    <n v="8"/>
    <x v="1"/>
    <s v="Eighth China-ASEAN Defense Ministers' Informal Meeting in Singapore"/>
    <x v="0"/>
    <m/>
    <x v="0"/>
    <m/>
    <x v="1"/>
    <m/>
    <m/>
    <m/>
    <s v="http://eng.chinamil.com.cn/view/2018-02/08/content_7938520.htm"/>
    <s v="corrected partnership to strategic partnership for peace and prosperity"/>
  </r>
  <r>
    <x v="1"/>
    <x v="7"/>
    <s v="West Asia and Africa"/>
    <s v="Comprehensive Cooperative Partnership [全面合作伙伴关系]"/>
    <s v="None"/>
    <x v="4"/>
    <x v="46"/>
    <x v="27"/>
    <n v="2"/>
    <x v="4"/>
    <s v="Chang Wanquan"/>
    <m/>
    <s v="Defense Minister; CMC Member"/>
    <n v="8"/>
    <x v="1"/>
    <s v="Defense Minister"/>
    <x v="0"/>
    <m/>
    <x v="0"/>
    <m/>
    <x v="1"/>
    <m/>
    <m/>
    <m/>
    <s v="http://www.xinhuanet.com/english/2018-02/26/c_137001512.htm"/>
    <m/>
  </r>
  <r>
    <x v="1"/>
    <x v="7"/>
    <s v="West Asia and Africa"/>
    <s v="Comprehensive Cooperative Partnership [全面合作伙伴关系]"/>
    <s v="None"/>
    <x v="4"/>
    <x v="67"/>
    <x v="27"/>
    <n v="2"/>
    <x v="4"/>
    <s v="Chang Wanquan"/>
    <m/>
    <s v="Defense Minister; CMC Member"/>
    <n v="8"/>
    <x v="1"/>
    <s v="Defense Minister"/>
    <x v="0"/>
    <m/>
    <x v="0"/>
    <m/>
    <x v="1"/>
    <m/>
    <m/>
    <m/>
    <s v="http://english.chinamil.com.cn/view/2018-02/26/content_7952675.htm"/>
    <m/>
  </r>
  <r>
    <x v="1"/>
    <x v="1"/>
    <s v="Asia"/>
    <s v="All-Round Cooperative Partnership [全方合作伙伴关系]"/>
    <s v="None"/>
    <x v="0"/>
    <x v="39"/>
    <x v="27"/>
    <n v="2"/>
    <x v="4"/>
    <s v="Chang Wanquan"/>
    <m/>
    <s v="Defense Minister; CMC Member"/>
    <n v="8"/>
    <x v="1"/>
    <s v="Defense Minister"/>
    <x v="0"/>
    <m/>
    <x v="0"/>
    <m/>
    <x v="1"/>
    <m/>
    <m/>
    <m/>
    <s v="http://english.chinamil.com.cn/view/2018-02/06/content_7934820.htm; http://www.xinhuanet.com/overseas/2018-02/07/c_1122383474.htm."/>
    <s v="BL with SG and informal meeting with ASEAN Defense Ministers"/>
  </r>
  <r>
    <x v="0"/>
    <x v="7"/>
    <s v="West Asia and Africa"/>
    <s v="Comprehensive Strategic Partnership [全面战略伙伴关系]"/>
    <s v="None"/>
    <x v="4"/>
    <x v="15"/>
    <x v="27"/>
    <n v="2"/>
    <x v="9"/>
    <m/>
    <m/>
    <m/>
    <m/>
    <x v="0"/>
    <m/>
    <x v="0"/>
    <m/>
    <x v="0"/>
    <m/>
    <x v="2"/>
    <s v="ETF-27"/>
    <s v="South Sea Fleet"/>
    <s v="DDG171 Haikou, FFG575 Yueyang"/>
    <s v="http://english.chinamil.com.cn/view/2018-02/24/content_7950974.htm; http://www.mod.gov.cn/action/2018-02/22/content_4805180.htm"/>
    <s v="Recoded as replenishment port call based on Chinese source"/>
  </r>
  <r>
    <x v="2"/>
    <x v="1"/>
    <s v="Asia"/>
    <s v="Comprehensive Strategic Cooperative Partnership [全面战略合作伙伴关系]"/>
    <s v="Bilateral Defense Treaty"/>
    <x v="0"/>
    <x v="5"/>
    <x v="27"/>
    <n v="2"/>
    <x v="6"/>
    <m/>
    <m/>
    <m/>
    <m/>
    <x v="0"/>
    <m/>
    <x v="2"/>
    <s v="Cobra Gold 2018"/>
    <x v="1"/>
    <s v="Humanitarian assistance and disaster relief. Other countries: United States, Japan, Malaysia, Singapore."/>
    <x v="1"/>
    <m/>
    <m/>
    <m/>
    <s v="https://www.marines.mil/News/News-Display/Article/1448893/cobra-gold-18-hadr-x/"/>
    <m/>
  </r>
  <r>
    <x v="2"/>
    <x v="1"/>
    <s v="Asia"/>
    <s v="Comprehensive Strategic Cooperative Partnership [全面战略合作伙伴关系]"/>
    <s v="None"/>
    <x v="0"/>
    <x v="94"/>
    <x v="27"/>
    <n v="3"/>
    <x v="5"/>
    <m/>
    <m/>
    <m/>
    <m/>
    <x v="0"/>
    <m/>
    <x v="1"/>
    <s v="Golden Dragon 2018"/>
    <x v="1"/>
    <s v="Anti-terrorism drills"/>
    <x v="1"/>
    <m/>
    <m/>
    <m/>
    <s v="http://english.chinamil.com.cn/view/2018-03/13/content_7970888.htm"/>
    <m/>
  </r>
  <r>
    <x v="2"/>
    <x v="8"/>
    <s v="Europe and Central Asia"/>
    <s v="Comprehensive Strategic Partnership [全面战略伙伴关系]"/>
    <s v="NATO"/>
    <x v="3"/>
    <x v="22"/>
    <x v="27"/>
    <n v="3"/>
    <x v="5"/>
    <m/>
    <m/>
    <m/>
    <m/>
    <x v="0"/>
    <m/>
    <x v="2"/>
    <s v="Unknown"/>
    <x v="2"/>
    <s v="search and rescue and communications drills with Qinzhou [钦州舰] and the French Navy’s frigate Vendémiaire; 1st foreign exercise by PLA HK Garrison"/>
    <x v="1"/>
    <m/>
    <m/>
    <m/>
    <s v="http://tv.cctv.com/2018/03/03/VIDEVzo6ryVONOpaWJEKh2h8180303.shtml"/>
    <s v="added source and exercise details; still coded as MOOTW"/>
  </r>
  <r>
    <x v="1"/>
    <x v="1"/>
    <s v="Asia"/>
    <s v="Comprehensive Strategic Cooperative Partnership [全面战略合作伙伴关系]"/>
    <s v="Bilateral Defense Treaty"/>
    <x v="0"/>
    <x v="5"/>
    <x v="27"/>
    <n v="3"/>
    <x v="3"/>
    <s v="Wei Fenghe"/>
    <m/>
    <s v="Defense Minister; CMC Member"/>
    <n v="8"/>
    <x v="2"/>
    <s v="Defense Minister"/>
    <x v="0"/>
    <m/>
    <x v="0"/>
    <m/>
    <x v="1"/>
    <m/>
    <m/>
    <m/>
    <s v="http://english.chinamil.com.cn/view/2018-03/26/content_7984027.htm"/>
    <m/>
  </r>
  <r>
    <x v="1"/>
    <x v="8"/>
    <s v="Europe and Central Asia"/>
    <s v="Friendly Cooperative Partnership [友好合作伙伴关系]"/>
    <s v="None"/>
    <x v="3"/>
    <x v="57"/>
    <x v="27"/>
    <n v="4"/>
    <x v="3"/>
    <s v="Xu Qiliang"/>
    <m/>
    <s v="CMC Vice Chairman"/>
    <n v="10"/>
    <x v="2"/>
    <s v="Defense Minister"/>
    <x v="0"/>
    <m/>
    <x v="0"/>
    <m/>
    <x v="1"/>
    <m/>
    <m/>
    <m/>
    <s v="http://english.chinamil.com.cn/view/2018-04/28/content_8019280.htm; http://www.81.cn/jwzb/2018-04/27/content_8018327.htm"/>
    <s v="Hosted by DEFMIN Wei"/>
  </r>
  <r>
    <x v="1"/>
    <x v="8"/>
    <s v="Europe and Central Asia"/>
    <s v="Comprehensive Strategic Partnership [全面战略伙伴关系]"/>
    <s v="None"/>
    <x v="3"/>
    <x v="34"/>
    <x v="27"/>
    <n v="4"/>
    <x v="4"/>
    <s v="Wei Fenghe"/>
    <m/>
    <s v="Defense Minister; CMC Member"/>
    <n v="8"/>
    <x v="1"/>
    <s v="Defense Minister"/>
    <x v="0"/>
    <m/>
    <x v="0"/>
    <m/>
    <x v="1"/>
    <m/>
    <m/>
    <m/>
    <s v="http://english.chinamil.com.cn/view/2018-03/30/content_7988151.htm"/>
    <m/>
  </r>
  <r>
    <x v="1"/>
    <x v="8"/>
    <s v="Europe and Central Asia"/>
    <s v="Comprehensive Strategic Partnership [全面战略伙伴关系]"/>
    <s v="None"/>
    <x v="3"/>
    <x v="34"/>
    <x v="27"/>
    <n v="4"/>
    <x v="3"/>
    <s v="Zhang Youxia"/>
    <m/>
    <s v="CMC Vice Chairman"/>
    <n v="10"/>
    <x v="2"/>
    <s v="Defense Minister"/>
    <x v="0"/>
    <m/>
    <x v="0"/>
    <m/>
    <x v="1"/>
    <m/>
    <m/>
    <m/>
    <s v="http://english.chinamil.com.cn/view/2018-04/25/content_8014470.htm"/>
    <m/>
  </r>
  <r>
    <x v="1"/>
    <x v="1"/>
    <s v="Asia"/>
    <s v="Comprehensive Strategic Cooperative Partnership [全面战略合作伙伴关系]"/>
    <s v="None"/>
    <x v="0"/>
    <x v="94"/>
    <x v="27"/>
    <n v="4"/>
    <x v="3"/>
    <s v="Wei Fenghe"/>
    <m/>
    <s v="Defense Minister; CMC Member"/>
    <n v="8"/>
    <x v="2"/>
    <s v="Deputy Commander in Chief"/>
    <x v="0"/>
    <m/>
    <x v="0"/>
    <m/>
    <x v="1"/>
    <m/>
    <m/>
    <m/>
    <s v="http://english.chinamil.com.cn/view/2018-04/26/content_8017075.htm"/>
    <m/>
  </r>
  <r>
    <x v="1"/>
    <x v="0"/>
    <s v="Asia"/>
    <s v="Strategic Partnership for Peace and Prosperity [战略伙伴关系]"/>
    <s v="None"/>
    <x v="0"/>
    <x v="6"/>
    <x v="27"/>
    <n v="4"/>
    <x v="7"/>
    <s v="Wei Fenghe"/>
    <m/>
    <s v="Defense Minister; CMC Member"/>
    <n v="8"/>
    <x v="2"/>
    <s v="Defense Minister; BL at SCO"/>
    <x v="0"/>
    <m/>
    <x v="0"/>
    <m/>
    <x v="1"/>
    <m/>
    <m/>
    <m/>
    <s v="http://www.81.cn/jmywyl/2018-04/24/content_8013935.htm"/>
    <s v="BL on margins of SCO DEFMIN meeting in Beijing"/>
  </r>
  <r>
    <x v="1"/>
    <x v="6"/>
    <s v="Europe and Central Asia"/>
    <s v="Comprehensive Strategic Partnership [全面战略伙伴关系]"/>
    <s v="None"/>
    <x v="1"/>
    <x v="30"/>
    <x v="27"/>
    <n v="4"/>
    <x v="7"/>
    <s v="Wei Fenghe"/>
    <m/>
    <s v="Defense Minister; CMC Member"/>
    <n v="8"/>
    <x v="2"/>
    <s v="Defense Minister; BL at SCO"/>
    <x v="0"/>
    <m/>
    <x v="0"/>
    <m/>
    <x v="1"/>
    <m/>
    <m/>
    <m/>
    <s v="http://lenta.inform.kz/en/kazakh-chinese-defense-ministers-praise-high-level-of-coop_a3229921"/>
    <s v="Reflect BL at SCO"/>
  </r>
  <r>
    <x v="1"/>
    <x v="6"/>
    <s v="Europe and Central Asia"/>
    <s v="Comprehensive Strategic Partnership [全面战略伙伴关系]"/>
    <s v="None"/>
    <x v="1"/>
    <x v="31"/>
    <x v="27"/>
    <n v="4"/>
    <x v="7"/>
    <s v="Wei Fenghe"/>
    <m/>
    <s v="Defense Minister; CMC Member"/>
    <n v="8"/>
    <x v="2"/>
    <s v="Defense Minister; BL at SCO"/>
    <x v="0"/>
    <m/>
    <x v="0"/>
    <m/>
    <x v="1"/>
    <m/>
    <m/>
    <m/>
    <s v="http://lenta.inform.kz/en/kazakh-chinese-defense-ministers-praise-high-level-of-coop_a3229921 "/>
    <m/>
  </r>
  <r>
    <x v="1"/>
    <x v="1"/>
    <s v="Asia"/>
    <s v="Comprehensive Strategic Cooperative Partnership [全面战略合作伙伴关系]"/>
    <s v="None"/>
    <x v="0"/>
    <x v="52"/>
    <x v="27"/>
    <n v="4"/>
    <x v="3"/>
    <s v="Zhang Youxia"/>
    <m/>
    <s v="CMC Vice Chairman"/>
    <n v="10"/>
    <x v="2"/>
    <s v="Defense Minister"/>
    <x v="0"/>
    <m/>
    <x v="0"/>
    <m/>
    <x v="1"/>
    <m/>
    <m/>
    <m/>
    <s v="http://english.chinamil.com.cn/view/2018-04/25/content_8014470.htm"/>
    <m/>
  </r>
  <r>
    <x v="1"/>
    <x v="0"/>
    <s v="Asia"/>
    <s v="All-Weather Strategic Cooperative Partnership [全天候战略合作伙伴关系]"/>
    <s v="Major Non-NATO Ally"/>
    <x v="1"/>
    <x v="2"/>
    <x v="27"/>
    <n v="4"/>
    <x v="7"/>
    <s v="Wei Fenghe"/>
    <m/>
    <s v="Defense Minister; CMC Member"/>
    <n v="8"/>
    <x v="2"/>
    <s v="Defense Minister; BL at SCO "/>
    <x v="0"/>
    <m/>
    <x v="0"/>
    <m/>
    <x v="1"/>
    <m/>
    <m/>
    <m/>
    <s v="http://www.81.cn/jmywyl/2018-04/24/content_8013935.htm "/>
    <s v="BL on margins of SCO DEFMIN meeting in Beijing"/>
  </r>
  <r>
    <x v="1"/>
    <x v="0"/>
    <s v="Asia"/>
    <s v="All-Weather Strategic Cooperative Partnership [全天候战略合作伙伴关系]"/>
    <s v="Major Non-NATO Ally"/>
    <x v="1"/>
    <x v="2"/>
    <x v="27"/>
    <n v="4"/>
    <x v="3"/>
    <s v="Wei Fenghe"/>
    <m/>
    <s v="Defense Minister; CMC Member"/>
    <n v="8"/>
    <x v="2"/>
    <s v="Navy Chief of Staff"/>
    <x v="0"/>
    <m/>
    <x v="0"/>
    <m/>
    <x v="1"/>
    <m/>
    <m/>
    <m/>
    <s v="http://english.chinamil.com.cn/view/2018-04/19/content_8009037.htm"/>
    <m/>
  </r>
  <r>
    <x v="1"/>
    <x v="3"/>
    <s v="Europe and Central Asia"/>
    <s v="Comprehensive Collaborative Strategic Partnership [全面战略协作伙伴关系]"/>
    <s v="None"/>
    <x v="3"/>
    <x v="7"/>
    <x v="27"/>
    <n v="4"/>
    <x v="4"/>
    <s v="Wei Fenghe"/>
    <m/>
    <s v="Defense Minister; CMC Member"/>
    <n v="8"/>
    <x v="1"/>
    <s v="Defense Minister"/>
    <x v="0"/>
    <m/>
    <x v="0"/>
    <m/>
    <x v="1"/>
    <m/>
    <m/>
    <m/>
    <s v="http://english.chinamil.com.cn/view/2018-03/30/content_7988151.htm"/>
    <s v="Wei made remarks at 7th Moscow Conference on International Security; first trip abroad as DEFMIN"/>
  </r>
  <r>
    <x v="1"/>
    <x v="3"/>
    <s v="Europe and Central Asia"/>
    <s v="Comprehensive Collaborative Strategic Partnership [全面战略协作伙伴关系]"/>
    <s v="None"/>
    <x v="3"/>
    <x v="7"/>
    <x v="27"/>
    <n v="4"/>
    <x v="3"/>
    <s v="Xu Qiliang"/>
    <m/>
    <s v="CMC Vice Chairman"/>
    <n v="10"/>
    <x v="2"/>
    <s v="Defense Minister"/>
    <x v="0"/>
    <m/>
    <x v="0"/>
    <m/>
    <x v="1"/>
    <m/>
    <m/>
    <m/>
    <s v="http://english.chinamil.com.cn/view/2018-04/24/content_8013937.htm"/>
    <m/>
  </r>
  <r>
    <x v="1"/>
    <x v="6"/>
    <s v="Europe and Central Asia"/>
    <s v="Member"/>
    <s v="None"/>
    <x v="1"/>
    <x v="14"/>
    <x v="27"/>
    <n v="4"/>
    <x v="2"/>
    <s v="Wei Fenghe"/>
    <m/>
    <s v="Defense Minister; CMC Member"/>
    <n v="8"/>
    <x v="2"/>
    <s v="15th official meeting of the SCO Defense Ministers"/>
    <x v="0"/>
    <m/>
    <x v="0"/>
    <m/>
    <x v="1"/>
    <m/>
    <m/>
    <m/>
    <s v="http://eng.sectsco.org/news/20190430/533861.html"/>
    <m/>
  </r>
  <r>
    <x v="1"/>
    <x v="6"/>
    <s v="Europe and Central Asia"/>
    <s v="Comprehensive Strategic Partnership [全面战略伙伴关系]"/>
    <s v="None"/>
    <x v="1"/>
    <x v="60"/>
    <x v="27"/>
    <n v="4"/>
    <x v="7"/>
    <s v="Wei Fenghe"/>
    <m/>
    <s v="Defense Minister; CMC Member"/>
    <n v="8"/>
    <x v="2"/>
    <s v="Defense Minister; BL at SCO"/>
    <x v="0"/>
    <m/>
    <x v="0"/>
    <m/>
    <x v="1"/>
    <m/>
    <m/>
    <m/>
    <s v="http://www.81.cn/jmywyl/2018-04/24/content_8013935.htm"/>
    <s v="BL on margins of SCO DEFMIN meeting in Beijing"/>
  </r>
  <r>
    <x v="1"/>
    <x v="6"/>
    <s v="Europe and Central Asia"/>
    <s v="Comprehensive Strategic Partnership [全面战略伙伴关系]"/>
    <s v="None"/>
    <x v="1"/>
    <x v="73"/>
    <x v="27"/>
    <n v="4"/>
    <x v="3"/>
    <s v="Zhang Youxia"/>
    <m/>
    <s v="CMC Vice Chairman"/>
    <n v="10"/>
    <x v="2"/>
    <s v="Defense Minister"/>
    <x v="0"/>
    <m/>
    <x v="0"/>
    <m/>
    <x v="1"/>
    <m/>
    <m/>
    <m/>
    <s v="http://english.chinamil.com.cn/view/2018-04/23/content_8012465.htm; http://www.81.cn/jwzb/2018-04/24/content_8014051_1.htm"/>
    <s v="Hosted by DEFMIN Wei"/>
  </r>
  <r>
    <x v="1"/>
    <x v="8"/>
    <s v="Europe and Central Asia"/>
    <s v="Friendly Strategic Partnership [战略伙伴关系]"/>
    <s v="NATO"/>
    <x v="3"/>
    <x v="108"/>
    <x v="27"/>
    <n v="5"/>
    <x v="3"/>
    <s v="Wei Fenghe"/>
    <m/>
    <s v="Defense Minister; CMC Member"/>
    <n v="8"/>
    <x v="2"/>
    <s v="Chief of Defense Forces"/>
    <x v="0"/>
    <m/>
    <x v="0"/>
    <m/>
    <x v="1"/>
    <m/>
    <m/>
    <m/>
    <s v="http://english.chinamil.com.cn/view/2018-05/30/content_8046045.htm"/>
    <m/>
  </r>
  <r>
    <x v="0"/>
    <x v="9"/>
    <s v="West Asia and Africa"/>
    <s v="Strategic Partnership [战略伙伴关系]"/>
    <s v="None"/>
    <x v="1"/>
    <x v="119"/>
    <x v="27"/>
    <n v="5"/>
    <x v="9"/>
    <m/>
    <m/>
    <m/>
    <m/>
    <x v="0"/>
    <m/>
    <x v="0"/>
    <m/>
    <x v="0"/>
    <m/>
    <x v="2"/>
    <s v="ETF-29"/>
    <s v="East Sea Fleet"/>
    <s v="FFG530 Xuzhou"/>
    <s v="http://english.pladaily.com.cn/view/2018-05/16/content_8033911.htm"/>
    <m/>
  </r>
  <r>
    <x v="0"/>
    <x v="8"/>
    <s v="Europe and Central Asia"/>
    <s v="Comprehensive Strategic Partnership [全面战略伙伴关系]"/>
    <s v="NATO"/>
    <x v="3"/>
    <x v="29"/>
    <x v="27"/>
    <n v="5"/>
    <x v="0"/>
    <m/>
    <m/>
    <m/>
    <m/>
    <x v="0"/>
    <m/>
    <x v="0"/>
    <m/>
    <x v="0"/>
    <m/>
    <x v="2"/>
    <s v="ETF-28"/>
    <s v="North Sea Fleet"/>
    <s v="FFG546 Yancheng"/>
    <s v="http://english.chinamil.com.cn/view/2018-10/04/content_9303573.htm "/>
    <m/>
  </r>
  <r>
    <x v="2"/>
    <x v="1"/>
    <s v="Asia"/>
    <s v="Comprehensive Strategic Partnership [全面战略伙伴关系]"/>
    <s v="None"/>
    <x v="0"/>
    <x v="8"/>
    <x v="27"/>
    <n v="5"/>
    <x v="6"/>
    <m/>
    <m/>
    <m/>
    <m/>
    <x v="0"/>
    <m/>
    <x v="2"/>
    <s v="Komodo 2018"/>
    <x v="2"/>
    <s v="Maritime. Other countries: United States, France, United Kingdom"/>
    <x v="1"/>
    <m/>
    <m/>
    <m/>
    <s v="http://www.mod.gov.cn/action/2018-05/08/content_4812778.htm; http://english.chinamil.com.cn/view/2018-04/26/content_8017093.htm"/>
    <s v="Recoded as MOOTW based on description of activities, which are mostly HA/DR"/>
  </r>
  <r>
    <x v="2"/>
    <x v="9"/>
    <s v="West Asia and Africa"/>
    <s v="Strategic Partnership [战略伙伴关系]"/>
    <s v="Major Non-NATO Ally"/>
    <x v="1"/>
    <x v="101"/>
    <x v="27"/>
    <n v="5"/>
    <x v="6"/>
    <m/>
    <m/>
    <m/>
    <m/>
    <x v="0"/>
    <m/>
    <x v="6"/>
    <s v="10th Annual Warrior Competition"/>
    <x v="4"/>
    <s v="2 PAP Special Operations units; one was &quot;Snow Leopards&quot;. Other countries: United States, Saudi Arabia, Lebanon, Kuwait, Qatar"/>
    <x v="1"/>
    <m/>
    <m/>
    <m/>
    <s v="CPP20020603000088; http://english.chinamil.com.cn/view/2018-05/09/content_8027376.htm; http://english.chinamil.com.cn/view/2018-05/09/content_8027376.htm"/>
    <m/>
  </r>
  <r>
    <x v="1"/>
    <x v="4"/>
    <s v="Asia"/>
    <s v="Comprehensive Strategic Partnership [全面战略伙伴关系]"/>
    <s v="None"/>
    <x v="0"/>
    <x v="53"/>
    <x v="27"/>
    <n v="5"/>
    <x v="3"/>
    <s v="Xu Qiliang"/>
    <m/>
    <s v="CMC Vice Chairman"/>
    <n v="10"/>
    <x v="2"/>
    <s v="Defense Minister"/>
    <x v="0"/>
    <m/>
    <x v="0"/>
    <m/>
    <x v="1"/>
    <m/>
    <m/>
    <m/>
    <s v="http://english.chinamil.com.cn/view/2018-05/28/content_8043876.htm"/>
    <m/>
  </r>
  <r>
    <x v="2"/>
    <x v="7"/>
    <s v="West Asia and Africa"/>
    <s v="Strategic Partnership [战略伙伴关系]"/>
    <s v="None"/>
    <x v="4"/>
    <x v="36"/>
    <x v="27"/>
    <n v="5"/>
    <x v="6"/>
    <m/>
    <m/>
    <m/>
    <m/>
    <x v="0"/>
    <m/>
    <x v="4"/>
    <s v="Eku Kugbe; 2nd Nigeria international maritime conference and regional naval exercise"/>
    <x v="2"/>
    <s v="Ships will carry out drills of ship formation movement, naval gun firing, and maritime warning and patrol; one ship each from Cameroon, Ghana, Togo, France, Portugal and China"/>
    <x v="1"/>
    <s v="ETF-28"/>
    <s v="North Sea Fleet"/>
    <s v="FFG546Yancheng"/>
    <s v="http://english.chinamil.com.cn/view/2018-05/31/content_8045922.htm; https://www.thedefensepost.com/2018/05/31/china-eku-kugbe-exercise-west-africa/"/>
    <m/>
  </r>
  <r>
    <x v="1"/>
    <x v="0"/>
    <s v="Asia"/>
    <s v="All-Weather Strategic Cooperative Partnership [全天候战略合作伙伴关系]"/>
    <s v="Major Non-NATO Ally"/>
    <x v="1"/>
    <x v="2"/>
    <x v="27"/>
    <n v="5"/>
    <x v="4"/>
    <s v="Zhang Youxia"/>
    <m/>
    <s v="CMC Vice Chairman"/>
    <n v="10"/>
    <x v="1"/>
    <s v="Prime Minister"/>
    <x v="0"/>
    <m/>
    <x v="0"/>
    <m/>
    <x v="1"/>
    <m/>
    <m/>
    <m/>
    <s v="http://english.chinamil.com.cn/view/2018-05/21/content_8038257.htm"/>
    <m/>
  </r>
  <r>
    <x v="1"/>
    <x v="3"/>
    <s v="Europe and Central Asia"/>
    <s v="Comprehensive Collaborative Strategic Partnership [全面战略协作伙伴关系]"/>
    <s v="None"/>
    <x v="3"/>
    <x v="7"/>
    <x v="27"/>
    <n v="5"/>
    <x v="3"/>
    <s v="Shao Yuanming"/>
    <m/>
    <s v="CMC/JSD DCJS"/>
    <n v="5"/>
    <x v="2"/>
    <s v="Chief of General Staff Main Operational Directorate (J-5 equivalent)"/>
    <x v="0"/>
    <m/>
    <x v="0"/>
    <m/>
    <x v="1"/>
    <m/>
    <m/>
    <m/>
    <s v="http://english.chinamil.com.cn/view/2018-05/30/content_8045918.htm; http://www.81.cn/jmywyl/2018-05/30/content_8045689.htm"/>
    <s v="Colonel General Sergei RUDSKOY, Chief of the Main Operational Directorate of the Russian General Staff; JSD/DCJS position downgraded so position weight adjusted"/>
  </r>
  <r>
    <x v="0"/>
    <x v="8"/>
    <s v="Europe and Central Asia"/>
    <s v="Comprehensive Strategic Partnership [全面战略伙伴关系]"/>
    <s v="NATO"/>
    <x v="3"/>
    <x v="70"/>
    <x v="27"/>
    <n v="5"/>
    <x v="9"/>
    <m/>
    <m/>
    <m/>
    <m/>
    <x v="0"/>
    <m/>
    <x v="0"/>
    <m/>
    <x v="0"/>
    <m/>
    <x v="2"/>
    <s v="ETF-28"/>
    <s v="North Sea Fleet"/>
    <s v="FFG546 Yancheng"/>
    <s v="http://english.chinamil.com.cn/view/2018-05/17/content_8035093.htm; http://www.xinhuanet.com/world/2018-05/16/c_1122842782.htm"/>
    <s v="Recoded because it is called a &quot;technical stop&quot; in sources."/>
  </r>
  <r>
    <x v="1"/>
    <x v="7"/>
    <s v="West Asia and Africa"/>
    <s v="Comprehensive Cooperative Partnership [全面合作伙伴关系]"/>
    <s v="None"/>
    <x v="4"/>
    <x v="16"/>
    <x v="27"/>
    <n v="5"/>
    <x v="3"/>
    <s v="Wei Fenghe"/>
    <m/>
    <s v="Defense Minister; CMC Member"/>
    <n v="8"/>
    <x v="2"/>
    <s v="Chief of Defense Forces"/>
    <x v="0"/>
    <m/>
    <x v="0"/>
    <m/>
    <x v="1"/>
    <m/>
    <m/>
    <m/>
    <s v="http://english.chinamil.com.cn/view/2018-05/24/content_8041205.htm"/>
    <m/>
  </r>
  <r>
    <x v="1"/>
    <x v="7"/>
    <s v="West Asia and Africa"/>
    <s v="Comprehensive Strategic Cooperative Partnership [全面战略合作伙伴关系]"/>
    <s v="None"/>
    <x v="4"/>
    <x v="165"/>
    <x v="27"/>
    <n v="6"/>
    <x v="2"/>
    <s v="Hu Changming"/>
    <m/>
    <s v="CMC/OIMC Director"/>
    <n v="6"/>
    <x v="2"/>
    <s v="First China-Africa Defense and Security Forum"/>
    <x v="0"/>
    <m/>
    <x v="0"/>
    <m/>
    <x v="1"/>
    <m/>
    <m/>
    <m/>
    <s v="http://www.mod.gov.cn/shouye/2018-06/26/content_4817721.htm; http://eng.chinamil.com.cn/CHINA_209163/TopStories_209189/9560795.html"/>
    <s v="first China-Africa Defense and Security Forum; Senior military officials (15 DEFMINs) from 50 African countries and the African Union (AU); no noted bilaterals"/>
  </r>
  <r>
    <x v="1"/>
    <x v="1"/>
    <s v="Asia"/>
    <s v="Comprehensive Strategic Cooperative Partnership [全面战略合作伙伴关系]"/>
    <s v="None"/>
    <x v="0"/>
    <x v="94"/>
    <x v="27"/>
    <n v="6"/>
    <x v="4"/>
    <s v="Wei Fenghe"/>
    <m/>
    <s v="Defense Minister; CMC Member"/>
    <n v="8"/>
    <x v="1"/>
    <s v="Prime Minister; Defense Minister"/>
    <x v="0"/>
    <m/>
    <x v="0"/>
    <m/>
    <x v="1"/>
    <m/>
    <m/>
    <m/>
    <s v="http://eng.chinamil.com.cn/view/2018-06/19/content_8065411.htm"/>
    <m/>
  </r>
  <r>
    <x v="0"/>
    <x v="7"/>
    <s v="West Asia and Africa"/>
    <s v="Friendly Cooperative Relationship [友好合作关系]"/>
    <s v="None"/>
    <x v="4"/>
    <x v="65"/>
    <x v="27"/>
    <n v="6"/>
    <x v="0"/>
    <m/>
    <m/>
    <m/>
    <m/>
    <x v="0"/>
    <m/>
    <x v="0"/>
    <m/>
    <x v="0"/>
    <m/>
    <x v="2"/>
    <s v="ETF-28"/>
    <s v="North Sea Fleet"/>
    <m/>
    <s v="http://navy.81.cn/content/2018-06/14/content_8061838.htm "/>
    <s v="Added source; recategorized as port call"/>
  </r>
  <r>
    <x v="2"/>
    <x v="7"/>
    <s v="West Asia and Africa"/>
    <s v="Friendly Cooperative Relationship [友好合作关系]"/>
    <s v="None"/>
    <x v="4"/>
    <x v="65"/>
    <x v="27"/>
    <n v="6"/>
    <x v="5"/>
    <m/>
    <m/>
    <m/>
    <m/>
    <x v="0"/>
    <m/>
    <x v="2"/>
    <s v="28th Chinese naval escort taskforce's African tour"/>
    <x v="2"/>
    <m/>
    <x v="1"/>
    <m/>
    <m/>
    <m/>
    <m/>
    <m/>
  </r>
  <r>
    <x v="0"/>
    <x v="7"/>
    <s v="West Asia and Africa"/>
    <s v="Comprehensive Cooperative Partnership [全面合作伙伴关系]"/>
    <s v="None"/>
    <x v="4"/>
    <x v="67"/>
    <x v="27"/>
    <n v="6"/>
    <x v="0"/>
    <m/>
    <m/>
    <m/>
    <m/>
    <x v="0"/>
    <m/>
    <x v="0"/>
    <m/>
    <x v="0"/>
    <m/>
    <x v="2"/>
    <s v="ETF-28"/>
    <s v="North Sea Fleet"/>
    <s v="ETF28-Yancheng GMF; Weifeng GMF; Taihu supply ship; Gabon President and MINDEF visited ships "/>
    <s v="http://english.chinamil.com.cn/view/2018-06/20/content_8066846.htm"/>
    <s v="Recategorized as port call"/>
  </r>
  <r>
    <x v="2"/>
    <x v="7"/>
    <s v="West Asia and Africa"/>
    <s v="Comprehensive Cooperative Partnership [全面合作伙伴关系]"/>
    <s v="None"/>
    <x v="4"/>
    <x v="67"/>
    <x v="27"/>
    <n v="6"/>
    <x v="5"/>
    <m/>
    <m/>
    <m/>
    <m/>
    <x v="0"/>
    <m/>
    <x v="2"/>
    <s v="28th Chinese naval escort taskforce's African tour"/>
    <x v="2"/>
    <m/>
    <x v="1"/>
    <m/>
    <m/>
    <m/>
    <m/>
    <m/>
  </r>
  <r>
    <x v="0"/>
    <x v="8"/>
    <s v="Europe and Central Asia"/>
    <s v="Comprehensive Strategic Partnership [全面战略伙伴关系]"/>
    <s v="NATO"/>
    <x v="3"/>
    <x v="18"/>
    <x v="27"/>
    <n v="6"/>
    <x v="0"/>
    <m/>
    <m/>
    <m/>
    <m/>
    <x v="0"/>
    <m/>
    <x v="0"/>
    <m/>
    <x v="0"/>
    <m/>
    <x v="2"/>
    <s v="ETF-29"/>
    <s v="East Sea Fleet"/>
    <s v="FFG515 Binzhou"/>
    <s v="http://www.xinhuanet.com/english/2018-06/17/c_137260582.htm"/>
    <m/>
  </r>
  <r>
    <x v="0"/>
    <x v="7"/>
    <s v="West Asia and Africa"/>
    <s v="No Specific Relationship"/>
    <s v="None"/>
    <x v="4"/>
    <x v="87"/>
    <x v="27"/>
    <n v="6"/>
    <x v="0"/>
    <m/>
    <m/>
    <m/>
    <m/>
    <x v="0"/>
    <m/>
    <x v="0"/>
    <m/>
    <x v="0"/>
    <m/>
    <x v="2"/>
    <s v="ETF-28"/>
    <s v="North Sea Fleet"/>
    <s v="ETF28-Yancheng GMF; Weifeng GMF; Taihu supply ship"/>
    <s v="http://eng.chinamil.com.cn/view/2018-06/05/content_8053122.htm"/>
    <s v="Recategorized as port call"/>
  </r>
  <r>
    <x v="2"/>
    <x v="7"/>
    <s v="West Asia and Africa"/>
    <s v="No Specific Relationship"/>
    <s v="None"/>
    <x v="4"/>
    <x v="87"/>
    <x v="27"/>
    <n v="6"/>
    <x v="5"/>
    <m/>
    <m/>
    <m/>
    <m/>
    <x v="0"/>
    <m/>
    <x v="2"/>
    <s v="28th Chinese naval escort taskforce's African tour"/>
    <x v="2"/>
    <s v="Joint military exercise"/>
    <x v="1"/>
    <m/>
    <m/>
    <m/>
    <s v="http://english.chinamil.com.cn/view/2018-06/05/content_8053122.htm"/>
    <m/>
  </r>
  <r>
    <x v="1"/>
    <x v="1"/>
    <s v="Asia"/>
    <s v="No Specific Relationship"/>
    <s v="None"/>
    <x v="0"/>
    <x v="137"/>
    <x v="27"/>
    <n v="6"/>
    <x v="1"/>
    <s v="He Lei "/>
    <m/>
    <s v="AMS Deputy Commandant "/>
    <n v="6"/>
    <x v="1"/>
    <s v="17th Shangri-La"/>
    <x v="0"/>
    <m/>
    <x v="0"/>
    <m/>
    <x v="1"/>
    <m/>
    <m/>
    <m/>
    <m/>
    <m/>
  </r>
  <r>
    <x v="2"/>
    <x v="4"/>
    <s v="Asia"/>
    <s v="Comprehensive Strategic Partnership [全面战略伙伴关系]"/>
    <s v="None"/>
    <x v="0"/>
    <x v="53"/>
    <x v="27"/>
    <n v="6"/>
    <x v="6"/>
    <m/>
    <m/>
    <m/>
    <m/>
    <x v="0"/>
    <m/>
    <x v="2"/>
    <s v="Khaan Quest 2018"/>
    <x v="1"/>
    <s v="Peacekeeping. Other countries: United States, Indonesia, Malaysia. "/>
    <x v="1"/>
    <m/>
    <m/>
    <m/>
    <s v="http://english.chinamil.com.cn/view/2018-06/11/content_8058428.htm"/>
    <m/>
  </r>
  <r>
    <x v="1"/>
    <x v="1"/>
    <s v="Asia"/>
    <s v="Comprehensive Strategic Cooperative Partnership [全面战略合作伙伴关系]"/>
    <s v="None"/>
    <x v="0"/>
    <x v="1"/>
    <x v="27"/>
    <n v="6"/>
    <x v="4"/>
    <s v="Wei Fenghe"/>
    <m/>
    <s v="Defense Minister; CMC Member"/>
    <n v="8"/>
    <x v="1"/>
    <s v="Commander-in-Chief of Myanmar’s Defence Services; State Counselor Aung San Suu Kyi"/>
    <x v="0"/>
    <m/>
    <x v="0"/>
    <m/>
    <x v="1"/>
    <m/>
    <m/>
    <m/>
    <s v="http://www.81.cn/jmywyl/2018-06/16/content_8063956.htm"/>
    <m/>
  </r>
  <r>
    <x v="2"/>
    <x v="5"/>
    <s v="America and Oceania"/>
    <s v="Comprehensive Strategic Partnership [全面战略伙伴关系]"/>
    <s v="ANZUS Treaty"/>
    <x v="0"/>
    <x v="13"/>
    <x v="27"/>
    <n v="6"/>
    <x v="5"/>
    <m/>
    <m/>
    <m/>
    <m/>
    <x v="0"/>
    <m/>
    <x v="2"/>
    <s v="Skytrain"/>
    <x v="5"/>
    <s v="Humanitarian assistance and disaster relief; the first joint exercise ever conducted between the two countries’ air forces; PLAAF Il-76"/>
    <x v="1"/>
    <m/>
    <m/>
    <m/>
    <s v="http://english.chinamil.com.cn/view/2018-06/12/content_8058599.htm"/>
    <m/>
  </r>
  <r>
    <x v="0"/>
    <x v="9"/>
    <s v="West Asia and Africa"/>
    <s v="Strategic Partnership [战略伙伴关系]"/>
    <s v="None"/>
    <x v="1"/>
    <x v="147"/>
    <x v="27"/>
    <n v="6"/>
    <x v="9"/>
    <m/>
    <m/>
    <m/>
    <m/>
    <x v="0"/>
    <m/>
    <x v="0"/>
    <m/>
    <x v="0"/>
    <m/>
    <x v="2"/>
    <s v="ETF-29"/>
    <s v="East Sea Fleet"/>
    <s v="FFG530 Xuzhou"/>
    <s v="http://english.chinamil.com.cn/view/2018-06/19/content_8065381.htm"/>
    <m/>
  </r>
  <r>
    <x v="1"/>
    <x v="0"/>
    <s v="Asia"/>
    <s v="All-Weather Strategic Cooperative Partnership [全天候战略合作伙伴关系]"/>
    <s v="Major Non-NATO Ally"/>
    <x v="1"/>
    <x v="2"/>
    <x v="27"/>
    <n v="6"/>
    <x v="4"/>
    <s v="Liu Xiaowu"/>
    <m/>
    <s v="Western TC Deputy Commander"/>
    <n v="6"/>
    <x v="1"/>
    <s v="Military Commanders"/>
    <x v="0"/>
    <m/>
    <x v="0"/>
    <m/>
    <x v="1"/>
    <m/>
    <m/>
    <m/>
    <s v="https://economictimes.indiatimes.com/news/defence/chinese-army-delegation-arrives-in-india-to-improve-coordination-along-border/articleshow/64845285.cms"/>
    <m/>
  </r>
  <r>
    <x v="0"/>
    <x v="8"/>
    <s v="Europe and Central Asia"/>
    <s v="Comprehensive Strategic Partnership [全面战略伙伴关系]"/>
    <s v="NATO"/>
    <x v="3"/>
    <x v="59"/>
    <x v="27"/>
    <n v="6"/>
    <x v="0"/>
    <m/>
    <m/>
    <m/>
    <m/>
    <x v="0"/>
    <m/>
    <x v="0"/>
    <m/>
    <x v="0"/>
    <m/>
    <x v="2"/>
    <s v="ETF-29"/>
    <s v="East Sea Fleet"/>
    <s v="FFG515 Binzhou"/>
    <s v="http://english.chinamil.com.cn/view/2018-10/04/content_9303573.htm "/>
    <m/>
  </r>
  <r>
    <x v="1"/>
    <x v="1"/>
    <s v="Asia"/>
    <s v="All-Round Cooperative Partnership [全方合作伙伴关系]"/>
    <s v="None"/>
    <x v="0"/>
    <x v="39"/>
    <x v="27"/>
    <n v="6"/>
    <x v="4"/>
    <s v="He Lei"/>
    <m/>
    <s v="AMS Deputy Commandant "/>
    <n v="6"/>
    <x v="1"/>
    <s v="Defense Minister"/>
    <x v="0"/>
    <m/>
    <x v="0"/>
    <m/>
    <x v="1"/>
    <m/>
    <m/>
    <m/>
    <s v="http://eng.chinamil.com.cn/view/2018-06/04/content_8051700.htm; http://english.chinamil.com.cn/view/2018-06/05/content_8052619.htm"/>
    <s v="LTG"/>
  </r>
  <r>
    <x v="0"/>
    <x v="7"/>
    <s v="West Asia and Africa"/>
    <s v="Comprehensive Strategic Partnership [全面战略伙伴关系]"/>
    <s v="None"/>
    <x v="4"/>
    <x v="15"/>
    <x v="27"/>
    <n v="6"/>
    <x v="0"/>
    <m/>
    <m/>
    <m/>
    <m/>
    <x v="0"/>
    <m/>
    <x v="0"/>
    <m/>
    <x v="0"/>
    <m/>
    <x v="2"/>
    <s v="ETF-28"/>
    <s v="North Sea Fleet"/>
    <s v="FFG546 Yancheng"/>
    <s v="http://eng.chinamil.com.cn/view/2018-06/29/content_8075174.htm"/>
    <m/>
  </r>
  <r>
    <x v="2"/>
    <x v="7"/>
    <s v="West Asia and Africa"/>
    <s v="Comprehensive Strategic Partnership [全面战略伙伴关系]"/>
    <s v="None"/>
    <x v="4"/>
    <x v="15"/>
    <x v="27"/>
    <n v="6"/>
    <x v="5"/>
    <m/>
    <m/>
    <m/>
    <m/>
    <x v="0"/>
    <m/>
    <x v="2"/>
    <s v="28th Chinese naval escort taskforce's African tour"/>
    <x v="2"/>
    <m/>
    <x v="1"/>
    <m/>
    <m/>
    <m/>
    <m/>
    <m/>
  </r>
  <r>
    <x v="1"/>
    <x v="1"/>
    <s v="Asia"/>
    <s v="Comprehensive Strategic Cooperative Partnership [全面战略合作伙伴关系]"/>
    <s v="Bilateral Defense Treaty"/>
    <x v="0"/>
    <x v="5"/>
    <x v="27"/>
    <n v="6"/>
    <x v="3"/>
    <s v="Han Weiguo"/>
    <m/>
    <s v="PLAA Commander"/>
    <n v="6"/>
    <x v="2"/>
    <s v="Army Chief"/>
    <x v="0"/>
    <m/>
    <x v="0"/>
    <m/>
    <x v="1"/>
    <m/>
    <m/>
    <m/>
    <s v="http://eng.chinamil.com.cn/view/2018-06/12/content_8059671.htm"/>
    <s v="1-7-19 version listed as visit to Thailand; actually Thai visit to China"/>
  </r>
  <r>
    <x v="1"/>
    <x v="2"/>
    <s v="America and Oceania"/>
    <s v="No Specific Relationship"/>
    <s v="N/A"/>
    <x v="2"/>
    <x v="4"/>
    <x v="27"/>
    <n v="6"/>
    <x v="3"/>
    <s v="Xu Qiliang"/>
    <m/>
    <s v="CMC Vice Chairman"/>
    <n v="10"/>
    <x v="2"/>
    <s v="Secretary of Defense"/>
    <x v="0"/>
    <m/>
    <x v="0"/>
    <m/>
    <x v="1"/>
    <m/>
    <m/>
    <m/>
    <s v="http://eng.chinamil.com.cn/view/2018-06/28/content_8074433.htm "/>
    <m/>
  </r>
  <r>
    <x v="0"/>
    <x v="8"/>
    <s v="Europe and Central Asia"/>
    <s v="Comprehensive Strategic Partnership [全面战略伙伴关系]"/>
    <s v="NATO"/>
    <x v="3"/>
    <x v="22"/>
    <x v="27"/>
    <n v="7"/>
    <x v="9"/>
    <m/>
    <m/>
    <m/>
    <m/>
    <x v="0"/>
    <m/>
    <x v="0"/>
    <m/>
    <x v="0"/>
    <m/>
    <x v="2"/>
    <s v="ETF-29"/>
    <s v="East Sea Fleet"/>
    <s v="FFG515 Binzhou"/>
    <s v="http://navy.81.cn/content/2018-07/03/content_8078834.htm"/>
    <s v="Updated to reflect technical stop"/>
  </r>
  <r>
    <x v="2"/>
    <x v="8"/>
    <s v="Europe and Central Asia"/>
    <s v="Comprehensive Strategic Partnership [全面战略伙伴关系]"/>
    <s v="NATO"/>
    <x v="3"/>
    <x v="18"/>
    <x v="27"/>
    <n v="7"/>
    <x v="5"/>
    <m/>
    <m/>
    <m/>
    <m/>
    <x v="0"/>
    <m/>
    <x v="2"/>
    <s v="Combined Aid 2019"/>
    <x v="1"/>
    <s v="paramedical forces in complete units and field equipment have been deployed in Europe"/>
    <x v="1"/>
    <m/>
    <m/>
    <m/>
    <s v="http://www.xinhuanet.com/english/2019-07/05/c_138202550.htm"/>
    <m/>
  </r>
  <r>
    <x v="1"/>
    <x v="0"/>
    <s v="Asia"/>
    <s v="Strategic Partnership for Peace and Prosperity [战略伙伴关系]"/>
    <s v="None"/>
    <x v="0"/>
    <x v="6"/>
    <x v="27"/>
    <n v="7"/>
    <x v="4"/>
    <s v="Liu Xiaowu"/>
    <m/>
    <s v="Western TC Deputy Commander"/>
    <n v="6"/>
    <x v="1"/>
    <s v="Army Vice Chief"/>
    <x v="0"/>
    <m/>
    <x v="0"/>
    <m/>
    <x v="1"/>
    <m/>
    <m/>
    <m/>
    <s v="https://economictimes.indiatimes.com/news/defence/chinese-army-delegation-arrives-in-india-to-improve-coordination-along-border/articleshow/64845285.cms; https://www.thehindu.com/news/national/chinese-army-team-visits-delhi-agra/article24323330.ece"/>
    <s v="Updated to reflect LGEN Liu Xiaowu's specific role"/>
  </r>
  <r>
    <x v="0"/>
    <x v="1"/>
    <s v="Asia"/>
    <s v="Comprehensive Strategic Partnership [全面战略伙伴关系]"/>
    <s v="None"/>
    <x v="0"/>
    <x v="8"/>
    <x v="27"/>
    <n v="7"/>
    <x v="9"/>
    <m/>
    <m/>
    <m/>
    <m/>
    <x v="0"/>
    <m/>
    <x v="0"/>
    <m/>
    <x v="0"/>
    <m/>
    <x v="2"/>
    <s v="ETF-28"/>
    <s v="North Sea Fleet"/>
    <s v="FFG546 Yancheng"/>
    <s v="http://navy.81.cn/content/2018-07/30/content_8103223.htm"/>
    <m/>
  </r>
  <r>
    <x v="0"/>
    <x v="8"/>
    <s v="Europe and Central Asia"/>
    <s v="Comprehensive Strategic Partnership [全面战略伙伴关系]"/>
    <s v="NATO"/>
    <x v="3"/>
    <x v="20"/>
    <x v="27"/>
    <n v="7"/>
    <x v="9"/>
    <m/>
    <m/>
    <m/>
    <m/>
    <x v="0"/>
    <m/>
    <x v="0"/>
    <m/>
    <x v="0"/>
    <m/>
    <x v="2"/>
    <s v="ETF-29"/>
    <s v="East Sea Fleet"/>
    <s v="FFG515 Binzhou"/>
    <s v="http://www.81.cn/jwgz/2018-07/12/content_8088025.htm"/>
    <s v="Updated to &quot;technical visit&quot;"/>
  </r>
  <r>
    <x v="2"/>
    <x v="1"/>
    <s v="Asia"/>
    <s v="Comprehensive Strategic Cooperative Partnership [全面战略合作伙伴关系]"/>
    <s v="None"/>
    <x v="0"/>
    <x v="52"/>
    <x v="27"/>
    <n v="7"/>
    <x v="5"/>
    <m/>
    <m/>
    <m/>
    <m/>
    <x v="0"/>
    <m/>
    <x v="2"/>
    <s v="Peace Train 2018"/>
    <x v="3"/>
    <s v="Humanitarian assistance and disaster relief"/>
    <x v="1"/>
    <m/>
    <m/>
    <m/>
    <s v="http://eng.mod.gov.cn/news/2018-07/26/content_4820578.htm"/>
    <m/>
  </r>
  <r>
    <x v="1"/>
    <x v="0"/>
    <s v="Asia"/>
    <s v="All-Round Strategic Partnership [全方位战略伙伴关系]"/>
    <s v="None"/>
    <x v="0"/>
    <x v="32"/>
    <x v="27"/>
    <n v="7"/>
    <x v="3"/>
    <s v="Wei Fenghe"/>
    <m/>
    <s v="Defense Minister; CMC Member"/>
    <n v="8"/>
    <x v="2"/>
    <s v="Chief of Army Staff"/>
    <x v="0"/>
    <m/>
    <x v="0"/>
    <m/>
    <x v="1"/>
    <m/>
    <m/>
    <m/>
    <s v="http://www.xinhuanet.com/world/2018-07/11/c_1123112181.htm"/>
    <s v="Recoded as South Asia"/>
  </r>
  <r>
    <x v="1"/>
    <x v="0"/>
    <s v="Asia"/>
    <s v="All-Weather Strategic Cooperative Partnership [全天候战略合作伙伴关系]"/>
    <s v="Major Non-NATO Ally"/>
    <x v="1"/>
    <x v="2"/>
    <x v="27"/>
    <n v="7"/>
    <x v="4"/>
    <s v="Liu Xiaowu"/>
    <m/>
    <s v="Western TC Deputy Commander"/>
    <n v="6"/>
    <x v="1"/>
    <s v="Commanders"/>
    <x v="0"/>
    <m/>
    <x v="0"/>
    <m/>
    <x v="1"/>
    <m/>
    <m/>
    <m/>
    <s v="http://www.81.cn/xwfyr/2018-07/26/content_8100593_4.htm"/>
    <s v="Unclear counterparts"/>
  </r>
  <r>
    <x v="1"/>
    <x v="0"/>
    <s v="Asia"/>
    <s v="All-Weather Strategic Cooperative Partnership [全天候战略合作伙伴关系]"/>
    <s v="Major Non-NATO Ally"/>
    <x v="1"/>
    <x v="2"/>
    <x v="27"/>
    <n v="7"/>
    <x v="3"/>
    <s v="Zhang Youxia"/>
    <m/>
    <s v="CMc Vice Chairman"/>
    <n v="10"/>
    <x v="2"/>
    <s v="Chief of Air Staff"/>
    <x v="0"/>
    <m/>
    <x v="0"/>
    <m/>
    <x v="1"/>
    <m/>
    <m/>
    <m/>
    <s v="http://english.chinamil.com.cn/view/2018-07/20/content_8095190.htm"/>
    <s v="Not actually &quot;abroad&quot; - in Urumqi. Could be recategorized to indicate travel was necessary."/>
  </r>
  <r>
    <x v="0"/>
    <x v="1"/>
    <s v="America and Oceania"/>
    <s v="Comprehensive Strategic Partnership [全面战略伙伴关系]"/>
    <s v="None"/>
    <x v="0"/>
    <x v="122"/>
    <x v="27"/>
    <n v="7"/>
    <x v="0"/>
    <m/>
    <m/>
    <m/>
    <m/>
    <x v="0"/>
    <m/>
    <x v="0"/>
    <m/>
    <x v="0"/>
    <m/>
    <x v="0"/>
    <s v="2018-7 Peace Ark"/>
    <s v="East Sea Fleet"/>
    <s v="Prime Minister visited the ship"/>
    <s v="https://seawaves.com/2018/07/10/plan-peace-ark-in-papua-new-guinea-july-12-18/"/>
    <s v="Updated to reflect PNG PM's visit to ship"/>
  </r>
  <r>
    <x v="2"/>
    <x v="1"/>
    <s v="America and Oceania"/>
    <s v="Comprehensive Strategic Partnership [全面战略伙伴关系]"/>
    <s v="None"/>
    <x v="0"/>
    <x v="122"/>
    <x v="27"/>
    <n v="7"/>
    <x v="5"/>
    <m/>
    <m/>
    <m/>
    <m/>
    <x v="0"/>
    <m/>
    <x v="2"/>
    <s v="Unnamed"/>
    <x v="2"/>
    <s v="Joint medical aid exercise"/>
    <x v="1"/>
    <s v="2018-7 Peace Ark"/>
    <s v="East Sea Fleet"/>
    <m/>
    <s v="http://chinaplus.cri.cn/news/china/9/20180719/159486.html"/>
    <m/>
  </r>
  <r>
    <x v="1"/>
    <x v="3"/>
    <s v="Europe and Central Asia"/>
    <s v="Comprehensive Collaborative Strategic Partnership [全面战略协作伙伴关系]"/>
    <s v="None"/>
    <x v="3"/>
    <x v="7"/>
    <x v="27"/>
    <n v="7"/>
    <x v="4"/>
    <s v="Shen Jinlong"/>
    <m/>
    <s v="PLAN Commander "/>
    <n v="6"/>
    <x v="1"/>
    <s v="Commander of Northern Fleet"/>
    <x v="0"/>
    <m/>
    <x v="0"/>
    <m/>
    <x v="1"/>
    <m/>
    <m/>
    <m/>
    <s v="http://eng.chinamil.com.cn/view/2018-07/31/content_9237410.htm"/>
    <m/>
  </r>
  <r>
    <x v="1"/>
    <x v="3"/>
    <s v="Europe and Central Asia"/>
    <s v="Comprehensive Collaborative Strategic Partnership [全面战略协作伙伴关系]"/>
    <s v="None"/>
    <x v="3"/>
    <x v="7"/>
    <x v="27"/>
    <n v="7"/>
    <x v="3"/>
    <s v="Wei Fenghe"/>
    <m/>
    <s v="Defense Minister; CMC Member"/>
    <n v="8"/>
    <x v="2"/>
    <s v="Commander in Chief of Ground Forces"/>
    <x v="0"/>
    <m/>
    <x v="0"/>
    <m/>
    <x v="1"/>
    <m/>
    <m/>
    <m/>
    <s v="http://eng.chinamil.com.cn/view/2018-07/03/content_8078931.htm"/>
    <s v="Updated to reflect Salyukov's correct role"/>
  </r>
  <r>
    <x v="2"/>
    <x v="3"/>
    <s v="Europe and Central Asia"/>
    <s v="Comprehensive Collaborative Strategic Partnership [全面战略协作伙伴关系]"/>
    <s v="None"/>
    <x v="3"/>
    <x v="7"/>
    <x v="27"/>
    <n v="7"/>
    <x v="6"/>
    <m/>
    <m/>
    <m/>
    <m/>
    <x v="0"/>
    <m/>
    <x v="6"/>
    <s v="International Army Games"/>
    <x v="1"/>
    <s v="Fighting capabilities. Other countries: Belarus, Azerbaijan, Kazakhstan, Armenia, Iran, Zimbabwe, Pakistan, Venezuela, Sudan, Uzbekistan, Egypt, Vietnam, Syria"/>
    <x v="1"/>
    <m/>
    <m/>
    <m/>
    <s v="http://www.81.cn/jmywyl/2018-07/19/content_8093131.htm; http://eng.chinamil.com.cn/view/2018-07/18/content_8092542.htm; http://english.chinamil.com.cn/view/2018-07/12/content_8088139.htm; http://eng.chinamil.com.cn/view/2018-07/26/content_8099395.htm; http://www.ecns.cn/news/military/2018-08-04/detail-ifywsspt3618318.shtml"/>
    <s v="Updated branch to joint - included seaborne, army, and airborn competitions; added country participants"/>
  </r>
  <r>
    <x v="1"/>
    <x v="8"/>
    <s v="Europe and Central Asia"/>
    <s v="Comprehensive Strategic Partnership [全面战略伙伴关系]"/>
    <s v="None"/>
    <x v="3"/>
    <x v="112"/>
    <x v="27"/>
    <n v="7"/>
    <x v="3"/>
    <s v="Zhang Youxia"/>
    <m/>
    <s v="CMC Vice Chairman"/>
    <n v="10"/>
    <x v="2"/>
    <s v="Defense Minister"/>
    <x v="0"/>
    <m/>
    <x v="0"/>
    <m/>
    <x v="1"/>
    <m/>
    <m/>
    <m/>
    <s v="http://eng.chinamil.com.cn/view/2018-07/27/content_8101532.htm"/>
    <m/>
  </r>
  <r>
    <x v="0"/>
    <x v="7"/>
    <s v="West Asia and Africa"/>
    <s v="Comprehensive Strategic Partnership [全面战略伙伴关系]"/>
    <s v="None"/>
    <x v="4"/>
    <x v="15"/>
    <x v="27"/>
    <n v="7"/>
    <x v="0"/>
    <m/>
    <m/>
    <m/>
    <m/>
    <x v="0"/>
    <m/>
    <x v="0"/>
    <m/>
    <x v="0"/>
    <m/>
    <x v="0"/>
    <s v="2018-7 Qian Weichang"/>
    <s v=" "/>
    <s v="HSS876 Qian Weichang"/>
    <s v="https://www.defenceweb.co.za/sea/sea-sea/chinese-survey-vessel-visits-south-africa/"/>
    <m/>
  </r>
  <r>
    <x v="1"/>
    <x v="8"/>
    <s v="Europe and Central Asia"/>
    <s v="Strategic Partnership [战略伙伴关系]"/>
    <s v="None"/>
    <x v="3"/>
    <x v="78"/>
    <x v="27"/>
    <n v="7"/>
    <x v="3"/>
    <s v="Wei Fenghe"/>
    <m/>
    <s v="Defense Minister; CMC Member"/>
    <n v="8"/>
    <x v="2"/>
    <s v="Chief of the Armed Forces"/>
    <x v="0"/>
    <m/>
    <x v="0"/>
    <m/>
    <x v="1"/>
    <m/>
    <m/>
    <m/>
    <s v=", http://www.mod.gov.cn/topnews/2018-07/19/content_4819745.htm"/>
    <m/>
  </r>
  <r>
    <x v="0"/>
    <x v="5"/>
    <s v="America and Oceania"/>
    <s v="Comprehensive Strategic Partnership [全面战略伙伴关系]"/>
    <s v="None"/>
    <x v="0"/>
    <x v="120"/>
    <x v="27"/>
    <n v="7"/>
    <x v="0"/>
    <m/>
    <m/>
    <m/>
    <m/>
    <x v="0"/>
    <m/>
    <x v="0"/>
    <m/>
    <x v="0"/>
    <m/>
    <x v="0"/>
    <s v="2018-7 Peace Ark"/>
    <s v="East Sea Fleet"/>
    <m/>
    <s v="http://eng.mod.gov.cn/news/2018-07/24/content_4820284.htm"/>
    <m/>
  </r>
  <r>
    <x v="1"/>
    <x v="1"/>
    <s v="Asia"/>
    <s v="Comprehensive Strategic Cooperative Partnership [全面战略合作伙伴关系]"/>
    <s v="None"/>
    <x v="0"/>
    <x v="23"/>
    <x v="27"/>
    <n v="7"/>
    <x v="3"/>
    <s v="Zhang Youxia"/>
    <m/>
    <s v="CMC Vice Chairman"/>
    <n v="10"/>
    <x v="2"/>
    <s v="Vietnam CMC Standing Committee Member/Chief of the General Political Department of the Vietnamese People’s Army "/>
    <x v="0"/>
    <m/>
    <x v="0"/>
    <m/>
    <x v="1"/>
    <m/>
    <m/>
    <m/>
    <s v="http://www.mod.gov.cn/shouye/2018-07/25/content_4820516.htm"/>
    <m/>
  </r>
  <r>
    <x v="0"/>
    <x v="5"/>
    <s v="America and Oceania"/>
    <s v="Comprehensive Strategic Partnership [全面战略伙伴关系]"/>
    <s v="ANZUS Treaty"/>
    <x v="0"/>
    <x v="12"/>
    <x v="27"/>
    <n v="8"/>
    <x v="10"/>
    <m/>
    <m/>
    <m/>
    <m/>
    <x v="0"/>
    <m/>
    <x v="0"/>
    <m/>
    <x v="0"/>
    <m/>
    <x v="2"/>
    <s v="ETF-29"/>
    <s v="North Sea Fleet"/>
    <s v="FFG570 Huangshan"/>
    <m/>
    <m/>
  </r>
  <r>
    <x v="1"/>
    <x v="8"/>
    <s v="Europe and Central Asia"/>
    <s v="Comprehensive Strategic Partnership [全面战略伙伴关系]"/>
    <s v="None"/>
    <x v="3"/>
    <x v="34"/>
    <x v="27"/>
    <n v="8"/>
    <x v="4"/>
    <s v="Li Zuocheng"/>
    <m/>
    <s v="PLAA Commander"/>
    <n v="6"/>
    <x v="1"/>
    <s v="Chief of Defense Forces"/>
    <x v="0"/>
    <m/>
    <x v="0"/>
    <m/>
    <x v="1"/>
    <m/>
    <m/>
    <m/>
    <s v="https://www.belarus.by/en/government/events/belarus-china-to-discuss-cooperation-in-joint-military-training_i_0000084076.html"/>
    <m/>
  </r>
  <r>
    <x v="2"/>
    <x v="8"/>
    <s v="Europe and Central Asia"/>
    <s v="Comprehensive Strategic Partnership [全面战略伙伴关系]"/>
    <s v="None"/>
    <x v="3"/>
    <x v="34"/>
    <x v="27"/>
    <n v="8"/>
    <x v="5"/>
    <m/>
    <m/>
    <m/>
    <m/>
    <x v="0"/>
    <m/>
    <x v="1"/>
    <s v="Eagle Assault 2018/Hunting Falcon 2018"/>
    <x v="1"/>
    <s v="Joint training in anti-terrorism"/>
    <x v="1"/>
    <m/>
    <m/>
    <m/>
    <s v="http://english.chinamil.com.cn/view/2018-08/07/content_9244657.htm"/>
    <m/>
  </r>
  <r>
    <x v="0"/>
    <x v="9"/>
    <s v="West Asia and Africa"/>
    <s v="Strategic Partnership [战略伙伴关系]"/>
    <s v="None"/>
    <x v="1"/>
    <x v="119"/>
    <x v="27"/>
    <n v="8"/>
    <x v="0"/>
    <m/>
    <m/>
    <m/>
    <m/>
    <x v="0"/>
    <m/>
    <x v="0"/>
    <m/>
    <x v="0"/>
    <m/>
    <x v="0"/>
    <s v="2018-8 Peace Ark"/>
    <s v="East Sea Fleet"/>
    <m/>
    <s v="http://english.chinamil.com.cn/view/2018-08/07/content_9244658.htm"/>
    <m/>
  </r>
  <r>
    <x v="0"/>
    <x v="5"/>
    <s v="America and Oceania"/>
    <s v="Comprehensive Strategic Partnership [全面战略伙伴关系]"/>
    <s v="None"/>
    <x v="0"/>
    <x v="128"/>
    <x v="27"/>
    <n v="8"/>
    <x v="0"/>
    <m/>
    <m/>
    <m/>
    <m/>
    <x v="0"/>
    <m/>
    <x v="0"/>
    <m/>
    <x v="0"/>
    <m/>
    <x v="0"/>
    <s v="2018-7 Peace Ark"/>
    <s v="East Sea Fleet"/>
    <m/>
    <s v="http://www.xinhuanet.com/english/2018-07/23/c_137342667.htm"/>
    <s v="Chnaged month to August - Peace Ark was in Vanuatu until July 30, Fiji Aug 2-9; coded as Oceania"/>
  </r>
  <r>
    <x v="1"/>
    <x v="0"/>
    <s v="Asia"/>
    <s v="Strategic Partnership for Peace and Prosperity [战略伙伴关系]"/>
    <s v="None"/>
    <x v="0"/>
    <x v="6"/>
    <x v="27"/>
    <n v="8"/>
    <x v="4"/>
    <s v="Wei Fenghe"/>
    <m/>
    <s v="Defense Minister; CMC Member"/>
    <n v="8"/>
    <x v="1"/>
    <s v="Prime Minister"/>
    <x v="0"/>
    <m/>
    <x v="0"/>
    <m/>
    <x v="1"/>
    <m/>
    <m/>
    <m/>
    <s v="http://english.chinamil.com.cn/view/2018-08/22/content_9260060.htm; http://english.chinamil.com.cn/view/2018-08/21/content_9258810.htm"/>
    <s v="Updated to reflect meeting with PM, higher rank than Defense Minister"/>
  </r>
  <r>
    <x v="1"/>
    <x v="3"/>
    <s v="Europe and Central Asia"/>
    <s v="Comprehensive Collaborative Strategic Partnership [全面战略协作伙伴关系]"/>
    <s v="None"/>
    <x v="3"/>
    <x v="7"/>
    <x v="27"/>
    <n v="8"/>
    <x v="4"/>
    <s v="Li Zuocheng"/>
    <m/>
    <s v="PLAA Commander"/>
    <n v="6"/>
    <x v="1"/>
    <s v="Chief of Defense Forces"/>
    <x v="0"/>
    <m/>
    <x v="0"/>
    <m/>
    <x v="1"/>
    <m/>
    <m/>
    <m/>
    <s v="http://english.chinamil.com.cn/view/2018-08/28/content_9265435.htm"/>
    <m/>
  </r>
  <r>
    <x v="1"/>
    <x v="6"/>
    <s v="Europe and Central Asia"/>
    <s v="Member"/>
    <s v="None"/>
    <x v="1"/>
    <x v="14"/>
    <x v="27"/>
    <n v="8"/>
    <x v="1"/>
    <s v="Li Zuocheng"/>
    <m/>
    <s v="PLAA Commander"/>
    <n v="6"/>
    <x v="1"/>
    <s v="Fifth meeting of SCO military chiefs of staff in Moscow"/>
    <x v="0"/>
    <m/>
    <x v="0"/>
    <m/>
    <x v="1"/>
    <m/>
    <m/>
    <m/>
    <s v="http://eng.chinamil.com.cn/view/2018-08/28/content_9265435.htm"/>
    <m/>
  </r>
  <r>
    <x v="2"/>
    <x v="6"/>
    <s v="Europe and Central Asia"/>
    <s v="Member"/>
    <s v="None"/>
    <x v="1"/>
    <x v="14"/>
    <x v="27"/>
    <n v="8"/>
    <x v="6"/>
    <m/>
    <m/>
    <m/>
    <m/>
    <x v="0"/>
    <m/>
    <x v="3"/>
    <s v="Peace Mission 2018"/>
    <x v="3"/>
    <s v="Other countries: Russia, Kazakhstan, Tajikistan, India, Pakistan. August 24-29, 2018"/>
    <x v="1"/>
    <m/>
    <m/>
    <m/>
    <s v="http://www.81.cn/xwfyr/2018-08/25/content_9262875.htm"/>
    <s v="Updated with source; RECODED as combat based on closer analysis"/>
  </r>
  <r>
    <x v="1"/>
    <x v="7"/>
    <s v="West Asia and Africa"/>
    <s v="Comprehensive Strategic Partnership [全面战略伙伴关系]"/>
    <s v="None"/>
    <x v="4"/>
    <x v="15"/>
    <x v="27"/>
    <n v="8"/>
    <x v="3"/>
    <s v="Li Zuocheng"/>
    <m/>
    <s v="PLAA Commander"/>
    <n v="6"/>
    <x v="2"/>
    <s v="Chief of Defense Forces"/>
    <x v="0"/>
    <m/>
    <x v="0"/>
    <m/>
    <x v="1"/>
    <m/>
    <m/>
    <m/>
    <s v="http://english.chinamil.com.cn/view/2018-08/24/content_9262529.htm"/>
    <s v="Updated to reflect highest rank participant (Li higher rank than CMC JSD Shao Yuanming)"/>
  </r>
  <r>
    <x v="0"/>
    <x v="0"/>
    <s v="Asia"/>
    <s v="Strategic Cooperative Partnership [战略合作伙伴关系]"/>
    <s v="None"/>
    <x v="0"/>
    <x v="3"/>
    <x v="27"/>
    <n v="8"/>
    <x v="0"/>
    <m/>
    <m/>
    <m/>
    <m/>
    <x v="0"/>
    <m/>
    <x v="0"/>
    <m/>
    <x v="0"/>
    <m/>
    <x v="0"/>
    <s v="2018-8 Qian Weichang"/>
    <s v=" "/>
    <s v="HSS876 Qian Weichang"/>
    <s v="http://www.defence.lk/new.asp?fname=Qian_Weichang_arrives_to_Sri_Lanka_20180808_02; https://www.ndtv.com/world-news/chinese-hydrographic-survey-ship-arrives-in-sri-lanka-on-goodwill-visit-1898036"/>
    <s v="Hydrographic survey ship; not associated with specific fleet?"/>
  </r>
  <r>
    <x v="2"/>
    <x v="6"/>
    <s v="Europe and Central Asia"/>
    <s v="Comprehensive Strategic Partnership [全面战略伙伴关系]"/>
    <s v="None"/>
    <x v="1"/>
    <x v="60"/>
    <x v="27"/>
    <n v="8"/>
    <x v="5"/>
    <m/>
    <m/>
    <m/>
    <m/>
    <x v="0"/>
    <m/>
    <x v="1"/>
    <s v="Unknown"/>
    <x v="1"/>
    <m/>
    <x v="1"/>
    <m/>
    <m/>
    <m/>
    <m/>
    <m/>
  </r>
  <r>
    <x v="0"/>
    <x v="5"/>
    <s v="America and Oceania"/>
    <s v="Strategic Partnership [战略伙伴关系]"/>
    <s v="None"/>
    <x v="0"/>
    <x v="144"/>
    <x v="27"/>
    <n v="8"/>
    <x v="0"/>
    <m/>
    <m/>
    <m/>
    <m/>
    <x v="0"/>
    <m/>
    <x v="0"/>
    <m/>
    <x v="0"/>
    <m/>
    <x v="0"/>
    <s v="2018-8 Peace Ark"/>
    <s v="East Sea Fleet"/>
    <m/>
    <s v="http://english.chinamil.com.cn/view/2018-08/16/content_9255121.htm"/>
    <m/>
  </r>
  <r>
    <x v="2"/>
    <x v="1"/>
    <s v="Asia"/>
    <s v="Comprehensive Strategic Cooperative Partnership [全面战略合作伙伴关系]"/>
    <s v="None"/>
    <x v="0"/>
    <x v="23"/>
    <x v="27"/>
    <n v="8"/>
    <x v="5"/>
    <m/>
    <m/>
    <m/>
    <m/>
    <x v="0"/>
    <m/>
    <x v="2"/>
    <s v="Unnamed"/>
    <x v="1"/>
    <s v="Joint free medical examination"/>
    <x v="1"/>
    <m/>
    <m/>
    <m/>
    <s v="http://english.chinamil.com.cn/view/2018-08/23/content_9261764.htm"/>
    <m/>
  </r>
  <r>
    <x v="2"/>
    <x v="5"/>
    <s v="America and Oceania"/>
    <s v="Comprehensive Strategic Partnership [全面战略伙伴关系]"/>
    <s v="ANZUS Treaty"/>
    <x v="0"/>
    <x v="12"/>
    <x v="27"/>
    <n v="9"/>
    <x v="6"/>
    <m/>
    <m/>
    <m/>
    <m/>
    <x v="0"/>
    <m/>
    <x v="3"/>
    <s v="Kakadu 2018"/>
    <x v="2"/>
    <s v="Maritime exercises,both combat and support. Sent frigate Huangshan. 27 countries total: India, Japan, BG, Brunei, CB, CA, Chile, Cook Islands, East Timor, Fiji, FR, IN, ID, MY, NZ, PL, PNG, PH, SG, KS, CE, TH, Tonga, UAE, VM"/>
    <x v="1"/>
    <m/>
    <m/>
    <m/>
    <s v=" http://english.chinamil.com.cn/view/2018-08/22/content_9260566.htm; http://eng.chinamil.com.cn/view/2018-08/31/content_9268853.htm"/>
    <s v="Recategorized as combat exercise (live fire drills, confrontation drills, air defense drills, firing missiles). Added frigate name."/>
  </r>
  <r>
    <x v="2"/>
    <x v="5"/>
    <s v="America and Oceania"/>
    <s v="Comprehensive Strategic Partnership [全面战略伙伴关系]"/>
    <s v="ANZUS Treaty"/>
    <x v="0"/>
    <x v="12"/>
    <x v="27"/>
    <n v="9"/>
    <x v="5"/>
    <m/>
    <m/>
    <m/>
    <m/>
    <x v="0"/>
    <m/>
    <x v="2"/>
    <s v="Pandaroo 2018"/>
    <x v="1"/>
    <s v="Joint training exercise - &quot;adventure training&quot; like seakayaking and rapelling"/>
    <x v="1"/>
    <m/>
    <m/>
    <m/>
    <s v="http://english.chinamil.com.cn/view/2018-09/17/content_9284969.htm"/>
    <s v="Added detail to the activities"/>
  </r>
  <r>
    <x v="2"/>
    <x v="5"/>
    <s v="America and Oceania"/>
    <s v="Comprehensive Strategic Partnership [全面战略伙伴关系]"/>
    <s v="ANZUS Treaty"/>
    <x v="0"/>
    <x v="12"/>
    <x v="27"/>
    <n v="9"/>
    <x v="6"/>
    <m/>
    <m/>
    <m/>
    <m/>
    <x v="0"/>
    <m/>
    <x v="2"/>
    <s v="Kowari 2018"/>
    <x v="1"/>
    <s v="Survival Training Exercise. Other countries: United States."/>
    <x v="1"/>
    <m/>
    <m/>
    <m/>
    <s v="http://eng.chinamil.com.cn/view/2018-09/05/content_9272890.htm"/>
    <m/>
  </r>
  <r>
    <x v="0"/>
    <x v="9"/>
    <s v="West Asia and Africa"/>
    <s v="Strategic Partnership [战略伙伴关系]"/>
    <s v="None"/>
    <x v="1"/>
    <x v="119"/>
    <x v="27"/>
    <n v="9"/>
    <x v="9"/>
    <m/>
    <m/>
    <m/>
    <m/>
    <x v="0"/>
    <m/>
    <x v="0"/>
    <m/>
    <x v="0"/>
    <m/>
    <x v="2"/>
    <s v="ETF-30"/>
    <s v="North Sea Fleet"/>
    <s v="FFG539 Wuhu"/>
    <s v="http://www.mod.gov.cn/shouye/2018-09/27/content_4825790.htm"/>
    <m/>
  </r>
  <r>
    <x v="1"/>
    <x v="9"/>
    <s v="West Asia and Africa"/>
    <s v="Comprehensive Strategic Partnership [全面战略伙伴关系]"/>
    <s v="None"/>
    <x v="1"/>
    <x v="89"/>
    <x v="27"/>
    <n v="9"/>
    <x v="3"/>
    <s v="Zhang Youxia"/>
    <m/>
    <s v="CMC Vice Chairman"/>
    <n v="10"/>
    <x v="2"/>
    <s v="Defense Minister"/>
    <x v="0"/>
    <m/>
    <x v="0"/>
    <m/>
    <x v="1"/>
    <m/>
    <m/>
    <m/>
    <s v="http://english.chinamil.com.cn/view/2018-09/10/content_9277330.htm"/>
    <m/>
  </r>
  <r>
    <x v="1"/>
    <x v="6"/>
    <s v="Europe and Central Asia"/>
    <s v="Comprehensive Strategic Partnership [全面战略伙伴关系]"/>
    <s v="None"/>
    <x v="1"/>
    <x v="30"/>
    <x v="27"/>
    <n v="9"/>
    <x v="4"/>
    <s v="Xu Qiliang"/>
    <m/>
    <s v="CMC Vice Chairman"/>
    <n v="10"/>
    <x v="1"/>
    <s v="Defense Minister"/>
    <x v="0"/>
    <m/>
    <x v="0"/>
    <m/>
    <x v="1"/>
    <m/>
    <m/>
    <m/>
    <s v="http://english.chinamil.com.cn/view/2018-09/05/content_9272625.htm"/>
    <m/>
  </r>
  <r>
    <x v="1"/>
    <x v="6"/>
    <s v="Europe and Central Asia"/>
    <s v="Comprehensive Strategic Partnership [全面战略伙伴关系]"/>
    <s v="None"/>
    <x v="1"/>
    <x v="31"/>
    <x v="27"/>
    <n v="9"/>
    <x v="4"/>
    <s v="Xu Qiliang"/>
    <m/>
    <s v="CMC Vice Chairman"/>
    <n v="10"/>
    <x v="1"/>
    <s v="Defense Minister"/>
    <x v="0"/>
    <m/>
    <x v="0"/>
    <m/>
    <x v="1"/>
    <m/>
    <m/>
    <m/>
    <s v="https://thediplomat.com/2018/09/why-is-chinas-top-military-official-visiting-central-asia/"/>
    <m/>
  </r>
  <r>
    <x v="2"/>
    <x v="0"/>
    <s v="Asia"/>
    <s v="All-Round Strategic Partnership [全方位战略伙伴关系]"/>
    <s v="None"/>
    <x v="0"/>
    <x v="32"/>
    <x v="27"/>
    <n v="9"/>
    <x v="5"/>
    <m/>
    <m/>
    <m/>
    <m/>
    <x v="0"/>
    <m/>
    <x v="1"/>
    <s v="Mt. Everest Friendship 2018"/>
    <x v="1"/>
    <s v="Joint training exercise; removing explosives and shooting"/>
    <x v="1"/>
    <m/>
    <m/>
    <m/>
    <s v="http://english.chinamil.com.cn/view/2018-09/19/content_9293261.htm"/>
    <s v="Added detail to the activities"/>
  </r>
  <r>
    <x v="2"/>
    <x v="7"/>
    <s v="West Asia and Africa"/>
    <s v="Strategic Partnership [战略伙伴关系]"/>
    <s v="None"/>
    <x v="4"/>
    <x v="36"/>
    <x v="27"/>
    <n v="9"/>
    <x v="5"/>
    <m/>
    <m/>
    <m/>
    <m/>
    <x v="0"/>
    <m/>
    <x v="1"/>
    <s v="Unnamed"/>
    <x v="4"/>
    <s v="Held in Mali, response to recent security situation. Simulated attack on a UN camp. Chinese 6th peacekeeping engineers detachment participated with Nigeria's peacekeeping infantry battalion."/>
    <x v="1"/>
    <m/>
    <m/>
    <m/>
    <s v="http://english.chinamil.com.cn/view/2018-09/03/content_9271041.htm"/>
    <m/>
  </r>
  <r>
    <x v="1"/>
    <x v="0"/>
    <s v="Asia"/>
    <s v="All-Weather Strategic Cooperative Partnership [全天候战略合作伙伴关系]"/>
    <s v="Major Non-NATO Ally"/>
    <x v="1"/>
    <x v="2"/>
    <x v="27"/>
    <n v="9"/>
    <x v="3"/>
    <s v="Zhang Youxia"/>
    <m/>
    <s v="CMC Vice Chairman"/>
    <n v="10"/>
    <x v="2"/>
    <s v="Chief of Army Staff"/>
    <x v="0"/>
    <m/>
    <x v="0"/>
    <m/>
    <x v="1"/>
    <m/>
    <m/>
    <m/>
    <s v="http://english.chinamil.com.cn/view/2018-09/19/content_9292412.htm"/>
    <m/>
  </r>
  <r>
    <x v="1"/>
    <x v="3"/>
    <s v="Europe and Central Asia"/>
    <s v="Comprehensive Collaborative Strategic Partnership [全面战略协作伙伴关系]"/>
    <s v="None"/>
    <x v="3"/>
    <x v="7"/>
    <x v="27"/>
    <n v="9"/>
    <x v="4"/>
    <s v="Wei Fenghe"/>
    <m/>
    <s v="Defense Minister; CMC Member"/>
    <n v="8"/>
    <x v="1"/>
    <s v="President"/>
    <x v="0"/>
    <m/>
    <x v="0"/>
    <m/>
    <x v="1"/>
    <m/>
    <m/>
    <m/>
    <s v="http://www.mod.gov.cn/action/2018-09/14/content_4824917_2.htm"/>
    <s v="Meeting with Putin on sidelines of Vostok 2018"/>
  </r>
  <r>
    <x v="2"/>
    <x v="3"/>
    <s v="Europe and Central Asia"/>
    <s v="Comprehensive Collaborative Strategic Partnership [全面战略协作伙伴关系]"/>
    <s v="None"/>
    <x v="3"/>
    <x v="7"/>
    <x v="27"/>
    <n v="9"/>
    <x v="6"/>
    <m/>
    <m/>
    <m/>
    <m/>
    <x v="0"/>
    <m/>
    <x v="3"/>
    <s v="Vostok 2018"/>
    <x v="3"/>
    <s v="Mobile defense, firepower striking, and counter-offensive; Mongolia also participated"/>
    <x v="1"/>
    <m/>
    <m/>
    <m/>
    <s v="https://www.nato.int/docu/review/articles/2018/12/20/vostok-2018-ten-years-of-russian-strategic-exercises-and-warfare-preparation/index.html"/>
    <s v="RECODED as JOINT based on PLAAF participation"/>
  </r>
  <r>
    <x v="1"/>
    <x v="1"/>
    <s v="Asia"/>
    <s v="All-Round Cooperative Partnership [全方合作伙伴关系]"/>
    <s v="None"/>
    <x v="0"/>
    <x v="39"/>
    <x v="27"/>
    <n v="9"/>
    <x v="3"/>
    <s v="Wei Fenghe"/>
    <m/>
    <s v="Defense Minister; CMC Member"/>
    <n v="8"/>
    <x v="2"/>
    <s v="Chief of Defense Forces"/>
    <x v="0"/>
    <m/>
    <x v="0"/>
    <m/>
    <x v="1"/>
    <m/>
    <m/>
    <m/>
    <s v="http://english.chinamil.com.cn/view/2018-09/06/content_9273156.htm"/>
    <m/>
  </r>
  <r>
    <x v="2"/>
    <x v="0"/>
    <s v="Asia"/>
    <s v="Strategic Cooperative Partnership [战略合作伙伴关系]"/>
    <s v="None"/>
    <x v="0"/>
    <x v="3"/>
    <x v="27"/>
    <n v="9"/>
    <x v="6"/>
    <m/>
    <m/>
    <m/>
    <m/>
    <x v="0"/>
    <m/>
    <x v="3"/>
    <s v="Cormorant Strike IX 2018"/>
    <x v="1"/>
    <s v="Special operations"/>
    <x v="1"/>
    <m/>
    <m/>
    <m/>
    <m/>
    <m/>
  </r>
  <r>
    <x v="1"/>
    <x v="6"/>
    <s v="Europe and Central Asia"/>
    <s v="Comprehensive Strategic Partnership [全面战略伙伴关系]"/>
    <s v="None"/>
    <x v="1"/>
    <x v="60"/>
    <x v="27"/>
    <n v="9"/>
    <x v="4"/>
    <s v="Xu Qiliang"/>
    <m/>
    <s v="CMC Vice Chairman"/>
    <n v="10"/>
    <x v="1"/>
    <s v="President"/>
    <x v="0"/>
    <m/>
    <x v="0"/>
    <m/>
    <x v="1"/>
    <m/>
    <m/>
    <m/>
    <s v="http://english.chinamil.com.cn/view/2018-09/06/content_9274052.htm"/>
    <s v="Updated with higher level counterpart (President)"/>
  </r>
  <r>
    <x v="2"/>
    <x v="1"/>
    <s v="Asia"/>
    <s v="Comprehensive Strategic Cooperative Partnership [全面战略合作伙伴关系]"/>
    <s v="Bilateral Defense Treaty"/>
    <x v="0"/>
    <x v="5"/>
    <x v="27"/>
    <n v="9"/>
    <x v="5"/>
    <m/>
    <m/>
    <m/>
    <m/>
    <x v="0"/>
    <m/>
    <x v="3"/>
    <s v="Falcon Strike 2018"/>
    <x v="5"/>
    <s v="Combat tactics and methods"/>
    <x v="1"/>
    <m/>
    <m/>
    <m/>
    <s v="http://english.chinamil.com.cn/view/2018-09/07/content_9275202.htm"/>
    <m/>
  </r>
  <r>
    <x v="1"/>
    <x v="2"/>
    <s v="America and Oceania"/>
    <s v="No Specific Relationship"/>
    <s v="N/A"/>
    <x v="2"/>
    <x v="4"/>
    <x v="27"/>
    <n v="9"/>
    <x v="3"/>
    <s v="Song Puxuan"/>
    <m/>
    <s v="CMC/LSD Director"/>
    <n v="6"/>
    <x v="2"/>
    <s v="Dir of LSD"/>
    <x v="0"/>
    <m/>
    <x v="0"/>
    <m/>
    <x v="1"/>
    <m/>
    <m/>
    <m/>
    <s v="http://eng.chinamil.com.cn/view/2018-09/18/content_9289907.htm"/>
    <s v="Asia-Pacific Military Health Exchange co-hosted by US and China in China. US counterpart unspecified."/>
  </r>
  <r>
    <x v="0"/>
    <x v="10"/>
    <s v="America and Oceania"/>
    <s v="Comprehensive Strategic Partnership [全面战略伙伴关系]"/>
    <s v="None"/>
    <x v="5"/>
    <x v="56"/>
    <x v="27"/>
    <n v="9"/>
    <x v="0"/>
    <m/>
    <m/>
    <m/>
    <m/>
    <x v="0"/>
    <m/>
    <x v="0"/>
    <m/>
    <x v="0"/>
    <m/>
    <x v="0"/>
    <s v="2018-9 Peace Ark"/>
    <s v="East Sea Fleet"/>
    <m/>
    <s v="http://english.chinamil.com.cn/view/2018-09/25/content_9297699.htm"/>
    <m/>
  </r>
  <r>
    <x v="0"/>
    <x v="10"/>
    <s v="America and Oceania"/>
    <s v="Friendly Cooperative Partnership [友好合作伙伴关系]"/>
    <s v="None"/>
    <x v="5"/>
    <x v="41"/>
    <x v="27"/>
    <n v="10"/>
    <x v="0"/>
    <m/>
    <m/>
    <m/>
    <m/>
    <x v="0"/>
    <m/>
    <x v="0"/>
    <m/>
    <x v="0"/>
    <m/>
    <x v="0"/>
    <s v="2018-10 Peace Ark"/>
    <s v="East Sea Fleet"/>
    <m/>
    <s v="http://english.chinamil.com.cn/view/2018-10/31/content_9327912.htm"/>
    <m/>
  </r>
  <r>
    <x v="1"/>
    <x v="1"/>
    <s v="Asia"/>
    <s v="Strategic Partnership [战略伙伴关系] for Peace and Prosperity"/>
    <s v="None"/>
    <x v="0"/>
    <x v="153"/>
    <x v="27"/>
    <n v="10"/>
    <x v="1"/>
    <s v="Wei Fenghe"/>
    <m/>
    <s v="Defense Minister; CMC Member"/>
    <n v="8"/>
    <x v="1"/>
    <s v="5th ADMM+ Defense Minister"/>
    <x v="0"/>
    <m/>
    <x v="0"/>
    <m/>
    <x v="1"/>
    <m/>
    <m/>
    <m/>
    <s v="https://thediplomat.com/tag/admm-plus/"/>
    <s v="corrected partnership to strategic partnership for peace and prosperity"/>
  </r>
  <r>
    <x v="2"/>
    <x v="1"/>
    <s v="Asia"/>
    <s v="Strategic Partnership [战略伙伴关系] for Peace and Prosperity"/>
    <s v="None"/>
    <x v="0"/>
    <x v="153"/>
    <x v="27"/>
    <n v="10"/>
    <x v="6"/>
    <m/>
    <m/>
    <m/>
    <m/>
    <x v="0"/>
    <m/>
    <x v="2"/>
    <s v="ASEAN-China Maritime Exercise"/>
    <x v="2"/>
    <s v="Exchange activities; SG=lead planner for ASEAN; Other countries: Singapore, Vietnam, Thailand, Brunei, Philippines (first PLA exercise with Philippines)"/>
    <x v="1"/>
    <m/>
    <m/>
    <m/>
    <s v="http://eng.chinamil.com.cn/view/2018-10/22/content_9319771.htm"/>
    <s v="corrected partnership to strategic partnership for peace and prosperity"/>
  </r>
  <r>
    <x v="1"/>
    <x v="5"/>
    <s v="America and Oceania"/>
    <s v="Comprehensive Strategic Partnership [全面战略伙伴关系]"/>
    <s v="ANZUS Treaty"/>
    <x v="0"/>
    <x v="12"/>
    <x v="27"/>
    <n v="10"/>
    <x v="7"/>
    <s v="Wei Fenghe"/>
    <m/>
    <s v="Defense Minister; CMC Member"/>
    <n v="8"/>
    <x v="1"/>
    <s v="BL with Defense Minister at ADMM+"/>
    <x v="0"/>
    <m/>
    <x v="0"/>
    <m/>
    <x v="1"/>
    <m/>
    <m/>
    <m/>
    <s v="http://www.xinhuanet.com/english/2018-10/21/c_137547767.htm"/>
    <m/>
  </r>
  <r>
    <x v="1"/>
    <x v="5"/>
    <s v="America and Oceania"/>
    <s v="Comprehensive Strategic Partnership [全面战略伙伴关系]"/>
    <s v="ANZUS Treaty"/>
    <x v="0"/>
    <x v="12"/>
    <x v="27"/>
    <n v="10"/>
    <x v="3"/>
    <s v="Xu Qiliang"/>
    <m/>
    <s v="CMC Vice Chairman"/>
    <n v="10"/>
    <x v="2"/>
    <s v="Defense Minister"/>
    <x v="0"/>
    <m/>
    <x v="0"/>
    <m/>
    <x v="1"/>
    <m/>
    <m/>
    <m/>
    <s v="http://english.chinamil.com.cn/view/2018-10/30/content_9326986.htm"/>
    <m/>
  </r>
  <r>
    <x v="1"/>
    <x v="5"/>
    <s v="America and Oceania"/>
    <s v="Comprehensive Strategic Partnership [全面战略伙伴关系]"/>
    <s v="ANZUS Treaty"/>
    <x v="0"/>
    <x v="12"/>
    <x v="27"/>
    <n v="10"/>
    <x v="3"/>
    <s v="Xu Qiliang"/>
    <m/>
    <s v="CMC Vice Chairman"/>
    <n v="10"/>
    <x v="2"/>
    <s v="Defense Minister and CHOD for 21st Strategic Consultation"/>
    <x v="0"/>
    <m/>
    <x v="0"/>
    <m/>
    <x v="1"/>
    <m/>
    <m/>
    <m/>
    <s v="http://eng.chinamil.com.cn/view/2018-10/30/content_9326986.htm"/>
    <m/>
  </r>
  <r>
    <x v="1"/>
    <x v="10"/>
    <s v="America and Oceania"/>
    <s v="Strategic Partnership [战略伙伴关系]"/>
    <s v="None"/>
    <x v="5"/>
    <x v="42"/>
    <x v="27"/>
    <n v="10"/>
    <x v="7"/>
    <s v="Wei Fenghe"/>
    <m/>
    <s v="Defense Minister; CMC Member"/>
    <n v="8"/>
    <x v="1"/>
    <s v="Defense Minister; BL at 4th China-Latin America Defense Forum"/>
    <x v="0"/>
    <m/>
    <x v="0"/>
    <m/>
    <x v="1"/>
    <m/>
    <m/>
    <m/>
    <s v="http://www.xinhuanet.com/politics/2018-11/02/c_1123656109.htm"/>
    <m/>
  </r>
  <r>
    <x v="1"/>
    <x v="1"/>
    <s v="Asia"/>
    <s v="Comprehensive Strategic Cooperative Partnership [全面战略合作伙伴关系]"/>
    <s v="None"/>
    <x v="0"/>
    <x v="94"/>
    <x v="27"/>
    <n v="10"/>
    <x v="7"/>
    <s v="Xu Qiliang"/>
    <m/>
    <s v="CMC Vice Chairman"/>
    <n v="10"/>
    <x v="2"/>
    <s v="Defense Minister; BL at Xiangshan"/>
    <x v="0"/>
    <m/>
    <x v="0"/>
    <m/>
    <x v="1"/>
    <m/>
    <m/>
    <m/>
    <s v="http://eng.mod.gov.cn/news/2018-10/29/content_4828199.htm"/>
    <m/>
  </r>
  <r>
    <x v="1"/>
    <x v="10"/>
    <s v="America and Oceania"/>
    <s v="Comprehensive Cooperative Partnership [全面合作伙伴关系]"/>
    <s v="None"/>
    <x v="5"/>
    <x v="159"/>
    <x v="27"/>
    <n v="10"/>
    <x v="2"/>
    <s v="Wei Fenghe"/>
    <m/>
    <s v="Defense Minister; CMC Member"/>
    <n v="8"/>
    <x v="2"/>
    <s v="Fourth China-Latin America High-level Defense Forum"/>
    <x v="0"/>
    <m/>
    <x v="0"/>
    <m/>
    <x v="1"/>
    <m/>
    <m/>
    <m/>
    <s v="http://eng.chinamil.com.cn/view/2018-10/30/content_9326872.htm "/>
    <s v="source says &quot;Major General Shao Yuanming, Vice-Chief of Staff at the Joint Staff Department&quot; gave remarks"/>
  </r>
  <r>
    <x v="1"/>
    <x v="10"/>
    <s v="America and Oceania"/>
    <s v="Strategic Partnership [战略伙伴关系]"/>
    <s v="None"/>
    <x v="5"/>
    <x v="156"/>
    <x v="27"/>
    <n v="10"/>
    <x v="7"/>
    <s v="Wei Fenghe"/>
    <m/>
    <s v="Defense Minister; CMC Member"/>
    <n v="8"/>
    <x v="1"/>
    <s v="Public Security Minister; BL at 4th China-Latin America Defense Forum"/>
    <x v="0"/>
    <m/>
    <x v="0"/>
    <m/>
    <x v="1"/>
    <m/>
    <m/>
    <m/>
    <s v="http://www.xinhuanet.com/politics/2018-11/02/c_1123656109.htm"/>
    <m/>
  </r>
  <r>
    <x v="0"/>
    <x v="10"/>
    <s v="America and Oceania"/>
    <s v="No Specific Relationship"/>
    <s v="None"/>
    <x v="5"/>
    <x v="166"/>
    <x v="27"/>
    <n v="10"/>
    <x v="0"/>
    <m/>
    <m/>
    <m/>
    <m/>
    <x v="0"/>
    <m/>
    <x v="0"/>
    <m/>
    <x v="0"/>
    <m/>
    <x v="0"/>
    <s v="2018-10 Peace Ark"/>
    <s v="East Sea Fleet"/>
    <m/>
    <s v="http://english.chinamil.com.cn/view/2018-10/15/content_9313496.htm"/>
    <m/>
  </r>
  <r>
    <x v="1"/>
    <x v="10"/>
    <s v="America and Oceania"/>
    <s v="Comprehensive Strategic Partnership [全面战略伙伴关系]"/>
    <s v="None"/>
    <x v="5"/>
    <x v="51"/>
    <x v="27"/>
    <n v="10"/>
    <x v="7"/>
    <s v="Wei Fenghe"/>
    <m/>
    <s v="Defense Minister; CMC Member"/>
    <n v="8"/>
    <x v="2"/>
    <s v="BL with Defense Minister at Xiangshan Forum"/>
    <x v="0"/>
    <m/>
    <x v="0"/>
    <m/>
    <x v="1"/>
    <m/>
    <m/>
    <m/>
    <s v="http://english.chinamil.com.cn/view/2018-10/26/content_9324154.htm"/>
    <m/>
  </r>
  <r>
    <x v="1"/>
    <x v="7"/>
    <s v="West Asia and Africa"/>
    <s v="Comprehensive Cooperative Partnership [全面合作伙伴关系]"/>
    <s v="None"/>
    <x v="4"/>
    <x v="46"/>
    <x v="27"/>
    <n v="10"/>
    <x v="7"/>
    <s v="Wei Fenghe"/>
    <m/>
    <s v="Defense Minister; CMC Member"/>
    <n v="8"/>
    <x v="2"/>
    <s v="BL with Defense Minister at Xiangshan Forum"/>
    <x v="0"/>
    <m/>
    <x v="0"/>
    <m/>
    <x v="1"/>
    <m/>
    <m/>
    <m/>
    <s v="http://english.chinamil.com.cn/view/2018-10/26/content_9324154.htm"/>
    <m/>
  </r>
  <r>
    <x v="2"/>
    <x v="8"/>
    <s v="Europe and Central Asia"/>
    <s v="Comprehensive Cooperative Partnership [全面合作伙伴关系]"/>
    <s v="None"/>
    <x v="3"/>
    <x v="158"/>
    <x v="27"/>
    <n v="10"/>
    <x v="6"/>
    <m/>
    <m/>
    <m/>
    <m/>
    <x v="0"/>
    <m/>
    <x v="2"/>
    <s v="Cooperation EU Joint Medical Exercise"/>
    <x v="2"/>
    <s v="Led by Italy; Joint medical rescue with European Union Naval Force Combined Task Force (EU NAVFOR CTF) and PLA Djibouti Support Base; joint air-sea medical rescue in the West Gulf of Aden"/>
    <x v="1"/>
    <m/>
    <m/>
    <m/>
    <s v="http://english.chinamil.com.cn/view/2018-10/15/content_9313491.htm"/>
    <s v="Updated to reflect collaboration with EU, with Italy as key counterpart."/>
  </r>
  <r>
    <x v="1"/>
    <x v="5"/>
    <s v="America and Oceania"/>
    <s v="Comprehensive Strategic Partnership [全面战略伙伴关系]"/>
    <s v="None"/>
    <x v="0"/>
    <x v="128"/>
    <x v="27"/>
    <n v="10"/>
    <x v="7"/>
    <s v="Wei Fenghe"/>
    <m/>
    <s v="Defense Minister; CMC Member"/>
    <n v="8"/>
    <x v="2"/>
    <s v="BL with Defense Minister at Xiangshan Forum"/>
    <x v="0"/>
    <m/>
    <x v="0"/>
    <m/>
    <x v="1"/>
    <m/>
    <m/>
    <m/>
    <s v="http://www.xinhuanet.com/politics/2018-10/26/c_1123618438.htm"/>
    <s v="Coded as Oceania instead of Southeast Asia"/>
  </r>
  <r>
    <x v="1"/>
    <x v="8"/>
    <s v="Europe and Central Asia"/>
    <s v="Comprehensive Strategic Partnership [全面战略伙伴关系]"/>
    <s v="NATO"/>
    <x v="3"/>
    <x v="18"/>
    <x v="27"/>
    <n v="10"/>
    <x v="3"/>
    <s v="Xu Qiliang"/>
    <m/>
    <s v="CMC Vice Chairman"/>
    <n v="10"/>
    <x v="2"/>
    <s v="Defense Minister"/>
    <x v="0"/>
    <m/>
    <x v="0"/>
    <m/>
    <x v="1"/>
    <m/>
    <m/>
    <m/>
    <s v="http://english.chinamil.com.cn/view/2018-10/23/content_9320430.htm"/>
    <m/>
  </r>
  <r>
    <x v="0"/>
    <x v="10"/>
    <s v="America and Oceania"/>
    <s v="No Specific Relationship"/>
    <s v="None"/>
    <x v="5"/>
    <x v="138"/>
    <x v="27"/>
    <n v="10"/>
    <x v="0"/>
    <m/>
    <m/>
    <m/>
    <m/>
    <x v="0"/>
    <m/>
    <x v="0"/>
    <m/>
    <x v="0"/>
    <m/>
    <x v="0"/>
    <s v="2018-10 Peace Ark"/>
    <s v="East Sea Fleet"/>
    <m/>
    <s v="http://english.chinamil.com.cn/view/2018-10/10/content_9307556.htm"/>
    <m/>
  </r>
  <r>
    <x v="1"/>
    <x v="4"/>
    <s v="Asia"/>
    <s v="Mutually Beneficial Strategic Relationship [战略互惠关系]"/>
    <s v="Bilateral Defense Treaty"/>
    <x v="0"/>
    <x v="83"/>
    <x v="27"/>
    <n v="10"/>
    <x v="7"/>
    <s v="Wei Fenghe"/>
    <m/>
    <s v="Defense Minister; CMC Member"/>
    <n v="8"/>
    <x v="1"/>
    <s v="BL with Defense Minister at ADMM+"/>
    <x v="0"/>
    <m/>
    <x v="0"/>
    <m/>
    <x v="1"/>
    <m/>
    <m/>
    <m/>
    <s v="http://www.xinhuanet.com/english/2018-10/21/c_137547767.htm"/>
    <m/>
  </r>
  <r>
    <x v="1"/>
    <x v="1"/>
    <s v="Asia"/>
    <s v="Comprehensive Strategic Cooperative Partnership [全面战略合作伙伴关系]"/>
    <s v="None"/>
    <x v="0"/>
    <x v="52"/>
    <x v="27"/>
    <n v="10"/>
    <x v="7"/>
    <s v="Wei Fenghe"/>
    <m/>
    <s v="Defense Minister; CMC Member"/>
    <n v="8"/>
    <x v="1"/>
    <s v="BL with Defense Minister at ADMM+"/>
    <x v="0"/>
    <m/>
    <x v="0"/>
    <m/>
    <x v="1"/>
    <m/>
    <m/>
    <m/>
    <s v="http://www.xinhuanet.com/english/2018-10/21/c_137547767.htm"/>
    <m/>
  </r>
  <r>
    <x v="2"/>
    <x v="1"/>
    <s v="Asia"/>
    <s v="Comprehensive Strategic Partnership [全面战略伙伴关系]"/>
    <s v="None"/>
    <x v="0"/>
    <x v="10"/>
    <x v="27"/>
    <n v="10"/>
    <x v="6"/>
    <m/>
    <m/>
    <m/>
    <m/>
    <x v="0"/>
    <m/>
    <x v="3"/>
    <s v="Peace and Friendship 2018"/>
    <x v="3"/>
    <s v="Joint training on security threats; staff HQ exercise and combat training; survival training. Other countries: Thailand "/>
    <x v="1"/>
    <m/>
    <m/>
    <m/>
    <s v="http://english.chinamil.com.cn/view/2018-10/14/content_9312024.htm"/>
    <s v="Updated service type (included Navy), updated exercise type, and added specifics on drill types."/>
  </r>
  <r>
    <x v="1"/>
    <x v="1"/>
    <s v="Asia"/>
    <s v="Comprehensive Strategic Partnership [全面战略伙伴关系]"/>
    <s v="None"/>
    <x v="0"/>
    <x v="10"/>
    <x v="27"/>
    <n v="10"/>
    <x v="7"/>
    <s v="Xu Qiliang"/>
    <m/>
    <s v="CMC Vice Chairman"/>
    <n v="10"/>
    <x v="2"/>
    <s v="Defense Minister; BL at Xiangshan"/>
    <x v="0"/>
    <m/>
    <x v="0"/>
    <m/>
    <x v="1"/>
    <m/>
    <m/>
    <m/>
    <s v="http://eng.mod.gov.cn/news/2018-10/29/content_4828199.htm"/>
    <m/>
  </r>
  <r>
    <x v="1"/>
    <x v="7"/>
    <s v="West Asia and Africa"/>
    <s v="Comprehensive Strategic Cooperative Partnership [全面战略合作伙伴关系]"/>
    <s v="None"/>
    <x v="4"/>
    <x v="84"/>
    <x v="27"/>
    <n v="10"/>
    <x v="7"/>
    <s v="Wei Fenghe"/>
    <m/>
    <s v="Defense Minister; CMC Member"/>
    <n v="8"/>
    <x v="2"/>
    <s v="BL with Defense Minister at Xiangshan Forum"/>
    <x v="0"/>
    <m/>
    <x v="0"/>
    <m/>
    <x v="1"/>
    <m/>
    <m/>
    <m/>
    <s v="http://english.chinamil.com.cn/view/2018-10/26/content_9324154.htm"/>
    <m/>
  </r>
  <r>
    <x v="1"/>
    <x v="1"/>
    <s v="Asia"/>
    <s v="Comprehensive Strategic Cooperative Partnership [全面战略合作伙伴关系]"/>
    <s v="None"/>
    <x v="0"/>
    <x v="1"/>
    <x v="27"/>
    <n v="10"/>
    <x v="7"/>
    <s v="Wei Fenghe"/>
    <m/>
    <s v="Defense Minister; CMC Member"/>
    <n v="8"/>
    <x v="2"/>
    <s v="BL with Defense Minister at Xiangshan Forum"/>
    <x v="0"/>
    <m/>
    <x v="0"/>
    <m/>
    <x v="1"/>
    <m/>
    <m/>
    <m/>
    <s v="http://www.xinhuanet.com/politics/2018-10/26/c_1123618438.htm"/>
    <m/>
  </r>
  <r>
    <x v="2"/>
    <x v="4"/>
    <s v="Asia"/>
    <s v="N/A"/>
    <s v="None"/>
    <x v="0"/>
    <x v="161"/>
    <x v="27"/>
    <n v="10"/>
    <x v="6"/>
    <m/>
    <m/>
    <m/>
    <m/>
    <x v="0"/>
    <m/>
    <x v="1"/>
    <s v="Sharp Blade 2018"/>
    <x v="4"/>
    <s v="Anti-terrorism. Other countries: Hungary, Israel, Pakistan, CAR; Hosted by PAP, but PLAN, PLAA, and PLAAF sent teams. "/>
    <x v="1"/>
    <m/>
    <m/>
    <m/>
    <s v="http://worlddefencenews.blogspot.com/2018/10/china-sharp-blade-2018-international.html#:~:text=The%20%22Sharp%20Blade%202018%E2%80%9D%20International,as%20reported%20by%20Chinamil.com."/>
    <s v="Updated branch to PAP; changed partner country to N/A and CCMD to PACOM"/>
  </r>
  <r>
    <x v="1"/>
    <x v="4"/>
    <s v="Asia"/>
    <s v="N/A"/>
    <s v="None"/>
    <x v="0"/>
    <x v="161"/>
    <x v="27"/>
    <n v="10"/>
    <x v="2"/>
    <s v="Wei Fenghe"/>
    <m/>
    <s v="Defense Minister; CMC Member"/>
    <n v="8"/>
    <x v="2"/>
    <s v="Xiangshan Forum 2018; Defense Minister"/>
    <x v="0"/>
    <m/>
    <x v="0"/>
    <m/>
    <x v="1"/>
    <m/>
    <m/>
    <m/>
    <s v="http://english.chinamil.com.cn/view/2018-10/26/content_9324154.htm"/>
    <m/>
  </r>
  <r>
    <x v="1"/>
    <x v="8"/>
    <s v="Europe and Central Asia"/>
    <s v="Comprehensive Strategic Partnership [全面战略伙伴关系]"/>
    <s v="NATO"/>
    <x v="3"/>
    <x v="151"/>
    <x v="27"/>
    <n v="10"/>
    <x v="7"/>
    <s v="Yang Xuejun"/>
    <m/>
    <s v="President Academy of Military Sciences"/>
    <n v="6"/>
    <x v="2"/>
    <s v="NATO Deputy Secretary General"/>
    <x v="0"/>
    <m/>
    <x v="0"/>
    <m/>
    <x v="1"/>
    <m/>
    <m/>
    <m/>
    <s v="https://www.nato.int/cps/en/natohq/news_160122.htm; https://www.ceris.be/blog/nato-china-relations-charting-the-way-forward/"/>
    <s v="BL on margins of 8th Xiangshan Forum; counterpart not specified but likely AMS President"/>
  </r>
  <r>
    <x v="1"/>
    <x v="0"/>
    <s v="Asia"/>
    <s v="All-Round Strategic Partnership [全方位战略伙伴关系]"/>
    <s v="None"/>
    <x v="0"/>
    <x v="32"/>
    <x v="27"/>
    <n v="10"/>
    <x v="7"/>
    <s v="Xu Qiliang"/>
    <m/>
    <s v="CMC Vice Chairman"/>
    <n v="10"/>
    <x v="2"/>
    <s v="Deputy Defense Minister; BL at Xiangshan"/>
    <x v="0"/>
    <m/>
    <x v="0"/>
    <m/>
    <x v="1"/>
    <m/>
    <m/>
    <m/>
    <s v="http://eng.mod.gov.cn/news/2018-10/29/content_4828199.htm"/>
    <s v="Updated counterpart's role; recoded as South Asia"/>
  </r>
  <r>
    <x v="1"/>
    <x v="5"/>
    <s v="America and Oceania"/>
    <s v="Comprehensive Strategic Partnership [全面战略伙伴关系]"/>
    <s v="ANZUS Treaty"/>
    <x v="0"/>
    <x v="13"/>
    <x v="27"/>
    <n v="10"/>
    <x v="7"/>
    <s v="Wei Fenghe"/>
    <m/>
    <s v="Defense Minister; CMC Member"/>
    <n v="8"/>
    <x v="1"/>
    <s v="BL with Defense Minister at ADMM+"/>
    <x v="0"/>
    <m/>
    <x v="0"/>
    <m/>
    <x v="1"/>
    <m/>
    <m/>
    <m/>
    <s v="http://www.xinhuanet.com/english/2018-10/21/c_137547767.htm"/>
    <m/>
  </r>
  <r>
    <x v="1"/>
    <x v="7"/>
    <s v="West Asia and Africa"/>
    <s v="Strategic Partnership [战略伙伴关系]"/>
    <s v="None"/>
    <x v="4"/>
    <x v="36"/>
    <x v="27"/>
    <n v="10"/>
    <x v="7"/>
    <s v="Wei Fenghe"/>
    <m/>
    <s v="Defense Minister; CMC Member"/>
    <n v="8"/>
    <x v="2"/>
    <s v="BL with Nigerian Defense Minister at Xiangshan Forum"/>
    <x v="0"/>
    <m/>
    <x v="0"/>
    <m/>
    <x v="1"/>
    <m/>
    <m/>
    <m/>
    <s v="http://www.xinhuanet.com/english/2018-10/23/c_137553157.htm"/>
    <m/>
  </r>
  <r>
    <x v="1"/>
    <x v="4"/>
    <s v="Asia"/>
    <s v="Bilateral Defense Treaty"/>
    <s v="None"/>
    <x v="0"/>
    <x v="9"/>
    <x v="27"/>
    <n v="10"/>
    <x v="7"/>
    <s v="Wei Fenghe"/>
    <m/>
    <s v="Defense Minister; CMC Member"/>
    <n v="8"/>
    <x v="2"/>
    <s v="BL with Vice Defense Minister Kim Hyong Ryong at Xiangshan Forum"/>
    <x v="0"/>
    <m/>
    <x v="0"/>
    <m/>
    <x v="1"/>
    <m/>
    <m/>
    <m/>
    <s v="http://eng.chinamil.com.cn/view/2018-10/25/content_9322261.htm"/>
    <m/>
  </r>
  <r>
    <x v="2"/>
    <x v="0"/>
    <s v="Asia"/>
    <s v="All-Weather Strategic Cooperative Partnership [全天候战略合作伙伴关系]"/>
    <s v="Major Non-NATO Ally"/>
    <x v="1"/>
    <x v="2"/>
    <x v="27"/>
    <n v="10"/>
    <x v="6"/>
    <m/>
    <m/>
    <m/>
    <m/>
    <x v="0"/>
    <m/>
    <x v="6"/>
    <s v="2nd International PACES Competition"/>
    <x v="1"/>
    <s v="Comprehensive Combat Skills. Other countries: South Africa, Maldives, Kuwait"/>
    <x v="1"/>
    <m/>
    <m/>
    <m/>
    <s v="http://english.chinamil.com.cn/view/2018-10/10/content_9307555.htm"/>
    <s v="Added source"/>
  </r>
  <r>
    <x v="1"/>
    <x v="3"/>
    <s v="Europe and Central Asia"/>
    <s v="Comprehensive Collaborative Strategic Partnership [全面战略协作伙伴关系]"/>
    <s v="None"/>
    <x v="3"/>
    <x v="7"/>
    <x v="27"/>
    <n v="10"/>
    <x v="3"/>
    <s v="Zhang Youxia"/>
    <m/>
    <s v="CMC Vice Chairman"/>
    <n v="10"/>
    <x v="2"/>
    <s v="Defense Minister"/>
    <x v="0"/>
    <m/>
    <x v="0"/>
    <m/>
    <x v="1"/>
    <m/>
    <m/>
    <m/>
    <s v="http://english.chinamil.com.cn/view/2018-10/22/content_9319696.htm"/>
    <m/>
  </r>
  <r>
    <x v="1"/>
    <x v="8"/>
    <s v="Europe and Central Asia"/>
    <s v="Comprehensive Strategic Partnership [全面战略伙伴关系]"/>
    <s v="None"/>
    <x v="3"/>
    <x v="112"/>
    <x v="27"/>
    <n v="10"/>
    <x v="7"/>
    <s v="Wei Fenghe"/>
    <m/>
    <s v="Defense Minister; CMC Member"/>
    <n v="8"/>
    <x v="2"/>
    <s v="BL with Defense Minister at Xiangshan Forum"/>
    <x v="0"/>
    <m/>
    <x v="0"/>
    <m/>
    <x v="1"/>
    <m/>
    <m/>
    <m/>
    <s v="http://english.chinamil.com.cn/view/2018-10/26/content_9324154.htm"/>
    <m/>
  </r>
  <r>
    <x v="1"/>
    <x v="1"/>
    <s v="Asia"/>
    <s v="All-Round Cooperative Partnership [全方合作伙伴关系]"/>
    <s v="None"/>
    <x v="0"/>
    <x v="39"/>
    <x v="27"/>
    <n v="10"/>
    <x v="7"/>
    <s v="Wei Fenghe"/>
    <m/>
    <s v="Defense Minister; CMC Member"/>
    <n v="8"/>
    <x v="2"/>
    <s v="Chief of Navy; Wei also met with ASEAN cty reps participating in the China-ASEAN Navy exercise"/>
    <x v="0"/>
    <m/>
    <x v="0"/>
    <m/>
    <x v="1"/>
    <m/>
    <m/>
    <m/>
    <s v="http://eng.chinamil.com.cn/view/2018-10/22/content_9319744.htm"/>
    <m/>
  </r>
  <r>
    <x v="1"/>
    <x v="1"/>
    <s v="Asia"/>
    <s v="All-Round Cooperative Partnership [全方合作伙伴关系]"/>
    <s v="None"/>
    <x v="0"/>
    <x v="39"/>
    <x v="27"/>
    <n v="10"/>
    <x v="7"/>
    <s v="Wei Fenghe"/>
    <m/>
    <s v="Defense Minister; CMC Member"/>
    <n v="8"/>
    <x v="1"/>
    <s v="SG Defense Minister at ADMM+"/>
    <x v="0"/>
    <m/>
    <x v="0"/>
    <m/>
    <x v="1"/>
    <m/>
    <m/>
    <m/>
    <s v="http://www.xinhuanet.com/english/2018-10/21/c_137547767.htm"/>
    <m/>
  </r>
  <r>
    <x v="1"/>
    <x v="1"/>
    <s v="Asia"/>
    <s v="All-Round Cooperative Partnership [全方合作伙伴关系]"/>
    <s v="None"/>
    <x v="0"/>
    <x v="39"/>
    <x v="27"/>
    <n v="10"/>
    <x v="7"/>
    <s v="Xu Qiliang"/>
    <m/>
    <s v="CMC Vice Chairman"/>
    <n v="10"/>
    <x v="2"/>
    <s v="Defense Minister; BL at Xiangshan"/>
    <x v="0"/>
    <m/>
    <x v="0"/>
    <m/>
    <x v="1"/>
    <m/>
    <m/>
    <m/>
    <s v="http://eng.mod.gov.cn/news/2018-10/29/content_4828199.htm"/>
    <m/>
  </r>
  <r>
    <x v="1"/>
    <x v="4"/>
    <s v="Asia"/>
    <s v="Strategic Cooperative Partnership [战略合作伙伴关系]"/>
    <s v="Bilateral Defense Treaty"/>
    <x v="0"/>
    <x v="25"/>
    <x v="27"/>
    <n v="10"/>
    <x v="7"/>
    <s v="Wei Fenghe"/>
    <m/>
    <s v="Defense Minister; CMC Member"/>
    <n v="8"/>
    <x v="1"/>
    <s v="BL with Defense Minister at ADMM+"/>
    <x v="0"/>
    <m/>
    <x v="0"/>
    <m/>
    <x v="1"/>
    <m/>
    <m/>
    <m/>
    <s v="http://www.xinhuanet.com/english/2018-10/21/c_137547767.htm"/>
    <m/>
  </r>
  <r>
    <x v="1"/>
    <x v="1"/>
    <s v="Asia"/>
    <s v="Comprehensive Strategic Cooperative Partnership [全面战略合作伙伴关系]"/>
    <s v="Bilateral Defense Treaty"/>
    <x v="0"/>
    <x v="5"/>
    <x v="27"/>
    <n v="10"/>
    <x v="7"/>
    <s v="Wei Fenghe"/>
    <m/>
    <s v="Defense Minister; CMC Member"/>
    <n v="8"/>
    <x v="1"/>
    <s v="BL with Defense Minister at ADMM+"/>
    <x v="0"/>
    <m/>
    <x v="0"/>
    <m/>
    <x v="1"/>
    <m/>
    <m/>
    <m/>
    <s v="http://www.xinhuanet.com/english/2018-10/21/c_137547767.htm"/>
    <m/>
  </r>
  <r>
    <x v="1"/>
    <x v="5"/>
    <s v="America and Oceania"/>
    <s v="Comprehensive Strategic Partnership [全面战略伙伴关系]"/>
    <s v="None"/>
    <x v="0"/>
    <x v="144"/>
    <x v="27"/>
    <n v="10"/>
    <x v="7"/>
    <s v="Wei Fenghe"/>
    <m/>
    <s v="Defense Minister; CMC Member"/>
    <n v="8"/>
    <x v="2"/>
    <s v="BL with Chief of Defense Staff at Xiangshan Forum"/>
    <x v="0"/>
    <m/>
    <x v="0"/>
    <m/>
    <x v="1"/>
    <m/>
    <m/>
    <m/>
    <s v="http://www.xinhuanet.com/politics/2018-10/26/c_1123618438.htm"/>
    <m/>
  </r>
  <r>
    <x v="1"/>
    <x v="2"/>
    <s v="America and Oceania"/>
    <s v="No Specific Relationship"/>
    <s v="N/A"/>
    <x v="2"/>
    <x v="4"/>
    <x v="27"/>
    <n v="10"/>
    <x v="7"/>
    <s v="Wei Fenghe"/>
    <m/>
    <s v="Defense Minister; CMC Member"/>
    <n v="8"/>
    <x v="1"/>
    <s v="BL with SECDEF Mattis at ADMM+"/>
    <x v="0"/>
    <m/>
    <x v="0"/>
    <m/>
    <x v="1"/>
    <m/>
    <m/>
    <m/>
    <s v="https://dod.defense.gov/News/News-Releases/News-Release-View/Article/1669428/readout-of-secretary-of-defense-james-n-mattis-bilateral-engagement-with-chines/"/>
    <m/>
  </r>
  <r>
    <x v="1"/>
    <x v="5"/>
    <s v="America and Oceania"/>
    <s v="No Specific Relationship"/>
    <s v="None"/>
    <x v="0"/>
    <x v="120"/>
    <x v="27"/>
    <n v="10"/>
    <x v="7"/>
    <s v="Wei Fenghe"/>
    <m/>
    <s v="Defense Minister; CMC Member"/>
    <n v="8"/>
    <x v="2"/>
    <s v="BL with Minister of Internal Affairs at Xiangshan Forum"/>
    <x v="0"/>
    <m/>
    <x v="0"/>
    <m/>
    <x v="1"/>
    <m/>
    <m/>
    <m/>
    <s v="http://www.xinhuanet.com/politics/2018-10/26/c_1123618438.htm"/>
    <m/>
  </r>
  <r>
    <x v="1"/>
    <x v="10"/>
    <s v="America and Oceania"/>
    <s v="Comprehensive Strategic Partnership [全面战略伙伴关系]"/>
    <s v="None"/>
    <x v="5"/>
    <x v="56"/>
    <x v="27"/>
    <n v="10"/>
    <x v="7"/>
    <s v="Wei Fenghe"/>
    <m/>
    <s v="Defense Minister; CMC Member"/>
    <n v="8"/>
    <x v="2"/>
    <s v="BL with Defense Minister at Xiangshan Forum"/>
    <x v="0"/>
    <m/>
    <x v="0"/>
    <m/>
    <x v="1"/>
    <m/>
    <m/>
    <m/>
    <s v="http://english.chinamil.com.cn/view/2018-10/26/content_9324154.htm"/>
    <m/>
  </r>
  <r>
    <x v="1"/>
    <x v="1"/>
    <s v="Asia"/>
    <s v="Comprehensive Strategic Cooperative Partnership [全面战略合作伙伴关系]"/>
    <s v="None"/>
    <x v="0"/>
    <x v="23"/>
    <x v="27"/>
    <n v="10"/>
    <x v="7"/>
    <s v="Xu Qiliang"/>
    <m/>
    <s v="CMC Vice Chairman"/>
    <n v="10"/>
    <x v="2"/>
    <s v="Defense Minister; BL at Xiangshan"/>
    <x v="0"/>
    <m/>
    <x v="0"/>
    <m/>
    <x v="1"/>
    <m/>
    <m/>
    <m/>
    <s v="http://eng.mod.gov.cn/news/2018-10/29/content_4828199.htm"/>
    <m/>
  </r>
  <r>
    <x v="1"/>
    <x v="10"/>
    <s v="America and Oceania"/>
    <s v="No Specific Relationship"/>
    <s v="None"/>
    <x v="5"/>
    <x v="49"/>
    <x v="27"/>
    <n v="11"/>
    <x v="3"/>
    <s v="Xu Qiliang"/>
    <m/>
    <s v="CMC Vice Chairman"/>
    <n v="10"/>
    <x v="2"/>
    <s v="Defense Minister"/>
    <x v="0"/>
    <m/>
    <x v="0"/>
    <m/>
    <x v="1"/>
    <m/>
    <m/>
    <m/>
    <s v="http://www.xinhuanet.com/english/2018-11/24/c_137627401.htm"/>
    <s v="Updated with highest rank interlocutor (also met with Wei Fenghe)"/>
  </r>
  <r>
    <x v="0"/>
    <x v="10"/>
    <s v="America and Oceania"/>
    <s v="No Specific Relationship"/>
    <s v="None"/>
    <x v="5"/>
    <x v="167"/>
    <x v="27"/>
    <n v="11"/>
    <x v="0"/>
    <m/>
    <m/>
    <m/>
    <m/>
    <x v="0"/>
    <m/>
    <x v="0"/>
    <m/>
    <x v="0"/>
    <m/>
    <x v="0"/>
    <s v="2018-11 Peace Ark"/>
    <s v="East Sea Fleet"/>
    <m/>
    <s v="http://english.chinamil.com.cn/view/2018-11/02/content_9330152.htm"/>
    <m/>
  </r>
  <r>
    <x v="0"/>
    <x v="10"/>
    <s v="America and Oceania"/>
    <s v="Comprehensive Strategic Partnership [全面战略伙伴关系]"/>
    <s v="None"/>
    <x v="5"/>
    <x v="51"/>
    <x v="27"/>
    <n v="11"/>
    <x v="0"/>
    <m/>
    <m/>
    <m/>
    <m/>
    <x v="0"/>
    <m/>
    <x v="0"/>
    <m/>
    <x v="0"/>
    <m/>
    <x v="0"/>
    <s v="2018-11 Peace Ark"/>
    <s v="East Sea Fleet"/>
    <m/>
    <s v="http://english.pladaily.com.cn/view/2018-11/23/content_9354406.htm"/>
    <m/>
  </r>
  <r>
    <x v="1"/>
    <x v="9"/>
    <s v="West Asia and Africa"/>
    <s v="Comprehensive Strategic Partnership [全面战略伙伴关系]"/>
    <s v="Major Non-NATO Ally"/>
    <x v="1"/>
    <x v="24"/>
    <x v="27"/>
    <n v="11"/>
    <x v="3"/>
    <s v="Wei Fenghe"/>
    <m/>
    <s v="Defense Minister; CMC Member"/>
    <n v="8"/>
    <x v="2"/>
    <s v="BL with Egyptian Chief of Staff"/>
    <x v="0"/>
    <m/>
    <x v="0"/>
    <m/>
    <x v="1"/>
    <m/>
    <m/>
    <m/>
    <s v="http://www.xinhuanet.com/english/2018-11/23/c_137625085.htm "/>
    <m/>
  </r>
  <r>
    <x v="1"/>
    <x v="0"/>
    <s v="Asia"/>
    <s v="Strategic Partnership for Peace and Prosperity [战略伙伴关系]"/>
    <s v="None"/>
    <x v="0"/>
    <x v="6"/>
    <x v="27"/>
    <n v="11"/>
    <x v="3"/>
    <s v="Wei Fenghe"/>
    <m/>
    <s v="Defense Minister; CMC Member"/>
    <n v="8"/>
    <x v="2"/>
    <s v="BL with Indian Defense Minister"/>
    <x v="0"/>
    <m/>
    <x v="0"/>
    <m/>
    <x v="1"/>
    <m/>
    <m/>
    <m/>
    <s v="http://www.xinhuanet.com/english/2018-11/15/c_137609320.htm "/>
    <m/>
  </r>
  <r>
    <x v="1"/>
    <x v="4"/>
    <s v="Asia"/>
    <s v="Comprehensive Strategic Partnership [全面战略伙伴关系]"/>
    <s v="None"/>
    <x v="0"/>
    <x v="53"/>
    <x v="27"/>
    <n v="11"/>
    <x v="3"/>
    <s v="Wei Fenghe"/>
    <m/>
    <s v="Defense Minister; CMC Member"/>
    <n v="8"/>
    <x v="2"/>
    <s v="BL with Mongolian Defense Minister"/>
    <x v="0"/>
    <m/>
    <x v="0"/>
    <m/>
    <x v="1"/>
    <m/>
    <m/>
    <m/>
    <s v="http://www.xinhuanet.com/english/2018-11/15/c_137609320.htm"/>
    <m/>
  </r>
  <r>
    <x v="1"/>
    <x v="1"/>
    <s v="Asia"/>
    <s v="Comprehensive Strategic Cooperative Partnership [全面战略合作伙伴关系]"/>
    <s v="None"/>
    <x v="0"/>
    <x v="1"/>
    <x v="27"/>
    <n v="11"/>
    <x v="3"/>
    <s v="Wei Fenghe"/>
    <m/>
    <s v="Defense Minister; CMC Member"/>
    <n v="8"/>
    <x v="2"/>
    <s v="Deputy Commander in Chief of Tatmadaw"/>
    <x v="0"/>
    <m/>
    <x v="0"/>
    <m/>
    <x v="1"/>
    <m/>
    <m/>
    <m/>
    <s v="http://www.xinhuanet.com/politics/2018-11/16/c_1123726590.htm"/>
    <m/>
  </r>
  <r>
    <x v="1"/>
    <x v="1"/>
    <s v="Asia"/>
    <s v="Comprehensive Strategic Cooperative Partnership [全面战略合作伙伴关系]"/>
    <s v="Bilateral Defense Treaty"/>
    <x v="0"/>
    <x v="5"/>
    <x v="27"/>
    <n v="11"/>
    <x v="3"/>
    <s v="Wei Fenghe"/>
    <m/>
    <s v="Defense Minister; CMC Member"/>
    <n v="8"/>
    <x v="2"/>
    <s v="Commander of Navy"/>
    <x v="0"/>
    <m/>
    <x v="0"/>
    <m/>
    <x v="1"/>
    <m/>
    <m/>
    <m/>
    <s v="http://www.xinhuanet.com/politics/2018-11/16/c_1123726590.htm "/>
    <m/>
  </r>
  <r>
    <x v="1"/>
    <x v="11"/>
    <s v="N/A"/>
    <s v="Member"/>
    <s v="None"/>
    <x v="6"/>
    <x v="163"/>
    <x v="27"/>
    <n v="11"/>
    <x v="2"/>
    <s v="Wei Fenghe"/>
    <m/>
    <s v="Defense Minister; CMC Member"/>
    <n v="8"/>
    <x v="2"/>
    <s v="ML with Permanent Representatives to the UN of France, Ethiopia, and delegation of permanent security council members' representatives"/>
    <x v="0"/>
    <m/>
    <x v="0"/>
    <m/>
    <x v="1"/>
    <m/>
    <m/>
    <m/>
    <s v="http://www.xinhuanet.com/english/2018-11/17/c_137614133.htm"/>
    <s v="Coded as France, but France and Ethiopia spoke for the delegation, and represented UN peacekeeping interests"/>
  </r>
  <r>
    <x v="1"/>
    <x v="2"/>
    <s v="America and Oceania"/>
    <s v="No Specific Relationship"/>
    <s v="N/A"/>
    <x v="2"/>
    <x v="4"/>
    <x v="27"/>
    <n v="11"/>
    <x v="4"/>
    <s v="Wei Fenghe"/>
    <m/>
    <s v="Defense Minister; CMC Member"/>
    <n v="8"/>
    <x v="1"/>
    <s v="Secretary of Defense"/>
    <x v="0"/>
    <m/>
    <x v="0"/>
    <m/>
    <x v="1"/>
    <m/>
    <m/>
    <m/>
    <s v="http://english.chinamil.com.cn/view/2018-11/10/content_9340354.htm"/>
    <m/>
  </r>
  <r>
    <x v="1"/>
    <x v="2"/>
    <s v="America and Oceania"/>
    <s v="No Specific Relationship"/>
    <s v="N/A"/>
    <x v="2"/>
    <x v="4"/>
    <x v="27"/>
    <n v="11"/>
    <x v="3"/>
    <s v="Xu Qiliang"/>
    <m/>
    <s v="CMC Vice Chairman"/>
    <n v="10"/>
    <x v="2"/>
    <s v="Former Secretary of State Kissinger"/>
    <x v="0"/>
    <m/>
    <x v="0"/>
    <m/>
    <x v="1"/>
    <m/>
    <m/>
    <m/>
    <s v="http://www.mod.gov.cn/topnews/2018-11/10/content_4829139.htm"/>
    <m/>
  </r>
  <r>
    <x v="2"/>
    <x v="2"/>
    <s v="America and Oceania"/>
    <s v="No Specific Relationship"/>
    <s v="N/A"/>
    <x v="2"/>
    <x v="4"/>
    <x v="27"/>
    <n v="11"/>
    <x v="5"/>
    <m/>
    <m/>
    <m/>
    <m/>
    <x v="0"/>
    <m/>
    <x v="2"/>
    <s v="14th China-US Disaster Management TTX"/>
    <x v="1"/>
    <s v="Nanjing; HADR academic discussion; TTX; and field exchange"/>
    <x v="1"/>
    <m/>
    <m/>
    <m/>
    <s v="http://eng.mod.gov.cn/news/2018-11/13/content_4829300.htm; https://thediplomat.com/2018/11/us-army-pla-conclude-disaster-management-exchange-despite-frictions/"/>
    <m/>
  </r>
  <r>
    <x v="1"/>
    <x v="1"/>
    <s v="Asia"/>
    <s v="Comprehensive Strategic Cooperative Partnership [全面战略合作伙伴关系]"/>
    <s v="None"/>
    <x v="0"/>
    <x v="23"/>
    <x v="27"/>
    <n v="11"/>
    <x v="4"/>
    <s v="Wei Fenghe"/>
    <m/>
    <s v="Defense Minister; CMC Member"/>
    <n v="8"/>
    <x v="1"/>
    <s v="Defense Minister"/>
    <x v="0"/>
    <m/>
    <x v="0"/>
    <m/>
    <x v="1"/>
    <m/>
    <m/>
    <m/>
    <s v="https://en.vietnamplus.vn/cao-bang-to-host-5th-vnchina-border-defence-friendship-exchange/141870.vnp"/>
    <s v="Visit was in Vietnam; originally entered as hosted visit;"/>
  </r>
  <r>
    <x v="2"/>
    <x v="0"/>
    <s v="Asia"/>
    <s v="Strategic Cooperative Partnership [战略合作伙伴关系]"/>
    <s v="None"/>
    <x v="0"/>
    <x v="0"/>
    <x v="27"/>
    <n v="12"/>
    <x v="5"/>
    <m/>
    <m/>
    <m/>
    <m/>
    <x v="0"/>
    <m/>
    <x v="1"/>
    <s v="Unnamed"/>
    <x v="1"/>
    <s v="Emergency response, support operations"/>
    <x v="1"/>
    <m/>
    <m/>
    <m/>
    <s v="http://english.chinamil.com.cn/view/2018-12/07/content_9372156.htm"/>
    <m/>
  </r>
  <r>
    <x v="0"/>
    <x v="10"/>
    <s v="America and Oceania"/>
    <s v="Comprehensive Strategic Cooperative Partnership [全面战略合作伙伴关系]"/>
    <s v="None"/>
    <x v="5"/>
    <x v="66"/>
    <x v="27"/>
    <n v="12"/>
    <x v="0"/>
    <m/>
    <m/>
    <m/>
    <m/>
    <x v="0"/>
    <m/>
    <x v="0"/>
    <m/>
    <x v="0"/>
    <m/>
    <x v="0"/>
    <s v="2018-12 Peace Ark"/>
    <s v="East Sea Fleet"/>
    <m/>
    <s v="http://eng.chinamil.com.cn/view/2018-12/03/content_9365771.htm"/>
    <m/>
  </r>
  <r>
    <x v="2"/>
    <x v="10"/>
    <s v="America and Oceania"/>
    <s v="Comprehensive Strategic Cooperative Partnership [全面战略合作伙伴关系]"/>
    <s v="None"/>
    <x v="5"/>
    <x v="66"/>
    <x v="27"/>
    <n v="12"/>
    <x v="6"/>
    <m/>
    <m/>
    <m/>
    <m/>
    <x v="0"/>
    <m/>
    <x v="2"/>
    <s v="Unnamed"/>
    <x v="2"/>
    <s v="international fleet review and maritime exercises; other countries: US, UK"/>
    <x v="1"/>
    <s v="2018-12 Peace Ark"/>
    <s v="East Sea Fleet"/>
    <m/>
    <s v="http://eng.chinamil.com.cn/view/2018-12/03/content_9365771.htm"/>
    <m/>
  </r>
  <r>
    <x v="2"/>
    <x v="0"/>
    <s v="Asia"/>
    <s v="Strategic Partnership for Peace and Prosperity [战略伙伴关系]"/>
    <s v="None"/>
    <x v="0"/>
    <x v="6"/>
    <x v="27"/>
    <n v="12"/>
    <x v="5"/>
    <m/>
    <m/>
    <m/>
    <m/>
    <x v="0"/>
    <m/>
    <x v="1"/>
    <s v="Hand-in-Hand 2018"/>
    <x v="1"/>
    <s v="adaptive training, basic training, combat-realistic shooting, and comprehensive drills"/>
    <x v="1"/>
    <m/>
    <m/>
    <m/>
    <s v="http://eng.mod.gov.cn/news/2018-12/24/content_4832710.htm"/>
    <s v=" added drill details"/>
  </r>
  <r>
    <x v="1"/>
    <x v="1"/>
    <s v="Asia"/>
    <s v="Comprehensive Strategic Cooperative Partnership [全面战略合作伙伴关系]"/>
    <s v="None"/>
    <x v="0"/>
    <x v="1"/>
    <x v="27"/>
    <n v="12"/>
    <x v="3"/>
    <s v="Shao Yuanming; Kong Xuanyou"/>
    <m/>
    <s v="CMC/JSD DCJS"/>
    <n v="5"/>
    <x v="2"/>
    <s v="Minister of the Ministry of International Cooperation; Chief of SpecOps"/>
    <x v="0"/>
    <m/>
    <x v="0"/>
    <m/>
    <x v="1"/>
    <m/>
    <m/>
    <m/>
    <s v="http://www.xinhuanet.com/world/2018-12/18/c_1123872310.htm"/>
    <s v="Fourth round of 2+2 talks; Held in Kunming, focused on border regions; JSD/DCJS position downgraded so position weight adjusted"/>
  </r>
  <r>
    <x v="2"/>
    <x v="0"/>
    <s v="Asia"/>
    <s v="All-Weather Strategic Cooperative Partnership [全天候战略合作伙伴关系]"/>
    <s v="Major Non-NATO Ally"/>
    <x v="1"/>
    <x v="2"/>
    <x v="27"/>
    <n v="12"/>
    <x v="5"/>
    <m/>
    <m/>
    <m/>
    <m/>
    <x v="0"/>
    <m/>
    <x v="3"/>
    <s v="Shaheen-VII "/>
    <x v="5"/>
    <s v="Joint exercise"/>
    <x v="1"/>
    <m/>
    <m/>
    <m/>
    <s v="https://www.pakistantoday.com.pk/2018/11/30/china-to-advance-its-military-ties-with-pakistan-spokesperson/"/>
    <m/>
  </r>
  <r>
    <x v="1"/>
    <x v="8"/>
    <s v="Europe and Central Asia"/>
    <s v="Comprehensive Collaborative Strategic Partnership [全面战略协作伙伴关系]"/>
    <s v="None"/>
    <x v="3"/>
    <x v="7"/>
    <x v="27"/>
    <n v="12"/>
    <x v="3"/>
    <s v="Wei Fenghe"/>
    <m/>
    <s v="Defense Minister; CMC Member"/>
    <n v="8"/>
    <x v="2"/>
    <s v="Deputy Defense Minister Andrey Kartapolov"/>
    <x v="0"/>
    <m/>
    <x v="0"/>
    <m/>
    <x v="1"/>
    <m/>
    <m/>
    <m/>
    <s v="http://english.chinamil.com.cn/view/2018-12/20/content_9384360.htm"/>
    <m/>
  </r>
  <r>
    <x v="2"/>
    <x v="8"/>
    <s v="Europe and Central Asia"/>
    <s v="Comprehensive Strategic Partnership [全面战略伙伴关系]"/>
    <s v="NATO"/>
    <x v="3"/>
    <x v="70"/>
    <x v="27"/>
    <n v="12"/>
    <x v="5"/>
    <m/>
    <m/>
    <m/>
    <m/>
    <x v="0"/>
    <m/>
    <x v="2"/>
    <s v="military Medical Drill in Djibouti"/>
    <x v="2"/>
    <s v="PLA base Djibouti with Spanish navy amphibious ship"/>
    <x v="1"/>
    <m/>
    <m/>
    <m/>
    <s v="http://english.chinamil.com.cn/view/2018-12/04/content_9366133.htm"/>
    <m/>
  </r>
  <r>
    <x v="1"/>
    <x v="5"/>
    <s v="America and Oceania"/>
    <s v="Comprehensive Strategic Partnership [全面战略伙伴关系]"/>
    <s v="ANZUS Treaty"/>
    <x v="0"/>
    <x v="12"/>
    <x v="28"/>
    <n v="1"/>
    <x v="3"/>
    <s v="Xu Qiliang"/>
    <m/>
    <s v="CMC Vice Chairman"/>
    <n v="10"/>
    <x v="2"/>
    <s v="Defense Minister"/>
    <x v="0"/>
    <m/>
    <x v="0"/>
    <m/>
    <x v="1"/>
    <m/>
    <m/>
    <m/>
    <s v="http://www.mod.gov.cn/topnews/2019-01/24/content_4835146.htm"/>
    <s v="added source and higher rank interlocutor"/>
  </r>
  <r>
    <x v="0"/>
    <x v="1"/>
    <s v="Asia"/>
    <s v="Comprehensive Strategic Cooperative Partnership [全面战略合作伙伴关系]"/>
    <s v="None"/>
    <x v="0"/>
    <x v="94"/>
    <x v="28"/>
    <n v="1"/>
    <x v="0"/>
    <m/>
    <m/>
    <m/>
    <m/>
    <x v="0"/>
    <m/>
    <x v="0"/>
    <m/>
    <x v="0"/>
    <m/>
    <x v="2"/>
    <s v="ETF-30"/>
    <s v="North Sea Fleet"/>
    <s v="FFG539 Wuhu; FFG579 Handan; AOR960 Dongping Hu"/>
    <s v="http://navy.81.cn/content/2019-01/10/content_9401604.htm"/>
    <s v="added source, fleet type, and ship names (ETF-30 has been in the Sea of Aden);changed from NETF-30 to ETF-30"/>
  </r>
  <r>
    <x v="1"/>
    <x v="1"/>
    <s v="Asia"/>
    <s v="Comprehensive Strategic Cooperative Partnership [全面战略合作伙伴关系]"/>
    <s v="None"/>
    <x v="0"/>
    <x v="52"/>
    <x v="28"/>
    <n v="1"/>
    <x v="4"/>
    <s v="Miao Hua"/>
    <m/>
    <s v="CMC/PWD Director; CMC Member"/>
    <n v="8"/>
    <x v="1"/>
    <s v="Laotian President "/>
    <x v="0"/>
    <m/>
    <x v="0"/>
    <m/>
    <x v="1"/>
    <m/>
    <m/>
    <m/>
    <s v="http://www.81.cn/jmywyl/2019-01/20/content_9408890.htm"/>
    <s v="Added source"/>
  </r>
  <r>
    <x v="2"/>
    <x v="0"/>
    <s v="Asia"/>
    <s v="All-Weather Strategic Cooperative Partnership [全天候战略合作伙伴关系]"/>
    <s v="Major Non-NATO Ally"/>
    <x v="1"/>
    <x v="2"/>
    <x v="28"/>
    <n v="1"/>
    <x v="6"/>
    <m/>
    <m/>
    <m/>
    <m/>
    <x v="0"/>
    <m/>
    <x v="1"/>
    <s v="Warrior VI"/>
    <x v="1"/>
    <s v="multi-dimensional search and reconnaissance, three-dimensional maneuvers and deployment, comprehensive fire assaults, searching and clearing buildings, coordinated air-ground attacks, joint defense and control"/>
    <x v="1"/>
    <m/>
    <m/>
    <m/>
    <s v="http://www.xinhuanet.com/mil/2019-01/06/c_1210031329.htm"/>
    <s v="Added source, drill details"/>
  </r>
  <r>
    <x v="1"/>
    <x v="1"/>
    <s v="Asia"/>
    <s v="Comprehensive Strategic Partnership [全面战略伙伴关系]"/>
    <s v="Bilateral Defense Treaty"/>
    <x v="0"/>
    <x v="11"/>
    <x v="28"/>
    <n v="1"/>
    <x v="3"/>
    <s v="Wei Fenghe"/>
    <m/>
    <s v="Defense Minister; CMC Member"/>
    <n v="8"/>
    <x v="2"/>
    <s v="Philippine Defense Undersecretary "/>
    <x v="0"/>
    <m/>
    <x v="0"/>
    <m/>
    <x v="1"/>
    <m/>
    <m/>
    <m/>
    <s v="http://www.xinhuanet.com/world/2019-01/25/c_1124044584.htm"/>
    <s v="Updated counterpart title; added source"/>
  </r>
  <r>
    <x v="0"/>
    <x v="1"/>
    <s v="Asia"/>
    <s v="Comprehensive Strategic Partnership [全面战略伙伴关系]"/>
    <s v="Bilateral Defense Treaty"/>
    <x v="0"/>
    <x v="11"/>
    <x v="28"/>
    <n v="1"/>
    <x v="0"/>
    <m/>
    <m/>
    <m/>
    <m/>
    <x v="0"/>
    <m/>
    <x v="0"/>
    <m/>
    <x v="0"/>
    <m/>
    <x v="2"/>
    <s v="ETF-30"/>
    <s v="North Sea Fleet"/>
    <s v="FFG539 Wuhu; FFG579 Handan; AOR960 Dongping Hu"/>
    <s v="http://www.xinhuanet.com/english/2019-01/27/c_137779068.htm"/>
    <s v="added source, fleet type, and ship names (ETF-30 has been in the Sea of Aden);changed from NETF-30 to ETF-30"/>
  </r>
  <r>
    <x v="1"/>
    <x v="1"/>
    <s v="Asia"/>
    <s v="All-Round Cooperative Partnership [全方合作伙伴关系]"/>
    <s v="None"/>
    <x v="0"/>
    <x v="39"/>
    <x v="28"/>
    <n v="1"/>
    <x v="3"/>
    <s v="Wei Fenghe"/>
    <m/>
    <s v="Defense Minister; CMC Member"/>
    <n v="8"/>
    <x v="2"/>
    <s v="Permanent Secretary Ministry of Defence"/>
    <x v="0"/>
    <m/>
    <x v="0"/>
    <m/>
    <x v="1"/>
    <m/>
    <m/>
    <m/>
    <s v="http://www.mod.gov.cn/topnews/2019-01/18/content_4834837.htm"/>
    <s v="Added specific source"/>
  </r>
  <r>
    <x v="1"/>
    <x v="1"/>
    <s v="Asia"/>
    <s v="Comprehensive Strategic Cooperative Partnership [全面战略合作伙伴关系]"/>
    <s v="Bilateral Defense Treaty"/>
    <x v="0"/>
    <x v="5"/>
    <x v="28"/>
    <n v="1"/>
    <x v="3"/>
    <s v="Wei Fenghe"/>
    <m/>
    <s v="Defense Minister; CMC Member"/>
    <n v="8"/>
    <x v="2"/>
    <s v="Royal Thai Army Commander"/>
    <x v="0"/>
    <m/>
    <x v="0"/>
    <m/>
    <x v="1"/>
    <m/>
    <m/>
    <m/>
    <s v="http://www.mod.gov.cn/topnews/2019-01/07/content_4833811.htm"/>
    <s v="Added specific source"/>
  </r>
  <r>
    <x v="2"/>
    <x v="1"/>
    <s v="Asia"/>
    <s v="Comprehensive Strategic Cooperative Partnership [全面战略合作伙伴关系]"/>
    <s v="Bilateral Defense Treaty"/>
    <x v="0"/>
    <x v="5"/>
    <x v="28"/>
    <n v="1"/>
    <x v="5"/>
    <m/>
    <m/>
    <m/>
    <m/>
    <x v="0"/>
    <m/>
    <x v="1"/>
    <s v="Joint Assault 2019 "/>
    <x v="1"/>
    <m/>
    <x v="1"/>
    <m/>
    <m/>
    <m/>
    <s v=", http://www.81.cn/jwgz/2019-01/07/content_9397541.htm"/>
    <s v="Added source, added branch"/>
  </r>
  <r>
    <x v="1"/>
    <x v="2"/>
    <s v="America and Oceania"/>
    <s v="No Specific Relationship"/>
    <s v="N/A"/>
    <x v="2"/>
    <x v="4"/>
    <x v="28"/>
    <n v="1"/>
    <x v="3"/>
    <s v="Li Zuocheng"/>
    <m/>
    <s v="CMC/JSD Commander; CMC Member"/>
    <n v="8"/>
    <x v="2"/>
    <s v="US Chief of Naval Operations Admiral"/>
    <x v="0"/>
    <m/>
    <x v="0"/>
    <m/>
    <x v="1"/>
    <m/>
    <m/>
    <m/>
    <s v="http://www.mod.gov.cn/topnews/2019-01/15/content_4834535.htm"/>
    <s v="Added specific source"/>
  </r>
  <r>
    <x v="1"/>
    <x v="1"/>
    <s v="Asia"/>
    <s v="Comprehensive Strategic Cooperative Partnership [全面战略合作伙伴关系]"/>
    <s v="None"/>
    <x v="0"/>
    <x v="94"/>
    <x v="28"/>
    <n v="2"/>
    <x v="3"/>
    <s v="Xu Qiliang"/>
    <m/>
    <s v="CMC Vice Chairman"/>
    <n v="10"/>
    <x v="2"/>
    <s v="Deputy Commander in Chief, Royal Cambodian Army"/>
    <x v="0"/>
    <m/>
    <x v="0"/>
    <m/>
    <x v="1"/>
    <m/>
    <m/>
    <m/>
    <s v="http://www.mod.gov.cn/topnews/2019-02/26/content_4836791.htm"/>
    <s v="Added source, updated rank of both sets of interlocutors"/>
  </r>
  <r>
    <x v="1"/>
    <x v="6"/>
    <s v="Europe and Central Asia"/>
    <s v="Comprehensive Strategic Partnership [全面战略伙伴关系]"/>
    <s v="None"/>
    <x v="1"/>
    <x v="31"/>
    <x v="28"/>
    <n v="2"/>
    <x v="3"/>
    <s v="Wei Fenghe"/>
    <m/>
    <s v="Defense Minister; CMC Member"/>
    <n v="8"/>
    <x v="2"/>
    <s v="Chief of the General Staff "/>
    <x v="0"/>
    <m/>
    <x v="0"/>
    <m/>
    <x v="1"/>
    <m/>
    <m/>
    <m/>
    <m/>
    <m/>
  </r>
  <r>
    <x v="2"/>
    <x v="0"/>
    <s v="Asia"/>
    <s v="All-Weather Strategic Cooperative Partnership [全天候战略合作伙伴关系]"/>
    <s v="Major Non-NATO Ally"/>
    <x v="1"/>
    <x v="2"/>
    <x v="28"/>
    <n v="2"/>
    <x v="6"/>
    <m/>
    <m/>
    <m/>
    <m/>
    <x v="0"/>
    <m/>
    <x v="1"/>
    <s v="Aman 2019"/>
    <x v="2"/>
    <s v="Two phases: harbor (conference) and sea (anti-terrorism, replenishment-at-sea, counterterrorism, anti-piracy, combined anti-submarine exercises, live-fire exercises, flight formations, ship formation maneuvers, communications, and visit, board, search, and seizure ), recorded as anti-terrorism for ease"/>
    <x v="1"/>
    <m/>
    <m/>
    <m/>
    <s v="www.81.cn/jfjbmap/content/2019-02/13/content_227195.htm; https://www.scmp.com/news/china/military/article/2186181/pakistan-and-china-build-friendship-ties-aman-19-multinational"/>
    <s v="Added source, added drill details"/>
  </r>
  <r>
    <x v="2"/>
    <x v="1"/>
    <s v="Asia"/>
    <s v="Comprehensive Strategic Cooperative Partnership [全面战略合作伙伴关系]"/>
    <s v="Bilateral Defense Treaty"/>
    <x v="0"/>
    <x v="5"/>
    <x v="28"/>
    <n v="2"/>
    <x v="6"/>
    <m/>
    <m/>
    <m/>
    <m/>
    <x v="0"/>
    <m/>
    <x v="2"/>
    <s v="Cobra Gold 2019"/>
    <x v="1"/>
    <s v="The role of the Chinese troops is limited to humanitarian relief drills, including providing engineering support and medical aid."/>
    <x v="1"/>
    <m/>
    <m/>
    <m/>
    <s v="https://www.scmp.com/news/china/article/1425918/chinese-troops-join-asia-us-drills-positive-step-amid-regional-tensions"/>
    <m/>
  </r>
  <r>
    <x v="0"/>
    <x v="9"/>
    <s v="West Asia and Africa"/>
    <s v="Comprehensive Strategic Partnership [全面战略伙伴关系]"/>
    <s v="None"/>
    <x v="1"/>
    <x v="106"/>
    <x v="28"/>
    <n v="2"/>
    <x v="0"/>
    <m/>
    <m/>
    <m/>
    <m/>
    <x v="0"/>
    <m/>
    <x v="0"/>
    <m/>
    <x v="0"/>
    <m/>
    <x v="2"/>
    <s v="ETF-31"/>
    <s v="South Sea Fleet"/>
    <s v="LPD998 Kunlun Shan; Participating in IDEX 2019"/>
    <s v="http://eng.chinamil.com.cn/view/2019-02/20/content_9431163.htm"/>
    <s v="updated with source and ship details"/>
  </r>
  <r>
    <x v="1"/>
    <x v="1"/>
    <s v="Asia"/>
    <s v="Comprehensive Strategic Cooperative Partnership [全面战略合作伙伴关系]"/>
    <s v="None"/>
    <x v="0"/>
    <x v="23"/>
    <x v="28"/>
    <n v="2"/>
    <x v="3"/>
    <s v="Wei Fenghe"/>
    <m/>
    <s v="Defense Minister; CMC Member"/>
    <n v="8"/>
    <x v="2"/>
    <s v="Deputy Defense Minister "/>
    <x v="0"/>
    <m/>
    <x v="0"/>
    <m/>
    <x v="1"/>
    <m/>
    <m/>
    <m/>
    <s v="http://www.xinhuanet.com/english/2019-02/19/c_137834753.htm"/>
    <s v="Added source"/>
  </r>
  <r>
    <x v="2"/>
    <x v="1"/>
    <s v="Asia"/>
    <s v="Comprehensive Strategic Cooperative Partnership [全面战略合作伙伴关系]"/>
    <s v="None"/>
    <x v="0"/>
    <x v="94"/>
    <x v="28"/>
    <n v="3"/>
    <x v="5"/>
    <m/>
    <m/>
    <m/>
    <m/>
    <x v="0"/>
    <m/>
    <x v="1"/>
    <s v="Golden Dragon 2019 "/>
    <x v="1"/>
    <m/>
    <x v="1"/>
    <m/>
    <m/>
    <m/>
    <s v="http://english.chinamil.com.cn/view/2019-03/14/content_9450012.htm"/>
    <m/>
  </r>
  <r>
    <x v="1"/>
    <x v="9"/>
    <s v="West Asia and Africa"/>
    <s v="Comprehensive Strategic Partnership [全面战略伙伴关系]"/>
    <s v="Major Non-NATO Ally"/>
    <x v="4"/>
    <x v="24"/>
    <x v="28"/>
    <n v="3"/>
    <x v="4"/>
    <s v="Wei Fenghe"/>
    <m/>
    <s v="Defense Minister; CMC Member"/>
    <n v="8"/>
    <x v="1"/>
    <s v="Egyptian President"/>
    <x v="0"/>
    <m/>
    <x v="0"/>
    <m/>
    <x v="1"/>
    <m/>
    <m/>
    <m/>
    <s v="http://m.xinhuanet.com/2019-03/25/c_1124281295.htm"/>
    <s v="Added source"/>
  </r>
  <r>
    <x v="2"/>
    <x v="1"/>
    <s v="Asia"/>
    <s v="Comprehensive Strategic Partnership [全面战略伙伴关系]"/>
    <s v="None"/>
    <x v="0"/>
    <x v="10"/>
    <x v="28"/>
    <n v="3"/>
    <x v="6"/>
    <m/>
    <m/>
    <m/>
    <m/>
    <x v="0"/>
    <m/>
    <x v="2"/>
    <s v="Langkawi International Maritime and Aerospace Exhibition (LIMA) "/>
    <x v="2"/>
    <s v="FFG575Yueyang participating in maritime displays, warship inspections, and maritime exercises; Other countries included: Australia, US, India"/>
    <x v="1"/>
    <m/>
    <m/>
    <m/>
    <s v="http://eng.chinamil.com.cn/view/2019-03/22/content_9456821.htm"/>
    <s v="Updated with exercise details, branch"/>
  </r>
  <r>
    <x v="1"/>
    <x v="9"/>
    <s v="West Asia and Africa"/>
    <s v="Comprehensive Strategic Partnership [全面战略伙伴关系]"/>
    <s v="None"/>
    <x v="1"/>
    <x v="142"/>
    <x v="28"/>
    <n v="3"/>
    <x v="4"/>
    <s v="Wei Fenghe"/>
    <m/>
    <s v="Defense Minister; CMC Member"/>
    <n v="8"/>
    <x v="1"/>
    <s v="Saudi King Salman, Crown Prince"/>
    <x v="0"/>
    <m/>
    <x v="0"/>
    <m/>
    <x v="1"/>
    <m/>
    <m/>
    <m/>
    <s v="http://www.mod.gov.cn/topnews/2019-03/27/content_4838275.htm"/>
    <s v="Updated counterpart titles, added source"/>
  </r>
  <r>
    <x v="1"/>
    <x v="4"/>
    <s v="Asia"/>
    <s v="Strategic Cooperative Partnership [战略合作伙伴关系]"/>
    <s v="Bilateral Defense Treaty"/>
    <x v="0"/>
    <x v="25"/>
    <x v="28"/>
    <n v="3"/>
    <x v="3"/>
    <s v="Xu Qiliang"/>
    <m/>
    <s v="CMC Vice Chairman"/>
    <n v="10"/>
    <x v="2"/>
    <s v="Army Chief of Staff General "/>
    <x v="0"/>
    <m/>
    <x v="0"/>
    <m/>
    <x v="1"/>
    <m/>
    <m/>
    <m/>
    <s v="http://news.cctv.com/2019/04/22/VIDEPSOwkA2HlgfBbtVTamk2190422.shtml"/>
    <s v="Added source, updated highest rank participant"/>
  </r>
  <r>
    <x v="1"/>
    <x v="9"/>
    <s v="West Asia and Africa"/>
    <s v="Comprehensive Strategic Partnership [全面战略伙伴关系]"/>
    <s v="None"/>
    <x v="1"/>
    <x v="106"/>
    <x v="28"/>
    <n v="3"/>
    <x v="4"/>
    <s v="Wei Fenghe"/>
    <m/>
    <s v="Defense Minister; CMC Member"/>
    <n v="8"/>
    <x v="1"/>
    <s v="Crown Prince, Commander of the Armed Forces"/>
    <x v="0"/>
    <m/>
    <x v="0"/>
    <m/>
    <x v="1"/>
    <m/>
    <m/>
    <m/>
    <m/>
    <m/>
  </r>
  <r>
    <x v="2"/>
    <x v="1"/>
    <s v="Asia"/>
    <s v="Strategic Partnership [战略伙伴关系] for Peace and Prosperity"/>
    <s v="None"/>
    <x v="0"/>
    <x v="153"/>
    <x v="28"/>
    <n v="4"/>
    <x v="6"/>
    <m/>
    <m/>
    <m/>
    <m/>
    <x v="0"/>
    <m/>
    <x v="2"/>
    <s v="ASEAN - China Naval Exercise"/>
    <x v="2"/>
    <s v="Subjects: formation departures, formation communications, formation maneuvers, joint search and rescue, formation separations, vessel inspections, and medical treatments; Other countries: Philippines, Singapore, Vietnam, Indonesia, Laos"/>
    <x v="1"/>
    <m/>
    <m/>
    <m/>
    <s v="https://www.scmp.com/news/china/military/article/3007804/china-begins-joint-naval-drills-six-southeast-asian-nations"/>
    <s v="Updated drill details; corrected partnership label"/>
  </r>
  <r>
    <x v="1"/>
    <x v="10"/>
    <s v="America and Oceania"/>
    <s v="No Specific Relationship"/>
    <s v="None"/>
    <x v="5"/>
    <x v="167"/>
    <x v="28"/>
    <n v="4"/>
    <x v="4"/>
    <s v="Huang Xueping"/>
    <m/>
    <s v="CMC/OMIC Deputy Director"/>
    <n v="5"/>
    <x v="1"/>
    <s v="Defense Minister"/>
    <x v="0"/>
    <m/>
    <x v="0"/>
    <m/>
    <x v="1"/>
    <m/>
    <m/>
    <m/>
    <m/>
    <m/>
  </r>
  <r>
    <x v="1"/>
    <x v="0"/>
    <s v="Asia"/>
    <s v="Strategic Partnership for Peace and Prosperity [战略伙伴关系]"/>
    <s v="None"/>
    <x v="0"/>
    <x v="6"/>
    <x v="28"/>
    <n v="4"/>
    <x v="7"/>
    <s v="Wei Fenghe"/>
    <m/>
    <s v="Defense Minister; CMC Member"/>
    <n v="8"/>
    <x v="1"/>
    <s v="Defense Minister "/>
    <x v="0"/>
    <m/>
    <x v="0"/>
    <m/>
    <x v="1"/>
    <m/>
    <m/>
    <m/>
    <s v="http://www.xinhuanet.com/world/2019-04/30/c_1124435056.htm"/>
    <s v="Added source"/>
  </r>
  <r>
    <x v="1"/>
    <x v="9"/>
    <s v="West Asia and Africa"/>
    <s v="Comprehensive Strategic Partnership [全面战略伙伴关系]"/>
    <s v="None"/>
    <x v="1"/>
    <x v="89"/>
    <x v="28"/>
    <n v="4"/>
    <x v="4"/>
    <s v="Wei Fenghe"/>
    <m/>
    <s v="Defense Minister; CMC Member"/>
    <n v="8"/>
    <x v="1"/>
    <s v="Defense Minister"/>
    <x v="0"/>
    <m/>
    <x v="0"/>
    <m/>
    <x v="1"/>
    <m/>
    <m/>
    <m/>
    <s v="http://www.81.cn/jwzb/2019-04/25/content_9489144.htm"/>
    <m/>
  </r>
  <r>
    <x v="1"/>
    <x v="6"/>
    <s v="Europe and Central Asia"/>
    <s v="Comprehensive Strategic Partnership [全面战略伙伴关系]"/>
    <s v="None"/>
    <x v="1"/>
    <x v="30"/>
    <x v="28"/>
    <n v="4"/>
    <x v="7"/>
    <s v="Wei Fenghe"/>
    <m/>
    <s v="Defense Minister; CMC Member"/>
    <n v="8"/>
    <x v="1"/>
    <s v="Defense Minsiter"/>
    <x v="0"/>
    <m/>
    <x v="0"/>
    <m/>
    <x v="1"/>
    <m/>
    <m/>
    <m/>
    <s v="http://www.xinhuanet.com/world/2019-04/30/c_1124435056.htm"/>
    <s v="Added source"/>
  </r>
  <r>
    <x v="1"/>
    <x v="6"/>
    <s v="Europe and Central Asia"/>
    <s v="Comprehensive Strategic Partnership [全面战略伙伴关系]"/>
    <s v="None"/>
    <x v="1"/>
    <x v="31"/>
    <x v="28"/>
    <n v="4"/>
    <x v="4"/>
    <s v="Wei Fenghe"/>
    <m/>
    <s v="Defense Minister; CMC Member"/>
    <n v="8"/>
    <x v="1"/>
    <s v="President"/>
    <x v="0"/>
    <m/>
    <x v="0"/>
    <m/>
    <x v="1"/>
    <m/>
    <m/>
    <m/>
    <s v="http://english.chinamil.com.cn/view/2019-04/30/content_9493922.htm"/>
    <s v="Added source and Kyrgyzstan details"/>
  </r>
  <r>
    <x v="1"/>
    <x v="4"/>
    <s v="Asia"/>
    <s v="Comprehensive Strategic Partnership [全面战略伙伴关系]"/>
    <s v="None"/>
    <x v="0"/>
    <x v="53"/>
    <x v="28"/>
    <n v="4"/>
    <x v="4"/>
    <s v="Liu Xiaowu"/>
    <m/>
    <s v="Western TC Deputy Commander"/>
    <n v="6"/>
    <x v="2"/>
    <s v="General staff of armed forces"/>
    <x v="0"/>
    <m/>
    <x v="0"/>
    <m/>
    <x v="1"/>
    <m/>
    <m/>
    <m/>
    <s v="https://www.fmprc.gov.cn/ce/cemn/chn/tpxw/t1654922.htm"/>
    <m/>
  </r>
  <r>
    <x v="1"/>
    <x v="1"/>
    <s v="Asia"/>
    <s v="Comprehensive Strategic Cooperative Partnership [全面战略合作伙伴关系]"/>
    <s v="None"/>
    <x v="0"/>
    <x v="1"/>
    <x v="28"/>
    <n v="4"/>
    <x v="3"/>
    <s v="Xu Qiliang"/>
    <m/>
    <s v="CMC Vice Chairman"/>
    <n v="10"/>
    <x v="2"/>
    <s v="Commander in Chief of Tatmadaw"/>
    <x v="0"/>
    <m/>
    <x v="0"/>
    <m/>
    <x v="1"/>
    <m/>
    <m/>
    <m/>
    <s v="https://thediplomat.com/2019/04/china-myanmar-extol-eternal-friendship-as-commander-in-chief-visits-beijing/"/>
    <m/>
  </r>
  <r>
    <x v="2"/>
    <x v="4"/>
    <s v="Asia"/>
    <s v="N/A"/>
    <s v="None"/>
    <x v="0"/>
    <x v="161"/>
    <x v="28"/>
    <n v="4"/>
    <x v="6"/>
    <m/>
    <m/>
    <m/>
    <m/>
    <x v="0"/>
    <m/>
    <x v="2"/>
    <s v="70th Anniversary of PLA Navy Fleet Review "/>
    <x v="2"/>
    <s v="Naval Parade including Russia, Thailand, Vietnam,  India, Japan, the Philippines, Bangladesh, Brunei, Australia, Malaysia, and Myanmar "/>
    <x v="1"/>
    <m/>
    <m/>
    <m/>
    <s v="http://www.81.cn/jfjbmap/content/2019-04/26/content_232574.htm"/>
    <s v="Added source, added country participants; ; changed partner country to N/A and CCMD to PACOM"/>
  </r>
  <r>
    <x v="1"/>
    <x v="0"/>
    <s v="Asia"/>
    <s v="All-Weather Strategic Cooperative Partnership [全天候战略合作伙伴关系]"/>
    <s v="Major Non-NATO Ally"/>
    <x v="1"/>
    <x v="2"/>
    <x v="28"/>
    <n v="4"/>
    <x v="7"/>
    <s v="Wei Fenghe"/>
    <m/>
    <s v="Defense Minister; CMC Member"/>
    <n v="8"/>
    <x v="1"/>
    <s v="Defense Secretary"/>
    <x v="0"/>
    <m/>
    <x v="0"/>
    <m/>
    <x v="1"/>
    <m/>
    <m/>
    <m/>
    <s v="http://www.xinhuanet.com/world/2019-04/30/c_1124435056.htm"/>
    <s v="Added source"/>
  </r>
  <r>
    <x v="1"/>
    <x v="0"/>
    <s v="Asia"/>
    <s v="All-Weather Strategic Cooperative Partnership [全天候战略合作伙伴关系]"/>
    <s v="Major Non-NATO Ally"/>
    <x v="1"/>
    <x v="2"/>
    <x v="28"/>
    <n v="4"/>
    <x v="3"/>
    <s v="Wei Fenghe"/>
    <m/>
    <s v="Defense Minister; CMC Member"/>
    <n v="8"/>
    <x v="2"/>
    <s v="Chief of the Naval Staff "/>
    <x v="0"/>
    <m/>
    <x v="0"/>
    <m/>
    <x v="1"/>
    <m/>
    <m/>
    <m/>
    <s v="http://www.mod.gov.cn/diplomacy/2019-04/21/content_4839952.htm"/>
    <s v="Added source"/>
  </r>
  <r>
    <x v="2"/>
    <x v="3"/>
    <s v="Europe and Central Asia"/>
    <s v="Comprehensive Strategic Partnership of Coordination in the New Era [新时代中俄全面战略协作伙伴关系]"/>
    <s v="None"/>
    <x v="3"/>
    <x v="7"/>
    <x v="28"/>
    <n v="4"/>
    <x v="5"/>
    <m/>
    <m/>
    <m/>
    <m/>
    <x v="0"/>
    <m/>
    <x v="3"/>
    <s v="Joint Sea 2019 "/>
    <x v="2"/>
    <s v="Joint air defense, joint anti-submarine operations, joint submarine rescue, and joint search and rescue in Yellow Sea off Qiangdao.  April 29-May 4."/>
    <x v="1"/>
    <m/>
    <m/>
    <m/>
    <s v="http://www.xinhuanet.com/english/2019-04/30/c_138025460.htm"/>
    <s v="Added source, added details"/>
  </r>
  <r>
    <x v="1"/>
    <x v="3"/>
    <s v="Europe and Central Asia"/>
    <s v="Comprehensive Strategic Partnership of Coordination in the New Era [新时代中俄全面战略协作伙伴关系]"/>
    <s v="None"/>
    <x v="3"/>
    <x v="7"/>
    <x v="28"/>
    <n v="4"/>
    <x v="7"/>
    <s v="Wei Fenghe"/>
    <m/>
    <s v="Defense Minister; CMC Member"/>
    <n v="8"/>
    <x v="1"/>
    <s v="Russian Defense Minister"/>
    <x v="0"/>
    <m/>
    <x v="0"/>
    <m/>
    <x v="1"/>
    <m/>
    <m/>
    <m/>
    <s v="http://www.81.cn/jwzb/2019-04/25/content_9489144.htm"/>
    <s v="Added specific source"/>
  </r>
  <r>
    <x v="1"/>
    <x v="6"/>
    <s v="Europe and Central Asia"/>
    <s v="Member"/>
    <s v="None"/>
    <x v="1"/>
    <x v="14"/>
    <x v="28"/>
    <n v="4"/>
    <x v="1"/>
    <s v="Wei Fenghe"/>
    <m/>
    <s v="Defense Minister; CMC Member"/>
    <n v="8"/>
    <x v="1"/>
    <s v="16th official meeting of the SCO Ministers' of Defense in Kyrgyzstan; Other countries: Kazakhstan, Kyrgyztan, Russia, Tajikistan, Uzbekistan"/>
    <x v="0"/>
    <m/>
    <x v="0"/>
    <m/>
    <x v="1"/>
    <m/>
    <m/>
    <m/>
    <s v="http://eng.sectsco.org/news/20190430/533861.html#:~:text=On%2029%20April%202019%2C%20the,to%20as%20SCO%20or%20Organisation."/>
    <m/>
  </r>
  <r>
    <x v="1"/>
    <x v="8"/>
    <s v="Europe and Central Asia"/>
    <s v="Comprehensive Strategic Partnership [全面战略伙伴关系]"/>
    <s v="None"/>
    <x v="3"/>
    <x v="112"/>
    <x v="28"/>
    <n v="4"/>
    <x v="4"/>
    <s v="Wei Fenghe"/>
    <m/>
    <s v="Defense Minister; CMC Member"/>
    <n v="8"/>
    <x v="1"/>
    <s v="Defense Minister"/>
    <x v="0"/>
    <m/>
    <x v="0"/>
    <m/>
    <x v="1"/>
    <m/>
    <m/>
    <m/>
    <s v="http://www.81.cn/jwzb/2019-04/25/content_9489144.htm"/>
    <s v="Added source"/>
  </r>
  <r>
    <x v="0"/>
    <x v="7"/>
    <s v="West Asia and Africa"/>
    <s v="No Specific Relationship"/>
    <s v="None"/>
    <x v="4"/>
    <x v="168"/>
    <x v="28"/>
    <n v="4"/>
    <x v="0"/>
    <m/>
    <m/>
    <m/>
    <m/>
    <x v="0"/>
    <m/>
    <x v="0"/>
    <m/>
    <x v="0"/>
    <m/>
    <x v="2"/>
    <s v="ETF-32"/>
    <m/>
    <m/>
    <m/>
    <s v="can’t find original source"/>
  </r>
  <r>
    <x v="1"/>
    <x v="6"/>
    <s v="Europe and Central Asia"/>
    <s v="Comprehensive Strategic Partnership [全面战略伙伴关系]"/>
    <s v="None"/>
    <x v="1"/>
    <x v="73"/>
    <x v="28"/>
    <n v="4"/>
    <x v="7"/>
    <s v="Wei Fenghe"/>
    <m/>
    <s v="Defense Minister; CMC Member"/>
    <n v="8"/>
    <x v="1"/>
    <s v="Prime Minister"/>
    <x v="0"/>
    <m/>
    <x v="0"/>
    <m/>
    <x v="1"/>
    <m/>
    <m/>
    <m/>
    <s v="http://www.81.cn/jwzb/2019-04/27/content_9490734.htm"/>
    <s v="Added source"/>
  </r>
  <r>
    <x v="2"/>
    <x v="1"/>
    <s v="Asia"/>
    <s v="Strategic Partnership [战略伙伴关系] for Peace and Prosperity"/>
    <s v="None"/>
    <x v="0"/>
    <x v="153"/>
    <x v="28"/>
    <n v="5"/>
    <x v="6"/>
    <m/>
    <m/>
    <m/>
    <m/>
    <x v="0"/>
    <m/>
    <x v="2"/>
    <s v="ASEAN ADMM Plus Live Fire Exercise"/>
    <x v="2"/>
    <s v="Co-sponsored by Singapore and South Korea "/>
    <x v="1"/>
    <m/>
    <m/>
    <m/>
    <s v="http://eng.chinamil.com.cn/view/2019-04/28/content_9491510.htm"/>
    <s v="Added source, revised exercise type to MOOTW (not planning for military adversaries, just piracy/terrorism/more); "/>
  </r>
  <r>
    <x v="1"/>
    <x v="1"/>
    <s v="Asia"/>
    <s v="Comprehensive Strategic Cooperative Partnership [全面战略合作伙伴关系]"/>
    <s v="None"/>
    <x v="0"/>
    <x v="94"/>
    <x v="28"/>
    <n v="5"/>
    <x v="3"/>
    <s v="Wei Fenghe"/>
    <m/>
    <s v="Defense Minister; CMC Member"/>
    <n v="8"/>
    <x v="2"/>
    <s v="Deputy Commander in Chief of RCAF"/>
    <x v="0"/>
    <m/>
    <x v="0"/>
    <m/>
    <x v="1"/>
    <m/>
    <m/>
    <m/>
    <s v="http://www.81.cn/jmywyl/2019-05/24/content_9513202.htm"/>
    <s v="Added source"/>
  </r>
  <r>
    <x v="1"/>
    <x v="10"/>
    <s v="America and Oceania"/>
    <s v="No Specific Relationship"/>
    <s v="None"/>
    <x v="5"/>
    <x v="49"/>
    <x v="28"/>
    <n v="5"/>
    <x v="4"/>
    <s v="Miao Hua"/>
    <m/>
    <s v="CMC/PWD Director; CMC Member"/>
    <n v="8"/>
    <x v="1"/>
    <s v="First Secretary "/>
    <x v="0"/>
    <m/>
    <x v="0"/>
    <m/>
    <x v="1"/>
    <m/>
    <m/>
    <m/>
    <s v="http://www.mod.gov.cn/topnews/2019-05/17/content_4841806.htm"/>
    <s v="Added source"/>
  </r>
  <r>
    <x v="1"/>
    <x v="1"/>
    <s v="Asia"/>
    <s v="No Specific Relationship"/>
    <s v="None"/>
    <x v="0"/>
    <x v="137"/>
    <x v="28"/>
    <n v="5"/>
    <x v="1"/>
    <s v="Wei Fenghe"/>
    <m/>
    <s v="Defense Minister; CMC Member"/>
    <n v="8"/>
    <x v="1"/>
    <s v="18th Shangri-La"/>
    <x v="0"/>
    <m/>
    <x v="0"/>
    <m/>
    <x v="1"/>
    <m/>
    <m/>
    <m/>
    <s v="http://www.xinhuanet.com/english/2019-06/01/c_138106931.htm"/>
    <s v="Shangri-La Dialogue"/>
  </r>
  <r>
    <x v="1"/>
    <x v="1"/>
    <s v="Asia"/>
    <s v="All-Round Cooperative Partnership [全方合作伙伴关系]"/>
    <s v="None"/>
    <x v="0"/>
    <x v="39"/>
    <x v="28"/>
    <n v="5"/>
    <x v="4"/>
    <s v="Wei Fenghe"/>
    <m/>
    <s v="Defense Minister; CMC Member"/>
    <n v="8"/>
    <x v="1"/>
    <s v="Defense Minister"/>
    <x v="0"/>
    <m/>
    <x v="0"/>
    <m/>
    <x v="1"/>
    <m/>
    <m/>
    <m/>
    <s v="https://www.straitstimes.com/singapore/reassuring-to-have-gen-wei-present-at-forum-says-ng-eng-hen"/>
    <m/>
  </r>
  <r>
    <x v="2"/>
    <x v="1"/>
    <s v="Asia"/>
    <s v="Comprehensive Strategic Cooperative Partnership [全面战略合作伙伴关系]"/>
    <s v="Bilateral Defense Treaty"/>
    <x v="0"/>
    <x v="5"/>
    <x v="28"/>
    <n v="5"/>
    <x v="5"/>
    <m/>
    <m/>
    <m/>
    <m/>
    <x v="0"/>
    <m/>
    <x v="2"/>
    <s v="Blue Commando 2019"/>
    <x v="2"/>
    <s v="shooting, grappling, helicopter rappelling, combat tactics, communications, replenishment-at-sea, joint rescue, live-fire shooting, and amphibious activities"/>
    <x v="1"/>
    <m/>
    <m/>
    <m/>
    <s v="http://www.xinhuanet.com/politics/2019-05/01/c_1124442748.htm"/>
    <s v="Added source, drill details"/>
  </r>
  <r>
    <x v="1"/>
    <x v="2"/>
    <s v="America and Oceania"/>
    <s v="No Specific Relationship"/>
    <s v="N/A"/>
    <x v="2"/>
    <x v="4"/>
    <x v="28"/>
    <n v="5"/>
    <x v="7"/>
    <s v="Wei Fenghe"/>
    <m/>
    <s v="Defense Minister; CMC Member"/>
    <n v="8"/>
    <x v="1"/>
    <s v="Secretary of Defense; BL at Shangri-La "/>
    <x v="0"/>
    <m/>
    <x v="0"/>
    <m/>
    <x v="1"/>
    <m/>
    <m/>
    <m/>
    <s v="http://www.xinhuanet.com/english/2019-06/01/c_138106931.htm"/>
    <s v="Added source"/>
  </r>
  <r>
    <x v="2"/>
    <x v="6"/>
    <s v="Europe and Central Asia"/>
    <s v="Comprehensive Strategic Partnership [全面战略伙伴关系]"/>
    <s v="None"/>
    <x v="1"/>
    <x v="73"/>
    <x v="28"/>
    <n v="5"/>
    <x v="5"/>
    <m/>
    <m/>
    <m/>
    <m/>
    <x v="0"/>
    <m/>
    <x v="1"/>
    <s v="Cooperation 2019"/>
    <x v="4"/>
    <s v="Snow leopard combat unit"/>
    <x v="1"/>
    <m/>
    <m/>
    <m/>
    <s v="http://www.xinhuanet.com/world/2019-05/16/c_1124502442.htm"/>
    <s v="Added source, drill details"/>
  </r>
  <r>
    <x v="1"/>
    <x v="1"/>
    <s v="Asia"/>
    <s v="Comprehensive Strategic Cooperative Partnership [全面战略合作伙伴关系]"/>
    <s v="None"/>
    <x v="0"/>
    <x v="23"/>
    <x v="28"/>
    <n v="5"/>
    <x v="4"/>
    <s v="Wei Fenghe"/>
    <m/>
    <s v="Defense Minister; CMC Member"/>
    <n v="8"/>
    <x v="1"/>
    <s v="National Assembly Chairwoman &amp; defense minister"/>
    <x v="0"/>
    <m/>
    <x v="0"/>
    <m/>
    <x v="1"/>
    <m/>
    <m/>
    <m/>
    <s v="http://www.xinhuanet.com/english/2019-05/29/c_138099645.htm"/>
    <s v="Added source"/>
  </r>
  <r>
    <x v="1"/>
    <x v="7"/>
    <s v="West Asia and Africa"/>
    <s v="Comprehensive Strategic Cooperative Partnership [全面战略合作伙伴关系]"/>
    <s v="None"/>
    <x v="4"/>
    <x v="86"/>
    <x v="28"/>
    <n v="5"/>
    <x v="3"/>
    <s v="Wei Fenghe"/>
    <m/>
    <s v="Defense Minister; CMC Member"/>
    <n v="8"/>
    <x v="2"/>
    <s v="Defense Minister"/>
    <x v="0"/>
    <m/>
    <x v="0"/>
    <m/>
    <x v="1"/>
    <m/>
    <m/>
    <m/>
    <s v="http://english.chinamil.com.cn/view/2019-05/09/content_9499547.htm"/>
    <s v="Added source"/>
  </r>
  <r>
    <x v="1"/>
    <x v="7"/>
    <s v="West Asia and Africa"/>
    <s v="Strategic Partnership [战略伙伴关系]"/>
    <s v="None"/>
    <x v="4"/>
    <x v="105"/>
    <x v="28"/>
    <n v="6"/>
    <x v="4"/>
    <s v="Xu Qiliang"/>
    <m/>
    <s v="CMC Vice Chairman "/>
    <n v="10"/>
    <x v="1"/>
    <s v="Defense Minister"/>
    <x v="0"/>
    <m/>
    <x v="0"/>
    <m/>
    <x v="1"/>
    <m/>
    <m/>
    <m/>
    <s v="http://www.xinhuanet.com/2019-06/26/c_1124670811.htm"/>
    <s v="Added source"/>
  </r>
  <r>
    <x v="0"/>
    <x v="5"/>
    <s v="America and Oceania"/>
    <s v="Comprehensive Strategic Partnership [全面战略伙伴关系]"/>
    <s v="ANZUS Treaty"/>
    <x v="0"/>
    <x v="12"/>
    <x v="28"/>
    <n v="6"/>
    <x v="0"/>
    <m/>
    <m/>
    <m/>
    <m/>
    <x v="0"/>
    <m/>
    <x v="0"/>
    <m/>
    <x v="0"/>
    <m/>
    <x v="2"/>
    <s v="ETF-31"/>
    <s v="South Sea Fleet"/>
    <s v="LPD998 Kunlun Shan; FFG536 Xuchang; AOR964 Luoma Hu"/>
    <s v="http://eng.chinamil.com.cn/view/2019-06/10/content_9526660.htm"/>
    <s v="Added source"/>
  </r>
  <r>
    <x v="2"/>
    <x v="1"/>
    <s v="Asia"/>
    <s v="Comprehensive Strategic Cooperative Partnership [全面战略合作伙伴关系]"/>
    <s v="None"/>
    <x v="0"/>
    <x v="52"/>
    <x v="28"/>
    <n v="6"/>
    <x v="5"/>
    <m/>
    <m/>
    <m/>
    <m/>
    <x v="0"/>
    <m/>
    <x v="1"/>
    <s v="Second China-Laos National Defense Friendship Activities Along the Border"/>
    <x v="1"/>
    <s v="drill is part of the China-Laos border defense friendly exchange activities"/>
    <x v="1"/>
    <m/>
    <m/>
    <m/>
    <s v="http://en.people.cn/n3/2019/0531/c90000-9583271.html"/>
    <m/>
  </r>
  <r>
    <x v="2"/>
    <x v="4"/>
    <s v="Asia"/>
    <s v="Comprehensive Strategic Partnership [全面战略伙伴关系]"/>
    <s v="None"/>
    <x v="0"/>
    <x v="53"/>
    <x v="28"/>
    <n v="6"/>
    <x v="6"/>
    <m/>
    <m/>
    <m/>
    <m/>
    <x v="0"/>
    <m/>
    <x v="2"/>
    <s v="Khaan Quest 2019"/>
    <x v="1"/>
    <s v="Multilateral peacekeeping exercise; Cosponsored by US; 38 countries participated"/>
    <x v="1"/>
    <m/>
    <m/>
    <m/>
    <s v="http://www.xinhuanet.com/english/2019-06/15/c_138145899.htm"/>
    <m/>
  </r>
  <r>
    <x v="1"/>
    <x v="7"/>
    <s v="West Asia and Africa"/>
    <s v="Comprehensive Strategic Cooperative Partnership [全面战略合作伙伴关系]"/>
    <s v="None"/>
    <x v="4"/>
    <x v="84"/>
    <x v="28"/>
    <n v="6"/>
    <x v="4"/>
    <s v="Xu Qiliang"/>
    <m/>
    <s v="CMC Vice Chairman "/>
    <n v="10"/>
    <x v="1"/>
    <s v="President"/>
    <x v="0"/>
    <m/>
    <x v="0"/>
    <m/>
    <x v="1"/>
    <m/>
    <m/>
    <m/>
    <s v="http://www.xinhuanet.com/world/2019-06/27/c_1124680590.htm"/>
    <s v="Added source"/>
  </r>
  <r>
    <x v="1"/>
    <x v="0"/>
    <s v="Asia"/>
    <s v="Development-oriented Strategic Cooperative Partnership [面向发展与繁荣的世代友好的战略合作伙伴关系]."/>
    <s v="None"/>
    <x v="0"/>
    <x v="32"/>
    <x v="28"/>
    <n v="6"/>
    <x v="3"/>
    <s v="Wei Fenghe"/>
    <m/>
    <s v="Defense Minister; CMC Member"/>
    <n v="8"/>
    <x v="2"/>
    <s v="Nepalese Chief of Army Staff General"/>
    <x v="0"/>
    <m/>
    <x v="0"/>
    <s v="Also met JSD commander Li during week long visit"/>
    <x v="1"/>
    <m/>
    <m/>
    <m/>
    <s v="https://economictimes.indiatimes.com/news/defence/nepal-army-chief-meets-chinas-defence-ministry-discusses-plans-to-upgrade-military-ties/articleshow/69885746.cms?from=mdr"/>
    <m/>
  </r>
  <r>
    <x v="1"/>
    <x v="0"/>
    <s v="Asia"/>
    <s v="All-Weather Strategic Cooperative Partnership [全天候战略合作伙伴关系]"/>
    <s v="Major Non-NATO Ally"/>
    <x v="1"/>
    <x v="2"/>
    <x v="28"/>
    <n v="6"/>
    <x v="3"/>
    <s v="Wei Fenghe"/>
    <m/>
    <s v="Defense Minister; CMC Member"/>
    <n v="8"/>
    <x v="2"/>
    <s v="Ambassador to China"/>
    <x v="0"/>
    <m/>
    <x v="0"/>
    <m/>
    <x v="1"/>
    <m/>
    <m/>
    <m/>
    <s v="http://www.mod.gov.cn/topnews/2019-06/21/content_4844064.htm"/>
    <s v="Added source"/>
  </r>
  <r>
    <x v="1"/>
    <x v="0"/>
    <s v="Asia"/>
    <s v="All-Weather Strategic Cooperative Partnership [全天候战略合作伙伴关系]"/>
    <s v="Major Non-NATO Ally"/>
    <x v="1"/>
    <x v="2"/>
    <x v="28"/>
    <n v="6"/>
    <x v="4"/>
    <s v="Han Weiguo"/>
    <m/>
    <s v="PLAA Commander"/>
    <n v="6"/>
    <x v="1"/>
    <s v="Chief of Army Staff "/>
    <x v="0"/>
    <m/>
    <x v="0"/>
    <m/>
    <x v="1"/>
    <m/>
    <m/>
    <m/>
    <s v="https://defence.pk/pdf/threads/general-han-weiguo-commander-people-liberation-army-visits-pakistan.623614/"/>
    <m/>
  </r>
  <r>
    <x v="1"/>
    <x v="1"/>
    <s v="Asia"/>
    <s v="All-Round Cooperative Partnership [全方合作伙伴关系]"/>
    <s v="None"/>
    <x v="0"/>
    <x v="39"/>
    <x v="28"/>
    <n v="6"/>
    <x v="7"/>
    <s v="Wei Fenghe"/>
    <m/>
    <s v="Defense Minister; CMC Member"/>
    <n v="8"/>
    <x v="1"/>
    <s v="Defense Minister; BL at Shangri-La"/>
    <x v="0"/>
    <m/>
    <x v="0"/>
    <m/>
    <x v="1"/>
    <m/>
    <m/>
    <m/>
    <s v="https://www.chinadaily.com.cn/a/201905/30/WS5cef9188a3104842260beb7a.html"/>
    <m/>
  </r>
  <r>
    <x v="1"/>
    <x v="8"/>
    <s v="Europe and Central Asia"/>
    <s v="Strategic Cooperative Partnership [战略合作伙伴关系]"/>
    <s v="NATO"/>
    <x v="3"/>
    <x v="38"/>
    <x v="28"/>
    <n v="6"/>
    <x v="3"/>
    <s v="Wei Fenghe"/>
    <m/>
    <s v="Defense Minister; CMC Member"/>
    <n v="8"/>
    <x v="2"/>
    <s v="Turkish Air Forces Commander"/>
    <x v="0"/>
    <m/>
    <x v="0"/>
    <m/>
    <x v="1"/>
    <m/>
    <m/>
    <m/>
    <s v="http://www.xinhuanet.com/english/2019-06/18/c_138153879.htm"/>
    <m/>
  </r>
  <r>
    <x v="1"/>
    <x v="7"/>
    <s v="West Asia and Africa"/>
    <s v="Friendly Cooperative Relationship [友好合作关系]"/>
    <s v="None"/>
    <x v="4"/>
    <x v="64"/>
    <x v="28"/>
    <n v="7"/>
    <x v="3"/>
    <s v="Wei Fenghe"/>
    <m/>
    <s v="Defense Minister; CMC Member"/>
    <n v="8"/>
    <x v="2"/>
    <s v="Defense Minister"/>
    <x v="0"/>
    <m/>
    <x v="0"/>
    <m/>
    <x v="1"/>
    <m/>
    <m/>
    <m/>
    <s v="http://www.mod.gov.cn/topnews/2019-07/17/content_4846021.htm"/>
    <s v="Added source"/>
  </r>
  <r>
    <x v="0"/>
    <x v="8"/>
    <s v="Europe and Central Asia"/>
    <s v="Comprehensive Strategic Partnership [全面战略伙伴关系]"/>
    <s v="NATO"/>
    <x v="3"/>
    <x v="22"/>
    <x v="28"/>
    <n v="7"/>
    <x v="0"/>
    <m/>
    <m/>
    <m/>
    <m/>
    <x v="0"/>
    <m/>
    <x v="0"/>
    <m/>
    <x v="0"/>
    <m/>
    <x v="2"/>
    <s v="ETF-32"/>
    <s v="East Sea Fleet"/>
    <s v="DDG153 Xi'an FFG599 Anyang AOR966 Gaoyuhu"/>
    <s v="http://www.xinhuanet.com/english/2019-07/02/c_138191762.htm"/>
    <m/>
  </r>
  <r>
    <x v="2"/>
    <x v="8"/>
    <s v="Europe and Central Asia"/>
    <s v="Comprehensive Strategic Partnership [全面战略伙伴关系]"/>
    <s v="NATO"/>
    <x v="3"/>
    <x v="18"/>
    <x v="28"/>
    <n v="7"/>
    <x v="5"/>
    <m/>
    <m/>
    <m/>
    <m/>
    <x v="0"/>
    <m/>
    <x v="2"/>
    <s v="Combined Aid 2019"/>
    <x v="1"/>
    <m/>
    <x v="1"/>
    <m/>
    <m/>
    <m/>
    <s v="https://www.stripes.com/news/in-a-first-chinese-military-deploys-for-medical-drill-with-german-forces-in-europe-1.589687"/>
    <m/>
  </r>
  <r>
    <x v="1"/>
    <x v="7"/>
    <s v="West Asia and Africa"/>
    <s v="No Specific Relationship"/>
    <s v="None"/>
    <x v="4"/>
    <x v="87"/>
    <x v="28"/>
    <n v="7"/>
    <x v="3"/>
    <s v="Wei Fenghe"/>
    <m/>
    <s v="Defense Minister; CMC Member"/>
    <n v="8"/>
    <x v="2"/>
    <s v="Defense Minister"/>
    <x v="0"/>
    <m/>
    <x v="0"/>
    <m/>
    <x v="1"/>
    <m/>
    <m/>
    <m/>
    <s v="http://www.mod.gov.cn/topnews/2019-07/17/content_4846021.htm"/>
    <s v="Added source"/>
  </r>
  <r>
    <x v="1"/>
    <x v="10"/>
    <s v="America and Oceania"/>
    <s v="No Specific Relationship"/>
    <s v="None"/>
    <x v="5"/>
    <x v="88"/>
    <x v="28"/>
    <n v="7"/>
    <x v="3"/>
    <s v="Wei Fenghe"/>
    <m/>
    <s v="Defense Minister; CMC Member"/>
    <n v="8"/>
    <x v="2"/>
    <s v="Chief of Staff of the Guyana Defense Force Brigadier Patrick West"/>
    <x v="0"/>
    <m/>
    <x v="0"/>
    <s v="Guyana represented nations at the Fourth Forum for Senior Defense Officials from Caribbean and South Pacific Countries"/>
    <x v="1"/>
    <m/>
    <m/>
    <m/>
    <s v="http://www.xinhuanet.com/english/2019-07/08/c_138209338.htm"/>
    <s v="Revised &quot;country&quot; to Guyana (from Caribbean), added comments on details of the event"/>
  </r>
  <r>
    <x v="1"/>
    <x v="5"/>
    <s v="America and Oceania"/>
    <s v="Comprehensive Strategic Partnership [全面战略伙伴关系]"/>
    <s v="ANZUS Treaty"/>
    <x v="0"/>
    <x v="13"/>
    <x v="28"/>
    <n v="7"/>
    <x v="3"/>
    <s v="Xu Qiliang"/>
    <m/>
    <s v=" CMC Vice Chairman "/>
    <n v="10"/>
    <x v="2"/>
    <s v="Defense Minister"/>
    <x v="0"/>
    <m/>
    <x v="0"/>
    <s v="Met with CMC chair Xu; and Counterpart Wei Fenghe"/>
    <x v="1"/>
    <m/>
    <m/>
    <m/>
    <s v="https://www.army-technology.com/news/new-zealand-china-defence-ties/"/>
    <m/>
  </r>
  <r>
    <x v="1"/>
    <x v="0"/>
    <s v="Asia"/>
    <s v="All-Weather Strategic Cooperative Partnership [全天候战略合作伙伴关系]"/>
    <s v="Major Non-NATO Ally"/>
    <x v="1"/>
    <x v="2"/>
    <x v="28"/>
    <n v="7"/>
    <x v="3"/>
    <s v="Zhang Youxia"/>
    <m/>
    <s v="CMC Vice Chairman"/>
    <n v="10"/>
    <x v="2"/>
    <s v="Chairman of the Joint Chiefs"/>
    <x v="0"/>
    <m/>
    <x v="0"/>
    <m/>
    <x v="1"/>
    <m/>
    <m/>
    <m/>
    <s v=", http://www.81.cn/jwzb/2019-07/28/content_9571066.htm"/>
    <s v="Added source"/>
  </r>
  <r>
    <x v="0"/>
    <x v="3"/>
    <s v="Europe and Central Asia"/>
    <s v="Comprehensive Strategic Partnership of Coordination in the New Era [新时代中俄全面战略协作伙伴关系]"/>
    <s v="None"/>
    <x v="3"/>
    <x v="7"/>
    <x v="28"/>
    <n v="7"/>
    <x v="8"/>
    <m/>
    <m/>
    <m/>
    <m/>
    <x v="0"/>
    <m/>
    <x v="0"/>
    <m/>
    <x v="0"/>
    <m/>
    <x v="2"/>
    <s v="ETF-32"/>
    <s v="East Sea Fleet"/>
    <s v="DDG153 Xi'an FFG599 Anyang AOR966 Gaoyuhu"/>
    <m/>
    <m/>
  </r>
  <r>
    <x v="2"/>
    <x v="3"/>
    <s v="Europe and Central Asia"/>
    <s v="Comprehensive Strategic Partnership of Coordination in the New Era [新时代中俄全面战略协作伙伴关系]"/>
    <s v="None"/>
    <x v="3"/>
    <x v="7"/>
    <x v="28"/>
    <n v="7"/>
    <x v="5"/>
    <m/>
    <m/>
    <m/>
    <m/>
    <x v="0"/>
    <m/>
    <x v="9"/>
    <s v="Joint Aerial Strategic Patrol 2019"/>
    <x v="5"/>
    <s v="First-ever China-Russia joint strategic air patrol"/>
    <x v="1"/>
    <m/>
    <m/>
    <m/>
    <s v="http://www.mod.gov.cn/jzhzt/2019-08/29/content_4849311.htm"/>
    <m/>
  </r>
  <r>
    <x v="0"/>
    <x v="9"/>
    <s v="West Asia and Africa"/>
    <s v="Comprehensive Strategic Partnership [全面战略伙伴关系]"/>
    <s v="Major Non-NATO Ally"/>
    <x v="1"/>
    <x v="24"/>
    <x v="28"/>
    <n v="8"/>
    <x v="9"/>
    <m/>
    <m/>
    <m/>
    <m/>
    <x v="0"/>
    <m/>
    <x v="0"/>
    <m/>
    <x v="0"/>
    <m/>
    <x v="2"/>
    <s v="ETF-32"/>
    <s v="East Sea Fleet"/>
    <s v="DDG153 Xi'an FFG599 Anyang AOR966 Gaoyuhu"/>
    <s v="http://www.xinhuanet.com/world/2019-08/17/c_1124886473.htm"/>
    <s v="Added source and ship name"/>
  </r>
  <r>
    <x v="2"/>
    <x v="9"/>
    <s v="West Asia and Africa"/>
    <s v="Comprehensive Strategic Partnership [全面战略伙伴关系]"/>
    <s v="Major Non-NATO Ally"/>
    <x v="1"/>
    <x v="24"/>
    <x v="28"/>
    <n v="8"/>
    <x v="5"/>
    <m/>
    <m/>
    <m/>
    <m/>
    <x v="0"/>
    <m/>
    <x v="1"/>
    <s v="Unnamed"/>
    <x v="2"/>
    <m/>
    <x v="1"/>
    <s v="ETF-32"/>
    <m/>
    <s v="DDG153 Xi'an"/>
    <s v="http://navy.81.cn/content/2019-08/21/content_9596339.htm"/>
    <m/>
  </r>
  <r>
    <x v="2"/>
    <x v="6"/>
    <s v="Europe and Central Asia"/>
    <s v="Comprehensive Strategic Partnership [全面战略伙伴关系]"/>
    <s v="None"/>
    <x v="1"/>
    <x v="31"/>
    <x v="28"/>
    <n v="8"/>
    <x v="5"/>
    <m/>
    <m/>
    <m/>
    <m/>
    <x v="0"/>
    <m/>
    <x v="1"/>
    <s v="Cooperation 2019"/>
    <x v="4"/>
    <s v="joint command, basic technical training, cooperative tactical training, and integrated countermeasure training; PAP's &quot;Mountain Eagle&quot; commando unit"/>
    <x v="1"/>
    <m/>
    <m/>
    <m/>
    <s v="http://eng.mod.gov.cn/news/2019-08/13/content_4848137.htm"/>
    <s v="Added details"/>
  </r>
  <r>
    <x v="2"/>
    <x v="1"/>
    <s v="Asia"/>
    <s v="Comprehensive Strategic Cooperative Partnership [全面战略合作伙伴关系]"/>
    <s v="None"/>
    <x v="0"/>
    <x v="52"/>
    <x v="28"/>
    <n v="8"/>
    <x v="5"/>
    <m/>
    <m/>
    <m/>
    <m/>
    <x v="0"/>
    <m/>
    <x v="2"/>
    <s v="Peace Train 2019"/>
    <x v="1"/>
    <m/>
    <x v="1"/>
    <m/>
    <m/>
    <m/>
    <s v="http://www.xinhuanet.com/english/2019-08/16/c_138314743.htm"/>
    <m/>
  </r>
  <r>
    <x v="2"/>
    <x v="0"/>
    <s v="Asia"/>
    <s v="Development-oriented Strategic Cooperative Partnership [面向发展与繁荣的世代友好的战略合作伙伴关系]."/>
    <s v="None"/>
    <x v="0"/>
    <x v="32"/>
    <x v="28"/>
    <n v="8"/>
    <x v="5"/>
    <m/>
    <m/>
    <m/>
    <m/>
    <x v="0"/>
    <m/>
    <x v="1"/>
    <s v="Mt. Everest Friendship 2019"/>
    <x v="1"/>
    <s v="included hostage rescue, fast-roping, and sniper rifle training"/>
    <x v="1"/>
    <m/>
    <m/>
    <m/>
    <s v="http://eng.mod.gov.cn/news/2019-08/30/content_4849442.htm"/>
    <s v="changed to anti-terrorism from MOOTW"/>
  </r>
  <r>
    <x v="1"/>
    <x v="4"/>
    <s v="Asia"/>
    <s v="Bilateral Defense Treaty"/>
    <s v="None"/>
    <x v="0"/>
    <x v="9"/>
    <x v="28"/>
    <n v="8"/>
    <x v="3"/>
    <s v="Zhang Youxia"/>
    <m/>
    <s v="CMC Vice Chairman"/>
    <n v="10"/>
    <x v="2"/>
    <s v="Director of the General Political Bureau of the Korean People’s Army"/>
    <x v="0"/>
    <m/>
    <x v="0"/>
    <m/>
    <x v="1"/>
    <m/>
    <m/>
    <m/>
    <s v="http://www.xinhuanet.com/2019-08/17/c_1124888081.htm"/>
    <s v="Added source"/>
  </r>
  <r>
    <x v="1"/>
    <x v="0"/>
    <s v="Asia"/>
    <s v="All-Weather Strategic Cooperative Partnership [全天候战略合作伙伴关系]"/>
    <s v="Major Non-NATO Ally"/>
    <x v="1"/>
    <x v="2"/>
    <x v="28"/>
    <n v="8"/>
    <x v="4"/>
    <s v="Xu Qiliang"/>
    <m/>
    <s v="CMC Vice Chairman "/>
    <n v="10"/>
    <x v="1"/>
    <s v="Prime Minister "/>
    <x v="0"/>
    <m/>
    <x v="0"/>
    <m/>
    <x v="1"/>
    <m/>
    <m/>
    <m/>
    <s v="http://www.81.cn/jwzb/2019-08/28/content_9604591.htm"/>
    <s v="Added source"/>
  </r>
  <r>
    <x v="0"/>
    <x v="8"/>
    <s v="Europe and Central Asia"/>
    <s v="Comprehensive Strategic Partnership [全面战略伙伴关系]"/>
    <s v="NATO"/>
    <x v="3"/>
    <x v="48"/>
    <x v="28"/>
    <n v="8"/>
    <x v="9"/>
    <m/>
    <m/>
    <m/>
    <m/>
    <x v="0"/>
    <m/>
    <x v="0"/>
    <m/>
    <x v="0"/>
    <m/>
    <x v="2"/>
    <s v="ETF-32"/>
    <s v="East Sea Fleet"/>
    <s v="DDG153 Xi'an FFG599 Anyang AOR966 Gaoyuhu"/>
    <s v="http://eng.chinamil.com.cn/view/2019-08/07/content_9582726.htm"/>
    <s v="Added source"/>
  </r>
  <r>
    <x v="2"/>
    <x v="3"/>
    <s v="Europe and Central Asia"/>
    <s v="Comprehensive Strategic Partnership of Coordination in the New Era [新时代中俄全面战略协作伙伴关系]"/>
    <s v="None"/>
    <x v="3"/>
    <x v="7"/>
    <x v="28"/>
    <n v="8"/>
    <x v="6"/>
    <m/>
    <m/>
    <m/>
    <m/>
    <x v="0"/>
    <m/>
    <x v="6"/>
    <s v="International Army Games 2019"/>
    <x v="1"/>
    <s v="Hosted in China; Other countries:Armenia, Iran, Kazakhstan, Uzbekistan, Belarus, Egypt, Pakistan, and Venezuela; &quot;Clear Sky&quot; and &quot;Gunsmith Master&quot;"/>
    <x v="1"/>
    <m/>
    <m/>
    <m/>
    <s v="http://eng.chinamil.com.cn/view/2019-08/15/content_9591061.htm"/>
    <m/>
  </r>
  <r>
    <x v="2"/>
    <x v="1"/>
    <s v="Asia"/>
    <s v="All-Round Cooperative Partnership [全方合作伙伴关系]"/>
    <s v="None"/>
    <x v="0"/>
    <x v="39"/>
    <x v="28"/>
    <n v="8"/>
    <x v="5"/>
    <m/>
    <m/>
    <m/>
    <m/>
    <x v="0"/>
    <m/>
    <x v="1"/>
    <s v="Cooperation 2019 Joint Army Training"/>
    <x v="1"/>
    <s v="urban counterterrorist operations, conducted in two phases, namely mixed group subject training and comprehensive troop drill"/>
    <x v="1"/>
    <m/>
    <m/>
    <m/>
    <s v="http://www.xinhuanet.com/world/2019-07/27/c_1124806729.htm"/>
    <s v="Added details, recategorized exercise type to counterterrorism, added source"/>
  </r>
  <r>
    <x v="2"/>
    <x v="6"/>
    <s v="Europe and Central Asia"/>
    <s v="Comprehensive Strategic Partnership [全面战略伙伴关系]"/>
    <s v="None"/>
    <x v="1"/>
    <x v="60"/>
    <x v="28"/>
    <n v="8"/>
    <x v="5"/>
    <m/>
    <m/>
    <m/>
    <m/>
    <x v="0"/>
    <m/>
    <x v="1"/>
    <s v="Cooperation 2019"/>
    <x v="3"/>
    <s v="Gorno-Badakhshan Autonomous Region; originally planned for July 2019; changed to August 2019"/>
    <x v="1"/>
    <m/>
    <m/>
    <m/>
    <s v="https://www.rferl.org/a/tajikistan-china-counterterror-drills-gorno-badakhshan/30107427.html; http://eng.chinamil.com.cn/view/2019-08/12/content_9587478.htm"/>
    <s v="Revised to Joint (PLAAF participated)"/>
  </r>
  <r>
    <x v="2"/>
    <x v="1"/>
    <s v="Asia"/>
    <s v="Comprehensive Strategic Cooperative Partnership [全面战略合作伙伴关系]"/>
    <s v="Bilateral Defense Treaty"/>
    <x v="0"/>
    <x v="5"/>
    <x v="28"/>
    <n v="8"/>
    <x v="5"/>
    <m/>
    <m/>
    <m/>
    <m/>
    <x v="0"/>
    <m/>
    <x v="3"/>
    <s v="Falcon Strike 2019"/>
    <x v="5"/>
    <s v="For the 2019 training, the PLAAF sent J-10C, J-10S, and KJ-500 Airborne Early Warning aircraft – this signifies that the 2019 iteration is a higher-level air exercise"/>
    <x v="1"/>
    <m/>
    <m/>
    <m/>
    <s v="http://mil.huanqiu.com/world/2019-08/15340220.html?agt=15422"/>
    <s v="Added source, recategorized as combat rather than combat support, added details"/>
  </r>
  <r>
    <x v="1"/>
    <x v="10"/>
    <s v="America and Oceania"/>
    <s v="Comprehensive Strategic Partnership [全面战略伙伴关系]"/>
    <s v="Major Non-NATO Ally"/>
    <x v="5"/>
    <x v="62"/>
    <x v="28"/>
    <n v="9"/>
    <x v="4"/>
    <s v="Wei Fenghe"/>
    <m/>
    <s v="Defense Minister; CMC Member"/>
    <n v="8"/>
    <x v="1"/>
    <s v="President and Defense Minister"/>
    <x v="0"/>
    <m/>
    <x v="0"/>
    <m/>
    <x v="1"/>
    <m/>
    <m/>
    <m/>
    <s v="http://www.xinhuanet.com/world/2019-09/05/c_1124964052.htm"/>
    <s v="Added source"/>
  </r>
  <r>
    <x v="2"/>
    <x v="5"/>
    <s v="America and Oceania"/>
    <s v="Comprehensive Strategic Partnership [全面战略伙伴关系]"/>
    <s v="ANZUS Treaty"/>
    <x v="0"/>
    <x v="12"/>
    <x v="28"/>
    <n v="9"/>
    <x v="6"/>
    <m/>
    <m/>
    <m/>
    <m/>
    <x v="0"/>
    <m/>
    <x v="2"/>
    <s v="Kowari 2019"/>
    <x v="5"/>
    <s v="Other Countries: USA"/>
    <x v="1"/>
    <m/>
    <m/>
    <m/>
    <s v="http://www.xinhuanet.com/world/2019-09/04/c_1124959809.htm"/>
    <s v="Added source and drill details"/>
  </r>
  <r>
    <x v="2"/>
    <x v="5"/>
    <s v="America and Oceania"/>
    <s v="Comprehensive Strategic Partnership [全面战略伙伴关系]"/>
    <s v="ANZUS Treaty"/>
    <x v="0"/>
    <x v="12"/>
    <x v="28"/>
    <n v="9"/>
    <x v="5"/>
    <m/>
    <m/>
    <m/>
    <m/>
    <x v="0"/>
    <m/>
    <x v="2"/>
    <s v="Pandaroo 2019"/>
    <x v="1"/>
    <s v="Survival training in jungle environments"/>
    <x v="1"/>
    <m/>
    <m/>
    <m/>
    <s v="http://www.81.cn/jmywyl/2019-10/20/content_9656464.htm"/>
    <m/>
  </r>
  <r>
    <x v="1"/>
    <x v="0"/>
    <s v="Asia"/>
    <s v="Strategic Cooperative Partnership [战略合作伙伴关系]"/>
    <s v="None"/>
    <x v="0"/>
    <x v="0"/>
    <x v="28"/>
    <n v="9"/>
    <x v="3"/>
    <s v="Wei Fenghe"/>
    <m/>
    <s v="Defense Minister; CMC Member"/>
    <n v="8"/>
    <x v="2"/>
    <s v="Air Chief Marshal "/>
    <x v="0"/>
    <m/>
    <x v="0"/>
    <m/>
    <x v="1"/>
    <m/>
    <m/>
    <m/>
    <s v="http://www.xinhuanet.com/mil/2019-09/18/c_1210283868.htm"/>
    <s v="Added source"/>
  </r>
  <r>
    <x v="1"/>
    <x v="10"/>
    <s v="America and Oceania"/>
    <s v="Comprehensive Strategic Partnership [全面战略伙伴关系]"/>
    <s v="None"/>
    <x v="5"/>
    <x v="43"/>
    <x v="28"/>
    <n v="9"/>
    <x v="4"/>
    <s v="Wei Fenghe"/>
    <m/>
    <s v="Defense Minister; CMC Member"/>
    <n v="8"/>
    <x v="1"/>
    <s v="President, Defense Minister"/>
    <x v="0"/>
    <m/>
    <x v="0"/>
    <m/>
    <x v="1"/>
    <m/>
    <m/>
    <m/>
    <s v="http://www.xinhuanet.com/world/2019-09/08/c_1124973784.htm"/>
    <s v="Added source"/>
  </r>
  <r>
    <x v="0"/>
    <x v="1"/>
    <s v="Asia"/>
    <s v="Strategic Cooperative Partnership [战略合作伙伴关系]"/>
    <s v="None"/>
    <x v="0"/>
    <x v="44"/>
    <x v="28"/>
    <n v="9"/>
    <x v="0"/>
    <m/>
    <m/>
    <m/>
    <m/>
    <x v="0"/>
    <m/>
    <x v="0"/>
    <m/>
    <x v="0"/>
    <m/>
    <x v="0"/>
    <s v="Training Ship Qi Jiguang"/>
    <s v="South Sea Fleet"/>
    <s v="Qi Jiguang training ship"/>
    <s v="http://eng.chinamil.com.cn/view/2019-09/29/content_9639678.htm"/>
    <s v="Added source"/>
  </r>
  <r>
    <x v="1"/>
    <x v="1"/>
    <s v="Asia"/>
    <s v="Comprehensive Strategic Cooperative Partnership [全面战略合作伙伴关系]"/>
    <s v="None"/>
    <x v="0"/>
    <x v="94"/>
    <x v="28"/>
    <n v="9"/>
    <x v="3"/>
    <s v="Wei Fenghe"/>
    <m/>
    <s v="Defense Minister; CMC Member"/>
    <n v="8"/>
    <x v="2"/>
    <s v="General"/>
    <x v="0"/>
    <m/>
    <x v="0"/>
    <m/>
    <x v="1"/>
    <m/>
    <m/>
    <m/>
    <s v="http://www.mod.gov.cn/topnews/2019-09/24/content_4851085.htm"/>
    <s v="Added source"/>
  </r>
  <r>
    <x v="1"/>
    <x v="2"/>
    <s v="America and Oceania"/>
    <s v="No Specific Relationship"/>
    <s v="None"/>
    <x v="5"/>
    <x v="49"/>
    <x v="28"/>
    <n v="9"/>
    <x v="3"/>
    <s v="Xu Qiliang"/>
    <m/>
    <s v=" CMC Vice Chairman "/>
    <n v="10"/>
    <x v="2"/>
    <s v="Sen. Lt. General"/>
    <x v="0"/>
    <m/>
    <x v="0"/>
    <m/>
    <x v="1"/>
    <m/>
    <m/>
    <m/>
    <s v="http://mod.gov.cn/leaders/2019-09/27/content_4851571.htm"/>
    <s v="Added source"/>
  </r>
  <r>
    <x v="1"/>
    <x v="9"/>
    <s v="West Asia and Africa"/>
    <s v="Comprehensive Strategic Partnership [全面战略伙伴关系]"/>
    <s v="None"/>
    <x v="1"/>
    <x v="89"/>
    <x v="28"/>
    <n v="9"/>
    <x v="3"/>
    <s v="Xu Qiliang"/>
    <m/>
    <s v=" CMC Vice Chairman "/>
    <n v="10"/>
    <x v="2"/>
    <s v="Chief of Staff, Iranian Armed Forces "/>
    <x v="0"/>
    <m/>
    <x v="0"/>
    <m/>
    <x v="1"/>
    <m/>
    <m/>
    <m/>
    <s v="http://www.xinhuanet.com/2019-09/11/c_1124988205.htm"/>
    <s v="Added source"/>
  </r>
  <r>
    <x v="0"/>
    <x v="1"/>
    <s v="Asia"/>
    <s v="Comprehensive Strategic Partnership [全面战略伙伴关系]"/>
    <s v="None"/>
    <x v="0"/>
    <x v="10"/>
    <x v="28"/>
    <n v="9"/>
    <x v="0"/>
    <m/>
    <m/>
    <m/>
    <m/>
    <x v="0"/>
    <m/>
    <x v="0"/>
    <m/>
    <x v="0"/>
    <m/>
    <x v="2"/>
    <s v="ETF-32"/>
    <s v="East Sea Fleet"/>
    <s v="DDG153 Xi'an FFG599 Anyang AOR966 Gaoyuhu"/>
    <s v="http://eng.chinamil.com.cn/view/2019-11/01/content_9666626.htm"/>
    <m/>
  </r>
  <r>
    <x v="0"/>
    <x v="7"/>
    <s v="West Asia and Africa"/>
    <s v="Comprehensive Strategic Cooperative Partnership [全面战略合作伙伴关系]"/>
    <s v="None"/>
    <x v="4"/>
    <x v="84"/>
    <x v="28"/>
    <n v="9"/>
    <x v="0"/>
    <m/>
    <m/>
    <m/>
    <m/>
    <x v="0"/>
    <m/>
    <x v="0"/>
    <m/>
    <x v="0"/>
    <m/>
    <x v="2"/>
    <s v="ETF-32"/>
    <s v="East Sea Fleet"/>
    <s v="DDG153 Xi'an FFG599 Anyang AOR966 Gaoyuhu"/>
    <s v="http://eng.chinamil.com.cn/view/2019-11/01/content_9666626.htm"/>
    <m/>
  </r>
  <r>
    <x v="1"/>
    <x v="4"/>
    <s v="Asia"/>
    <s v="Bilateral Defense Treaty"/>
    <s v="None"/>
    <x v="0"/>
    <x v="9"/>
    <x v="28"/>
    <n v="9"/>
    <x v="3"/>
    <s v="Wei Fenghe"/>
    <m/>
    <s v="Defense Minister; CMC Member"/>
    <n v="8"/>
    <x v="2"/>
    <s v="General"/>
    <x v="0"/>
    <m/>
    <x v="0"/>
    <m/>
    <x v="1"/>
    <m/>
    <m/>
    <m/>
    <s v="http://www.mod.gov.cn/topnews/2019-09/24/content_4851085.htm"/>
    <s v="Added source"/>
  </r>
  <r>
    <x v="2"/>
    <x v="0"/>
    <s v="Asia"/>
    <s v="All-Weather Strategic Cooperative Partnership [全天候战略合作伙伴关系]"/>
    <s v="Major Non-NATO Ally"/>
    <x v="1"/>
    <x v="2"/>
    <x v="28"/>
    <n v="9"/>
    <x v="5"/>
    <m/>
    <m/>
    <m/>
    <m/>
    <x v="0"/>
    <m/>
    <x v="3"/>
    <s v="Shaheen VIII"/>
    <x v="5"/>
    <s v=" operational command, system control, air superiority, suppression of ground targets, air attack, and joint air defense"/>
    <x v="1"/>
    <m/>
    <m/>
    <m/>
    <s v="http://www.xinhuanet.com/mil/2019-09/07/c_1210271265.htm"/>
    <s v="Added source and drill details"/>
  </r>
  <r>
    <x v="2"/>
    <x v="3"/>
    <s v="Europe and Central Asia"/>
    <s v="Comprehensive Strategic Partnership of Coordination in the New Era [新时代中俄全面战略协作伙伴关系]"/>
    <s v="None"/>
    <x v="3"/>
    <x v="7"/>
    <x v="28"/>
    <n v="9"/>
    <x v="6"/>
    <m/>
    <m/>
    <m/>
    <m/>
    <x v="0"/>
    <m/>
    <x v="3"/>
    <s v="Tsentr-2019 (Center-2019)"/>
    <x v="1"/>
    <s v="ML exercise against insurgency supported by major power; Other countries:India, Kazakhstan, Kyrgyzstan, Tajikistan, Pakistan, and Uzbekistan "/>
    <x v="1"/>
    <m/>
    <m/>
    <m/>
    <s v="http://www.xinhuanet.com/english/2019-08/20/c_138323880.htm"/>
    <s v="Added source, recategorized as multilateral, listed other country partners"/>
  </r>
  <r>
    <x v="1"/>
    <x v="3"/>
    <s v="Europe and Central Asia"/>
    <s v="Comprehensive Strategic Partnership of Coordination in the New Era [新时代中俄全面战略协作伙伴关系]"/>
    <s v="None"/>
    <x v="3"/>
    <x v="7"/>
    <x v="28"/>
    <n v="9"/>
    <x v="4"/>
    <s v="Wei Fenghe"/>
    <m/>
    <s v="Defense Minister; CMC Member"/>
    <n v="8"/>
    <x v="1"/>
    <s v="President"/>
    <x v="0"/>
    <m/>
    <x v="0"/>
    <s v="Met with Putin on the sidelines of the Tsenter exercise"/>
    <x v="1"/>
    <m/>
    <m/>
    <m/>
    <s v="http://www.81.cn/jmywyl/2019-09/20/content_9630153.htm"/>
    <m/>
  </r>
  <r>
    <x v="1"/>
    <x v="3"/>
    <s v="Europe and Central Asia"/>
    <s v="Comprehensive Strategic Partnership of Coordination in the New Era [新时代中俄全面战略协作伙伴关系]"/>
    <s v="None"/>
    <x v="3"/>
    <x v="7"/>
    <x v="28"/>
    <n v="9"/>
    <x v="4"/>
    <s v="Zhang Youxia"/>
    <m/>
    <s v="CMC Vice Chairman"/>
    <n v="10"/>
    <x v="1"/>
    <s v="Russian Defense Minister General of the Army "/>
    <x v="0"/>
    <m/>
    <x v="0"/>
    <m/>
    <x v="1"/>
    <m/>
    <m/>
    <m/>
    <s v="http://www.xinhuanet.com/world/2019-09/05/c_1124965436.htm"/>
    <s v="Added source"/>
  </r>
  <r>
    <x v="1"/>
    <x v="8"/>
    <s v="Europe and Central Asia"/>
    <s v="Comprehensive Strategic Partnership [全面战略伙伴关系]"/>
    <s v="None"/>
    <x v="3"/>
    <x v="112"/>
    <x v="28"/>
    <n v="9"/>
    <x v="4"/>
    <s v="Zhang Youxia"/>
    <m/>
    <s v="CMC Vice Chairman"/>
    <n v="10"/>
    <x v="1"/>
    <s v="President, Defense Minister"/>
    <x v="0"/>
    <m/>
    <x v="0"/>
    <m/>
    <x v="1"/>
    <m/>
    <m/>
    <m/>
    <s v="http://www.xinhuanet.com/world/2019-09/07/c_1124972363.htm "/>
    <s v="Added source"/>
  </r>
  <r>
    <x v="2"/>
    <x v="1"/>
    <s v="Asia"/>
    <s v="Comprehensive Strategic Cooperative Partnership [全面战略合作伙伴关系]"/>
    <s v="Bilateral Defense Treaty"/>
    <x v="0"/>
    <x v="5"/>
    <x v="28"/>
    <n v="9"/>
    <x v="6"/>
    <m/>
    <m/>
    <m/>
    <m/>
    <x v="0"/>
    <m/>
    <x v="2"/>
    <s v="Unnamed"/>
    <x v="1"/>
    <s v="Tabletop exercise hosted by Thailand under the ADMM-Plus Experts’ Working Group on Counterterrorism; 18 participating countries"/>
    <x v="1"/>
    <m/>
    <m/>
    <m/>
    <s v="http://www.mod.gov.cn/action/2019-09/08/content_4849983.htm "/>
    <s v="CODED as Army because no indication of partiicpation by other services"/>
  </r>
  <r>
    <x v="0"/>
    <x v="1"/>
    <s v="Asia"/>
    <s v="Comprehensive Cooperative Partnership [全面合作伙伴关系]"/>
    <s v="None"/>
    <x v="0"/>
    <x v="169"/>
    <x v="28"/>
    <n v="9"/>
    <x v="0"/>
    <m/>
    <m/>
    <m/>
    <m/>
    <x v="0"/>
    <m/>
    <x v="0"/>
    <m/>
    <x v="0"/>
    <m/>
    <x v="0"/>
    <s v="Training Ship Qi Jiguang"/>
    <s v="South Sea Fleet"/>
    <s v="Qi Jiguang training ship"/>
    <s v="http://eng.chinamil.com.cn/view/2019-10/11/content_9648913.htm"/>
    <s v="Added source"/>
  </r>
  <r>
    <x v="1"/>
    <x v="10"/>
    <s v="America and Oceania"/>
    <s v="Strategic Partnership [战略伙伴关系]"/>
    <s v="None"/>
    <x v="5"/>
    <x v="107"/>
    <x v="28"/>
    <n v="9"/>
    <x v="4"/>
    <s v="Wei Fenghe"/>
    <m/>
    <s v="Defense Minister; CMC Member"/>
    <n v="8"/>
    <x v="1"/>
    <s v="Uruguayan Defense Minister Jose Bayardi"/>
    <x v="0"/>
    <m/>
    <x v="0"/>
    <m/>
    <x v="1"/>
    <m/>
    <m/>
    <m/>
    <s v="https://www.chinadaily.com.cn/a/201909/04/WS5d6f1580a310cf3e35569985.html"/>
    <m/>
  </r>
  <r>
    <x v="1"/>
    <x v="7"/>
    <s v="West Asia and Africa"/>
    <s v="Strategic Partnership [战略伙伴关系]"/>
    <s v="None"/>
    <x v="4"/>
    <x v="105"/>
    <x v="28"/>
    <n v="10"/>
    <x v="7"/>
    <s v="Wei Fenghe"/>
    <m/>
    <s v="Defense Minister; CMC Member"/>
    <n v="8"/>
    <x v="2"/>
    <s v="Defense Minister; BL at Xiangshan"/>
    <x v="0"/>
    <m/>
    <x v="0"/>
    <m/>
    <x v="1"/>
    <m/>
    <m/>
    <m/>
    <s v="http://www.gov.cn/guowuyuan/2019-10/22/content_5443690.htm"/>
    <m/>
  </r>
  <r>
    <x v="1"/>
    <x v="8"/>
    <s v="Europe and Central Asia"/>
    <s v="Friendly Cooperative Partnership [友好合作伙伴关系]"/>
    <s v="None"/>
    <x v="3"/>
    <x v="63"/>
    <x v="28"/>
    <n v="10"/>
    <x v="7"/>
    <s v="Wei Fenghe"/>
    <m/>
    <s v="Defense Minister; CMC Member"/>
    <n v="8"/>
    <x v="2"/>
    <s v="Defense Minister; BL at Xiangshan"/>
    <x v="0"/>
    <m/>
    <x v="0"/>
    <m/>
    <x v="1"/>
    <m/>
    <m/>
    <m/>
    <s v="http://www.gov.cn/guowuyuan/2019-10/22/content_5443690.htm"/>
    <s v="Added source"/>
  </r>
  <r>
    <x v="1"/>
    <x v="8"/>
    <s v="Europe and Central Asia"/>
    <s v="Friendly Cooperative Partnership [友好合作伙伴关系]"/>
    <s v="None"/>
    <x v="3"/>
    <x v="57"/>
    <x v="28"/>
    <n v="10"/>
    <x v="7"/>
    <s v="Wei Fenghe"/>
    <m/>
    <s v="Defense Minister; CMC Member"/>
    <n v="8"/>
    <x v="2"/>
    <s v="Defense Minister; BL at Xiangshan"/>
    <x v="0"/>
    <m/>
    <x v="0"/>
    <m/>
    <x v="1"/>
    <m/>
    <m/>
    <m/>
    <s v="http://www.gov.cn/guowuyuan/2019-10/22/content_5443690.htm"/>
    <m/>
  </r>
  <r>
    <x v="1"/>
    <x v="8"/>
    <s v="Europe and Central Asia"/>
    <s v="Comprehensive Strategic Partnership [全面战略伙伴关系]"/>
    <s v="None"/>
    <x v="3"/>
    <x v="34"/>
    <x v="28"/>
    <n v="10"/>
    <x v="7"/>
    <s v="Wei Fenghe"/>
    <m/>
    <s v="Defense Minister; CMC Member"/>
    <n v="8"/>
    <x v="2"/>
    <s v="Defense Minister; BL at Xiangshan"/>
    <x v="0"/>
    <m/>
    <x v="0"/>
    <m/>
    <x v="1"/>
    <m/>
    <m/>
    <m/>
    <s v="http://www.gov.cn/guowuyuan/2019-10/22/content_5443690.htm"/>
    <m/>
  </r>
  <r>
    <x v="1"/>
    <x v="1"/>
    <s v="Asia"/>
    <s v="Strategic Cooperative Partnership [战略合作伙伴关系]"/>
    <s v="None"/>
    <x v="0"/>
    <x v="44"/>
    <x v="28"/>
    <n v="10"/>
    <x v="3"/>
    <s v="Wei Fenghe"/>
    <m/>
    <s v="Defense Minister; CMC Member"/>
    <n v="8"/>
    <x v="2"/>
    <s v="Second Minister of Defense"/>
    <x v="0"/>
    <m/>
    <x v="0"/>
    <m/>
    <x v="1"/>
    <m/>
    <m/>
    <m/>
    <s v="http://www.xinhuanet.com/politics/2019-10/17/c_1125118575.htm"/>
    <s v="Added source"/>
  </r>
  <r>
    <x v="0"/>
    <x v="1"/>
    <s v="Asia"/>
    <s v="Strategic Cooperative Partnership [战略合作伙伴关系]"/>
    <s v="None"/>
    <x v="0"/>
    <x v="44"/>
    <x v="28"/>
    <n v="10"/>
    <x v="0"/>
    <m/>
    <m/>
    <m/>
    <m/>
    <x v="0"/>
    <m/>
    <x v="0"/>
    <m/>
    <x v="0"/>
    <m/>
    <x v="0"/>
    <s v="Training Ship Qi Jiguang"/>
    <s v="South Sea Fleet"/>
    <s v="Qi Jiguang training ship"/>
    <m/>
    <m/>
  </r>
  <r>
    <x v="1"/>
    <x v="1"/>
    <s v="Asia"/>
    <s v="Comprehensive Strategic Cooperative Partnership [全面战略合作伙伴关系]"/>
    <s v="None"/>
    <x v="0"/>
    <x v="94"/>
    <x v="28"/>
    <n v="10"/>
    <x v="3"/>
    <s v="Wei Fenghe"/>
    <m/>
    <s v="Defense Minister; CMC Member"/>
    <n v="8"/>
    <x v="2"/>
    <s v="Defense Minister"/>
    <x v="0"/>
    <m/>
    <x v="0"/>
    <m/>
    <x v="1"/>
    <m/>
    <m/>
    <m/>
    <m/>
    <m/>
  </r>
  <r>
    <x v="0"/>
    <x v="9"/>
    <s v="West Asia and Africa"/>
    <s v="Strategic Partnership [战略伙伴关系]"/>
    <s v="None"/>
    <x v="1"/>
    <x v="119"/>
    <x v="28"/>
    <n v="10"/>
    <x v="9"/>
    <m/>
    <m/>
    <m/>
    <m/>
    <x v="0"/>
    <m/>
    <x v="0"/>
    <m/>
    <x v="0"/>
    <m/>
    <x v="2"/>
    <s v="ETF-33"/>
    <s v="North Sea Fleet"/>
    <s v="AOR968 Hoh Xil Hu"/>
    <s v="http://navy.81.cn/content/2019-10/09/content_9646250.ht"/>
    <s v="Added source and details"/>
  </r>
  <r>
    <x v="0"/>
    <x v="1"/>
    <s v="Asia"/>
    <s v="Comprehensive Cooperative Partnership [全面合作伙伴关系]"/>
    <s v="None"/>
    <x v="0"/>
    <x v="50"/>
    <x v="28"/>
    <n v="10"/>
    <x v="0"/>
    <m/>
    <m/>
    <m/>
    <m/>
    <x v="0"/>
    <m/>
    <x v="0"/>
    <m/>
    <x v="0"/>
    <m/>
    <x v="0"/>
    <s v="Training Ship Qi Jiguang"/>
    <s v="South Sea Fleet"/>
    <s v="Qi Jiguang training ship"/>
    <s v="http://eng.chinamil.com.cn/view/2019-10/08/content_9645234.htm"/>
    <m/>
  </r>
  <r>
    <x v="1"/>
    <x v="9"/>
    <s v="West Asia and Africa"/>
    <s v="Comprehensive Strategic Partnership [全面战略伙伴关系]"/>
    <s v="Major Non-NATO Ally"/>
    <x v="1"/>
    <x v="24"/>
    <x v="28"/>
    <n v="10"/>
    <x v="7"/>
    <s v="Wei Fenghe"/>
    <m/>
    <s v="Defense Minister; CMC Member"/>
    <n v="8"/>
    <x v="2"/>
    <s v="Defense Minister; BL at Xiangshan"/>
    <x v="0"/>
    <m/>
    <x v="0"/>
    <m/>
    <x v="1"/>
    <m/>
    <m/>
    <m/>
    <s v="https://sis.gov.eg/Story/142249/Defense-Minister-back-home-after-China-visit?lang=en-us"/>
    <m/>
  </r>
  <r>
    <x v="1"/>
    <x v="7"/>
    <s v="West Asia and Africa"/>
    <s v="Comprehensive Strategic Cooperative Partnership [全面战略合作伙伴关系]"/>
    <s v="None"/>
    <x v="4"/>
    <x v="80"/>
    <x v="28"/>
    <n v="10"/>
    <x v="7"/>
    <s v="Wei Fenghe"/>
    <m/>
    <s v="Defense Minister; CMC Member"/>
    <n v="8"/>
    <x v="2"/>
    <s v="Defense Minister; BL at Xiangshan"/>
    <x v="0"/>
    <m/>
    <x v="0"/>
    <m/>
    <x v="1"/>
    <m/>
    <m/>
    <m/>
    <s v="http://www.gov.cn/guowuyuan/2019-10/22/content_5443690.htm"/>
    <m/>
  </r>
  <r>
    <x v="1"/>
    <x v="6"/>
    <s v="Europe and Central Asia"/>
    <s v="Comprehensive Strategic Partnership [全面战略伙伴关系]"/>
    <s v="None"/>
    <x v="1"/>
    <x v="30"/>
    <x v="28"/>
    <n v="10"/>
    <x v="7"/>
    <s v="Wei Fenghe"/>
    <m/>
    <s v="Defense Minister; CMC Member"/>
    <n v="8"/>
    <x v="2"/>
    <s v="Defense Minister; BL at Xiangshan"/>
    <x v="0"/>
    <m/>
    <x v="0"/>
    <m/>
    <x v="1"/>
    <m/>
    <m/>
    <m/>
    <s v="http://www.gov.cn/guowuyuan/2019-10/22/content_5443690.htm"/>
    <m/>
  </r>
  <r>
    <x v="2"/>
    <x v="6"/>
    <s v="Europe and Central Asia"/>
    <s v="Comprehensive Strategic Partnership [全面战略伙伴关系]"/>
    <s v="None"/>
    <x v="1"/>
    <x v="30"/>
    <x v="28"/>
    <n v="10"/>
    <x v="5"/>
    <m/>
    <m/>
    <m/>
    <m/>
    <x v="0"/>
    <m/>
    <x v="1"/>
    <s v="Fox Hunting-2019"/>
    <x v="1"/>
    <s v="76th group army in Ust-Kamenogorsk"/>
    <x v="1"/>
    <m/>
    <m/>
    <m/>
    <s v="http://english.chinamil.com.cn/view/2019-10/16/content_9653518.htm"/>
    <m/>
  </r>
  <r>
    <x v="1"/>
    <x v="6"/>
    <s v="Europe and Central Asia"/>
    <s v="Comprehensive Strategic Partnership [全面战略伙伴关系]"/>
    <s v="None"/>
    <x v="1"/>
    <x v="31"/>
    <x v="28"/>
    <n v="10"/>
    <x v="7"/>
    <s v="Wei Fenghe"/>
    <m/>
    <s v="Defense Minister; CMC Member"/>
    <n v="8"/>
    <x v="2"/>
    <s v="Chief of Staff of Armed Forces; BL at Xiangshan"/>
    <x v="0"/>
    <m/>
    <x v="0"/>
    <m/>
    <x v="1"/>
    <m/>
    <m/>
    <m/>
    <s v="http://www.gov.cn/guowuyuan/2019-10/22/content_5443690.htm"/>
    <m/>
  </r>
  <r>
    <x v="1"/>
    <x v="8"/>
    <s v="Europe and Central Asia"/>
    <s v="Friendly Cooperative Partnership [友好合作伙伴关系]"/>
    <s v="NATO"/>
    <x v="3"/>
    <x v="157"/>
    <x v="28"/>
    <n v="10"/>
    <x v="7"/>
    <s v="Wei Fenghe"/>
    <m/>
    <s v="Defense Minister; CMC Member"/>
    <n v="8"/>
    <x v="2"/>
    <s v="Defense Minister; Deputy PM; BL at Xiangshan"/>
    <x v="0"/>
    <m/>
    <x v="0"/>
    <m/>
    <x v="1"/>
    <m/>
    <m/>
    <m/>
    <s v="http://www.gov.cn/guowuyuan/2019-10/22/content_5443690.htm"/>
    <m/>
  </r>
  <r>
    <x v="1"/>
    <x v="4"/>
    <s v="Asia"/>
    <s v="Comprehensive Strategic Partnership [全面战略伙伴关系]"/>
    <s v="None"/>
    <x v="0"/>
    <x v="53"/>
    <x v="28"/>
    <n v="10"/>
    <x v="3"/>
    <s v="Wei Fenghe"/>
    <m/>
    <s v="Defense Minister; CMC Member"/>
    <n v="8"/>
    <x v="2"/>
    <s v="Minister of Defense"/>
    <x v="0"/>
    <m/>
    <x v="0"/>
    <m/>
    <x v="1"/>
    <m/>
    <m/>
    <m/>
    <m/>
    <m/>
  </r>
  <r>
    <x v="1"/>
    <x v="4"/>
    <s v="Asia"/>
    <s v="N/A"/>
    <s v="None"/>
    <x v="0"/>
    <x v="161"/>
    <x v="28"/>
    <n v="10"/>
    <x v="2"/>
    <s v="Wei Fenghe"/>
    <m/>
    <s v="Defense Minister; CMC Member"/>
    <n v="8"/>
    <x v="2"/>
    <s v="Xiangshan Forum 2019; Defense Minister"/>
    <x v="0"/>
    <m/>
    <x v="0"/>
    <m/>
    <x v="1"/>
    <m/>
    <m/>
    <m/>
    <s v="http://english.chinamil.com.cn/view/2018-10/26/content_9324154.htm"/>
    <m/>
  </r>
  <r>
    <x v="0"/>
    <x v="5"/>
    <s v="America and Oceania"/>
    <s v="Comprehensive Strategic Partnership [全面战略伙伴关系]"/>
    <s v="ANZUS Treaty"/>
    <x v="0"/>
    <x v="13"/>
    <x v="28"/>
    <n v="10"/>
    <x v="0"/>
    <m/>
    <m/>
    <m/>
    <m/>
    <x v="0"/>
    <m/>
    <x v="0"/>
    <m/>
    <x v="0"/>
    <m/>
    <x v="0"/>
    <s v="Training Ship Qi Jiguang"/>
    <s v="South Sea Fleet"/>
    <s v="Qi Jiguang training ship"/>
    <s v="http://eng.chinamil.com.cn/view/2019-10/28/content_9662812.htm"/>
    <s v="Added source"/>
  </r>
  <r>
    <x v="1"/>
    <x v="4"/>
    <s v="Asia"/>
    <s v="Bilateral Defense Treaty"/>
    <s v="None"/>
    <x v="0"/>
    <x v="9"/>
    <x v="28"/>
    <n v="10"/>
    <x v="4"/>
    <s v="Miao Hua"/>
    <m/>
    <s v="CMC/PWD Director; CMC Member"/>
    <n v="8"/>
    <x v="1"/>
    <s v="Director of the General Political Bureau "/>
    <x v="0"/>
    <m/>
    <x v="0"/>
    <m/>
    <x v="1"/>
    <m/>
    <m/>
    <m/>
    <s v="http://www.mod.gov.cn/jzhzt/2019-10/31/content_4854245.htm"/>
    <s v="Added source"/>
  </r>
  <r>
    <x v="1"/>
    <x v="4"/>
    <s v="Asia"/>
    <s v="Bilateral Defense Treaty"/>
    <s v="None"/>
    <x v="0"/>
    <x v="9"/>
    <x v="28"/>
    <n v="10"/>
    <x v="3"/>
    <s v="Wei Fenghe"/>
    <m/>
    <s v="Defense Minister; CMC Member"/>
    <n v="8"/>
    <x v="2"/>
    <s v="Defense Minister"/>
    <x v="0"/>
    <m/>
    <x v="0"/>
    <m/>
    <x v="1"/>
    <m/>
    <m/>
    <m/>
    <m/>
    <m/>
  </r>
  <r>
    <x v="1"/>
    <x v="0"/>
    <s v="Asia"/>
    <s v="All-Weather Strategic Cooperative Partnership [全天候战略合作伙伴关系]"/>
    <s v="Major Non-NATO Ally"/>
    <x v="1"/>
    <x v="2"/>
    <x v="28"/>
    <n v="10"/>
    <x v="3"/>
    <s v="Xu Qiliang"/>
    <m/>
    <s v="CMC Vice Chairman"/>
    <n v="10"/>
    <x v="2"/>
    <s v="Chief of Army Staff"/>
    <x v="0"/>
    <m/>
    <x v="0"/>
    <m/>
    <x v="1"/>
    <m/>
    <m/>
    <m/>
    <s v="http://www.xinhuanet.com/2019-10/08/c_1125079099.htm"/>
    <s v="Added source"/>
  </r>
  <r>
    <x v="1"/>
    <x v="1"/>
    <s v="America and Oceania"/>
    <s v="Comprehensive Strategic Partnership [全面战略伙伴关系]"/>
    <s v="None"/>
    <x v="0"/>
    <x v="122"/>
    <x v="28"/>
    <n v="10"/>
    <x v="7"/>
    <s v="Wei Fenghe"/>
    <m/>
    <s v="Defense Minister; CMC Member"/>
    <n v="8"/>
    <x v="2"/>
    <s v="Defense Minister; BL at Xiangshan"/>
    <x v="0"/>
    <m/>
    <x v="0"/>
    <m/>
    <x v="1"/>
    <m/>
    <m/>
    <m/>
    <s v="http://www.gov.cn/guowuyuan/2019-10/22/content_5443690.htm"/>
    <m/>
  </r>
  <r>
    <x v="0"/>
    <x v="1"/>
    <s v="America and Oceania"/>
    <s v="Comprehensive Strategic Partnership [全面战略伙伴关系]"/>
    <s v="None"/>
    <x v="0"/>
    <x v="122"/>
    <x v="28"/>
    <n v="10"/>
    <x v="0"/>
    <m/>
    <m/>
    <m/>
    <m/>
    <x v="0"/>
    <m/>
    <x v="0"/>
    <m/>
    <x v="0"/>
    <m/>
    <x v="0"/>
    <s v="Training Ship Qi Jiguang"/>
    <s v="South Sea Fleet"/>
    <s v="Qi Jiguang training ship"/>
    <s v="http://www.xinhuanet.com/2019-10/10/c_1125088603.htm"/>
    <s v="Added source"/>
  </r>
  <r>
    <x v="1"/>
    <x v="3"/>
    <s v="Europe and Central Asia"/>
    <s v="Comprehensive Strategic Partnership of Coordination in the New Era [新时代中俄全面战略协作伙伴关系]"/>
    <s v="None"/>
    <x v="3"/>
    <x v="7"/>
    <x v="28"/>
    <n v="10"/>
    <x v="7"/>
    <s v="Zhang Youxia"/>
    <m/>
    <s v="CMC Vice Chairman"/>
    <n v="10"/>
    <x v="2"/>
    <s v="Defense Minister; BL at Xiangshan"/>
    <x v="0"/>
    <m/>
    <x v="0"/>
    <m/>
    <x v="1"/>
    <m/>
    <m/>
    <m/>
    <s v="http://www.xinhuanet.com/2019-10/22/c_1125138601.htm"/>
    <s v="Originally a reference to a different meeting - changed location and source"/>
  </r>
  <r>
    <x v="2"/>
    <x v="3"/>
    <s v="Europe and Central Asia"/>
    <s v="Comprehensive Strategic Partnership of Coordination in the New Era [新时代中俄全面战略协作伙伴关系]"/>
    <s v="None"/>
    <x v="3"/>
    <x v="7"/>
    <x v="28"/>
    <n v="10"/>
    <x v="5"/>
    <m/>
    <m/>
    <m/>
    <m/>
    <x v="0"/>
    <m/>
    <x v="1"/>
    <s v="Cooperation 2019"/>
    <x v="4"/>
    <s v="Falcon Commando Unit"/>
    <x v="1"/>
    <m/>
    <m/>
    <m/>
    <s v="http://www.81.cn/jmywyl/2019-10/11/content_9648915.htm"/>
    <s v="Added source, recategorized as anti-terrorism"/>
  </r>
  <r>
    <x v="1"/>
    <x v="7"/>
    <s v="West Asia and Africa"/>
    <s v="No Specific Relationship"/>
    <s v="None"/>
    <x v="4"/>
    <x v="129"/>
    <x v="28"/>
    <n v="10"/>
    <x v="7"/>
    <s v="Wei Fenghe"/>
    <m/>
    <s v="Defense Minister; CMC Member"/>
    <n v="8"/>
    <x v="2"/>
    <s v="Defense Minister; BL at Xiangshan"/>
    <x v="0"/>
    <m/>
    <x v="0"/>
    <m/>
    <x v="1"/>
    <m/>
    <m/>
    <m/>
    <s v="http://www.gov.cn/guowuyuan/2019-10/22/content_5443690.htm"/>
    <m/>
  </r>
  <r>
    <x v="0"/>
    <x v="9"/>
    <s v="West Asia and Africa"/>
    <s v="Comprehensive Strategic Partnership [全面战略伙伴关系]"/>
    <s v="None"/>
    <x v="1"/>
    <x v="142"/>
    <x v="28"/>
    <n v="10"/>
    <x v="9"/>
    <m/>
    <m/>
    <m/>
    <m/>
    <x v="0"/>
    <m/>
    <x v="0"/>
    <m/>
    <x v="0"/>
    <m/>
    <x v="2"/>
    <s v="ETF-33"/>
    <s v="North Sea Fleet"/>
    <s v="DDG117 Xining FFG550 Weifang AOR968 Kekexili"/>
    <m/>
    <m/>
  </r>
  <r>
    <x v="1"/>
    <x v="8"/>
    <s v="Europe and Central Asia"/>
    <s v="Comprehensive Strategic Partnership [全面战略伙伴关系]"/>
    <s v="None"/>
    <x v="3"/>
    <x v="112"/>
    <x v="28"/>
    <n v="10"/>
    <x v="7"/>
    <s v="Zhang Youxia"/>
    <m/>
    <s v="CMC Vice Chairman"/>
    <n v="10"/>
    <x v="2"/>
    <s v="Defense Minister; BL at Xiangshan"/>
    <x v="0"/>
    <m/>
    <x v="0"/>
    <m/>
    <x v="1"/>
    <m/>
    <m/>
    <m/>
    <s v="http://www.xinhuanet.com/2019-10/22/c_1125138601.htm "/>
    <s v="Originally a reference to a different meeting - changed location and source"/>
  </r>
  <r>
    <x v="1"/>
    <x v="1"/>
    <s v="Asia"/>
    <s v="All-Round Cooperative Partnership [全方合作伙伴关系]"/>
    <s v="None"/>
    <x v="0"/>
    <x v="39"/>
    <x v="28"/>
    <n v="10"/>
    <x v="3"/>
    <s v="Wei Fenghe"/>
    <m/>
    <s v="Defense Minister; CMC Member"/>
    <n v="8"/>
    <x v="2"/>
    <s v="Defense Minister"/>
    <x v="0"/>
    <m/>
    <x v="0"/>
    <m/>
    <x v="1"/>
    <m/>
    <m/>
    <m/>
    <s v="http://eng.mod.gov.cn/news/2019-11/01/content_4854326.htm"/>
    <s v="signing of the revised Agreement on Defense Exchanges and Security Cooperation Between the Ministry of National Defense of The People’s Republic of China and the Ministry of Defense of the Republic of Singapore"/>
  </r>
  <r>
    <x v="1"/>
    <x v="1"/>
    <s v="Asia"/>
    <s v="All-Round Cooperative Partnership [全方合作伙伴关系]"/>
    <s v="None"/>
    <x v="0"/>
    <x v="39"/>
    <x v="28"/>
    <n v="10"/>
    <x v="7"/>
    <s v="Xu Qiliang"/>
    <m/>
    <s v=" CMC Vice Chairman "/>
    <n v="10"/>
    <x v="2"/>
    <s v="Defense Minister Dr. Ng Eng Hen; BL at Xiangshan"/>
    <x v="0"/>
    <m/>
    <x v="0"/>
    <m/>
    <x v="1"/>
    <m/>
    <m/>
    <m/>
    <s v="http://www.xinhuanet.com/mil/2019-10/21/c_1125132102.htm"/>
    <s v=" "/>
  </r>
  <r>
    <x v="1"/>
    <x v="4"/>
    <s v="Asia"/>
    <s v="Strategic Cooperative Partnership [战略合作伙伴关系]"/>
    <s v="Bilateral Defense Treaty"/>
    <x v="0"/>
    <x v="25"/>
    <x v="28"/>
    <n v="10"/>
    <x v="3"/>
    <s v="Wei Fenghe"/>
    <m/>
    <s v="Defense Minister; CMC Member"/>
    <n v="8"/>
    <x v="2"/>
    <s v="Defense Minister"/>
    <x v="0"/>
    <m/>
    <x v="0"/>
    <s v="5th Strategic Defense Dialogue held between China and South Korea "/>
    <x v="1"/>
    <m/>
    <m/>
    <m/>
    <s v="http://eng.mod.gov.cn/news/2019-11/01/content_4854326.htm"/>
    <s v="Added details"/>
  </r>
  <r>
    <x v="1"/>
    <x v="10"/>
    <s v="America and Oceania"/>
    <s v="Strategic Cooperative Partnership [战略合作伙伴关系]"/>
    <s v="None"/>
    <x v="5"/>
    <x v="91"/>
    <x v="28"/>
    <n v="10"/>
    <x v="7"/>
    <s v="Wei Fenghe"/>
    <m/>
    <s v="Defense Minister; CMC Member"/>
    <n v="8"/>
    <x v="2"/>
    <s v="Defense Minister; BL at Xiangshan"/>
    <x v="0"/>
    <m/>
    <x v="0"/>
    <m/>
    <x v="1"/>
    <m/>
    <m/>
    <m/>
    <s v="http://www.gov.cn/guowuyuan/2019-10/22/content_5443690.htm"/>
    <m/>
  </r>
  <r>
    <x v="1"/>
    <x v="9"/>
    <s v="West Asia and Africa"/>
    <s v="Comprehensive Strategic Partnership [全面战略伙伴关系]"/>
    <s v="None"/>
    <x v="1"/>
    <x v="106"/>
    <x v="28"/>
    <n v="10"/>
    <x v="3"/>
    <s v="Wei Fenghe"/>
    <m/>
    <s v="Defense Minister; CMC Member"/>
    <n v="8"/>
    <x v="2"/>
    <s v="Minister of State for Defence Affairs"/>
    <x v="0"/>
    <m/>
    <x v="0"/>
    <m/>
    <x v="1"/>
    <m/>
    <m/>
    <m/>
    <m/>
    <m/>
  </r>
  <r>
    <x v="1"/>
    <x v="5"/>
    <s v="America and Oceania"/>
    <s v="No Specific Relationship"/>
    <s v="None"/>
    <x v="0"/>
    <x v="120"/>
    <x v="28"/>
    <n v="10"/>
    <x v="7"/>
    <s v="Wei Fenghe"/>
    <m/>
    <s v="Defense Minister; CMC Member"/>
    <n v="8"/>
    <x v="2"/>
    <s v="International Affairs Minister; BL at Xiangshan"/>
    <x v="0"/>
    <m/>
    <x v="0"/>
    <m/>
    <x v="1"/>
    <m/>
    <m/>
    <m/>
    <s v="http://www.gov.cn/guowuyuan/2019-10/22/content_5443690.htm"/>
    <m/>
  </r>
  <r>
    <x v="1"/>
    <x v="1"/>
    <s v="Asia"/>
    <s v="Comprehensive Strategic Cooperative Partnership [全面战略合作伙伴关系]"/>
    <s v="None"/>
    <x v="0"/>
    <x v="23"/>
    <x v="28"/>
    <n v="10"/>
    <x v="7"/>
    <s v="Xu Qiliang"/>
    <m/>
    <s v=" CMC Vice Chairman "/>
    <n v="10"/>
    <x v="2"/>
    <s v="Defense Minister; BL at Xiangshan"/>
    <x v="0"/>
    <m/>
    <x v="0"/>
    <m/>
    <x v="1"/>
    <m/>
    <m/>
    <m/>
    <s v="http://www.xinhuanet.com/mil/2019-10/21/c_1125132102.htm"/>
    <s v="Added source"/>
  </r>
  <r>
    <x v="1"/>
    <x v="1"/>
    <s v="Asia"/>
    <s v="Strategic Partnership [战略伙伴关系] for Peace and Prosperity"/>
    <s v="None"/>
    <x v="0"/>
    <x v="153"/>
    <x v="28"/>
    <n v="11"/>
    <x v="1"/>
    <s v="Wei Fenghe"/>
    <m/>
    <s v="Defense Minister; CMC Member"/>
    <n v="8"/>
    <x v="1"/>
    <s v="6th ADMM+;Defense Secretary"/>
    <x v="0"/>
    <m/>
    <x v="0"/>
    <m/>
    <x v="1"/>
    <m/>
    <m/>
    <m/>
    <s v="http://www.xinhuanet.com/2019-11/18/c_1125246416.htm"/>
    <s v="ADMM+; corrected partnership name"/>
  </r>
  <r>
    <x v="1"/>
    <x v="1"/>
    <s v="Asia"/>
    <s v="Strategic Partnership [战略伙伴关系] for Peace and Prosperity"/>
    <s v="None"/>
    <x v="0"/>
    <x v="153"/>
    <x v="28"/>
    <n v="11"/>
    <x v="1"/>
    <s v="Wei Fenghe"/>
    <m/>
    <s v="Defense Minister; CMC Member"/>
    <n v="8"/>
    <x v="1"/>
    <s v="Ninth China-ASEAN Defense Ministers' Informal Meeting in Bangkok"/>
    <x v="0"/>
    <m/>
    <x v="0"/>
    <m/>
    <x v="1"/>
    <m/>
    <m/>
    <m/>
    <s v="http://www.xinhuanet.com/english/2019-11/17/c_138561957.htm"/>
    <s v="corrected partnership to strategic partnership for peace and prosperity"/>
  </r>
  <r>
    <x v="2"/>
    <x v="1"/>
    <s v="Asia"/>
    <s v="Strategic Partnership [战略伙伴关系] for Peace and Prosperity"/>
    <s v="None"/>
    <x v="0"/>
    <x v="153"/>
    <x v="28"/>
    <n v="11"/>
    <x v="6"/>
    <m/>
    <m/>
    <m/>
    <m/>
    <x v="0"/>
    <m/>
    <x v="1"/>
    <s v="ADMM Plus Joint Counter-terrorism drill"/>
    <x v="1"/>
    <s v="Southern Theater Command; Other countries: 10 ASEAN countries + China, US, Russia, India"/>
    <x v="1"/>
    <m/>
    <m/>
    <m/>
    <s v="http://www.globaltimes.cn/content/1169981.shtml"/>
    <s v="Added source, updated drill details, recategorized as multilateral; corrected partnership name"/>
  </r>
  <r>
    <x v="1"/>
    <x v="5"/>
    <s v="America and Oceania"/>
    <s v="Comprehensive Strategic Partnership [全面战略伙伴关系]"/>
    <s v="ANZUS Treaty"/>
    <x v="0"/>
    <x v="12"/>
    <x v="28"/>
    <n v="11"/>
    <x v="7"/>
    <s v="Wei Fenghe"/>
    <m/>
    <s v="Defense Minister; CMC Member"/>
    <n v="8"/>
    <x v="1"/>
    <s v="Defense Secretary; BL at ADMM+"/>
    <x v="0"/>
    <m/>
    <x v="0"/>
    <m/>
    <x v="1"/>
    <m/>
    <m/>
    <m/>
    <s v="http://www.xinhuanet.com/2019-11/18/c_1125246416.htm"/>
    <m/>
  </r>
  <r>
    <x v="1"/>
    <x v="5"/>
    <s v="America and Oceania"/>
    <s v="Comprehensive Strategic Partnership [全面战略伙伴关系]"/>
    <s v="ANZUS Treaty"/>
    <x v="0"/>
    <x v="12"/>
    <x v="28"/>
    <n v="11"/>
    <x v="4"/>
    <s v="Li Zuocheng"/>
    <m/>
    <s v="CMC/JSD Commander; CMC Member"/>
    <n v="8"/>
    <x v="1"/>
    <s v="Defense Secretary"/>
    <x v="0"/>
    <m/>
    <x v="0"/>
    <s v="22nd defense strategic dialogue "/>
    <x v="1"/>
    <m/>
    <m/>
    <m/>
    <s v="http://www.xinhuanet.com/world/2019-11/15/c_1125236542.htm"/>
    <m/>
  </r>
  <r>
    <x v="1"/>
    <x v="0"/>
    <s v="Asia"/>
    <s v="Strategic Cooperative Partnership [战略合作伙伴关系]"/>
    <s v="None"/>
    <x v="0"/>
    <x v="0"/>
    <x v="28"/>
    <n v="11"/>
    <x v="3"/>
    <s v="Wei Fenghe"/>
    <m/>
    <s v="Defense Minister; CMC Member"/>
    <n v="8"/>
    <x v="2"/>
    <s v="Chief of Bangladesh Army Staff"/>
    <x v="0"/>
    <m/>
    <x v="0"/>
    <m/>
    <x v="1"/>
    <m/>
    <m/>
    <m/>
    <s v="http://www.xinhuanet.com/mil/2019-11/06/c_1210343454.htm"/>
    <s v="Added source"/>
  </r>
  <r>
    <x v="1"/>
    <x v="5"/>
    <s v="America and Oceania"/>
    <s v="Comprehensive Strategic Partnership [全面战略伙伴关系]"/>
    <s v="None"/>
    <x v="0"/>
    <x v="128"/>
    <x v="28"/>
    <n v="11"/>
    <x v="4"/>
    <s v="Li Zuocheng"/>
    <m/>
    <s v="CMC/JSD Commander; CMC Member"/>
    <n v="8"/>
    <x v="2"/>
    <s v="Prime Minister"/>
    <x v="0"/>
    <m/>
    <x v="0"/>
    <m/>
    <x v="1"/>
    <m/>
    <m/>
    <m/>
    <s v="http://www.xinhuanet.com/world/2019-11/12/c_1125221813.htm"/>
    <s v="Added source"/>
  </r>
  <r>
    <x v="0"/>
    <x v="5"/>
    <s v="America and Oceania"/>
    <s v="Comprehensive Strategic Partnership [全面战略伙伴关系]"/>
    <s v="None"/>
    <x v="0"/>
    <x v="128"/>
    <x v="28"/>
    <n v="11"/>
    <x v="0"/>
    <m/>
    <m/>
    <m/>
    <m/>
    <x v="0"/>
    <m/>
    <x v="0"/>
    <m/>
    <x v="0"/>
    <m/>
    <x v="0"/>
    <s v="Training Ship Qi Jiguang"/>
    <s v="South Sea Fleet"/>
    <s v="Qi Jiguang training ship"/>
    <s v="http://eng.chinamil.com.cn/view/2019-10/28/content_9662812.htm"/>
    <s v="Added source and changed month; coded as Oceania"/>
  </r>
  <r>
    <x v="1"/>
    <x v="8"/>
    <s v="Europe and Central Asia"/>
    <s v="Comprehensive Strategic Partnership [全面战略伙伴关系]"/>
    <s v="NATO"/>
    <x v="3"/>
    <x v="82"/>
    <x v="28"/>
    <n v="11"/>
    <x v="3"/>
    <s v="Wei Fenghe"/>
    <m/>
    <s v="Defense Minister; CMC Member"/>
    <n v="8"/>
    <x v="2"/>
    <s v="Defense Minister"/>
    <x v="0"/>
    <m/>
    <x v="0"/>
    <m/>
    <x v="1"/>
    <m/>
    <m/>
    <m/>
    <s v="http://www.xinhuanet.com/2019-11/26/c_1125277668.htm"/>
    <s v="Added source"/>
  </r>
  <r>
    <x v="1"/>
    <x v="1"/>
    <s v="Asia"/>
    <s v="Comprehensive Strategic Partnership [全面战略伙伴关系]"/>
    <s v="None"/>
    <x v="0"/>
    <x v="8"/>
    <x v="28"/>
    <n v="11"/>
    <x v="7"/>
    <s v="Wei Fenghe"/>
    <m/>
    <s v="Defense Minister; CMC Member"/>
    <n v="8"/>
    <x v="1"/>
    <s v="Defense Chief; BL at ADMM+"/>
    <x v="0"/>
    <m/>
    <x v="0"/>
    <m/>
    <x v="1"/>
    <m/>
    <m/>
    <m/>
    <s v="http://www.xinhuanet.com/2019-11/18/c_1125246416.htm"/>
    <s v="Added source"/>
  </r>
  <r>
    <x v="1"/>
    <x v="1"/>
    <s v="Asia"/>
    <s v="Comprehensive Strategic Cooperative Partnership [全面战略合作伙伴关系]"/>
    <s v="None"/>
    <x v="0"/>
    <x v="52"/>
    <x v="28"/>
    <n v="11"/>
    <x v="4"/>
    <s v="Wei Fenghe"/>
    <m/>
    <s v="Defense Minister; CMC Member"/>
    <n v="8"/>
    <x v="2"/>
    <s v="President"/>
    <x v="0"/>
    <m/>
    <x v="0"/>
    <m/>
    <x v="1"/>
    <m/>
    <m/>
    <m/>
    <s v="http://www.xinhuanet.com/english/2019-11/15/c_138557129.htm"/>
    <s v="Changed position of counterpart"/>
  </r>
  <r>
    <x v="1"/>
    <x v="1"/>
    <s v="Asia"/>
    <s v="Comprehensive Strategic Partnership [全面战略伙伴关系]"/>
    <s v="None"/>
    <x v="0"/>
    <x v="10"/>
    <x v="28"/>
    <n v="11"/>
    <x v="7"/>
    <s v="Wei Fenghe"/>
    <m/>
    <s v="Defense Minister; CMC Member"/>
    <n v="8"/>
    <x v="1"/>
    <s v="Defense Chief; BL at ADMM+ "/>
    <x v="0"/>
    <m/>
    <x v="0"/>
    <m/>
    <x v="1"/>
    <m/>
    <m/>
    <m/>
    <s v="http://www.xinhuanet.com/2019-11/18/c_1125246416.htm"/>
    <s v="Gave all information about meeting but participants"/>
  </r>
  <r>
    <x v="1"/>
    <x v="5"/>
    <s v="America and Oceania"/>
    <s v="Comprehensive Strategic Partnership [全面战略伙伴关系]"/>
    <s v="ANZUS Treaty"/>
    <x v="0"/>
    <x v="13"/>
    <x v="28"/>
    <n v="11"/>
    <x v="7"/>
    <s v="Wei Fenghe"/>
    <m/>
    <s v="Defense Minister; CMC Member"/>
    <n v="8"/>
    <x v="1"/>
    <s v="Defense Minister; BL at ADMM+"/>
    <x v="0"/>
    <m/>
    <x v="0"/>
    <m/>
    <x v="1"/>
    <m/>
    <m/>
    <m/>
    <s v="http://www.xinhuanet.com/2019-11/18/c_1125246416.htm"/>
    <m/>
  </r>
  <r>
    <x v="1"/>
    <x v="5"/>
    <s v="America and Oceania"/>
    <s v="Comprehensive Strategic Partnership [全面战略伙伴关系]"/>
    <s v="ANZUS Treaty"/>
    <x v="0"/>
    <x v="13"/>
    <x v="28"/>
    <n v="11"/>
    <x v="4"/>
    <s v="Li Zuocheng"/>
    <m/>
    <s v="CMC/JSD Commander; CMC Member"/>
    <n v="8"/>
    <x v="1"/>
    <s v="Chief of NZ Defense Force"/>
    <x v="0"/>
    <m/>
    <x v="0"/>
    <s v="10th strategic dialogue "/>
    <x v="1"/>
    <m/>
    <m/>
    <m/>
    <s v="http://www.xinhuanet.com/world/2019-11/09/c_1125212142.htm"/>
    <s v="PCS: ordinarily these dialogues would not be included, but this one is at a higher level on th New Zealand side. Added source"/>
  </r>
  <r>
    <x v="1"/>
    <x v="3"/>
    <s v="Europe and Central Asia"/>
    <s v="Comprehensive Strategic Partnership of Coordination in the New Era [新时代中俄全面战略协作伙伴关系]"/>
    <s v="None"/>
    <x v="3"/>
    <x v="7"/>
    <x v="28"/>
    <n v="11"/>
    <x v="3"/>
    <s v="Wei Fenghe"/>
    <m/>
    <s v="Defense Minister; CMC Member"/>
    <n v="8"/>
    <x v="2"/>
    <s v="Deputy Director Federal Security Service "/>
    <x v="0"/>
    <m/>
    <x v="0"/>
    <m/>
    <x v="1"/>
    <m/>
    <m/>
    <m/>
    <s v="http://www.xinhuanet.com/mil/2019-11/21/c_1210363767.htm"/>
    <s v="Added source"/>
  </r>
  <r>
    <x v="2"/>
    <x v="9"/>
    <s v="West Asia and Africa"/>
    <s v="Comprehensive Strategic Partnership [全面战略伙伴关系]"/>
    <s v="None"/>
    <x v="1"/>
    <x v="142"/>
    <x v="28"/>
    <n v="11"/>
    <x v="5"/>
    <m/>
    <m/>
    <m/>
    <m/>
    <x v="0"/>
    <m/>
    <x v="2"/>
    <s v="Blue Sword 2019"/>
    <x v="2"/>
    <m/>
    <x v="1"/>
    <m/>
    <m/>
    <m/>
    <s v="http://eng.chinamil.com.cn/view/2019-11/20/content_9679466.htm"/>
    <m/>
  </r>
  <r>
    <x v="2"/>
    <x v="7"/>
    <s v="West Asia and Africa"/>
    <s v="Comprehensive Strategic Partnership [全面战略伙伴关系]"/>
    <s v="None"/>
    <x v="4"/>
    <x v="15"/>
    <x v="28"/>
    <n v="11"/>
    <x v="6"/>
    <m/>
    <m/>
    <m/>
    <m/>
    <x v="0"/>
    <m/>
    <x v="3"/>
    <s v="Mosi "/>
    <x v="2"/>
    <s v="first Russia-China-South Africa TL exercise; guided-missile frigate Weifang;  surface gunnery exercise, helicopter cross-deck landings "/>
    <x v="1"/>
    <m/>
    <m/>
    <m/>
    <s v="https://www.navyrecognition.com/index.php/news/defence-news/2019/november/7732-joint-naval-military-exercise-code-named-mosi-in-south-africa.html"/>
    <s v="TL exercise CODED as South Africa because of the location of the exercise"/>
  </r>
  <r>
    <x v="1"/>
    <x v="4"/>
    <s v="Asia"/>
    <s v="Strategic Cooperative Partnership [战略合作伙伴关系]"/>
    <s v="Bilateral Defense Treaty"/>
    <x v="0"/>
    <x v="25"/>
    <x v="28"/>
    <n v="11"/>
    <x v="7"/>
    <s v="Wei Fenghe"/>
    <m/>
    <s v="Defense Minister; CMC Member"/>
    <n v="8"/>
    <x v="1"/>
    <s v="Defense Minister; BL at ADMM+"/>
    <x v="0"/>
    <m/>
    <x v="0"/>
    <m/>
    <x v="1"/>
    <m/>
    <m/>
    <m/>
    <s v="http://www.xinhuanet.com/2019-11/18/c_1125246416.htm"/>
    <m/>
  </r>
  <r>
    <x v="1"/>
    <x v="1"/>
    <s v="Asia"/>
    <s v="Comprehensive Strategic Cooperative Partnership [全面战略合作伙伴关系]"/>
    <s v="Bilateral Defense Treaty"/>
    <x v="0"/>
    <x v="5"/>
    <x v="28"/>
    <n v="11"/>
    <x v="4"/>
    <s v="Wei Fenghe"/>
    <m/>
    <s v="Defense Minister; CMC Member"/>
    <n v="8"/>
    <x v="1"/>
    <s v="Prime Minister; BL at ADMM+"/>
    <x v="0"/>
    <m/>
    <x v="0"/>
    <m/>
    <x v="1"/>
    <m/>
    <m/>
    <m/>
    <s v="http://www.xinhuanet.com/world/2019-11/17/c_1125242224.htm; http://www.xinhuanet.com/english/2019-11/17/c_138562358.htm"/>
    <s v="Added source, updated counterpart to PM; PCS changed to &quot;BL abroad&quot; because Wei came a day early for meeting with Thai MOD"/>
  </r>
  <r>
    <x v="1"/>
    <x v="2"/>
    <s v="America and Oceania"/>
    <s v="No Specific Relationship"/>
    <s v="N/A"/>
    <x v="2"/>
    <x v="4"/>
    <x v="28"/>
    <n v="11"/>
    <x v="7"/>
    <s v="Wei Fenghe"/>
    <m/>
    <s v="Defense Minister; CMC Member"/>
    <n v="8"/>
    <x v="1"/>
    <s v="Secretary of Defense; BL at ADMM+"/>
    <x v="0"/>
    <m/>
    <x v="0"/>
    <m/>
    <x v="1"/>
    <m/>
    <m/>
    <m/>
    <s v="http://www.xinhuanet.com/world/2019-11/18/c_1125246591.htm"/>
    <s v="Added source"/>
  </r>
  <r>
    <x v="2"/>
    <x v="2"/>
    <s v="America and Oceania"/>
    <s v="No Specific Relationship"/>
    <s v="N/A"/>
    <x v="2"/>
    <x v="4"/>
    <x v="28"/>
    <n v="11"/>
    <x v="5"/>
    <m/>
    <m/>
    <m/>
    <m/>
    <x v="0"/>
    <m/>
    <x v="2"/>
    <s v="15th China-US Disaster Management Exchange"/>
    <x v="1"/>
    <s v="Hawaii; HADR academic discussion, TTX, and field exchange"/>
    <x v="1"/>
    <m/>
    <m/>
    <m/>
    <s v="http://www.xinhuanet.com/2019-11/19/c_1125248816.htm; https://www.army.mil/article/230491/us_china_hold_15th_annual_disaster_management_exchange"/>
    <m/>
  </r>
  <r>
    <x v="2"/>
    <x v="9"/>
    <s v="West Asia and Africa"/>
    <s v="Strategic Partnership [战略伙伴关系]"/>
    <s v="None"/>
    <x v="1"/>
    <x v="119"/>
    <x v="28"/>
    <n v="12"/>
    <x v="5"/>
    <m/>
    <m/>
    <m/>
    <m/>
    <x v="0"/>
    <m/>
    <x v="2"/>
    <s v="Bright Eyes Operation"/>
    <x v="1"/>
    <s v="Medical Service Operation"/>
    <x v="1"/>
    <m/>
    <m/>
    <m/>
    <s v="http://www.mod.gov.cn/jzhzt/2019-11/28/content_4855867.htm"/>
    <s v="Added source"/>
  </r>
  <r>
    <x v="2"/>
    <x v="0"/>
    <s v="Asia"/>
    <s v="Strategic Partnership for Peace and Prosperity [战略伙伴关系]"/>
    <s v="None"/>
    <x v="0"/>
    <x v="6"/>
    <x v="28"/>
    <n v="12"/>
    <x v="5"/>
    <m/>
    <m/>
    <m/>
    <m/>
    <x v="0"/>
    <m/>
    <x v="1"/>
    <s v="Hand-in-Hand Exercise "/>
    <x v="1"/>
    <s v="joint counterterrorism drills, semi-urban environment, "/>
    <x v="1"/>
    <m/>
    <m/>
    <m/>
    <s v="https://thediplomat.com/2019/12/hand-in-hand-2019-indian-and-chinese-armies-come-together-for-joint-military-exercise/"/>
    <s v="Added source, drill details"/>
  </r>
  <r>
    <x v="1"/>
    <x v="1"/>
    <s v="Asia"/>
    <s v="Comprehensive Strategic Partnership [全面战略伙伴关系]"/>
    <s v="None"/>
    <x v="0"/>
    <x v="8"/>
    <x v="28"/>
    <n v="12"/>
    <x v="3"/>
    <s v="Xu Qiliang"/>
    <m/>
    <s v="CMC Vice Chairman"/>
    <n v="10"/>
    <x v="2"/>
    <s v="Indonesian Minister of Defense Prabowo Subianto"/>
    <x v="0"/>
    <m/>
    <x v="0"/>
    <m/>
    <x v="1"/>
    <m/>
    <m/>
    <m/>
    <s v="http://eng.mod.gov.cn/news/2019-12/17/content_4856899.htm"/>
    <s v="Updated highest ranking counterpart"/>
  </r>
  <r>
    <x v="2"/>
    <x v="9"/>
    <s v="West Asia and Africa"/>
    <s v="Comprehensive Strategic Partnership [全面战略伙伴关系]"/>
    <s v="None"/>
    <x v="1"/>
    <x v="89"/>
    <x v="28"/>
    <n v="12"/>
    <x v="6"/>
    <m/>
    <m/>
    <m/>
    <m/>
    <x v="0"/>
    <m/>
    <x v="4"/>
    <s v="Marine Security Belt"/>
    <x v="2"/>
    <s v="Xining, guided missile destroyer "/>
    <x v="1"/>
    <m/>
    <m/>
    <m/>
    <s v="https://www.cnn.com/2019/12/27/asia/china-russia-iran-military-drills-intl-hnk/index.html"/>
    <m/>
  </r>
  <r>
    <x v="2"/>
    <x v="3"/>
    <s v="Europe and Central Asia"/>
    <s v="Comprehensive Strategic Partnership of Coordination in the New Era [新时代中俄全面战略协作伙伴关系]"/>
    <s v="None"/>
    <x v="3"/>
    <x v="89"/>
    <x v="28"/>
    <n v="12"/>
    <x v="6"/>
    <m/>
    <m/>
    <m/>
    <m/>
    <x v="0"/>
    <m/>
    <x v="3"/>
    <s v="Operation Marine Security Belt"/>
    <x v="2"/>
    <s v="Gulf of Oman security, anti-piracy, anti-terrorism, combat, tactical drills. 4 days. Other country: Iran"/>
    <x v="1"/>
    <m/>
    <m/>
    <m/>
    <s v="https://www.cnn.com/2019/12/27/asia/china-russia-iran-military-drills-intl-hnk/index.html"/>
    <s v="TL exercise RECODED with Iran as the lead partner because of location of the exercise."/>
  </r>
  <r>
    <x v="1"/>
    <x v="4"/>
    <s v="Asia"/>
    <s v="Mutually Beneficial Strategic Relationship [战略互惠关系]"/>
    <s v="Bilateral Defense Treaty"/>
    <x v="0"/>
    <x v="83"/>
    <x v="28"/>
    <n v="12"/>
    <x v="3"/>
    <s v="Xu Qiliang"/>
    <m/>
    <s v="CMC Vice Chairman"/>
    <n v="10"/>
    <x v="2"/>
    <s v="Japanese Defense Minister Taro Kono"/>
    <x v="0"/>
    <m/>
    <x v="0"/>
    <m/>
    <x v="1"/>
    <m/>
    <m/>
    <m/>
    <s v="http://eng.mod.gov.cn/news/2019-12/18/content_4857053.htm"/>
    <s v="Updated highest ranking counterpart"/>
  </r>
  <r>
    <x v="0"/>
    <x v="7"/>
    <s v="West Asia and Africa"/>
    <s v="Comprehensive Cooperative Partnership [全面合作伙伴关系]"/>
    <s v="None"/>
    <x v="4"/>
    <x v="47"/>
    <x v="28"/>
    <n v="12"/>
    <x v="9"/>
    <m/>
    <m/>
    <m/>
    <m/>
    <x v="0"/>
    <m/>
    <x v="0"/>
    <m/>
    <x v="0"/>
    <m/>
    <x v="2"/>
    <s v="ETF-33"/>
    <s v="North Sea Fleet"/>
    <s v="DDG117 Xining FFG550 Weifang AOR968 Kekexili"/>
    <m/>
    <m/>
  </r>
  <r>
    <x v="2"/>
    <x v="0"/>
    <s v="Asia"/>
    <s v="All-Weather Strategic Cooperative Partnership [全天候战略合作伙伴关系]"/>
    <s v="Major Non-NATO Ally"/>
    <x v="1"/>
    <x v="2"/>
    <x v="28"/>
    <n v="12"/>
    <x v="5"/>
    <m/>
    <m/>
    <m/>
    <m/>
    <x v="0"/>
    <m/>
    <x v="3"/>
    <s v="Sharp Sword-2019"/>
    <x v="1"/>
    <s v="Joint training with Pakistani Air Defense troops. Comprehensive, consecutive drills were conduncted in the last pase of the training. "/>
    <x v="1"/>
    <m/>
    <m/>
    <m/>
    <s v="http://www.js7tv.cn/video/201912_201883.html; http://tv.81.cn/jshjj/2019-12/20/content_9700730.htm"/>
    <s v="ADD. Accidentally Omitted from 3.01"/>
  </r>
  <r>
    <x v="1"/>
    <x v="0"/>
    <s v="Asia"/>
    <s v="All-Weather Strategic Cooperative Partnership [全天候战略合作伙伴关系]"/>
    <s v="Major Non-NATO Ally"/>
    <x v="1"/>
    <x v="2"/>
    <x v="28"/>
    <n v="12"/>
    <x v="3"/>
    <s v="Wei Fenghe"/>
    <m/>
    <s v="Defense Minister; CMC Member"/>
    <n v="8"/>
    <x v="2"/>
    <s v="Air Chief Marshal Mujahid Anwar Khan, Chief of the Air Staff of Pakistan Air Force"/>
    <x v="0"/>
    <m/>
    <x v="0"/>
    <m/>
    <x v="1"/>
    <m/>
    <m/>
    <m/>
    <s v="http://eng.mod.gov.cn/news/2019-12/17/content_4856979.htm"/>
    <m/>
  </r>
  <r>
    <x v="2"/>
    <x v="0"/>
    <s v="Asia"/>
    <s v="All-Weather Strategic Cooperative Partnership [全天候战略合作伙伴关系]"/>
    <s v="Major Non-NATO Ally"/>
    <x v="1"/>
    <x v="2"/>
    <x v="28"/>
    <n v="12"/>
    <x v="5"/>
    <m/>
    <m/>
    <m/>
    <m/>
    <x v="0"/>
    <m/>
    <x v="1"/>
    <s v="Warrior-VII"/>
    <x v="1"/>
    <s v="Monthlong, counter-terrorism and target defense"/>
    <x v="1"/>
    <m/>
    <m/>
    <m/>
    <s v="http://eng.chinamil.com.cn/view/2019-12/06/content_9691028.htm"/>
    <s v="Added source, branch, drill details"/>
  </r>
  <r>
    <x v="0"/>
    <x v="7"/>
    <s v="West Asia and Africa"/>
    <s v="Comprehensive Strategic Partnership [全面战略伙伴关系]"/>
    <s v="None"/>
    <x v="4"/>
    <x v="15"/>
    <x v="28"/>
    <n v="12"/>
    <x v="0"/>
    <m/>
    <m/>
    <m/>
    <m/>
    <x v="0"/>
    <m/>
    <x v="0"/>
    <m/>
    <x v="0"/>
    <m/>
    <x v="2"/>
    <s v="ETF-33"/>
    <s v="North Sea Fleet"/>
    <s v="DDG117 Xining FFG550 Weifang AOR968 Kekexili"/>
    <m/>
    <m/>
  </r>
  <r>
    <x v="2"/>
    <x v="7"/>
    <s v="West Asia and Africa"/>
    <s v="Comprehensive Cooperative Partnership [全面合作伙伴关系]"/>
    <s v="None"/>
    <x v="4"/>
    <x v="16"/>
    <x v="28"/>
    <n v="12"/>
    <x v="5"/>
    <m/>
    <m/>
    <m/>
    <m/>
    <x v="0"/>
    <m/>
    <x v="3"/>
    <s v="Sincere Partners"/>
    <x v="1"/>
    <s v="the exchange of combat experience and skills, joint actual-troop drill and command post exercise; elements of 73 GA"/>
    <x v="1"/>
    <m/>
    <m/>
    <m/>
    <s v="http://english.pladaily.com.cn/view/2019-12/30/content_9706488.htm"/>
    <m/>
  </r>
  <r>
    <x v="1"/>
    <x v="2"/>
    <s v="America and Oceania"/>
    <s v="No Specific Relationship"/>
    <s v="N/A"/>
    <x v="2"/>
    <x v="4"/>
    <x v="28"/>
    <n v="12"/>
    <x v="3"/>
    <s v="Xu Qiliang"/>
    <m/>
    <s v="CMC Vice Chairman"/>
    <n v="10"/>
    <x v="2"/>
    <s v="Former Secretary of State Kissinger"/>
    <x v="0"/>
    <m/>
    <x v="0"/>
    <m/>
    <x v="1"/>
    <m/>
    <m/>
    <m/>
    <s v="http://www.xinhuanet.com/politics/2019-11/22/c_1125264635.htm"/>
    <m/>
  </r>
  <r>
    <x v="1"/>
    <x v="0"/>
    <s v="Asia"/>
    <s v="Strategic Partnership for Peace and Prosperity [战略伙伴关系]"/>
    <s v="None"/>
    <x v="0"/>
    <x v="6"/>
    <x v="29"/>
    <n v="1"/>
    <x v="3"/>
    <s v="Han Weiguo"/>
    <m/>
    <s v="PLAA Commander"/>
    <n v="6"/>
    <x v="2"/>
    <s v="India Northern Army Commander "/>
    <x v="0"/>
    <m/>
    <x v="0"/>
    <m/>
    <x v="1"/>
    <m/>
    <m/>
    <m/>
    <s v="https://economictimes.indiatimes.com/news/defence/northern-army-commander-on-china-visit-meets-plas-ground-forces-commander/articleshow/73157296.cms"/>
    <m/>
  </r>
  <r>
    <x v="2"/>
    <x v="0"/>
    <s v="Asia"/>
    <s v="All-Weather Strategic Cooperative Partnership [全天候战略合作伙伴关系]"/>
    <s v="Major Non-NATO Ally"/>
    <x v="1"/>
    <x v="2"/>
    <x v="29"/>
    <n v="1"/>
    <x v="5"/>
    <m/>
    <m/>
    <m/>
    <m/>
    <x v="0"/>
    <m/>
    <x v="3"/>
    <s v="Sea Guardians Naval Exercise"/>
    <x v="2"/>
    <s v="Northern Arabian Sea exercise that ended in Karachi. Largest joint exercise with Pakistan to date. Says counterterror but lots of maritime ops, to include anti-sub, anti-aircraft, and anti-missile; PLAN participants from ETF-34 did this exercise en route to Gulf of Aden"/>
    <x v="1"/>
    <m/>
    <m/>
    <m/>
    <s v="http://www.81.cn/jfjbmap/content/2020-01/07/content_251619.htm; https://navalpost.com/chinese-naval-escort-task-group-returns-home/"/>
    <m/>
  </r>
  <r>
    <x v="2"/>
    <x v="1"/>
    <s v="Asia"/>
    <s v="Comprehensive Strategic Partnership [全面战略伙伴关系]"/>
    <s v="Bilateral Defense Treaty"/>
    <x v="0"/>
    <x v="11"/>
    <x v="29"/>
    <n v="1"/>
    <x v="5"/>
    <m/>
    <m/>
    <m/>
    <m/>
    <x v="0"/>
    <m/>
    <x v="2"/>
    <m/>
    <x v="7"/>
    <s v="Coast Guard SAREX; combating fire at sea; improving interoperability"/>
    <x v="1"/>
    <m/>
    <m/>
    <s v="Series of friendship activities for China-Philippine Joint Coast Guard Committee on Maritime Cooperation Third Session "/>
    <s v="http://eng.chinamil.com.cn/view/2020-01/15/content_9718029.htm; http://eng.chinamil.com.cn/view/2020-01/16/content_9718789.htm"/>
    <m/>
  </r>
  <r>
    <x v="0"/>
    <x v="9"/>
    <s v="West Asia and Africa"/>
    <s v="Comprehensive Strategic Partnership [全面战略伙伴关系]"/>
    <s v="None"/>
    <x v="1"/>
    <x v="106"/>
    <x v="29"/>
    <n v="1"/>
    <x v="0"/>
    <m/>
    <m/>
    <m/>
    <m/>
    <x v="0"/>
    <m/>
    <x v="0"/>
    <m/>
    <x v="0"/>
    <m/>
    <x v="2"/>
    <s v="ETF-33"/>
    <s v="North Sea Fleet"/>
    <s v="DDG117 Xining FFG550 Weifang AOR968 Kekexili"/>
    <s v="http://eng.chinamil.com.cn/view/2020-03/26/content_9778165.htm; http://navy.81.cn/content/2020-02/01/content_9729507.htm"/>
    <s v="Port call on way home after Aden CP deployment"/>
  </r>
  <r>
    <x v="0"/>
    <x v="0"/>
    <s v="Asia "/>
    <s v="Strategic Cooperative Partnership [战略合作伙伴关系]"/>
    <s v="None"/>
    <x v="0"/>
    <x v="0"/>
    <x v="29"/>
    <n v="2"/>
    <x v="0"/>
    <m/>
    <m/>
    <m/>
    <m/>
    <x v="0"/>
    <m/>
    <x v="0"/>
    <m/>
    <x v="0"/>
    <m/>
    <x v="2"/>
    <s v="ETF-33"/>
    <s v="North Sea Fleet"/>
    <s v="DDG117 Xining FFG550 Weifang AOR968 Kekexili"/>
    <s v="http://eng.chinamil.com.cn/view/2020-03/26/content_9778165.htm"/>
    <s v="Port call on way home after Aden CP deployment"/>
  </r>
  <r>
    <x v="2"/>
    <x v="0"/>
    <s v="Asia"/>
    <s v="Comprehensive Strategic Cooperative Partnership [全面战略合作伙伴关系]"/>
    <s v="Bilateral Defense Treaty"/>
    <x v="0"/>
    <x v="5"/>
    <x v="29"/>
    <n v="2"/>
    <x v="6"/>
    <m/>
    <m/>
    <m/>
    <m/>
    <x v="0"/>
    <m/>
    <x v="2"/>
    <s v="Cobra Gold 2020"/>
    <x v="1"/>
    <s v="25 personnel from PLAA 75h GA trained in Engineering &amp; construction, support and demolition tasks, and maritime rescue"/>
    <x v="1"/>
    <m/>
    <m/>
    <m/>
    <s v="http://www.81.cn/jfjbmap/content/2020-02/23/content_254718.htm"/>
    <m/>
  </r>
  <r>
    <x v="2"/>
    <x v="1"/>
    <s v="Asia"/>
    <s v="Comprehensive Strategic Cooperative Partnership [全面战略合作伙伴关系]"/>
    <s v="None"/>
    <x v="0"/>
    <x v="94"/>
    <x v="29"/>
    <n v="3"/>
    <x v="5"/>
    <m/>
    <m/>
    <m/>
    <m/>
    <x v="0"/>
    <m/>
    <x v="1"/>
    <s v="Golden Dragon 2020"/>
    <x v="1"/>
    <s v="*1st joint exercise post COVID-19 outbreak…265 member Chinese contingent participated in mixed training and couter-terror, reconnaissance, and firepower attack"/>
    <x v="1"/>
    <m/>
    <m/>
    <m/>
    <s v="http://www.xinhuanet.com/world/2020-03/15/c_1125716729.htm"/>
    <m/>
  </r>
  <r>
    <x v="1"/>
    <x v="1"/>
    <s v="Asia"/>
    <s v="All-Round Cooperative Partnership [全方合作伙伴关系]"/>
    <s v="None"/>
    <x v="0"/>
    <x v="39"/>
    <x v="29"/>
    <n v="3"/>
    <x v="15"/>
    <s v="Wei Fenghe"/>
    <m/>
    <s v="Defense Minister; CMC Member"/>
    <n v="8"/>
    <x v="4"/>
    <s v="Dr. Ng Eng"/>
    <x v="0"/>
    <m/>
    <x v="0"/>
    <m/>
    <x v="1"/>
    <m/>
    <m/>
    <m/>
    <s v="http://www.81.cn/jwywpd/2020-03/30/content_9780936.htm"/>
    <m/>
  </r>
  <r>
    <x v="0"/>
    <x v="1"/>
    <s v="Asia "/>
    <s v="Comprehensive Strategic Cooperative Partnership [全面战略合作伙伴关系]"/>
    <s v="Bilateral Defense Treaty"/>
    <x v="0"/>
    <x v="5"/>
    <x v="29"/>
    <n v="3"/>
    <x v="0"/>
    <m/>
    <m/>
    <m/>
    <m/>
    <x v="0"/>
    <m/>
    <x v="0"/>
    <m/>
    <x v="0"/>
    <m/>
    <x v="2"/>
    <s v="ETF-33"/>
    <s v="North Sea Fleet"/>
    <s v="DDG117 Xining FFG550 Weifang AOR968 Kekexili"/>
    <s v="http://eng.chinamil.com.cn/view/2020-03/26/content_9778165.htm"/>
    <s v="Port call on way home after Aden CP deployment; LAST PLAN &quot;friendly visit&quot; port call through 2022"/>
  </r>
  <r>
    <x v="1"/>
    <x v="2"/>
    <s v="America and Oceania"/>
    <s v="No Specific Relationship"/>
    <s v="N/A"/>
    <x v="2"/>
    <x v="4"/>
    <x v="29"/>
    <n v="3"/>
    <x v="15"/>
    <s v="Wei Fenghe"/>
    <m/>
    <s v="Defense Minister; CMC Member"/>
    <n v="8"/>
    <x v="4"/>
    <s v="Secretary of Defense Esper"/>
    <x v="0"/>
    <m/>
    <x v="0"/>
    <m/>
    <x v="1"/>
    <m/>
    <m/>
    <m/>
    <s v="https://www.defense.gov/Newsroom/Releases/Release/Article/2101487/readout-of-secretary-of-defense-dr-mark-t-espers-telephone-call-with-the-people/"/>
    <m/>
  </r>
  <r>
    <x v="1"/>
    <x v="1"/>
    <s v="Asia "/>
    <s v="Comprehensive Strategic Cooperative Partnership [全面战略合作伙伴关系]"/>
    <s v="None"/>
    <x v="0"/>
    <x v="52"/>
    <x v="29"/>
    <n v="4"/>
    <x v="15"/>
    <s v="Wei Fenghe"/>
    <m/>
    <s v="Defense Minister; CMC Member"/>
    <n v="8"/>
    <x v="4"/>
    <s v="Minister of Defense "/>
    <x v="0"/>
    <m/>
    <x v="0"/>
    <m/>
    <x v="1"/>
    <m/>
    <m/>
    <m/>
    <s v="PLA Activities Report"/>
    <m/>
  </r>
  <r>
    <x v="1"/>
    <x v="1"/>
    <s v="Asia "/>
    <s v="Comprehensive Strategic Cooperative Partnership [全面战略合作伙伴关系]"/>
    <s v="None"/>
    <x v="0"/>
    <x v="1"/>
    <x v="29"/>
    <n v="4"/>
    <x v="15"/>
    <s v="Wei Fenghe"/>
    <m/>
    <s v="Defense Minister; CMC Member"/>
    <n v="8"/>
    <x v="4"/>
    <s v="Minister of Defense"/>
    <x v="0"/>
    <m/>
    <x v="0"/>
    <m/>
    <x v="1"/>
    <m/>
    <m/>
    <m/>
    <s v="PLA Activities Report"/>
    <m/>
  </r>
  <r>
    <x v="1"/>
    <x v="2"/>
    <s v="America and Oceania"/>
    <s v="No Specific Relationship"/>
    <s v="N/A"/>
    <x v="2"/>
    <x v="4"/>
    <x v="29"/>
    <n v="4"/>
    <x v="15"/>
    <s v="Li Zuocheng"/>
    <m/>
    <s v="CMC/JSD Commander; CMC Member"/>
    <n v="8"/>
    <x v="4"/>
    <s v="CJCS Milley"/>
    <x v="0"/>
    <m/>
    <x v="0"/>
    <s v=" "/>
    <x v="1"/>
    <s v=" "/>
    <s v=" "/>
    <m/>
    <s v="CJCS memo for the record 9-27-2021; http://cdn.cnn.com/cnn/2021/images/09/28/cjcs.mfr.ref.general.milley.engagements.with.the.people.liberation.army.leaders.pdf"/>
    <m/>
  </r>
  <r>
    <x v="1"/>
    <x v="1"/>
    <s v="Asia "/>
    <s v="Comprehensive Strategic Cooperative Partnership [全面战略合作伙伴关系]"/>
    <s v="None"/>
    <x v="0"/>
    <x v="23"/>
    <x v="29"/>
    <n v="4"/>
    <x v="15"/>
    <s v="Wei Fenghe"/>
    <m/>
    <s v="Defense Minister; CMC Member"/>
    <n v="8"/>
    <x v="4"/>
    <s v="Minister of Defence "/>
    <x v="0"/>
    <m/>
    <x v="0"/>
    <m/>
    <x v="1"/>
    <m/>
    <m/>
    <m/>
    <s v="PLA Activities Report"/>
    <m/>
  </r>
  <r>
    <x v="1"/>
    <x v="8"/>
    <s v="Europe and Central Asia"/>
    <s v="Comprehensive Strategic Partnership [全面战略伙伴关系]"/>
    <s v="None"/>
    <x v="3"/>
    <x v="34"/>
    <x v="29"/>
    <n v="5"/>
    <x v="15"/>
    <s v="Wei Fenghe"/>
    <m/>
    <s v="Defense Minister; CMC Member"/>
    <n v="8"/>
    <x v="4"/>
    <s v="Defense Minister"/>
    <x v="0"/>
    <m/>
    <x v="0"/>
    <m/>
    <x v="1"/>
    <m/>
    <m/>
    <m/>
    <m/>
    <m/>
  </r>
  <r>
    <x v="1"/>
    <x v="1"/>
    <s v="Asia "/>
    <s v="Comprehensive Strategic Cooperative Partnership [全面战略合作伙伴关系]"/>
    <s v="None"/>
    <x v="0"/>
    <x v="94"/>
    <x v="29"/>
    <n v="5"/>
    <x v="15"/>
    <s v="Wei Fenghe"/>
    <m/>
    <s v="Defense Minister; CMC Member"/>
    <n v="8"/>
    <x v="4"/>
    <s v="Deputy Prime Minister/Defense Minister"/>
    <x v="0"/>
    <m/>
    <x v="0"/>
    <m/>
    <x v="1"/>
    <m/>
    <m/>
    <m/>
    <m/>
    <m/>
  </r>
  <r>
    <x v="1"/>
    <x v="1"/>
    <s v="Asia "/>
    <s v="Comprehensive Strategic Partnership [全面战略伙伴关系]"/>
    <s v="None"/>
    <x v="0"/>
    <x v="8"/>
    <x v="29"/>
    <n v="5"/>
    <x v="15"/>
    <s v="Wei Fenghe"/>
    <m/>
    <s v="Defense Minister; CMC Member"/>
    <n v="8"/>
    <x v="4"/>
    <s v="Defense Minister"/>
    <x v="0"/>
    <m/>
    <x v="0"/>
    <m/>
    <x v="1"/>
    <m/>
    <m/>
    <m/>
    <m/>
    <m/>
  </r>
  <r>
    <x v="1"/>
    <x v="1"/>
    <s v="Asia "/>
    <s v="Comprehensive Strategic Partnership [全面战略伙伴关系]"/>
    <s v="None"/>
    <x v="0"/>
    <x v="10"/>
    <x v="29"/>
    <n v="5"/>
    <x v="15"/>
    <s v="Wei Fenghe"/>
    <m/>
    <s v="Defense Minister; CMC Member"/>
    <n v="8"/>
    <x v="4"/>
    <s v="Defense Minister"/>
    <x v="0"/>
    <m/>
    <x v="0"/>
    <m/>
    <x v="1"/>
    <m/>
    <m/>
    <m/>
    <m/>
    <m/>
  </r>
  <r>
    <x v="1"/>
    <x v="1"/>
    <s v="Asia "/>
    <s v="Comprehensive Strategic Partnership [全面战略伙伴关系]"/>
    <s v="Bilateral Defense Treaty"/>
    <x v="0"/>
    <x v="11"/>
    <x v="29"/>
    <n v="5"/>
    <x v="15"/>
    <s v="Wei Fenghe"/>
    <m/>
    <s v="Defense Minister; CMC Member"/>
    <n v="8"/>
    <x v="4"/>
    <s v="Defense Secretary"/>
    <x v="0"/>
    <m/>
    <x v="0"/>
    <m/>
    <x v="1"/>
    <m/>
    <m/>
    <m/>
    <m/>
    <m/>
  </r>
  <r>
    <x v="1"/>
    <x v="3"/>
    <s v="Europe and Central Asia"/>
    <s v="Comprehensive Strategic Partnership of Coordination in the New Era [新时代中俄全面战略协作伙伴关系]"/>
    <s v="None"/>
    <x v="3"/>
    <x v="7"/>
    <x v="29"/>
    <n v="5"/>
    <x v="15"/>
    <s v="Wei Fenghe"/>
    <m/>
    <s v="Defense Minister; CMC Member"/>
    <n v="8"/>
    <x v="4"/>
    <s v="Defense Minister"/>
    <x v="0"/>
    <m/>
    <x v="0"/>
    <m/>
    <x v="1"/>
    <m/>
    <m/>
    <m/>
    <m/>
    <m/>
  </r>
  <r>
    <x v="1"/>
    <x v="4"/>
    <s v="Asia "/>
    <s v="Strategic Cooperative Partnership [战略合作伙伴关系]"/>
    <s v="Bilateral Defense Treaty"/>
    <x v="0"/>
    <x v="25"/>
    <x v="29"/>
    <n v="5"/>
    <x v="15"/>
    <s v="Wei Fenghe"/>
    <m/>
    <s v="Defense Minister; CMC Member"/>
    <n v="8"/>
    <x v="4"/>
    <s v="Defense Minister"/>
    <x v="0"/>
    <m/>
    <x v="0"/>
    <m/>
    <x v="1"/>
    <m/>
    <m/>
    <m/>
    <m/>
    <m/>
  </r>
  <r>
    <x v="2"/>
    <x v="3"/>
    <s v="Europe and Central Asia"/>
    <s v="Comprehensive Strategic Partnership of Coordination in the New Era [新时代中俄全面战略协作伙伴关系]"/>
    <s v="None"/>
    <x v="3"/>
    <x v="7"/>
    <x v="29"/>
    <n v="8"/>
    <x v="6"/>
    <m/>
    <m/>
    <s v="Defense Minister"/>
    <m/>
    <x v="0"/>
    <m/>
    <x v="6"/>
    <s v="International Army Games 2020"/>
    <x v="1"/>
    <s v="23 August to 5 September PLAA and PLAAF compete in the Russian-hosted International Army Games"/>
    <x v="1"/>
    <m/>
    <m/>
    <m/>
    <s v="http://www.xinhuanet.com/mil/2020-08/11/c_1210746238.htm; https://www.tellerreport.com/news/2020-08-07-chinese-paratroopers-arrive-in-russia-to-participate-in-the-%22international-military-competition-2020%22.B1QmRhX5Wv.html"/>
    <s v="ML EXERCISE; CODED as ARMY because no real joint activity"/>
  </r>
  <r>
    <x v="1"/>
    <x v="2"/>
    <s v="America and Oceania"/>
    <s v="No Specific Relationship"/>
    <s v="N/A"/>
    <x v="2"/>
    <x v="4"/>
    <x v="29"/>
    <n v="8"/>
    <x v="15"/>
    <s v="Wei Fenghe"/>
    <m/>
    <s v="Defense Minister; CMC Member"/>
    <n v="8"/>
    <x v="4"/>
    <s v="Secretary of Defense Esper"/>
    <x v="0"/>
    <m/>
    <x v="0"/>
    <m/>
    <x v="1"/>
    <m/>
    <m/>
    <m/>
    <s v="https://www.defense.gov/Newsroom/Releases/Release/Article/2303574/readout-of-secretary-of-defense-dr-mark-t-espers-telephone-call-with-the-people"/>
    <m/>
  </r>
  <r>
    <x v="1"/>
    <x v="1"/>
    <s v="Asia"/>
    <s v="Comprehensive Strategic Cooperative Partnership [全面战略合作伙伴关系]"/>
    <s v="None"/>
    <x v="0"/>
    <x v="23"/>
    <x v="29"/>
    <n v="8"/>
    <x v="3"/>
    <s v="Wei Fenghe"/>
    <m/>
    <s v="Defense Minister; CMC Member"/>
    <n v="8"/>
    <x v="2"/>
    <s v="Vietnam Ambassador"/>
    <x v="0"/>
    <m/>
    <x v="0"/>
    <m/>
    <x v="1"/>
    <m/>
    <m/>
    <m/>
    <s v="https://www.voanews.com/a/east-asia-pacific_china-vietnam-try-make-amends-after-stormy-start-202/6195334.html"/>
    <s v="INCLUDE--Senior PLA rep; VM rep is ambassador due to COVID"/>
  </r>
  <r>
    <x v="1"/>
    <x v="1"/>
    <s v="Asia"/>
    <s v="Strategic Cooperative Partnership [战略合作伙伴关系]"/>
    <s v="None"/>
    <x v="0"/>
    <x v="44"/>
    <x v="29"/>
    <n v="9"/>
    <x v="4"/>
    <s v="Wei Fenghe"/>
    <m/>
    <s v="Defense Minister; CMC Member"/>
    <n v="8"/>
    <x v="1"/>
    <s v="Second Minister of Defense "/>
    <x v="0"/>
    <m/>
    <x v="0"/>
    <m/>
    <x v="1"/>
    <m/>
    <m/>
    <m/>
    <s v="http://mod.gov.cn/topnews/2020-09/09/content_4870994.htm; https://www.scmp.com/week-asia/politics/article/3100602/south-china-sea-chinese-defence-minister-wei-fenghe-turns; https://www.voanews.com/a/east-asia-pacific_experts-china-renewing-effort-squelch-us-influence-southeast-asia/6195946.html"/>
    <m/>
  </r>
  <r>
    <x v="1"/>
    <x v="0"/>
    <s v="Asia"/>
    <s v="Strategic Partnership for Peace and Prosperity [战略伙伴关系]"/>
    <s v="None"/>
    <x v="0"/>
    <x v="6"/>
    <x v="29"/>
    <n v="9"/>
    <x v="7"/>
    <s v="Wei Fenghe"/>
    <m/>
    <s v="Defense Minister; CMC Member"/>
    <n v="8"/>
    <x v="1"/>
    <s v="Minister of Defence"/>
    <x v="0"/>
    <m/>
    <x v="0"/>
    <m/>
    <x v="1"/>
    <m/>
    <m/>
    <m/>
    <s v="http://mod.gov.cn/diplomacy/2020-09/05/content_4870721.htm; https://news.cgtn.com/news/2020-09-05/Chinese-Indian-defense-ministers-discuss-border-tension-in-Moscow-TwNB8vv3Lq/index.html"/>
    <s v=" On the margins of the SCO 2020 Defense Ministers Meeting"/>
  </r>
  <r>
    <x v="1"/>
    <x v="1"/>
    <s v="Asia"/>
    <s v="Comprehensive Strategic Partnership [全面战略伙伴关系]"/>
    <s v="None"/>
    <x v="0"/>
    <x v="8"/>
    <x v="29"/>
    <n v="9"/>
    <x v="4"/>
    <s v="Wei Fenghe"/>
    <m/>
    <s v="Defense Minister; CMC Member"/>
    <n v="8"/>
    <x v="1"/>
    <s v="Minister of Defense"/>
    <x v="0"/>
    <m/>
    <x v="0"/>
    <m/>
    <x v="1"/>
    <m/>
    <m/>
    <m/>
    <s v="http://mod.gov.cn/topnews/2020-09/08/content_4870932.htm; https://www.voanews.com/a/east-asia-pacific_experts-china-renewing-effort-squelch-us-influence-southeast-asia/6195946.html"/>
    <m/>
  </r>
  <r>
    <x v="1"/>
    <x v="1"/>
    <s v="Asia"/>
    <s v="Comprehensive Strategic Partnership [全面战略伙伴关系]"/>
    <s v="None"/>
    <x v="0"/>
    <x v="10"/>
    <x v="29"/>
    <n v="9"/>
    <x v="4"/>
    <s v="Wei Fenghe"/>
    <m/>
    <s v="Defense Minister; CMC Member"/>
    <n v="8"/>
    <x v="1"/>
    <s v="Minister of Defense"/>
    <x v="0"/>
    <m/>
    <x v="0"/>
    <m/>
    <x v="1"/>
    <m/>
    <m/>
    <m/>
    <s v="http://mod.gov.cn/topnews/2020-09/07/content_4870852.htm; https://www.voanews.com/a/east-asia-pacific_experts-china-renewing-effort-squelch-us-influence-southeast-asia/6195946.html"/>
    <m/>
  </r>
  <r>
    <x v="1"/>
    <x v="0"/>
    <s v="Asia"/>
    <s v="All-Weather Strategic Cooperative Partnership [全天候战略合作伙伴关系]"/>
    <s v="Major Non-NATO Ally"/>
    <x v="1"/>
    <x v="2"/>
    <x v="29"/>
    <n v="9"/>
    <x v="7"/>
    <s v="Wei Fenghe"/>
    <m/>
    <s v="Defense Minister; CMC Member"/>
    <n v="8"/>
    <x v="1"/>
    <s v="Chairman Joint Chiefs of Staff Committee"/>
    <x v="0"/>
    <m/>
    <x v="0"/>
    <m/>
    <x v="1"/>
    <m/>
    <m/>
    <m/>
    <s v="http://mod.gov.cn/diplomacy/2020-09/06/content_4870758.htm"/>
    <s v="SCO 2020 Defense Ministers Meeting"/>
  </r>
  <r>
    <x v="1"/>
    <x v="1"/>
    <s v="Asia"/>
    <s v="Comprehensive Strategic Partnership [全面战略伙伴关系]"/>
    <s v="Bilateral Defense Treaty"/>
    <x v="0"/>
    <x v="11"/>
    <x v="29"/>
    <n v="9"/>
    <x v="4"/>
    <s v="Wei Fenghe"/>
    <m/>
    <s v="Defense Minister; CMC Member"/>
    <n v="8"/>
    <x v="1"/>
    <s v="Secretary of National Defense"/>
    <x v="0"/>
    <m/>
    <x v="0"/>
    <m/>
    <x v="1"/>
    <m/>
    <m/>
    <m/>
    <s v="https://www.pna.gov.ph/articles/1115179; https://www.voanews.com/a/east-asia-pacific_experts-china-renewing-effort-squelch-us-influence-southeast-asia/6195946.html"/>
    <m/>
  </r>
  <r>
    <x v="2"/>
    <x v="3"/>
    <s v="Europe and Central Asia"/>
    <s v="Comprehensive Strategic Partnership of Coordination in the New Era [新时代中俄全面战略协作伙伴关系]"/>
    <s v="None"/>
    <x v="3"/>
    <x v="7"/>
    <x v="29"/>
    <n v="9"/>
    <x v="6"/>
    <m/>
    <m/>
    <s v="Defense Minister"/>
    <m/>
    <x v="0"/>
    <m/>
    <x v="3"/>
    <s v="Kavkaz-2020"/>
    <x v="1"/>
    <s v="WTC in mobile defense and attack drills, joint firepower strikes, sieges, battlefield stability control, and others. Participants: Russia, Armenia, Belarus, Iran, Burma (Myanmar), Pakistan, and others. Also included the first PLAFF Y-20 transport to unknown airport. First multi plane, transnational airlift mission for Y-20."/>
    <x v="1"/>
    <m/>
    <m/>
    <m/>
    <s v="http://www.81.cn/yw/2020-09/14/content_9902689.htm; http://www.mod.gov.cn/topnews/2020-09/10/content_4871011.htm"/>
    <m/>
  </r>
  <r>
    <x v="1"/>
    <x v="3"/>
    <s v="Europe and Central Asia"/>
    <s v="Comprehensive Strategic Partnership of Coordination in the New Era [新时代中俄全面战略协作伙伴关系]"/>
    <s v="None"/>
    <x v="3"/>
    <x v="7"/>
    <x v="29"/>
    <n v="9"/>
    <x v="4"/>
    <s v="Wei Fenghe"/>
    <m/>
    <s v="Defense Minister; CMC Member"/>
    <n v="8"/>
    <x v="1"/>
    <s v="Minister of Defense"/>
    <x v="0"/>
    <m/>
    <x v="0"/>
    <m/>
    <x v="1"/>
    <m/>
    <m/>
    <m/>
    <s v="http://mod.gov.cn/diplomacy/2020-09/06/content_4870758.htm; https://news.cgtn.com/news/2020-09-06/China-calls-for-unity-cooperation-at-SCO-defense-ministers-meeting-TyxHQnSgXS/index.html"/>
    <s v="In conjunction with SCO 2020 Defense Ministers Meeting"/>
  </r>
  <r>
    <x v="1"/>
    <x v="6"/>
    <s v="Europe and Central Asia"/>
    <s v="Member"/>
    <s v="None"/>
    <x v="1"/>
    <x v="14"/>
    <x v="29"/>
    <n v="9"/>
    <x v="1"/>
    <s v="Wei Fenghe"/>
    <m/>
    <s v="Defense Minister; CMC Member"/>
    <n v="8"/>
    <x v="1"/>
    <s v="17th meeting of the SCO Ministers of Defense"/>
    <x v="0"/>
    <m/>
    <x v="0"/>
    <m/>
    <x v="1"/>
    <m/>
    <m/>
    <m/>
    <s v="http://mod.gov.cn/diplomacy/2020-09/06/content_4870758.htm; https://news.cgtn.com/news/2020-09-06/China-calls-for-unity-cooperation-at-SCO-defense-ministers-meeting-TyxHQnSgXS/index.html"/>
    <s v="SCO 2020 Defense Ministers Meeting"/>
  </r>
  <r>
    <x v="1"/>
    <x v="1"/>
    <s v="Asia"/>
    <s v="Comprehensive Strategic Cooperative Partnership [全面战略合作伙伴关系]"/>
    <s v="Bilateral Defense Treaty"/>
    <x v="0"/>
    <x v="5"/>
    <x v="29"/>
    <n v="9"/>
    <x v="15"/>
    <s v="Miao Hua"/>
    <m/>
    <s v="CMC/PWD Director; CMC Member"/>
    <n v="8"/>
    <x v="4"/>
    <s v="Chief of the Joint Staffs of the Royal Thai Armed Forces"/>
    <x v="0"/>
    <m/>
    <x v="0"/>
    <m/>
    <x v="1"/>
    <m/>
    <m/>
    <m/>
    <s v="http://www.81.cn/jfjbmap/content/2020-09/18/content_271089.htm"/>
    <m/>
  </r>
  <r>
    <x v="1"/>
    <x v="4"/>
    <s v="Asia"/>
    <s v="Strategic Cooperative Partnership [战略合作伙伴关系]"/>
    <s v="Bilateral Defense Treaty"/>
    <x v="0"/>
    <x v="25"/>
    <x v="29"/>
    <n v="10"/>
    <x v="15"/>
    <s v="Wei Fenghe"/>
    <m/>
    <s v="Defense Minister; CMC Member"/>
    <n v="8"/>
    <x v="4"/>
    <s v="Minister for National Defense "/>
    <x v="0"/>
    <m/>
    <x v="0"/>
    <m/>
    <x v="1"/>
    <m/>
    <m/>
    <m/>
    <s v="http://www.mod.gov.cn/topnews/2020-10/21/content_4872999.htm"/>
    <m/>
  </r>
  <r>
    <x v="1"/>
    <x v="2"/>
    <s v="America and Oceania"/>
    <s v="No Specific Relationship"/>
    <s v="N/A"/>
    <x v="2"/>
    <x v="4"/>
    <x v="29"/>
    <n v="10"/>
    <x v="15"/>
    <s v="Li Zuocheng"/>
    <m/>
    <s v="CMC/JSD Commander; CMC Member"/>
    <n v="8"/>
    <x v="4"/>
    <s v="CJCS Milley"/>
    <x v="0"/>
    <m/>
    <x v="0"/>
    <m/>
    <x v="1"/>
    <m/>
    <m/>
    <m/>
    <s v="https://apnews.com/article/donald-trump-business-china-arts-and-entertainment-army-74ad214fdfbf0f8422a762e8f6657862"/>
    <s v="At SECDEF direction to clear up Chinese concern"/>
  </r>
  <r>
    <x v="1"/>
    <x v="0"/>
    <s v="Asia"/>
    <s v="Development-oriented Strategic Cooperative Partnership [面向发展与繁荣的世代友好的战略合作伙伴关系]."/>
    <s v="None"/>
    <x v="0"/>
    <x v="32"/>
    <x v="29"/>
    <n v="11"/>
    <x v="4"/>
    <s v="Wei Fenghe"/>
    <m/>
    <s v="Defense Minister; CMC Member"/>
    <n v="8"/>
    <x v="1"/>
    <s v="President, PM, and DEFMIN"/>
    <x v="0"/>
    <m/>
    <x v="0"/>
    <m/>
    <x v="1"/>
    <m/>
    <m/>
    <m/>
    <s v="https://www.newindianexpress.com/world/2020/nov/29/chinese-defence-ministerwei-fenghearrives-in-nepal-to-bolster-military-cooperation-2229614.html"/>
    <m/>
  </r>
  <r>
    <x v="2"/>
    <x v="2"/>
    <s v="America and Oceania"/>
    <s v="No Specific Relationship"/>
    <s v="N/A"/>
    <x v="2"/>
    <x v="4"/>
    <x v="29"/>
    <n v="11"/>
    <x v="5"/>
    <m/>
    <m/>
    <s v="Defense Minister"/>
    <m/>
    <x v="0"/>
    <m/>
    <x v="2"/>
    <s v="16th China-US Disaster Management Exchange"/>
    <x v="1"/>
    <s v="Virtual due to COVID; HADR academic discussion"/>
    <x v="1"/>
    <m/>
    <m/>
    <m/>
    <s v="https://news.clearancejobs.com/2020/11/12/u-s-and-china-hold-joint-disaster-management-exercise/; http://eng.chinamil.com.cn/view/2020-11/14/content_9936530.htm"/>
    <m/>
  </r>
  <r>
    <x v="1"/>
    <x v="1"/>
    <s v="Asia"/>
    <s v="Strategic Partnership [战略伙伴关系] for Peace and Prosperity"/>
    <s v="None"/>
    <x v="0"/>
    <x v="153"/>
    <x v="29"/>
    <n v="12"/>
    <x v="16"/>
    <s v="Wei Fenghe"/>
    <m/>
    <s v="Defense Minister; CMC Member"/>
    <n v="8"/>
    <x v="4"/>
    <s v="ADMM+"/>
    <x v="0"/>
    <m/>
    <x v="0"/>
    <m/>
    <x v="1"/>
    <m/>
    <m/>
    <m/>
    <s v=" http://admm.vn/wps/portal/en/news/detail/!ut/p/b1/hZLLkqowFAC_xQ-giIiAyyAojyFIACFsKKKAyEsUceDrh7l1t47Znao-i-4TNmJDNmqSociTvmibpPqdIyHeQYQleQkBwPIKOJYp2pK8B44rzAB5D-gQfNoP2BAT8K08rFxRwwNoNfx6eE5tWuV-2nH1S_VNv9hkvVk1VASbg8uEMegyPF1FnGo3SmsJjVrSZORoZWkoZErXRecNZBh-2NNEKwOcU7PeKvXdgtRw8ylw197ropAVSDUR-cPdVm8YklNZbn212xPL_44u0OjPUiXxUny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s v="Video conference"/>
  </r>
  <r>
    <x v="1"/>
    <x v="4"/>
    <s v="Asia "/>
    <s v="Mutually Beneficial Strategic Relationship [战略互惠关系]"/>
    <s v="Bilateral Defense Treaty"/>
    <x v="0"/>
    <x v="83"/>
    <x v="29"/>
    <n v="12"/>
    <x v="15"/>
    <s v="Wei Fenghe"/>
    <m/>
    <s v="Defense Minister; CMC Member"/>
    <n v="8"/>
    <x v="4"/>
    <s v="Minister of Defense Nobuo Kishi"/>
    <x v="0"/>
    <m/>
    <x v="0"/>
    <m/>
    <x v="1"/>
    <m/>
    <m/>
    <m/>
    <s v="http://www.mod.gov.cn/shouye/2020-12/14/content_4875453.htm; “Japan-China Defense Ministers’ Video Teleconference,” Japan Ministry of Defense [English-language source], 14 December 2020,; PLA Activities Report 1-15 January 2021, China sounded out Japan on sending defense minister for talks in October | The Japan Times"/>
    <m/>
  </r>
  <r>
    <x v="1"/>
    <x v="4"/>
    <s v="Asia"/>
    <s v="N/A"/>
    <s v="None"/>
    <x v="0"/>
    <x v="161"/>
    <x v="29"/>
    <n v="12"/>
    <x v="16"/>
    <s v="Yang Xuejun"/>
    <m/>
    <s v="President, AMS"/>
    <n v="5"/>
    <x v="4"/>
    <s v="President, AMS"/>
    <x v="0"/>
    <m/>
    <x v="0"/>
    <m/>
    <x v="1"/>
    <m/>
    <m/>
    <m/>
    <s v="http://eng.chinamil.com.cn/view/2020-12/02/content_9946240.htm"/>
    <s v="Virtual Meeting of Xiangshan Forum"/>
  </r>
  <r>
    <x v="1"/>
    <x v="0"/>
    <s v="Asia"/>
    <s v="All-Weather Strategic Cooperative Partnership [全天候战略合作伙伴关系]"/>
    <s v="Major Non-NATO Ally"/>
    <x v="1"/>
    <x v="2"/>
    <x v="29"/>
    <n v="12"/>
    <x v="7"/>
    <s v="Wei Fenghe"/>
    <m/>
    <s v="Defense Minister"/>
    <m/>
    <x v="1"/>
    <s v="Pakistan COAS Bajwa, CJCS Raza, PM, President"/>
    <x v="0"/>
    <m/>
    <x v="0"/>
    <m/>
    <x v="1"/>
    <m/>
    <m/>
    <m/>
    <s v="https://www.thehindu.com/news/international/china-and-pakistan-sign-military-deal-amid-tensions-with-india/article60672038.ece; https://thediplomat.com/2020/12/chinas-defense-minister-visits-pakistan/"/>
    <s v="SHOULD ADD TO DB"/>
  </r>
  <r>
    <x v="2"/>
    <x v="0"/>
    <s v="Asia"/>
    <s v="All-Weather Strategic Cooperative Partnership [全天候战略合作伙伴关系]"/>
    <s v="Major Non-NATO Ally"/>
    <x v="1"/>
    <x v="2"/>
    <x v="29"/>
    <n v="12"/>
    <x v="5"/>
    <m/>
    <m/>
    <m/>
    <m/>
    <x v="0"/>
    <m/>
    <x v="3"/>
    <s v="Shaheen IX (Eagle)"/>
    <x v="5"/>
    <s v="Monthlong, improving actual combat training"/>
    <x v="1"/>
    <m/>
    <m/>
    <m/>
    <s v="https://timesofindia.indiatimes.com/world/china/china-pakistan-air-forces-to-hold-joint-exercises/articleshow/79611283.cms; China sends warplanes, troops for drill in Pakistan | World News - Hindustan Times, PLA Activities Report 1-15 January 2021"/>
    <m/>
  </r>
  <r>
    <x v="2"/>
    <x v="3"/>
    <s v="Europe and Central Asia"/>
    <s v="Comprehensive Strategic Partnership of Coordination in the New Era [新时代中俄全面战略协作伙伴关系]"/>
    <s v="None"/>
    <x v="3"/>
    <x v="7"/>
    <x v="29"/>
    <n v="12"/>
    <x v="5"/>
    <m/>
    <m/>
    <m/>
    <m/>
    <x v="0"/>
    <m/>
    <x v="9"/>
    <s v="Joint Aerial Strategic Patrol 2020"/>
    <x v="5"/>
    <s v="&quot;Joint strategic air patrol&quot;--four H-6K aircraft to form a joint formation with two Russian Tu-95MC aircraft over the Sea of Japan and the East China Sea. "/>
    <x v="1"/>
    <m/>
    <m/>
    <m/>
    <s v="http://www.81.cn/jwywpd/2020-12/23/content_9957361.htm"/>
    <s v="RECODED as joint patrol; INCLUDED because of external audience."/>
  </r>
  <r>
    <x v="1"/>
    <x v="2"/>
    <s v="America and Oceania"/>
    <s v="No Specific Relationship"/>
    <s v="N/A"/>
    <x v="2"/>
    <x v="4"/>
    <x v="30"/>
    <n v="1"/>
    <x v="15"/>
    <s v="LI Zuocheng"/>
    <m/>
    <s v="CMC/JSD Commander; CMC Member"/>
    <n v="8"/>
    <x v="4"/>
    <s v="CJCS Milley"/>
    <x v="0"/>
    <m/>
    <x v="0"/>
    <m/>
    <x v="1"/>
    <m/>
    <m/>
    <m/>
    <s v="https://apnews.com/article/donald-trump-business-china-arts-and-entertainment-army-74ad214fdfbf0f8422a762e8f6657862"/>
    <s v="At SECDEF direction to clear up Chinese concern; include during COVID era"/>
  </r>
  <r>
    <x v="2"/>
    <x v="0"/>
    <s v="Asia"/>
    <s v="All-Weather Strategic Cooperative Partnership [全天候战略合作伙伴关系]"/>
    <s v="Major Non-NATO Ally"/>
    <x v="1"/>
    <x v="2"/>
    <x v="30"/>
    <n v="2"/>
    <x v="6"/>
    <m/>
    <m/>
    <m/>
    <m/>
    <x v="0"/>
    <m/>
    <x v="4"/>
    <s v="AMAN-21"/>
    <x v="2"/>
    <s v="counter-piracy, counter-terror, naval gunnery drills, search and rescue ops; 45 countries participated; ; ETF 36 (as PLAN 119 Biandui)"/>
    <x v="1"/>
    <m/>
    <m/>
    <m/>
    <s v="PLA Activities Report, 1-15 February 2021 "/>
    <m/>
  </r>
  <r>
    <x v="2"/>
    <x v="1"/>
    <s v="Asia"/>
    <s v="All-Round Cooperative Partnership [全方合作伙伴关系]"/>
    <s v="None"/>
    <x v="0"/>
    <x v="39"/>
    <x v="30"/>
    <n v="2"/>
    <x v="5"/>
    <m/>
    <m/>
    <m/>
    <m/>
    <x v="0"/>
    <m/>
    <x v="2"/>
    <m/>
    <x v="2"/>
    <s v="passage exercise, search and rescue, communications; ETF 36"/>
    <x v="1"/>
    <m/>
    <m/>
    <m/>
    <s v="PLA Activities Report 16-28 February 2021"/>
    <m/>
  </r>
  <r>
    <x v="1"/>
    <x v="8"/>
    <s v="Europe and Central Asia"/>
    <s v="Comprehensive Strategic Partnership [全面战略伙伴关系]"/>
    <s v="NATO"/>
    <x v="3"/>
    <x v="29"/>
    <x v="30"/>
    <n v="3"/>
    <x v="4"/>
    <s v="Wei Fenghe"/>
    <m/>
    <s v="Defense Minister; CMC Member"/>
    <n v="8"/>
    <x v="1"/>
    <s v="President of Greece &amp; MINDEF"/>
    <x v="0"/>
    <m/>
    <x v="0"/>
    <m/>
    <x v="1"/>
    <m/>
    <m/>
    <m/>
    <s v="PLAAR 1-15 April 2021,  http://mod.gov.cn/topnews/2021-03/30/content_4882225.htm"/>
    <m/>
  </r>
  <r>
    <x v="1"/>
    <x v="8"/>
    <s v="Europe and Central Asia"/>
    <s v="Comprehensive Strategic Partnership [全面战略伙伴关系]"/>
    <s v="NATO"/>
    <x v="3"/>
    <x v="82"/>
    <x v="30"/>
    <n v="3"/>
    <x v="4"/>
    <s v="Wei Fenghe"/>
    <m/>
    <s v="Defense Minister; CMC Member"/>
    <n v="8"/>
    <x v="1"/>
    <s v="President of Hungary &amp; MINDEF"/>
    <x v="0"/>
    <m/>
    <x v="0"/>
    <m/>
    <x v="1"/>
    <m/>
    <m/>
    <m/>
    <s v="PLAAR 16-31 March 2021, http://www.xinhuanet.com/english/2021-03/25/c_139835982.htm"/>
    <m/>
  </r>
  <r>
    <x v="1"/>
    <x v="8"/>
    <s v="Europe and Central Asia"/>
    <s v="No Specific Relationship"/>
    <s v="None"/>
    <x v="3"/>
    <x v="99"/>
    <x v="30"/>
    <n v="3"/>
    <x v="4"/>
    <s v="Wei Fenghe"/>
    <m/>
    <s v="Defense Minister; CMC Member"/>
    <n v="8"/>
    <x v="1"/>
    <s v="President of North Macedonia &amp; MINDEF"/>
    <x v="0"/>
    <m/>
    <x v="0"/>
    <m/>
    <x v="1"/>
    <m/>
    <m/>
    <m/>
    <s v="PLAAR 1-15 April 2012, http://81.cn/yw/2021-03/30/content_10013933.htm"/>
    <m/>
  </r>
  <r>
    <x v="1"/>
    <x v="4"/>
    <s v="Asia"/>
    <s v="Comprehensive Strategic Partnership [全面战略伙伴关系]"/>
    <s v="None"/>
    <x v="0"/>
    <x v="53"/>
    <x v="30"/>
    <n v="3"/>
    <x v="15"/>
    <s v="Wei Fenghe"/>
    <m/>
    <s v="Defense Minister; CMC Member"/>
    <n v="8"/>
    <x v="4"/>
    <s v="Minister of Defense "/>
    <x v="0"/>
    <m/>
    <x v="0"/>
    <m/>
    <x v="1"/>
    <m/>
    <m/>
    <m/>
    <s v="PLAAR 16-31 March 2021, http://81.cn/yw/2021-03/16/content_10004317.htm; "/>
    <s v="telephone conference"/>
  </r>
  <r>
    <x v="1"/>
    <x v="8"/>
    <s v="Europe and Central Asia"/>
    <s v="Comprehensive Strategic Partnership [全面战略伙伴关系]"/>
    <s v="None"/>
    <x v="3"/>
    <x v="112"/>
    <x v="30"/>
    <n v="3"/>
    <x v="4"/>
    <s v="Wei Fenghe"/>
    <m/>
    <s v="Defense Minister; CMC Member"/>
    <n v="8"/>
    <x v="1"/>
    <s v="President of the Republic of Serbia &amp; MINDEF"/>
    <x v="0"/>
    <m/>
    <x v="0"/>
    <m/>
    <x v="1"/>
    <m/>
    <m/>
    <m/>
    <s v="PLAAR 16-31 March 2021, https://www.srbija.gov.rs/vest/en/170119/visit-of-chinese-minister-of-defence-to-serbia-ends.php"/>
    <m/>
  </r>
  <r>
    <x v="1"/>
    <x v="0"/>
    <s v="Asia"/>
    <s v="Strategic Cooperative Partnership [战略合作伙伴关系]"/>
    <s v="None"/>
    <x v="0"/>
    <x v="0"/>
    <x v="30"/>
    <n v="4"/>
    <x v="4"/>
    <s v="Wei Fenghe"/>
    <m/>
    <s v="Defense Minister; CMC Member"/>
    <n v="8"/>
    <x v="1"/>
    <s v="Bangladesh President Abdul Hamid &amp; DEFMIN"/>
    <x v="0"/>
    <m/>
    <x v="0"/>
    <m/>
    <x v="1"/>
    <m/>
    <m/>
    <m/>
    <s v="PLAAR 16-30 April 2021,  http://mod.gov.cn/topnews/2021-04/27/content_4884086.htm"/>
    <m/>
  </r>
  <r>
    <x v="1"/>
    <x v="0"/>
    <s v="Asia"/>
    <s v="Strategic Cooperative Partnership [战略合作伙伴关系]"/>
    <s v="None"/>
    <x v="0"/>
    <x v="3"/>
    <x v="30"/>
    <n v="4"/>
    <x v="4"/>
    <s v="Wei Fenghe"/>
    <m/>
    <s v="Defense Minister; CMC Member"/>
    <n v="8"/>
    <x v="1"/>
    <s v="Minister of Defense Gotabaya Rajapaksa"/>
    <x v="0"/>
    <m/>
    <x v="0"/>
    <m/>
    <x v="1"/>
    <m/>
    <m/>
    <m/>
    <s v="PLAAR 1-15 May 2021, https://www.presidentsoffice.gov.lk/index.php/2021/04/28/president-and-chinese-defence-minister-hold-bilateral-discussions/"/>
    <m/>
  </r>
  <r>
    <x v="1"/>
    <x v="1"/>
    <s v="Asia"/>
    <s v="Comprehensive Strategic Cooperative Partnership [全面战略合作伙伴关系]"/>
    <s v="None"/>
    <x v="0"/>
    <x v="23"/>
    <x v="30"/>
    <n v="4"/>
    <x v="4"/>
    <s v="Wei Fenghe"/>
    <m/>
    <s v="Defense Minister; CMC Member"/>
    <n v="8"/>
    <x v="1"/>
    <s v="General Secretary Phu Troung, Vietnam President Nguyen Xuan Phuc &amp; DEFMIN"/>
    <x v="0"/>
    <m/>
    <x v="0"/>
    <m/>
    <x v="1"/>
    <m/>
    <m/>
    <m/>
    <s v="PLAAR 16-30 April 2021, https://baochinhphu.vn/Doi-ngoai/Tong-Bi-thu-Nguyen-Phu-Trong-tiep-Uy-vien-Quoc-vu-Bo-truong-Bo-Quoc-phong-Trung-Quoc/429280.vgp, https://baochinhphu.vn/Doi-ngoai/Thuc-day-quan-he-Doi-tac-hop-tac-chien-luoc-toan-dien-voi-Trung-Quoc/429254.vgp, http://81.cn/yw/2021-04/26/content_10029102.htm"/>
    <m/>
  </r>
  <r>
    <x v="2"/>
    <x v="1"/>
    <s v="Asia"/>
    <s v="Comprehensive Strategic Partnership [全面战略伙伴关系]"/>
    <s v="None"/>
    <x v="0"/>
    <x v="8"/>
    <x v="30"/>
    <n v="5"/>
    <x v="5"/>
    <m/>
    <m/>
    <m/>
    <m/>
    <x v="0"/>
    <m/>
    <x v="2"/>
    <m/>
    <x v="2"/>
    <s v="comm drills, search and rescue, formation maneuvers"/>
    <x v="1"/>
    <m/>
    <m/>
    <m/>
    <s v="PLAAR 1-15 May 2021, https://news.cgtn.com/news/2021-05-10/China-Indonesia-hold-joint-naval-exercise-near-Jakarta--109dCfydxYs/index.html."/>
    <s v="Couldn't find name for exercise "/>
  </r>
  <r>
    <x v="1"/>
    <x v="1"/>
    <s v="Asia"/>
    <s v="Strategic Partnership [战略伙伴关系] for Peace and Prosperity"/>
    <s v="None"/>
    <x v="0"/>
    <x v="153"/>
    <x v="30"/>
    <n v="6"/>
    <x v="16"/>
    <s v="Wei Fenghe"/>
    <m/>
    <s v="Defense Minister; CMC Member"/>
    <n v="8"/>
    <x v="4"/>
    <s v="Brunei Second MINDEF co-chaired with Wei"/>
    <x v="0"/>
    <m/>
    <x v="0"/>
    <m/>
    <x v="1"/>
    <m/>
    <m/>
    <m/>
    <s v="PLAAR 1-15 June 2021, http://www.mod.gov.cn/topnews/2021-06/15/content_4887430.htm"/>
    <s v="virtual 12th China-ASEAN Defense Ministers’ Informal Meeting"/>
  </r>
  <r>
    <x v="1"/>
    <x v="1"/>
    <s v="Asia"/>
    <s v="Strategic Partnership [战略伙伴关系] for Peace and Prosperity"/>
    <s v="None"/>
    <x v="0"/>
    <x v="153"/>
    <x v="30"/>
    <n v="6"/>
    <x v="16"/>
    <s v="Wei Fenghe"/>
    <m/>
    <s v="Defense Minister; CMC Member"/>
    <n v="8"/>
    <x v="4"/>
    <s v="Brunei chaired"/>
    <x v="0"/>
    <m/>
    <x v="0"/>
    <m/>
    <x v="1"/>
    <m/>
    <m/>
    <m/>
    <s v="PLAAR 16-30 June 2021; http://mod.gov.cn/topnews/2021-06/16/content_4887474.htm"/>
    <s v="ASEAN ADMM+ Meeting"/>
  </r>
  <r>
    <x v="1"/>
    <x v="3"/>
    <s v="Europe and Central Asia"/>
    <s v="Comprehensive Strategic Partnership of Coordination in the New Era [新时代中俄全面战略协作伙伴关系]"/>
    <s v="None"/>
    <x v="3"/>
    <x v="7"/>
    <x v="30"/>
    <n v="6"/>
    <x v="16"/>
    <s v="Wei Fenghe"/>
    <m/>
    <s v="Defense Minister; CMC Member"/>
    <n v="8"/>
    <x v="4"/>
    <s v="Russian Defense Minister"/>
    <x v="0"/>
    <m/>
    <x v="0"/>
    <m/>
    <x v="1"/>
    <m/>
    <m/>
    <m/>
    <s v="PLAAR 16-30 June 2021, http://mod.gov.cn/diplomacy/2021-06/23/content_4887992.htm"/>
    <s v="Russian Defense Ministry's Moscow Conference on International Security"/>
  </r>
  <r>
    <x v="1"/>
    <x v="1"/>
    <s v="Asia"/>
    <s v="All-Round Cooperative Partnership [全方合作伙伴关系]"/>
    <s v="None"/>
    <x v="0"/>
    <x v="39"/>
    <x v="30"/>
    <n v="6"/>
    <x v="15"/>
    <s v="Wei Fenghe"/>
    <m/>
    <s v="Defense Minister; CMC Member"/>
    <n v="8"/>
    <x v="4"/>
    <s v="Ng Eng Hen, Sinagpore Defence Minister"/>
    <x v="0"/>
    <m/>
    <x v="0"/>
    <m/>
    <x v="1"/>
    <m/>
    <m/>
    <m/>
    <s v="PLAAR 1-15 June 2021, https://www.mindef.gov.sg/web/portal/mindef/news-and-events/latest-releases/article-detail/2021/June/08jun21_nr/, http://mod.gov.cn/topnews/2021-06/08/content_4887029.htm"/>
    <s v="Virtual BL meeting on 8 June"/>
  </r>
  <r>
    <x v="1"/>
    <x v="8"/>
    <s v="Europe and Central Asia"/>
    <s v="Comprehensive Strategic Partnership [全面战略伙伴关系]"/>
    <s v="NATO"/>
    <x v="3"/>
    <x v="18"/>
    <x v="30"/>
    <n v="7"/>
    <x v="15"/>
    <s v="Wei Fenghe"/>
    <m/>
    <s v="Defense Minister; CMC Member"/>
    <n v="8"/>
    <x v="4"/>
    <s v="Defense Minister "/>
    <x v="0"/>
    <m/>
    <x v="0"/>
    <m/>
    <x v="1"/>
    <m/>
    <m/>
    <m/>
    <s v="PLAAR 1-15 July 2021, http://mod.gov.cn/topnews/2021-07/06/content_4888812.htm"/>
    <s v="Video conference"/>
  </r>
  <r>
    <x v="1"/>
    <x v="4"/>
    <s v="Asia"/>
    <s v="Comprehensive Strategic Partnership [全面战略伙伴关系]"/>
    <s v="None"/>
    <x v="0"/>
    <x v="53"/>
    <x v="30"/>
    <n v="7"/>
    <x v="4"/>
    <s v="Wei Fenghe"/>
    <m/>
    <s v="Defense Minister; CMC Member"/>
    <n v="8"/>
    <x v="1"/>
    <s v="Minister of Defense"/>
    <x v="0"/>
    <m/>
    <x v="0"/>
    <m/>
    <x v="1"/>
    <m/>
    <m/>
    <m/>
    <s v="PLAAR 16-31 July 2021, http://mod.gov.mn/2021/07/26/%D1%85%D0%BE%D1%91%D1%80-%D0%BE%D1%80%D0%BD%D1%8B-%D0%B1%D0%B0%D1%82%D0%BB%D0%B0%D0%BD-%D1%85%D0%B0%D0%BC%D0%B3%D0%B0%D0%B0%D0%BB%D0%B0%D1%85-%D1%81%D0%B0%D0%BB%D0%B1%D0%B0%D1%80%D1%8B%D0%B"/>
    <m/>
  </r>
  <r>
    <x v="1"/>
    <x v="0"/>
    <s v="Asia"/>
    <s v="All-Weather Strategic Cooperative Partnership [全天候战略合作伙伴关系]"/>
    <s v="Major Non-NATO Ally"/>
    <x v="1"/>
    <x v="2"/>
    <x v="30"/>
    <n v="7"/>
    <x v="7"/>
    <s v="Wei Fenghe"/>
    <m/>
    <s v="Defense Minister; CMC Member"/>
    <n v="8"/>
    <x v="1"/>
    <s v="Pakistan’s Defence Minister Pervez Khattak"/>
    <x v="0"/>
    <m/>
    <x v="0"/>
    <m/>
    <x v="1"/>
    <m/>
    <m/>
    <m/>
    <s v="https://www.app.com.pk/global/chinese-defense-minister-holds-talks-with-pervez-khattak-in-dushanbe-tajikistan/"/>
    <s v="SHOULD ADD TO DB"/>
  </r>
  <r>
    <x v="2"/>
    <x v="8"/>
    <s v="Europe and Central Asia"/>
    <s v="Comprehensive Strategic Partnership of Coordination in the New Era [新时代中俄全面战略协作伙伴关系]"/>
    <s v="None"/>
    <x v="3"/>
    <x v="7"/>
    <x v="30"/>
    <n v="7"/>
    <x v="6"/>
    <m/>
    <m/>
    <m/>
    <m/>
    <x v="0"/>
    <m/>
    <x v="6"/>
    <s v="International Army Games 2021"/>
    <x v="1"/>
    <s v="army games with Russia, Belarus, Egypt, Iran, Venezuela, Vietnam "/>
    <x v="1"/>
    <m/>
    <m/>
    <m/>
    <s v="http://english.chinamil.com.cn/view/2021-07/29/content_10068365.htm"/>
    <m/>
  </r>
  <r>
    <x v="1"/>
    <x v="3"/>
    <s v="Europe and Central Asia"/>
    <s v="Comprehensive Strategic Partnership of Coordination in the New Era [新时代中俄全面战略协作伙伴关系]"/>
    <s v="None"/>
    <x v="3"/>
    <x v="7"/>
    <x v="30"/>
    <n v="7"/>
    <x v="7"/>
    <s v="Wei Fenghe"/>
    <m/>
    <s v="Defense Minister; CMC Member"/>
    <n v="8"/>
    <x v="1"/>
    <s v="Russian Defense Minister"/>
    <x v="0"/>
    <m/>
    <x v="0"/>
    <m/>
    <x v="1"/>
    <m/>
    <m/>
    <m/>
    <s v="PLAAR 16-31 July 2021, https://function.mil.ru/news_page/country/more.htm?id=12374244@egNews"/>
    <m/>
  </r>
  <r>
    <x v="1"/>
    <x v="6"/>
    <s v="Europe and Central Asia"/>
    <s v="Member"/>
    <s v="None"/>
    <x v="1"/>
    <x v="14"/>
    <x v="30"/>
    <n v="7"/>
    <x v="1"/>
    <s v="Wei Fenghe"/>
    <m/>
    <s v="Defense Minister; CMC Member"/>
    <n v="8"/>
    <x v="1"/>
    <s v="18th meeting of the SCO Ministers of Defense"/>
    <x v="0"/>
    <m/>
    <x v="0"/>
    <m/>
    <x v="1"/>
    <m/>
    <m/>
    <m/>
    <s v="PLAAR 1-15 August 2021, http://mod.gov.cn/diplomacy/2021-07/28/content_4890455.htm"/>
    <s v="Council of Ministers of Defense of Shanghai Cooperation Organization (SCO) Member States "/>
  </r>
  <r>
    <x v="1"/>
    <x v="6"/>
    <s v="Europe and Central Asia"/>
    <s v="Comprehensive Strategic Partnership [全面战略伙伴关系]"/>
    <s v="None"/>
    <x v="1"/>
    <x v="60"/>
    <x v="30"/>
    <n v="7"/>
    <x v="4"/>
    <s v="Wei Fenghe"/>
    <m/>
    <s v="Defense Minister; CMC Member"/>
    <n v="8"/>
    <x v="1"/>
    <s v="President &amp; Defense Minister"/>
    <x v="0"/>
    <m/>
    <x v="0"/>
    <m/>
    <x v="1"/>
    <m/>
    <m/>
    <m/>
    <s v="PLAAR 16-31 July 2021,  http://mod.gov.cn/topnews/2021-07/27/content_4890357.htm"/>
    <m/>
  </r>
  <r>
    <x v="2"/>
    <x v="1"/>
    <s v="Asia"/>
    <s v="Comprehensive Strategic Cooperative Partnership [全面战略合作伙伴关系]"/>
    <s v="Bilateral Defense Treaty"/>
    <x v="0"/>
    <x v="5"/>
    <x v="30"/>
    <n v="7"/>
    <x v="6"/>
    <m/>
    <m/>
    <m/>
    <m/>
    <x v="0"/>
    <m/>
    <x v="2"/>
    <s v="Cobra Gold 2021"/>
    <x v="1"/>
    <s v="Disaster relief"/>
    <x v="1"/>
    <m/>
    <m/>
    <m/>
    <s v="PLAAR 16-31 August 2021, https://www.nationthailand.com/in-focus/40002406, http://eng.mod.gov.cn/news/2021-08/03/content_4891020.htm, http://eng.chinamil.com.cn/view/2021-08/02/content_10070028.htm"/>
    <s v="This year PLA participation is virtual ONLY"/>
  </r>
  <r>
    <x v="2"/>
    <x v="3"/>
    <s v="Europe and Central Asia"/>
    <s v="Comprehensive Strategic Partnership of Coordination in the New Era [新时代中俄全面战略协作伙伴关系]"/>
    <s v="None"/>
    <x v="3"/>
    <x v="7"/>
    <x v="30"/>
    <n v="8"/>
    <x v="5"/>
    <m/>
    <m/>
    <m/>
    <m/>
    <x v="0"/>
    <m/>
    <x v="3"/>
    <s v="Zapad/Interaction "/>
    <x v="1"/>
    <s v="&quot;The Chinese Ministry of National Defense issued an article on Wednesday describing the exercise as the first time China invited foreign troops to participate in the PLA's strategic battle training operations on a large scale, the first time foreign troops shared a command and control messaging system with the PLA, and the first time foreign troops used the PLA's main combat equipment” "/>
    <x v="1"/>
    <m/>
    <m/>
    <m/>
    <s v="PLAAR 1-15 August 2021, https://www.81.cn/jfjbmap/content/2021-08/10/content_296122.htm, https://thediplomat.com/2021/08/zapad-interaction-military-exercise-2021-growing-china-russia-bonhomie/; 中俄戈壁荒原联合军演 专用讯息系统解语言障碍, 12 August 2021, 东方日报 (简体)"/>
    <m/>
  </r>
  <r>
    <x v="1"/>
    <x v="1"/>
    <s v="Asia"/>
    <s v="Comprehensive Strategic Partnership [全面战略伙伴关系]"/>
    <s v="None"/>
    <x v="0"/>
    <x v="10"/>
    <x v="30"/>
    <n v="9"/>
    <x v="15"/>
    <s v="Wei Fenghe"/>
    <m/>
    <s v="Defense Minister; CMC Member"/>
    <n v="8"/>
    <x v="4"/>
    <s v="Defense Minister"/>
    <x v="0"/>
    <m/>
    <x v="0"/>
    <m/>
    <x v="1"/>
    <m/>
    <m/>
    <m/>
    <s v="http://english.chinamil.com.cn/view/2021-09/27/content_10093971.htm"/>
    <m/>
  </r>
  <r>
    <x v="1"/>
    <x v="4"/>
    <s v="Asia"/>
    <s v="N/A"/>
    <s v="None"/>
    <x v="0"/>
    <x v="161"/>
    <x v="30"/>
    <n v="9"/>
    <x v="16"/>
    <s v="Ding Laihang"/>
    <m/>
    <s v="PLAAF Commander"/>
    <m/>
    <x v="4"/>
    <s v="Other Air Force Commanders, including Pakistani ACM Zaheer Ahmad Babar "/>
    <x v="0"/>
    <s v="PLAAF International Military Flight Training Conference"/>
    <x v="0"/>
    <m/>
    <x v="1"/>
    <m/>
    <m/>
    <m/>
    <s v="http://www.81.cn/jwywpd/2021-09/28/content_10094486.htm; https://www.youtube.com/watch?v=yqBiNj1sgYE"/>
    <s v="SHOULD ADD TO DB--ML Virtual conference hosted by PLAAF Commander and attended virtually by at least some heads of air forces (e.g. Pakistan)"/>
  </r>
  <r>
    <x v="1"/>
    <x v="0"/>
    <s v="Asia"/>
    <s v="All-Weather Strategic Cooperative Partnership [全天候战略合作伙伴关系]"/>
    <s v="Major Non-NATO Ally"/>
    <x v="1"/>
    <x v="2"/>
    <x v="30"/>
    <n v="9"/>
    <x v="7"/>
    <s v="Li Zuocheng"/>
    <m/>
    <s v="CMC/JSD Commander; CMC Member"/>
    <n v="8"/>
    <x v="1"/>
    <s v="TL meeting with Chairman Joint Chiefs of Staff Committee, General Nadeem Raza and Russian COGS General Valery Gerasimov"/>
    <x v="0"/>
    <m/>
    <x v="0"/>
    <m/>
    <x v="1"/>
    <m/>
    <m/>
    <m/>
    <s v="https://www.radio.gov.pk/25-09-2021/pakistan-attaches-great-importance-to-further-bilateral-cooperation-with-russia-china-cjcsc"/>
    <s v="TL Meeting on the Margins coded as separate BL meetings with PK and Russian counterparts"/>
  </r>
  <r>
    <x v="2"/>
    <x v="0"/>
    <s v="Asia"/>
    <s v="All-Weather Strategic Cooperative Partnership [全天候战略合作伙伴关系]"/>
    <s v="Major Non-NATO Ally"/>
    <x v="1"/>
    <x v="2"/>
    <x v="30"/>
    <n v="9"/>
    <x v="5"/>
    <m/>
    <m/>
    <m/>
    <m/>
    <x v="0"/>
    <m/>
    <x v="1"/>
    <s v="JATE/Pabbi"/>
    <x v="1"/>
    <s v="Phase 1 of exercise Pabbi was an SCO Virtual Exercise; Phase 2 was an FTX between Chinese and Pakistani Army Special Forces in Rabbi Pakistan. Not clear if the Chinese forces were PLAA or PAP"/>
    <x v="1"/>
    <m/>
    <m/>
    <m/>
    <s v="https://www.outlookindia.com/website/story/world-news-pakistan-china-conduct-first-ever-joint-anti-terrorism-exercise-under-sco/396654; http://eng.sectsco.org/politics/20211004/786524.html; http://www.news.cn/english/2021-10/04/c_1310226471.htm"/>
    <s v="1st phase was multilateral SCO virtual anti-terrorism exercise; 2nd phase was physical BL exercise in Pakistani. Coded as BL exercise; not clear if PRC troops were PLA or PAP"/>
  </r>
  <r>
    <x v="2"/>
    <x v="0"/>
    <s v="Asia"/>
    <s v="All-Weather Strategic Cooperative Partnership [全天候战略合作伙伴关系]"/>
    <s v="Major Non-NATO Ally"/>
    <x v="1"/>
    <x v="2"/>
    <x v="30"/>
    <n v="9"/>
    <x v="6"/>
    <m/>
    <m/>
    <m/>
    <m/>
    <x v="0"/>
    <m/>
    <x v="2"/>
    <s v="Shared-Destiny 2021"/>
    <x v="1"/>
    <s v="PKO activities with Pakistan, Mongolia, and Thailand"/>
    <x v="1"/>
    <m/>
    <m/>
    <m/>
    <s v="PLAAR 1-15 September 2021"/>
    <s v="Real exercise with on the ground troops in China"/>
  </r>
  <r>
    <x v="1"/>
    <x v="3"/>
    <s v="Europe and Central Asia"/>
    <s v="Comprehensive Strategic Partnership of Coordination in the New Era [新时代中俄全面战略协作伙伴关系]"/>
    <s v="None"/>
    <x v="3"/>
    <x v="7"/>
    <x v="30"/>
    <n v="9"/>
    <x v="7"/>
    <s v="Li Zuocheng"/>
    <m/>
    <s v="CMC/JSD Commander; CMC Member"/>
    <n v="8"/>
    <x v="1"/>
    <s v="TL meeting with Chairman Joint Chiefs of Staff Committee, General Nadeem Raza and Russian COGS General Valery Gerasimov"/>
    <x v="0"/>
    <m/>
    <x v="0"/>
    <m/>
    <x v="1"/>
    <m/>
    <m/>
    <m/>
    <s v="https://www.radio.gov.pk/25-09-2021/pakistan-attaches-great-importance-to-further-bilateral-cooperation-with-russia-china-cjcsc"/>
    <s v="TL Meeting on the Margins coded as separate BL meetings with PK and Russian counterparts"/>
  </r>
  <r>
    <x v="2"/>
    <x v="3"/>
    <s v="Europe and Central Asia"/>
    <s v="Member"/>
    <s v="None"/>
    <x v="1"/>
    <x v="14"/>
    <x v="30"/>
    <n v="9"/>
    <x v="6"/>
    <m/>
    <m/>
    <m/>
    <m/>
    <x v="0"/>
    <m/>
    <x v="3"/>
    <s v="Peace Mission 2021"/>
    <x v="1"/>
    <s v="Held in Orenburg, Russia.  Focus on surveillance, forward defense, ground assault, division, and  encirclement. "/>
    <x v="1"/>
    <m/>
    <m/>
    <m/>
    <s v="PLAAR 1-15 September 2021, http://www.xinhuanet.com/politics/2019-03/18/c_1124247196.htm"/>
    <s v="a three-level command structure consisting of a joint exercise direction department [联合导演部], a joint counterterrorism command department [联合反恐集群指挥部], and real-soldier units"/>
  </r>
  <r>
    <x v="1"/>
    <x v="3"/>
    <s v="Europe and Central Asia"/>
    <s v="Member"/>
    <s v="None"/>
    <x v="1"/>
    <x v="14"/>
    <x v="30"/>
    <n v="9"/>
    <x v="1"/>
    <s v="Li Zuocheng"/>
    <m/>
    <s v="CMC/JSD Commander; CMC Member"/>
    <n v="8"/>
    <x v="2"/>
    <s v="Sixth meeting of the SCO military chiefs of staff in Russia"/>
    <x v="0"/>
    <m/>
    <x v="0"/>
    <m/>
    <x v="1"/>
    <m/>
    <m/>
    <m/>
    <s v="PLAAR 16-30 September 2021, http://mod.gov.cn/diplomacy/2021-09/24/content_4895489.htm; http://eng.mod.gov.cn/news/2021-09/24/content_4895516.htm"/>
    <m/>
  </r>
  <r>
    <x v="2"/>
    <x v="1"/>
    <s v="Asia"/>
    <s v="All-Round Cooperative Partnership [全方合作伙伴关系]"/>
    <s v="None"/>
    <x v="0"/>
    <x v="39"/>
    <x v="30"/>
    <n v="9"/>
    <x v="5"/>
    <m/>
    <m/>
    <m/>
    <m/>
    <x v="0"/>
    <m/>
    <x v="2"/>
    <m/>
    <x v="2"/>
    <s v="pass-exercise; CUES; navigation training, helicopter landing, replenishment-at-sea training"/>
    <x v="1"/>
    <m/>
    <m/>
    <m/>
    <s v="PLAAR 16-30 September 2021, https://www.js7tv.cn/video/202109_258376.html, https://www.mindef.gov.sg/web/portal/navy/pressroom/articles/2021/22sep21_article?fbclid=IwAR3rVyBOM2CFa10EIiD2LEfBaE02_N7HXuKrIKsw_MABmcjotKViEfdoLGs"/>
    <m/>
  </r>
  <r>
    <x v="1"/>
    <x v="1"/>
    <s v="Asia"/>
    <s v="All-Round Cooperative Partnership [全方合作伙伴关系]"/>
    <s v="None"/>
    <x v="0"/>
    <x v="39"/>
    <x v="30"/>
    <n v="9"/>
    <x v="15"/>
    <s v="Shao Yuanming"/>
    <m/>
    <s v="CMC/JSD DCJS"/>
    <n v="5"/>
    <x v="4"/>
    <s v="Permanent Secretary of Defence"/>
    <x v="0"/>
    <m/>
    <x v="0"/>
    <m/>
    <x v="1"/>
    <m/>
    <m/>
    <m/>
    <s v="PLAAR 1-15 September 2021, https://www.mindef.gov.sg/web/portal/mindef/news-and-events/latest-releases/article-detail/2021/September/14sep21_nr2, http://mod.gov.cn/topnews/2021-09/15/content_4894878.htm"/>
    <s v="8th Defense Policy Dialogue; JSD/DCJS position downgraded so position weight adjusted; recoded as virtual; is this high enough level to include?  Have previous meetings been included?"/>
  </r>
  <r>
    <x v="1"/>
    <x v="8"/>
    <s v="Europe and Central Asia"/>
    <s v="Comprehensive Strategic Partnership [全面战略伙伴关系]"/>
    <s v="NATO"/>
    <x v="3"/>
    <x v="21"/>
    <x v="30"/>
    <n v="9"/>
    <x v="15"/>
    <s v="Li Zuocheng"/>
    <m/>
    <s v="CMC/JSD Commander; CMC Member"/>
    <n v="8"/>
    <x v="4"/>
    <s v="Chief of the Defence Staff"/>
    <x v="0"/>
    <m/>
    <x v="0"/>
    <m/>
    <x v="1"/>
    <m/>
    <m/>
    <m/>
    <s v="PLAAR 1-15 September 2021,  http://www.mod.gov.cn/topnews/2021-09/10/content_4894507.htm."/>
    <s v="video conference"/>
  </r>
  <r>
    <x v="1"/>
    <x v="10"/>
    <s v="America and Oceania"/>
    <s v="Comprehensive Strategic Partnership [全面战略伙伴关系]"/>
    <s v="Major Non-NATO Ally"/>
    <x v="5"/>
    <x v="62"/>
    <x v="30"/>
    <n v="10"/>
    <x v="15"/>
    <s v="Wei Fenghe"/>
    <m/>
    <s v="Defense Minister; CMC Member"/>
    <n v="8"/>
    <x v="4"/>
    <s v="Minister of Defense"/>
    <x v="0"/>
    <m/>
    <x v="0"/>
    <m/>
    <x v="1"/>
    <m/>
    <m/>
    <m/>
    <s v="PLAAR 16-30 October 2021, https://www.argentina.gob.ar/noticias/taiana-mantuvo-una-reunion-bilateral-con-su-par-de-defensa-chino-para-dialogar-acerca-de-la, http://mod.gov.cn/topnews/2021-10/22/content_4897280.htm"/>
    <m/>
  </r>
  <r>
    <x v="1"/>
    <x v="4"/>
    <s v="Asia"/>
    <s v="N/A"/>
    <s v="None"/>
    <x v="0"/>
    <x v="161"/>
    <x v="30"/>
    <n v="10"/>
    <x v="16"/>
    <s v="Yang Xuejun"/>
    <m/>
    <s v="President, AMS"/>
    <n v="5"/>
    <x v="4"/>
    <m/>
    <x v="0"/>
    <m/>
    <x v="0"/>
    <m/>
    <x v="1"/>
    <m/>
    <m/>
    <m/>
    <s v="http://eng.chinamil.com.cn/view/2021-10/25/content_10103983.htm, http://eng.mod.gov.cn/news/2021-12/23/content_4901630.htm"/>
    <s v="Xiangshan Forum 2021"/>
  </r>
  <r>
    <x v="2"/>
    <x v="3"/>
    <s v="Europe and Central Asia"/>
    <s v="Comprehensive Strategic Partnership of Coordination in the New Era [新时代中俄全面战略协作伙伴关系]"/>
    <s v="None"/>
    <x v="3"/>
    <x v="7"/>
    <x v="30"/>
    <n v="10"/>
    <x v="5"/>
    <m/>
    <m/>
    <m/>
    <m/>
    <x v="0"/>
    <m/>
    <x v="3"/>
    <s v="Joint Sea 2021"/>
    <x v="2"/>
    <s v="Comms drills, mine destruction, maritime gunnery, joint-maneuvering; &quot;joint rocket and artillery firing at air targets, artillery firing at sea targets, joint anti-submarine operations with the practical use of weapons, joint blockade and joint rescue….These multidimensional training courses cover the core elements in modern naval combat.”"/>
    <x v="1"/>
    <m/>
    <m/>
    <m/>
    <s v="PLAAR 16-31 October 2021, https://news.usni.org/2021/10/25/russia-china-wrap-up-drills-off-japan-pledge-more-joint-exercises"/>
    <s v="Joint Exercise Direction Department; RECODED as COMBAT based on closer analysis of exercise activities"/>
  </r>
  <r>
    <x v="2"/>
    <x v="3"/>
    <s v="Europe and Central Asia"/>
    <s v="Comprehensive Strategic Partnership of Coordination in the New Era [新时代中俄全面战略协作伙伴关系]"/>
    <s v="None"/>
    <x v="3"/>
    <x v="7"/>
    <x v="30"/>
    <n v="10"/>
    <x v="5"/>
    <m/>
    <m/>
    <m/>
    <m/>
    <x v="0"/>
    <m/>
    <x v="9"/>
    <s v="Joint Maritime Cruise"/>
    <x v="2"/>
    <s v="Use of weapons, joint sailing and maneuvering"/>
    <x v="1"/>
    <m/>
    <m/>
    <m/>
    <s v="PLAAR 16-31 October 2021, http://mod.gov.cn/topnews/2021-10/23/content_4897177.htm"/>
    <s v="first joint maritime patrol; included because not a CBM."/>
  </r>
  <r>
    <x v="1"/>
    <x v="1"/>
    <s v="Asia"/>
    <s v="Comprehensive Strategic Partnership [全面战略伙伴关系]"/>
    <s v="None"/>
    <x v="0"/>
    <x v="8"/>
    <x v="30"/>
    <n v="11"/>
    <x v="15"/>
    <s v="Wei Fenghe"/>
    <m/>
    <s v="Defense Minister; CMC Member"/>
    <n v="8"/>
    <x v="4"/>
    <s v="Indonesian Minister of Defense Prabowo Subianto"/>
    <x v="0"/>
    <m/>
    <x v="0"/>
    <m/>
    <x v="1"/>
    <m/>
    <m/>
    <m/>
    <s v="http://english.chinamil.com.cn/view/2021-11/30/content_10111790.htm"/>
    <m/>
  </r>
  <r>
    <x v="1"/>
    <x v="0"/>
    <s v="Asia"/>
    <s v="All-Weather Strategic Cooperative Partnership [全天候战略合作伙伴关系]"/>
    <s v="Major Non-NATO Ally"/>
    <x v="1"/>
    <x v="2"/>
    <x v="30"/>
    <n v="11"/>
    <x v="15"/>
    <m/>
    <m/>
    <s v="China Coast Guard"/>
    <n v="6"/>
    <x v="4"/>
    <m/>
    <x v="0"/>
    <m/>
    <x v="8"/>
    <m/>
    <x v="1"/>
    <m/>
    <m/>
    <m/>
    <s v="PLAAR 1-15 November 2021, http://www.news.cn/politics/2021-11/09/c_1128048026.htm"/>
    <s v="INCLUDE--called high-level meeting by source, but senior PRC participant not specified"/>
  </r>
  <r>
    <x v="1"/>
    <x v="3"/>
    <s v="Europe and Central Asia"/>
    <s v="Comprehensive Strategic Partnership of Coordination in the New Era [新时代中俄全面战略协作伙伴关系]"/>
    <s v="None"/>
    <x v="3"/>
    <x v="7"/>
    <x v="30"/>
    <n v="11"/>
    <x v="15"/>
    <s v="Wei Fenghe"/>
    <m/>
    <s v="Defense Minister; CMC Member"/>
    <n v="8"/>
    <x v="4"/>
    <s v="Russian Defense Minister"/>
    <x v="0"/>
    <m/>
    <x v="0"/>
    <m/>
    <x v="1"/>
    <m/>
    <m/>
    <m/>
    <s v="Regular Press Conference of the Ministry of National Defense on November 25 - Ministry of National Defense (mod.gov.cn)"/>
    <m/>
  </r>
  <r>
    <x v="2"/>
    <x v="3"/>
    <s v="Europe and Central Asia"/>
    <s v="Comprehensive Strategic Partnership of Coordination in the New Era [新时代中俄全面战略协作伙伴关系]"/>
    <s v="None"/>
    <x v="3"/>
    <x v="7"/>
    <x v="30"/>
    <n v="11"/>
    <x v="5"/>
    <m/>
    <m/>
    <m/>
    <m/>
    <x v="0"/>
    <m/>
    <x v="9"/>
    <s v="Joint Aerial Strategic Patrol 2021"/>
    <x v="5"/>
    <s v="&quot;joint strategic air patrol&quot;--two H-6K aircraft to form a joint formation with two Russian Tu-95MC aircraft over the Sea of Japan and the East China Sea. "/>
    <x v="1"/>
    <m/>
    <m/>
    <m/>
    <s v="http://eng.mod.gov.cn/focus/2021-11/26/content_4900240.htm, https://www.globaltimes.cn/page/202111/1239423.shtml; http://english.chinamil.com.cn/view/2021-11/19/content_10109351.htm"/>
    <s v="INCLUDE as joint patrol; externally motivated."/>
  </r>
  <r>
    <x v="1"/>
    <x v="1"/>
    <s v="Asia"/>
    <s v="Comprehensive Strategic Cooperative Partnership [全面战略合作伙伴关系]"/>
    <s v="None"/>
    <x v="0"/>
    <x v="23"/>
    <x v="30"/>
    <n v="11"/>
    <x v="15"/>
    <s v="Wang Zhongcai"/>
    <m/>
    <s v="CDR China Coast Guard"/>
    <n v="6"/>
    <x v="4"/>
    <s v="CDR Vietnam Coast Guard"/>
    <x v="0"/>
    <m/>
    <x v="0"/>
    <m/>
    <x v="1"/>
    <m/>
    <m/>
    <m/>
    <s v="http://english.chinamil.com.cn/view/2021-12/01/content_10111995.htm"/>
    <m/>
  </r>
  <r>
    <x v="1"/>
    <x v="4"/>
    <s v="Asia"/>
    <s v="Mutually Beneficial Strategic Relationship [战略互惠关系]"/>
    <s v="Bilateral Defense Treaty "/>
    <x v="0"/>
    <x v="83"/>
    <x v="30"/>
    <n v="12"/>
    <x v="15"/>
    <s v="Wei Fenghe"/>
    <m/>
    <s v="Defense Minister; CMC Member"/>
    <n v="8"/>
    <x v="4"/>
    <s v="Japanese Defense Minister Nobuo Kishi"/>
    <x v="0"/>
    <m/>
    <x v="0"/>
    <m/>
    <x v="1"/>
    <m/>
    <m/>
    <m/>
    <s v="https://www.globaltimes.cn/page/202112/1243528.shtml"/>
    <m/>
  </r>
  <r>
    <x v="2"/>
    <x v="1"/>
    <s v="Asia"/>
    <s v="Comprehensive Strategic Cooperative Partnership [全面战略合作伙伴关系]"/>
    <s v="None"/>
    <x v="0"/>
    <x v="23"/>
    <x v="30"/>
    <n v="12"/>
    <x v="5"/>
    <m/>
    <m/>
    <m/>
    <m/>
    <x v="0"/>
    <m/>
    <x v="2"/>
    <s v="Peace Rescue-2021"/>
    <x v="1"/>
    <s v="rescue, wounded treatment, joint military health service command, medical and pandemic training "/>
    <x v="1"/>
    <m/>
    <m/>
    <m/>
    <s v="PLA Activities Report 1-15 December 2021"/>
    <m/>
  </r>
  <r>
    <x v="1"/>
    <x v="8"/>
    <s v="Europe and Central Asia"/>
    <s v="Comprehensive Strategic Partnership [全面战略伙伴关系]"/>
    <s v="NATO"/>
    <x v="3"/>
    <x v="22"/>
    <x v="31"/>
    <n v="1"/>
    <x v="15"/>
    <s v="Shao Yuanming"/>
    <m/>
    <s v="CMC/JSD DCJS"/>
    <n v="5"/>
    <x v="4"/>
    <s v="MOD Deputy Director General for International Relations and Strategy"/>
    <x v="0"/>
    <m/>
    <x v="0"/>
    <m/>
    <x v="1"/>
    <m/>
    <m/>
    <m/>
    <s v="http://eng.chinamil.com.cn/CHINA_209163/TopStories_209189/10123265.html; http://mod.gov.cn/topnews/2022-01/12/content_4902848.htm"/>
    <s v="16th Strategic consultation"/>
  </r>
  <r>
    <x v="2"/>
    <x v="9"/>
    <s v="West Asia and Africa"/>
    <s v="Comprehensive Strategic Partnership [全面战略伙伴关系]"/>
    <s v="None"/>
    <x v="1"/>
    <x v="89"/>
    <x v="31"/>
    <n v="1"/>
    <x v="6"/>
    <m/>
    <m/>
    <m/>
    <m/>
    <x v="0"/>
    <m/>
    <x v="4"/>
    <s v="Marine Security Belt 2022"/>
    <x v="2"/>
    <s v="Urumqi guided-missile destroyer , supply ship Taihu, ship-borne helicopters, and 40 members of the Marine Corps; engaging targets, formation manevuers, light signal communications, nighttime navigation; 10 Iran ships; 3 Russian ships"/>
    <x v="1"/>
    <m/>
    <m/>
    <m/>
    <s v="http://eng.mod.gov.cn/news/2022-01/20/content_4903350.htm; http://mod.gov.cn/topnews/2022-01/20/content_4903339.htm; https://www.81.cn/jfjbmap/content/2022-01/22/content_307984.htm; https://www.fdd.org/analysis/2022/02/08/china-russia-iran-hold-trilateral-naval-drill/"/>
    <s v="Not enough combat related acty to classify as combat; unclear if there was any live fire. Very basic exercise."/>
  </r>
  <r>
    <x v="1"/>
    <x v="5"/>
    <s v="America and Oceania"/>
    <s v="Comprehensive Strategic Partnership [全面战略伙伴关系]"/>
    <s v="ANZUS Treaty"/>
    <x v="0"/>
    <x v="13"/>
    <x v="31"/>
    <n v="1"/>
    <x v="15"/>
    <s v="Li Zuocheng"/>
    <m/>
    <s v="CMC/JSD Commander; CMC Member"/>
    <n v="8"/>
    <x v="4"/>
    <s v="Chief of NZ Defense Force"/>
    <x v="0"/>
    <m/>
    <x v="0"/>
    <s v=" "/>
    <x v="1"/>
    <m/>
    <m/>
    <m/>
    <s v=" http://english.chinamil.com.cn/view/2022-01/19/content_10124662.htm; http://mod.gov.cn/diplomacy/2022-01/19/content_4903267.htm; "/>
    <s v=" "/>
  </r>
  <r>
    <x v="1"/>
    <x v="9"/>
    <s v="West Asia and Africa"/>
    <s v="Comprehensive Strategic Partnership [全面战略伙伴关系]"/>
    <s v="None"/>
    <x v="1"/>
    <x v="142"/>
    <x v="31"/>
    <n v="1"/>
    <x v="15"/>
    <s v="Wei Fenghe"/>
    <m/>
    <s v="Defense Minister; CMC Member"/>
    <n v="8"/>
    <x v="4"/>
    <s v="Prince Khalid bin Salman Al Saud, Saudi Arabia's Deputy Defense Minister"/>
    <x v="0"/>
    <m/>
    <x v="0"/>
    <m/>
    <x v="1"/>
    <m/>
    <m/>
    <m/>
    <s v="http://eng.mod.gov.cn/news/2022-01/26/content_4903623.htm; http://english.chinamil.com.cn/view/2022-01/26/content_10126627.htm; http://www.mod.gov.cn/topnews/2022-01/26/content_4903604.htm"/>
    <s v=" "/>
  </r>
  <r>
    <x v="1"/>
    <x v="8"/>
    <s v="Europe and Central Asia"/>
    <s v="Comprehensive Strategic Partnership [全面战略伙伴关系]"/>
    <s v="NATO"/>
    <x v="3"/>
    <x v="21"/>
    <x v="31"/>
    <n v="1"/>
    <x v="15"/>
    <s v="Shao Yuanming"/>
    <m/>
    <s v="CMC/JSD DCJS"/>
    <n v="5"/>
    <x v="4"/>
    <s v="UK MOD director general of security policy "/>
    <x v="0"/>
    <m/>
    <x v="0"/>
    <m/>
    <x v="1"/>
    <m/>
    <m/>
    <m/>
    <s v="http://eng.mod.gov.cn/news/2022-01/12/content_4902851.htm; http://mod.gov.cn/topnews/2022-01/13/content_4902920.htm"/>
    <s v="8th defense policy dialogue"/>
  </r>
  <r>
    <x v="1"/>
    <x v="1"/>
    <s v="Asia "/>
    <s v="Comprehensive Strategic Cooperative Partnership [全面战略合作伙伴关系]"/>
    <s v="None"/>
    <x v="0"/>
    <x v="94"/>
    <x v="31"/>
    <n v="3"/>
    <x v="15"/>
    <s v="Liu Zhenli"/>
    <m/>
    <s v="PLAA Commander"/>
    <n v="8"/>
    <x v="4"/>
    <s v="Lieutenant General Hun Manet, Deputy Commander-in-Chief, Royal Cambodian Armed Forces (RCAF) and Commander, Royal Cambodian Army"/>
    <x v="0"/>
    <m/>
    <x v="0"/>
    <m/>
    <x v="1"/>
    <m/>
    <m/>
    <m/>
    <s v="https://eacnews.asia/home/details/11053; http://www.mod.gov.cn/jzhzt/2022-03/31/content_4908118.htm; http://eng.mod.gov.cn/xb/Home/Focus/4908385.html"/>
    <m/>
  </r>
  <r>
    <x v="1"/>
    <x v="7"/>
    <s v="West Asia and Africa"/>
    <s v="Comprehensive Strategic Partnership [全面战略伙伴关系]"/>
    <s v="None"/>
    <x v="4"/>
    <x v="15"/>
    <x v="31"/>
    <n v="3"/>
    <x v="15"/>
    <s v="Wei Fenghe"/>
    <m/>
    <s v="Defense Minister; CMC Member"/>
    <n v="8"/>
    <x v="4"/>
    <s v="Thandi Modise, South Africa’s Minister of Defence and Military Veterans"/>
    <x v="0"/>
    <m/>
    <x v="0"/>
    <m/>
    <x v="1"/>
    <m/>
    <m/>
    <m/>
    <s v=" http://mod.gov.cn/topnews/2022-03/01/content_4905926.htm; http://eng.chinamil.com.cn/CHINA_209163/TopStories_209189/10136280.html"/>
    <s v=" "/>
  </r>
  <r>
    <x v="1"/>
    <x v="1"/>
    <s v="Asia"/>
    <s v="Comprehensive Strategic Cooperative Partnership [全面战略合作伙伴关系]"/>
    <s v="Bilateral Defense Treaty"/>
    <x v="0"/>
    <x v="5"/>
    <x v="31"/>
    <n v="3"/>
    <x v="15"/>
    <s v="Dong Jun"/>
    <m/>
    <s v="PLAN Commander"/>
    <n v="8"/>
    <x v="4"/>
    <s v="Admiral Somprasong Nilsamai, Commander-in-Chief, Royal Thai Navy, had a virtual meeting"/>
    <x v="0"/>
    <m/>
    <x v="0"/>
    <m/>
    <x v="1"/>
    <m/>
    <m/>
    <m/>
    <s v=" http://eng.mod.gov.cn/xb/Home/Focus/4908385.html; http://www.mod.gov.cn/jzhzt/2022-03/31/content_4908118.htm; "/>
    <m/>
  </r>
  <r>
    <x v="1"/>
    <x v="6"/>
    <s v="Europe and Central Asia"/>
    <s v="Strategic Partnership [战略伙伴关系]"/>
    <s v="None"/>
    <x v="1"/>
    <x v="55"/>
    <x v="31"/>
    <n v="3"/>
    <x v="15"/>
    <s v="Wei Fenghe"/>
    <m/>
    <s v="Defense Minister; CMC Member"/>
    <n v="8"/>
    <x v="4"/>
    <s v="Lieutenant General Begench Gundogdyev, Turkmenistan’s Minister of Defense"/>
    <x v="0"/>
    <m/>
    <x v="0"/>
    <m/>
    <x v="1"/>
    <m/>
    <m/>
    <m/>
    <s v="https://english.www.gov.cn/statecouncil/weifenghe/202203/25/content_WS623dc342c6d02e533532848d.html; http://mod.gov.cn/topnews/2022-03/25/content_4907591.htm"/>
    <m/>
  </r>
  <r>
    <x v="1"/>
    <x v="9"/>
    <s v="West Asia and Africa"/>
    <s v="Comprehensive Strategic Partnership [全面战略伙伴关系]"/>
    <s v="None"/>
    <x v="1"/>
    <x v="89"/>
    <x v="31"/>
    <n v="4"/>
    <x v="4"/>
    <s v="Wei Fenghe"/>
    <m/>
    <s v="Defense Minister; CMC Member"/>
    <n v="8"/>
    <x v="1"/>
    <s v="President, Ayatollah Dr. Seyyed Ebrahim Raisi and Major General Mohammad Hossein Bagheri, Chief of the General Staff "/>
    <x v="0"/>
    <m/>
    <x v="0"/>
    <m/>
    <x v="1"/>
    <m/>
    <m/>
    <m/>
    <s v=" http://english.chinamil.com.cn/view/2022-04/27/content_10150896.htm ; https://irangov.ir/detail/385325; http://mod.gov.cn/topnews/2022-04/28/content_4909946.htm"/>
    <m/>
  </r>
  <r>
    <x v="1"/>
    <x v="6"/>
    <s v="Europe and Central Asia"/>
    <s v="Comprehensive Strategic Partnership [全面战略伙伴关系]"/>
    <s v="None"/>
    <x v="1"/>
    <x v="30"/>
    <x v="31"/>
    <n v="4"/>
    <x v="4"/>
    <s v="Wei Fenghe"/>
    <m/>
    <s v="Defense Minister; CMC Member"/>
    <n v="8"/>
    <x v="1"/>
    <s v="President Kassym-Jomart Tokayev and Defense Minister Lieutenant General Ruslan Jaqsylyqov"/>
    <x v="0"/>
    <m/>
    <x v="0"/>
    <m/>
    <x v="1"/>
    <m/>
    <m/>
    <m/>
    <s v=" http://eng.mod.gov.cn/xb/News_213114/TopStories/4909810.html; http://www.china.org.cn/world/Off_the_Wire/2022-04/25/content_78186800.htm; https://www.gov.kz/memleket/entities/mod/press/news/details/362248?lang=ru; http://mod.gov.cn/topnews/2022-04/26/content_4909801.htm"/>
    <s v=" "/>
  </r>
  <r>
    <x v="1"/>
    <x v="7"/>
    <s v="West Asia and Africa"/>
    <s v="Comprehensive Strategic Cooperative Partnership [全面战略合作伙伴关系]"/>
    <s v="None"/>
    <x v="4"/>
    <x v="84"/>
    <x v="31"/>
    <n v="4"/>
    <x v="15"/>
    <s v="Wei Fenghe"/>
    <m/>
    <s v="Defense Minister; CMC Member"/>
    <n v="8"/>
    <x v="4"/>
    <s v="Major General Cristóvão Artur Chume, Mozambique’s Minister of National Defence"/>
    <x v="0"/>
    <m/>
    <x v="0"/>
    <m/>
    <x v="1"/>
    <m/>
    <m/>
    <m/>
    <s v=" http://eng.mod.gov.cn/xb/News_213114/TopStories/4909402.html; http://mod.gov.cn/topnews/2022-04/19/content_4909342.htm"/>
    <s v=" "/>
  </r>
  <r>
    <x v="1"/>
    <x v="9"/>
    <s v="West Asia and Africa"/>
    <s v="Strategic Partnership [战略伙伴关系]"/>
    <s v="None"/>
    <x v="1"/>
    <x v="147"/>
    <x v="31"/>
    <n v="4"/>
    <x v="4"/>
    <s v="Wei Fenghe"/>
    <m/>
    <s v="Defense Minister; CMC Member"/>
    <n v="8"/>
    <x v="1"/>
    <s v="Deputy Prime Minister for Defense Affairs Sayyid Shihab bin Tarik Al Said"/>
    <x v="0"/>
    <m/>
    <x v="0"/>
    <m/>
    <x v="1"/>
    <s v=" "/>
    <s v=" "/>
    <s v=" "/>
    <s v=" http://english.chinamil.com.cn/view/2022-04/29/content_10151238.htm; http://mod.gov.cn/topnews/2022-04/29/content_4910041.htm"/>
    <m/>
  </r>
  <r>
    <x v="1"/>
    <x v="6"/>
    <s v="Europe and Central Asia"/>
    <s v="Strategic Partnership [战略伙伴关系]"/>
    <s v="None"/>
    <x v="1"/>
    <x v="55"/>
    <x v="31"/>
    <n v="4"/>
    <x v="4"/>
    <s v="Wei Fenghe"/>
    <m/>
    <s v="Defense Minister; CMC Member"/>
    <n v="8"/>
    <x v="1"/>
    <s v="Turkmen President Serdar Berdimuhamedov and Lieutenant General Begench Gundogdyev, Turkmenistan’s Minister of Defense"/>
    <x v="0"/>
    <m/>
    <x v="0"/>
    <m/>
    <x v="1"/>
    <m/>
    <m/>
    <m/>
    <s v="http://english.chinamil.com.cn/view/2022-04/26/content_10150581.htm; https://www.mfa.gov.tm/en/news/3126; http://mod.gov.cn/topnews/2022-04/26/content_4909874.htm"/>
    <m/>
  </r>
  <r>
    <x v="1"/>
    <x v="2"/>
    <s v="America and Oceania"/>
    <s v="No Specific Relationship"/>
    <s v="N/A"/>
    <x v="2"/>
    <x v="4"/>
    <x v="31"/>
    <n v="4"/>
    <x v="15"/>
    <s v="Wei Fenghe"/>
    <m/>
    <s v="Defense Minister; CMC Member"/>
    <n v="8"/>
    <x v="4"/>
    <s v="Secretary of Defense Austin"/>
    <x v="0"/>
    <m/>
    <x v="0"/>
    <m/>
    <x v="1"/>
    <m/>
    <m/>
    <m/>
    <s v="http://english.chinamil.com.cn/view/2022-04/20/content_10149377.htm; "/>
    <m/>
  </r>
  <r>
    <x v="1"/>
    <x v="1"/>
    <s v="Asia "/>
    <s v="Comprehensive Strategic Cooperative Partnership [全面战略合作伙伴关系]"/>
    <s v="None"/>
    <x v="0"/>
    <x v="23"/>
    <x v="31"/>
    <n v="4"/>
    <x v="4"/>
    <s v="Wei Fenghe"/>
    <m/>
    <s v="Defense Minister; CMC Member"/>
    <n v="8"/>
    <x v="1"/>
    <s v="Minister of Defence General Phan Van Giang"/>
    <x v="0"/>
    <m/>
    <x v="0"/>
    <m/>
    <x v="1"/>
    <m/>
    <m/>
    <m/>
    <s v="http://english.chinamil.com.cn/view/2022-04/23/content_10149962.htm "/>
    <s v="Meeting took place on both sides of China, Vietnam border; coded as abroad because PRC MINDEF traveled to get there."/>
  </r>
  <r>
    <x v="1"/>
    <x v="7"/>
    <s v="West Asia and Africa"/>
    <s v="Comprehensive Strategic Cooperative Partnership [全面战略合作伙伴关系]"/>
    <s v="None"/>
    <x v="4"/>
    <x v="165"/>
    <x v="31"/>
    <n v="5"/>
    <x v="16"/>
    <s v="Dong Jun"/>
    <m/>
    <s v="PLAN Commander"/>
    <n v="8"/>
    <x v="4"/>
    <s v="&quot;GoG Maritime Security from the Perspective of a Maritime Community with a Shared Future&quot; attended (virtually) by unspecified leaders from the navies and coast guards of Gulf of Guinea countries "/>
    <x v="0"/>
    <m/>
    <x v="0"/>
    <m/>
    <x v="1"/>
    <m/>
    <m/>
    <m/>
    <s v="http://eng.mod.gov.cn/xb/News_213114/NewsRelease/4912128.html; http://www.mod.gov.cn/shouye/2022-05/26/content_4911605.htm; "/>
    <s v="Virtual meeting on Gulf of Guinea maritime security organized and funded by China but approved by African Union; included because PLAN commander spoke to audience including regional navy and coast guard leaders."/>
  </r>
  <r>
    <x v="2"/>
    <x v="3"/>
    <s v="Europe and Central Asia"/>
    <s v="Comprehensive Strategic Partnership of Coordination in the New Era [新时代中俄全面战略协作伙伴关系]"/>
    <s v="None"/>
    <x v="3"/>
    <x v="7"/>
    <x v="31"/>
    <n v="5"/>
    <x v="5"/>
    <m/>
    <m/>
    <m/>
    <m/>
    <x v="0"/>
    <m/>
    <x v="9"/>
    <s v="Joint Aerial Strategic Patrol 2022 (I)"/>
    <x v="5"/>
    <s v="fourth &quot;joint strategic air patrol&quot; over the Sea of Japan, the East China Sea, and the Western Pacific Ocean. 4 Chinese H-6K and PLAAF fighters escort;  2 Russian Tu-95 bombers; 1 IL-20 recon plane, and  Su-30SM aircraft providing escort"/>
    <x v="1"/>
    <m/>
    <m/>
    <m/>
    <s v="http://eng.mod.gov.cn/news/2022-05/24/content_4911446.htm; https://www.mod.go.jp/j/press/kisha/2022/0524b_r.html; https://www.reuters.com/world/asia-pacific/russian-chinese-jets-conducted-joint-patrol-moscow-says-2022-05-24/; http://mod.gov.cn/topnews/2022-05/24/content_4911444.htm; http://webcache.googleusercontent.com/search?q=cache:https://www.globaltimes.cn/page/202205/1266462.shtml"/>
    <s v="RECODED as joint patrol; INCLUDED because of external audience."/>
  </r>
  <r>
    <x v="1"/>
    <x v="7"/>
    <s v="West Asia and Africa"/>
    <s v="Comprehensive Cooperative Partnership [全面合作伙伴关系]"/>
    <s v="None"/>
    <x v="4"/>
    <x v="16"/>
    <x v="31"/>
    <n v="5"/>
    <x v="15"/>
    <s v="Wei Fenghe"/>
    <m/>
    <s v="Defense Minister; CMC Member"/>
    <n v="8"/>
    <x v="4"/>
    <s v="Minister of Defense  Dr. Stergomena Lawrence Tax"/>
    <x v="0"/>
    <m/>
    <x v="0"/>
    <m/>
    <x v="1"/>
    <m/>
    <m/>
    <m/>
    <s v="http://english.chinamil.com.cn/view/2022-06/01/content_10159555.htm ; http://mod.gov.cn/topnews/2022-05/31/content_4911988.htm"/>
    <m/>
  </r>
  <r>
    <x v="1"/>
    <x v="1"/>
    <s v="Asia"/>
    <s v="Comprehensive Strategic Partnership [全面战略伙伴关系]"/>
    <s v="None"/>
    <x v="0"/>
    <x v="153"/>
    <x v="31"/>
    <n v="6"/>
    <x v="16"/>
    <s v="Wei Fenghe"/>
    <m/>
    <s v="Defense Minister; CMC Member"/>
    <n v="8"/>
    <x v="4"/>
    <s v="Thirteenth China-ASEAN Defense Ministers' Informal Meeting (virtual); Cambodian Deputy Prime Minister and Defense Minister General Tea Banh"/>
    <x v="0"/>
    <m/>
    <x v="0"/>
    <m/>
    <x v="1"/>
    <m/>
    <m/>
    <m/>
    <s v="http://english.chinamil.com.cn/view/2022-06/22/content_10165610.htm; http://www.news.cn/2021-11/22/c_1128087629.htm"/>
    <s v="CH-ASEAN partnership upgraded in November 2021 to comprehensive strategic partnership"/>
  </r>
  <r>
    <x v="1"/>
    <x v="1"/>
    <s v="Asia"/>
    <s v="No Specific Relationship"/>
    <s v="None"/>
    <x v="0"/>
    <x v="137"/>
    <x v="31"/>
    <n v="6"/>
    <x v="1"/>
    <s v="Wei Fenghe"/>
    <m/>
    <s v="Defense Minister; CMC Member"/>
    <n v="8"/>
    <x v="1"/>
    <s v="19th Shangri-La"/>
    <x v="0"/>
    <m/>
    <x v="0"/>
    <m/>
    <x v="1"/>
    <m/>
    <m/>
    <m/>
    <s v="https://www.iiss.org/events/shangri-la-dialogue/shangri-la-dialogue-2022; http://english.chinamil.com.cn/view/2022-06/10/content_10162189.htm ; https://www.defense.gov/News/News-Stories/Article/Article/3058994/austin-meets-with-chinese-counterpart-in-singapore/."/>
    <s v="Shangri-La Dialogue"/>
  </r>
  <r>
    <x v="1"/>
    <x v="0"/>
    <s v="Asia"/>
    <s v="All-Weather Strategic Cooperative Partnership [全天候战略合作伙伴关系]"/>
    <s v="Major Non-NATO Ally"/>
    <x v="1"/>
    <x v="2"/>
    <x v="31"/>
    <n v="6"/>
    <x v="3"/>
    <s v="Zhang Youxia "/>
    <m/>
    <s v="CMC Vice Chairman"/>
    <n v="10"/>
    <x v="2"/>
    <s v="Chief of Army Staff General Qamar Javed Bajwa  in Qingdao"/>
    <x v="0"/>
    <m/>
    <x v="0"/>
    <m/>
    <x v="1"/>
    <m/>
    <m/>
    <m/>
    <s v="http://english.chinamil.com.cn/view/2022-06/12/content_10162474.htm ; https://ispr.gov.pk/press-release-detail.php?id=6407 ; http://www.mod.gov.cn/topnews/2022-06/12/content_4912763.htm"/>
    <s v=" "/>
  </r>
  <r>
    <x v="1"/>
    <x v="1"/>
    <s v="Asia"/>
    <s v="All-Round Cooperative Partnership [全方合作伙伴关系]"/>
    <s v="None"/>
    <x v="0"/>
    <x v="39"/>
    <x v="31"/>
    <n v="6"/>
    <x v="4"/>
    <s v="Wei Fenghe"/>
    <m/>
    <s v="Defense Minister; CMC Member"/>
    <n v="8"/>
    <x v="1"/>
    <s v="Prime Minister Lee Hsien Loong and Defense Minister Ng Eng Hen"/>
    <x v="0"/>
    <m/>
    <x v="0"/>
    <m/>
    <x v="1"/>
    <m/>
    <m/>
    <m/>
    <s v="http://english.chinamil.com.cn/view/2022-06/10/content_10162190.htm ; https://www.mindef.gov.sg/web/portal/mindef/news-and-events/latest-releases/article-detail/2022/June/09jun22_nr2; https://www.mindef.gov.sg/web/portal/mindef/news-and-events/latest-releases/article-detail/2022/June/10jun22_nr4"/>
    <s v="BL visit in conjunction with Shangri-la Dialogue"/>
  </r>
  <r>
    <x v="1"/>
    <x v="4"/>
    <s v="Asia"/>
    <s v="Strategic Cooperative Partnership [战略合作伙伴关系]"/>
    <s v="Bilateral Defense Treaty"/>
    <x v="0"/>
    <x v="25"/>
    <x v="31"/>
    <n v="6"/>
    <x v="7"/>
    <s v="Wei Fenghe"/>
    <m/>
    <s v="Defense Minister; CMC Member"/>
    <n v="8"/>
    <x v="1"/>
    <s v="Defense Minister Lee Jong-sup; BL at Shangri-La"/>
    <x v="0"/>
    <m/>
    <x v="0"/>
    <m/>
    <x v="1"/>
    <m/>
    <m/>
    <m/>
    <s v="https://www.globaltimes.cn/page/202206/1267790.shtml; https://www.koreaherald.com/view.php?ud=20220612000135"/>
    <m/>
  </r>
  <r>
    <x v="1"/>
    <x v="2"/>
    <s v="America and Oceania"/>
    <s v="No Specific Relationship"/>
    <s v="N/A"/>
    <x v="2"/>
    <x v="4"/>
    <x v="31"/>
    <n v="6"/>
    <x v="7"/>
    <s v="Wei Fenghe"/>
    <m/>
    <s v="Defense Minister; CMC Member"/>
    <n v="8"/>
    <x v="1"/>
    <s v="Secretary of Defense; BL at Shangri-La "/>
    <x v="0"/>
    <m/>
    <x v="0"/>
    <m/>
    <x v="1"/>
    <m/>
    <m/>
    <m/>
    <s v="https://www.iiss.org/events/shangri-la-dialogue/shangri-la-dialogue-2022; http://english.chinamil.com.cn/view/2022-06/10/content_10162189.htm ; https://www.defense.gov/News/News-Stories/Article/Article/3058994/austin-meets-with-chinese-counterpart-in-singapore/; http://www.mod.gov.cn/topnews/2022-06/10/content_4912676.htm"/>
    <s v="on margins of shangri-la Dialogue"/>
  </r>
  <r>
    <x v="1"/>
    <x v="7"/>
    <s v="West Asia and Africa"/>
    <s v="Comprehensive Strategic Cooperative Partnership [全面战略合作伙伴关系]"/>
    <s v="None"/>
    <x v="4"/>
    <x v="165"/>
    <x v="31"/>
    <n v="7"/>
    <x v="16"/>
    <s v="Wei Fenghe"/>
    <m/>
    <s v="Defense Minister; CMC Member"/>
    <n v="8"/>
    <x v="4"/>
    <s v="Second China-Africa Defense and Security Forum (virtual)"/>
    <x v="0"/>
    <m/>
    <x v="0"/>
    <s v="second China-Africa Defense and Security Forum; More than 50 ministerial-level leaders and senior-level representatives from the African Union and African countries "/>
    <x v="1"/>
    <m/>
    <m/>
    <m/>
    <s v="http://eng.mod.gov.cn/xb/News_213114/TopStories/4916451.html ; http://www.mod.gov.cn/topnews/2022-07/25/content_4916530.htm"/>
    <m/>
  </r>
  <r>
    <x v="2"/>
    <x v="1"/>
    <s v="Asia"/>
    <s v="Comprehensive Strategic Cooperative Partnership [全面战略合作伙伴关系]"/>
    <s v="None"/>
    <x v="0"/>
    <x v="52"/>
    <x v="31"/>
    <n v="7"/>
    <x v="5"/>
    <m/>
    <m/>
    <m/>
    <m/>
    <x v="0"/>
    <m/>
    <x v="2"/>
    <s v="Peace Train 2022"/>
    <x v="1"/>
    <m/>
    <x v="1"/>
    <m/>
    <m/>
    <m/>
    <s v="http://english.chinamil.com.cn/view/2022-07/16/content_10171410.htm ; http://english.chinamil.com.cn/view/2022-07/29/content_10174579.htm"/>
    <m/>
  </r>
  <r>
    <x v="2"/>
    <x v="0"/>
    <s v="Asia"/>
    <s v="All-Weather Strategic Cooperative Partnership [全天候战略合作伙伴关系]"/>
    <s v="Major Non-NATO Ally"/>
    <x v="1"/>
    <x v="2"/>
    <x v="31"/>
    <n v="7"/>
    <x v="5"/>
    <m/>
    <m/>
    <m/>
    <m/>
    <x v="0"/>
    <m/>
    <x v="3"/>
    <s v="Sea Guardians Naval Exercise"/>
    <x v="2"/>
    <s v="Exercise off Shanghai. Maritime exercise phase include attacking at maritime targets, tactical maneuver, anti-submarine operation, replenishment at sea, reinforcing damaged ships, anti-aircraft and anti-missile operations, etc. guided-missile frigates Xiangtan and Shuozhou , supply ship Qiandaohu, and one submarine, one early warning aircraft, two fighter jets and one helicopter. Pakistan Navy sent the Frigate Taimur "/>
    <x v="1"/>
    <m/>
    <m/>
    <m/>
    <s v="http://eng.mod.gov.cn/news/2022-07/10/content_4915287.htm ; https://www.81.cn/jfjbmap/content/2022-07/11/content_319532.htm"/>
    <m/>
  </r>
  <r>
    <x v="1"/>
    <x v="2"/>
    <s v="America and Oceania"/>
    <s v="No Specific Relationship"/>
    <s v="N/A"/>
    <x v="2"/>
    <x v="4"/>
    <x v="31"/>
    <n v="7"/>
    <x v="15"/>
    <s v="Li Zuocheng"/>
    <m/>
    <s v="CMC/JSD Commander; CMC Member"/>
    <n v="8"/>
    <x v="4"/>
    <s v="CJCS Milley"/>
    <x v="0"/>
    <m/>
    <x v="0"/>
    <s v=" "/>
    <x v="1"/>
    <s v=" "/>
    <s v=" "/>
    <m/>
    <s v="http://english.chinamil.com.cn/view/2022-07/08/content_10169690.htm ; https://www.jcs.mil/Media/News/News-Display/Article/3087255/readout-of-chairman-of-the-joint-chiefs-of-staff-gen-mark-a-milleys-video-telec//"/>
    <m/>
  </r>
  <r>
    <x v="1"/>
    <x v="1"/>
    <s v="Asia"/>
    <s v="Comprehensive Strategic Cooperative Partnership [全面战略合作伙伴关系]"/>
    <s v="None"/>
    <x v="0"/>
    <x v="94"/>
    <x v="31"/>
    <n v="8"/>
    <x v="3"/>
    <s v="Xu Qiliang"/>
    <m/>
    <s v="CMC Vice Chairman"/>
    <n v="10"/>
    <x v="2"/>
    <s v="Deputy PM and MINDEF General Tea Banh "/>
    <x v="0"/>
    <m/>
    <x v="0"/>
    <m/>
    <x v="1"/>
    <m/>
    <m/>
    <m/>
    <s v="http://english.chinamil.com.cn/view/2022-08/15/content_10178351.htm ; http://www.mod.gov.cn/topnews/2022-08/15/content_4918333.htm"/>
    <m/>
  </r>
  <r>
    <x v="2"/>
    <x v="8"/>
    <s v="Europe and Central Asia"/>
    <s v="Comprehensive Strategic Partnership of Coordination in the New Era [新时代中俄全面战略协作伙伴关系]"/>
    <s v="None"/>
    <x v="3"/>
    <x v="7"/>
    <x v="31"/>
    <n v="8"/>
    <x v="6"/>
    <m/>
    <m/>
    <m/>
    <m/>
    <x v="0"/>
    <m/>
    <x v="6"/>
    <s v="International Army Games 2022"/>
    <x v="1"/>
    <s v="co-hosted by 12 countries including China, Russia and Iran, attracting more than 270 military teams from 37 countries"/>
    <x v="1"/>
    <m/>
    <m/>
    <m/>
    <s v="http://eng.mod.gov.cn/news/2022-08/13/content_4918107.htm ; http://eng.mod.gov.cn/news/2022-08/15/content_4918300.htm ; http://eng.mod.gov.cn/news/2022-08/15/content_4918346.htm; http://eng.mod.gov.cn/news/2022-08/16/content_4918373.htm ; "/>
    <s v="CODED as Russia (main host) and Army since most activities are army and none are joint"/>
  </r>
  <r>
    <x v="1"/>
    <x v="3"/>
    <s v="Europe and Central Asia"/>
    <s v="Comprehensive Strategic Partnership of Coordination in the New Era [新时代中俄全面战略协作伙伴关系]"/>
    <s v="None"/>
    <x v="3"/>
    <x v="7"/>
    <x v="31"/>
    <n v="8"/>
    <x v="16"/>
    <s v="Wei Fenghe"/>
    <m/>
    <s v="Defense Minister; CMC Member"/>
    <n v="8"/>
    <x v="4"/>
    <s v="Russian MINDEF at Moscow Conference on International Security"/>
    <x v="0"/>
    <m/>
    <x v="0"/>
    <m/>
    <x v="1"/>
    <m/>
    <m/>
    <m/>
    <s v="http://english.chinamil.com.cn/view/2022-08/16/content_10178641.htm"/>
    <s v="Russian Defense Ministry's Moscow Conference on International Security"/>
  </r>
  <r>
    <x v="1"/>
    <x v="6"/>
    <s v="Europe and Central Asia"/>
    <s v="Member"/>
    <s v="None"/>
    <x v="1"/>
    <x v="14"/>
    <x v="31"/>
    <n v="8"/>
    <x v="16"/>
    <s v="Wei Fenghe"/>
    <m/>
    <s v="Defense Minister; CMC Member"/>
    <n v="8"/>
    <x v="4"/>
    <s v="19th meeting of the SCO Ministers of Defense in Uzbekistan; PRC MINDEF attended virtually"/>
    <x v="0"/>
    <m/>
    <x v="0"/>
    <m/>
    <x v="1"/>
    <m/>
    <m/>
    <m/>
    <s v="http://eng.mod.gov.cn/xb/News_213114/TopStories/4919270.html; http://www.mod.gov.cn/topnews/2022-08/16/content_4918380.htm?yikikata=df5f3a83-8182ecd0378a8f8e31cc4b495d56d562"/>
    <s v="Council of Ministers of Defense of Shanghai Cooperation Organization (SCO) Member States "/>
  </r>
  <r>
    <x v="1"/>
    <x v="1"/>
    <s v="Asia"/>
    <s v="Comprehensive Strategic Cooperative Partnership [全面战略合作伙伴关系]"/>
    <s v="Bilateral Defense Treaty"/>
    <x v="0"/>
    <x v="5"/>
    <x v="31"/>
    <n v="8"/>
    <x v="15"/>
    <s v="Chang Dingqiu"/>
    <m/>
    <s v="PLAAF Commander"/>
    <n v="8"/>
    <x v="4"/>
    <s v="Royal Thai Air Force Commander Air Chief Marshal Napadej Dhupatemiya"/>
    <x v="0"/>
    <m/>
    <x v="0"/>
    <m/>
    <x v="1"/>
    <m/>
    <m/>
    <m/>
    <s v="http://english.chinamil.com.cn/view/2022-08/09/content_10177081.htm ; http://mod.gov.cn/topnews/2022-08/09/content_4917746.htm"/>
    <m/>
  </r>
  <r>
    <x v="2"/>
    <x v="1"/>
    <s v="Asia"/>
    <s v="Comprehensive Strategic Cooperative Partnership [全面战略合作伙伴关系]"/>
    <s v="Bilateral Defense Treaty"/>
    <x v="0"/>
    <x v="5"/>
    <x v="31"/>
    <n v="8"/>
    <x v="5"/>
    <m/>
    <m/>
    <m/>
    <m/>
    <x v="0"/>
    <m/>
    <x v="3"/>
    <s v="Falcon Strike 2022"/>
    <x v="5"/>
    <s v="At Udorn AFB Thailand, PLAAF sent fighter jets, fighter-bombers and airborne early warning (AEW) aircraft, and the Royal Thai Air Force will send its fighter jets and AEW aircraft"/>
    <x v="1"/>
    <m/>
    <m/>
    <m/>
    <s v="http://english.chinamil.com.cn/view/2022-08/12/content_10177822.htm ; https://www.bangkokpost.com/thailand/general/2368535/rtaf-launches-falcon-strike-2022 ; "/>
    <m/>
  </r>
  <r>
    <x v="1"/>
    <x v="0"/>
    <s v="Asia"/>
    <s v="All-Weather Strategic Cooperative Partnership [全天候战略合作伙伴关系]"/>
    <s v="Major Non-NATO Ally"/>
    <x v="1"/>
    <x v="2"/>
    <x v="31"/>
    <n v="9"/>
    <x v="3"/>
    <s v="Wei Fenghe"/>
    <m/>
    <s v="Defense Minister; CMC Member"/>
    <n v="8"/>
    <x v="2"/>
    <s v="Chief of Army Staff General Qamar Javed Bajwa  in Xi'an"/>
    <x v="0"/>
    <m/>
    <x v="0"/>
    <m/>
    <x v="1"/>
    <m/>
    <m/>
    <m/>
    <s v="http://english.chinamil.com.cn/view/2022-06/12/content_10162474.htm ; https://ispr.gov.pk/press-release-detail.php?id=6407 ; http://www.mod.gov.cn/topnews/2022-06/12/content_4912763.htm"/>
    <s v=" "/>
  </r>
  <r>
    <x v="2"/>
    <x v="3"/>
    <s v="Europe and Central Asia"/>
    <s v="Comprehensive Strategic Partnership of Coordination in the New Era [新时代中俄全面战略协作伙伴关系]"/>
    <s v="None"/>
    <x v="3"/>
    <x v="7"/>
    <x v="31"/>
    <n v="9"/>
    <x v="6"/>
    <m/>
    <m/>
    <m/>
    <m/>
    <x v="0"/>
    <m/>
    <x v="3"/>
    <s v="Vostok 2022"/>
    <x v="3"/>
    <s v="Army, navy and air force units from the PLA Northern Theater Command, with more than 2,000 members, as well as more than 300 vehicles and equipment of various types, 21 fixed-wing aircraft and helicopters, and three ships; Also taking part: Azerbaijan, Algeria, Armenia, Belarus, China, India, Kazakhstan, Laos, Mongolia, Nicaragua, Syria and Tajikistan, the Defence Ministry said.  Exercise was smaller than in years past"/>
    <x v="1"/>
    <m/>
    <m/>
    <m/>
    <s v="http://english.chinamil.com.cn/view/2022-09/01/content_10182185.htm; http://www.mod.gov.cn/topnews/2022-08/15/content_4918333.htm; https://www.81.cn/jfjbmap/content/2022-08/12/content_321785.htm; https://www.81.cn/jfjbmap/content/2022-08/14/content_321905.htm; https://www.81.cn/jfjbmap/content/2022-09/04/content_323410.htm https://www.81.cn/jfjbmap/content/2022-08/13/content_321864.htm"/>
    <m/>
  </r>
  <r>
    <x v="2"/>
    <x v="3"/>
    <s v="Europe and Central Asia"/>
    <s v="Comprehensive Strategic Partnership of Coordination in the New Era [新时代中俄全面战略协作伙伴关系]"/>
    <s v="None"/>
    <x v="3"/>
    <x v="7"/>
    <x v="31"/>
    <n v="9"/>
    <x v="5"/>
    <m/>
    <m/>
    <m/>
    <m/>
    <x v="0"/>
    <m/>
    <x v="9"/>
    <s v="Joint Maritime Cruise"/>
    <x v="2"/>
    <s v="Destroyer Nanchang (PN 101) [南昌舰], Frigate Yancheng (PN 546) [盐城舰], and the Comprehensive Resupply Ship Dongpinghu (PN 902) [东平湖舰]. The Russian Navy sent five ships in total, namely the frigate Marshal Shaposhnikov (PN 543), the replenishment ship Pechenga (PN unknown), the Russian Navy corvettes Sovershennyy (PN 333), Gromkiy (PN 335) and Hero of the Russian Federation Aldar Tsydenzhapov (PN 339) sighted near Alaska by USCG cutter"/>
    <x v="1"/>
    <m/>
    <m/>
    <m/>
    <s v="https://tass.com/defense/1512075; https://apnews.com/article/russia-ukraine-china-alaska-honolulu-coast-guard-54638cccc30d5a0f8879022f493a6302"/>
    <s v=" joint maritime cruise; included because not a CBM."/>
  </r>
  <r>
    <x v="1"/>
    <x v="1"/>
    <s v="Asia"/>
    <s v="Comprehensive Strategic Cooperative Partnership [全面战略合作伙伴关系]"/>
    <s v="None"/>
    <x v="0"/>
    <x v="23"/>
    <x v="31"/>
    <n v="9"/>
    <x v="15"/>
    <s v="Yuan Huazhi"/>
    <m/>
    <s v="PLAN PC"/>
    <n v="6"/>
    <x v="4"/>
    <s v="Vietnamese Navy Political Commissar Nguyen Van Bong "/>
    <x v="0"/>
    <m/>
    <x v="0"/>
    <m/>
    <x v="1"/>
    <m/>
    <m/>
    <m/>
    <s v="http://english.chinamil.com.cn/view/2022-09/29/content_10188309.htm "/>
    <m/>
  </r>
  <r>
    <x v="1"/>
    <x v="4"/>
    <s v="Asia"/>
    <s v="N/A"/>
    <s v="None"/>
    <x v="0"/>
    <x v="161"/>
    <x v="31"/>
    <n v="10"/>
    <x v="2"/>
    <s v="Wang Chunning "/>
    <m/>
    <s v="PAP Commander"/>
    <n v="6"/>
    <x v="2"/>
    <s v="Great Wall 2022 Counterterrorism Forum; 170 representatives from 30 countries, including China, Russia, Pakistan, Brazil, and Italy"/>
    <x v="0"/>
    <m/>
    <x v="0"/>
    <m/>
    <x v="1"/>
    <m/>
    <m/>
    <m/>
    <s v="http://eng.mod.gov.cn/news/2022-08/31/content_4919940.htm; http://www.news.cn/2022-08/31/c_1128965483.htm"/>
    <s v="PAP CDR gave speech; attendees includes &quot;leaders of armed police&quot; from other countries."/>
  </r>
  <r>
    <x v="1"/>
    <x v="4"/>
    <s v="Asia"/>
    <s v="N/A"/>
    <s v="None"/>
    <x v="0"/>
    <x v="161"/>
    <x v="31"/>
    <n v="10"/>
    <x v="2"/>
    <s v="Jia Zhigang "/>
    <m/>
    <s v="PLAAF Deputy Commander"/>
    <n v="5"/>
    <x v="2"/>
    <s v="International Military Flight Training Conference 2022 and Zhuhai Forum; 28 Chinese and foreign representatives (21 of whom were from foreign countries) spoke on the conference’s main topic of “Talented Personnel, Innovation, Cooperation, and Development” , both in-person and virtually"/>
    <x v="0"/>
    <m/>
    <x v="0"/>
    <m/>
    <x v="1"/>
    <m/>
    <m/>
    <m/>
    <s v="http://eng.mod.gov.cn/news/2022-11/07/content_4925376.htm;  https://news.cgtn.com/news/2022-11-10/Intl-Military-Flight-Training-Conference-held-in-Guangdong-Province-1eQ9ViotgUo/index.html; http://www.news.cn/politics/2022-11/06/c_1129106293.htm; https://www.81.cn/jfjbmap/content/2022-11/07/content_327244.htm; "/>
    <s v="PLAAF Deputy CDR gave speech; not clear if attendees are on that level but they have been in the past. Hybrid event"/>
  </r>
  <r>
    <x v="1"/>
    <x v="3"/>
    <s v="Europe and Central Asia"/>
    <s v="Comprehensive Strategic Partnership of Coordination in the New Era [新时代中俄全面战略协作伙伴关系]"/>
    <s v="None"/>
    <x v="3"/>
    <x v="7"/>
    <x v="31"/>
    <n v="10"/>
    <x v="15"/>
    <s v="Wei Fenghe"/>
    <m/>
    <s v="Defense Minister; CMC Member"/>
    <n v="8"/>
    <x v="4"/>
    <s v="MINDEF Sergey Shoigu"/>
    <x v="0"/>
    <m/>
    <x v="0"/>
    <m/>
    <x v="1"/>
    <m/>
    <m/>
    <m/>
    <s v="http://eng.mod.gov.cn/news/2022-10/27/content_4924562.htm "/>
    <s v="Russian Defense Ministry's Moscow Conference on International Security"/>
  </r>
  <r>
    <x v="1"/>
    <x v="7"/>
    <s v="West Asia and Africa"/>
    <s v="Comprehensive Strategic Cooperative Partnership [全面战略合作伙伴关系]"/>
    <s v="None"/>
    <x v="4"/>
    <x v="152"/>
    <x v="31"/>
    <n v="10"/>
    <x v="1"/>
    <s v="Liu Wenqi"/>
    <m/>
    <s v="Commander, Northern TC Air Force"/>
    <n v="5"/>
    <x v="1"/>
    <s v="Senegal AF Commander; Africa Airforce Forum"/>
    <x v="0"/>
    <m/>
    <x v="0"/>
    <m/>
    <x v="1"/>
    <m/>
    <m/>
    <m/>
    <s v="https://airforceafrica.com/#overview; http://eng.mod.gov.cn/news/2022-10/27/content_4924560.htm "/>
    <s v="Participate in Africa Airforce Forum; Coded as Senegal because they are the host"/>
  </r>
  <r>
    <x v="1"/>
    <x v="1"/>
    <s v="Asia"/>
    <s v="Comprehensive Strategic Partnership [全面战略伙伴关系]"/>
    <s v="None"/>
    <x v="0"/>
    <x v="153"/>
    <x v="31"/>
    <n v="11"/>
    <x v="1"/>
    <s v="Wei Fenghe"/>
    <m/>
    <s v="Defense Minister; CMC Member"/>
    <n v="8"/>
    <x v="1"/>
    <s v="ADMM+"/>
    <x v="0"/>
    <m/>
    <x v="0"/>
    <m/>
    <x v="1"/>
    <m/>
    <m/>
    <m/>
    <s v="http://eng.mod.gov.cn/news/2022-11/19/content_4926527.htm 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http://eng.mod.gov.cn/news/2022-11/23/content_4926805.htm"/>
    <m/>
  </r>
  <r>
    <x v="1"/>
    <x v="1"/>
    <s v="Asia"/>
    <s v="Comprehensive Strategic Cooperative Partnership [全面战略合作伙伴关系]"/>
    <s v="None"/>
    <x v="0"/>
    <x v="94"/>
    <x v="31"/>
    <n v="11"/>
    <x v="4"/>
    <s v="Wei Fenghe"/>
    <m/>
    <s v="Defense Minister; CMC Member"/>
    <n v="8"/>
    <x v="1"/>
    <s v="PM Hun Sen and Defense Minister General Tea Banh "/>
    <x v="0"/>
    <m/>
    <x v="0"/>
    <m/>
    <x v="1"/>
    <m/>
    <m/>
    <m/>
    <s v="http://eng.mod.gov.cn/news/2022-11/21/content_4926578.htm"/>
    <s v="BL visit in conjunction with ADMM+ meeting in Cambodia"/>
  </r>
  <r>
    <x v="0"/>
    <x v="1"/>
    <s v="Asia"/>
    <s v="Comprehensive Strategic Partnership [全面战略伙伴关系]"/>
    <s v="None"/>
    <x v="0"/>
    <x v="8"/>
    <x v="31"/>
    <n v="11"/>
    <x v="12"/>
    <m/>
    <m/>
    <m/>
    <m/>
    <x v="0"/>
    <m/>
    <x v="0"/>
    <m/>
    <x v="0"/>
    <m/>
    <x v="0"/>
    <s v="Mission Harmony-2022"/>
    <s v="East Sea Fleet"/>
    <s v="Peace Ark visit to provide medical services"/>
    <s v="http://eng.mod.gov.cn/news/2022-11/03/content_4925044.htm ; http://mod.gov.cn/topnews/2022-11/01/content_4924827.htm; http://www.news.cn/2022-11/10/c_1129118962.htm; http://english.chinamil.com.cn/view/2022-11/13/content_10198915.htm "/>
    <m/>
  </r>
  <r>
    <x v="1"/>
    <x v="1"/>
    <s v="Asia"/>
    <s v="Comprehensive Strategic Partnership [全面战略伙伴关系]"/>
    <s v="None"/>
    <x v="0"/>
    <x v="8"/>
    <x v="31"/>
    <n v="11"/>
    <x v="3"/>
    <s v="Wei Fenghe"/>
    <m/>
    <s v="Defense Minister; CMC Member"/>
    <n v="8"/>
    <x v="2"/>
    <s v="Defense Minister Prabowo Subianto  in Xi'an"/>
    <x v="0"/>
    <m/>
    <x v="0"/>
    <m/>
    <x v="1"/>
    <m/>
    <m/>
    <m/>
    <s v="http://eng.mod.gov.cn/news/2022-11/18/content_4926418.htm"/>
    <m/>
  </r>
  <r>
    <x v="1"/>
    <x v="1"/>
    <s v="Asia"/>
    <s v="Comprehensive Strategic Cooperative Partnership [全面战略合作伙伴关系]"/>
    <s v="None"/>
    <x v="0"/>
    <x v="52"/>
    <x v="31"/>
    <n v="11"/>
    <x v="3"/>
    <s v="Wang Xiubin"/>
    <m/>
    <s v="Southern TC Commander"/>
    <n v="6"/>
    <x v="2"/>
    <s v="Deputy Minister of National Defense and Chief of the General Staff Lieutenant General Khamlieng Outhakaysone,"/>
    <x v="0"/>
    <s v=" "/>
    <x v="6"/>
    <m/>
    <x v="1"/>
    <m/>
    <m/>
    <m/>
    <s v="http://english.chinamil.com.cn/view/2022-11/29/content_10202150.htm "/>
    <s v="Included because of the positions of those involved."/>
  </r>
  <r>
    <x v="1"/>
    <x v="4"/>
    <s v="Asia"/>
    <s v="Comprehensive Strategic Partnership [全面战略伙伴关系]"/>
    <s v="None"/>
    <x v="0"/>
    <x v="53"/>
    <x v="31"/>
    <n v="11"/>
    <x v="15"/>
    <s v="Wei Fenghe"/>
    <m/>
    <s v="Defense Minister; CMC Member"/>
    <n v="8"/>
    <x v="4"/>
    <s v="Minister of Defense Saikhanbayar Gursed "/>
    <x v="0"/>
    <m/>
    <x v="0"/>
    <m/>
    <x v="1"/>
    <m/>
    <m/>
    <m/>
    <s v="http://eng.mod.gov.cn/news/2022-11/19/content_4926508.htm "/>
    <m/>
  </r>
  <r>
    <x v="2"/>
    <x v="3"/>
    <s v="Europe and Central Asia"/>
    <s v="Comprehensive Strategic Partnership of Coordination in the New Era [新时代中俄全面战略协作伙伴关系]"/>
    <s v="None"/>
    <x v="3"/>
    <x v="7"/>
    <x v="31"/>
    <n v="11"/>
    <x v="5"/>
    <m/>
    <m/>
    <m/>
    <m/>
    <x v="0"/>
    <m/>
    <x v="9"/>
    <s v="Joint Aerial Strategic Patrol 2022 (II)"/>
    <x v="5"/>
    <s v="&quot;Joint strategic air patrol&quot; over Sea of Japan, the East China Sea and the west Pacific Ocean --PLAAF H-6K strategic bombers, YU-20 tanker aircraft and J-16 fighter jets (which refuel from YU-20); Russian Tu-95MS strategic missile-carrying bomber. Planes land on airfields in each other's territory. First time they conduct two air patrols in one year."/>
    <x v="1"/>
    <m/>
    <m/>
    <m/>
    <s v="http://eng.mod.gov.cn/news/2022-11/30/content_4927318.htm "/>
    <s v="CODED as joint patrol; INCLUDED because of external audience."/>
  </r>
  <r>
    <x v="1"/>
    <x v="1"/>
    <s v="Asia"/>
    <s v="All-Round Cooperative Partnership [全方合作伙伴关系]"/>
    <s v="None"/>
    <x v="0"/>
    <x v="39"/>
    <x v="31"/>
    <n v="11"/>
    <x v="3"/>
    <s v="Wei Fenghe"/>
    <m/>
    <s v="Defense Minister; CMC Member"/>
    <n v="8"/>
    <x v="2"/>
    <s v="Defense Minister Ng Eng Hen in Xi'an"/>
    <x v="0"/>
    <m/>
    <x v="0"/>
    <m/>
    <x v="1"/>
    <m/>
    <m/>
    <m/>
    <s v=" http://eng.mod.gov.cn/news/2022-11/18/content_4926382.htm"/>
    <m/>
  </r>
  <r>
    <x v="1"/>
    <x v="2"/>
    <s v="America and Oceania"/>
    <s v="No Specific Relationship"/>
    <s v="N/A"/>
    <x v="2"/>
    <x v="4"/>
    <x v="31"/>
    <n v="11"/>
    <x v="7"/>
    <s v="Wei Fenghe"/>
    <m/>
    <s v="Defense Minister; CMC Member"/>
    <n v="8"/>
    <x v="1"/>
    <s v="Secretary of Defense; BL at ADMM+"/>
    <x v="0"/>
    <m/>
    <x v="0"/>
    <m/>
    <x v="1"/>
    <m/>
    <m/>
    <m/>
    <s v="http://eng.mod.gov.cn/news/2022-11/22/content_4926695.htm "/>
    <s v="on margins of ADMM+"/>
  </r>
  <r>
    <x v="0"/>
    <x v="0"/>
    <s v="Asia "/>
    <s v="Strategic Cooperative Partnership [战略合作伙伴关系]"/>
    <s v="None"/>
    <x v="0"/>
    <x v="0"/>
    <x v="31"/>
    <n v="12"/>
    <x v="0"/>
    <m/>
    <m/>
    <m/>
    <m/>
    <x v="0"/>
    <m/>
    <x v="0"/>
    <m/>
    <x v="0"/>
    <m/>
    <x v="0"/>
    <s v="Bangladesh International Fleet Review"/>
    <s v="South Sea Fleet"/>
    <s v="Changsha DDG to Bangladesh to Participate in International Fleet Review"/>
    <s v="http://eng.mod.gov.cn/news/2022-11/26/content_4927059.htm "/>
    <s v="Coded as port call (friendly visit) because a fleet review isn't substantive enough to be called an exercise."/>
  </r>
  <r>
    <x v="1"/>
    <x v="10"/>
    <s v="America and Oceania"/>
    <s v="Comprehensive Cooperative Partnership [全面合作伙伴关系]"/>
    <s v="None"/>
    <x v="5"/>
    <x v="159"/>
    <x v="31"/>
    <n v="12"/>
    <x v="16"/>
    <s v="Wei Fenghe"/>
    <m/>
    <s v="Defense Minister; CMC Member"/>
    <n v="8"/>
    <x v="4"/>
    <s v="Fifth China-Latin American and the Caribbean States Defense Forum "/>
    <x v="0"/>
    <m/>
    <x v="0"/>
    <m/>
    <x v="1"/>
    <m/>
    <m/>
    <m/>
    <s v="http://english.chinamil.com.cn/view/2022-12/13/content_10205508.htm "/>
    <s v="Virtual Meeting of China-LAC Defense Forum.  Coded as CELAC sponsored to match previous iterations."/>
  </r>
  <r>
    <x v="1"/>
    <x v="4"/>
    <s v="Asia"/>
    <s v="N/A"/>
    <s v="None"/>
    <x v="0"/>
    <x v="161"/>
    <x v="31"/>
    <n v="12"/>
    <x v="16"/>
    <s v="Yang Xuejun"/>
    <m/>
    <s v="President, AMS"/>
    <n v="5"/>
    <x v="4"/>
    <s v="Xiangshan Forum (Virtual)"/>
    <x v="0"/>
    <m/>
    <x v="0"/>
    <m/>
    <x v="1"/>
    <m/>
    <m/>
    <m/>
    <s v="http://english.chinamil.com.cn/view/2022-12/03/content_10203069.htm "/>
    <s v="Virtual Meeting of Xiangshan Forum"/>
  </r>
  <r>
    <x v="2"/>
    <x v="3"/>
    <s v="Europe and Central Asia"/>
    <s v="Comprehensive Strategic Partnership of Coordination in the New Era [新时代中俄全面战略协作伙伴关系]"/>
    <s v="None"/>
    <x v="3"/>
    <x v="7"/>
    <x v="31"/>
    <n v="12"/>
    <x v="5"/>
    <m/>
    <m/>
    <m/>
    <m/>
    <x v="0"/>
    <m/>
    <x v="3"/>
    <s v="Joint Sea 2022"/>
    <x v="2"/>
    <s v="In the East China Sea on December 21-27.  Operations on blockade and control, visit, board, search and seizure (VBSS), air defense, rescue, ASW, destroyers Baotou and Jinan, frigates Binzhou and Yancheng, supply ship Gaoyouhu, as well as submarine, fixed-wing early warning aircraft and anti-submarine patrol aircraft"/>
    <x v="1"/>
    <m/>
    <m/>
    <m/>
    <s v="http://english.chinamil.com.cn/view/2022-12/21/content_10207012.htm ; http://eng.mod.gov.cn/news/2022-12/27/content_4929309.htm "/>
    <s v="Coded as combat because of the combat disciplines involved.  Take another look at earlier exercises in light of Taffer research?"/>
  </r>
  <r>
    <x v="1"/>
    <x v="6"/>
    <s v="Europe and Central Asia"/>
    <s v="Member"/>
    <s v="None"/>
    <x v="1"/>
    <x v="14"/>
    <x v="31"/>
    <n v="12"/>
    <x v="16"/>
    <s v="Wei Fenghe"/>
    <m/>
    <s v="Defense Minister; CMC Member"/>
    <n v="8"/>
    <x v="4"/>
    <s v="Joint SCO-CIS Defense Ministers meeting; PRC MINDEF attended virtually"/>
    <x v="0"/>
    <m/>
    <x v="0"/>
    <m/>
    <x v="1"/>
    <m/>
    <m/>
    <m/>
    <s v="http://english.chinamil.com.cn/view/2022-12/10/content_10204633.htm "/>
    <s v="Council of Ministers of Defense of Shanghai Cooperation Organization (SCO) Member States "/>
  </r>
  <r>
    <x v="1"/>
    <x v="6"/>
    <s v="Europe and Central Asia"/>
    <s v="Comprehensive Strategic Partnership [全面战略伙伴]"/>
    <s v="None"/>
    <x v="1"/>
    <x v="55"/>
    <x v="32"/>
    <n v="1"/>
    <x v="3"/>
    <s v="Wei Fenghe"/>
    <m/>
    <s v="Defense Minister; CMC Member"/>
    <n v="8"/>
    <x v="2"/>
    <s v="Defense Minister Begench Gundogdyev "/>
    <x v="0"/>
    <m/>
    <x v="0"/>
    <m/>
    <x v="1"/>
    <m/>
    <m/>
    <m/>
    <s v="http://eng.mod.gov.cn/news/2023-01/06/content_4930109.htm"/>
    <s v="upgraded diplomatic ties to CSP in 2023"/>
  </r>
  <r>
    <x v="1"/>
    <x v="1"/>
    <s v="Asia"/>
    <s v="Comprehensive Strategic Cooperative Partnership [全面战略合作伙伴关系]"/>
    <s v="None"/>
    <x v="0"/>
    <x v="94"/>
    <x v="32"/>
    <n v="2"/>
    <x v="3"/>
    <s v="Zhang Youxia"/>
    <m/>
    <s v="CMC Vice Chairman"/>
    <n v="10"/>
    <x v="2"/>
    <s v="Deputy Commander-in-Chief, RCAF"/>
    <x v="0"/>
    <m/>
    <x v="0"/>
    <m/>
    <x v="1"/>
    <m/>
    <m/>
    <m/>
    <s v="http://eng.chinamil.com.cn/CHINA_209163/Exchanges/News_209188/16200864.html"/>
    <m/>
  </r>
  <r>
    <x v="2"/>
    <x v="0"/>
    <s v="Asia"/>
    <s v="All-Weather Strategic Cooperative Partnership [全天候战略合作伙伴关系]"/>
    <s v="Major Non-NATO Ally"/>
    <x v="1"/>
    <x v="2"/>
    <x v="32"/>
    <n v="2"/>
    <x v="6"/>
    <m/>
    <m/>
    <m/>
    <m/>
    <x v="0"/>
    <m/>
    <x v="4"/>
    <s v="AMAN-23"/>
    <x v="2"/>
    <s v="Divided into harbor and sea phases, involving warships, aircraft, special operations forces; 50+ observer countries; Nanning guided-missile destroyer"/>
    <x v="1"/>
    <m/>
    <m/>
    <m/>
    <s v="http://eng.chinamil.com.cn/CHINA_209163/Exchanges/News_209188/16201722.html"/>
    <m/>
  </r>
  <r>
    <x v="2"/>
    <x v="7"/>
    <s v="West Asia and Africa"/>
    <s v="Comprehensive Strategic Partnership [全面战略伙伴关系]"/>
    <s v="None"/>
    <x v="4"/>
    <x v="15"/>
    <x v="32"/>
    <n v="2"/>
    <x v="6"/>
    <m/>
    <m/>
    <m/>
    <m/>
    <x v="0"/>
    <m/>
    <x v="1"/>
    <s v="Unnamed"/>
    <x v="2"/>
    <s v="Second Russia-China-South Africa exercise; 42nd Chinese naval escort; Guided missile destroyer Huainan, frigate Rizhao and comprehensive supply ship Kekexilihu; joint escort, boarding and inspection, and CT ops"/>
    <x v="1"/>
    <m/>
    <m/>
    <m/>
    <s v="http://eng.mod.gov.cn/xb/News_213114/TopStories/16203349.html"/>
    <m/>
  </r>
  <r>
    <x v="2"/>
    <x v="1"/>
    <s v="Asia"/>
    <s v="Comprehensive Strategic Partnership [全面战略伙伴]"/>
    <s v="Bilateral Defense Treaty"/>
    <x v="0"/>
    <x v="5"/>
    <x v="32"/>
    <n v="2"/>
    <x v="6"/>
    <m/>
    <m/>
    <m/>
    <m/>
    <x v="1"/>
    <m/>
    <x v="2"/>
    <s v="Cobra Gold 2023"/>
    <x v="1"/>
    <s v="Southern Theater Command dispatched for tabletop HADR exercises, high-level forum and live drills  "/>
    <x v="1"/>
    <m/>
    <m/>
    <m/>
    <s v="http://eng.mod.gov.cn/xb/News_213114/TopStories/16203770.html"/>
    <s v="upgraded diplomatic ties to CSP in 2023"/>
  </r>
  <r>
    <x v="2"/>
    <x v="1"/>
    <s v="Asia"/>
    <s v="Comprehensive Strategic Cooperative Partnership [全面战略合作伙伴关系]"/>
    <s v="None"/>
    <x v="0"/>
    <x v="94"/>
    <x v="32"/>
    <n v="3"/>
    <x v="5"/>
    <m/>
    <m/>
    <m/>
    <m/>
    <x v="0"/>
    <m/>
    <x v="2"/>
    <s v="Golden Dragon 2023"/>
    <x v="3"/>
    <s v="more than 200 troops from Army, Navy, and JLSF of Southern Theater Command"/>
    <x v="1"/>
    <m/>
    <m/>
    <m/>
    <s v="http://eng.chinamil.com.cn/CHINA_209163/Exchanges/News_209188/16214214.html"/>
    <m/>
  </r>
  <r>
    <x v="2"/>
    <x v="9"/>
    <s v="West Asia and Africa"/>
    <s v="Comprehensive Strategic Partnership [全面战略伙伴关系]"/>
    <s v="None"/>
    <x v="1"/>
    <x v="89"/>
    <x v="32"/>
    <n v="3"/>
    <x v="6"/>
    <m/>
    <m/>
    <m/>
    <m/>
    <x v="0"/>
    <m/>
    <x v="5"/>
    <s v="Security Belt 2023"/>
    <x v="2"/>
    <s v="with Russia in Gulf of Oman; dispatched guided-missile destroyer CNS Nanning to participate in the_x000a_exercise on aerial search, maritime rescue, ship parade, etc."/>
    <x v="1"/>
    <m/>
    <m/>
    <m/>
    <s v="hxxp://eng.chinamil.com.cn/CHINA_209163/TopStories_209189/16209537.html"/>
    <m/>
  </r>
  <r>
    <x v="1"/>
    <x v="0"/>
    <s v="Asia "/>
    <s v="Strategic Cooperative Partnership [战略合作伙伴关系]"/>
    <s v="None"/>
    <x v="0"/>
    <x v="0"/>
    <x v="32"/>
    <n v="4"/>
    <x v="3"/>
    <s v="Li Shangfu"/>
    <m/>
    <s v="Defense Minister; CMC Member"/>
    <n v="8"/>
    <x v="2"/>
    <s v="Chief of Naval Staff  "/>
    <x v="0"/>
    <m/>
    <x v="0"/>
    <m/>
    <x v="1"/>
    <m/>
    <m/>
    <m/>
    <s v="https://web.archive.org/web/20230402152636/hxxp://eng.mod.gov.cn/xb/News_213114/TopStories/16213837.html"/>
    <m/>
  </r>
  <r>
    <x v="1"/>
    <x v="8"/>
    <s v="Europe and Central Asia"/>
    <s v="Comprehensive Strategic Partnership [全面战略伙伴关系]"/>
    <s v="None"/>
    <x v="3"/>
    <x v="34"/>
    <x v="32"/>
    <n v="4"/>
    <x v="7"/>
    <s v="Li Shangfu"/>
    <m/>
    <s v="Defense Minister; CMC Member"/>
    <n v="8"/>
    <x v="1"/>
    <s v="Defense Minister; BL at SCO"/>
    <x v="0"/>
    <m/>
    <x v="0"/>
    <m/>
    <x v="1"/>
    <m/>
    <m/>
    <m/>
    <s v="https://web.archive.org/web/20230502045105/http://eng.mod.gov.cn/xb/News_213114/TopStories/16220779.html"/>
    <m/>
  </r>
  <r>
    <x v="1"/>
    <x v="0"/>
    <s v="Asia"/>
    <s v="Strategic Partnership for Peace and Prosperity [战略伙伴关系]"/>
    <s v="None"/>
    <x v="0"/>
    <x v="6"/>
    <x v="32"/>
    <n v="4"/>
    <x v="7"/>
    <s v="Li Shangfu"/>
    <m/>
    <s v="Defense Minister; CMC Member"/>
    <n v="8"/>
    <x v="1"/>
    <s v="Defense Minister, BL at SCO"/>
    <x v="0"/>
    <m/>
    <x v="0"/>
    <m/>
    <x v="1"/>
    <m/>
    <m/>
    <m/>
    <s v="https://web.archive.org/web/20230502045105/http://eng.mod.gov.cn/xb/News_213114/TopStories/16220779.html"/>
    <m/>
  </r>
  <r>
    <x v="1"/>
    <x v="9"/>
    <s v="West Asia and Africa"/>
    <s v="Comprehensive Strategic Partnership [全面战略伙伴关系]"/>
    <s v="None"/>
    <x v="1"/>
    <x v="89"/>
    <x v="32"/>
    <n v="4"/>
    <x v="7"/>
    <s v="Li Shangfu"/>
    <m/>
    <s v="Defense Minister; CMC Member"/>
    <n v="8"/>
    <x v="1"/>
    <s v="Defense Minister; BL at SCO"/>
    <x v="0"/>
    <m/>
    <x v="0"/>
    <m/>
    <x v="1"/>
    <m/>
    <m/>
    <m/>
    <s v="https://web.archive.org/web/20230502045105/http://eng.mod.gov.cn/xb/News_213114/TopStories/16220779.html"/>
    <m/>
  </r>
  <r>
    <x v="1"/>
    <x v="6"/>
    <s v="Europe and Central Asia"/>
    <s v="Comprehensive Strategic Partnership [全面战略伙伴关系]"/>
    <s v="None"/>
    <x v="1"/>
    <x v="30"/>
    <x v="32"/>
    <n v="4"/>
    <x v="7"/>
    <s v="Li Shangfu"/>
    <m/>
    <s v="Defense Minister; CMC Member"/>
    <n v="8"/>
    <x v="1"/>
    <s v="Defense Minister; BL at SCO"/>
    <x v="0"/>
    <m/>
    <x v="0"/>
    <m/>
    <x v="1"/>
    <m/>
    <m/>
    <m/>
    <s v="https://web.archive.org/web/20230502045105/http://eng.mod.gov.cn/xb/News_213114/TopStories/16220779.html"/>
    <m/>
  </r>
  <r>
    <x v="1"/>
    <x v="6"/>
    <s v="Europe and Central Asia"/>
    <s v="Comprehensive Strategic Partnership [全面战略伙伴关系]"/>
    <s v="None"/>
    <x v="1"/>
    <x v="31"/>
    <x v="32"/>
    <n v="4"/>
    <x v="7"/>
    <s v="Li Shangfu"/>
    <m/>
    <s v="Defense Minister; CMC Member"/>
    <n v="8"/>
    <x v="1"/>
    <s v="Defense Minister; BL at SCO"/>
    <x v="0"/>
    <m/>
    <x v="0"/>
    <m/>
    <x v="1"/>
    <m/>
    <m/>
    <m/>
    <s v="https://web.archive.org/web/20230502045105/http://eng.mod.gov.cn/xb/News_213114/TopStories/16220779.html"/>
    <m/>
  </r>
  <r>
    <x v="1"/>
    <x v="0"/>
    <s v="Asia"/>
    <s v="All-Weather Strategic Cooperative Partnership [全天候战略合作伙伴关系]"/>
    <s v="Major Non-NATO Ally"/>
    <x v="1"/>
    <x v="2"/>
    <x v="32"/>
    <n v="4"/>
    <x v="3"/>
    <s v="Zhang Youxia"/>
    <m/>
    <s v="CMC Vice Chairman"/>
    <n v="10"/>
    <x v="2"/>
    <s v="Chief Army Staff General Asim Munir in Beijing"/>
    <x v="0"/>
    <m/>
    <x v="0"/>
    <m/>
    <x v="1"/>
    <m/>
    <m/>
    <m/>
    <s v="http://eng.mod.gov.cn/xb/CMCDEPARTMENTS/News_213079/16220268.html"/>
    <m/>
  </r>
  <r>
    <x v="1"/>
    <x v="3"/>
    <s v="Europe and Central Asia"/>
    <s v="Comprehensive Strategic Partnership of Coordination in the New Era [新时代中俄全面战略协作伙伴关系]"/>
    <s v="None"/>
    <x v="3"/>
    <x v="7"/>
    <x v="32"/>
    <n v="4"/>
    <x v="4"/>
    <s v="Li Shangfu"/>
    <m/>
    <s v="Defense Minister; CMC Member"/>
    <n v="8"/>
    <x v="1"/>
    <s v="Russian Defense Minister"/>
    <x v="0"/>
    <m/>
    <x v="0"/>
    <m/>
    <x v="1"/>
    <m/>
    <m/>
    <m/>
    <s v="https://web.archive.org/web/20230423044646/http://eng.mod.gov.cn/xb/CMCDEPARTMENTS/News_213079/16218110.html"/>
    <m/>
  </r>
  <r>
    <x v="1"/>
    <x v="3"/>
    <s v="Europe and Central Asia"/>
    <s v="Comprehensive Strategic Partnership of Coordination in the New Era [新时代中俄全面战略协作伙伴关系]"/>
    <s v="None"/>
    <x v="3"/>
    <x v="7"/>
    <x v="32"/>
    <n v="4"/>
    <x v="7"/>
    <s v="Li Shangfu"/>
    <m/>
    <s v="Defense Minister; CMC Member"/>
    <n v="8"/>
    <x v="1"/>
    <s v="Defense Minister; BL at SCO"/>
    <x v="0"/>
    <m/>
    <x v="0"/>
    <m/>
    <x v="1"/>
    <m/>
    <m/>
    <m/>
    <s v="https://web.archive.org/web/20230502045105/http:/eng.mod.gov.cn/xb/News_213114/TopStories/16220779.html"/>
    <m/>
  </r>
  <r>
    <x v="1"/>
    <x v="0"/>
    <s v="Asia"/>
    <s v="Member"/>
    <s v="None"/>
    <x v="0"/>
    <x v="14"/>
    <x v="32"/>
    <n v="4"/>
    <x v="1"/>
    <s v="Li Shangfu"/>
    <m/>
    <s v="Defense Minister; CMC Member"/>
    <n v="8"/>
    <x v="1"/>
    <s v="SCO Defense Ministers' meeting in India "/>
    <x v="0"/>
    <m/>
    <x v="0"/>
    <m/>
    <x v="1"/>
    <m/>
    <m/>
    <m/>
    <s v="https://www.bbc.com/news/world-asia-india-65399808"/>
    <m/>
  </r>
  <r>
    <x v="2"/>
    <x v="1"/>
    <s v="Asia"/>
    <s v="All-round, high-quality, future-oriented Partnernship [全方位高质量的前瞻性伙伴关系]"/>
    <s v="None"/>
    <x v="0"/>
    <x v="39"/>
    <x v="32"/>
    <n v="4"/>
    <x v="5"/>
    <m/>
    <m/>
    <m/>
    <m/>
    <x v="0"/>
    <m/>
    <x v="5"/>
    <s v="China-Singapore Cooperation 2023"/>
    <x v="2"/>
    <s v="helicopter cross deck landing, gunnery firing, replenishment-at-sea approaches, search and rescue, simulated minefield transits, ommunication and maneuvring exercises"/>
    <x v="1"/>
    <m/>
    <m/>
    <m/>
    <s v="https://www.mindef.gov.sg/web/portal/mindef/news-and-events/latest-releases/article-detail/2023/April/28apr23_nr"/>
    <s v="upgraded diplomatic ties in 2023"/>
  </r>
  <r>
    <x v="1"/>
    <x v="6"/>
    <s v="Europe and Central Asia"/>
    <s v="Comprehensive Strategic Partnership [全面战略伙伴关系]"/>
    <s v="None"/>
    <x v="1"/>
    <x v="60"/>
    <x v="32"/>
    <n v="4"/>
    <x v="7"/>
    <s v="Li Shangfu"/>
    <m/>
    <s v="Defense Minister; CMC Member"/>
    <n v="8"/>
    <x v="1"/>
    <s v="Defense Minister; BL at SCO"/>
    <x v="0"/>
    <m/>
    <x v="0"/>
    <m/>
    <x v="1"/>
    <m/>
    <m/>
    <m/>
    <s v="https://web.archive.org/web/20230502045105/http://eng.mod.gov.cn/xb/News_213114/TopStories/16220779.html"/>
    <m/>
  </r>
  <r>
    <x v="1"/>
    <x v="1"/>
    <s v="Asia"/>
    <s v="Comprehensive Strategic Partnership [全面战略伙伴]"/>
    <s v="Bilateral Defense Treaty"/>
    <x v="0"/>
    <x v="5"/>
    <x v="32"/>
    <n v="4"/>
    <x v="3"/>
    <s v="Li Shangfu"/>
    <m/>
    <s v="Defense Minister; CMC Member"/>
    <n v="8"/>
    <x v="2"/>
    <s v="Commander of Navy"/>
    <x v="0"/>
    <m/>
    <x v="0"/>
    <m/>
    <x v="1"/>
    <m/>
    <m/>
    <m/>
    <s v="https://web.archive.org/web/20230516080516/hxxp://eng.chinamil.com.cn/CHINA_209163/TopStories_209189/16217124.html"/>
    <m/>
  </r>
  <r>
    <x v="1"/>
    <x v="6"/>
    <s v="Europe and Central Asia"/>
    <s v="Comprehensive Strategic Partnership [全面战略伙伴关系]"/>
    <s v="None"/>
    <x v="1"/>
    <x v="73"/>
    <x v="32"/>
    <n v="4"/>
    <x v="7"/>
    <s v="Li Shangfu"/>
    <m/>
    <s v="Defense Minister; CMC Member"/>
    <n v="8"/>
    <x v="1"/>
    <s v="Defense Minister; BL at SCO"/>
    <x v="0"/>
    <m/>
    <x v="0"/>
    <m/>
    <x v="1"/>
    <m/>
    <m/>
    <m/>
    <s v="https://web.archive.org/web/20230502045105/http://eng.mod.gov.cn/xb/News_213114/TopStories/16220779.html"/>
    <m/>
  </r>
  <r>
    <x v="1"/>
    <x v="7"/>
    <s v="West Asia and Africa"/>
    <s v="Comprehensive Collaborative Stategic Partnership [全面战略合作伙伴关系]"/>
    <s v="None"/>
    <x v="4"/>
    <x v="127"/>
    <x v="32"/>
    <n v="5"/>
    <x v="3"/>
    <s v="Li Shangfu"/>
    <m/>
    <s v="Defense Minister; CMC Member"/>
    <n v="8"/>
    <x v="2"/>
    <s v="Defense Minister Jean-Pierre Bemba"/>
    <x v="0"/>
    <m/>
    <x v="0"/>
    <m/>
    <x v="1"/>
    <m/>
    <m/>
    <m/>
    <s v="https://web.archive.org/web/20230527163813/http://eng.chinamil.com.cn/CHINA_209163/Exchanges/News_209188/16226936.html"/>
    <s v="upgraded diplomatic ties in 2023"/>
  </r>
  <r>
    <x v="2"/>
    <x v="7"/>
    <s v="West Asia and Africa"/>
    <s v="Comprehensive Cooperative Partnership [全面合作伙伴关系]"/>
    <s v="None"/>
    <x v="4"/>
    <x v="95"/>
    <x v="32"/>
    <n v="5"/>
    <x v="5"/>
    <m/>
    <m/>
    <m/>
    <m/>
    <x v="0"/>
    <m/>
    <x v="2"/>
    <s v="N/A"/>
    <x v="1"/>
    <s v="9th military medical expert team sent for medical aid "/>
    <x v="1"/>
    <m/>
    <m/>
    <m/>
    <s v="http://eng.mod.gov.cn/xb/News_213114/TopStories/16224309.html"/>
    <m/>
  </r>
  <r>
    <x v="1"/>
    <x v="4"/>
    <s v="Asia"/>
    <s v="Mutually Beneficial Strategic Relationship [战略互惠关系]"/>
    <s v="Bilateral Defense Treaty"/>
    <x v="0"/>
    <x v="83"/>
    <x v="32"/>
    <n v="5"/>
    <x v="15"/>
    <s v="Li Shangfu"/>
    <m/>
    <s v="Defense Minister; CMC Member"/>
    <n v="8"/>
    <x v="4"/>
    <s v="Defense Minister Yasukazu Hamada"/>
    <x v="0"/>
    <m/>
    <x v="0"/>
    <m/>
    <x v="1"/>
    <m/>
    <m/>
    <m/>
    <s v="https://web.archive.org/web/20230517121938/http://eng.chinamil.com.cn/CHINA_209163/Exchanges/News_209188/16224658.html"/>
    <m/>
  </r>
  <r>
    <x v="2"/>
    <x v="1"/>
    <s v="Asia"/>
    <s v="Comprehensive Strategic Cooperative Partnership [全面战略合作伙伴关系]"/>
    <s v="None"/>
    <x v="0"/>
    <x v="52"/>
    <x v="32"/>
    <n v="5"/>
    <x v="5"/>
    <m/>
    <m/>
    <m/>
    <m/>
    <x v="0"/>
    <m/>
    <x v="1"/>
    <s v=" Friendship Shield 2023"/>
    <x v="1"/>
    <s v="scenario of joint attacks on transnational armed criminal groups based in jungle mountains; includes live arms firing, comprehensive individual training, detachment tactics and combat service support"/>
    <x v="1"/>
    <m/>
    <m/>
    <m/>
    <s v="http://eng.mod.gov.cn/xb/News_213114/TopStories/16223920.html"/>
    <m/>
  </r>
  <r>
    <x v="1"/>
    <x v="5"/>
    <s v="America and Oceania"/>
    <s v="Comprehensive Strategic Partnership [全面战略伙伴关系]"/>
    <s v="ANZUS Treaty"/>
    <x v="0"/>
    <x v="13"/>
    <x v="32"/>
    <n v="5"/>
    <x v="3"/>
    <s v="???"/>
    <m/>
    <s v="???"/>
    <n v="5"/>
    <x v="2"/>
    <s v="Vice Chief of Defence Force"/>
    <x v="0"/>
    <m/>
    <x v="0"/>
    <m/>
    <x v="1"/>
    <m/>
    <m/>
    <m/>
    <s v="http://en.people.cn/n3/2023/0517/c90000-20019709.html; https://www.nzdf.mil.nz/media-centre/news/new-zealand-china-strategic-defence-dialogue/"/>
    <s v="11th New Zealand-China Strategic Defence Dialogue in Xi'an; Vice Chief of Defence Force, Air Vice-Marshal Tony Davies, and Ministry of Defence Deputy Secretary Policy and Planning, Richard Schmidt PLA head of delegation not mentioned but 2019 physical and 2022 virtual meetings were with Chief of JSD Li Zuocheng"/>
  </r>
  <r>
    <x v="1"/>
    <x v="0"/>
    <s v="Asia"/>
    <s v="All-Weather Strategic Cooperative Partnership [全天候战略合作伙伴关系]"/>
    <s v="Major Non-NATO Ally"/>
    <x v="1"/>
    <x v="2"/>
    <x v="32"/>
    <n v="5"/>
    <x v="3"/>
    <s v="Li Shangfu"/>
    <m/>
    <s v="Defense Minister; CMC Member"/>
    <n v="8"/>
    <x v="2"/>
    <s v="Chief of Naval Staff in Beijing"/>
    <x v="0"/>
    <m/>
    <x v="0"/>
    <m/>
    <x v="1"/>
    <m/>
    <m/>
    <m/>
    <s v="https://web.archive.org/web/20230515121150/http://eng.mod.gov.cn/xb/News_213114/TopStories/16222755.html"/>
    <m/>
  </r>
  <r>
    <x v="0"/>
    <x v="1"/>
    <s v="Asia"/>
    <s v="Comprehensive Strategic Cooperative Partnership [全面战略合作伙伴关系]"/>
    <s v="Bilateral Defense Treaty"/>
    <x v="0"/>
    <x v="5"/>
    <x v="32"/>
    <n v="5"/>
    <x v="0"/>
    <m/>
    <m/>
    <m/>
    <m/>
    <x v="0"/>
    <m/>
    <x v="0"/>
    <m/>
    <x v="0"/>
    <m/>
    <x v="0"/>
    <s v="Training Ship Qi Jiguang"/>
    <s v="South Sea Fleet"/>
    <s v="Qi Jiguang training ship"/>
    <s v="http://eng.chinamil.com.cn/CHINA_209163/Exchanges/News_209188/16227442.html"/>
    <m/>
  </r>
  <r>
    <x v="0"/>
    <x v="1"/>
    <s v="Asia"/>
    <s v="Comprehensive Strategic Partnership [全面战略伙伴关系]"/>
    <s v="None"/>
    <x v="0"/>
    <x v="23"/>
    <x v="32"/>
    <n v="5"/>
    <x v="0"/>
    <m/>
    <m/>
    <m/>
    <m/>
    <x v="0"/>
    <m/>
    <x v="0"/>
    <m/>
    <x v="0"/>
    <m/>
    <x v="0"/>
    <s v="Training Ship Qi Jiguang"/>
    <s v="South Sea Fleet"/>
    <s v="Qi Jiguang training ship"/>
    <s v="http://eng.mod.gov.cn/xb/News_213114/TopStories/16226739.html"/>
    <s v="upgraded diplomatic ties to CSP in 2023"/>
  </r>
  <r>
    <x v="1"/>
    <x v="10"/>
    <s v="America and Oceania"/>
    <s v="Comprehensive Strategic Partnership [全面战略伙伴关系]"/>
    <s v="None"/>
    <x v="5"/>
    <x v="43"/>
    <x v="32"/>
    <n v="6"/>
    <x v="4"/>
    <s v="Yuan Huazhi"/>
    <m/>
    <s v="PLAN PC"/>
    <n v="8"/>
    <x v="1"/>
    <s v="Navy Commander"/>
    <x v="0"/>
    <m/>
    <x v="0"/>
    <m/>
    <x v="1"/>
    <m/>
    <m/>
    <m/>
    <s v="https://www.scmp.com/news/china/diplomacy/article/3224414/brazil-and-china-officials-resume-bilateral-defence-talks-also-discuss-fishing-complaints"/>
    <s v="Resumption of defense ties after a break?"/>
  </r>
  <r>
    <x v="0"/>
    <x v="1"/>
    <s v="Asia"/>
    <s v="Strategic Cooperative Partnership [战略合作伙伴关系]"/>
    <s v="None"/>
    <x v="0"/>
    <x v="44"/>
    <x v="32"/>
    <n v="6"/>
    <x v="0"/>
    <m/>
    <m/>
    <m/>
    <m/>
    <x v="0"/>
    <m/>
    <x v="0"/>
    <m/>
    <x v="0"/>
    <m/>
    <x v="0"/>
    <s v="Training Ship Qi Jiguang"/>
    <s v="South Sea Fleet"/>
    <s v="Qi Jiguang training ship"/>
    <s v="http://eng.chinamil.com.cn/CHINA_209163/Exchanges/News_209188/16228975.html"/>
    <m/>
  </r>
  <r>
    <x v="1"/>
    <x v="1"/>
    <s v="Asia"/>
    <s v="No Specific Relationship"/>
    <s v="None"/>
    <x v="0"/>
    <x v="137"/>
    <x v="32"/>
    <n v="6"/>
    <x v="1"/>
    <s v="Li Shangfu"/>
    <m/>
    <s v="Defense Minister; CMC Member"/>
    <n v="8"/>
    <x v="1"/>
    <s v="20th Shangri-La"/>
    <x v="0"/>
    <m/>
    <x v="0"/>
    <m/>
    <x v="1"/>
    <m/>
    <m/>
    <m/>
    <s v="https://www.iiss.org/globalassets/media-library---content--migration/files/shangri-la-dialogue/2023/provisional-transcripts/p-5/general-li-shangfu-state-councilor-minister-of-national-defense-china---provisional.pdf"/>
    <s v="Shangri-La Dialogue"/>
  </r>
  <r>
    <x v="1"/>
    <x v="1"/>
    <s v="Asia"/>
    <s v="Comprehensive Strategic Partnership [全面战略伙伴关系]"/>
    <s v="None"/>
    <x v="0"/>
    <x v="8"/>
    <x v="32"/>
    <n v="6"/>
    <x v="7"/>
    <s v="Li Shangfu"/>
    <m/>
    <s v="Defense Minister; CMC Member"/>
    <n v="8"/>
    <x v="1"/>
    <s v="Defense Minister Subianto; BL at Shangri-La"/>
    <x v="0"/>
    <m/>
    <x v="0"/>
    <m/>
    <x v="1"/>
    <m/>
    <m/>
    <m/>
    <s v="hxxps://en.antaranews.com/news/283932/ministers-discuss-improving-indonesia-chinadefense-_x000a_cooperation"/>
    <m/>
  </r>
  <r>
    <x v="2"/>
    <x v="1"/>
    <s v="Asia"/>
    <s v="Comprehensive Strategic Partnership [全面战略伙伴关系]"/>
    <s v="None"/>
    <x v="0"/>
    <x v="8"/>
    <x v="32"/>
    <n v="6"/>
    <x v="6"/>
    <m/>
    <m/>
    <m/>
    <m/>
    <x v="0"/>
    <m/>
    <x v="2"/>
    <s v="Komodo 2023"/>
    <x v="2"/>
    <s v="Maritime. Southern TCN’s destroyer Zhanjiang and frigate Xuchang (Hull 536); more than 40 ships from Indonesia, the US, Russia, Singapore, Pakistan, and other countries; exercise included a fleet review, onshore activities (city parade, maritime exhibition, civil medical_x000a_service, civil engineering program, culinary demonstrations, fun diving and sports exchanges, and_x000a_lectures), and joint maritime drills (search and rescue, maritime interception, damage control, and_x000a_aerial photography), etc"/>
    <x v="1"/>
    <m/>
    <m/>
    <m/>
    <s v="Li Jiayao, ed., “Chinese naval ships arrive for Komodo 2023 multilateral naval exercise,” China Military Online, June 5, 2023, http://eng.mod.gov.cn/xb/News_213114/TopStories/16228883.html. Li Weichao, ed., “Chinese sailors_x000a_participate in exchange activities of 2023 multilateral naval exercise Komodo,” China Military Online, June 8, 2023, http://eng.chinamil.com.cn/CHINA_209163/Exchanges/News_209188/16229816.html. Li Jiayao, ed., “Chinese_x000a_naval ships returns from 2023 multilateral naval exercise Komodo,” China Military Online, June 15, 2023,_x000a_http://eng.mod.gov.cn/xb/News_213114/TopStories/16231506.html."/>
    <s v="Fourth in series; MOOTW based on description of activities, which are mostly HA/DR"/>
  </r>
  <r>
    <x v="0"/>
    <x v="7"/>
    <s v="West Asia and Africa"/>
    <s v="No Specific Relationship"/>
    <s v="None"/>
    <x v="4"/>
    <x v="140"/>
    <x v="32"/>
    <n v="6"/>
    <x v="0"/>
    <m/>
    <m/>
    <m/>
    <m/>
    <x v="0"/>
    <m/>
    <x v="0"/>
    <m/>
    <x v="0"/>
    <m/>
    <x v="2"/>
    <s v="ETF-43"/>
    <s v="South Sea Fleet"/>
    <s v="DDG162 Nanning, FFG574 Sanya, AOR887 Weishanhu "/>
    <s v="http://eng.chinamil.com.cn/CHINA_209163/TopStories_209189/16233084.html"/>
    <s v="Port call in Abidjan"/>
  </r>
  <r>
    <x v="0"/>
    <x v="7"/>
    <s v="West Asia and Africa"/>
    <s v="No Specific Relationship"/>
    <s v="None"/>
    <x v="4"/>
    <x v="140"/>
    <x v="32"/>
    <n v="6"/>
    <x v="0"/>
    <m/>
    <m/>
    <m/>
    <m/>
    <x v="0"/>
    <m/>
    <x v="0"/>
    <m/>
    <x v="0"/>
    <m/>
    <x v="2"/>
    <s v="ETF-43 "/>
    <m/>
    <s v="DDG162 Nanning, FFG574 Sanya, AOR887 Weishanhu "/>
    <s v="http://eng.mod.gov.cn/xb/News_213114/TopStories/16233085.html"/>
    <m/>
  </r>
  <r>
    <x v="1"/>
    <x v="4"/>
    <s v="Asia"/>
    <s v="Mutually Beneficial Strategic Relationship [战略互惠关系]"/>
    <s v="Bilateral Defense Treaty"/>
    <x v="0"/>
    <x v="83"/>
    <x v="32"/>
    <n v="6"/>
    <x v="7"/>
    <s v="Li Shangfu"/>
    <m/>
    <s v="Defense Minister; CMC Member"/>
    <n v="8"/>
    <x v="1"/>
    <s v="Defense Minister Hamada; BL at Shangri-La"/>
    <x v="0"/>
    <m/>
    <x v="0"/>
    <m/>
    <x v="1"/>
    <m/>
    <m/>
    <m/>
    <s v="hxxps://jen.jiji.com/jc/eng?g=eco&amp;k=2023060300538"/>
    <m/>
  </r>
  <r>
    <x v="2"/>
    <x v="4"/>
    <s v="Asia"/>
    <s v="Comprehensive Strategic Partnership [全面战略伙伴关系]"/>
    <s v="None"/>
    <x v="0"/>
    <x v="53"/>
    <x v="32"/>
    <n v="6"/>
    <x v="6"/>
    <m/>
    <m/>
    <m/>
    <m/>
    <x v="0"/>
    <m/>
    <x v="2"/>
    <s v="Khaan Quest 2023"/>
    <x v="1"/>
    <s v="multinational peacekeeping exercise"/>
    <x v="1"/>
    <m/>
    <m/>
    <m/>
    <s v="hxxp://eng.chinamil.com.cn/CHINA_209163/TopStories_209189/16231791.html"/>
    <m/>
  </r>
  <r>
    <x v="1"/>
    <x v="0"/>
    <s v="Asia"/>
    <s v="All-Weather Strategic Cooperative Partnership [全天候战略合作伙伴关系]"/>
    <s v="Major Non-NATO Ally"/>
    <x v="1"/>
    <x v="2"/>
    <x v="32"/>
    <n v="6"/>
    <x v="3"/>
    <s v="Zhang Youxia"/>
    <m/>
    <s v="CMC Vice Chairman"/>
    <n v="10"/>
    <x v="2"/>
    <s v="Chair of JCS Sahir Shamshad Mirza"/>
    <x v="0"/>
    <m/>
    <x v="0"/>
    <m/>
    <x v="1"/>
    <m/>
    <m/>
    <m/>
    <s v="http://eng.chinamil.com.cn/CHINA_209163/Exchanges/News_209188/16232555.html"/>
    <m/>
  </r>
  <r>
    <x v="0"/>
    <x v="1"/>
    <s v="Asia"/>
    <s v="Comprehensive Strategic Partnership [全面战略伙伴关系]"/>
    <s v="Bilateral Defense Treaty"/>
    <x v="0"/>
    <x v="11"/>
    <x v="32"/>
    <n v="6"/>
    <x v="0"/>
    <m/>
    <m/>
    <m/>
    <m/>
    <x v="0"/>
    <m/>
    <x v="0"/>
    <m/>
    <x v="0"/>
    <m/>
    <x v="0"/>
    <s v="Training Ship Qi Jiguang"/>
    <s v="South Sea Fleet"/>
    <s v="Qi Jiguang training ship"/>
    <s v="http://eng.chinamil.com.cn/CHINA_209163/Exchanges/News_209188/16231164.html"/>
    <m/>
  </r>
  <r>
    <x v="2"/>
    <x v="3"/>
    <s v="Europe and Central Asia"/>
    <s v="Comprehensive Strategic Partnership of Coordination in the New Era [新时代中俄全面战略协作伙伴关系]"/>
    <s v="None"/>
    <x v="3"/>
    <x v="7"/>
    <x v="32"/>
    <n v="6"/>
    <x v="5"/>
    <m/>
    <m/>
    <m/>
    <m/>
    <x v="0"/>
    <m/>
    <x v="9"/>
    <s v="Joint Aerial Strategic Patrol 2023 "/>
    <x v="5"/>
    <s v="&quot;joint strategic air patrols&quot; over the Sea of Japan and the East China Sea"/>
    <x v="1"/>
    <m/>
    <m/>
    <m/>
    <s v="http://eng.mod.gov.cn/xb/News_213114/TopStories/16229301.html"/>
    <m/>
  </r>
  <r>
    <x v="1"/>
    <x v="3"/>
    <s v="Europe and Central Asia"/>
    <s v="Comprehensive Strategic Partnership of Coordination in the New Era [新时代中俄全面战略协作伙伴关系]"/>
    <s v="None"/>
    <x v="3"/>
    <x v="7"/>
    <x v="32"/>
    <n v="6"/>
    <x v="15"/>
    <s v="Liu Zhenli"/>
    <m/>
    <s v="CMC/JSD Commander; CMC Member"/>
    <n v="8"/>
    <x v="4"/>
    <s v="First Dep. Defense Minister Valery Gerasimov"/>
    <x v="0"/>
    <m/>
    <x v="0"/>
    <m/>
    <x v="1"/>
    <m/>
    <m/>
    <m/>
    <s v="http://eng.mod.gov.cn/xb/News_213114/TopStories/16230169.html"/>
    <m/>
  </r>
  <r>
    <x v="1"/>
    <x v="1"/>
    <s v="Asia"/>
    <s v="All-Round Cooperative Partnership [全方合作伙伴关系]"/>
    <s v="None"/>
    <x v="0"/>
    <x v="39"/>
    <x v="32"/>
    <n v="6"/>
    <x v="4"/>
    <s v="Li Shangfu"/>
    <m/>
    <s v="Defense Minister; CMC Member"/>
    <n v="8"/>
    <x v="1"/>
    <s v="Defense Minister Ng Eng Hen"/>
    <x v="0"/>
    <m/>
    <x v="0"/>
    <m/>
    <x v="1"/>
    <m/>
    <m/>
    <m/>
    <s v="https://www.mindef.gov.sg/web/portal/mindef/news-and-events/latest-releases/article-detail/2023/June/01jun23_nr"/>
    <m/>
  </r>
  <r>
    <x v="1"/>
    <x v="7"/>
    <s v="West Asia and Africa"/>
    <s v="Comprehensive Strategic Partnership [全面战略伙伴关系]"/>
    <s v="None"/>
    <x v="4"/>
    <x v="15"/>
    <x v="32"/>
    <n v="6"/>
    <x v="3"/>
    <s v="Li Shangfu"/>
    <m/>
    <s v="Defense Minister; CMC Member"/>
    <n v="8"/>
    <x v="2"/>
    <s v="Chief of National Defence Force Gen. Rudzani Maphwanya"/>
    <x v="0"/>
    <m/>
    <x v="0"/>
    <m/>
    <x v="1"/>
    <m/>
    <m/>
    <m/>
    <s v="https://web.archive.org/web/20230702182208/http://eng.mod.gov.cn/xb/News_213114/TopStories/16232711.html"/>
    <m/>
  </r>
  <r>
    <x v="1"/>
    <x v="1"/>
    <s v="Asia"/>
    <s v="Comprehensive Strategic Cooperative Partnership [全面战略合作伙伴关系]"/>
    <s v="Bilateral Defense Treaty"/>
    <x v="0"/>
    <x v="5"/>
    <x v="32"/>
    <n v="6"/>
    <x v="3"/>
    <s v="Li Shangfu"/>
    <m/>
    <s v="Defense Minister; CMC Member"/>
    <n v="8"/>
    <x v="2"/>
    <s v="Commander of Royal Thai Army Gen. Narongpan Jitaewtae"/>
    <x v="0"/>
    <m/>
    <x v="0"/>
    <m/>
    <x v="1"/>
    <m/>
    <m/>
    <m/>
    <s v="https://web.archive.org/web/20230610215357/http://eng.mod.gov.cn/xb/News_213114/TopStories/16230303.html"/>
    <m/>
  </r>
  <r>
    <x v="1"/>
    <x v="8"/>
    <s v="Europe and Central Asia"/>
    <s v="Strategic Cooperative Partnership [战略合作伙伴关系]"/>
    <s v="None"/>
    <x v="3"/>
    <x v="26"/>
    <x v="32"/>
    <n v="6"/>
    <x v="7"/>
    <s v="Li Shangfu"/>
    <m/>
    <s v="Defense Minister; CMC Member"/>
    <n v="8"/>
    <x v="1"/>
    <s v="Defense Minister; BL at Shangri-La"/>
    <x v="0"/>
    <m/>
    <x v="0"/>
    <m/>
    <x v="1"/>
    <m/>
    <m/>
    <m/>
    <s v="hxxps://www.straitstimes.com/singapore/if-xi-gets-putin-to-sendrussia-_x000a_s-troops-home-he-can-broker-peace-ukraine-defence-minister"/>
    <m/>
  </r>
  <r>
    <x v="1"/>
    <x v="1"/>
    <s v="Asia"/>
    <s v="Comprehensive Strategic Partnership [全面战略伙伴关系]"/>
    <s v="None"/>
    <x v="0"/>
    <x v="23"/>
    <x v="32"/>
    <n v="6"/>
    <x v="3"/>
    <s v="Li Shangfu"/>
    <m/>
    <s v="Defense Minister; CMC Member"/>
    <n v="8"/>
    <x v="2"/>
    <s v="Defense Minister Phan Van Giang"/>
    <x v="0"/>
    <m/>
    <x v="0"/>
    <m/>
    <x v="1"/>
    <m/>
    <m/>
    <m/>
    <s v="https://web.archive.org/web/20230627122634/http://eng.mod.gov.cn/xb/News_213114/TopStories/16233448.html"/>
    <m/>
  </r>
  <r>
    <x v="0"/>
    <x v="7"/>
    <s v="West Asia and Africa"/>
    <s v="Comprehensive Strategic Partnership [全面战略伙伴关系]"/>
    <s v="None"/>
    <x v="4"/>
    <x v="28"/>
    <x v="32"/>
    <n v="7"/>
    <x v="0"/>
    <m/>
    <m/>
    <m/>
    <m/>
    <x v="0"/>
    <m/>
    <x v="0"/>
    <m/>
    <x v="0"/>
    <m/>
    <x v="2"/>
    <s v="ETF-43"/>
    <s v="South Sea Fleet"/>
    <s v="DDG Nanning, FFG574 Sanya, AOR887 Weishanhu "/>
    <s v="http://eng.chinamil.com.cn/CHINA_209163/Exchanges/News_209188/16238559.html"/>
    <m/>
  </r>
  <r>
    <x v="0"/>
    <x v="7"/>
    <s v="West Asia and Africa"/>
    <s v="Comprehensive Stategic Cooperative Partnership [全面战略合作伙伴关系]"/>
    <s v="None"/>
    <x v="4"/>
    <x v="67"/>
    <x v="32"/>
    <n v="7"/>
    <x v="0"/>
    <m/>
    <m/>
    <m/>
    <m/>
    <x v="0"/>
    <m/>
    <x v="0"/>
    <m/>
    <x v="0"/>
    <m/>
    <x v="2"/>
    <s v="ETF-43"/>
    <s v="South Sea Fleet"/>
    <s v="DDG Nanning, FFG574 Sanya, AOR887 Weishanhu "/>
    <s v="http://eng.chinamil.com.cn/CHINA_209163/Exchanges/News_209188/16236373.html"/>
    <m/>
  </r>
  <r>
    <x v="0"/>
    <x v="7"/>
    <s v="West Asia and Africa"/>
    <s v="No Specific Relationship"/>
    <s v="None"/>
    <x v="4"/>
    <x v="87"/>
    <x v="32"/>
    <n v="7"/>
    <x v="0"/>
    <m/>
    <m/>
    <m/>
    <m/>
    <x v="0"/>
    <m/>
    <x v="0"/>
    <m/>
    <x v="0"/>
    <m/>
    <x v="2"/>
    <s v="ETF-43"/>
    <s v="South Sea Fleet"/>
    <s v="DDG162 Nanning, FFG574 Sanya, AOR887 Weishanhu "/>
    <s v="http://eng.chinamil.com.cn/CHINA_209163/TopStories_209189/16234758.html"/>
    <s v="Port Call in Tema; Note that China and Ghana would establish a strategic partnership in 2024"/>
  </r>
  <r>
    <x v="0"/>
    <x v="5"/>
    <s v="America and Oceania"/>
    <s v="No Specific Relationship"/>
    <s v="None"/>
    <x v="0"/>
    <x v="170"/>
    <x v="32"/>
    <n v="7"/>
    <x v="0"/>
    <m/>
    <m/>
    <m/>
    <m/>
    <x v="0"/>
    <m/>
    <x v="0"/>
    <m/>
    <x v="0"/>
    <s v="1st visit"/>
    <x v="0"/>
    <s v="2023-7 Peace Ark "/>
    <m/>
    <m/>
    <s v="http://eng.chinamil.com.cn/CHINA_209163/Exchanges/News_209188/16240091.html"/>
    <m/>
  </r>
  <r>
    <x v="0"/>
    <x v="7"/>
    <s v="West Asia and Africa"/>
    <s v="Comprehensive Strategic Partnership [全面战略伙伴关系]"/>
    <s v="None"/>
    <x v="4"/>
    <x v="36"/>
    <x v="32"/>
    <n v="7"/>
    <x v="0"/>
    <m/>
    <m/>
    <m/>
    <m/>
    <x v="0"/>
    <m/>
    <x v="0"/>
    <m/>
    <x v="0"/>
    <m/>
    <x v="2"/>
    <s v="ETF-43"/>
    <s v="South Sea Fleet"/>
    <s v="DDG162 Nanning, FFG574 Sanya, AOR887 Weishanhu "/>
    <s v="http://eng.chinamil.com.cn/CHINA_209163/TopStories_209189/16234980.html"/>
    <s v="Port Call in Lagos"/>
  </r>
  <r>
    <x v="1"/>
    <x v="0"/>
    <s v="Asia"/>
    <s v="All-Weather Strategic Cooperative Partnership [全天候战略合作伙伴关系]"/>
    <s v="Major Non-NATO Ally"/>
    <x v="1"/>
    <x v="2"/>
    <x v="32"/>
    <n v="7"/>
    <x v="3"/>
    <s v="Li Shangfu"/>
    <m/>
    <s v="Defense Minister; CMC Member"/>
    <n v="8"/>
    <x v="2"/>
    <s v="Chief of Air Staff Zaheer Ahmed Baber Sidhu"/>
    <x v="0"/>
    <m/>
    <x v="0"/>
    <m/>
    <x v="1"/>
    <m/>
    <m/>
    <m/>
    <s v="https://web.archive.org/web/20230726122636/http://eng.mod.gov.cn/xb/News_213114/TopStories/16239768.html"/>
    <m/>
  </r>
  <r>
    <x v="1"/>
    <x v="3"/>
    <s v="Europe and Central Asia"/>
    <s v="Comprehensive Strategic Partnership of Coordination in the New Era [新时代中俄全面战略协作伙伴关系]"/>
    <s v="None"/>
    <x v="3"/>
    <x v="7"/>
    <x v="32"/>
    <n v="7"/>
    <x v="3"/>
    <s v="Li Shangfu"/>
    <m/>
    <s v="Defense Minister; CMC Member"/>
    <n v="8"/>
    <x v="2"/>
    <s v="Commander-in-Chief of Russian Navy Adm. Nikolay Yevmenov"/>
    <x v="0"/>
    <m/>
    <x v="0"/>
    <m/>
    <x v="1"/>
    <m/>
    <m/>
    <m/>
    <s v="https://web.archive.org/web/20230703103059/http://eng.chinamil.com.cn/CHINA_209163/Exchanges/News_209188/16234783.html"/>
    <m/>
  </r>
  <r>
    <x v="2"/>
    <x v="3"/>
    <s v="Europe and Central Asia"/>
    <s v="Comprehensive Strategic Partnership of Coordination in the New Era [新时代中俄全面战略协作伙伴关系]"/>
    <s v="None"/>
    <x v="3"/>
    <x v="7"/>
    <x v="32"/>
    <n v="7"/>
    <x v="5"/>
    <m/>
    <m/>
    <m/>
    <m/>
    <x v="0"/>
    <m/>
    <x v="3"/>
    <s v="Northern/Interaction 2023"/>
    <x v="3"/>
    <s v="joint army and navy training with maritime and air escort, deterrence and expelling, anchorage ground defense; guided missile destroyer Qiqihar in Sea of Japan"/>
    <x v="1"/>
    <m/>
    <m/>
    <m/>
    <s v="http://eng.mod.gov.cn/xb/News_213114/TopStories/16238784.html"/>
    <m/>
  </r>
  <r>
    <x v="0"/>
    <x v="7"/>
    <s v="West Asia and Africa"/>
    <s v="Comprehensive Strategic Partnership [全面战略伙伴关系]"/>
    <s v="None"/>
    <x v="4"/>
    <x v="15"/>
    <x v="32"/>
    <n v="7"/>
    <x v="0"/>
    <m/>
    <m/>
    <m/>
    <m/>
    <x v="0"/>
    <m/>
    <x v="0"/>
    <m/>
    <x v="0"/>
    <m/>
    <x v="2"/>
    <s v="ETF-43"/>
    <s v="South Sea Fleet"/>
    <s v="DDG162 Nanning, FFG574 Sanya, AOR887 Weishanhu "/>
    <s v="http://eng.mod.gov.cn/xb/News_213114/TopStories/16241200.html"/>
    <m/>
  </r>
  <r>
    <x v="2"/>
    <x v="1"/>
    <s v="Asia"/>
    <s v="Comprehensive Strategic Cooperative Partnership [全面战略合作伙伴关系]"/>
    <s v="Bilateral Defense Treaty"/>
    <x v="0"/>
    <x v="5"/>
    <x v="32"/>
    <n v="7"/>
    <x v="5"/>
    <m/>
    <m/>
    <m/>
    <m/>
    <x v="0"/>
    <m/>
    <x v="3"/>
    <s v="Falcon Strike 2023"/>
    <x v="5"/>
    <s v="PLAF fighter jets, bombers, AEW aircraft, surface-to-air missile fire unit; exercises include air support, joint air defense, large-scale deployment"/>
    <x v="1"/>
    <m/>
    <m/>
    <m/>
    <s v="http://eng.mod.gov.cn/xb/News_213114/TopStories/16236106.html"/>
    <m/>
  </r>
  <r>
    <x v="0"/>
    <x v="5"/>
    <s v="America and Oceania"/>
    <s v="Comprehensive Strategic Partnership [全面战略伙伴关系]"/>
    <s v="None"/>
    <x v="0"/>
    <x v="144"/>
    <x v="32"/>
    <n v="7"/>
    <x v="0"/>
    <m/>
    <m/>
    <m/>
    <m/>
    <x v="0"/>
    <m/>
    <x v="0"/>
    <m/>
    <x v="0"/>
    <m/>
    <x v="0"/>
    <s v="2023-7 Peace Ark "/>
    <s v="East Sea Fleet"/>
    <s v="also visited Kiribati, Vanuatu, Solomon Islands and Timor Leste"/>
    <s v="http://eng.chinamil.com.cn/CHINA_209163/Exchanges/News_209188/16236364.html"/>
    <m/>
  </r>
  <r>
    <x v="1"/>
    <x v="8"/>
    <s v="Europe and Central Asia"/>
    <s v="Comprehensive Strategic Partnership [全面战略伙伴关系]"/>
    <s v="None"/>
    <x v="3"/>
    <x v="34"/>
    <x v="32"/>
    <n v="8"/>
    <x v="4"/>
    <s v="Li Shangfu"/>
    <m/>
    <s v="Defense Minister; CMC Member"/>
    <n v="8"/>
    <x v="1"/>
    <s v="President Lukashenko"/>
    <x v="0"/>
    <m/>
    <x v="0"/>
    <m/>
    <x v="1"/>
    <m/>
    <m/>
    <m/>
    <s v="https://web.archive.org/web/20240119185608/http://eng.chinamil.com.cn/CHINA_209163/Exchanges/News_209188/16245838.html"/>
    <m/>
  </r>
  <r>
    <x v="1"/>
    <x v="9"/>
    <s v="West Asia and Africa"/>
    <s v="Comprehensive Strategic Partnership [全面战略伙伴关系]"/>
    <s v="None"/>
    <x v="1"/>
    <x v="89"/>
    <x v="32"/>
    <n v="8"/>
    <x v="7"/>
    <s v="Li Shangfu"/>
    <m/>
    <s v="Defense Minister; CMC Member"/>
    <n v="8"/>
    <x v="1"/>
    <s v="Defense Minister; BL at MCIS"/>
    <x v="0"/>
    <m/>
    <x v="0"/>
    <m/>
    <x v="1"/>
    <m/>
    <m/>
    <m/>
    <s v="https://web.archive.org/web/20240105114406/http://eng.chinamil.com.cn/CHINA_209163/Exchanges/News_209188/16245560.html"/>
    <m/>
  </r>
  <r>
    <x v="1"/>
    <x v="6"/>
    <s v="Europe and Central Asia"/>
    <s v="Comprehensive Strategic Partnership [全面战略伙伴关系]"/>
    <s v="None"/>
    <x v="1"/>
    <x v="30"/>
    <x v="32"/>
    <n v="8"/>
    <x v="7"/>
    <s v="Li Shangfu"/>
    <m/>
    <s v="Defense Minister; CMC Member"/>
    <n v="8"/>
    <x v="1"/>
    <s v="Defense Minister; BL at MCIS"/>
    <x v="0"/>
    <m/>
    <x v="0"/>
    <m/>
    <x v="1"/>
    <m/>
    <m/>
    <m/>
    <s v="https://web.archive.org/web/20240105114406/http://eng.chinamil.com.cn/CHINA_209163/Exchanges/News_209188/16245560.html"/>
    <m/>
  </r>
  <r>
    <x v="0"/>
    <x v="1"/>
    <s v="Asia"/>
    <s v="Comprehensive Strategic Partnership [全面战略伙伴关系]"/>
    <s v="None"/>
    <x v="0"/>
    <x v="10"/>
    <x v="32"/>
    <n v="8"/>
    <x v="0"/>
    <m/>
    <m/>
    <m/>
    <m/>
    <x v="0"/>
    <m/>
    <x v="0"/>
    <m/>
    <x v="0"/>
    <m/>
    <x v="2"/>
    <s v="ETF-43"/>
    <s v="South Sea Fleet"/>
    <s v="DDG162 Nanning, FFG574 Sanya, AOR887 Weishanhu "/>
    <s v="http://eng.mod.gov.cn/xb/News_213114/TopStories/16247692.html"/>
    <m/>
  </r>
  <r>
    <x v="2"/>
    <x v="0"/>
    <s v="Asia"/>
    <s v="All-Weather Strategic Cooperative Partnership [全天候战略合作伙伴关系]"/>
    <s v="Major Non-NATO Ally"/>
    <x v="1"/>
    <x v="2"/>
    <x v="32"/>
    <n v="8"/>
    <x v="5"/>
    <m/>
    <m/>
    <m/>
    <m/>
    <x v="0"/>
    <m/>
    <x v="3"/>
    <s v="Shaheen (Eagle)-X"/>
    <x v="5"/>
    <s v="realistic force-on-force combat, joint air defense, countermeasures, seizure and control ops"/>
    <x v="1"/>
    <m/>
    <m/>
    <m/>
    <s v="http://eng.mod.gov.cn/xb/News_213114/TopStories/16248628.html"/>
    <m/>
  </r>
  <r>
    <x v="1"/>
    <x v="3"/>
    <s v="Europe and Central Asia"/>
    <s v="Comprehensive Strategic Partnership of Coordination in the New Era [新时代中俄全面战略协作伙伴关系]"/>
    <s v="None"/>
    <x v="3"/>
    <x v="7"/>
    <x v="32"/>
    <n v="8"/>
    <x v="1"/>
    <s v="Li Shangfu"/>
    <m/>
    <s v="Defense Minister; CMC Member"/>
    <n v="8"/>
    <x v="1"/>
    <s v="Defense Minister Sergei Shoigu; BL at Moscow Conference on International Security"/>
    <x v="0"/>
    <m/>
    <x v="0"/>
    <m/>
    <x v="1"/>
    <m/>
    <m/>
    <m/>
    <s v="https://web.archive.org/web/20240105114406/http://eng.chinamil.com.cn/CHINA_209163/Exchanges/News_209188/16245560.html"/>
    <m/>
  </r>
  <r>
    <x v="1"/>
    <x v="9"/>
    <s v="West Asia and Africa"/>
    <s v="Comprehensive Strategic Partnership [全面战略伙伴关系]"/>
    <s v="None"/>
    <x v="1"/>
    <x v="142"/>
    <x v="32"/>
    <n v="8"/>
    <x v="7"/>
    <s v="Li Shangfu"/>
    <m/>
    <s v="Defense Minister; CMC Member"/>
    <n v="8"/>
    <x v="1"/>
    <s v="Defense Minister; BL at MCIS"/>
    <x v="0"/>
    <m/>
    <x v="0"/>
    <m/>
    <x v="1"/>
    <m/>
    <m/>
    <m/>
    <s v="https://web.archive.org/web/20240105114406/http://eng.chinamil.com.cn/CHINA_209163/Exchanges/News_209188/16245560.html"/>
    <m/>
  </r>
  <r>
    <x v="1"/>
    <x v="9"/>
    <s v="West Asia and Africa"/>
    <s v="Comprehensive Strategic Partnership [全面战略伙伴关系]"/>
    <s v="None"/>
    <x v="1"/>
    <x v="106"/>
    <x v="32"/>
    <n v="8"/>
    <x v="3"/>
    <s v="Li Shangfu"/>
    <m/>
    <s v="Defense Minister; CMC Member"/>
    <n v="8"/>
    <x v="2"/>
    <s v="Air Force Commander Ibrahim Nasser Mohamed Al-Alawi"/>
    <x v="0"/>
    <m/>
    <x v="0"/>
    <m/>
    <x v="1"/>
    <m/>
    <m/>
    <m/>
    <s v="http://en.people.cn/n3/2023/0823/c90000-20062164.html"/>
    <m/>
  </r>
  <r>
    <x v="1"/>
    <x v="1"/>
    <s v="Asia "/>
    <s v="Comprehensive Strategic Partnership [全面战略伙伴关系]"/>
    <s v="None"/>
    <x v="0"/>
    <x v="23"/>
    <x v="32"/>
    <n v="8"/>
    <x v="7"/>
    <s v="Li Shangfu"/>
    <m/>
    <s v="Defense Minister; CMC Member"/>
    <n v="8"/>
    <x v="1"/>
    <s v="Defense Minister; BL at MCIS"/>
    <x v="0"/>
    <m/>
    <x v="0"/>
    <m/>
    <x v="1"/>
    <m/>
    <m/>
    <m/>
    <s v="https://web.archive.org/web/20240105114406/http://eng.chinamil.com.cn/CHINA_209163/Exchanges/News_209188/16245560.html"/>
    <m/>
  </r>
  <r>
    <x v="2"/>
    <x v="1"/>
    <s v="Asia"/>
    <s v="Comprehensive Strategic Cooperative Partnership [全面战略合作伙伴关系]"/>
    <s v="None"/>
    <x v="0"/>
    <x v="94"/>
    <x v="32"/>
    <n v="9"/>
    <x v="6"/>
    <m/>
    <m/>
    <m/>
    <m/>
    <x v="0"/>
    <m/>
    <x v="2"/>
    <s v="Pure Homeland 2023"/>
    <x v="1"/>
    <s v="75th group army; joint mine-clearing operation"/>
    <x v="1"/>
    <m/>
    <m/>
    <m/>
    <s v="http://eng.mod.gov.cn/xb/News_213114/TopStories/16250777.html"/>
    <m/>
  </r>
  <r>
    <x v="0"/>
    <x v="1"/>
    <s v="Asia"/>
    <s v="Comprehensive Strategic Partnership [全面战略伙伴关系]"/>
    <s v="None"/>
    <x v="0"/>
    <x v="8"/>
    <x v="32"/>
    <n v="9"/>
    <x v="0"/>
    <m/>
    <m/>
    <m/>
    <m/>
    <x v="0"/>
    <m/>
    <x v="0"/>
    <m/>
    <x v="0"/>
    <m/>
    <x v="0"/>
    <s v="Training Ship Qi Jiguang"/>
    <s v="South Sea Fleet"/>
    <s v="Qi Jiguang training ship"/>
    <s v="http://eng.chinamil.com.cn/CHINA_209163/Exchanges/News_209188/16253531.html"/>
    <m/>
  </r>
  <r>
    <x v="1"/>
    <x v="6"/>
    <s v="Europe and Central Asia"/>
    <s v="Permanent Comprehensive Strategic Partnership [永久全面战略伙伴]"/>
    <s v="None"/>
    <x v="1"/>
    <x v="30"/>
    <x v="32"/>
    <n v="9"/>
    <x v="7"/>
    <s v="Zhang Youxia"/>
    <m/>
    <s v="Vice Chair CMC"/>
    <n v="10"/>
    <x v="2"/>
    <s v="Defense Minister"/>
    <x v="0"/>
    <m/>
    <x v="0"/>
    <m/>
    <x v="1"/>
    <m/>
    <m/>
    <m/>
    <s v="http://www.mod.gov.cn/gfbw/jswj/lf/16338277.html"/>
    <s v="BL during 10th Xiangshan - When meeting with Zakserykov, Zhang Youxia said that President Xi Jinping successfully paid a state visit to Kazakhstan in July this year, held talks with President Tokayev and jointly signed a joint statement, which injected new impetus and drew a new blueprint for the high-quality development of the China-Kazakhstan permanent comprehensive strategic partnership. Under the strategic guidance of the two heads of state, the two militaries should strengthen exchanges at all levels, improve the quality and eﬀectiveness of cooperation in areas such as personnel training and joint exercises, continue to expand areas of cooperation, promote the long-term and stable development of relations between the two militaries, and make positive contributions to building a China-Kazakhstan community with a shared future that features everlasting friendship, high mutual trust, shared weal and woe, and shared prosperity."/>
  </r>
  <r>
    <x v="2"/>
    <x v="1"/>
    <s v="Asia"/>
    <s v="All-Round Cooperative Partnership [全方合作伙伴关系]"/>
    <s v="None"/>
    <x v="0"/>
    <x v="39"/>
    <x v="32"/>
    <n v="9"/>
    <x v="5"/>
    <m/>
    <m/>
    <m/>
    <m/>
    <x v="0"/>
    <m/>
    <x v="1"/>
    <s v="Cooperation 2023"/>
    <x v="1"/>
    <s v="74th group army; sniping tactics, hand-to-hand combat, rappelling and fast-roping, and hostage rescue"/>
    <x v="1"/>
    <m/>
    <m/>
    <m/>
    <s v="http://eng.chinamil.com.cn/CHINA_209163/Exchanges/News_209188/16250353.html"/>
    <m/>
  </r>
  <r>
    <x v="2"/>
    <x v="1"/>
    <s v="Asia"/>
    <s v="Comprehensive Strategic Cooperative Partnership [全面战略合作伙伴关系]"/>
    <s v="Bilateral Defense Treaty"/>
    <x v="0"/>
    <x v="5"/>
    <x v="32"/>
    <n v="9"/>
    <x v="5"/>
    <m/>
    <m/>
    <m/>
    <m/>
    <x v="0"/>
    <m/>
    <x v="3"/>
    <s v="Blue Strike 2023"/>
    <x v="2"/>
    <s v="Marine corps: urban warfare, light weapons shooting, sniping tactics, armored tactics, chemical defense, battlefield first aid, wilderness survival, HADR; Navy: manueuvering drills, HADR, anti-sub ops; dock landing ship Simingshan, guided-missile frigate Anyang, supply ship Chaohu"/>
    <x v="1"/>
    <m/>
    <m/>
    <m/>
    <s v="http://eng.chinamil.com.cn/CHINA_209163/Exchanges/News_209188/16249453.html"/>
    <m/>
  </r>
  <r>
    <x v="0"/>
    <x v="1"/>
    <s v="Asia"/>
    <s v="Comprehensive Strategic Partnership [全面战略伙伴关系]"/>
    <s v="None"/>
    <x v="0"/>
    <x v="169"/>
    <x v="32"/>
    <n v="9"/>
    <x v="0"/>
    <m/>
    <m/>
    <m/>
    <m/>
    <x v="0"/>
    <m/>
    <x v="0"/>
    <m/>
    <x v="0"/>
    <m/>
    <x v="0"/>
    <s v="2023-9 Peace Ark "/>
    <m/>
    <m/>
    <s v="http://eng.mod.gov.cn/xb/News_213114/TopStories/16250002.html"/>
    <s v="upgraded diplomatic ties to CSP in 2023"/>
  </r>
  <r>
    <x v="2"/>
    <x v="9"/>
    <s v="West Asia and Africa"/>
    <s v="No Specific Relationship"/>
    <s v="None"/>
    <x v="1"/>
    <x v="123"/>
    <x v="32"/>
    <n v="10"/>
    <x v="5"/>
    <m/>
    <m/>
    <m/>
    <m/>
    <x v="0"/>
    <m/>
    <x v="2"/>
    <s v="N/A"/>
    <x v="5"/>
    <s v="HADR after 6.4-magnitude earthquake; PLAF sent 2 Y-20 transport aircraft"/>
    <x v="1"/>
    <m/>
    <m/>
    <m/>
    <s v="http://eng.mod.gov.cn/xb/News_213114/TopStories/16259037.html"/>
    <m/>
  </r>
  <r>
    <x v="1"/>
    <x v="8"/>
    <s v="Europe and Central Asia"/>
    <s v="Friendly Cooperative Partnership [友好合作伙伴关系]"/>
    <s v="None"/>
    <x v="3"/>
    <x v="57"/>
    <x v="32"/>
    <n v="10"/>
    <x v="7"/>
    <s v="He Weidong"/>
    <m/>
    <s v="CMC Vice Chairman"/>
    <n v="10"/>
    <x v="2"/>
    <s v="Defense Minister Hasanov; BL at Xiangshan"/>
    <x v="0"/>
    <m/>
    <x v="0"/>
    <m/>
    <x v="1"/>
    <m/>
    <m/>
    <m/>
    <s v="http://eng.mod.gov.cn/xb/News_213114/TopStories/16263744.html"/>
    <m/>
  </r>
  <r>
    <x v="1"/>
    <x v="1"/>
    <s v="Asia"/>
    <s v="Comprehensive Strategic Cooperative Partnership [全面战略合作伙伴关系]"/>
    <s v="None"/>
    <x v="0"/>
    <x v="94"/>
    <x v="32"/>
    <n v="10"/>
    <x v="7"/>
    <s v="He Weidong"/>
    <m/>
    <s v="CMC Vice Chairman"/>
    <n v="10"/>
    <x v="2"/>
    <s v="Defense Minister Tea Seiha; BL at Xiangshan"/>
    <x v="0"/>
    <m/>
    <x v="0"/>
    <m/>
    <x v="1"/>
    <m/>
    <m/>
    <m/>
    <s v="http://eng.mod.gov.cn/xb/News_213114/TopStories/16263744.html"/>
    <m/>
  </r>
  <r>
    <x v="0"/>
    <x v="5"/>
    <s v="America and Oceania"/>
    <s v="Comprehensive Strategic Partnership [全面战略伙伴关系]"/>
    <s v="None"/>
    <x v="0"/>
    <x v="128"/>
    <x v="32"/>
    <n v="10"/>
    <x v="0"/>
    <m/>
    <m/>
    <m/>
    <m/>
    <x v="0"/>
    <m/>
    <x v="0"/>
    <m/>
    <x v="0"/>
    <m/>
    <x v="0"/>
    <s v="Training Ship Qi Jiguang"/>
    <s v="South Sea Fleet"/>
    <s v="Qi Jiguang training ship"/>
    <s v="http://eng.chinamil.com.cn/CHINA_209163/Exchanges/News_209188/16257319.html"/>
    <m/>
  </r>
  <r>
    <x v="0"/>
    <x v="9"/>
    <s v="West Asia and Africa"/>
    <s v="Strategic Partnership [战略伙伴关系]"/>
    <s v="Major Non-NATO Ally"/>
    <x v="1"/>
    <x v="72"/>
    <x v="32"/>
    <n v="10"/>
    <x v="10"/>
    <m/>
    <m/>
    <m/>
    <m/>
    <x v="0"/>
    <m/>
    <x v="0"/>
    <s v="N/A"/>
    <x v="0"/>
    <s v="ships conducted a joint maritime exercise"/>
    <x v="1"/>
    <s v="ETF-44"/>
    <s v="East Sea Fleet"/>
    <s v="DDG156 Zibo, FFG532 Jingzhou, AOR886 Qiandaohu"/>
    <s v="http://eng.mod.gov.cn/xb/News_213114/TopStories/16261491.html"/>
    <s v="Recoded as port call (friendly visit and drills) since the &quot;exercise&quot; took place AFTER departure and involved formation saiing with a Kuwaiti Navy patrol craft"/>
  </r>
  <r>
    <x v="1"/>
    <x v="1"/>
    <s v="Asia"/>
    <s v="Comprehensive Strategic Cooperative Partnership [全面战略合作伙伴关系]"/>
    <s v="None"/>
    <x v="0"/>
    <x v="52"/>
    <x v="32"/>
    <n v="10"/>
    <x v="7"/>
    <s v="Zhang Youxia"/>
    <m/>
    <s v="CMC Vice Chairman"/>
    <n v="10"/>
    <x v="2"/>
    <s v="Defense Minister Chansamone Chanyalath; BL at Xiangshan"/>
    <x v="0"/>
    <m/>
    <x v="0"/>
    <m/>
    <x v="1"/>
    <m/>
    <m/>
    <m/>
    <s v="http://eng.chinamil.com.cn/CHINA_209163/Exchanges/News_209188/16262919.html"/>
    <m/>
  </r>
  <r>
    <x v="1"/>
    <x v="1"/>
    <s v="Asia"/>
    <s v="Comprehensive Strategic Cooperative Partnership [全面战略合作伙伴关系]"/>
    <s v="None"/>
    <x v="0"/>
    <x v="52"/>
    <x v="32"/>
    <n v="10"/>
    <x v="7"/>
    <s v="Zhang Youxia"/>
    <m/>
    <s v="Vice Chair CMC"/>
    <n v="10"/>
    <x v="2"/>
    <s v="Deputy PM and Defense Minister"/>
    <x v="0"/>
    <m/>
    <x v="0"/>
    <m/>
    <x v="1"/>
    <m/>
    <m/>
    <m/>
    <s v="http://www.mod.gov.cn/gfbw/jswj/lf/16262759.html"/>
    <s v="BL during 10th Xiangshan - During the talks with Chan Samoeng, Zhang Youxia said that China and Laos are socialist friendly neighbors and an unbreakable community of shared destiny. China is willing to work with Laos to implement the important consensus reached by the leaders of the two parties and the two countries, carry forward traditional friendship, strengthen strategic cooperation, close communication and cooperation, firmly safeguard each other's core interests, and work together to strengthen practical cooperation in various fields to bring more benefits to the two countries and their peoples. It is hoped that the Chinese and Lao militaries will continue to strengthen exchanges at all levels, continuously expand exchanges and cooperation in the fields of border defense, political work, joint exercises and joint training, enhance mutual trust between the two militaries, safeguard common security, and promote the comprehensive and in-depth development of the relationship between the two militaries."/>
  </r>
  <r>
    <x v="1"/>
    <x v="4"/>
    <s v="Asia"/>
    <s v="Comprehensive Strategic Partnership [全面战略伙伴关系]"/>
    <s v="None"/>
    <x v="0"/>
    <x v="53"/>
    <x v="32"/>
    <n v="10"/>
    <x v="7"/>
    <s v="Zhang Youxia"/>
    <m/>
    <s v="CMC Vice Chairman"/>
    <n v="10"/>
    <x v="2"/>
    <s v="Defense Minister Gursed Saikhanbayar; BL at Xiangshan"/>
    <x v="0"/>
    <m/>
    <x v="0"/>
    <m/>
    <x v="1"/>
    <m/>
    <m/>
    <m/>
    <s v="http://eng.chinamil.com.cn/CHINA_209163/Exchanges/News_209188/16262919.html"/>
    <m/>
  </r>
  <r>
    <x v="1"/>
    <x v="4"/>
    <s v="Asia"/>
    <s v="Comprehensive Strategic Partnership [全面战略伙伴关系]"/>
    <s v="None"/>
    <x v="0"/>
    <x v="53"/>
    <x v="32"/>
    <n v="10"/>
    <x v="7"/>
    <s v="Zhang Youxia"/>
    <m/>
    <s v="Vice Chair CMC"/>
    <n v="10"/>
    <x v="2"/>
    <s v="Defense Minister"/>
    <x v="0"/>
    <m/>
    <x v="0"/>
    <m/>
    <x v="1"/>
    <m/>
    <m/>
    <m/>
    <s v="http://www.mod.gov.cn/gfbw/jswj/lf/16262759.html"/>
    <s v="BL during 10th Xiangshan - During the talks with Saikhanbayar, Zhang Youxia said that China and Mongolia are friendly neighbors. Under the strategic guidance of the leaders of the two countries, BLeral relations have maintained a good momentum of development in recent years. Next year will be the 75th anniversary of the establishment of diplomatic relations between China and Mongolia and the 30th anniversary of the signing of the Treaty of Friendly Cooperation. It is hoped that the two sides will take this opportunity to strengthen strategic communication and policy coordination and firmly promote the steady and long- term development of China-Mongolia relations in the new era. The Chinese military is willing to work with the Mongolian military to strengthen high-level exchanges, strengthen exchanges and cooperation, and work together to implement the global security initiative proposed by President Xi Jinping, and jointly inject positive energy into regional security and stability."/>
  </r>
  <r>
    <x v="1"/>
    <x v="4"/>
    <s v="Asia"/>
    <s v="N/A"/>
    <s v="None"/>
    <x v="0"/>
    <x v="161"/>
    <x v="32"/>
    <n v="10"/>
    <x v="2"/>
    <s v="Zhang Youxia"/>
    <m/>
    <s v="CMC Vice Chairman"/>
    <n v="10"/>
    <x v="2"/>
    <s v="10th Xiangshan Forum "/>
    <x v="0"/>
    <m/>
    <x v="0"/>
    <m/>
    <x v="1"/>
    <m/>
    <m/>
    <m/>
    <s v="https://english.news.cn/20231030/913df68ec0734234b48e19d292378c6f/c.html"/>
    <m/>
  </r>
  <r>
    <x v="1"/>
    <x v="7"/>
    <s v="West Asia and Africa"/>
    <s v="Strategic Partnership [战略伙伴关系]"/>
    <s v="None"/>
    <x v="4"/>
    <x v="36"/>
    <x v="32"/>
    <n v="10"/>
    <x v="7"/>
    <s v="He Weidong"/>
    <m/>
    <s v="CMC Vice Chairman"/>
    <n v="10"/>
    <x v="2"/>
    <s v="Defense Minister Abubakar; BL at Xiangshan"/>
    <x v="0"/>
    <m/>
    <x v="0"/>
    <m/>
    <x v="1"/>
    <m/>
    <m/>
    <m/>
    <s v="http://eng.mod.gov.cn/xb/News_213114/TopStories/16263744.html"/>
    <m/>
  </r>
  <r>
    <x v="0"/>
    <x v="9"/>
    <s v="West Asia and Africa"/>
    <s v="No Specific Relationship"/>
    <s v="None"/>
    <x v="1"/>
    <x v="147"/>
    <x v="32"/>
    <n v="10"/>
    <x v="0"/>
    <m/>
    <m/>
    <m/>
    <m/>
    <x v="0"/>
    <m/>
    <x v="0"/>
    <m/>
    <x v="0"/>
    <s v="Also some joint training on formation maneuver, maritime comms; guided-missile destroyer Zibo and guided-missile frigate Jingzhou"/>
    <x v="2"/>
    <s v="ETF-44"/>
    <s v="East Sea Fleet"/>
    <s v="DDG156 Zibo, FFG532 Jingzhou, AOR886 Qiandaohu"/>
    <s v="http://eng.chinamil.com.cn/CHINA_209163/Exchanges/News_209188/16259030.html"/>
    <m/>
  </r>
  <r>
    <x v="1"/>
    <x v="1"/>
    <s v="America and Oceania"/>
    <s v="Comprehensive Strategic Partnership [全面战略伙伴关系]"/>
    <s v="None"/>
    <x v="0"/>
    <x v="122"/>
    <x v="32"/>
    <n v="10"/>
    <x v="7"/>
    <s v="Zhang Youxia"/>
    <m/>
    <s v="CMC Vice Chairman"/>
    <n v="10"/>
    <x v="2"/>
    <s v="Defense Minister Daki; BL at Xiangshan"/>
    <x v="0"/>
    <m/>
    <x v="0"/>
    <m/>
    <x v="1"/>
    <m/>
    <m/>
    <m/>
    <s v="http://eng.mod.gov.cn/xb/News_213114/TopStories/16263732.html"/>
    <m/>
  </r>
  <r>
    <x v="1"/>
    <x v="1"/>
    <s v="America and Oceania"/>
    <s v="Comprehensive Strategic Partnership [全面战略伙伴关系]"/>
    <s v="None"/>
    <x v="0"/>
    <x v="122"/>
    <x v="32"/>
    <n v="10"/>
    <x v="7"/>
    <s v="Zhang Youxia"/>
    <m/>
    <s v="Vice Chair CMC"/>
    <n v="10"/>
    <x v="2"/>
    <s v="Minister of Defense"/>
    <x v="0"/>
    <m/>
    <x v="0"/>
    <m/>
    <x v="1"/>
    <m/>
    <m/>
    <m/>
    <s v="http://www.mod.gov.cn/gfbw/jswj/lf/16263539.html"/>
    <s v="PCS: Added from Ken Allen BL meeting on margins of 10th Xiangshan Forum"/>
  </r>
  <r>
    <x v="0"/>
    <x v="9"/>
    <s v="West Asia and Africa"/>
    <s v="Strategic Partnership [战略伙伴关系]"/>
    <s v="None"/>
    <x v="1"/>
    <x v="131"/>
    <x v="32"/>
    <n v="10"/>
    <x v="0"/>
    <m/>
    <m/>
    <m/>
    <m/>
    <x v="0"/>
    <m/>
    <x v="0"/>
    <m/>
    <x v="0"/>
    <m/>
    <x v="2"/>
    <s v="ETF-44"/>
    <s v="East Sea Fleet"/>
    <s v="DDG156 Zibo, FFG532 Jingzhou, AOR886 Qiandaohu"/>
    <s v="http://eng.chinamil.com.cn/CHINA_209163/Exchanges/News_209188/16263183.html"/>
    <m/>
  </r>
  <r>
    <x v="1"/>
    <x v="3"/>
    <s v="Europe and Central Asia"/>
    <s v="Comprehensive Strategic Partnership of Coordination in the New Era [新时代中俄全面战略协作伙伴关系]"/>
    <s v="None"/>
    <x v="3"/>
    <x v="7"/>
    <x v="32"/>
    <n v="10"/>
    <x v="7"/>
    <s v="Zhang Youxia"/>
    <m/>
    <s v="CMC Vice Chairman"/>
    <n v="10"/>
    <x v="2"/>
    <s v="Defense Minister Sergei Shoigu; BL at Xiangshan"/>
    <x v="0"/>
    <m/>
    <x v="0"/>
    <m/>
    <x v="1"/>
    <m/>
    <m/>
    <m/>
    <s v="http://eng.mod.gov.cn/xb/News_213114/TopStories/16263192.html"/>
    <m/>
  </r>
  <r>
    <x v="2"/>
    <x v="9"/>
    <s v="West Asia and Africa"/>
    <s v="Comprehensive Strategic Partnership [全面战略伙伴关系]"/>
    <s v="None"/>
    <x v="1"/>
    <x v="142"/>
    <x v="32"/>
    <n v="10"/>
    <x v="5"/>
    <m/>
    <m/>
    <m/>
    <m/>
    <x v="0"/>
    <m/>
    <x v="1"/>
    <s v="Blue Sword 2023"/>
    <x v="2"/>
    <s v="as multiple arms shooting, fast roping from helicopter, boat driving, and underwater explosive ordnance search and disposal; the joint rescue of hijacked merchant ships by the special operations troops of the two navies."/>
    <x v="1"/>
    <m/>
    <m/>
    <m/>
    <s v="http://eng.chinamil.com.cn/CHINA_209163/Exchanges/News_209188/16257598.html"/>
    <m/>
  </r>
  <r>
    <x v="1"/>
    <x v="8"/>
    <s v="Europe and Central Asia"/>
    <s v="Comprehensive Strategic Partnership [全面战略伙伴关系]"/>
    <s v="None"/>
    <x v="3"/>
    <x v="112"/>
    <x v="32"/>
    <n v="10"/>
    <x v="3"/>
    <s v="Zhang Youxia"/>
    <m/>
    <s v="CMC Vice Chairman"/>
    <n v="10"/>
    <x v="2"/>
    <s v="Defense Minister Milos Vucevic"/>
    <x v="0"/>
    <m/>
    <x v="0"/>
    <m/>
    <x v="1"/>
    <m/>
    <m/>
    <m/>
    <s v="http://eng.mod.gov.cn/xb/News_213114/TopStories/16259896.html"/>
    <m/>
  </r>
  <r>
    <x v="1"/>
    <x v="1"/>
    <s v="Asia"/>
    <s v="All-Round Cooperative Partnership [全方合作伙伴关系]"/>
    <s v="None"/>
    <x v="0"/>
    <x v="39"/>
    <x v="32"/>
    <n v="10"/>
    <x v="7"/>
    <s v="He Weidong"/>
    <m/>
    <s v="CMC Vice Chairman"/>
    <n v="10"/>
    <x v="2"/>
    <s v="Defense Minister Ng Eng Hen; BL at Xiangshan"/>
    <x v="0"/>
    <m/>
    <x v="0"/>
    <m/>
    <x v="1"/>
    <m/>
    <m/>
    <m/>
    <s v="http://eng.mod.gov.cn/xb/News_213114/TopStories/16263744.html"/>
    <m/>
  </r>
  <r>
    <x v="1"/>
    <x v="10"/>
    <s v="America and Oceania"/>
    <s v="Strategic Cooperative Partnership [战略合作伙伴关系]"/>
    <s v="None"/>
    <x v="5"/>
    <x v="91"/>
    <x v="32"/>
    <n v="10"/>
    <x v="7"/>
    <s v="Zhang Youxia"/>
    <m/>
    <s v="CMC Vice Chairman"/>
    <n v="10"/>
    <x v="2"/>
    <s v="Defense Minister Mathoera; BL at Xiangshan"/>
    <x v="0"/>
    <m/>
    <x v="0"/>
    <m/>
    <x v="1"/>
    <m/>
    <m/>
    <m/>
    <s v="http://eng.mod.gov.cn/xb/News_213114/TopStories/16264027.html"/>
    <m/>
  </r>
  <r>
    <x v="1"/>
    <x v="1"/>
    <s v="Asia"/>
    <s v="Comprehensive Strategic Partnership [全面战略伙伴关系]"/>
    <s v="None"/>
    <x v="0"/>
    <x v="23"/>
    <x v="32"/>
    <n v="10"/>
    <x v="7"/>
    <s v="He Weidong"/>
    <m/>
    <s v="CMC Vice Chairman"/>
    <n v="10"/>
    <x v="2"/>
    <s v="Defense Minister Phan Van Giang; BL at Xiangshan"/>
    <x v="0"/>
    <m/>
    <x v="0"/>
    <m/>
    <x v="1"/>
    <m/>
    <m/>
    <m/>
    <s v="http://eng.chinamil.com.cn/CHINA_209163/Exchanges/News_209188/16262920.html"/>
    <m/>
  </r>
  <r>
    <x v="1"/>
    <x v="7"/>
    <s v="West Asia and Africa"/>
    <s v="Comprehensive Strategic Cooperative Partnership [全面战略合作伙伴关系]"/>
    <s v="None"/>
    <x v="4"/>
    <x v="86"/>
    <x v="32"/>
    <n v="10"/>
    <x v="7"/>
    <s v="Zhang Youxia"/>
    <m/>
    <s v="CMC Vice Chairman"/>
    <n v="10"/>
    <x v="2"/>
    <s v="Defense Minister Muchinguri; BL at Xiangshan"/>
    <x v="0"/>
    <m/>
    <x v="0"/>
    <m/>
    <x v="1"/>
    <m/>
    <m/>
    <m/>
    <s v="http://eng.mod.gov.cn/xb/News_213114/TopStories/16263732.html"/>
    <m/>
  </r>
  <r>
    <x v="1"/>
    <x v="7"/>
    <s v="West Asia and Africa"/>
    <s v="Comprehensive Strategic Cooperative Partnership [全面战略合作伙伴关系]"/>
    <s v="None"/>
    <x v="4"/>
    <x v="86"/>
    <x v="32"/>
    <n v="10"/>
    <x v="7"/>
    <s v="Zhang Youxia"/>
    <m/>
    <s v="Vice Chair CMC"/>
    <n v="10"/>
    <x v="2"/>
    <s v="Minister of Defense"/>
    <x v="0"/>
    <m/>
    <x v="0"/>
    <m/>
    <x v="1"/>
    <m/>
    <m/>
    <m/>
    <s v="http://www.mod.gov.cn/gfbw/jswj/lf/16263539.html"/>
    <s v="PCS: Added from Ken Allen BL meeting on margins of 10th Xiangshan Forum"/>
  </r>
  <r>
    <x v="2"/>
    <x v="1"/>
    <s v="Asia"/>
    <s v="Comprehensive Strategic Partnership [全面战略伙伴关系]"/>
    <s v="None"/>
    <x v="0"/>
    <x v="153"/>
    <x v="32"/>
    <n v="11"/>
    <x v="6"/>
    <m/>
    <m/>
    <m/>
    <m/>
    <x v="0"/>
    <m/>
    <x v="1"/>
    <s v="Aman Youyi-2023 Peace and Friendship"/>
    <x v="3"/>
    <s v="Anti-terrorist efforts, safeguarding maritime security with multi-dimensional live drills; Participants: Cambodia, Laos, Malaysia, Thailand, Vietnam "/>
    <x v="1"/>
    <m/>
    <m/>
    <m/>
    <s v="http://eng.mod.gov.cn/xb/News_213114/TopStories/16266698.html; https://fulcrum.sg/peace-and-friendship-2023-will-it-reduce-chinas-trust-deficit/"/>
    <s v="5th iteration &amp; first one held in China, largest number of participating SE Asian countries with exception of Philippines; started as table-top exercise between Malaysia and China in 2014"/>
  </r>
  <r>
    <x v="1"/>
    <x v="1"/>
    <s v="Asia"/>
    <s v="Comprehensive Strategic Cooperative Partnership [全面战略合作伙伴关系]"/>
    <s v="None"/>
    <x v="0"/>
    <x v="52"/>
    <x v="32"/>
    <n v="11"/>
    <x v="4"/>
    <s v="Wang Xiubin"/>
    <m/>
    <s v="Southern TC Commander"/>
    <n v="6"/>
    <x v="1"/>
    <s v="Laos Deputy Defense Minister"/>
    <x v="0"/>
    <m/>
    <x v="0"/>
    <m/>
    <x v="1"/>
    <m/>
    <m/>
    <m/>
    <s v="http://eng.chinamil.com.cn/ARMEDFORCES/SouthernTheaterCommand/News_209144/16288559.html"/>
    <s v="4th border defense and freidnship exchange"/>
  </r>
  <r>
    <x v="2"/>
    <x v="4"/>
    <s v="Asia"/>
    <s v="Comprehensive Strategic Partnership [全面战略伙伴关系]"/>
    <s v="None"/>
    <x v="0"/>
    <x v="53"/>
    <x v="32"/>
    <n v="11"/>
    <x v="5"/>
    <m/>
    <m/>
    <m/>
    <m/>
    <x v="0"/>
    <m/>
    <x v="1"/>
    <s v="Border Defense Cooperation 2023"/>
    <x v="9"/>
    <m/>
    <x v="1"/>
    <m/>
    <m/>
    <m/>
    <s v="http://eng.mod.gov.cn/xb/News_213114/TopStories/16265690.html"/>
    <m/>
  </r>
  <r>
    <x v="0"/>
    <x v="1"/>
    <s v="Asia "/>
    <s v="Comprehensive Strategic Cooperative Partnership [全面战略合作伙伴关系]"/>
    <s v="None"/>
    <x v="0"/>
    <x v="1"/>
    <x v="32"/>
    <n v="11"/>
    <x v="0"/>
    <m/>
    <m/>
    <m/>
    <m/>
    <x v="0"/>
    <m/>
    <x v="0"/>
    <m/>
    <x v="0"/>
    <m/>
    <x v="2"/>
    <s v="ETF-44"/>
    <s v="East Sea Fleet"/>
    <s v="DDG156 Zibo, FFG532 Jingzhou, AOR886 Qiandaohu"/>
    <s v="http://eng.chinamil.com.cn/ARMEDFORCES/Navy/News_209162/16269761.html"/>
    <m/>
  </r>
  <r>
    <x v="2"/>
    <x v="0"/>
    <s v="Asia"/>
    <s v="Development-oriented Strategic Cooperative Partnership [面向发展与繁荣的世代友好的战略合作伙伴关系]."/>
    <s v="None"/>
    <x v="0"/>
    <x v="32"/>
    <x v="32"/>
    <n v="11"/>
    <x v="5"/>
    <m/>
    <m/>
    <m/>
    <m/>
    <x v="0"/>
    <m/>
    <x v="2"/>
    <s v="N/A"/>
    <x v="5"/>
    <s v="HADR after earthquake in western Nepal; Y-20 transport planes"/>
    <x v="1"/>
    <m/>
    <m/>
    <m/>
    <s v="http://eng.chinamil.com.cn/CHINA_209163/MOOTW/DisasterRelief/News_209175/16265693.html#:~:text=9%20%2D%2D%20After%20a%20strong,the%20morning%20of%20November%208."/>
    <m/>
  </r>
  <r>
    <x v="2"/>
    <x v="0"/>
    <s v="Asia"/>
    <s v="All-Weather Strategic Cooperative Partnership [全天候战略合作伙伴关系]"/>
    <s v="Major Non-NATO Ally"/>
    <x v="1"/>
    <x v="2"/>
    <x v="32"/>
    <n v="11"/>
    <x v="5"/>
    <m/>
    <m/>
    <m/>
    <m/>
    <x v="0"/>
    <m/>
    <x v="2"/>
    <s v="Sea Guardian 2023"/>
    <x v="2"/>
    <s v="helicopter cross-deck handing, search and rescue, anti-submarine ops"/>
    <x v="1"/>
    <m/>
    <m/>
    <m/>
    <s v="http://eng.mod.gov.cn/xb/News_213114/TopStories/16266437.html"/>
    <s v="third iteration of the Sea Guardians series "/>
  </r>
  <r>
    <x v="1"/>
    <x v="9"/>
    <s v="West Asia and Africa"/>
    <s v="Strategic Partnership [战略伙伴关系]"/>
    <s v="None"/>
    <x v="1"/>
    <x v="131"/>
    <x v="32"/>
    <n v="11"/>
    <x v="4"/>
    <s v="Jing Jianfeng"/>
    <m/>
    <s v="Deputy JSD"/>
    <n v="5"/>
    <x v="1"/>
    <s v="Chief of Defense Staff"/>
    <x v="0"/>
    <m/>
    <x v="0"/>
    <m/>
    <x v="1"/>
    <m/>
    <m/>
    <m/>
    <s v="https://www.gulf-times.com/article/672512/qatar/chief-of-staff-meets-deputy-chief-of-joint-staff-of-china-central-military-commission; https://thepeninsulaqatar.com/article/28/11/2023/qatar-china-officials-review-military-cooperation"/>
    <s v="PCS: JSD downgraded to TC level organization in 2019; Deputy JSD chief would be deputy TC grade"/>
  </r>
  <r>
    <x v="1"/>
    <x v="3"/>
    <s v="Europe and Central Asia"/>
    <s v="Comprehensive Strategic Partnership of Coordination in the New Era [新时代中俄全面战略协作伙伴关系]"/>
    <s v="None"/>
    <x v="3"/>
    <x v="7"/>
    <x v="32"/>
    <n v="11"/>
    <x v="4"/>
    <s v="Zhang Youxia"/>
    <m/>
    <s v="CMC Vice Chairman"/>
    <n v="10"/>
    <x v="1"/>
    <s v="President Putin in Moscow"/>
    <x v="0"/>
    <m/>
    <x v="0"/>
    <m/>
    <x v="1"/>
    <m/>
    <m/>
    <m/>
    <s v="http://eng.mod.gov.cn/xb/News_213114/TopStories/16265718.html"/>
    <m/>
  </r>
  <r>
    <x v="1"/>
    <x v="7"/>
    <s v="West Asia and Africa"/>
    <s v="Strategic Cooperative Partnership [战略合作伙伴关系]"/>
    <s v="None"/>
    <x v="4"/>
    <x v="91"/>
    <x v="32"/>
    <n v="11"/>
    <x v="7"/>
    <s v="Zhang Youxia"/>
    <m/>
    <s v="Vice Chair CMC"/>
    <n v="10"/>
    <x v="2"/>
    <s v="Minister of Defense"/>
    <x v="0"/>
    <m/>
    <x v="0"/>
    <m/>
    <x v="1"/>
    <m/>
    <m/>
    <m/>
    <s v="http://www.mod.gov.cn/gfbw/jswj/lf/16263691.html"/>
    <s v="PCS: Added from Ken Allen BL meeting on margins of 10th Xiangshan Forum. First entry for Suriname in this database."/>
  </r>
  <r>
    <x v="0"/>
    <x v="9"/>
    <s v="West Asia and Africa"/>
    <s v="Comprehensive Strategic Partnership [全面战略伙伴关系]"/>
    <s v="None"/>
    <x v="1"/>
    <x v="106"/>
    <x v="32"/>
    <n v="11"/>
    <x v="0"/>
    <m/>
    <m/>
    <m/>
    <m/>
    <x v="0"/>
    <m/>
    <x v="0"/>
    <m/>
    <x v="0"/>
    <s v="included a joint maritime exercise w/ search and rescue and formation maneuver"/>
    <x v="2"/>
    <s v="ETF-44"/>
    <s v="East Sea Fleet"/>
    <s v="DDG156 Zibo, FFG532 Jingzhou, AOR886 Qiandaohu"/>
    <s v="http://eng.chinamil.com.cn/CHINA_209163/Exchanges/News_209188/16265210.html"/>
    <m/>
  </r>
  <r>
    <x v="1"/>
    <x v="1"/>
    <s v="Asia"/>
    <s v="Comprehensive Strategic Cooperative Partnership [全面战略合作伙伴关系]"/>
    <s v="None"/>
    <x v="0"/>
    <x v="94"/>
    <x v="32"/>
    <n v="12"/>
    <x v="4"/>
    <s v="He Weidong"/>
    <m/>
    <s v="CMC Vice Chairman"/>
    <n v="10"/>
    <x v="1"/>
    <s v="Prime Minister"/>
    <x v="0"/>
    <m/>
    <x v="0"/>
    <m/>
    <x v="1"/>
    <m/>
    <m/>
    <m/>
    <s v="https://english.news.cn/20231204/326cc8b760c340318db17ed5b198d57d/c.html"/>
    <m/>
  </r>
  <r>
    <x v="1"/>
    <x v="1"/>
    <s v="Asia"/>
    <s v="Comprehensive Strategic Cooperative Partnership [全面战略合作伙伴关系]"/>
    <s v="None"/>
    <x v="0"/>
    <x v="52"/>
    <x v="32"/>
    <n v="12"/>
    <x v="4"/>
    <s v="He Weidong"/>
    <m/>
    <s v="CMC Vice Chairman"/>
    <n v="10"/>
    <x v="1"/>
    <s v="President"/>
    <x v="0"/>
    <m/>
    <x v="0"/>
    <m/>
    <x v="1"/>
    <m/>
    <m/>
    <m/>
    <s v="http://eng.mod.gov.cn/xb/News_213114/TopStories/16271267.html"/>
    <m/>
  </r>
  <r>
    <x v="2"/>
    <x v="3"/>
    <s v="Europe and Central Asia"/>
    <s v="Comprehensive Strategic Partnership of Coordination in the New Era [新时代中俄全面战略协作伙伴关系]"/>
    <s v="None"/>
    <x v="3"/>
    <x v="7"/>
    <x v="32"/>
    <n v="12"/>
    <x v="5"/>
    <m/>
    <m/>
    <m/>
    <m/>
    <x v="0"/>
    <m/>
    <x v="9"/>
    <s v="Joint Aerial Strategic Patrol 2023 "/>
    <x v="5"/>
    <s v=" 7th &quot;joint strategic air patrol&quot; and second of 2023 over the Sea of Japan and the East China Sea;"/>
    <x v="1"/>
    <m/>
    <m/>
    <m/>
    <s v="https://www.globaltimes.cn/page/202312/1303700.shtml"/>
    <s v="Described as 7th joint aerial strategic patrol"/>
  </r>
  <r>
    <x v="0"/>
    <x v="1"/>
    <s v="Asia"/>
    <s v="All-Round Cooperative Partnership [全方合作伙伴关系]"/>
    <s v="None"/>
    <x v="0"/>
    <x v="39"/>
    <x v="32"/>
    <n v="12"/>
    <x v="0"/>
    <m/>
    <m/>
    <m/>
    <m/>
    <x v="0"/>
    <m/>
    <x v="0"/>
    <m/>
    <x v="0"/>
    <m/>
    <x v="2"/>
    <s v="ETF-44"/>
    <s v="East Sea Fleet"/>
    <s v="DDG156 Zibo, FFG532 Jingzhou, AOR886 Qiandaohu"/>
    <s v="https://www.globaltimes.cn/content/809066.shtml"/>
    <m/>
  </r>
  <r>
    <x v="1"/>
    <x v="2"/>
    <s v="America and Oceania"/>
    <s v="No Specific Relationship"/>
    <s v="N/A"/>
    <x v="2"/>
    <x v="4"/>
    <x v="32"/>
    <n v="12"/>
    <x v="15"/>
    <s v="Liu Zhenli"/>
    <m/>
    <s v="CJSD; CMC Member"/>
    <n v="8"/>
    <x v="4"/>
    <s v="CJCS Brown"/>
    <x v="0"/>
    <m/>
    <x v="0"/>
    <m/>
    <x v="1"/>
    <m/>
    <m/>
    <m/>
    <s v="https://www.jcs.mil/Media/News/News-Display/Article/3623794/readout-of-chairman-of-the-joint-chiefs-of-staff-gen-cq-brown-jrs-video-telecon/"/>
    <s v="Videoteleconference"/>
  </r>
  <r>
    <x v="1"/>
    <x v="3"/>
    <s v="Europe and Central Asia"/>
    <s v="Comprehensive Strategic Partnership of Coordination in the New Era [新时代中俄全面战略协作伙伴关系]"/>
    <s v="None"/>
    <x v="3"/>
    <x v="7"/>
    <x v="33"/>
    <n v="1"/>
    <x v="15"/>
    <s v="Dong Jun"/>
    <m/>
    <s v="Defense Minister; CMC Member"/>
    <n v="8"/>
    <x v="4"/>
    <s v="Defense Minister Sergei Shoigu"/>
    <x v="0"/>
    <m/>
    <x v="0"/>
    <m/>
    <x v="1"/>
    <m/>
    <m/>
    <m/>
    <s v="https://www.scmp.com/news/china/military/article/3250511/new-chinese-defence-minister-dong-jun-speaks-russian-counterpart"/>
    <m/>
  </r>
  <r>
    <x v="2"/>
    <x v="1"/>
    <s v="Asia"/>
    <s v="Comprehensive Strategic Cooperative Partnership [全面战略合作伙伴关系]"/>
    <s v="Bilateral Defense Treaty"/>
    <x v="0"/>
    <x v="5"/>
    <x v="33"/>
    <n v="2"/>
    <x v="6"/>
    <m/>
    <m/>
    <m/>
    <m/>
    <x v="0"/>
    <m/>
    <x v="2"/>
    <s v="Cobra Gold 2024"/>
    <x v="1"/>
    <s v="operational coordination, personnel search and rescue, water rescue, fire rescue, hazardous substances leakage disposal and medical first aid. PLA delegation only involved in the HADR demonstration part of the exercise."/>
    <x v="1"/>
    <m/>
    <m/>
    <m/>
    <s v="http://eng.chinamil.com.cn/CHINA_209163/Exercises/News_209184/16290432.html"/>
    <m/>
  </r>
  <r>
    <x v="1"/>
    <x v="1"/>
    <s v="Asia"/>
    <s v="Comprehensive Strategic Cooperative Partnership [全面战略合作伙伴关系]"/>
    <s v="None"/>
    <x v="0"/>
    <x v="94"/>
    <x v="33"/>
    <n v="3"/>
    <x v="4"/>
    <s v="He Weidong"/>
    <m/>
    <s v="Vice Chair CMC"/>
    <n v="10"/>
    <x v="1"/>
    <s v="State Councillor"/>
    <x v="0"/>
    <m/>
    <x v="0"/>
    <m/>
    <x v="1"/>
    <m/>
    <m/>
    <m/>
    <s v="https://www.khmertimeskh.com/501464676/hun-sen-holds-talks-with-the-second-vice-chairman-of-the-central-military-commission-of-china/"/>
    <m/>
  </r>
  <r>
    <x v="1"/>
    <x v="1"/>
    <s v="Asia"/>
    <s v="Comprehensive Strategic Cooperative Partnership [全面战略合作伙伴关系]"/>
    <s v="None"/>
    <x v="0"/>
    <x v="94"/>
    <x v="33"/>
    <n v="3"/>
    <x v="3"/>
    <s v="Dong Jun"/>
    <m/>
    <s v="Minister of Defense"/>
    <n v="8"/>
    <x v="2"/>
    <s v="Army Commander"/>
    <x v="0"/>
    <m/>
    <x v="0"/>
    <m/>
    <x v="1"/>
    <m/>
    <m/>
    <m/>
    <s v="http://eng.mod.gov.cn/xb/News_213114/TopStories/16296479.html"/>
    <s v="BEIJING, Mar. 25 -- Chinese Defense Minister Admiral Dong Jun, met with General Mao Sopan, deputy commander of the Royal Cambodian Armed Forces (RCAF) and commander of the Royal Cambodian Army, in Beijing on March 25."/>
  </r>
  <r>
    <x v="2"/>
    <x v="9"/>
    <s v="West Asia and Africa"/>
    <s v="Comprehensive Strategic Partnership [全面战略伙伴关系]"/>
    <s v="None"/>
    <x v="1"/>
    <x v="89"/>
    <x v="33"/>
    <n v="3"/>
    <x v="6"/>
    <m/>
    <m/>
    <m/>
    <m/>
    <x v="0"/>
    <m/>
    <x v="5"/>
    <s v="Security Belt 2024"/>
    <x v="2"/>
    <s v="with Russia and Iran in Gulf of Oman; The Chinese participating forces consist of three warships of the People's Liberation Army (PLA) Navy's 45th escort task force that just wrapped up escort missions in the Gulf of Aden, namely the Type 052D guided missile destroyer Urumqi, the Type 054A guided missile frigate Linyi and the Type 903A comprehensive replenishment ship Dongpinghu, the report said, noting that the Iranian side sent over 10 vessels including the frigates Alborz and Jamaran, while the Russian side sent the guided missile cruiser Varyag and the large anti-submarine warfare ship Marshal Shaposhnikov."/>
    <x v="1"/>
    <m/>
    <m/>
    <m/>
    <s v="https://www.globaltimes.cn/page/202403/1308701.shtml"/>
    <m/>
  </r>
  <r>
    <x v="1"/>
    <x v="1"/>
    <s v="Asia"/>
    <s v="Comprehensive Collaborative Strategic Partnership [全面战略合作伙伴关系]"/>
    <s v="None"/>
    <x v="0"/>
    <x v="149"/>
    <x v="33"/>
    <n v="3"/>
    <x v="4"/>
    <s v="Zhang Baoqun"/>
    <m/>
    <s v="Deputy Director, OIMC"/>
    <n v="5"/>
    <x v="1"/>
    <s v="Minister of Defense"/>
    <x v="0"/>
    <m/>
    <x v="0"/>
    <m/>
    <x v="1"/>
    <m/>
    <m/>
    <m/>
    <s v="https://presidency.gov.mv/Press/Article/30330; https://www.scmp.com/news/china/diplomacy/article/3255321/maldives-signed-military-deal-beijing-may-remain-swing-state-china-india-tug-war; https://geotvnews.com/china-signed-a-defense-agreement-with-the-maldives-to-provide-military-assistance-the-details-have-not-been-disclosed-geo-tv-news/"/>
    <s v="PCS: Dep Dir OIMC BG Zhang Baoqun met w/Maldive Min Def and President, signed Defense Cooperation Agreement (DCA), gave military aid.  Zhang wouldn't qualify on his own, but is likely subbing for the PRC Min Def to sign the agreement, so this is included. "/>
  </r>
  <r>
    <x v="0"/>
    <x v="7"/>
    <s v="West Asia and Africa"/>
    <s v="Comprehensive Strategic Cooperative Partnership [战略合作伙伴关系]"/>
    <s v="None"/>
    <x v="4"/>
    <x v="16"/>
    <x v="33"/>
    <n v="3"/>
    <x v="0"/>
    <m/>
    <m/>
    <m/>
    <m/>
    <x v="0"/>
    <m/>
    <x v="0"/>
    <m/>
    <x v="0"/>
    <m/>
    <x v="2"/>
    <s v="ETF-45"/>
    <s v="East Sea Fleet"/>
    <s v="DDG118 Urumqi, FFG547 Linyi, AOR902 Dongpinghu"/>
    <s v="http://eng.chinamil.com.cn/CHINA_209163/Exchanges/News_209188/16302752.html"/>
    <m/>
  </r>
  <r>
    <x v="1"/>
    <x v="8"/>
    <s v="Europe and Central Asia"/>
    <s v="Comprehensive Strategic Partnership [全面战略伙伴关系]"/>
    <s v="None"/>
    <x v="3"/>
    <x v="34"/>
    <x v="33"/>
    <n v="4"/>
    <x v="7"/>
    <s v="Dong Jun"/>
    <m/>
    <s v="Defense Minister; CMC Member"/>
    <n v="8"/>
    <x v="1"/>
    <s v="Defense Minister; BL at SCO"/>
    <x v="0"/>
    <m/>
    <x v="0"/>
    <m/>
    <x v="1"/>
    <m/>
    <m/>
    <m/>
    <s v="http://eng.chinamil.com.cn/CHINA_209163/Exchanges/News_209188/16304549.html"/>
    <m/>
  </r>
  <r>
    <x v="1"/>
    <x v="2"/>
    <s v="America and Oceania"/>
    <s v="No Specific Relationship"/>
    <s v="None"/>
    <x v="5"/>
    <x v="49"/>
    <x v="33"/>
    <n v="4"/>
    <x v="3"/>
    <s v="He Weidong"/>
    <m/>
    <s v="CMC Vice Chairman"/>
    <n v="10"/>
    <x v="2"/>
    <s v="Chief of Political Directorate of Armed Forces"/>
    <x v="0"/>
    <m/>
    <x v="0"/>
    <m/>
    <x v="1"/>
    <m/>
    <m/>
    <m/>
    <s v="http://eng.chinamil.com.cn/CHINA_209163/Exchanges/News_209188/16301494.html"/>
    <m/>
  </r>
  <r>
    <x v="1"/>
    <x v="8"/>
    <s v="Europe and Central Asia"/>
    <s v="Comprehensive Strategic Partnership [全面战略伙伴关系]"/>
    <s v="NATO"/>
    <x v="3"/>
    <x v="22"/>
    <x v="33"/>
    <n v="4"/>
    <x v="3"/>
    <s v="Wang Xiubin"/>
    <m/>
    <s v="Southern TC Commander"/>
    <n v="6"/>
    <x v="2"/>
    <s v="Commander of Pacific Ocean and French Polynesian maritime zones"/>
    <x v="0"/>
    <m/>
    <x v="0"/>
    <m/>
    <x v="1"/>
    <m/>
    <m/>
    <m/>
    <s v="http://eng.chinamil.com.cn/CHINA_209163/TopStories_209189/16304108.html"/>
    <m/>
  </r>
  <r>
    <x v="1"/>
    <x v="1"/>
    <s v="Asia"/>
    <s v="Comprehensive Strategic Partnership [全面战略伙伴关系]"/>
    <s v="None"/>
    <x v="0"/>
    <x v="8"/>
    <x v="33"/>
    <n v="4"/>
    <x v="3"/>
    <s v="Dong Jun"/>
    <m/>
    <s v="Defense Minister; CMC Member"/>
    <n v="8"/>
    <x v="2"/>
    <s v="President-elect/Defense Minister"/>
    <x v="0"/>
    <m/>
    <x v="0"/>
    <m/>
    <x v="1"/>
    <m/>
    <m/>
    <m/>
    <s v="https://english.www.gov.cn/news/202404/03/content_WS660c9226c6d0868f4e8e5b32.html"/>
    <m/>
  </r>
  <r>
    <x v="1"/>
    <x v="9"/>
    <s v="West Asia and Africa"/>
    <s v="Comprehensive Strategic Partnership [全面战略伙伴关系]"/>
    <s v="None"/>
    <x v="1"/>
    <x v="89"/>
    <x v="33"/>
    <n v="4"/>
    <x v="7"/>
    <s v="Dong Jun"/>
    <m/>
    <s v="Defense Minister; CMC Member"/>
    <n v="8"/>
    <x v="1"/>
    <s v="Defense Minister; BL at SCO"/>
    <x v="0"/>
    <m/>
    <x v="0"/>
    <m/>
    <x v="1"/>
    <m/>
    <m/>
    <m/>
    <s v="http://eng.chinamil.com.cn/CHINA_209163/Exchanges/News_209188/16304549.html"/>
    <m/>
  </r>
  <r>
    <x v="1"/>
    <x v="6"/>
    <s v="Europe and Central Asia"/>
    <s v="Permanent Comprehensive Strategic Partnership [永久全面战略伙伴]"/>
    <s v="None"/>
    <x v="1"/>
    <x v="30"/>
    <x v="33"/>
    <n v="4"/>
    <x v="4"/>
    <s v="Dong Jun"/>
    <m/>
    <s v="Defense Minister; CMC Member"/>
    <n v="8"/>
    <x v="1"/>
    <s v="President Tokayev"/>
    <x v="0"/>
    <m/>
    <x v="0"/>
    <m/>
    <x v="1"/>
    <m/>
    <m/>
    <m/>
    <s v="http://eng.chinamil.com.cn/CHINA_209163/Exchanges/News_209188/16304549.html"/>
    <s v="upgraded diplomatic ties in 2024"/>
  </r>
  <r>
    <x v="1"/>
    <x v="6"/>
    <s v="Europe and Central Asia"/>
    <s v="Comprehensive Strategic Partnership [全面战略伙伴关系]"/>
    <s v="None"/>
    <x v="1"/>
    <x v="31"/>
    <x v="33"/>
    <n v="4"/>
    <x v="7"/>
    <s v="Dong Jun"/>
    <m/>
    <s v="Defense Minister; CMC Member"/>
    <n v="8"/>
    <x v="1"/>
    <s v="Defense Minister; BL at SCO"/>
    <x v="0"/>
    <m/>
    <x v="0"/>
    <m/>
    <x v="1"/>
    <m/>
    <m/>
    <m/>
    <s v="http://eng.chinamil.com.cn/CHINA_209163/Exchanges/News_209188/16304549.html"/>
    <m/>
  </r>
  <r>
    <x v="0"/>
    <x v="7"/>
    <s v="West Asia and Africa"/>
    <s v="Comprehensive Partnership [全面伙伴关系]"/>
    <s v="None"/>
    <x v="4"/>
    <x v="141"/>
    <x v="33"/>
    <n v="4"/>
    <x v="0"/>
    <m/>
    <m/>
    <m/>
    <m/>
    <x v="0"/>
    <m/>
    <x v="0"/>
    <m/>
    <x v="0"/>
    <m/>
    <x v="2"/>
    <s v="ETF-45"/>
    <s v="East Sea Fleet"/>
    <s v="DDG118 Urumqi, FFG547 Linyi, AOR902 Dongpinghu"/>
    <s v="http://eng.mod.gov.cn/xb/News_213114/OverseasOperations/EscortMissions/16302772.html"/>
    <m/>
  </r>
  <r>
    <x v="0"/>
    <x v="7"/>
    <s v="West Asia and Africa"/>
    <s v="Comprehensive Strategic Cooperative Partnership [全面战略合作伙伴关系]"/>
    <s v="None"/>
    <x v="4"/>
    <x v="84"/>
    <x v="33"/>
    <n v="4"/>
    <x v="0"/>
    <m/>
    <m/>
    <m/>
    <m/>
    <x v="0"/>
    <m/>
    <x v="0"/>
    <m/>
    <x v="0"/>
    <m/>
    <x v="2"/>
    <s v="ETF-45"/>
    <s v="East Sea Fleet"/>
    <s v="DDG118 Urumqi, FFG547 Linyi, AOR902 Dongpinghu"/>
    <s v="http://eng.mod.gov.cn/xb/News_213114/OverseasOperations/EscortMissions/16301250.html"/>
    <m/>
  </r>
  <r>
    <x v="1"/>
    <x v="0"/>
    <s v="Asia"/>
    <s v="All-Weather Strategic Cooperative Partnership [全天候战略合作伙伴关系]"/>
    <s v="Major Non-NATO Ally"/>
    <x v="1"/>
    <x v="2"/>
    <x v="33"/>
    <n v="4"/>
    <x v="7"/>
    <s v="Dong Jun"/>
    <m/>
    <s v="Defense Minister; CMC Member"/>
    <n v="8"/>
    <x v="1"/>
    <s v="Defense Minister; BL at SCO"/>
    <x v="0"/>
    <m/>
    <x v="0"/>
    <m/>
    <x v="1"/>
    <m/>
    <m/>
    <m/>
    <s v="http://eng.chinamil.com.cn/CHINA_209163/Exchanges/News_209188/16304549.html"/>
    <m/>
  </r>
  <r>
    <x v="1"/>
    <x v="3"/>
    <s v="Europe and Central Asia"/>
    <s v="Comprehensive Strategic Partnership of Coordination in the New Era [新时代中俄全面战略协作伙伴关系]"/>
    <s v="None"/>
    <x v="3"/>
    <x v="7"/>
    <x v="33"/>
    <n v="4"/>
    <x v="7"/>
    <s v="Dong Jun"/>
    <m/>
    <s v="Defense Minister; CMC Member"/>
    <n v="8"/>
    <x v="1"/>
    <s v="Defense Minister; BL at SCO"/>
    <x v="0"/>
    <m/>
    <x v="0"/>
    <m/>
    <x v="1"/>
    <m/>
    <m/>
    <m/>
    <s v="http://eng.chinamil.com.cn/CHINA_209163/Exchanges/News_209188/16304549.html"/>
    <m/>
  </r>
  <r>
    <x v="1"/>
    <x v="6"/>
    <s v="Europe and Central Asia"/>
    <s v="Member"/>
    <s v="None"/>
    <x v="1"/>
    <x v="14"/>
    <x v="33"/>
    <n v="4"/>
    <x v="1"/>
    <s v="Dong Jun"/>
    <m/>
    <s v="Defense Minister; CMC Member"/>
    <n v="8"/>
    <x v="1"/>
    <s v="SCO Defense Ministers' meeting in Kazakhstan"/>
    <x v="0"/>
    <m/>
    <x v="0"/>
    <m/>
    <x v="1"/>
    <m/>
    <m/>
    <m/>
    <s v="https://news.cgtn.com/news/2024-04-27/Defense-minister-China-proposed-initiatives-benefit-people-worldwide-1t8RRpVlJUQ/p.html"/>
    <m/>
  </r>
  <r>
    <x v="0"/>
    <x v="7"/>
    <s v="West Asia and Africa"/>
    <s v="Strategic Partnership [战略伙伴关系]"/>
    <s v="None"/>
    <x v="4"/>
    <x v="139"/>
    <x v="33"/>
    <n v="4"/>
    <x v="0"/>
    <m/>
    <m/>
    <m/>
    <m/>
    <x v="0"/>
    <m/>
    <x v="0"/>
    <m/>
    <x v="0"/>
    <m/>
    <x v="2"/>
    <s v="ETF-45"/>
    <s v="East Sea Fleet"/>
    <s v="DDG118 Urumqi, FFG547 Linyi, AOR902 Dongpinghu"/>
    <s v="http://eng.chinamil.com.cn/CHINA_209163/Exchanges/News_209188/16302752.html"/>
    <m/>
  </r>
  <r>
    <x v="1"/>
    <x v="6"/>
    <s v="Europe and Central Asia"/>
    <s v="Comprehensive Strategic Cooperative Partnership [战略合作伙伴关系]"/>
    <s v="None"/>
    <x v="1"/>
    <x v="60"/>
    <x v="33"/>
    <n v="4"/>
    <x v="7"/>
    <s v="Dong Jun"/>
    <m/>
    <s v="Defense Minister; CMC Member"/>
    <n v="8"/>
    <x v="1"/>
    <s v="Defense Minister; ML at SCO w/ Uzbekistan minister"/>
    <x v="0"/>
    <m/>
    <x v="0"/>
    <m/>
    <x v="1"/>
    <m/>
    <m/>
    <m/>
    <s v="http://eng.mod.gov.cn/xb/News_213114/OverseasOperations/EscortMissions/16301239.html"/>
    <s v="upgraded diplomatic ties in 2024"/>
  </r>
  <r>
    <x v="1"/>
    <x v="2"/>
    <s v="America and Oceania"/>
    <s v="No Specific Relationship"/>
    <s v="N/A"/>
    <x v="2"/>
    <x v="4"/>
    <x v="33"/>
    <n v="4"/>
    <x v="15"/>
    <s v="Dong Jun"/>
    <m/>
    <s v="Defense Minister; CMC Member"/>
    <n v="8"/>
    <x v="4"/>
    <s v="Defense Secretary Austin"/>
    <x v="0"/>
    <m/>
    <x v="0"/>
    <m/>
    <x v="1"/>
    <m/>
    <m/>
    <m/>
    <s v="http://eng.chinamil.com.cn/CHINA_209163/Exchanges/News_209188/16301449.html"/>
    <m/>
  </r>
  <r>
    <x v="1"/>
    <x v="6"/>
    <s v="Europe and Central Asia"/>
    <s v="All-Weather Comprehensive Strategic Partnership [全天候全面战略伙伴关系]"/>
    <s v="None"/>
    <x v="1"/>
    <x v="73"/>
    <x v="33"/>
    <n v="4"/>
    <x v="7"/>
    <s v="Dong Jun"/>
    <m/>
    <s v="Defense Minister; CMC Member"/>
    <n v="8"/>
    <x v="1"/>
    <s v="Defense Minister; ML at SCO w/ Tajikistan minister"/>
    <x v="0"/>
    <m/>
    <x v="0"/>
    <m/>
    <x v="1"/>
    <m/>
    <m/>
    <m/>
    <s v="http://eng.chinamil.com.cn/CHINA_209163/Exchanges/News_209188/16304549.html"/>
    <m/>
  </r>
  <r>
    <x v="1"/>
    <x v="1"/>
    <s v="Asia"/>
    <s v="Comprehensive Strategic Partnership [全面战略伙伴关系]"/>
    <s v="None"/>
    <x v="0"/>
    <x v="23"/>
    <x v="33"/>
    <n v="4"/>
    <x v="3"/>
    <s v="Dong Jun"/>
    <m/>
    <s v="Defense Minister; CMC Member"/>
    <n v="8"/>
    <x v="2"/>
    <s v="Defense Minister Phan Van Giang"/>
    <x v="0"/>
    <m/>
    <x v="0"/>
    <m/>
    <x v="1"/>
    <m/>
    <m/>
    <m/>
    <s v="http://eng.chinamil.com.cn/CHINA_209163/TopStories_209189/16300567.html"/>
    <s v="8th border defense friendship exchange; held in both Yunnan and Lao Cai, VN"/>
  </r>
  <r>
    <x v="2"/>
    <x v="0"/>
    <s v="Asia "/>
    <s v="Comprehensive Strategic Cooperative Partnership [战略合作伙伴关系]"/>
    <s v="None"/>
    <x v="0"/>
    <x v="0"/>
    <x v="33"/>
    <n v="5"/>
    <x v="5"/>
    <m/>
    <m/>
    <m/>
    <m/>
    <x v="0"/>
    <m/>
    <x v="1"/>
    <s v="Golden Friendship-2024"/>
    <x v="1"/>
    <s v="CT and UN PKO scenarios "/>
    <x v="1"/>
    <m/>
    <m/>
    <m/>
    <s v="http://eng.mod.gov.cn/xb/News_213114/NewsRelease/16305683.html; http://eng.chinamil.com.cn/VOICES/MinistryofNationalDefense_209794/16303742.html"/>
    <m/>
  </r>
  <r>
    <x v="2"/>
    <x v="1"/>
    <s v="Asia"/>
    <s v="Comprehensive Strategic Cooperative Partnership [全面战略合作伙伴关系]"/>
    <s v="None"/>
    <x v="0"/>
    <x v="94"/>
    <x v="33"/>
    <n v="5"/>
    <x v="5"/>
    <m/>
    <m/>
    <m/>
    <m/>
    <x v="0"/>
    <m/>
    <x v="1"/>
    <s v="Golden Dragon 2024"/>
    <x v="2"/>
    <s v="Counter-terrorism and humanitarian relief exercises"/>
    <x v="1"/>
    <m/>
    <m/>
    <m/>
    <s v="http://eng.chinamil.com.cn/CHINA_209163/Exercises/News_209184/16311857.html"/>
    <s v="This is the sixth China-Cambodia &quot;Golden Dragon&quot; joint military exercise, which is conducive to further consolidating the iron-clad friendship between the two countries, enhancing the strategic coordination level between the two militaries, and jointly safeguarding regional peace and stability"/>
  </r>
  <r>
    <x v="0"/>
    <x v="1"/>
    <s v="Asia"/>
    <s v="Comprehensive Strategic Cooperative Partnership [全面战略合作伙伴关系]"/>
    <s v="None"/>
    <x v="0"/>
    <x v="94"/>
    <x v="33"/>
    <n v="5"/>
    <x v="0"/>
    <m/>
    <m/>
    <m/>
    <m/>
    <x v="0"/>
    <m/>
    <x v="0"/>
    <m/>
    <x v="0"/>
    <m/>
    <x v="0"/>
    <s v="83 task unit"/>
    <m/>
    <s v="Qi Jiguang training ship, Jinggangshan amphibious dock landing ship"/>
    <s v="http://eng.mod.gov.cn/xb/News_213114/TopStories/16310111.html"/>
    <m/>
  </r>
  <r>
    <x v="0"/>
    <x v="1"/>
    <s v="Asia"/>
    <s v="Comprehensive Strategic Partnership [全面战略伙伴关系]"/>
    <s v="None"/>
    <x v="0"/>
    <x v="10"/>
    <x v="33"/>
    <n v="5"/>
    <x v="0"/>
    <m/>
    <m/>
    <m/>
    <m/>
    <x v="0"/>
    <m/>
    <x v="0"/>
    <m/>
    <x v="0"/>
    <m/>
    <x v="2"/>
    <s v="ETF-45"/>
    <s v="East Sea Fleet"/>
    <s v="DDG118 Urumqi, FFG547 Linyi, AOR902 Dongpinghu"/>
    <s v="http://eng.mod.gov.cn/xb/News_213114/TopStories/16306073.html"/>
    <m/>
  </r>
  <r>
    <x v="2"/>
    <x v="4"/>
    <s v="Asia"/>
    <s v="Comprehensive Strategic Partnership [全面战略伙伴关系]"/>
    <s v="None"/>
    <x v="0"/>
    <x v="53"/>
    <x v="33"/>
    <n v="5"/>
    <x v="5"/>
    <m/>
    <m/>
    <m/>
    <m/>
    <x v="0"/>
    <m/>
    <x v="1"/>
    <s v="Steppe Partner-2024"/>
    <x v="1"/>
    <s v="first joint training between armies; combatting illegal armed groups"/>
    <x v="1"/>
    <m/>
    <m/>
    <m/>
    <s v="http://eng.chinamil.com.cn/CHINA_209163/Exchanges/News_209188/16310270.html"/>
    <m/>
  </r>
  <r>
    <x v="1"/>
    <x v="9"/>
    <s v="West Asia and Africa"/>
    <s v="Strategic Partnership [战略伙伴关系]"/>
    <s v="None"/>
    <x v="1"/>
    <x v="131"/>
    <x v="33"/>
    <n v="5"/>
    <x v="3"/>
    <s v="Dong Jun"/>
    <m/>
    <s v="Defense Minister; CMC Member"/>
    <n v="8"/>
    <x v="2"/>
    <s v="Deputy PM and Defense Minister "/>
    <x v="0"/>
    <m/>
    <x v="0"/>
    <m/>
    <x v="1"/>
    <m/>
    <m/>
    <m/>
    <s v="http://eng.mod.gov.cn/xb/News_213114/TopStories/16310576.html"/>
    <m/>
  </r>
  <r>
    <x v="1"/>
    <x v="1"/>
    <s v="Asia"/>
    <s v="All-Round Cooperative Partnership [全方合作伙伴关系]"/>
    <s v="None"/>
    <x v="0"/>
    <x v="39"/>
    <x v="33"/>
    <n v="5"/>
    <x v="4"/>
    <s v="Dong Jun"/>
    <m/>
    <s v="Defense Minister; CMC Member"/>
    <n v="8"/>
    <x v="1"/>
    <s v="Prime Minister Lawrence Wong"/>
    <x v="0"/>
    <m/>
    <x v="0"/>
    <m/>
    <x v="1"/>
    <m/>
    <m/>
    <m/>
    <s v="http://eng.mod.gov.cn/xb/News_213114/TopStories/16313030.html"/>
    <s v="PCS: Separate BL meeting prior to Shangri-la, so NOT coded as on the margins"/>
  </r>
  <r>
    <x v="0"/>
    <x v="7"/>
    <s v="West Asia and Africa"/>
    <s v="All-round strategic cooperative partnership in the new era [新时代全方位战略合作伙伴关系]"/>
    <s v="None"/>
    <x v="4"/>
    <x v="15"/>
    <x v="33"/>
    <n v="5"/>
    <x v="13"/>
    <m/>
    <m/>
    <m/>
    <m/>
    <x v="0"/>
    <m/>
    <x v="0"/>
    <m/>
    <x v="0"/>
    <m/>
    <x v="2"/>
    <s v="ETF-46"/>
    <s v="South Sea Fleet"/>
    <s v="FFG536 Xuchang replenishment of oil, water, and staple and non-staple food, and organized troops to rest"/>
    <s v="http://eng.mod.gov.cn/xb/News_213114/OverseasOperations/EscortMissions/16310300.html"/>
    <s v="The guided-missile frigate Xuchang attached to the 46th Chinese naval escort taskforce made a technical stop in Cape Town, South Africa, from May 16 to 19, for replenishment and rest."/>
  </r>
  <r>
    <x v="1"/>
    <x v="7"/>
    <s v="West Asia and Africa"/>
    <s v="All-round strategic cooperative partnership in the new era [新时代全方位战略合作伙伴关系]"/>
    <s v="None"/>
    <x v="4"/>
    <x v="15"/>
    <x v="33"/>
    <n v="5"/>
    <x v="3"/>
    <s v="Dong Jun"/>
    <m/>
    <s v="Defense Minister; CMC Member"/>
    <n v="8"/>
    <x v="2"/>
    <s v="Navy Commander"/>
    <x v="0"/>
    <m/>
    <x v="0"/>
    <m/>
    <x v="1"/>
    <m/>
    <m/>
    <m/>
    <s v="http://eng.chinamil.com.cn/CHINA_209163/TopStories_209189/16310104.html"/>
    <m/>
  </r>
  <r>
    <x v="0"/>
    <x v="1"/>
    <s v="Asia"/>
    <s v="Comprehensive Strategic Partnership [全面战略伙伴关系]"/>
    <s v="None"/>
    <x v="0"/>
    <x v="169"/>
    <x v="33"/>
    <n v="5"/>
    <x v="0"/>
    <m/>
    <m/>
    <m/>
    <m/>
    <x v="0"/>
    <m/>
    <x v="0"/>
    <m/>
    <x v="0"/>
    <m/>
    <x v="0"/>
    <s v="83 task unit"/>
    <m/>
    <s v="Qi Jiguang training ship, Jinggangshan amphibious dock landing ship"/>
    <s v="http://eng.chinamil.com.cn/CHINA_209163/TopStories_209189/16313162.html"/>
    <m/>
  </r>
  <r>
    <x v="1"/>
    <x v="8"/>
    <s v="Europe and Central Asia"/>
    <s v="Comprehensive Strategic Partnership [全面战略伙伴关系]"/>
    <s v="NATO"/>
    <x v="3"/>
    <x v="21"/>
    <x v="33"/>
    <n v="5"/>
    <x v="15"/>
    <s v="Liu Zhenli"/>
    <m/>
    <s v="Chief, Joint Staff Dept (JSD)"/>
    <n v="8"/>
    <x v="4"/>
    <s v="Chief of Defense Staff"/>
    <x v="0"/>
    <m/>
    <x v="0"/>
    <m/>
    <x v="1"/>
    <m/>
    <m/>
    <m/>
    <s v="http://www.mod.gov.cn/gfbw/gc/lzl_244321/2024_246934/16309418.html"/>
    <s v="On May 15, Liu Zhenli, member of the Central Military Commission and Chief of the Joint Staﬀ Department of the Central Military Commission, held a video call with British Chief of Defense Staﬀ Radakin. The two sides exchanged views on the relations between the two countries and the two militaries, the international and regional situation, and communicated on strengthening exchanges and cooperation between the two militaries."/>
  </r>
  <r>
    <x v="1"/>
    <x v="5"/>
    <s v="America and Oceania"/>
    <s v="Comprehensive Strategic Partnership [全面战略伙伴关系]"/>
    <s v="ANZUS Treaty"/>
    <x v="0"/>
    <x v="12"/>
    <x v="33"/>
    <n v="6"/>
    <x v="7"/>
    <s v="Dong Jun"/>
    <m/>
    <s v="Minister of Defense"/>
    <n v="8"/>
    <x v="1"/>
    <s v="Defense Ministers"/>
    <x v="0"/>
    <m/>
    <x v="0"/>
    <m/>
    <x v="1"/>
    <m/>
    <m/>
    <m/>
    <s v="http://www.mod.gov.cn/gfbw/jswj/cf/16313261.html"/>
    <s v="BL on margins of 21st IISS Shangri-la dialogue"/>
  </r>
  <r>
    <x v="1"/>
    <x v="1"/>
    <s v="Asia"/>
    <s v="Comprehensive Strategic Cooperative Partnership [全面战略合作伙伴关系]"/>
    <s v="None"/>
    <x v="0"/>
    <x v="94"/>
    <x v="33"/>
    <n v="6"/>
    <x v="7"/>
    <s v="Dong Jun"/>
    <m/>
    <s v="Minister of Defense"/>
    <n v="8"/>
    <x v="1"/>
    <s v="Minister of National Defense"/>
    <x v="0"/>
    <m/>
    <x v="0"/>
    <m/>
    <x v="1"/>
    <m/>
    <m/>
    <m/>
    <s v="http://www.mod.gov.cn/gfbw/jswj/cf/16313261.html; https://www.iiss.org/events/shangri-la-dialogue/shangri-la-dialogue-2024/speaker-agenda/"/>
    <s v="BL on margins of 21st IISS Shangri-la dialogue; Cambodian counterpart inferred from Cambodian head of delegation"/>
  </r>
  <r>
    <x v="1"/>
    <x v="2"/>
    <s v="America and Oceania"/>
    <s v="Strategic Partnership [战略伙伴关系]"/>
    <s v="NATO"/>
    <x v="2"/>
    <x v="17"/>
    <x v="33"/>
    <n v="6"/>
    <x v="7"/>
    <s v="Dong Jun"/>
    <m/>
    <s v="Minister of Defense"/>
    <n v="8"/>
    <x v="1"/>
    <s v="Defense Minister"/>
    <x v="0"/>
    <m/>
    <x v="0"/>
    <m/>
    <x v="1"/>
    <m/>
    <m/>
    <m/>
    <s v="http://www.mod.gov.cn/gfbw/jswj/cf/16313261.html"/>
    <s v="BL on margins of 21st IISS Shangri-la dialogue"/>
  </r>
  <r>
    <x v="1"/>
    <x v="8"/>
    <s v="Europe and Central Asia"/>
    <s v="Comprehensive Cooperative Partnership [全面合作伙伴关系]"/>
    <s v="None"/>
    <x v="3"/>
    <x v="158"/>
    <x v="33"/>
    <n v="6"/>
    <x v="7"/>
    <s v="Dong Jun"/>
    <m/>
    <s v="Minister of Defense"/>
    <n v="8"/>
    <x v="1"/>
    <s v="High Representive of EU for Foreign Affairs and Security Policy"/>
    <x v="0"/>
    <m/>
    <x v="0"/>
    <m/>
    <x v="1"/>
    <m/>
    <m/>
    <m/>
    <s v="http://eng.mod.gov.cn/xb/News_213114/TopStories/16313281.html; https://www.iiss.org/events/shangri-la-dialogue/shangri-la-dialogue-2024/speaker-agenda/"/>
    <s v="BL on margins of 21st IISS Shangri-la dialogue; PCS--not sure we have fully captured previous meetings between senior PLA officials and EU civilian officials int eh database"/>
  </r>
  <r>
    <x v="1"/>
    <x v="8"/>
    <s v="Europe and Central Asia"/>
    <s v="Comprehensive Strategic Partnership [全面战略伙伴关系]"/>
    <s v="NATO"/>
    <x v="3"/>
    <x v="22"/>
    <x v="33"/>
    <n v="6"/>
    <x v="7"/>
    <s v="Dong Jun"/>
    <m/>
    <s v="Minister of Defense"/>
    <n v="8"/>
    <x v="1"/>
    <s v="Vice Chief of the Defence Staff"/>
    <x v="0"/>
    <m/>
    <x v="0"/>
    <m/>
    <x v="1"/>
    <m/>
    <m/>
    <m/>
    <s v="http://www.mod.gov.cn/gfbw/jswj/cf/16313261.html; https://www.iiss.org/events/shangri-la-dialogue/shangri-la-dialogue-2024/speaker-agenda/"/>
    <s v="BL on margins of 21st IISS Shangri-la dialogue; French counterpart inferred from French head of delegation"/>
  </r>
  <r>
    <x v="1"/>
    <x v="1"/>
    <s v="Asia"/>
    <s v="No Specific Relationship"/>
    <s v="None"/>
    <x v="0"/>
    <x v="137"/>
    <x v="33"/>
    <n v="6"/>
    <x v="1"/>
    <s v="Dong Jun"/>
    <m/>
    <s v="Defense Minister; CMC Member"/>
    <n v="8"/>
    <x v="1"/>
    <s v="21st Shangri-La "/>
    <x v="0"/>
    <m/>
    <x v="0"/>
    <m/>
    <x v="1"/>
    <m/>
    <m/>
    <m/>
    <s v="https://www.globaltimes.cn/page/202406/1313470.shtml"/>
    <m/>
  </r>
  <r>
    <x v="1"/>
    <x v="4"/>
    <s v="Asia"/>
    <s v="Mutually Beneficial Strategic Relationship [战略互惠关系]"/>
    <s v="Bilateral Defense Treaty"/>
    <x v="0"/>
    <x v="83"/>
    <x v="33"/>
    <n v="6"/>
    <x v="7"/>
    <s v="Dong Jun"/>
    <m/>
    <s v="Minister of Defense"/>
    <n v="8"/>
    <x v="1"/>
    <s v="Minister of Defense"/>
    <x v="0"/>
    <m/>
    <x v="0"/>
    <m/>
    <x v="1"/>
    <m/>
    <m/>
    <m/>
    <s v="http://www.mod.gov.cn/gfbw/jswj/cf/16313261.html; https://www.iiss.org/events/shangri-la-dialogue/shangri-la-dialogue-2024/speaker-agenda/"/>
    <s v="BL on margins of 21st IISS Shangri-la dialogue; Japanese counterpart inferred from head of delegation"/>
  </r>
  <r>
    <x v="1"/>
    <x v="7"/>
    <s v="West Asia and Africa"/>
    <s v="Comprehensive Strategic Cooperative Partnership [全面战略合作伙伴关系]"/>
    <s v="None"/>
    <x v="4"/>
    <x v="84"/>
    <x v="33"/>
    <n v="6"/>
    <x v="3"/>
    <s v="Dong Jun"/>
    <m/>
    <s v="Minister of Defense"/>
    <n v="8"/>
    <x v="2"/>
    <s v="Minister of Defense"/>
    <x v="0"/>
    <m/>
    <x v="0"/>
    <m/>
    <x v="1"/>
    <m/>
    <m/>
    <m/>
    <s v="http://eng.mod.gov.cn/xb/News_213114/TopStories/16319209.html"/>
    <s v="Chinese Defense Minister Admiral Dong Jun held talks with visiting Mozambican Defense Minister Cristóvão Artur Chume in Beijing on Thursday."/>
  </r>
  <r>
    <x v="1"/>
    <x v="5"/>
    <s v="America and Oceania"/>
    <s v="Comprehensive Strategic Partnership [全面战略伙伴关系]"/>
    <s v="ANZUS Treaty"/>
    <x v="0"/>
    <x v="13"/>
    <x v="33"/>
    <n v="6"/>
    <x v="7"/>
    <s v="Dong Jun"/>
    <m/>
    <s v="Minister of Defense"/>
    <n v="8"/>
    <x v="1"/>
    <s v="Minister of Defence"/>
    <x v="0"/>
    <m/>
    <x v="0"/>
    <m/>
    <x v="1"/>
    <m/>
    <m/>
    <m/>
    <s v="http://www.mod.gov.cn/gfbw/jswj/cf/16313261.html; https://www.iiss.org/events/shangri-la-dialogue/shangri-la-dialogue-2024/speaker-agenda/"/>
    <s v="BL on margins of 21st IISS Shangri-la dialogue; New Zealand counterpart inferred from head of delegation"/>
  </r>
  <r>
    <x v="2"/>
    <x v="7"/>
    <s v="West Asia and Africa"/>
    <s v="Comprehensive Strategic Partnership [全面战略伙伴关系]"/>
    <s v="None"/>
    <x v="4"/>
    <x v="36"/>
    <x v="33"/>
    <n v="6"/>
    <x v="6"/>
    <m/>
    <m/>
    <m/>
    <m/>
    <x v="0"/>
    <m/>
    <x v="4"/>
    <s v="N/A"/>
    <x v="2"/>
    <s v="joint exercise drill with Nigeria, Brazil, and Cameroon; frigate Xuchang of ETF-46 particiated in joint search/rescue, comms, formation maneuver, and counterpiracy"/>
    <x v="1"/>
    <s v="ETF-46"/>
    <s v="South Sea Fleet"/>
    <s v="DDG163 Jiaozuo, FFG536 Xuchang, AOR906 Honghu"/>
    <s v="http://eng.chinamil.com.cn/CHINA_209163/Exercises/News_209184/16313786.html"/>
    <m/>
  </r>
  <r>
    <x v="2"/>
    <x v="3"/>
    <s v="Europe and Central Asia"/>
    <s v="Comprehensive Strategic Partnership of Coordination in the New Era [新时代中俄全面战略协作伙伴关系]"/>
    <s v="None"/>
    <x v="3"/>
    <x v="7"/>
    <x v="33"/>
    <n v="6"/>
    <x v="5"/>
    <m/>
    <m/>
    <m/>
    <m/>
    <x v="0"/>
    <m/>
    <x v="1"/>
    <s v="Border Defense Cooperation-2024"/>
    <x v="1"/>
    <s v=" The Chinese and Russian sides implemented encirclement and capture operations in their respective areas through aerial reconnaissance, surface interception and ambushes on the shore."/>
    <x v="1"/>
    <m/>
    <m/>
    <m/>
    <s v="http://eng.chinamil.com.cn/CHINA_209163/Exercises/News_209184/16321037.html"/>
    <m/>
  </r>
  <r>
    <x v="1"/>
    <x v="9"/>
    <s v="West Asia and Africa"/>
    <s v="Comprehensive Strategic Partnership [全面战略伙伴关系]"/>
    <s v="None"/>
    <x v="1"/>
    <x v="142"/>
    <x v="33"/>
    <n v="6"/>
    <x v="3"/>
    <s v="Zhang Youxia"/>
    <m/>
    <s v="CMC Vice Chairman"/>
    <n v="10"/>
    <x v="2"/>
    <s v="Defense Minister; Dong Jun also met with separately"/>
    <x v="0"/>
    <m/>
    <x v="0"/>
    <m/>
    <x v="1"/>
    <m/>
    <m/>
    <m/>
    <s v="http://eng.chinamil.com.cn/CHINA_209163/TopStories_209189/16318475.html"/>
    <m/>
  </r>
  <r>
    <x v="1"/>
    <x v="1"/>
    <s v="Asia"/>
    <s v="Comprehensive Strategic Partnership [全面战略伙伴]"/>
    <s v="Bilateral Defense Treaty"/>
    <x v="0"/>
    <x v="5"/>
    <x v="33"/>
    <n v="6"/>
    <x v="7"/>
    <s v="Dong Jun"/>
    <m/>
    <s v="Minister of Defense"/>
    <n v="8"/>
    <x v="1"/>
    <s v="Minister of Defence"/>
    <x v="0"/>
    <m/>
    <x v="0"/>
    <m/>
    <x v="1"/>
    <m/>
    <m/>
    <m/>
    <s v="http://www.mod.gov.cn/gfbw/jswj/cf/16313261.html; https://www.iiss.org/events/shangri-la-dialogue/shangri-la-dialogue-2024/speaker-agenda/"/>
    <s v="BL on margins of 21st IISS Shangri-la dialogue; Thai counterpart inferred from head of delegation"/>
  </r>
  <r>
    <x v="1"/>
    <x v="2"/>
    <s v="America and Oceania"/>
    <s v="No Specific Relationship"/>
    <s v="N/A"/>
    <x v="2"/>
    <x v="4"/>
    <x v="33"/>
    <n v="6"/>
    <x v="7"/>
    <s v="Dong Jun"/>
    <m/>
    <s v="Defense Minister; CMC Member"/>
    <n v="8"/>
    <x v="1"/>
    <s v="Defense Secretary Austin; BL at Shangri-La"/>
    <x v="0"/>
    <m/>
    <x v="0"/>
    <m/>
    <x v="1"/>
    <m/>
    <m/>
    <m/>
    <s v="http://eng.mod.gov.cn/xb/News_213114/TopStories/16312945.html"/>
    <m/>
  </r>
  <r>
    <x v="2"/>
    <x v="8"/>
    <s v="Europe and Central Asia"/>
    <s v="Comprehensive Strategic Partnership [全面战略伙伴关系]"/>
    <s v="None"/>
    <x v="3"/>
    <x v="34"/>
    <x v="33"/>
    <n v="7"/>
    <x v="5"/>
    <m/>
    <m/>
    <m/>
    <m/>
    <x v="0"/>
    <m/>
    <x v="1"/>
    <s v="Eagle Assault 2024"/>
    <x v="1"/>
    <s v="hostage rescue and counter-terrorism operation"/>
    <x v="1"/>
    <m/>
    <m/>
    <m/>
    <s v="http://eng.mod.gov.cn/xb/News_213114/TopStories/16322662.html"/>
    <m/>
  </r>
  <r>
    <x v="1"/>
    <x v="10"/>
    <s v="America and Oceania"/>
    <s v="Comprehensive Strategic Partnership [全面战略伙伴关系]"/>
    <s v="None"/>
    <x v="5"/>
    <x v="43"/>
    <x v="33"/>
    <n v="7"/>
    <x v="3"/>
    <s v="Dong Jun"/>
    <m/>
    <s v="Defense Minister; CMC Member"/>
    <n v="8"/>
    <x v="2"/>
    <s v="Army Commander"/>
    <x v="0"/>
    <m/>
    <x v="0"/>
    <m/>
    <x v="1"/>
    <m/>
    <m/>
    <m/>
    <s v="http://eng.mod.gov.cn/xb/News_213114/TopStories/16322667.html"/>
    <m/>
  </r>
  <r>
    <x v="2"/>
    <x v="7"/>
    <s v="West Asia and Africa"/>
    <s v="Comprehensive Strategic Partnership [全面战略伙伴关系]"/>
    <s v="None"/>
    <x v="4"/>
    <x v="119"/>
    <x v="33"/>
    <n v="7"/>
    <x v="5"/>
    <m/>
    <m/>
    <m/>
    <m/>
    <x v="0"/>
    <m/>
    <x v="1"/>
    <s v="Cooperation-2024.7.FAD (Forces Armées Djibouti)"/>
    <x v="1"/>
    <s v="Marines from PLA Djibouti base and Djibouti army formed a joint task force, and the command group is jointly held by the leaders of both sides. &quot;jointly attacking terrorists in desert areas&quot;, focusing on practical exercises such as coordinated reconnaissance, joint firepower strikes, and joint force assaults. three stages: research and training, adaptive training, and live-fire exercises."/>
    <x v="1"/>
    <m/>
    <m/>
    <m/>
    <s v="http://world.people.com.cn/n1/2024/0727/c1002-40286881.html"/>
    <s v="Described as annual routine military cooperation activity; November 2024 exercise included naval elements as well."/>
  </r>
  <r>
    <x v="2"/>
    <x v="1"/>
    <s v="Asia"/>
    <s v="Comprehensive Strategic Cooperative Partnership [全面战略合作伙伴关系]"/>
    <s v="None"/>
    <x v="0"/>
    <x v="52"/>
    <x v="33"/>
    <n v="7"/>
    <x v="5"/>
    <m/>
    <m/>
    <m/>
    <m/>
    <x v="0"/>
    <m/>
    <x v="2"/>
    <s v=" Friendship Shield 2024"/>
    <x v="1"/>
    <s v="operation of mine-clearance and explosive ordnance disposal equipment, unarmed combat, and combat wound treatment."/>
    <x v="1"/>
    <m/>
    <m/>
    <m/>
    <s v="http://eng.mod.gov.cn/xb/News_213114/TopStories/16322655.html"/>
    <m/>
  </r>
  <r>
    <x v="0"/>
    <x v="7"/>
    <s v="West Asia and Africa"/>
    <s v="Strategic Partnership [战略伙伴关系]"/>
    <s v="Major Non-NATO Ally"/>
    <x v="4"/>
    <x v="27"/>
    <x v="33"/>
    <n v="7"/>
    <x v="10"/>
    <m/>
    <m/>
    <m/>
    <m/>
    <x v="0"/>
    <m/>
    <x v="0"/>
    <m/>
    <x v="0"/>
    <m/>
    <x v="2"/>
    <s v="ETF-46"/>
    <s v="South Sea Fleet"/>
    <s v="DDG163 Jiaozuo, FFG536 Xuchang, AOR906 Honghu"/>
    <s v="http://eng.chinamil.com.cn/CHINA_209163/TopStories_209189/16323958.html"/>
    <m/>
  </r>
  <r>
    <x v="0"/>
    <x v="3"/>
    <s v="Europe and Central Asia"/>
    <s v=" Comprehensive Strategic Partnership of Coordination in the New Era [新时代中俄全面战略协作伙伴关系]"/>
    <s v="None"/>
    <x v="3"/>
    <x v="7"/>
    <x v="33"/>
    <n v="7"/>
    <x v="10"/>
    <m/>
    <m/>
    <m/>
    <m/>
    <x v="0"/>
    <m/>
    <x v="8"/>
    <s v=" "/>
    <x v="6"/>
    <s v=" "/>
    <x v="0"/>
    <s v="Jiaozuo and Honghu"/>
    <s v="South Sea Fleet"/>
    <s v="Jiaozuo destroyer and Honghu replenishment ship left the Russian port of St. Petersburg"/>
    <s v="https://www-81-cn.translate.goog/yw_208727/16328939.html?_x_tr_sch=http&amp;_x_tr_sl=auto&amp;_x_tr_tl=en&amp;_x_tr_hl=en&amp;_x_tr_pto=wapp"/>
    <s v="Jiaozuo destroyer and Honghu replenishment ship visited St. Petersburg for the Russian Navy anniversary and conducted a drill with a Russian Navy frigate.  PRC source calls this a joint exercise but it seems much more like a port call with a light drill added on the end."/>
  </r>
  <r>
    <x v="2"/>
    <x v="3"/>
    <s v="Europe and Central Asia"/>
    <s v=" Comprehensive Strategic Partnership of Coordination in the New Era [新时代中俄全面战略协作伙伴关系]"/>
    <s v="None"/>
    <x v="3"/>
    <x v="7"/>
    <x v="33"/>
    <n v="7"/>
    <x v="5"/>
    <m/>
    <m/>
    <m/>
    <m/>
    <x v="0"/>
    <m/>
    <x v="9"/>
    <s v="Joint Strategic Aerial Patrol I"/>
    <x v="5"/>
    <s v="8th joint Strategic air patrol. Two Chinese H-6 and two Russian Tu-95 bombers flew off Alaska; first time Chinese bombers have flown within the Alaskan ADIZ. Escorted partly by a Russian Su-30; U.S. and Candaian fights tracked and intercepted the bombers, which stayed outside sovereign US territory."/>
    <x v="1"/>
    <m/>
    <m/>
    <m/>
    <s v="https://apnews.com/article/china-russia-us-military-planes-norad-alaska-4994b489e75ae636b4a4cd5bb40f91ac"/>
    <s v="9th China-Russia air patrol"/>
  </r>
  <r>
    <x v="2"/>
    <x v="3"/>
    <s v="Europe and Central Asia"/>
    <s v=" Comprehensive Strategic Partnership of Coordination in the New Era [新时代中俄全面战略协作伙伴关系]"/>
    <s v="None"/>
    <x v="3"/>
    <x v="7"/>
    <x v="33"/>
    <n v="7"/>
    <x v="5"/>
    <m/>
    <m/>
    <m/>
    <m/>
    <x v="0"/>
    <m/>
    <x v="9"/>
    <s v="Joint Maritime Cruise 2024-I"/>
    <x v="2"/>
    <s v="The joint patrol featured the Russian corvette Sovershenny, the PLA Navy's Type 052D destroyer Yinchuan, Type 054A frigate Hengshui and Type 903 replenishment ship Weishanhu"/>
    <x v="1"/>
    <m/>
    <m/>
    <m/>
    <s v="https://www.globaltimes.cn/page/202407/1315995.shtml"/>
    <s v="4th Joint Maritime Patrol, in the Western and Northern Pacific Ocean"/>
  </r>
  <r>
    <x v="0"/>
    <x v="3"/>
    <s v="Europe and Central Asia"/>
    <s v=" Comprehensive Strategic Partnership of Coordination in the New Era [新时代中俄全面战略协作伙伴关系]"/>
    <s v="None"/>
    <x v="3"/>
    <x v="7"/>
    <x v="33"/>
    <n v="7"/>
    <x v="0"/>
    <m/>
    <m/>
    <m/>
    <m/>
    <x v="0"/>
    <m/>
    <x v="0"/>
    <m/>
    <x v="0"/>
    <m/>
    <x v="0"/>
    <s v="Longhushang landing ship"/>
    <s v="East Sea Fleet"/>
    <s v="Longhushan (landing ship) and Zheng He (training ship) attend Russian Navy anniversary in Vladisvostok"/>
    <s v="http://eng.chinamil.com.cn/CHINA_209163/Exchanges/News_209188/16328779.html"/>
    <s v=" Chinese naval vessels, the Longhushan and Zheng He, arrived at the Russian port of Vladivostok on the morning of July 26, local time, to begin a four-day friendly visit and participate in the celebration of the 328th anniversary of the founding of the Russian Navy."/>
  </r>
  <r>
    <x v="2"/>
    <x v="3"/>
    <s v="Europe and Central Asia"/>
    <s v="Comprehensive Strategic Partnership of Coordination in the New Era [新时代中俄全面战略协作伙伴关系]"/>
    <s v="None"/>
    <x v="3"/>
    <x v="7"/>
    <x v="33"/>
    <n v="7"/>
    <x v="5"/>
    <m/>
    <m/>
    <m/>
    <m/>
    <x v="0"/>
    <m/>
    <x v="3"/>
    <s v="Joint Sea 2024"/>
    <x v="2"/>
    <s v="exercise near Zhanjiang City, Guangdong"/>
    <x v="1"/>
    <m/>
    <m/>
    <m/>
    <s v="http://eng.chinamil.com.cn/CHINA_209163/TopStories_209189/16324026.html"/>
    <m/>
  </r>
  <r>
    <x v="0"/>
    <x v="7"/>
    <s v="West Asia and Africa"/>
    <s v="Strategic Partnership [战略伙伴关系]"/>
    <s v="None"/>
    <x v="4"/>
    <x v="139"/>
    <x v="33"/>
    <n v="7"/>
    <x v="0"/>
    <m/>
    <m/>
    <m/>
    <m/>
    <x v="0"/>
    <m/>
    <x v="0"/>
    <m/>
    <x v="0"/>
    <m/>
    <x v="0"/>
    <s v="Harmonious Mission 2024 Peace Ark"/>
    <s v="East Sea Fleet"/>
    <m/>
    <s v="http://eng.mod.gov.cn/xb/News_213114/TopStories/16322940.html; http://www.mod.gov.cn/gfbw/jswj/jl/16323102.html; "/>
    <m/>
  </r>
  <r>
    <x v="0"/>
    <x v="7"/>
    <s v="West Asia and Africa"/>
    <s v="Comprehensive Strategic Cooperative Partnership [战略合作伙伴关系]"/>
    <s v="None"/>
    <x v="4"/>
    <x v="16"/>
    <x v="33"/>
    <n v="7"/>
    <x v="0"/>
    <m/>
    <m/>
    <m/>
    <m/>
    <x v="0"/>
    <m/>
    <x v="0"/>
    <m/>
    <x v="0"/>
    <m/>
    <x v="0"/>
    <s v="Peace Ark - Harmonious Mission 2024"/>
    <s v="East Sea Fleet"/>
    <m/>
    <s v="http://www.mod.gov.cn/gfbw/jswj/cf/16326508.html"/>
    <s v="Third visit of the Peace Ark to Tanzania"/>
  </r>
  <r>
    <x v="2"/>
    <x v="7"/>
    <s v="West Asia and Africa"/>
    <s v="Comprehensive Strategic Cooperative Partnership [战略合作伙伴关系]"/>
    <s v="None"/>
    <x v="4"/>
    <x v="16"/>
    <x v="33"/>
    <n v="7"/>
    <x v="6"/>
    <m/>
    <m/>
    <m/>
    <m/>
    <x v="0"/>
    <m/>
    <x v="3"/>
    <s v="Peace Unity 2024"/>
    <x v="3"/>
    <s v="a battalion-sized element from PLA Central Theater Command 82nd Group Army including assault, reconnaissance, intelligence, special operations, information support and logistics elements, an information and communications regiment, and a military hospital. Exercise also assigned an exercise director and staff to evaluate the performance of units and commanders. The exercise also involved live-fire, integrated logistics, opposition force elements, and shared command and control. Also displayed were power projection capabilities, like the Y-20 strategic transport aircraft and sealift assets. Note: PLA marines from the Djibouti base were part of the PLA Contingent in these drills and this may be the first time PLA marines based in Djibouti have exercised with foreign militaries. Naval flotilla sent from Southern TC Navy"/>
    <x v="1"/>
    <m/>
    <s v="the sealift assets includd: the amphibious dock landing ship Wuzhishan, the amphibious dock landing ship Qilianshan, and the guided-missile destroyer Hefei."/>
    <m/>
    <s v="https://ssi.armywarcollege.edu/SSI-Media/Recent-Publications/Display/Article/3930357/peace-and-unity-chinas-growing-military-footprint-in-tanzania/; https://africacenter.org/spotlight/militarization-china-africa-policy/; https://cartamz.com/index.php/sociedade/item/17226-mocambique-tanzania-e-china-em-exercicios-militares-conjuntos-para-o-combate-ao-terrorismo"/>
    <s v="Mozambique also particpated in the exercise, but provided a smaller contingent. Classified as combat exercise based on significant live fire and combined arms elements."/>
  </r>
  <r>
    <x v="2"/>
    <x v="9"/>
    <s v="West Asia and Africa"/>
    <s v="Comprehensive Strategic Partnership [全面战略伙伴关系]"/>
    <s v="None"/>
    <x v="1"/>
    <x v="106"/>
    <x v="33"/>
    <n v="7"/>
    <x v="5"/>
    <m/>
    <m/>
    <m/>
    <m/>
    <x v="0"/>
    <m/>
    <x v="2"/>
    <s v="Falcon Shield 2024"/>
    <x v="5"/>
    <s v="second joint training focused on deepening trust/coop, held in XJ"/>
    <x v="1"/>
    <m/>
    <m/>
    <m/>
    <s v="http://eng.mod.gov.cn/xb/News_213114/TopStories/16323441.html"/>
    <s v="unclear milex type due to lack of relevant info, currently classified as MOOTW "/>
  </r>
  <r>
    <x v="0"/>
    <x v="7"/>
    <s v="West Asia and Africa"/>
    <s v="Comprehensive Strategic Partnership [全面战略伙伴关系]"/>
    <s v="Major Non-NATO Ally"/>
    <x v="1"/>
    <x v="24"/>
    <x v="33"/>
    <n v="8"/>
    <x v="0"/>
    <m/>
    <m/>
    <m/>
    <m/>
    <x v="0"/>
    <m/>
    <x v="0"/>
    <m/>
    <x v="0"/>
    <m/>
    <x v="2"/>
    <s v="ETF-46"/>
    <s v="South Sea Fleet"/>
    <s v="Jiaozuo DG and Honghu supply ships"/>
    <s v="http://eng.chinamil.com.cn/CHINA_209163/Exchanges/News_209188/16332206.html"/>
    <s v="The 46th Chinese Navy escort fleet, Jiaozuo destroyer and Honghu supply ship, arrived at the Egyptian port of Alexandria on the 15th, starting a five-day friendly visit."/>
  </r>
  <r>
    <x v="0"/>
    <x v="7"/>
    <s v="West Asia and Africa"/>
    <s v="Comprehensive Strategic Cooperative Partnership [全面战略合作伙伴关系]"/>
    <s v="None"/>
    <x v="4"/>
    <x v="141"/>
    <x v="33"/>
    <n v="8"/>
    <x v="0"/>
    <m/>
    <m/>
    <m/>
    <m/>
    <x v="0"/>
    <m/>
    <x v="0"/>
    <m/>
    <x v="0"/>
    <m/>
    <x v="0"/>
    <s v="Peace Ark - Harmonious Mission 2024"/>
    <s v="East Sea Fleet"/>
    <m/>
    <s v="http://www.mod.gov.cn/gfbw/jswj/cf/16329156.html"/>
    <s v="This the first time the Peace Ark has visited Madagascar"/>
  </r>
  <r>
    <x v="0"/>
    <x v="7"/>
    <s v="West Asia and Africa"/>
    <s v="Comprehensive Strategic Cooperative Partnership [全面战略合作伙伴关系]"/>
    <s v="None"/>
    <x v="4"/>
    <x v="84"/>
    <x v="33"/>
    <n v="8"/>
    <x v="0"/>
    <m/>
    <m/>
    <m/>
    <m/>
    <x v="0"/>
    <m/>
    <x v="0"/>
    <m/>
    <x v="0"/>
    <m/>
    <x v="0"/>
    <s v="Peace Ark - Harmonious Mission 2024"/>
    <s v="East Sea Fleet"/>
    <m/>
    <s v="http://eng.chinamil.com.cn/CHINA_209163/Exchanges/News_209188/16332205.html"/>
    <s v="The last visit of the Peace Ark to Mozambique was in 2017."/>
  </r>
  <r>
    <x v="2"/>
    <x v="7"/>
    <s v="West Asia and Africa"/>
    <s v="Comprehensive Strategic Cooperative Partnership [全面战略合作伙伴关系]"/>
    <s v="None"/>
    <x v="4"/>
    <x v="84"/>
    <x v="33"/>
    <n v="8"/>
    <x v="5"/>
    <m/>
    <m/>
    <m/>
    <m/>
    <x v="0"/>
    <m/>
    <x v="4"/>
    <s v="Peace Unity 2024"/>
    <x v="2"/>
    <s v="joint maritime patrols, visit, board, search and seizure (VBSS), maritime rescue, and anti-terrorism and anti-piracy"/>
    <x v="1"/>
    <m/>
    <s v="South Sea Fleet"/>
    <m/>
    <s v="http://eng.chinamil.com.cn/SIDEBAR/WeRecommend/16329725.html"/>
    <s v=" amphibious dock landing ship Qilianshan"/>
  </r>
  <r>
    <x v="1"/>
    <x v="5"/>
    <s v="America and Oceania"/>
    <s v="Comprehensive Strategic Partnership [全面战略伙伴关系]"/>
    <s v="ANZUS Treaty"/>
    <x v="0"/>
    <x v="13"/>
    <x v="33"/>
    <n v="8"/>
    <x v="4"/>
    <s v="???"/>
    <m/>
    <s v="???"/>
    <n v="5"/>
    <x v="1"/>
    <s v="Vice Chief of Defense Force"/>
    <x v="0"/>
    <m/>
    <x v="0"/>
    <m/>
    <x v="1"/>
    <m/>
    <m/>
    <m/>
    <s v="https://www.defence.govt.nz/news/12th-new-zealand-china-strategic-defence-dialogue/"/>
    <s v="12th China-New Zealand Strategic Defense Dialogue. Hosted by Acting Vice Chief of Defence Force Commodore Mat Williams and Deputy Secretary Policy and Planning of the Ministry of Defence Richard Schmidt. PLA head of del not mentioned; previous meetings were with Li Zuochang. "/>
  </r>
  <r>
    <x v="0"/>
    <x v="7"/>
    <s v="West Asia and Africa"/>
    <s v="All-round strategic cooperative partnership in the new era [新时代全方位战略合作伙伴关系]"/>
    <s v="None"/>
    <x v="4"/>
    <x v="15"/>
    <x v="33"/>
    <n v="8"/>
    <x v="0"/>
    <m/>
    <m/>
    <m/>
    <m/>
    <x v="0"/>
    <m/>
    <x v="0"/>
    <m/>
    <x v="0"/>
    <m/>
    <x v="0"/>
    <s v="Peace Ark - Harmonious Mission 2024"/>
    <s v="East Sea Fleet"/>
    <m/>
    <s v="http://eng.mod.gov.cn/xb/News_213114/Features/16334935.html"/>
    <m/>
  </r>
  <r>
    <x v="0"/>
    <x v="0"/>
    <s v="Asia"/>
    <s v="Strategic Cooperative Partnership [战略合作伙伴关系]"/>
    <s v="None"/>
    <x v="0"/>
    <x v="3"/>
    <x v="33"/>
    <n v="8"/>
    <x v="10"/>
    <m/>
    <m/>
    <m/>
    <m/>
    <x v="0"/>
    <m/>
    <x v="0"/>
    <m/>
    <x v="0"/>
    <m/>
    <x v="0"/>
    <s v="He Fei DDG, Wuzhishan LPD, Qilianshan LPD"/>
    <s v="South Sea Fleet"/>
    <s v="He Fei DDG, Wuzhishan LPD, Qilianshan LPD; ships conducted a PASSEX as they departed"/>
    <s v="https://news.navy.lk/eventnews/2024/08/26/202408261600/"/>
    <m/>
  </r>
  <r>
    <x v="2"/>
    <x v="1"/>
    <s v="Asia"/>
    <s v="Comprehensive Strategic Partnership [全面战略伙伴]"/>
    <s v="Bilateral Defense Treaty"/>
    <x v="0"/>
    <x v="5"/>
    <x v="33"/>
    <n v="8"/>
    <x v="5"/>
    <m/>
    <m/>
    <m/>
    <m/>
    <x v="0"/>
    <m/>
    <x v="3"/>
    <s v="Falcon Strike 2024"/>
    <x v="5"/>
    <s v="Exercise focused on early warning detection, dissimilar aircraft combat, close air support, penetration assault, and battlefield medical evacuation"/>
    <x v="1"/>
    <m/>
    <m/>
    <m/>
    <s v="http://eng.chinamil.com.cn/BILINGUAL/News_209203/16334825.html"/>
    <m/>
  </r>
  <r>
    <x v="1"/>
    <x v="2"/>
    <s v="America and Oceania"/>
    <s v="No Specific Relationship"/>
    <s v="N/A"/>
    <x v="0"/>
    <x v="4"/>
    <x v="33"/>
    <n v="8"/>
    <x v="3"/>
    <s v="Zhang Youxia"/>
    <m/>
    <s v="Vice Chair CMC"/>
    <n v="10"/>
    <x v="2"/>
    <s v="NSA Sullivan"/>
    <x v="0"/>
    <m/>
    <x v="0"/>
    <m/>
    <x v="1"/>
    <m/>
    <m/>
    <m/>
    <s v="http://eng.mod.gov.cn/xb/News_213114/TopStories/16334468.html"/>
    <s v="PCS: Not sure if we have captured all previous PLA meetings with US NSAs, but earlier entries do include senior PLA officers meeting with civilian officials and even retired officials.\"/>
  </r>
  <r>
    <x v="1"/>
    <x v="1"/>
    <s v="Asia"/>
    <s v="Comprehensive Strategic Partnership [全面战略伙伴关系]"/>
    <s v="None"/>
    <x v="0"/>
    <x v="23"/>
    <x v="33"/>
    <n v="8"/>
    <x v="3"/>
    <s v="Dong Jun"/>
    <m/>
    <s v="Minister of Defense"/>
    <n v="8"/>
    <x v="2"/>
    <s v="Minister of Defense"/>
    <x v="0"/>
    <m/>
    <x v="0"/>
    <m/>
    <x v="1"/>
    <m/>
    <m/>
    <m/>
    <s v="http://eng.mod.gov.cn/xb/News_213114/TopStories/16332372.html"/>
    <m/>
  </r>
  <r>
    <x v="0"/>
    <x v="7"/>
    <s v="West Asia and Africa"/>
    <s v="Comprehensive Cooperative Strategic Partnership [全面战略合作伙伴关系]"/>
    <s v="None"/>
    <x v="4"/>
    <x v="105"/>
    <x v="33"/>
    <n v="9"/>
    <x v="0"/>
    <m/>
    <m/>
    <m/>
    <m/>
    <x v="0"/>
    <m/>
    <x v="0"/>
    <m/>
    <x v="0"/>
    <m/>
    <x v="0"/>
    <s v="Peace Ark - Harmonious Mission 2024"/>
    <s v="East Sea Fleet"/>
    <m/>
    <s v="http://www.mod.gov.cn/gfbw/jswj/cf/16336065.html"/>
    <s v="This was the second visit of the Peace Ark to Angola. The first was in 2017."/>
  </r>
  <r>
    <x v="1"/>
    <x v="8"/>
    <s v="Europe and Central Asia"/>
    <s v="Friendly Cooperative Partnership [友好合作伙伴关系]"/>
    <s v="None"/>
    <x v="3"/>
    <x v="63"/>
    <x v="33"/>
    <n v="9"/>
    <x v="7"/>
    <s v="Dong Jun"/>
    <m/>
    <s v="Minister of Defense"/>
    <n v="8"/>
    <x v="2"/>
    <s v="Defense Minister"/>
    <x v="0"/>
    <m/>
    <x v="0"/>
    <m/>
    <x v="1"/>
    <m/>
    <m/>
    <m/>
    <s v="http://www.mod.gov.cn/gfbw/jswj/lf/16338033.html"/>
    <s v="BL during 11th Xiangshan - Papikian said that under the strategic guidance of the two heads of state, the Armenian-China relations have maintained a good momentum of development and achieved fruitful results. The cooperation between the two militaries in military education, personnel training and other fields has achieved outstanding results, and he hopes to further deepen bilateral defense relations with China."/>
  </r>
  <r>
    <x v="1"/>
    <x v="8"/>
    <s v="Europe and Central Asia"/>
    <s v="All-Weather Strategic Cooperative Partnership [全天候战略合作伙伴关系]"/>
    <s v="None"/>
    <x v="3"/>
    <x v="34"/>
    <x v="33"/>
    <n v="9"/>
    <x v="7"/>
    <s v="Dong Jun"/>
    <m/>
    <s v="Minister of Defense"/>
    <n v="8"/>
    <x v="2"/>
    <s v="Defense Minister"/>
    <x v="0"/>
    <m/>
    <x v="0"/>
    <m/>
    <x v="1"/>
    <m/>
    <m/>
    <m/>
    <s v="http://www.mod.gov.cn/gfbw/jswj/lf/16338033.html"/>
    <s v="BL during 11th Xiangshan - Khlenin said that Belarus and China have an all-weather comprehensive strategic partnership. Belarus is willing to continue exchanges and cooperation with China in various fields such as joint training and personnel training, and work together to elevate the relationship between the two militaries to a higher level."/>
  </r>
  <r>
    <x v="2"/>
    <x v="10"/>
    <s v="America and Oceania"/>
    <s v="Comprehensive Strategic Partnership [全面战略伙伴关系]"/>
    <s v="Major Non-NATO Ally"/>
    <x v="5"/>
    <x v="43"/>
    <x v="33"/>
    <n v="9"/>
    <x v="6"/>
    <m/>
    <m/>
    <m/>
    <m/>
    <x v="0"/>
    <m/>
    <x v="3"/>
    <s v="Exercise Formosa"/>
    <x v="2"/>
    <s v="The US-Brasil part of the exercise included coordinated live fire elements; the PRC-Brasil part &quot;will primarily concentrate on joint landing and anti-landing combat drills&quot;. US (63 Marines) and PLA troops (32 Marines) did not interact; PRC sent oberse vrs to the 2023 exercise"/>
    <x v="1"/>
    <m/>
    <m/>
    <m/>
    <s v="https://fmso.tradoc.army.mil/2024/chinese-marines-participate-in-brazils-military-exercise-for-the-first-time/; http://eng.chinamil.com.cn/CHINA_209163/Exercises/News_209184/16336575.html; https://english.elpais.com/international/2024-09-12/us-and-chinese-soldiers-take-part-in-joint-military-exercises-in-brazil.html"/>
    <s v="The People's Liberation Army (PLA) Navy will dispatch a Marine Corps detachment to Brazil to take part in a multilateral joint exercise, following an invitation from the Brazilian military. The exercise will primarily concentrate on joint landing and anti-landing combat drills. It aims to strengthen the friendship and collaboration between the Chinese military and its counterparts from the participating nations as well as to bolster their collective capacity to tackle security risks and challenges."/>
  </r>
  <r>
    <x v="1"/>
    <x v="1"/>
    <s v="Asia"/>
    <s v="Comprehensive Strategic Cooperative Partnership [全面战略合作伙伴关系]"/>
    <s v="None"/>
    <x v="0"/>
    <x v="94"/>
    <x v="33"/>
    <n v="9"/>
    <x v="7"/>
    <s v="Zhang Youxia"/>
    <m/>
    <s v="Vice Chair CMC"/>
    <n v="10"/>
    <x v="2"/>
    <s v="Deputy PM and Defense Minister"/>
    <x v="0"/>
    <m/>
    <x v="0"/>
    <m/>
    <x v="1"/>
    <m/>
    <m/>
    <m/>
    <s v="http://www.mod.gov.cn/gfbw/jswj/lf/16337971.html"/>
    <s v="BL during 11th Xiangshan - When meeting with Dixieha, Zhang Youxia said that China and Cambodia are partners who share weal and woe and are truly iron-clad. Under the strategic guidance of the leaders of the two countries, the construction of a community with a shared future between China and Cambodia has entered a new era of high quality, high level and high standards. China is willing to inherit and consolidate the special friendly relations with Cambodia, firmly support each other, jointly respond to challenges, promote strategic cooperation, and continue to work hand in hand to safeguard common interests. The cooperation between the two militaries has a long history and fruitful results. It is hoped that the two sides will strengthen high-level strategic communication, deepen practical cooperation in various fields, and promote the relationship between the two militaries to a new level."/>
  </r>
  <r>
    <x v="1"/>
    <x v="7"/>
    <s v="West Asia and Africa"/>
    <s v="Comprehensive Strategic Partnership [全面战略伙伴关系]"/>
    <s v="None"/>
    <x v="4"/>
    <x v="65"/>
    <x v="33"/>
    <n v="9"/>
    <x v="7"/>
    <s v="Dong Jun"/>
    <m/>
    <s v="Minister of Defense"/>
    <n v="8"/>
    <x v="2"/>
    <s v="Defense Minister"/>
    <x v="0"/>
    <m/>
    <x v="0"/>
    <m/>
    <x v="1"/>
    <m/>
    <m/>
    <m/>
    <s v="http://www.mod.gov.cn/gfbw/jswj/lf/16338281.html"/>
    <s v="BL during 11th Xiangshan - Assomo said that China is Cameroon's primary partner in the field of defense and security. During the Beijing Summit of the Forum on China-Africa Cooperation, the two heads of state reached a series of important consensuses, which clarified the development direction of the relations between the two countries and their militaries. Cameroon thanked China for its valuable support in helping Kazakhstan cope with diﬃculties and challenges, and is willing to continue to strengthen practical cooperation with China in various fields such as mutual visits of delegations, military medicine, and counter-terrorism."/>
  </r>
  <r>
    <x v="1"/>
    <x v="10"/>
    <s v="America and Oceania"/>
    <s v="Comprehensive Strategic Partnership [全面战略伙伴关系]"/>
    <s v="None"/>
    <x v="5"/>
    <x v="66"/>
    <x v="33"/>
    <n v="9"/>
    <x v="7"/>
    <s v="Dong Jun"/>
    <m/>
    <s v="Minister of Defense"/>
    <n v="8"/>
    <x v="2"/>
    <s v="Defense Minister"/>
    <x v="0"/>
    <m/>
    <x v="0"/>
    <m/>
    <x v="1"/>
    <m/>
    <m/>
    <m/>
    <s v="http://www.mod.gov.cn/gfbw/jswj/lf/16338033.html"/>
    <s v="BL during 11th Xiangshan - Fernandez said Chile has always firmly adhered to the one-China principle and will continue to give firm support to China on various occasions. The two sides have a good mechanism and foundation for defense exchanges, and are willing to continuously expand the breadth and depth of Chile-China cooperation."/>
  </r>
  <r>
    <x v="0"/>
    <x v="7"/>
    <s v="West Asia and Africa"/>
    <s v="Comprehensive Strategic Partnership [全面战略伙伴关系]"/>
    <s v="None"/>
    <x v="4"/>
    <x v="28"/>
    <x v="33"/>
    <n v="9"/>
    <x v="0"/>
    <m/>
    <m/>
    <m/>
    <m/>
    <x v="0"/>
    <m/>
    <x v="0"/>
    <m/>
    <x v="0"/>
    <m/>
    <x v="0"/>
    <s v="Peace Ark - Harmonious Mission 2024"/>
    <s v="East Sea Fleet"/>
    <m/>
    <s v="http://www.mod.gov.cn/gfbw/jswj/cf/16339975.html"/>
    <s v="This is the second visit of the Peace Ark hospital ship and was highly valued by the government of the Republic of Congo."/>
  </r>
  <r>
    <x v="1"/>
    <x v="5"/>
    <s v="America and Oceania"/>
    <s v="Comprehensive Strategic Partnership [全面战略伙伴关系]"/>
    <s v="None"/>
    <x v="0"/>
    <x v="128"/>
    <x v="33"/>
    <n v="9"/>
    <x v="7"/>
    <s v="Dong Jun"/>
    <m/>
    <s v="Minister of Defense"/>
    <n v="8"/>
    <x v="2"/>
    <s v="Minister of Internal Affairs and Immigration"/>
    <x v="0"/>
    <m/>
    <x v="0"/>
    <m/>
    <x v="1"/>
    <m/>
    <m/>
    <m/>
    <s v="http://www.mod.gov.cn/gfbw/jswj/lf/16338581.html"/>
    <s v="BL during 11th Beijing Xiangshan Forum."/>
  </r>
  <r>
    <x v="1"/>
    <x v="8"/>
    <s v="Europe and Central Asia"/>
    <s v="Comprehensive Strategic Partnership [全面战略伙伴关系]"/>
    <s v="NATO"/>
    <x v="3"/>
    <x v="22"/>
    <x v="33"/>
    <n v="9"/>
    <x v="7"/>
    <s v="Wu Yanan"/>
    <m/>
    <s v="Southern Theater Commmander"/>
    <n v="6"/>
    <x v="1"/>
    <s v="US INDOPACOM Commander ADM Samuel Paparo"/>
    <x v="0"/>
    <m/>
    <x v="0"/>
    <m/>
    <x v="1"/>
    <m/>
    <m/>
    <m/>
    <s v="http://eng.chinamil.com.cn/CHINA_209163/Exchanges/News_209188/16340241.html"/>
    <s v="Wu Yanan met with ADM Paparo and they exchanged views candidly and in-depth on issues of common concern around the implementation of the consensus reached by the two heads of state."/>
  </r>
  <r>
    <x v="0"/>
    <x v="7"/>
    <s v="West Asia and Africa"/>
    <s v="Comprehensive Stategic Collaborative Partnership [全面战略合作伙伴关系]"/>
    <s v="None"/>
    <x v="4"/>
    <x v="67"/>
    <x v="33"/>
    <n v="9"/>
    <x v="10"/>
    <m/>
    <m/>
    <m/>
    <m/>
    <x v="0"/>
    <m/>
    <x v="0"/>
    <m/>
    <x v="0"/>
    <m/>
    <x v="0"/>
    <s v="Peace Ark - Harmonious Mission 2024"/>
    <s v="East Sea Fleet"/>
    <m/>
    <s v="http://eng.chinamil.com.cn/CHINA_209163/Exchanges/News_209188/16341312.html"/>
    <s v="Peace Ark conducted minor drills with Gabonese Navy after visit, such as sailing in formation."/>
  </r>
  <r>
    <x v="1"/>
    <x v="7"/>
    <s v="West Asia and Africa"/>
    <s v="Comprehensive Stategic Collaborative Partnership [全面战略合作伙伴关系]"/>
    <s v="None"/>
    <x v="4"/>
    <x v="67"/>
    <x v="33"/>
    <n v="9"/>
    <x v="7"/>
    <s v="Dong Jun"/>
    <m/>
    <s v="Minister of Defense"/>
    <n v="8"/>
    <x v="2"/>
    <s v="Defense Minister"/>
    <x v="0"/>
    <m/>
    <x v="0"/>
    <m/>
    <x v="1"/>
    <m/>
    <m/>
    <m/>
    <s v="http://www.mod.gov.cn/gfbw/jswj/lf/16338281.html"/>
    <s v="BL during 11th Xiangshan - Onkanova said that Gabon and China have a special friendly relationship. Gabon regards China as an important strategic partner. The two heads of state have unanimously decided to expand and deepen BLeral relations. The two sides have broad prospects for cooperation in the field of defense. Gabon is willing to strengthen cooperation with China in the fields of counter-terrorism, anti-piracy, joint exercises and training, personnel training, etc., and promote the continuous development of relations between the two militaries."/>
  </r>
  <r>
    <x v="0"/>
    <x v="1"/>
    <s v="Asia"/>
    <s v="Comprehensive Strategic Partnership [全面战略伙伴关系]"/>
    <s v="None"/>
    <x v="0"/>
    <x v="8"/>
    <x v="33"/>
    <n v="9"/>
    <x v="0"/>
    <m/>
    <m/>
    <m/>
    <m/>
    <x v="0"/>
    <m/>
    <x v="0"/>
    <m/>
    <x v="0"/>
    <m/>
    <x v="0"/>
    <s v="Training Ship Po Lang"/>
    <s v="North Sea Fleet"/>
    <s v="Training Ship Po Lang sailing ship from Dalian Naval Academy"/>
    <s v="https://srilankachinahotline.srilankamirror.com/news/chinese-navy-training-ship-sets-sail-for-training-foreign-visits"/>
    <s v="Polang is a sailing ship"/>
  </r>
  <r>
    <x v="1"/>
    <x v="6"/>
    <s v="Europe and Central Asia"/>
    <s v="Permanent Comprehensive Strategic Partnership [永久全面战略伙伴]"/>
    <s v="None"/>
    <x v="1"/>
    <x v="30"/>
    <x v="33"/>
    <n v="9"/>
    <x v="7"/>
    <s v="Zhang Youxia"/>
    <m/>
    <s v="Vice Chair CMC"/>
    <n v="10"/>
    <x v="2"/>
    <s v="Defense Minister Zakserykov"/>
    <x v="0"/>
    <m/>
    <x v="0"/>
    <m/>
    <x v="1"/>
    <m/>
    <m/>
    <m/>
    <s v="http://www.mod.gov.cn/gfbw/jswj/lf/16338277.html"/>
    <s v="PCS: Added from Ken Allen BL meeting on margins of 11th Xiangshan Forum"/>
  </r>
  <r>
    <x v="1"/>
    <x v="6"/>
    <s v="Europe and Central Asia"/>
    <s v="Comprehensive Strategic Partnership for a New Era [新时代全面战略伙伴关系]"/>
    <s v="None"/>
    <x v="1"/>
    <x v="31"/>
    <x v="33"/>
    <n v="9"/>
    <x v="7"/>
    <s v="Dong Jun"/>
    <m/>
    <s v="Minister of Defense"/>
    <n v="8"/>
    <x v="2"/>
    <s v="Defense Minister"/>
    <x v="0"/>
    <m/>
    <x v="0"/>
    <m/>
    <x v="1"/>
    <m/>
    <m/>
    <m/>
    <s v="http://www.mod.gov.cn/gfbw/jswj/lf/16338281.html"/>
    <s v="BL during 11th Xiangshan - Bekbolotov said that Kyrgyzstan and China are a model of good-neighborly friendship and cooperation, and Kyrgyzstan is grateful for China's long-term selfless help. Kyrgyzstan firmly adheres to the one-China principle and is willing to work with China to implement the important consensus reached by the two heads of state, continue to deepen the brotherly friendship between the two militaries, continuously expand BLeral and multilateral exchanges and cooperation, and take firm steps to consolidate the relationship between the two militaries."/>
  </r>
  <r>
    <x v="1"/>
    <x v="1"/>
    <s v="Asia"/>
    <s v="Comprehensive Strategic Cooperative Partnership [全面战略合作伙伴关系]"/>
    <s v="None"/>
    <x v="0"/>
    <x v="52"/>
    <x v="33"/>
    <n v="9"/>
    <x v="7"/>
    <s v="Dong Jun"/>
    <m/>
    <s v="Minister of Defense"/>
    <n v="8"/>
    <x v="2"/>
    <s v="Deputy PM and Defense Minister"/>
    <x v="0"/>
    <m/>
    <x v="0"/>
    <m/>
    <x v="1"/>
    <m/>
    <m/>
    <m/>
    <s v="http://www.mod.gov.cn/gfbw/jswj/lf/16338281.html"/>
    <s v="BL during 11th Xiangshan - Chansamon said that Laos highly appreciates and firmly supports China's important role in international and regional aﬀairs, and thanks China for its long-term support and assistance to Laos. Last year, the two heads of state jointly signed a new five-year action plan to build a community with a shared future for Laos and China, which pointed out the direction for the development of relations between the two parties, two countries and two militaries. Laos is willing to take this forum as an opportunity to continue to strengthen practical cooperation with China in areas such as joint exercises and training, personnel training, and make positive contributions to deepening relations between the two countries and two militaries"/>
  </r>
  <r>
    <x v="1"/>
    <x v="7"/>
    <s v="West Asia and Africa"/>
    <s v="Comprehensive Strategic Cooperative Partnership [全面战略合作伙伴关系]"/>
    <s v="None"/>
    <x v="4"/>
    <x v="141"/>
    <x v="33"/>
    <n v="9"/>
    <x v="7"/>
    <s v="Dong Jun"/>
    <m/>
    <s v="Minister of Defense"/>
    <n v="8"/>
    <x v="2"/>
    <s v="Defense Minister"/>
    <x v="0"/>
    <m/>
    <x v="0"/>
    <m/>
    <x v="1"/>
    <m/>
    <m/>
    <m/>
    <s v="http://www.mod.gov.cn/gfbw/jswj/lf/16338033.html"/>
    <s v="BL during 11th Xiangshan - Sayvilo said that the friendship between Madagascar and China has a long history. During the Beijing Summit of the Forum on China-Africa Cooperation, the two heads of state upgraded the Madagascar-China relationship to a comprehensive strategic partnership of cooperation. The two militaries should seize the opportunity and continuously improve the level and quality of exchanges and cooperation."/>
  </r>
  <r>
    <x v="1"/>
    <x v="1"/>
    <s v="Asia"/>
    <s v="Comprehensive Collaborative Strategic Partnership [全面战略合作伙伴关系]"/>
    <s v="None"/>
    <x v="0"/>
    <x v="149"/>
    <x v="33"/>
    <n v="9"/>
    <x v="7"/>
    <s v="Dong Jun"/>
    <m/>
    <s v="Minister of Defense"/>
    <n v="8"/>
    <x v="2"/>
    <s v="Defense Minister"/>
    <x v="0"/>
    <m/>
    <x v="0"/>
    <m/>
    <x v="1"/>
    <m/>
    <m/>
    <m/>
    <s v="http://www.mod.gov.cn/gfbw/jswj/lf/16338033.html"/>
    <s v="BL during 11th Xiangshan - Gassan said that the friendly relations between Maldives and China are the best example of China treating all countries, big or small, equally. He hopes that the two militaries will have closer personnel exchanges, deepen maritime security cooperation, and further strengthen defense relations."/>
  </r>
  <r>
    <x v="1"/>
    <x v="7"/>
    <s v="West Asia and Africa"/>
    <s v="Strategic Partnership [战略伙伴关系]"/>
    <s v="None"/>
    <x v="4"/>
    <x v="160"/>
    <x v="33"/>
    <n v="9"/>
    <x v="7"/>
    <s v="Dong Jun"/>
    <m/>
    <s v="Minister of Defense"/>
    <n v="8"/>
    <x v="2"/>
    <s v="Defense Minister"/>
    <x v="0"/>
    <m/>
    <x v="0"/>
    <m/>
    <x v="1"/>
    <m/>
    <m/>
    <m/>
    <s v="http://www.mod.gov.cn/gfbw/jswj/lf/16338033.html"/>
    <s v="BL during 11th Xiangshan - Xidi said that the Mauritanian side firmly adheres to the one-China principle. The two militaries should conform to the new positioning of BLeral relations, deepen BLeral practical exchanges and cooperation, and promote the further improvement and upgrading of the relationship between the two militaries."/>
  </r>
  <r>
    <x v="1"/>
    <x v="1"/>
    <s v="Asia"/>
    <s v="Comprehensive Strategic Cooperative Partnership [全面战略合作伙伴关系]"/>
    <s v="None"/>
    <x v="0"/>
    <x v="1"/>
    <x v="33"/>
    <n v="9"/>
    <x v="7"/>
    <s v="He Weidong"/>
    <m/>
    <s v="Vice Chair CMC"/>
    <n v="10"/>
    <x v="2"/>
    <s v="Deputy Prime Minister"/>
    <x v="0"/>
    <m/>
    <x v="0"/>
    <m/>
    <x v="1"/>
    <m/>
    <m/>
    <m/>
    <s v="http://www.mod.gov.cn/gfbw/gc/hwd/2024_246932/16338275.html"/>
    <s v="BL with Myanmar's Deputy Prime Minister and Union Minister for Defense Admiral Tin Aung San during Xianshan forum"/>
  </r>
  <r>
    <x v="1"/>
    <x v="4"/>
    <s v="Asia"/>
    <s v="N/A"/>
    <s v="None"/>
    <x v="0"/>
    <x v="161"/>
    <x v="33"/>
    <n v="9"/>
    <x v="2"/>
    <s v="Dong Jun"/>
    <m/>
    <s v="Minister of Defense"/>
    <n v="8"/>
    <x v="2"/>
    <s v="11th Xiangshan Forum "/>
    <x v="0"/>
    <m/>
    <x v="0"/>
    <m/>
    <x v="1"/>
    <m/>
    <m/>
    <m/>
    <s v="http://eng.mod.gov.cn/xb/News_213114/TopStories/16338069.html; https://xiangshanforum.cn/; "/>
    <m/>
  </r>
  <r>
    <x v="2"/>
    <x v="0"/>
    <s v="Asia"/>
    <s v="Development-oriented Strategic Cooperative Partnership [面向发展与繁荣的世代友好的战略合作伙伴关系]."/>
    <s v="None"/>
    <x v="0"/>
    <x v="32"/>
    <x v="33"/>
    <n v="9"/>
    <x v="5"/>
    <m/>
    <m/>
    <m/>
    <m/>
    <x v="0"/>
    <m/>
    <x v="1"/>
    <s v="Sagarmatha Friendship 2024"/>
    <x v="1"/>
    <s v="Under the theme of &quot;joint counter-terrorism operations in urban blocks,&quot; the joint training will include small arms shooting in special operations, counter-terrorism squad tactics, drone operations, emergency rescue, and comprehensive counter-terrorism exercises."/>
    <x v="1"/>
    <m/>
    <m/>
    <m/>
    <s v="http://eng.chinamil.com.cn/CHINA_209163/Exercises/News_209184/16339979.html"/>
    <s v="Held in southwest China's Chongqing Municipality, this is the fourth iteration of joint training between the two militaries, with the previous session held in 2019."/>
  </r>
  <r>
    <x v="1"/>
    <x v="0"/>
    <s v="Asia"/>
    <s v="All-Weather Strategic Cooperative Partnership [全天候战略合作伙伴关系]"/>
    <s v="Major Non-NATO Ally"/>
    <x v="1"/>
    <x v="2"/>
    <x v="33"/>
    <n v="9"/>
    <x v="7"/>
    <s v="He Weidong"/>
    <m/>
    <s v="Vice Chair CMC"/>
    <n v="10"/>
    <x v="2"/>
    <s v="Chairman of Joint Chiefs of Staff Cmte."/>
    <x v="0"/>
    <m/>
    <x v="0"/>
    <m/>
    <x v="1"/>
    <m/>
    <m/>
    <m/>
    <s v="http://www.mod.gov.cn/gfbw/jswj/lf/16338276.html"/>
    <s v="PCS: Changed from 2-7-25 version; BL with Pakistani Chairman Joint Chiefs of Staﬀ CommitteeLt. Gen. Sahir Shamshad Mirza during Xianshan forum."/>
  </r>
  <r>
    <x v="1"/>
    <x v="1"/>
    <s v="Asia"/>
    <s v="Comprehensive Strategic Partnership [全面战略伙伴关系]"/>
    <s v="Bilateral Defense Treaty"/>
    <x v="0"/>
    <x v="11"/>
    <x v="33"/>
    <n v="9"/>
    <x v="7"/>
    <s v="Wu Yanan"/>
    <m/>
    <s v="Southern Theater Commmander"/>
    <n v="6"/>
    <x v="1"/>
    <s v="US INDOPACOM Commander ADM Samuel Paparo"/>
    <x v="0"/>
    <m/>
    <x v="0"/>
    <m/>
    <x v="1"/>
    <m/>
    <m/>
    <m/>
    <s v="http://eng.chinamil.com.cn/CHINA_209163/Exchanges/News_209188/16340241.html"/>
    <s v="Wu Yanan met with ADM Paparo and they exchanged views candidly and in-depth on issues of common concern around the implementation of the consensus reached by the two heads of state."/>
  </r>
  <r>
    <x v="1"/>
    <x v="3"/>
    <s v="Europe and Central Asia"/>
    <s v=" Comprehensive Strategic Partnership of Coordination in the New Era [新时代中俄全面战略协作伙伴关系]"/>
    <s v="None"/>
    <x v="3"/>
    <x v="7"/>
    <x v="33"/>
    <n v="9"/>
    <x v="7"/>
    <s v="Dong Jun"/>
    <m/>
    <s v="Minister of Defense"/>
    <n v="8"/>
    <x v="2"/>
    <s v="Deputy Defense Minister Fomin"/>
    <x v="0"/>
    <m/>
    <x v="0"/>
    <m/>
    <x v="1"/>
    <m/>
    <m/>
    <m/>
    <s v="http://www.mod.gov.cn/gfbw/jswj/lf/16338033.html"/>
    <s v="BL during 11th Xiangshan - Fomin said that this year marks the 75th anniversary of the establishment of diplomatic relations between Russia and China. Russia-China relations are of great significance to global and regional security and stability. Russia is willing to continue to carry out pragmatic exchanges and cooperation with China and contribute to strengthening the comprehensive strategic partnership of coordination between Russia and China in the new era."/>
  </r>
  <r>
    <x v="2"/>
    <x v="3"/>
    <s v="Europe and Central Asia"/>
    <s v=" Comprehensive Strategic Partnership of Coordination in the New Era [新时代中俄全面战略协作伙伴关系]"/>
    <s v="None"/>
    <x v="3"/>
    <x v="7"/>
    <x v="33"/>
    <n v="9"/>
    <x v="5"/>
    <m/>
    <m/>
    <m/>
    <m/>
    <x v="0"/>
    <m/>
    <x v="3"/>
    <s v="Northern Interaction-2024 "/>
    <x v="3"/>
    <s v="Joint maritime defense operations. Improve organizational and commanding capabilities in joint sea and air defense operations. The exercise covered a range of training subjects, including naval and air escort, guard and defense, air and missile defense."/>
    <x v="1"/>
    <m/>
    <m/>
    <m/>
    <s v="http://eng.chinamil.com.cn/CHINA_209163/Exercises/News_209184/16341794.html; http://www.mod.gov.cn/gfbw/jsxd/ly/16337324.html; http://www.81.cn/yw_208727/16337286.html"/>
    <s v="The closing ceremony of the China-Russia Northern/Interaction-2024 exercise was held on September 27. Centered on joint maritime defense operations, the participating forces of China and Russia coordinated closely during the exercise and effectively improved their organizational and commanding capabilities in joint sea and air defense operations. The exercise covered a range of training subjects, including naval and air escort, guard and defense, air and missile defense. All subjects were combat-oriented and were completed successfully."/>
  </r>
  <r>
    <x v="2"/>
    <x v="3"/>
    <s v="Europe and Central Asia"/>
    <s v=" Comprehensive Strategic Partnership of Coordination in the New Era [新时代中俄全面战略协作伙伴关系]"/>
    <s v="None"/>
    <x v="3"/>
    <x v="7"/>
    <x v="33"/>
    <n v="9"/>
    <x v="5"/>
    <m/>
    <m/>
    <m/>
    <m/>
    <x v="0"/>
    <m/>
    <x v="9"/>
    <s v="Joint Maritime Cruise 2024-II"/>
    <x v="2"/>
    <s v="Russian Navy destroyers RFS Admiral Panteleyev (548) and RFS Admiral Tributs (564) and corvettes RFS MPK-107 (332), RFS MPK-82 (375) and RFS Smerch (423) and PLAN cruiser CNS Wuxi (104), destroyer CNS Xining (117), frigate CNS Linyi (547) and fleet oiler CNS Taihu (889) form joint SAG in Northwestern Pacific Ocean"/>
    <x v="1"/>
    <m/>
    <m/>
    <m/>
    <s v="https://news.usni.org/2024/10/01/9-russian-chinese-warships-on-joint-patrol-in-the-northwest-pacific-after-major-naval-exercise"/>
    <s v="5th (?) Joint Maritime Patrol, in the Western and Northern Pacific Ocean following Northern Interaction naval exercise"/>
  </r>
  <r>
    <x v="1"/>
    <x v="1"/>
    <s v="Asia"/>
    <s v="All-round, high-quality, future-oriented Partnernship [全方位高质量的前瞻性伙伴关系]"/>
    <s v="None"/>
    <x v="0"/>
    <x v="39"/>
    <x v="33"/>
    <n v="9"/>
    <x v="7"/>
    <s v="Zhang Youxia"/>
    <m/>
    <s v="Vice Chair CMC"/>
    <n v="10"/>
    <x v="2"/>
    <s v="Defense Minister"/>
    <x v="0"/>
    <m/>
    <x v="0"/>
    <m/>
    <x v="1"/>
    <m/>
    <m/>
    <m/>
    <s v="http://www.mod.gov.cn/gfbw/jswj/lf/16337971.html"/>
    <s v="BL during 11th Xiangshan - When meeting with Wong Eng Hen, Zhang Youxia introduced the spirit of the Third Plenary Session of the 20th CPC Central Committee, emphasizing that this meeting made overall arrangements for further deepening reform in an all-round way, promoting high- quality development and high-level opening up, and provided a new and important opportunity for the cooperation between China and Singapore and the development of regional countries. He said that China is willing to work with Singapore to deepen the implementation of the important consensus reached by the leaders of the two countries, further promote the upward and positive development of BLeral cooperation, and better benefit the people of the two countries and the region. It is hoped that the two militaries will maintain close high-level interactions, deepen and expand practical cooperation in various fields such as joint exercises and training, and personnel training, so as to promote the continuous development of the relationship between the two militaries."/>
  </r>
  <r>
    <x v="2"/>
    <x v="1"/>
    <s v="Asia"/>
    <s v="All-Round Cooperative Partnership [全方合作伙伴关系]"/>
    <s v="None"/>
    <x v="0"/>
    <x v="39"/>
    <x v="33"/>
    <n v="9"/>
    <x v="5"/>
    <m/>
    <m/>
    <m/>
    <m/>
    <x v="0"/>
    <m/>
    <x v="4"/>
    <s v="China-Singapore Exercise Cooperation 2024"/>
    <x v="2"/>
    <m/>
    <x v="1"/>
    <m/>
    <s v="South Sea Fleet"/>
    <m/>
    <s v="http://eng.chinamil.com.cn/BILINGUAL/News_209203/16335372.html; https://www.mindef.gov.sg/news-and-events/latest-releases/14nov24_nr; https://www.scmp.com/news/china/military/article/3276822/china-and-singapore-embark-bigger-joint-navy-exercise-south-china-sea-tension-rises"/>
    <s v="Type 054A frigate Sanya and Type 082-II minesweeper Hejian; Singapore frigate RSS Stalwart"/>
  </r>
  <r>
    <x v="1"/>
    <x v="1"/>
    <s v="Asia"/>
    <s v="All-round, high-quality, future-oriented Partnernship [全方位高质量的前瞻性伙伴关系]"/>
    <s v="None"/>
    <x v="0"/>
    <x v="39"/>
    <x v="33"/>
    <n v="9"/>
    <x v="7"/>
    <s v="Wu Yanan"/>
    <m/>
    <s v="Southern Theater Commmander"/>
    <n v="6"/>
    <x v="1"/>
    <s v="US INDOPACOM Commander ADM Samuel Paparo"/>
    <x v="0"/>
    <m/>
    <x v="0"/>
    <m/>
    <x v="1"/>
    <m/>
    <m/>
    <m/>
    <s v="http://eng.chinamil.com.cn/CHINA_209163/Exchanges/News_209188/16340241.html"/>
    <s v="Wu Yanan met with ADM Paparo and they exchanged views candidly and in-depth on issues of common concern around the implementation of the consensus reached by the two heads of state."/>
  </r>
  <r>
    <x v="1"/>
    <x v="7"/>
    <s v="West Asia and Africa"/>
    <s v="All-round strategic cooperative partnership in the new era [新时代全方位战略合作伙伴关系]"/>
    <s v="None"/>
    <x v="4"/>
    <x v="15"/>
    <x v="33"/>
    <n v="9"/>
    <x v="7"/>
    <s v="He Weidong"/>
    <m/>
    <s v="Vice Chair CMC"/>
    <n v="10"/>
    <x v="2"/>
    <s v="Minister of Defense"/>
    <x v="0"/>
    <m/>
    <x v="0"/>
    <m/>
    <x v="1"/>
    <m/>
    <m/>
    <m/>
    <s v="http://www.mod.gov.cn/gfbw/jswj/lf/16338276.html"/>
    <s v="BL with Minister of Defense and Military Veterans Ms Angie Motshekga during Xianshan forum"/>
  </r>
  <r>
    <x v="1"/>
    <x v="6"/>
    <s v="Europe and Central Asia"/>
    <s v="Comprehensive Strategic Cooperative Partnership in the New Era [新时代全面战略合作伙伴关系]"/>
    <s v="None"/>
    <x v="1"/>
    <x v="60"/>
    <x v="33"/>
    <n v="9"/>
    <x v="7"/>
    <s v="Dong Jun"/>
    <m/>
    <s v="Minister of Defense"/>
    <n v="8"/>
    <x v="2"/>
    <s v="Defense Minister"/>
    <x v="0"/>
    <m/>
    <x v="0"/>
    <m/>
    <x v="1"/>
    <m/>
    <m/>
    <m/>
    <s v="http://www.mod.gov.cn/gfbw/jswj/lf/16338033.html"/>
    <s v="BL during 11th Xiangshan - Mirzo said that China is a reliable partner and close friend of Tajikistan, and Tajikistan is willing to work with China to implement the consensus reached by the two heads of state and continue to strengthen cooperation in areas such as counter-terrorism, peacekeeping and personnel training."/>
  </r>
  <r>
    <x v="1"/>
    <x v="7"/>
    <s v="West Asia and Africa"/>
    <s v="Comprehensive Strategic Cooperative Partnership [战略合作伙伴关系]"/>
    <s v="None"/>
    <x v="4"/>
    <x v="16"/>
    <x v="33"/>
    <n v="9"/>
    <x v="7"/>
    <s v="Dong Jun"/>
    <m/>
    <s v="Minister of Defense"/>
    <n v="8"/>
    <x v="2"/>
    <s v="Minsiter of Defense and National Service"/>
    <x v="0"/>
    <m/>
    <x v="0"/>
    <m/>
    <x v="1"/>
    <m/>
    <m/>
    <m/>
    <s v="http://www.mod.gov.cn/gfbw/jswj/lf/16338581.html"/>
    <s v="BL during the 11th Beijing Xiangshan Forum."/>
  </r>
  <r>
    <x v="1"/>
    <x v="1"/>
    <s v="Asia"/>
    <s v="Comprehensive Strategic Partnership [全面战略伙伴]"/>
    <s v="Bilateral Defense Treaty"/>
    <x v="0"/>
    <x v="5"/>
    <x v="33"/>
    <n v="9"/>
    <x v="7"/>
    <s v="Wu Yanan"/>
    <m/>
    <s v="Southern Theater Commmander"/>
    <n v="6"/>
    <x v="1"/>
    <s v="US INDOPACOM Commander ADM Samuel Paparo"/>
    <x v="0"/>
    <m/>
    <x v="0"/>
    <m/>
    <x v="1"/>
    <m/>
    <m/>
    <m/>
    <s v="http://eng.chinamil.com.cn/CHINA_209163/Exchanges/News_209188/16340241.html"/>
    <s v="Wu Yanan met with ADM Paparo and they exchanged views candidly and in-depth on issues of common concern around the implementation of the consensus reached by the two heads of state."/>
  </r>
  <r>
    <x v="1"/>
    <x v="9"/>
    <s v="West Asia and Africa"/>
    <s v="Comprehensive Strategic Partnership [全面战略伙伴关系]"/>
    <s v="None"/>
    <x v="1"/>
    <x v="106"/>
    <x v="33"/>
    <n v="9"/>
    <x v="7"/>
    <s v="Dong Jun"/>
    <m/>
    <s v="Minister of Defense"/>
    <n v="8"/>
    <x v="2"/>
    <s v="Minister for State Defense"/>
    <x v="0"/>
    <m/>
    <x v="0"/>
    <m/>
    <x v="1"/>
    <m/>
    <m/>
    <m/>
    <s v="http://www.mod.gov.cn/gfbw/jswj/lf/16338281.html"/>
    <s v="BL during 11th Xiangshan - Mazrui said that this year marks the 40th anniversary of the establishment of diplomatic relations between UAE and China. Under the strategic guidance of the two heads of state, the comprehensive strategic partnership between UAE and China continues to consolidate. The military cooperation between Afghanistan and China is fruitful. UAE is willing to continue to strengthen high-level military visits with China, strengthen mutually beneficial and friendly cooperation in personnel training, joint exercises and training, and promote the development of BLeral relations to a higher level."/>
  </r>
  <r>
    <x v="1"/>
    <x v="8"/>
    <s v="Europe and Central Asia"/>
    <s v="Comprehensive Strategic Partnership [全面战略伙伴关系]"/>
    <s v="NATO"/>
    <x v="3"/>
    <x v="21"/>
    <x v="33"/>
    <n v="9"/>
    <x v="7"/>
    <s v="Wu Yanan"/>
    <m/>
    <s v="Southern Theater Commmander"/>
    <n v="6"/>
    <x v="1"/>
    <s v="US INDOPACOM Commander ADM Samuel Paparo"/>
    <x v="0"/>
    <m/>
    <x v="0"/>
    <m/>
    <x v="1"/>
    <m/>
    <m/>
    <m/>
    <s v="http://eng.chinamil.com.cn/CHINA_209163/Exchanges/News_209188/16340241.html"/>
    <s v="Wu Yanan met with ADM Paparo and they exchanged views candidly and in-depth on issues of common concern around the implementation of the consensus reached by the two heads of state."/>
  </r>
  <r>
    <x v="1"/>
    <x v="8"/>
    <s v="Europe and Central Asia"/>
    <s v="Comprehensive Strategic Partnership [全面战略伙伴关系]"/>
    <s v="NATO"/>
    <x v="3"/>
    <x v="21"/>
    <x v="33"/>
    <n v="9"/>
    <x v="3"/>
    <s v="???"/>
    <m/>
    <s v="???"/>
    <n v="5"/>
    <x v="0"/>
    <m/>
    <x v="0"/>
    <m/>
    <x v="0"/>
    <m/>
    <x v="1"/>
    <m/>
    <m/>
    <m/>
    <s v="http://eng.mod.gov.cn/xb/News_213114/TopStories/16340972.html"/>
    <s v="China-UK defense strategic consultations. Participants not named, but previous consultations were at the deputy chief of JSD level"/>
  </r>
  <r>
    <x v="1"/>
    <x v="2"/>
    <s v="America and Oceania"/>
    <s v="No Specific Relationship"/>
    <s v="N/A"/>
    <x v="0"/>
    <x v="4"/>
    <x v="33"/>
    <n v="9"/>
    <x v="1"/>
    <s v="Wu Yanan"/>
    <m/>
    <s v="Southern Theater Commmander"/>
    <n v="6"/>
    <x v="1"/>
    <s v="Theater Commander (US INDOPACOM)"/>
    <x v="0"/>
    <m/>
    <x v="0"/>
    <m/>
    <x v="1"/>
    <m/>
    <m/>
    <m/>
    <s v="http://eng.chinamil.com.cn/CHINA_209163/Exchanges/News_209188/16340241.html"/>
    <s v="Wu Yanan, Southern TC Commander led a delegation to Hawaii to attend the Indo-Pacific Defense Commanders' Conference. &quot;bilateral meetings or interactive exchanges were held with representatives from Thailand, Singapore, the Philippines, the United Kingdom, France, the United States and other countries.&quot; "/>
  </r>
  <r>
    <x v="1"/>
    <x v="2"/>
    <s v="America and Oceania"/>
    <s v="No Specific Relationship"/>
    <s v="N/A"/>
    <x v="0"/>
    <x v="4"/>
    <x v="33"/>
    <n v="9"/>
    <x v="7"/>
    <s v="Wu Yanan"/>
    <m/>
    <s v="Southern Theater Commmander"/>
    <n v="6"/>
    <x v="1"/>
    <s v="US INDOPACOM Commander ADM Samuel Paparo"/>
    <x v="0"/>
    <m/>
    <x v="0"/>
    <m/>
    <x v="1"/>
    <m/>
    <m/>
    <m/>
    <s v="http://eng.chinamil.com.cn/CHINA_209163/Exchanges/News_209188/16340241.html"/>
    <s v="PCS: Wu Yanan met with ADM Paparo and they exchanged views candidly and in-depth on issues of common concern around the implementation of the consensus reached by the two heads of state."/>
  </r>
  <r>
    <x v="1"/>
    <x v="2"/>
    <s v="America and Oceania"/>
    <s v="No Specific Relationship"/>
    <s v="N/A"/>
    <x v="0"/>
    <x v="4"/>
    <x v="33"/>
    <n v="9"/>
    <x v="15"/>
    <s v="Wu Yanan"/>
    <m/>
    <s v="Southern Theater Commmander"/>
    <n v="6"/>
    <x v="4"/>
    <s v="US INDOPACOM Commander ADM Samuel Paparo"/>
    <x v="0"/>
    <m/>
    <x v="0"/>
    <m/>
    <x v="1"/>
    <m/>
    <m/>
    <m/>
    <s v="https://www.pacom.mil/Media/News/News-Article-View/Article/3900303/readout-of-commander-us-indo-pacific-command-call-with-pla-southern-theater-com/"/>
    <s v="VTC prior to Southern TC travel to Hawaii for Pacfic Army Conference"/>
  </r>
  <r>
    <x v="0"/>
    <x v="1"/>
    <s v="Asia"/>
    <s v="Comprehensive Strategic Partnership [全面战略伙伴关系]"/>
    <s v="None"/>
    <x v="0"/>
    <x v="23"/>
    <x v="33"/>
    <n v="9"/>
    <x v="0"/>
    <m/>
    <m/>
    <m/>
    <m/>
    <x v="0"/>
    <m/>
    <x v="0"/>
    <m/>
    <x v="0"/>
    <m/>
    <x v="0"/>
    <s v="Training Ship Po Lang"/>
    <s v="North Sea Fleet"/>
    <s v="Training Ship Po Lang sailing ship from Dalian Naval Academy"/>
    <s v="https://srilankachinahotline.srilankamirror.com/news/chinese-navy-training-ship-sets-sail-for-training-foreign-visits"/>
    <s v="Polang is a sailing ship"/>
  </r>
  <r>
    <x v="1"/>
    <x v="1"/>
    <s v="Asia"/>
    <s v="Comprehensive Strategic Partnership [全面战略伙伴关系]"/>
    <s v="None"/>
    <x v="0"/>
    <x v="23"/>
    <x v="33"/>
    <n v="9"/>
    <x v="7"/>
    <s v="Zhang Youxia"/>
    <m/>
    <s v="Vice Chair CMC"/>
    <n v="10"/>
    <x v="2"/>
    <s v="Defense Minister"/>
    <x v="0"/>
    <m/>
    <x v="0"/>
    <m/>
    <x v="1"/>
    <m/>
    <m/>
    <m/>
    <s v="http://www.mod.gov.cn/gfbw/jswj/lf/16338277.html"/>
    <s v="BL during 11th Xiangshan - When meeting with Phan Van Giang, Zhang Youxia said that General Secretary Xi Jinping and General Secretary To Lin had recently made strategic arrangements for deepening the construction of a China-Vietnam community with a shared future, and the development of the military relations between the two countries has ushered in a new opportunity. The Chinese and Vietnamese militaries are both defenders of the socialist path and promoters of the country's modernization process. They should follow the blueprint and guidance of the top leaders of the two parties, carry forward traditional friendship, continue to deepen mutual understanding and trust, explore new growth points for cooperation, strengthen practical cooperation in joint exercises and training, maritime security, international peacekeeping and other fields, and promote the continuous development of the military relations between the two countries."/>
  </r>
  <r>
    <x v="0"/>
    <x v="0"/>
    <s v="Asia"/>
    <s v="Comprehensive Strategic Cooperative Partnership [战略合作伙伴关系]"/>
    <s v="None"/>
    <x v="0"/>
    <x v="0"/>
    <x v="33"/>
    <n v="10"/>
    <x v="0"/>
    <m/>
    <m/>
    <m/>
    <m/>
    <x v="0"/>
    <m/>
    <x v="0"/>
    <m/>
    <x v="0"/>
    <m/>
    <x v="0"/>
    <s v="Training ship Qi Jiguang (Hull 83) and amphibious dock landing ship Jinggangshan (Hull 999)"/>
    <s v="South Sea Fleet"/>
    <s v="Naval training ship Qi Jiguang (Hull 83) and amphibious dock landing ship Jinggangshan (Hull 999)"/>
    <s v="http://www.mod.gov.cn/gfbw/jswj/cf/16345594.html"/>
    <s v="Jinggangshan is in South Sea Fleet; Dalian Naval Ship Academy is in North Sea Fleet AOR but reports to PLAN HQ. Coded as South Sea Fleet based on Jinggangshan."/>
  </r>
  <r>
    <x v="0"/>
    <x v="7"/>
    <s v="West Asia and Africa"/>
    <s v="Strategic Partnership [战略伙伴关系]"/>
    <s v="None"/>
    <x v="4"/>
    <x v="64"/>
    <x v="33"/>
    <n v="10"/>
    <x v="0"/>
    <m/>
    <m/>
    <m/>
    <m/>
    <x v="0"/>
    <m/>
    <x v="0"/>
    <m/>
    <x v="0"/>
    <m/>
    <x v="0"/>
    <s v="Peace Ark - Harmonious Mission 2024"/>
    <s v="East Sea Fleet"/>
    <m/>
    <s v="http://www.mod.gov.cn/gfbw/jswj/cf/16346117.html"/>
    <m/>
  </r>
  <r>
    <x v="0"/>
    <x v="7"/>
    <s v="West Asia and Africa"/>
    <s v="Comprehensive Strategic Partnership [全面战略伙伴关系]"/>
    <s v="None"/>
    <x v="4"/>
    <x v="65"/>
    <x v="33"/>
    <n v="10"/>
    <x v="0"/>
    <m/>
    <m/>
    <m/>
    <m/>
    <x v="0"/>
    <m/>
    <x v="0"/>
    <m/>
    <x v="0"/>
    <m/>
    <x v="0"/>
    <s v="Peace Ark - Harmonious Mission 2024"/>
    <s v="East Sea Fleet"/>
    <m/>
    <s v="http://www.mod.gov.cn/gfbw/jswj/jt_214074/16345615.html"/>
    <s v="This was the fist visit of Peace Ark to Cameroon."/>
  </r>
  <r>
    <x v="2"/>
    <x v="7"/>
    <s v="West Asia and Africa"/>
    <s v="Comprehensive Strategic Partnership [全面战略伙伴关系]"/>
    <s v="None"/>
    <x v="4"/>
    <x v="119"/>
    <x v="33"/>
    <n v="10"/>
    <x v="5"/>
    <m/>
    <m/>
    <m/>
    <m/>
    <x v="0"/>
    <m/>
    <x v="1"/>
    <s v="Cooperation-2024.11.FAD (Forces Armées Djibouti)"/>
    <x v="3"/>
    <s v="Marines from Djibouti base exercised with Djibouti armed forces on &quot;joint anti-terrorism military operation&quot;, with a land phase and a sea phase. Land training included fire strike, armed escort, counter-piracy and other subjects, involved more than 300 soldiers, five boats, and more than 40 armored vehicles, artilleries, and logistic vehicles from both sides. Sea phase was scenario of &quot;joint escort and anti-piracy&quot;. The two navies carried out seven training subjects, namely dock loading, blockade, armed escort, joint patrol at sea, anti-piracy, visit, board, search and seizure (VBSS) and covert raid. Described as PLAN's first exercise with Djibouti Navy"/>
    <x v="1"/>
    <m/>
    <m/>
    <m/>
    <s v="http://eng.mod.gov.cn/xb/News_213114/TopStories/16349482.html; http://eng.chinamil.com.cn/MEDIA/PhotosChina/16349153.html"/>
    <s v="Coded as joint because of the land and sea phases of the exercise. No references to the July 2024 exercise. Is that different? July 27, 2024 13:50 | Source: People's Daily Online - International Channel; People's Daily Online, Dubai, July 27 (Zhang Zhiwen, Wang Zongyang, Mi Peng) Djibouti City News."/>
  </r>
  <r>
    <x v="0"/>
    <x v="1"/>
    <s v="Asia"/>
    <s v="Comprehensive Strategic Partnership [全面战略伙伴关系]"/>
    <s v="None"/>
    <x v="0"/>
    <x v="10"/>
    <x v="33"/>
    <n v="10"/>
    <x v="0"/>
    <m/>
    <m/>
    <m/>
    <m/>
    <x v="0"/>
    <m/>
    <x v="0"/>
    <m/>
    <x v="0"/>
    <m/>
    <x v="0"/>
    <s v="Training Ship Po Lang"/>
    <s v="North Sea Fleet"/>
    <s v="Training Ship Po Lang sailing ship from Dalian Naval Academy"/>
    <s v="https://www.nst.com.my/news/nation/2024/10/1125283/chinese-navy-training-vessel-po-lang-docks-penang"/>
    <s v="Polang is a sailing ship"/>
  </r>
  <r>
    <x v="0"/>
    <x v="7"/>
    <s v="West Asia and Africa"/>
    <s v="Strategic Partnership [战略伙伴关系]"/>
    <s v="None"/>
    <x v="4"/>
    <x v="160"/>
    <x v="33"/>
    <n v="10"/>
    <x v="0"/>
    <m/>
    <m/>
    <m/>
    <m/>
    <x v="0"/>
    <m/>
    <x v="0"/>
    <m/>
    <x v="0"/>
    <m/>
    <x v="0"/>
    <s v="Peace Ark - Harmonious Mission 2024"/>
    <s v="East Sea Fleet"/>
    <m/>
    <s v="http://www.mod.gov.cn/gfbw/jswj/jt_214074/16348887.html"/>
    <s v="This is the first time that the Peace Ark hospital ship has visited Mauritania, and it is also the first visit by a Chinese naval ship since the establishment of diplomatic relations between China and Mauritania."/>
  </r>
  <r>
    <x v="1"/>
    <x v="3"/>
    <s v="Europe and Central Asia"/>
    <s v=" Comprehensive Strategic Partnership of Coordination in the New Era [新时代中俄全面战略协作伙伴关系]"/>
    <s v="None"/>
    <x v="3"/>
    <x v="7"/>
    <x v="33"/>
    <n v="10"/>
    <x v="3"/>
    <s v="Zhang Youxia"/>
    <m/>
    <s v="Vice Chair CMC"/>
    <n v="10"/>
    <x v="2"/>
    <s v="Minister of Defense"/>
    <x v="0"/>
    <m/>
    <x v="0"/>
    <m/>
    <x v="1"/>
    <m/>
    <m/>
    <m/>
    <s v="http://eng.mod.gov.cn/xb/CMCDEPARTMENTS/News_213079/16345857.html"/>
    <s v="On October 15, Vice Chairman of the Central Military Commission Zhang Youxia met in Beijing with Russian Defense Minister Belousov who was visiting China. Belousov also met with Dong Jun, Min Def, while in Beijing."/>
  </r>
  <r>
    <x v="0"/>
    <x v="0"/>
    <s v="Asia"/>
    <s v="Strategic Cooperative Partnership [战略合作伙伴关系]"/>
    <s v="None"/>
    <x v="0"/>
    <x v="3"/>
    <x v="33"/>
    <n v="10"/>
    <x v="0"/>
    <m/>
    <m/>
    <m/>
    <m/>
    <x v="0"/>
    <m/>
    <x v="0"/>
    <m/>
    <x v="0"/>
    <m/>
    <x v="0"/>
    <s v="Training Ship Po Lang"/>
    <s v="North Sea Fleet"/>
    <s v="Training Ship Po Lang sailing ship from Dalian Naval Academy"/>
    <s v="https://srilankachinahotline.srilankamirror.com/news/chinese-navy-training-ship-sets-sail-for-training-foreign-visits"/>
    <s v="Polang is a sailing ship"/>
  </r>
  <r>
    <x v="2"/>
    <x v="1"/>
    <s v="Asia"/>
    <s v="Comprehensive Strategic Partnership [全面战略伙伴]"/>
    <s v="Bilateral Defense Treaty"/>
    <x v="0"/>
    <x v="5"/>
    <x v="33"/>
    <n v="10"/>
    <x v="5"/>
    <m/>
    <m/>
    <m/>
    <m/>
    <x v="0"/>
    <m/>
    <x v="1"/>
    <s v="Commando 2024"/>
    <x v="1"/>
    <s v="Focusing on joint CT operations, the training included special demolition blasting, helicopter landing, joint search and suppression, and others."/>
    <x v="1"/>
    <m/>
    <m/>
    <m/>
    <s v="http://eng.chinamil.com.cn/CHINA_209163/Exercises/News_209184/16345822.html"/>
    <s v="Held in Kunming City, in southwest China's Yunnan Province. It marks the seventh event of the &quot;Commando&quot; series of joint training held by Chinese and Thai militaries. "/>
  </r>
  <r>
    <x v="1"/>
    <x v="1"/>
    <s v="Asia"/>
    <s v="Comprehensive Strategic Partnership [全面战略伙伴关系]"/>
    <s v="None"/>
    <x v="0"/>
    <x v="23"/>
    <x v="33"/>
    <n v="10"/>
    <x v="4"/>
    <s v="Zhang Youxia"/>
    <m/>
    <s v="Vice Chair CMC"/>
    <n v="10"/>
    <x v="1"/>
    <s v="President (and Prime Minister, and Gen Sec of Communist Party of Vietnam)"/>
    <x v="0"/>
    <m/>
    <x v="0"/>
    <m/>
    <x v="1"/>
    <m/>
    <m/>
    <m/>
    <s v="http://www.mod.gov.cn/gfbw/jswj/cf/16347663.html"/>
    <s v="Zhang Youxia, Vice Chairman of the Central Military Commission, led a delegation to visit Vietnam at the invitation of the Vietnam government. He met with To Lin, General Secretary of the Communist Party of Vietnam, President Luong Cuong, and Prime Minister Pham Minh Chinh respectively."/>
  </r>
  <r>
    <x v="0"/>
    <x v="7"/>
    <s v="West Asia and Africa"/>
    <s v="Comprehensive Strategic Partnership [全面战略伙伴关系]"/>
    <s v="None"/>
    <x v="4"/>
    <x v="76"/>
    <x v="33"/>
    <n v="11"/>
    <x v="13"/>
    <m/>
    <m/>
    <m/>
    <m/>
    <x v="0"/>
    <m/>
    <x v="0"/>
    <m/>
    <x v="0"/>
    <m/>
    <x v="0"/>
    <s v="Peace Ark - Harmonious Mission 2024"/>
    <s v="East Sea Fleet"/>
    <m/>
    <s v="http://www.mod.gov.cn/gfbw/jswj/jl/16354058.html"/>
    <s v="During the five-day technical stop, the hospital ship organized ship open activities in batches. Afghan doctors, oﬃcers, local university students, as well as overseas Chinese and Chinese-funded institutions visited the ship and gained a deep understanding of the hospital ship's mission through the detailed explanations of the guides. In addition, the mission oﬃcers and soldiers also visited the local military museum and organized a friendly football match with Afghan naval oﬃcers and soldiers to enhance mutual understanding through in-depth exchanges."/>
  </r>
  <r>
    <x v="1"/>
    <x v="1"/>
    <s v="Asia"/>
    <s v="Comprehensive Strategic Partnership [全面战略伙伴关系]"/>
    <s v="None"/>
    <x v="0"/>
    <x v="153"/>
    <x v="33"/>
    <n v="11"/>
    <x v="1"/>
    <s v="Dong Jun"/>
    <m/>
    <s v="Minister of Defense"/>
    <n v="8"/>
    <x v="1"/>
    <s v="Defense Ministers"/>
    <x v="0"/>
    <m/>
    <x v="0"/>
    <m/>
    <x v="1"/>
    <m/>
    <m/>
    <m/>
    <s v="http://eng.mod.gov.cn/xb/News_213114/TopStories/16353453.html"/>
    <s v="11th ADMM+"/>
  </r>
  <r>
    <x v="1"/>
    <x v="1"/>
    <s v="Asia"/>
    <s v="Comprehensive Strategic Partnership [全面战略伙伴关系]"/>
    <s v="None"/>
    <x v="0"/>
    <x v="153"/>
    <x v="33"/>
    <n v="11"/>
    <x v="1"/>
    <s v="Dong Jun"/>
    <m/>
    <s v="Minister of Defense"/>
    <n v="8"/>
    <x v="1"/>
    <s v="Defense Ministers"/>
    <x v="0"/>
    <m/>
    <x v="0"/>
    <m/>
    <x v="1"/>
    <m/>
    <m/>
    <m/>
    <s v="http://www.mod.gov.cn/gfbw/jswj/jl/16353474.html"/>
    <s v="China-ASEAN Defense Ministers Infoemal Meeting. This is technically separate from the ADMM+ mechanism, since it is a PRC BL meeting with the ASEAN Defense Ministers"/>
  </r>
  <r>
    <x v="1"/>
    <x v="0"/>
    <s v="Asia"/>
    <s v="Strategic Partnership for Peace and Prosperity [战略伙伴关系]"/>
    <s v="None"/>
    <x v="0"/>
    <x v="6"/>
    <x v="33"/>
    <n v="11"/>
    <x v="7"/>
    <s v="Dong Jun"/>
    <m/>
    <s v="Minister of Defense"/>
    <n v="8"/>
    <x v="1"/>
    <s v="Minister of Defense"/>
    <x v="0"/>
    <m/>
    <x v="0"/>
    <m/>
    <x v="1"/>
    <m/>
    <m/>
    <m/>
    <s v="http://eng.mod.gov.cn/xb/News_213114/TopStories/16353453.html"/>
    <s v="Meet India Min Def on margins during the 11th ADMM+"/>
  </r>
  <r>
    <x v="1"/>
    <x v="4"/>
    <s v="Asia"/>
    <s v="Mutually Beneficial Strategic Relationship [战略互惠关系]"/>
    <s v="Bilateral Defense Treaty"/>
    <x v="0"/>
    <x v="83"/>
    <x v="33"/>
    <n v="11"/>
    <x v="7"/>
    <s v="Dong Jun"/>
    <m/>
    <s v="Minister of Defense"/>
    <n v="8"/>
    <x v="1"/>
    <s v="Minister of Defense"/>
    <x v="0"/>
    <m/>
    <x v="0"/>
    <m/>
    <x v="1"/>
    <m/>
    <m/>
    <m/>
    <s v="http://www.mod.gov.cn/gfbw/jswj/jl/16353474.html"/>
    <s v="BL on margins of 14th China-ASEAN Defense Ministers' Informal Meeting"/>
  </r>
  <r>
    <x v="1"/>
    <x v="1"/>
    <s v="Asia"/>
    <s v="Comprehensive Strategic Cooperative Partnership [全面战略合作伙伴关系]"/>
    <s v="None"/>
    <x v="0"/>
    <x v="52"/>
    <x v="33"/>
    <n v="11"/>
    <x v="4"/>
    <s v="Dong Jun"/>
    <m/>
    <s v="Minister of Defense"/>
    <n v="8"/>
    <x v="1"/>
    <s v="President (and Party Central Committee General Secretary)"/>
    <x v="0"/>
    <m/>
    <x v="0"/>
    <m/>
    <x v="1"/>
    <m/>
    <m/>
    <m/>
    <s v="http://www.mod.gov.cn/gfbw/jswj/cf/16353872.html"/>
    <s v="November 22 Thongloun, General Secretary of the Central Committee of the Lao People's Revolutionary Party and President, met with visiting Chinese Defense Minister Dong Jun in Vientiane on the 22nd. On the same day, Dong Jun held talks with Lao Deputy Prime Minister and Defense Minister Chan Samoeun and visited the Lao Army 103 Hospital."/>
  </r>
  <r>
    <x v="2"/>
    <x v="1"/>
    <s v="Asia"/>
    <s v="Comprehensive Strategic Cooperative Partnership [全面战略合作伙伴关系]"/>
    <s v="None"/>
    <x v="0"/>
    <x v="52"/>
    <x v="33"/>
    <n v="11"/>
    <x v="5"/>
    <m/>
    <m/>
    <m/>
    <m/>
    <x v="0"/>
    <m/>
    <x v="2"/>
    <s v="Peace Train 2024"/>
    <x v="1"/>
    <s v="joint humanitarian medical support exercise and medical service activities "/>
    <x v="1"/>
    <m/>
    <m/>
    <m/>
    <s v="http://eng.chinamil.com.cn/CHINA_209163/Exercises/News_209184/16351016.html"/>
    <s v="Held in Vientiane, Laos."/>
  </r>
  <r>
    <x v="1"/>
    <x v="1"/>
    <s v="Asia"/>
    <s v="Comprehensive Strategic Partnership [全面战略伙伴关系]"/>
    <s v="None"/>
    <x v="0"/>
    <x v="10"/>
    <x v="33"/>
    <n v="11"/>
    <x v="7"/>
    <s v="Dong Jun"/>
    <m/>
    <s v="Minister of Defense"/>
    <n v="8"/>
    <x v="1"/>
    <s v="Minister of Defense"/>
    <x v="0"/>
    <m/>
    <x v="0"/>
    <m/>
    <x v="1"/>
    <m/>
    <m/>
    <m/>
    <s v="http://eng.mod.gov.cn/xb/News_213114/TopStories/16353453.html"/>
    <s v="Meet Malaysian Min Def on margins during the 11th ADMM+"/>
  </r>
  <r>
    <x v="1"/>
    <x v="5"/>
    <s v="America and Oceania"/>
    <s v="Comprehensive Strategic Partnership [全面战略伙伴关系]"/>
    <s v="ANZUS Treaty"/>
    <x v="0"/>
    <x v="13"/>
    <x v="33"/>
    <n v="11"/>
    <x v="7"/>
    <s v="Dong Jun"/>
    <m/>
    <s v="Minister of Defense"/>
    <n v="8"/>
    <x v="1"/>
    <s v="Minister of Defense"/>
    <x v="0"/>
    <m/>
    <x v="0"/>
    <m/>
    <x v="1"/>
    <m/>
    <m/>
    <m/>
    <s v="http://eng.mod.gov.cn/xb/News_213114/TopStories/16353453.html"/>
    <s v="Meet New Zealand Min Def on margins during the 11th ADMM+"/>
  </r>
  <r>
    <x v="1"/>
    <x v="0"/>
    <s v="Asia"/>
    <s v="All-Weather Strategic Cooperative Partnership [全天候战略合作伙伴关系]"/>
    <s v="Major Non-NATO Ally"/>
    <x v="1"/>
    <x v="2"/>
    <x v="33"/>
    <n v="11"/>
    <x v="7"/>
    <s v="Zhang Youxia"/>
    <m/>
    <s v="Vice Chair CMC"/>
    <n v="10"/>
    <x v="1"/>
    <s v="Chief of Army Staff"/>
    <x v="0"/>
    <m/>
    <x v="0"/>
    <m/>
    <x v="1"/>
    <m/>
    <m/>
    <m/>
    <s v="https://www.scmp.com/news/china/military/article/3288560/china-and-pakistan-talk-security-they-target-terrorism-against-belt-and-road-projects"/>
    <s v="On margins of 11th Xiangshan Forum Security talks with Pakistani counterpart amid joint counterterrorism drills in the wake of several attacks targeting Chinese interests and citizens in the South Asian country."/>
  </r>
  <r>
    <x v="2"/>
    <x v="0"/>
    <s v="Asia"/>
    <s v="All-Weather Strategic Cooperative Partnership [全天候战略合作伙伴关系]"/>
    <s v="Major Non-NATO Ally"/>
    <x v="1"/>
    <x v="2"/>
    <x v="33"/>
    <n v="11"/>
    <x v="5"/>
    <m/>
    <m/>
    <m/>
    <m/>
    <x v="0"/>
    <m/>
    <x v="1"/>
    <s v="Warrior VIII"/>
    <x v="1"/>
    <s v="The exercise will involve troops from the Western Theater Command of the PLA. Will train in multi-level and mixed training across various specialties and organize live troop drills in accordance with the actual combat process."/>
    <x v="1"/>
    <m/>
    <m/>
    <m/>
    <s v="http://eng.mod.gov.cn/xb/MilitaryServices/News_213106/16360289.html; https://www.voanews.com/a/china-pakistan-to-hold-first-anti-terror-drills-in-5-years-amid-rising-attacks/7869287.html; https://www.globaltimes.cn/page/202411/1324090.shtml"/>
    <s v="this is the countries' first joint counterterrorism military exercise in five years."/>
  </r>
  <r>
    <x v="0"/>
    <x v="1"/>
    <s v="Asia"/>
    <s v="All-round, high-quality, future-oriented Partnernship [全方位高质量的前瞻性伙伴关系]"/>
    <s v="None"/>
    <x v="0"/>
    <x v="39"/>
    <x v="33"/>
    <n v="11"/>
    <x v="0"/>
    <m/>
    <m/>
    <m/>
    <m/>
    <x v="0"/>
    <m/>
    <x v="0"/>
    <m/>
    <x v="0"/>
    <m/>
    <x v="0"/>
    <s v="Training Ship Po Lang"/>
    <s v="North Sea Fleet"/>
    <s v="Training Ship Po Lang sailing ship from Dalian Naval Academy"/>
    <s v="https://srilankachinahotline.srilankamirror.com/news/chinese-navy-training-ship-sets-sail-for-training-foreign-visits (or) http://www.mod.gov.cn/gfbw/jswj/cf/16349523.html"/>
    <s v="Polang is a sailing ship"/>
  </r>
  <r>
    <x v="2"/>
    <x v="1"/>
    <s v="Asia"/>
    <s v="All-round, high-quality, future-oriented Partnernship [全方位高质量的前瞻性伙伴关系]"/>
    <s v="None"/>
    <x v="0"/>
    <x v="39"/>
    <x v="33"/>
    <n v="11"/>
    <x v="5"/>
    <m/>
    <m/>
    <m/>
    <m/>
    <x v="0"/>
    <m/>
    <x v="1"/>
    <s v="Exercise Cooperation 2024 (in Henan, China)"/>
    <x v="1"/>
    <s v="This year’s exercise will centre on urban Counter-Terrorism (CT) operations, similar to the previous iteration of the exercise in 2023. Personnel from the SAF's 3rd Singapore Division and 1st Commando Battalion will train alongside the PLA’s Central Theatre Command-Army’s 81st Army Group. The exercise will feature a battalion-level Command Post and Field Training Exercise, as well as professional exchanges on CT operations in support of a rescue scenario. Participants will also engage in tactical drills, small-arms live firing, and cohesion activities. These interactions aim to strengthen professional exchanges and build people-to-people ties."/>
    <x v="1"/>
    <m/>
    <m/>
    <m/>
    <s v="https://www.mindef.gov.sg/news-and-events/latest-releases/14nov24_nr#:~:text=The%20Singapore%20Armed%20Forces%20(SAF,17%20to%2028%20November%202024 (or) http://eng.chinamil.com.cn/CHINA_209163/Exercises/News_209184/16353208.html "/>
    <s v="see also OSINT report ASD25C88038 (26 Nov 2024)."/>
  </r>
  <r>
    <x v="1"/>
    <x v="1"/>
    <s v="Asia"/>
    <s v="Comprehensive Strategic Partnership [全面战略伙伴]"/>
    <s v="Bilateral Defense Treaty"/>
    <x v="0"/>
    <x v="5"/>
    <x v="33"/>
    <n v="11"/>
    <x v="7"/>
    <s v="Dong Jun"/>
    <m/>
    <s v="Minister of Defense"/>
    <n v="8"/>
    <x v="1"/>
    <s v="Minister of Defense"/>
    <x v="0"/>
    <m/>
    <x v="0"/>
    <m/>
    <x v="1"/>
    <m/>
    <m/>
    <m/>
    <s v="http://www.mod.gov.cn/gfbw/jswj/jl/16353474.html"/>
    <s v="BL on margins of 14th China-ASEAN Defense Ministers' Informal Meeting"/>
  </r>
  <r>
    <x v="1"/>
    <x v="7"/>
    <s v="West Asia and Africa"/>
    <s v="N/A"/>
    <s v="N/A"/>
    <x v="4"/>
    <x v="165"/>
    <x v="33"/>
    <n v="12"/>
    <x v="2"/>
    <s v="Dong Jun"/>
    <m/>
    <s v="Minister of Defense"/>
    <n v="8"/>
    <x v="2"/>
    <s v="Heads of various African Navies"/>
    <x v="0"/>
    <m/>
    <x v="0"/>
    <m/>
    <x v="1"/>
    <m/>
    <m/>
    <m/>
    <s v="http://eng.mod.gov.cn/xb/News_213114/TopStories/16356311.html; http://eng.mod.gov.cn/xb/News_213114/TopStories/16355659.html; https://www.abujanetworknews.com.ng/2024/12/chief-of-naval-staff-leads-nigerias.html; http://eng.chinamil.com.cn/CHINA_209163/TopStories_209189/16356268.html"/>
    <s v="2nd Seminar on Security Situation in the Gulf of Guinea in Shanghai; delegation include Nigeria Chief of Navy Staff Emmanuel Ikechukwu Ogalla and Gabon National Navy Chief of Staff Charles Hubert Bekale Meyong. PCS: coded as African Union to match 2022 entry and because this is under the FOCAC umbrella. See https://www.mfa.gov.cn/eng/xw/zyxw/202409/t20240905_11485719.html"/>
  </r>
  <r>
    <x v="1"/>
    <x v="10"/>
    <s v="America and Oceania"/>
    <s v="No Specific Relationship"/>
    <s v="None"/>
    <x v="5"/>
    <x v="49"/>
    <x v="33"/>
    <n v="12"/>
    <x v="4"/>
    <s v="He Weidong"/>
    <m/>
    <s v="Vice Chair CMC"/>
    <n v="10"/>
    <x v="1"/>
    <s v="President"/>
    <x v="0"/>
    <m/>
    <x v="0"/>
    <m/>
    <x v="1"/>
    <m/>
    <m/>
    <m/>
    <s v="https://www.plenglish.com/news/2024/12/14/president-diaz-canel-meets-vice-chair-of-chinese-military-commision/"/>
    <m/>
  </r>
  <r>
    <x v="0"/>
    <x v="7"/>
    <s v="West Asia and Africa"/>
    <s v="Comprehensive Strategic Partnership [全面战略伙伴关系]"/>
    <s v="None"/>
    <x v="4"/>
    <x v="119"/>
    <x v="33"/>
    <n v="12"/>
    <x v="0"/>
    <m/>
    <m/>
    <m/>
    <m/>
    <x v="0"/>
    <m/>
    <x v="0"/>
    <m/>
    <x v="0"/>
    <m/>
    <x v="0"/>
    <s v="Peace Ark - Harmonious Mission 2024"/>
    <s v="East Sea Fleet"/>
    <m/>
    <s v="http://eng.mod.gov.cn/xb/MilitaryServices/News_213106/16360291.html"/>
    <s v="The 12th and final stop of Peace Ark in Africa. Next stop is Sri Lanka."/>
  </r>
  <r>
    <x v="1"/>
    <x v="8"/>
    <s v="Europe and Central Asia"/>
    <s v="Comprehensive Strategic Partnership [全面战略伙伴关系]"/>
    <s v="NATO"/>
    <x v="3"/>
    <x v="22"/>
    <x v="33"/>
    <n v="12"/>
    <x v="3"/>
    <s v="???"/>
    <m/>
    <s v="???"/>
    <n v="5"/>
    <x v="2"/>
    <m/>
    <x v="0"/>
    <m/>
    <x v="0"/>
    <m/>
    <x v="1"/>
    <m/>
    <m/>
    <m/>
    <s v="http://www.mod.gov.cn/gfbw/qwfb/16361205.html"/>
    <s v="The 14th China-France Senior Military Officers Security Policy Seminar; Participants not named, but previous consultations were at the deputy chief of JSD level"/>
  </r>
  <r>
    <x v="0"/>
    <x v="1"/>
    <s v="Asia"/>
    <s v="Comprehensive Strategic Partnership [全面战略伙伴关系]"/>
    <s v="None"/>
    <x v="0"/>
    <x v="8"/>
    <x v="33"/>
    <n v="12"/>
    <x v="0"/>
    <m/>
    <m/>
    <m/>
    <m/>
    <x v="0"/>
    <m/>
    <x v="0"/>
    <m/>
    <x v="0"/>
    <m/>
    <x v="0"/>
    <s v="Hainan Naval Task Force"/>
    <s v="South Sea Fleet"/>
    <s v="amphibious assault ship Hainan (Hull 31) and guided-missile frigates Hengyang (Hull 568) and Liuzhou (Hull 573)"/>
    <s v="http://eng.chinamil.com.cn/CHINA_209163/Exchanges/News_209188/16361429.html; https://internationaldefenceanalysis.com/pla-navy-type-075-makes-first-overseas-stop-in-indonesia/; https://www.globaltimes.cn/page/202412/1325810.shtml?utm_source=chatgpt.com"/>
    <s v="A Chinese naval taskforce, including the amphibious assault ship Hainan (Hull 31) and guided-missile frigates Hengyang (Hull 568) and Liuzhou (Hull 573), made a port call on December 24 at Tanjung Priok Port in Indonesia for a four-day replenishment and rest."/>
  </r>
  <r>
    <x v="2"/>
    <x v="1"/>
    <s v="Asia"/>
    <s v="Comprehensive Strategic Partnership [全面战略伙伴关系]"/>
    <s v="None"/>
    <x v="0"/>
    <x v="8"/>
    <x v="33"/>
    <n v="12"/>
    <x v="5"/>
    <m/>
    <m/>
    <m/>
    <m/>
    <x v="0"/>
    <m/>
    <x v="2"/>
    <s v="Peace Garuda 2024"/>
    <x v="3"/>
    <m/>
    <x v="1"/>
    <m/>
    <m/>
    <s v="Based on a significant natural disaster scenario, the drills occurred across land, sea, and air domains at various training sites in Indonesia, focusing on enhancing humanitarian assistance and disaster relief (HADR) capabilities; including paratroop drops"/>
    <s v="PLA Daily 6 December 2024 李利军, 段江⼭ | “和平神鹰-2024”联演——中印尼参演部队展开灾害救援实兵演练 | 解放军报 "/>
    <s v=" Based on a significant natural disaster scenario, the drills occurred across land, sea, and air domains at various training sites in Indonesia, focusing on enhancing humanitarian assistance and disaster relief (HADR) capabilities. Included special operations forces and paratroop drops"/>
  </r>
  <r>
    <x v="1"/>
    <x v="1"/>
    <s v="Asia"/>
    <s v="Comprehensive Strategic Cooperative Partnership [全面战略合作伙伴关系]"/>
    <s v="None"/>
    <x v="0"/>
    <x v="52"/>
    <x v="33"/>
    <n v="12"/>
    <x v="4"/>
    <s v="Dong Jun"/>
    <m/>
    <s v="Minister of Defense"/>
    <n v="8"/>
    <x v="1"/>
    <s v="President (and Party Central Committee General Secretary)"/>
    <x v="0"/>
    <m/>
    <x v="0"/>
    <m/>
    <x v="1"/>
    <m/>
    <m/>
    <m/>
    <s v="http://www.mod.gov.cn/gfbw/jswj/cf/16353872.html"/>
    <s v="On the afternoon of December 5, General Secretary of the Central Committee of the Lao People's Revolutionary Party and President Thongloun Sisoulith met with visiting Vice Chairman of the Central Military Commission He Weidong in Vientiane. On the same day, He Weidong held talks with Lao Deputy Prime Minister and Defense Minister Chansamone."/>
  </r>
  <r>
    <x v="2"/>
    <x v="3"/>
    <s v="Europe and Central Asia"/>
    <s v=" Comprehensive Strategic Partnership of Coordination in the New Era [新时代中俄全面战略协作伙伴关系]"/>
    <s v="None"/>
    <x v="3"/>
    <x v="7"/>
    <x v="33"/>
    <n v="12"/>
    <x v="5"/>
    <m/>
    <m/>
    <m/>
    <m/>
    <x v="0"/>
    <m/>
    <x v="9"/>
    <s v="Joint Strategic Aerial Patrol II"/>
    <x v="5"/>
    <s v="The Chinese and Russian air forces completed the second phase of the ninth joint strategic aerial patrol in the western Pacific airspace. As part of the annual cooperation between the two militaries, the joint aerial patrol was carried out in the relevant airspace of the Sea of Japan. It is the ninth joint aerial patrol organized by the two militaries since 2019, and the second this year."/>
    <x v="1"/>
    <m/>
    <m/>
    <m/>
    <s v="http://eng.mod.gov.cn/xb/News_213114/TopStories/16355257.html; https://www.reuters.com/world/china-russia-militaries-conduct-joint-air-patrol-over-sea-japan-2024-11-29/; http://www.xinhuanet.com/milpro/20241129/16d6e990686c42c7968f6b9637b3e7eb/c.html"/>
    <s v="9th China-Russia air patrol"/>
  </r>
  <r>
    <x v="0"/>
    <x v="0"/>
    <s v="Asia"/>
    <s v="Strategic Cooperative Partnership [战略合作伙伴关系]"/>
    <s v="None"/>
    <x v="0"/>
    <x v="3"/>
    <x v="33"/>
    <n v="12"/>
    <x v="0"/>
    <m/>
    <m/>
    <m/>
    <m/>
    <x v="0"/>
    <m/>
    <x v="0"/>
    <m/>
    <x v="0"/>
    <m/>
    <x v="0"/>
    <s v="Peace Ark - Harmonious Mission 2024"/>
    <s v="East Sea Fleet"/>
    <m/>
    <s v="http://eng.mod.gov.cn/xb/News_213114/TopStories/16360265.html"/>
    <m/>
  </r>
  <r>
    <x v="1"/>
    <x v="1"/>
    <s v="Asia"/>
    <s v="Comprehensive Strategic Partnership [全面战略伙伴关系]"/>
    <s v="None"/>
    <x v="0"/>
    <x v="23"/>
    <x v="33"/>
    <n v="12"/>
    <x v="4"/>
    <s v="Dong Jun"/>
    <m/>
    <s v="Minister of Defense"/>
    <n v="8"/>
    <x v="1"/>
    <s v="General Secretary of Comm Party, and Minister of Defense"/>
    <x v="0"/>
    <m/>
    <x v="0"/>
    <m/>
    <x v="1"/>
    <m/>
    <m/>
    <m/>
    <s v="http://www.mod.gov.cn/gfbw/jswj/cf/16359791.html"/>
    <s v="Presumably counterpart visit with MINDEF? On the afternoon of December 19, General Secretary of the Communist Party of Vietnam To Lin met with visiting Chinese Defense Minister Dong Jun in Hanoi."/>
  </r>
  <r>
    <x v="0"/>
    <x v="1"/>
    <s v="Asia"/>
    <s v="Comprehensive Strategic Partnership [全面战略伙伴关系]"/>
    <s v="None"/>
    <x v="0"/>
    <x v="23"/>
    <x v="33"/>
    <n v="12"/>
    <x v="0"/>
    <m/>
    <m/>
    <m/>
    <m/>
    <x v="0"/>
    <m/>
    <x v="0"/>
    <m/>
    <x v="0"/>
    <m/>
    <x v="0"/>
    <s v="Changsha DDG and amphibious warfare ship Jinggangshan – docked in Da Nang"/>
    <s v="South Sea Fleet"/>
    <s v="Changsha DDG and amphibious warfare ship Jinggangshan – docked in Da Nang"/>
    <s v="https://www.scmp.com/news/china/diplomacy/article/3292880/chinese-warships-make-port-call-vietnam-after-talks-joint-patrols"/>
    <s v="Four day talks on joint maritime patrols"/>
  </r>
  <r>
    <x v="3"/>
    <x v="12"/>
    <m/>
    <m/>
    <m/>
    <x v="7"/>
    <x v="171"/>
    <x v="34"/>
    <m/>
    <x v="17"/>
    <m/>
    <m/>
    <m/>
    <m/>
    <x v="0"/>
    <m/>
    <x v="0"/>
    <m/>
    <x v="0"/>
    <m/>
    <x v="1"/>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FCDCC9-898E-4C2C-BE68-D1CD1C2A1725}" name="Pivot Table" cacheId="43" applyNumberFormats="0" applyBorderFormats="0" applyFontFormats="0" applyPatternFormats="0" applyAlignmentFormats="0" applyWidthHeightFormats="0" dataCaption="" missingCaption="0" updatedVersion="8" compact="0" compactData="0">
  <location ref="A5:Y10" firstHeaderRow="1" firstDataRow="2" firstDataCol="1" rowPageCount="1" colPageCount="1"/>
  <pivotFields count="26">
    <pivotField name="Activity Category" axis="axisRow" compact="0" outline="0" multipleItemSelectionAllowed="1" showAll="0" sortType="ascending">
      <items count="6">
        <item x="2"/>
        <item x="0"/>
        <item x="1"/>
        <item h="1" m="1" x="4"/>
        <item h="1"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Page" compact="0" outline="0" multipleItemSelectionAllowed="1" showAll="0">
      <items count="176">
        <item h="1" x="123"/>
        <item h="1" x="165"/>
        <item h="1" x="113"/>
        <item h="1" x="76"/>
        <item h="1" x="105"/>
        <item h="1" x="41"/>
        <item h="1" x="62"/>
        <item h="1" x="63"/>
        <item h="1" x="153"/>
        <item h="1" x="12"/>
        <item h="1" x="108"/>
        <item h="1" x="57"/>
        <item h="1" x="146"/>
        <item h="1" x="0"/>
        <item h="1" x="103"/>
        <item h="1" x="34"/>
        <item h="1" x="68"/>
        <item h="1" x="64"/>
        <item h="1" x="42"/>
        <item h="1" x="124"/>
        <item h="1" x="93"/>
        <item h="1" x="43"/>
        <item h="1" x="44"/>
        <item h="1" x="79"/>
        <item h="1" x="130"/>
        <item h="1" x="94"/>
        <item h="1" x="65"/>
        <item h="1" x="17"/>
        <item h="1" x="132"/>
        <item h="1" x="159"/>
        <item h="1" x="125"/>
        <item h="1" x="133"/>
        <item h="1" x="66"/>
        <item h="1" x="45"/>
        <item h="1" x="118"/>
        <item h="1" x="28"/>
        <item h="1" x="156"/>
        <item h="1" x="35"/>
        <item h="1" x="49"/>
        <item h="1" x="98"/>
        <item h="1" x="58"/>
        <item h="1" x="116"/>
        <item h="1" x="119"/>
        <item h="1" x="166"/>
        <item h="1" x="167"/>
        <item h="1" x="127"/>
        <item h="1" x="50"/>
        <item h="1" x="51"/>
        <item h="1" x="24"/>
        <item h="1" x="46"/>
        <item h="1" x="71"/>
        <item h="1" x="134"/>
        <item h="1" x="95"/>
        <item h="1" x="158"/>
        <item h="1" x="128"/>
        <item h="1" x="81"/>
        <item h="1" x="22"/>
        <item m="1" x="173"/>
        <item h="1" x="150"/>
        <item h="1" x="67"/>
        <item h="1" x="18"/>
        <item h="1" x="87"/>
        <item h="1" x="29"/>
        <item h="1" x="138"/>
        <item h="1" x="80"/>
        <item h="1" x="109"/>
        <item h="1" x="88"/>
        <item h="1" x="19"/>
        <item h="1" x="82"/>
        <item h="1" x="137"/>
        <item h="1" x="6"/>
        <item h="1" x="8"/>
        <item h="1" x="164"/>
        <item h="1" x="89"/>
        <item h="1" x="100"/>
        <item h="1" x="20"/>
        <item h="1" x="140"/>
        <item h="1" x="145"/>
        <item h="1" x="83"/>
        <item h="1" x="101"/>
        <item h="1" x="30"/>
        <item h="1" x="47"/>
        <item h="1" x="170"/>
        <item h="1" x="72"/>
        <item h="1" x="31"/>
        <item h="1" x="52"/>
        <item h="1" x="157"/>
        <item h="1" x="110"/>
        <item h="1" x="114"/>
        <item h="1" x="115"/>
        <item h="1" x="111"/>
        <item h="1" x="99"/>
        <item h="1" x="141"/>
        <item h="1" x="143"/>
        <item h="1" x="10"/>
        <item h="1" x="149"/>
        <item h="1" x="121"/>
        <item h="1" x="148"/>
        <item h="1" x="160"/>
        <item h="1" x="162"/>
        <item h="1" x="77"/>
        <item h="1" x="126"/>
        <item h="1" x="53"/>
        <item h="1" x="155"/>
        <item h="1" x="27"/>
        <item h="1" x="84"/>
        <item h="1" x="1"/>
        <item h="1" x="161"/>
        <item h="1" x="69"/>
        <item h="1" x="151"/>
        <item h="1" x="32"/>
        <item m="1" x="174"/>
        <item h="1" x="117"/>
        <item h="1" x="13"/>
        <item h="1" x="104"/>
        <item h="1" x="36"/>
        <item h="1" x="9"/>
        <item h="1" x="37"/>
        <item h="1" x="147"/>
        <item x="2"/>
        <item m="1" x="172"/>
        <item h="1" x="122"/>
        <item h="1" x="54"/>
        <item h="1" x="11"/>
        <item h="1" x="59"/>
        <item h="1" x="48"/>
        <item h="1" x="131"/>
        <item h="1" x="33"/>
        <item h="1" x="7"/>
        <item h="1" x="129"/>
        <item h="1" x="142"/>
        <item h="1" x="14"/>
        <item h="1" x="152"/>
        <item h="1" x="112"/>
        <item h="1" x="139"/>
        <item h="1" x="90"/>
        <item h="1" x="39"/>
        <item h="1" x="40"/>
        <item h="1" x="154"/>
        <item h="1" x="168"/>
        <item h="1" x="15"/>
        <item h="1" x="25"/>
        <item h="1" x="70"/>
        <item h="1" x="3"/>
        <item h="1" x="74"/>
        <item h="1" x="91"/>
        <item h="1" x="92"/>
        <item h="1" x="78"/>
        <item h="1" x="102"/>
        <item h="1" x="60"/>
        <item h="1" x="16"/>
        <item h="1" x="5"/>
        <item h="1" x="169"/>
        <item h="1" x="96"/>
        <item h="1" x="144"/>
        <item h="1" x="75"/>
        <item h="1" x="85"/>
        <item h="1" x="38"/>
        <item h="1" x="55"/>
        <item h="1" x="97"/>
        <item h="1" x="26"/>
        <item h="1" x="106"/>
        <item h="1" x="21"/>
        <item h="1" x="163"/>
        <item h="1" x="4"/>
        <item h="1" x="107"/>
        <item h="1" x="73"/>
        <item h="1" x="120"/>
        <item h="1" x="56"/>
        <item h="1" x="23"/>
        <item h="1" x="136"/>
        <item h="1" x="135"/>
        <item h="1" x="61"/>
        <item h="1" x="86"/>
        <item h="1" x="171"/>
        <item t="default"/>
      </items>
    </pivotField>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dataField="1"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6" hier="-1"/>
  </pageFields>
  <dataFields count="1">
    <dataField name="Count of Activity Type" fld="9" subtotal="count" baseField="0" baseItem="0"/>
  </dataFields>
  <formats count="3">
    <format dxfId="925">
      <pivotArea dataOnly="0" grandRow="1" outline="0" fieldPosition="0"/>
    </format>
    <format dxfId="924">
      <pivotArea grandCol="1" outline="0" fieldPosition="0"/>
    </format>
    <format dxfId="923">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F00-00000C000000}" name="AFRICOM Figure 5 2" cacheId="14" applyNumberFormats="0" applyBorderFormats="0" applyFontFormats="0" applyPatternFormats="0" applyAlignmentFormats="0" applyWidthHeightFormats="0" dataCaption="" updatedVersion="8" colGrandTotals="0" compact="0" compactData="0">
  <location ref="A29:R31"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7">
    <i>
      <x v="12"/>
    </i>
    <i>
      <x v="13"/>
    </i>
    <i>
      <x v="14"/>
    </i>
    <i>
      <x v="15"/>
    </i>
    <i>
      <x v="16"/>
    </i>
    <i>
      <x v="17"/>
    </i>
    <i>
      <x v="18"/>
    </i>
    <i>
      <x v="19"/>
    </i>
    <i>
      <x v="20"/>
    </i>
    <i>
      <x v="21"/>
    </i>
    <i>
      <x v="22"/>
    </i>
    <i>
      <x v="23"/>
    </i>
    <i>
      <x v="24"/>
    </i>
    <i>
      <x v="25"/>
    </i>
    <i>
      <x v="26"/>
    </i>
    <i>
      <x v="27"/>
    </i>
    <i>
      <x v="28"/>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00000000-0007-0000-2C00-000062000000}" name="Figure 17-18 4" cacheId="14" applyNumberFormats="0" applyBorderFormats="0" applyFontFormats="0" applyPatternFormats="0" applyAlignmentFormats="0" applyWidthHeightFormats="0" dataCaption="" updatedVersion="8" rowGrandTotals="0" colGrandTotals="0" compact="0" compactData="0">
  <location ref="A388:C551" firstHeaderRow="1" firstDataRow="2"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sortType="ascending">
      <items count="174">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1"/>
        <item x="150"/>
        <item x="67"/>
        <item x="18"/>
        <item x="87"/>
        <item x="29"/>
        <item x="138"/>
        <item x="80"/>
        <item x="109"/>
        <item x="88"/>
        <item x="19"/>
        <item x="82"/>
        <item x="137"/>
        <item x="6"/>
        <item x="8"/>
        <item x="164"/>
        <item x="89"/>
        <item x="100"/>
        <item x="20"/>
        <item x="140"/>
        <item x="145"/>
        <item x="83"/>
        <item x="101"/>
        <item x="30"/>
        <item x="47"/>
        <item m="1" x="172"/>
        <item x="72"/>
        <item x="31"/>
        <item x="52"/>
        <item x="157"/>
        <item x="110"/>
        <item x="114"/>
        <item x="115"/>
        <item x="111"/>
        <item x="99"/>
        <item x="141"/>
        <item x="143"/>
        <item x="10"/>
        <item x="149"/>
        <item x="121"/>
        <item x="148"/>
        <item x="160"/>
        <item x="162"/>
        <item x="77"/>
        <item x="126"/>
        <item x="53"/>
        <item x="155"/>
        <item x="27"/>
        <item x="84"/>
        <item x="1"/>
        <item x="161"/>
        <item x="69"/>
        <item x="151"/>
        <item x="32"/>
        <item x="117"/>
        <item x="13"/>
        <item x="104"/>
        <item x="36"/>
        <item x="9"/>
        <item x="37"/>
        <item x="147"/>
        <item x="2"/>
        <item m="1" x="170"/>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t="default"/>
      </items>
    </pivotField>
    <pivotField name="Year" axis="axisPage" compact="0" outline="0" multipleItemSelectionAllowed="1" showAll="0">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Col" compact="0" outline="0" multipleItemSelectionAllowed="1" showAll="0" sortType="descending">
      <items count="6">
        <item h="1" x="0"/>
        <item h="1" x="4"/>
        <item x="2"/>
        <item x="1"/>
        <item h="1" x="3"/>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5"/>
    </i>
    <i>
      <x v="46"/>
    </i>
    <i>
      <x v="47"/>
    </i>
    <i>
      <x v="48"/>
    </i>
    <i>
      <x v="49"/>
    </i>
    <i>
      <x v="50"/>
    </i>
    <i>
      <x v="51"/>
    </i>
    <i>
      <x v="52"/>
    </i>
    <i>
      <x v="53"/>
    </i>
    <i>
      <x v="54"/>
    </i>
    <i>
      <x v="55"/>
    </i>
    <i>
      <x v="56"/>
    </i>
    <i>
      <x v="59"/>
    </i>
    <i>
      <x v="60"/>
    </i>
    <i>
      <x v="61"/>
    </i>
    <i>
      <x v="62"/>
    </i>
    <i>
      <x v="63"/>
    </i>
    <i>
      <x v="64"/>
    </i>
    <i>
      <x v="65"/>
    </i>
    <i>
      <x v="66"/>
    </i>
    <i>
      <x v="68"/>
    </i>
    <i>
      <x v="69"/>
    </i>
    <i>
      <x v="70"/>
    </i>
    <i>
      <x v="71"/>
    </i>
    <i>
      <x v="73"/>
    </i>
    <i>
      <x v="74"/>
    </i>
    <i>
      <x v="75"/>
    </i>
    <i>
      <x v="76"/>
    </i>
    <i>
      <x v="77"/>
    </i>
    <i>
      <x v="78"/>
    </i>
    <i>
      <x v="79"/>
    </i>
    <i>
      <x v="80"/>
    </i>
    <i>
      <x v="81"/>
    </i>
    <i>
      <x v="83"/>
    </i>
    <i>
      <x v="84"/>
    </i>
    <i>
      <x v="85"/>
    </i>
    <i>
      <x v="86"/>
    </i>
    <i>
      <x v="87"/>
    </i>
    <i>
      <x v="88"/>
    </i>
    <i>
      <x v="89"/>
    </i>
    <i>
      <x v="90"/>
    </i>
    <i>
      <x v="91"/>
    </i>
    <i>
      <x v="92"/>
    </i>
    <i>
      <x v="93"/>
    </i>
    <i>
      <x v="94"/>
    </i>
    <i>
      <x v="95"/>
    </i>
    <i>
      <x v="96"/>
    </i>
    <i>
      <x v="97"/>
    </i>
    <i>
      <x v="98"/>
    </i>
    <i>
      <x v="100"/>
    </i>
    <i>
      <x v="101"/>
    </i>
    <i>
      <x v="102"/>
    </i>
    <i>
      <x v="103"/>
    </i>
    <i>
      <x v="104"/>
    </i>
    <i>
      <x v="105"/>
    </i>
    <i>
      <x v="106"/>
    </i>
    <i>
      <x v="107"/>
    </i>
    <i>
      <x v="108"/>
    </i>
    <i>
      <x v="109"/>
    </i>
    <i>
      <x v="110"/>
    </i>
    <i>
      <x v="111"/>
    </i>
    <i>
      <x v="112"/>
    </i>
    <i>
      <x v="113"/>
    </i>
    <i>
      <x v="114"/>
    </i>
    <i>
      <x v="115"/>
    </i>
    <i>
      <x v="116"/>
    </i>
    <i>
      <x v="117"/>
    </i>
    <i>
      <x v="118"/>
    </i>
    <i>
      <x v="120"/>
    </i>
    <i>
      <x v="121"/>
    </i>
    <i>
      <x v="122"/>
    </i>
    <i>
      <x v="123"/>
    </i>
    <i>
      <x v="124"/>
    </i>
    <i>
      <x v="125"/>
    </i>
    <i>
      <x v="126"/>
    </i>
    <i>
      <x v="127"/>
    </i>
    <i>
      <x v="128"/>
    </i>
    <i>
      <x v="129"/>
    </i>
    <i>
      <x v="130"/>
    </i>
    <i>
      <x v="131"/>
    </i>
    <i>
      <x v="132"/>
    </i>
    <i>
      <x v="133"/>
    </i>
    <i>
      <x v="134"/>
    </i>
    <i>
      <x v="135"/>
    </i>
    <i>
      <x v="136"/>
    </i>
    <i>
      <x v="137"/>
    </i>
    <i>
      <x v="139"/>
    </i>
    <i>
      <x v="140"/>
    </i>
    <i>
      <x v="141"/>
    </i>
    <i>
      <x v="142"/>
    </i>
    <i>
      <x v="143"/>
    </i>
    <i>
      <x v="144"/>
    </i>
    <i>
      <x v="145"/>
    </i>
    <i>
      <x v="146"/>
    </i>
    <i>
      <x v="147"/>
    </i>
    <i>
      <x v="148"/>
    </i>
    <i>
      <x v="149"/>
    </i>
    <i>
      <x v="150"/>
    </i>
    <i>
      <x v="152"/>
    </i>
    <i>
      <x v="153"/>
    </i>
    <i>
      <x v="154"/>
    </i>
    <i>
      <x v="155"/>
    </i>
    <i>
      <x v="156"/>
    </i>
    <i>
      <x v="157"/>
    </i>
    <i>
      <x v="158"/>
    </i>
    <i>
      <x v="159"/>
    </i>
    <i>
      <x v="160"/>
    </i>
    <i>
      <x v="161"/>
    </i>
    <i>
      <x v="162"/>
    </i>
    <i>
      <x v="163"/>
    </i>
    <i>
      <x v="164"/>
    </i>
    <i>
      <x v="165"/>
    </i>
    <i>
      <x v="166"/>
    </i>
    <i>
      <x v="167"/>
    </i>
    <i>
      <x v="168"/>
    </i>
    <i>
      <x v="169"/>
    </i>
    <i>
      <x v="170"/>
    </i>
    <i>
      <x v="171"/>
    </i>
    <i>
      <x v="172"/>
    </i>
  </rowItems>
  <colFields count="1">
    <field x="14"/>
  </colFields>
  <colItems count="2">
    <i>
      <x v="2"/>
    </i>
    <i>
      <x v="3"/>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BA5D0271-437B-4479-8A5E-90A86499F7F2}" name="Figure 19" cacheId="56" applyNumberFormats="0" applyBorderFormats="0" applyFontFormats="0" applyPatternFormats="0" applyAlignmentFormats="0" applyWidthHeightFormats="0" dataCaption="" missingCaption="0" updatedVersion="8" rowGrandTotals="0" colGrandTotals="0" compact="0" compactData="0">
  <location ref="A8:C166" firstHeaderRow="1" firstDataRow="2" firstDataCol="1" rowPageCount="3" colPageCount="1"/>
  <pivotFields count="26">
    <pivotField name="Activity Category" axis="axisPage"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sortType="ascending">
      <items count="176">
        <item x="123"/>
        <item x="165"/>
        <item x="113"/>
        <item x="76"/>
        <item x="105"/>
        <item x="41"/>
        <item x="62"/>
        <item x="63"/>
        <item h="1" x="153"/>
        <item x="12"/>
        <item x="108"/>
        <item x="57"/>
        <item x="146"/>
        <item x="0"/>
        <item x="103"/>
        <item x="34"/>
        <item x="68"/>
        <item x="64"/>
        <item x="42"/>
        <item x="124"/>
        <item x="93"/>
        <item x="43"/>
        <item x="44"/>
        <item x="79"/>
        <item x="130"/>
        <item x="94"/>
        <item x="65"/>
        <item x="17"/>
        <item x="132"/>
        <item h="1" x="159"/>
        <item x="125"/>
        <item x="133"/>
        <item x="66"/>
        <item x="45"/>
        <item x="118"/>
        <item x="28"/>
        <item x="156"/>
        <item x="35"/>
        <item x="49"/>
        <item x="98"/>
        <item x="58"/>
        <item x="116"/>
        <item x="119"/>
        <item x="166"/>
        <item x="167"/>
        <item x="127"/>
        <item x="50"/>
        <item x="51"/>
        <item x="24"/>
        <item x="46"/>
        <item x="71"/>
        <item x="134"/>
        <item x="95"/>
        <item x="158"/>
        <item x="128"/>
        <item x="81"/>
        <item x="22"/>
        <item h="1" m="1" x="173"/>
        <item x="150"/>
        <item x="67"/>
        <item x="18"/>
        <item x="87"/>
        <item x="29"/>
        <item x="138"/>
        <item x="80"/>
        <item x="109"/>
        <item x="88"/>
        <item x="19"/>
        <item x="82"/>
        <item h="1" x="137"/>
        <item x="6"/>
        <item x="8"/>
        <item h="1" x="164"/>
        <item x="89"/>
        <item x="100"/>
        <item x="20"/>
        <item x="140"/>
        <item x="145"/>
        <item x="83"/>
        <item x="101"/>
        <item x="30"/>
        <item x="47"/>
        <item h="1" x="170"/>
        <item x="72"/>
        <item x="31"/>
        <item x="52"/>
        <item x="157"/>
        <item x="110"/>
        <item x="114"/>
        <item x="115"/>
        <item x="111"/>
        <item x="99"/>
        <item x="141"/>
        <item x="143"/>
        <item x="10"/>
        <item x="149"/>
        <item x="121"/>
        <item x="148"/>
        <item x="160"/>
        <item x="162"/>
        <item x="77"/>
        <item x="126"/>
        <item x="53"/>
        <item x="155"/>
        <item x="27"/>
        <item x="84"/>
        <item x="1"/>
        <item x="161"/>
        <item x="69"/>
        <item h="1" x="151"/>
        <item x="32"/>
        <item h="1" m="1" x="174"/>
        <item x="117"/>
        <item x="13"/>
        <item x="104"/>
        <item x="36"/>
        <item x="9"/>
        <item x="37"/>
        <item x="147"/>
        <item x="2"/>
        <item m="1" x="172"/>
        <item x="122"/>
        <item x="54"/>
        <item x="11"/>
        <item x="59"/>
        <item x="48"/>
        <item x="131"/>
        <item x="33"/>
        <item x="7"/>
        <item x="129"/>
        <item x="142"/>
        <item h="1"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h="1" x="136"/>
        <item x="135"/>
        <item x="61"/>
        <item x="86"/>
        <item h="1" x="171"/>
        <item t="default"/>
      </items>
    </pivotField>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dataField="1" compact="0" outline="0" multipleItemSelectionAllowed="1" showAll="0"/>
    <pivotField name="Visit Type " axis="axisCol" compact="0" outline="0" multipleItemSelectionAllowed="1" showAll="0" sortType="descending">
      <items count="6">
        <item h="1" x="0"/>
        <item h="1" x="4"/>
        <item x="2"/>
        <item x="1"/>
        <item h="1" x="3"/>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57">
    <i>
      <x/>
    </i>
    <i>
      <x v="1"/>
    </i>
    <i>
      <x v="2"/>
    </i>
    <i>
      <x v="3"/>
    </i>
    <i>
      <x v="4"/>
    </i>
    <i>
      <x v="5"/>
    </i>
    <i>
      <x v="6"/>
    </i>
    <i>
      <x v="7"/>
    </i>
    <i>
      <x v="9"/>
    </i>
    <i>
      <x v="10"/>
    </i>
    <i>
      <x v="11"/>
    </i>
    <i>
      <x v="12"/>
    </i>
    <i>
      <x v="13"/>
    </i>
    <i>
      <x v="14"/>
    </i>
    <i>
      <x v="15"/>
    </i>
    <i>
      <x v="16"/>
    </i>
    <i>
      <x v="17"/>
    </i>
    <i>
      <x v="18"/>
    </i>
    <i>
      <x v="19"/>
    </i>
    <i>
      <x v="20"/>
    </i>
    <i>
      <x v="21"/>
    </i>
    <i>
      <x v="22"/>
    </i>
    <i>
      <x v="23"/>
    </i>
    <i>
      <x v="24"/>
    </i>
    <i>
      <x v="25"/>
    </i>
    <i>
      <x v="26"/>
    </i>
    <i>
      <x v="27"/>
    </i>
    <i>
      <x v="28"/>
    </i>
    <i>
      <x v="30"/>
    </i>
    <i>
      <x v="31"/>
    </i>
    <i>
      <x v="32"/>
    </i>
    <i>
      <x v="33"/>
    </i>
    <i>
      <x v="34"/>
    </i>
    <i>
      <x v="35"/>
    </i>
    <i>
      <x v="36"/>
    </i>
    <i>
      <x v="37"/>
    </i>
    <i>
      <x v="38"/>
    </i>
    <i>
      <x v="39"/>
    </i>
    <i>
      <x v="40"/>
    </i>
    <i>
      <x v="41"/>
    </i>
    <i>
      <x v="42"/>
    </i>
    <i>
      <x v="44"/>
    </i>
    <i>
      <x v="45"/>
    </i>
    <i>
      <x v="46"/>
    </i>
    <i>
      <x v="47"/>
    </i>
    <i>
      <x v="48"/>
    </i>
    <i>
      <x v="49"/>
    </i>
    <i>
      <x v="50"/>
    </i>
    <i>
      <x v="51"/>
    </i>
    <i>
      <x v="52"/>
    </i>
    <i>
      <x v="53"/>
    </i>
    <i>
      <x v="54"/>
    </i>
    <i>
      <x v="55"/>
    </i>
    <i>
      <x v="56"/>
    </i>
    <i>
      <x v="59"/>
    </i>
    <i>
      <x v="60"/>
    </i>
    <i>
      <x v="61"/>
    </i>
    <i>
      <x v="62"/>
    </i>
    <i>
      <x v="63"/>
    </i>
    <i>
      <x v="64"/>
    </i>
    <i>
      <x v="65"/>
    </i>
    <i>
      <x v="66"/>
    </i>
    <i>
      <x v="68"/>
    </i>
    <i>
      <x v="70"/>
    </i>
    <i>
      <x v="71"/>
    </i>
    <i>
      <x v="73"/>
    </i>
    <i>
      <x v="74"/>
    </i>
    <i>
      <x v="75"/>
    </i>
    <i>
      <x v="76"/>
    </i>
    <i>
      <x v="77"/>
    </i>
    <i>
      <x v="78"/>
    </i>
    <i>
      <x v="79"/>
    </i>
    <i>
      <x v="80"/>
    </i>
    <i>
      <x v="81"/>
    </i>
    <i>
      <x v="83"/>
    </i>
    <i>
      <x v="84"/>
    </i>
    <i>
      <x v="85"/>
    </i>
    <i>
      <x v="86"/>
    </i>
    <i>
      <x v="87"/>
    </i>
    <i>
      <x v="88"/>
    </i>
    <i>
      <x v="89"/>
    </i>
    <i>
      <x v="90"/>
    </i>
    <i>
      <x v="91"/>
    </i>
    <i>
      <x v="92"/>
    </i>
    <i>
      <x v="93"/>
    </i>
    <i>
      <x v="94"/>
    </i>
    <i>
      <x v="95"/>
    </i>
    <i>
      <x v="96"/>
    </i>
    <i>
      <x v="97"/>
    </i>
    <i>
      <x v="98"/>
    </i>
    <i>
      <x v="100"/>
    </i>
    <i>
      <x v="101"/>
    </i>
    <i>
      <x v="102"/>
    </i>
    <i>
      <x v="103"/>
    </i>
    <i>
      <x v="104"/>
    </i>
    <i>
      <x v="105"/>
    </i>
    <i>
      <x v="106"/>
    </i>
    <i>
      <x v="107"/>
    </i>
    <i>
      <x v="108"/>
    </i>
    <i>
      <x v="110"/>
    </i>
    <i>
      <x v="112"/>
    </i>
    <i>
      <x v="113"/>
    </i>
    <i>
      <x v="114"/>
    </i>
    <i>
      <x v="115"/>
    </i>
    <i>
      <x v="116"/>
    </i>
    <i>
      <x v="117"/>
    </i>
    <i>
      <x v="118"/>
    </i>
    <i>
      <x v="119"/>
    </i>
    <i>
      <x v="121"/>
    </i>
    <i>
      <x v="122"/>
    </i>
    <i>
      <x v="123"/>
    </i>
    <i>
      <x v="124"/>
    </i>
    <i>
      <x v="125"/>
    </i>
    <i>
      <x v="126"/>
    </i>
    <i>
      <x v="127"/>
    </i>
    <i>
      <x v="128"/>
    </i>
    <i>
      <x v="129"/>
    </i>
    <i>
      <x v="130"/>
    </i>
    <i>
      <x v="132"/>
    </i>
    <i>
      <x v="133"/>
    </i>
    <i>
      <x v="134"/>
    </i>
    <i>
      <x v="135"/>
    </i>
    <i>
      <x v="136"/>
    </i>
    <i>
      <x v="137"/>
    </i>
    <i>
      <x v="138"/>
    </i>
    <i>
      <x v="140"/>
    </i>
    <i>
      <x v="141"/>
    </i>
    <i>
      <x v="142"/>
    </i>
    <i>
      <x v="143"/>
    </i>
    <i>
      <x v="144"/>
    </i>
    <i>
      <x v="145"/>
    </i>
    <i>
      <x v="146"/>
    </i>
    <i>
      <x v="147"/>
    </i>
    <i>
      <x v="148"/>
    </i>
    <i>
      <x v="149"/>
    </i>
    <i>
      <x v="150"/>
    </i>
    <i>
      <x v="151"/>
    </i>
    <i>
      <x v="153"/>
    </i>
    <i>
      <x v="154"/>
    </i>
    <i>
      <x v="155"/>
    </i>
    <i>
      <x v="156"/>
    </i>
    <i>
      <x v="157"/>
    </i>
    <i>
      <x v="158"/>
    </i>
    <i>
      <x v="159"/>
    </i>
    <i>
      <x v="160"/>
    </i>
    <i>
      <x v="161"/>
    </i>
    <i>
      <x v="162"/>
    </i>
    <i>
      <x v="163"/>
    </i>
    <i>
      <x v="164"/>
    </i>
    <i>
      <x v="165"/>
    </i>
    <i>
      <x v="166"/>
    </i>
    <i>
      <x v="167"/>
    </i>
    <i>
      <x v="168"/>
    </i>
    <i>
      <x v="169"/>
    </i>
    <i>
      <x v="171"/>
    </i>
    <i>
      <x v="172"/>
    </i>
    <i>
      <x v="173"/>
    </i>
  </rowItems>
  <colFields count="1">
    <field x="14"/>
  </colFields>
  <colItems count="2">
    <i>
      <x v="2"/>
    </i>
    <i>
      <x v="3"/>
    </i>
  </colItems>
  <pageFields count="3">
    <pageField fld="0" hier="0"/>
    <pageField fld="7" hier="0"/>
    <pageField fld="9" hier="0"/>
  </pageFields>
  <dataFields count="1">
    <dataField name="Sum of Position Weight" fld="13" baseField="0"/>
  </dataFields>
  <formats count="2">
    <format dxfId="738">
      <pivotArea field="6" type="button" dataOnly="0" labelOnly="1" outline="0" axis="axisRow" fieldPosition="0"/>
    </format>
    <format dxfId="737">
      <pivotArea dataOnly="0" labelOnly="1" outline="0" fieldPosition="0">
        <references count="1">
          <reference field="1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831CE1F8-C5ED-49D3-B996-F59E7A75A89D}" name="PivotTable12" cacheId="43" applyNumberFormats="0" applyBorderFormats="0" applyFontFormats="0" applyPatternFormats="0" applyAlignmentFormats="0" applyWidthHeightFormats="0" dataCaption="" missingCaption="0" updatedVersion="8" compact="0" compactData="0" chartFormat="2">
  <location ref="A5:T9" firstHeaderRow="1" firstDataRow="2" firstDataCol="1"/>
  <pivotFields count="26">
    <pivotField name="Activity Category" dataField="1" compact="0" outline="0" multipleItemSelectionAllowed="1" showAll="0" autoShow="1" rankBy="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rankBy="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Row" compact="0" outline="0" multipleItemSelectionAllowed="1" showAll="0">
      <items count="13">
        <item h="1" x="8"/>
        <item h="1" x="4"/>
        <item h="1" m="1" x="10"/>
        <item h="1" x="1"/>
        <item h="1" m="1" x="11"/>
        <item x="3"/>
        <item x="5"/>
        <item h="1" x="6"/>
        <item h="1" x="2"/>
        <item h="1" x="9"/>
        <item h="1" x="7"/>
        <item h="1"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6"/>
  </rowFields>
  <rowItems count="3">
    <i>
      <x v="5"/>
    </i>
    <i>
      <x v="6"/>
    </i>
    <i t="grand">
      <x/>
    </i>
  </rowItems>
  <colFields count="1">
    <field x="7"/>
  </colFields>
  <colItems count="19">
    <i>
      <x v="14"/>
    </i>
    <i>
      <x v="16"/>
    </i>
    <i>
      <x v="18"/>
    </i>
    <i>
      <x v="19"/>
    </i>
    <i>
      <x v="20"/>
    </i>
    <i>
      <x v="21"/>
    </i>
    <i>
      <x v="22"/>
    </i>
    <i>
      <x v="23"/>
    </i>
    <i>
      <x v="24"/>
    </i>
    <i>
      <x v="25"/>
    </i>
    <i>
      <x v="26"/>
    </i>
    <i>
      <x v="27"/>
    </i>
    <i>
      <x v="28"/>
    </i>
    <i>
      <x v="29"/>
    </i>
    <i>
      <x v="30"/>
    </i>
    <i>
      <x v="31"/>
    </i>
    <i>
      <x v="32"/>
    </i>
    <i>
      <x v="33"/>
    </i>
    <i t="grand">
      <x/>
    </i>
  </colItems>
  <dataFields count="1">
    <dataField name="Count of Activity Category" fld="0" subtotal="count" baseField="0" baseItem="0"/>
  </dataFields>
  <formats count="5">
    <format dxfId="736">
      <pivotArea dataOnly="0" grandRow="1" outline="0" fieldPosition="0"/>
    </format>
    <format dxfId="735">
      <pivotArea grandCol="1" outline="0" fieldPosition="0"/>
    </format>
    <format dxfId="734">
      <pivotArea dataOnly="0" labelOnly="1" grandCol="1" outline="0" fieldPosition="0"/>
    </format>
    <format dxfId="733">
      <pivotArea field="16" type="button" dataOnly="0" labelOnly="1" outline="0" axis="axisRow" fieldPosition="0"/>
    </format>
    <format dxfId="732">
      <pivotArea dataOnly="0" labelOnly="1" outline="0" fieldPosition="0">
        <references count="1">
          <reference field="7"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34687090-FFB4-49F5-B452-71D4887ED21E}" name="PivotTable14" cacheId="43" applyNumberFormats="0" applyBorderFormats="0" applyFontFormats="0" applyPatternFormats="0" applyAlignmentFormats="0" applyWidthHeightFormats="0" dataCaption="" missingCaption="0" updatedVersion="8" rowGrandTotals="0" compact="0" compactData="0">
  <location ref="G6:K93"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3"/>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x="171"/>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86">
    <i>
      <x v="128"/>
    </i>
    <i>
      <x v="119"/>
    </i>
    <i>
      <x v="151"/>
    </i>
    <i>
      <x v="136"/>
    </i>
    <i>
      <x v="169"/>
    </i>
    <i>
      <x v="164"/>
    </i>
    <i>
      <x v="25"/>
    </i>
    <i>
      <x v="85"/>
    </i>
    <i>
      <x v="71"/>
    </i>
    <i>
      <x v="140"/>
    </i>
    <i>
      <x v="8"/>
    </i>
    <i>
      <x v="107"/>
    </i>
    <i>
      <x v="131"/>
    </i>
    <i>
      <x v="102"/>
    </i>
    <i>
      <x v="94"/>
    </i>
    <i>
      <x v="73"/>
    </i>
    <i>
      <x v="15"/>
    </i>
    <i>
      <x v="13"/>
    </i>
    <i>
      <x v="78"/>
    </i>
    <i>
      <x v="80"/>
    </i>
    <i>
      <x v="150"/>
    </i>
    <i>
      <x v="161"/>
    </i>
    <i>
      <x v="56"/>
    </i>
    <i>
      <x v="113"/>
    </i>
    <i>
      <x v="123"/>
    </i>
    <i>
      <x v="162"/>
    </i>
    <i>
      <x v="105"/>
    </i>
    <i>
      <x v="70"/>
    </i>
    <i>
      <x v="149"/>
    </i>
    <i>
      <x v="143"/>
    </i>
    <i>
      <x v="130"/>
    </i>
    <i>
      <x v="126"/>
    </i>
    <i>
      <x v="115"/>
    </i>
    <i>
      <x v="1"/>
    </i>
    <i>
      <x v="69"/>
    </i>
    <i>
      <x v="110"/>
    </i>
    <i>
      <x v="42"/>
    </i>
    <i>
      <x v="158"/>
    </i>
    <i>
      <x v="21"/>
    </i>
    <i>
      <x v="92"/>
    </i>
    <i>
      <x v="59"/>
    </i>
    <i>
      <x v="141"/>
    </i>
    <i>
      <x v="106"/>
    </i>
    <i>
      <x v="84"/>
    </i>
    <i>
      <x v="152"/>
    </i>
    <i>
      <x v="134"/>
    </i>
    <i>
      <x v="173"/>
    </i>
    <i>
      <x v="95"/>
    </i>
    <i>
      <x v="22"/>
    </i>
    <i>
      <x v="98"/>
    </i>
    <i>
      <x v="166"/>
    </i>
    <i>
      <x v="35"/>
    </i>
    <i>
      <x v="133"/>
    </i>
    <i>
      <x v="38"/>
    </i>
    <i>
      <x v="145"/>
    </i>
    <i>
      <x v="118"/>
    </i>
    <i>
      <x v="76"/>
    </i>
    <i>
      <x v="54"/>
    </i>
    <i>
      <x v="121"/>
    </i>
    <i>
      <x v="26"/>
    </i>
    <i>
      <x v="3"/>
    </i>
    <i>
      <x v="7"/>
    </i>
    <i>
      <x v="6"/>
    </i>
    <i>
      <x v="160"/>
    </i>
    <i>
      <x v="29"/>
    </i>
    <i>
      <x v="83"/>
    </i>
    <i>
      <x v="154"/>
    </i>
    <i>
      <x v="9"/>
    </i>
    <i>
      <x v="17"/>
    </i>
    <i>
      <x v="45"/>
    </i>
    <i>
      <x v="53"/>
    </i>
    <i>
      <x v="132"/>
    </i>
    <i>
      <x v="104"/>
    </i>
    <i>
      <x v="48"/>
    </i>
    <i>
      <x v="32"/>
    </i>
    <i>
      <x v="52"/>
    </i>
    <i>
      <x v="68"/>
    </i>
    <i>
      <x v="11"/>
    </i>
    <i>
      <x v="82"/>
    </i>
    <i>
      <x v="4"/>
    </i>
    <i>
      <x/>
    </i>
    <i>
      <x v="60"/>
    </i>
    <i>
      <x v="27"/>
    </i>
    <i>
      <x v="61"/>
    </i>
    <i>
      <x v="91"/>
    </i>
    <i>
      <x v="62"/>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728">
      <pivotArea dataOnly="0" grandRow="1" outline="0" fieldPosition="0"/>
    </format>
    <format dxfId="727">
      <pivotArea grandCol="1" outline="0" fieldPosition="0"/>
    </format>
    <format dxfId="726">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512EB65A-2482-41B8-8E34-D5C2472B3ACB}" name="PivotTable13" cacheId="43" applyNumberFormats="0" applyBorderFormats="0" applyFontFormats="0" applyPatternFormats="0" applyAlignmentFormats="0" applyWidthHeightFormats="0" dataCaption="" missingCaption="0" updatedVersion="8" rowGrandTotals="0" compact="0" compactData="0">
  <location ref="A6:E178" firstHeaderRow="1" firstDataRow="2" firstDataCol="1"/>
  <pivotFields count="26">
    <pivotField name="Activity Category" axis="axisCol" dataField="1" compact="0" outline="0" multipleItemSelectionAllowed="1" showAll="0" autoShow="1" rankBy="0">
      <items count="6">
        <item x="2"/>
        <item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3"/>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x="171"/>
        <item t="default"/>
      </items>
      <autoSortScope>
        <pivotArea dataOnly="0" outline="0" fieldPosition="0">
          <references count="1">
            <reference field="4294967294" count="1" selected="0">
              <x v="0"/>
            </reference>
          </references>
        </pivotArea>
      </autoSortScope>
    </pivotField>
    <pivotField name="Year" compact="0" outline="0" multipleItemSelectionAllowed="1" showAll="0" sortType="ascending"/>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71">
    <i>
      <x v="128"/>
    </i>
    <i>
      <x v="119"/>
    </i>
    <i>
      <x v="164"/>
    </i>
    <i>
      <x v="151"/>
    </i>
    <i>
      <x v="136"/>
    </i>
    <i>
      <x v="9"/>
    </i>
    <i>
      <x v="169"/>
    </i>
    <i>
      <x v="71"/>
    </i>
    <i>
      <x v="113"/>
    </i>
    <i>
      <x v="25"/>
    </i>
    <i>
      <x v="141"/>
    </i>
    <i>
      <x v="70"/>
    </i>
    <i>
      <x v="15"/>
    </i>
    <i>
      <x v="85"/>
    </i>
    <i>
      <x v="94"/>
    </i>
    <i>
      <x v="56"/>
    </i>
    <i>
      <x v="75"/>
    </i>
    <i>
      <x v="13"/>
    </i>
    <i>
      <x v="131"/>
    </i>
    <i>
      <x v="140"/>
    </i>
    <i>
      <x v="143"/>
    </i>
    <i>
      <x v="106"/>
    </i>
    <i>
      <x v="162"/>
    </i>
    <i>
      <x v="48"/>
    </i>
    <i>
      <x v="32"/>
    </i>
    <i>
      <x v="60"/>
    </i>
    <i>
      <x v="42"/>
    </i>
    <i>
      <x v="150"/>
    </i>
    <i>
      <x v="80"/>
    </i>
    <i>
      <x v="102"/>
    </i>
    <i>
      <x v="38"/>
    </i>
    <i>
      <x v="78"/>
    </i>
    <i>
      <x v="123"/>
    </i>
    <i>
      <x v="127"/>
    </i>
    <i>
      <x v="8"/>
    </i>
    <i>
      <x v="149"/>
    </i>
    <i>
      <x v="21"/>
    </i>
    <i>
      <x v="118"/>
    </i>
    <i>
      <x v="62"/>
    </i>
    <i>
      <x v="84"/>
    </i>
    <i>
      <x v="157"/>
    </i>
    <i>
      <x v="116"/>
    </i>
    <i>
      <x v="55"/>
    </i>
    <i>
      <x v="68"/>
    </i>
    <i>
      <x v="73"/>
    </i>
    <i>
      <x v="124"/>
    </i>
    <i>
      <x v="110"/>
    </i>
    <i>
      <x v="130"/>
    </i>
    <i>
      <x v="22"/>
    </i>
    <i>
      <x v="105"/>
    </i>
    <i>
      <x v="6"/>
    </i>
    <i>
      <x v="23"/>
    </i>
    <i>
      <x v="147"/>
    </i>
    <i>
      <x v="166"/>
    </i>
    <i>
      <x v="133"/>
    </i>
    <i>
      <x v="47"/>
    </i>
    <i>
      <x v="161"/>
    </i>
    <i>
      <x v="146"/>
    </i>
    <i>
      <x v="27"/>
    </i>
    <i>
      <x v="172"/>
    </i>
    <i>
      <x v="100"/>
    </i>
    <i>
      <x v="142"/>
    </i>
    <i>
      <x v="59"/>
    </i>
    <i>
      <x v="69"/>
    </i>
    <i>
      <x v="81"/>
    </i>
    <i>
      <x/>
    </i>
    <i>
      <x v="173"/>
    </i>
    <i>
      <x v="108"/>
    </i>
    <i>
      <x v="107"/>
    </i>
    <i>
      <x v="171"/>
    </i>
    <i>
      <x v="160"/>
    </i>
    <i>
      <x v="115"/>
    </i>
    <i>
      <x v="122"/>
    </i>
    <i>
      <x v="144"/>
    </i>
    <i>
      <x v="4"/>
    </i>
    <i>
      <x v="37"/>
    </i>
    <i>
      <x v="79"/>
    </i>
    <i>
      <x v="121"/>
    </i>
    <i>
      <x v="125"/>
    </i>
    <i>
      <x v="165"/>
    </i>
    <i>
      <x v="74"/>
    </i>
    <i>
      <x v="54"/>
    </i>
    <i>
      <x v="137"/>
    </i>
    <i>
      <x v="104"/>
    </i>
    <i>
      <x v="26"/>
    </i>
    <i>
      <x v="52"/>
    </i>
    <i>
      <x v="126"/>
    </i>
    <i>
      <x v="18"/>
    </i>
    <i>
      <x v="156"/>
    </i>
    <i>
      <x v="158"/>
    </i>
    <i>
      <x v="168"/>
    </i>
    <i>
      <x v="33"/>
    </i>
    <i>
      <x v="41"/>
    </i>
    <i>
      <x v="3"/>
    </i>
    <i>
      <x v="7"/>
    </i>
    <i>
      <x v="10"/>
    </i>
    <i>
      <x v="61"/>
    </i>
    <i>
      <x v="35"/>
    </i>
    <i>
      <x v="95"/>
    </i>
    <i>
      <x v="117"/>
    </i>
    <i>
      <x v="134"/>
    </i>
    <i>
      <x v="83"/>
    </i>
    <i>
      <x v="40"/>
    </i>
    <i>
      <x v="145"/>
    </i>
    <i>
      <x v="154"/>
    </i>
    <i>
      <x v="148"/>
    </i>
    <i>
      <x v="11"/>
    </i>
    <i>
      <x v="167"/>
    </i>
    <i>
      <x v="16"/>
    </i>
    <i>
      <x v="53"/>
    </i>
    <i>
      <x v="91"/>
    </i>
    <i>
      <x v="46"/>
    </i>
    <i>
      <x v="159"/>
    </i>
    <i>
      <x v="45"/>
    </i>
    <i>
      <x v="87"/>
    </i>
    <i>
      <x v="112"/>
    </i>
    <i>
      <x v="153"/>
    </i>
    <i>
      <x v="66"/>
    </i>
    <i>
      <x v="155"/>
    </i>
    <i>
      <x v="170"/>
    </i>
    <i>
      <x v="76"/>
    </i>
    <i>
      <x v="109"/>
    </i>
    <i>
      <x v="29"/>
    </i>
    <i>
      <x v="92"/>
    </i>
    <i>
      <x v="17"/>
    </i>
    <i>
      <x v="86"/>
    </i>
    <i>
      <x v="129"/>
    </i>
    <i>
      <x v="19"/>
    </i>
    <i>
      <x v="20"/>
    </i>
    <i>
      <x v="1"/>
    </i>
    <i>
      <x v="64"/>
    </i>
    <i>
      <x v="89"/>
    </i>
    <i>
      <x v="50"/>
    </i>
    <i>
      <x v="132"/>
    </i>
    <i>
      <x v="93"/>
    </i>
    <i>
      <x v="135"/>
    </i>
    <i>
      <x v="63"/>
    </i>
    <i>
      <x v="152"/>
    </i>
    <i>
      <x v="5"/>
    </i>
    <i>
      <x v="49"/>
    </i>
    <i>
      <x v="36"/>
    </i>
    <i>
      <x v="77"/>
    </i>
    <i>
      <x v="39"/>
    </i>
    <i>
      <x v="98"/>
    </i>
    <i>
      <x v="12"/>
    </i>
    <i>
      <x v="96"/>
    </i>
    <i>
      <x v="97"/>
    </i>
    <i>
      <x v="28"/>
    </i>
    <i>
      <x v="24"/>
    </i>
    <i>
      <x v="65"/>
    </i>
    <i>
      <x v="14"/>
    </i>
    <i>
      <x v="67"/>
    </i>
    <i>
      <x v="101"/>
    </i>
    <i>
      <x v="90"/>
    </i>
    <i>
      <x v="30"/>
    </i>
    <i>
      <x v="163"/>
    </i>
    <i>
      <x v="88"/>
    </i>
    <i>
      <x v="34"/>
    </i>
    <i>
      <x v="44"/>
    </i>
    <i>
      <x v="139"/>
    </i>
    <i>
      <x v="103"/>
    </i>
    <i>
      <x v="114"/>
    </i>
    <i>
      <x v="138"/>
    </i>
    <i>
      <x v="43"/>
    </i>
    <i>
      <x v="2"/>
    </i>
    <i>
      <x v="58"/>
    </i>
    <i>
      <x v="72"/>
    </i>
    <i>
      <x v="99"/>
    </i>
    <i>
      <x v="31"/>
    </i>
    <i>
      <x v="51"/>
    </i>
    <i>
      <x v="82"/>
    </i>
  </rowItems>
  <colFields count="1">
    <field x="0"/>
  </colFields>
  <colItems count="4">
    <i>
      <x/>
    </i>
    <i>
      <x v="1"/>
    </i>
    <i>
      <x v="2"/>
    </i>
    <i t="grand">
      <x/>
    </i>
  </colItems>
  <dataFields count="1">
    <dataField name="Count of Activity Category" fld="0" subtotal="count" baseField="0" baseItem="0"/>
  </dataFields>
  <formats count="3">
    <format dxfId="731">
      <pivotArea dataOnly="0" grandRow="1" outline="0" fieldPosition="0"/>
    </format>
    <format dxfId="730">
      <pivotArea grandCol="1" outline="0" fieldPosition="0"/>
    </format>
    <format dxfId="72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3817F76A-614E-4B36-93F1-897BDB08BBFC}" name="PivotTable14" cacheId="43" applyNumberFormats="0" applyBorderFormats="0" applyFontFormats="0" applyPatternFormats="0" applyAlignmentFormats="0" applyWidthHeightFormats="0" dataCaption="" missingCaption="0" updatedVersion="8" rowGrandTotals="0" compact="0" compactData="0">
  <location ref="G7:K183" firstHeaderRow="1" firstDataRow="2" firstDataCol="1" rowPageCount="2" colPageCount="1"/>
  <pivotFields count="26">
    <pivotField name="Activity Category" axis="axisCol" dataField="1" compact="0" outline="0" multipleItemSelectionAllowed="1" autoShow="1" rankBy="0">
      <items count="6">
        <item x="2"/>
        <item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axis="axisPage" compact="0" outline="0" multipleItemSelectionAllowed="1" showAll="0">
      <items count="9">
        <item h="1" x="4"/>
        <item h="1" x="3"/>
        <item h="1" x="6"/>
        <item h="1" x="1"/>
        <item h="1" x="2"/>
        <item x="5"/>
        <item h="1" x="0"/>
        <item h="1" x="7"/>
        <item t="default"/>
      </items>
    </pivotField>
    <pivotField name="US CCMD AOR" compact="0" outline="0" multipleItemSelectionAllowed="1" showAll="0" sortType="ascending"/>
    <pivotField name="Partner Country" axis="axisRow" compact="0" outline="0" multipleItemSelectionAllowed="1" sortType="descending" rankBy="0">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3"/>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x="171"/>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75">
    <i>
      <x v="56"/>
    </i>
    <i>
      <x v="162"/>
    </i>
    <i>
      <x v="62"/>
    </i>
    <i>
      <x v="60"/>
    </i>
    <i>
      <x v="27"/>
    </i>
    <i>
      <x v="68"/>
    </i>
    <i>
      <x v="133"/>
    </i>
    <i>
      <x v="101"/>
    </i>
    <i>
      <x v="171"/>
    </i>
    <i>
      <x v="7"/>
    </i>
    <i>
      <x v="117"/>
    </i>
    <i>
      <x v="8"/>
    </i>
    <i>
      <x v="153"/>
    </i>
    <i>
      <x v="9"/>
    </i>
    <i>
      <x v="93"/>
    </i>
    <i>
      <x v="10"/>
    </i>
    <i>
      <x v="109"/>
    </i>
    <i>
      <x v="11"/>
    </i>
    <i>
      <x v="125"/>
    </i>
    <i>
      <x v="12"/>
    </i>
    <i>
      <x v="145"/>
    </i>
    <i>
      <x v="13"/>
    </i>
    <i>
      <x v="2"/>
    </i>
    <i>
      <x v="14"/>
    </i>
    <i>
      <x v="89"/>
    </i>
    <i>
      <x v="15"/>
    </i>
    <i>
      <x v="97"/>
    </i>
    <i>
      <x v="16"/>
    </i>
    <i>
      <x v="105"/>
    </i>
    <i>
      <x v="17"/>
    </i>
    <i>
      <x v="113"/>
    </i>
    <i>
      <x v="18"/>
    </i>
    <i>
      <x v="121"/>
    </i>
    <i>
      <x v="19"/>
    </i>
    <i>
      <x v="129"/>
    </i>
    <i>
      <x v="20"/>
    </i>
    <i>
      <x v="141"/>
    </i>
    <i>
      <x v="21"/>
    </i>
    <i>
      <x v="149"/>
    </i>
    <i>
      <x v="22"/>
    </i>
    <i>
      <x v="157"/>
    </i>
    <i>
      <x v="23"/>
    </i>
    <i>
      <x v="167"/>
    </i>
    <i>
      <x v="24"/>
    </i>
    <i>
      <x/>
    </i>
    <i>
      <x v="25"/>
    </i>
    <i>
      <x v="91"/>
    </i>
    <i>
      <x v="26"/>
    </i>
    <i>
      <x v="95"/>
    </i>
    <i>
      <x v="3"/>
    </i>
    <i>
      <x v="99"/>
    </i>
    <i>
      <x v="28"/>
    </i>
    <i>
      <x v="103"/>
    </i>
    <i>
      <x v="29"/>
    </i>
    <i>
      <x v="107"/>
    </i>
    <i>
      <x v="30"/>
    </i>
    <i>
      <x v="111"/>
    </i>
    <i>
      <x v="31"/>
    </i>
    <i>
      <x v="115"/>
    </i>
    <i>
      <x v="32"/>
    </i>
    <i>
      <x v="119"/>
    </i>
    <i>
      <x v="33"/>
    </i>
    <i>
      <x v="123"/>
    </i>
    <i>
      <x v="34"/>
    </i>
    <i>
      <x v="127"/>
    </i>
    <i>
      <x v="35"/>
    </i>
    <i>
      <x v="131"/>
    </i>
    <i>
      <x v="36"/>
    </i>
    <i>
      <x v="135"/>
    </i>
    <i>
      <x v="37"/>
    </i>
    <i>
      <x v="143"/>
    </i>
    <i>
      <x v="38"/>
    </i>
    <i>
      <x v="147"/>
    </i>
    <i>
      <x v="39"/>
    </i>
    <i>
      <x v="151"/>
    </i>
    <i>
      <x v="40"/>
    </i>
    <i>
      <x v="155"/>
    </i>
    <i>
      <x v="41"/>
    </i>
    <i>
      <x v="159"/>
    </i>
    <i>
      <x v="42"/>
    </i>
    <i>
      <x v="165"/>
    </i>
    <i>
      <x v="43"/>
    </i>
    <i>
      <x v="169"/>
    </i>
    <i>
      <x v="44"/>
    </i>
    <i>
      <x v="173"/>
    </i>
    <i>
      <x v="45"/>
    </i>
    <i>
      <x v="88"/>
    </i>
    <i>
      <x v="46"/>
    </i>
    <i>
      <x v="90"/>
    </i>
    <i>
      <x v="47"/>
    </i>
    <i>
      <x v="92"/>
    </i>
    <i>
      <x v="48"/>
    </i>
    <i>
      <x v="94"/>
    </i>
    <i>
      <x v="49"/>
    </i>
    <i>
      <x v="96"/>
    </i>
    <i>
      <x v="50"/>
    </i>
    <i>
      <x v="98"/>
    </i>
    <i>
      <x v="51"/>
    </i>
    <i>
      <x v="100"/>
    </i>
    <i>
      <x v="52"/>
    </i>
    <i>
      <x v="102"/>
    </i>
    <i>
      <x v="53"/>
    </i>
    <i>
      <x v="104"/>
    </i>
    <i>
      <x v="54"/>
    </i>
    <i>
      <x v="106"/>
    </i>
    <i>
      <x v="55"/>
    </i>
    <i>
      <x v="108"/>
    </i>
    <i>
      <x v="1"/>
    </i>
    <i>
      <x v="110"/>
    </i>
    <i>
      <x v="57"/>
    </i>
    <i>
      <x v="112"/>
    </i>
    <i>
      <x v="58"/>
    </i>
    <i>
      <x v="114"/>
    </i>
    <i>
      <x v="59"/>
    </i>
    <i>
      <x v="116"/>
    </i>
    <i>
      <x v="4"/>
    </i>
    <i>
      <x v="118"/>
    </i>
    <i>
      <x v="61"/>
    </i>
    <i>
      <x v="120"/>
    </i>
    <i>
      <x v="5"/>
    </i>
    <i>
      <x v="122"/>
    </i>
    <i>
      <x v="63"/>
    </i>
    <i>
      <x v="124"/>
    </i>
    <i>
      <x v="64"/>
    </i>
    <i>
      <x v="126"/>
    </i>
    <i>
      <x v="65"/>
    </i>
    <i>
      <x v="128"/>
    </i>
    <i>
      <x v="66"/>
    </i>
    <i>
      <x v="130"/>
    </i>
    <i>
      <x v="67"/>
    </i>
    <i>
      <x v="132"/>
    </i>
    <i>
      <x v="136"/>
    </i>
    <i>
      <x v="134"/>
    </i>
    <i>
      <x v="137"/>
    </i>
    <i>
      <x v="6"/>
    </i>
    <i>
      <x v="139"/>
    </i>
    <i>
      <x v="138"/>
    </i>
    <i>
      <x v="69"/>
    </i>
    <i>
      <x v="140"/>
    </i>
    <i>
      <x v="70"/>
    </i>
    <i>
      <x v="142"/>
    </i>
    <i>
      <x v="71"/>
    </i>
    <i>
      <x v="144"/>
    </i>
    <i>
      <x v="72"/>
    </i>
    <i>
      <x v="146"/>
    </i>
    <i>
      <x v="73"/>
    </i>
    <i>
      <x v="148"/>
    </i>
    <i>
      <x v="74"/>
    </i>
    <i>
      <x v="150"/>
    </i>
    <i>
      <x v="75"/>
    </i>
    <i>
      <x v="152"/>
    </i>
    <i>
      <x v="76"/>
    </i>
    <i>
      <x v="154"/>
    </i>
    <i>
      <x v="77"/>
    </i>
    <i>
      <x v="156"/>
    </i>
    <i>
      <x v="78"/>
    </i>
    <i>
      <x v="158"/>
    </i>
    <i>
      <x v="79"/>
    </i>
    <i>
      <x v="160"/>
    </i>
    <i>
      <x v="161"/>
    </i>
    <i>
      <x v="163"/>
    </i>
    <i>
      <x v="80"/>
    </i>
    <i>
      <x v="164"/>
    </i>
    <i>
      <x v="81"/>
    </i>
    <i>
      <x v="166"/>
    </i>
    <i>
      <x v="82"/>
    </i>
    <i>
      <x v="168"/>
    </i>
    <i>
      <x v="83"/>
    </i>
    <i>
      <x v="170"/>
    </i>
    <i>
      <x v="84"/>
    </i>
    <i>
      <x v="172"/>
    </i>
    <i>
      <x v="85"/>
    </i>
    <i>
      <x v="174"/>
    </i>
    <i>
      <x v="86"/>
    </i>
    <i>
      <x v="87"/>
    </i>
  </rowItems>
  <colFields count="1">
    <field x="0"/>
  </colFields>
  <colItems count="4">
    <i>
      <x/>
    </i>
    <i>
      <x v="1"/>
    </i>
    <i>
      <x v="2"/>
    </i>
    <i t="grand">
      <x/>
    </i>
  </colItems>
  <pageFields count="2">
    <pageField fld="7" hier="-1"/>
    <pageField fld="4" hier="-1"/>
  </pageFields>
  <dataFields count="1">
    <dataField name="Count of Activity Category" fld="0" subtotal="count" baseField="0" baseItem="0"/>
  </dataFields>
  <formats count="3">
    <format dxfId="718">
      <pivotArea dataOnly="0" grandRow="1" outline="0" fieldPosition="0"/>
    </format>
    <format dxfId="717">
      <pivotArea grandCol="1" outline="0" fieldPosition="0"/>
    </format>
    <format dxfId="716">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43260CC1-117B-45CA-A7A3-CC3A193108E8}" name="PivotTable16" cacheId="43" applyNumberFormats="0" applyBorderFormats="0" applyFontFormats="0" applyPatternFormats="0" applyAlignmentFormats="0" applyWidthHeightFormats="0" dataCaption="" missingCaption="0" updatedVersion="8" compact="0" compactData="0">
  <location ref="M7:Q41"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axis="axisPage" compact="0" outline="0" multipleItemSelectionAllowed="1" showAll="0">
      <items count="9">
        <item h="1" x="4"/>
        <item h="1" x="3"/>
        <item h="1" x="6"/>
        <item h="1" x="1"/>
        <item x="2"/>
        <item x="5"/>
        <item h="1" x="0"/>
        <item h="1" x="7"/>
        <item t="default"/>
      </items>
    </pivotField>
    <pivotField name="US CCMD AOR" compact="0" outline="0" multipleItemSelectionAllowed="1" showAll="0" sortType="ascending"/>
    <pivotField name="Partner Country" axis="axisRow" compact="0" outline="0" multipleItemSelectionAllowed="1" showAll="0" sortType="descending" rankBy="0">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3"/>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x="171"/>
        <item t="default"/>
      </items>
      <autoSortScope>
        <pivotArea dataOnly="0" outline="0" fieldPosition="0">
          <references count="1">
            <reference field="4294967294" count="1" selected="0">
              <x v="0"/>
            </reference>
          </references>
        </pivotArea>
      </autoSortScope>
    </pivotField>
    <pivotField name="Year" compact="0" outline="0" multipleItemSelectionAllowed="1" showAll="0" sortType="ascending"/>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33">
    <i>
      <x v="164"/>
    </i>
    <i>
      <x v="56"/>
    </i>
    <i>
      <x v="75"/>
    </i>
    <i>
      <x v="162"/>
    </i>
    <i>
      <x v="60"/>
    </i>
    <i>
      <x v="127"/>
    </i>
    <i>
      <x v="62"/>
    </i>
    <i>
      <x v="157"/>
    </i>
    <i>
      <x v="68"/>
    </i>
    <i>
      <x v="124"/>
    </i>
    <i>
      <x v="142"/>
    </i>
    <i>
      <x v="27"/>
    </i>
    <i>
      <x v="23"/>
    </i>
    <i>
      <x v="37"/>
    </i>
    <i>
      <x v="125"/>
    </i>
    <i>
      <x v="15"/>
    </i>
    <i>
      <x v="137"/>
    </i>
    <i>
      <x v="41"/>
    </i>
    <i>
      <x v="117"/>
    </i>
    <i>
      <x v="10"/>
    </i>
    <i>
      <x v="40"/>
    </i>
    <i>
      <x v="16"/>
    </i>
    <i>
      <x v="112"/>
    </i>
    <i>
      <x v="109"/>
    </i>
    <i>
      <x v="86"/>
    </i>
    <i>
      <x v="90"/>
    </i>
    <i>
      <x v="128"/>
    </i>
    <i>
      <x v="1"/>
    </i>
    <i>
      <x v="163"/>
    </i>
    <i>
      <x v="2"/>
    </i>
    <i>
      <x v="138"/>
    </i>
    <i>
      <x v="51"/>
    </i>
    <i t="grand">
      <x/>
    </i>
  </rowItems>
  <colFields count="1">
    <field x="0"/>
  </colFields>
  <colItems count="4">
    <i>
      <x/>
    </i>
    <i>
      <x v="1"/>
    </i>
    <i>
      <x v="2"/>
    </i>
    <i t="grand">
      <x/>
    </i>
  </colItems>
  <pageFields count="1">
    <pageField fld="4" hier="-1"/>
  </pageFields>
  <dataFields count="1">
    <dataField name="Count of Activity Category" fld="0" subtotal="count" baseField="0" baseItem="0"/>
  </dataFields>
  <formats count="4">
    <format dxfId="722">
      <pivotArea dataOnly="0" grandRow="1" outline="0" fieldPosition="0"/>
    </format>
    <format dxfId="721">
      <pivotArea grandCol="1" outline="0" fieldPosition="0"/>
    </format>
    <format dxfId="720">
      <pivotArea dataOnly="0" labelOnly="1" grandCol="1" outline="0" fieldPosition="0"/>
    </format>
    <format dxfId="719">
      <pivotArea dataOnly="0" outline="0" fieldPosition="0">
        <references count="1">
          <reference field="6"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B9F77CF3-80D9-4333-8CC8-04360CDF6916}" name="PivotTable13" cacheId="43" applyNumberFormats="0" applyBorderFormats="0" applyFontFormats="0" applyPatternFormats="0" applyAlignmentFormats="0" applyWidthHeightFormats="0" dataCaption="" missingCaption="0" updatedVersion="8" compact="0" compactData="0">
  <location ref="A7:E37"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axis="axisPage" compact="0" outline="0" multipleItemSelectionAllowed="1" showAll="0">
      <items count="9">
        <item h="1" x="4"/>
        <item h="1" x="3"/>
        <item h="1" x="6"/>
        <item h="1" x="1"/>
        <item h="1" x="2"/>
        <item x="5"/>
        <item h="1" x="0"/>
        <item h="1" x="7"/>
        <item t="default"/>
      </items>
    </pivotField>
    <pivotField name="US CCMD AOR" compact="0" outline="0" multipleItemSelectionAllowed="1" showAll="0" sortType="ascending"/>
    <pivotField name="Partner Country" axis="axisRow" compact="0" outline="0" multipleItemSelectionAllowed="1" showAll="0" sortType="descending" rankBy="0">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3"/>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x="171"/>
        <item t="default"/>
      </items>
      <autoSortScope>
        <pivotArea dataOnly="0" outline="0" fieldPosition="0">
          <references count="1">
            <reference field="4294967294" count="1" selected="0">
              <x v="0"/>
            </reference>
          </references>
        </pivotArea>
      </autoSortScope>
    </pivotField>
    <pivotField name="Year" compact="0" outline="0" multipleItemSelectionAllowed="1" showAll="0" sortType="ascending"/>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29">
    <i>
      <x v="56"/>
    </i>
    <i>
      <x v="75"/>
    </i>
    <i>
      <x v="162"/>
    </i>
    <i>
      <x v="60"/>
    </i>
    <i>
      <x v="127"/>
    </i>
    <i>
      <x v="62"/>
    </i>
    <i>
      <x v="157"/>
    </i>
    <i>
      <x v="68"/>
    </i>
    <i>
      <x v="124"/>
    </i>
    <i>
      <x v="142"/>
    </i>
    <i>
      <x v="27"/>
    </i>
    <i>
      <x v="23"/>
    </i>
    <i>
      <x v="37"/>
    </i>
    <i>
      <x v="125"/>
    </i>
    <i>
      <x v="15"/>
    </i>
    <i>
      <x v="137"/>
    </i>
    <i>
      <x v="41"/>
    </i>
    <i>
      <x v="117"/>
    </i>
    <i>
      <x v="10"/>
    </i>
    <i>
      <x v="40"/>
    </i>
    <i>
      <x v="16"/>
    </i>
    <i>
      <x v="112"/>
    </i>
    <i>
      <x v="86"/>
    </i>
    <i>
      <x v="109"/>
    </i>
    <i>
      <x v="90"/>
    </i>
    <i>
      <x v="51"/>
    </i>
    <i>
      <x v="138"/>
    </i>
    <i>
      <x v="2"/>
    </i>
    <i t="grand">
      <x/>
    </i>
  </rowItems>
  <colFields count="1">
    <field x="0"/>
  </colFields>
  <colItems count="4">
    <i>
      <x/>
    </i>
    <i>
      <x v="1"/>
    </i>
    <i>
      <x v="2"/>
    </i>
    <i t="grand">
      <x/>
    </i>
  </colItems>
  <pageFields count="1">
    <pageField fld="4" hier="-1"/>
  </pageFields>
  <dataFields count="1">
    <dataField name="Count of Activity Category" fld="0" subtotal="count" baseField="0" baseItem="0"/>
  </dataFields>
  <formats count="3">
    <format dxfId="725">
      <pivotArea dataOnly="0" grandRow="1" outline="0" fieldPosition="0"/>
    </format>
    <format dxfId="724">
      <pivotArea grandCol="1" outline="0" fieldPosition="0"/>
    </format>
    <format dxfId="723">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D2AD5183-BA3A-40FA-87B1-DCA58F4791EB}" name="PivotTable19" cacheId="43" applyNumberFormats="0" applyBorderFormats="0" applyFontFormats="0" applyPatternFormats="0" applyAlignmentFormats="0" applyWidthHeightFormats="0" dataCaption="" missingCaption="0" updatedVersion="8" compact="0" compactData="0">
  <location ref="G5:K19"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axis="axisRow" compact="0" outline="0" multipleItemSelectionAllowed="1">
      <items count="14">
        <item x="7"/>
        <item x="6"/>
        <item x="8"/>
        <item x="9"/>
        <item x="11"/>
        <item x="2"/>
        <item x="4"/>
        <item x="5"/>
        <item x="3"/>
        <item x="10"/>
        <item x="0"/>
        <item x="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sortType="descending" rankBy="0">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712">
      <pivotArea dataOnly="0" grandRow="1" outline="0" fieldPosition="0"/>
    </format>
    <format dxfId="711">
      <pivotArea grandCol="1" outline="0" fieldPosition="0"/>
    </format>
    <format dxfId="71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1AB0CFA9-27B9-4D8B-B0D4-2F81ED71901D}" name="PivotTable18" cacheId="43" applyNumberFormats="0" applyBorderFormats="0" applyFontFormats="0" applyPatternFormats="0" applyAlignmentFormats="0" applyWidthHeightFormats="0" dataCaption="" missingCaption="0" updatedVersion="8" compact="0" compactData="0">
  <location ref="A5:E19" firstHeaderRow="1" firstDataRow="2" firstDataCol="1"/>
  <pivotFields count="26">
    <pivotField name="Activity Category" axis="axisCol" dataField="1" compact="0" outline="0" multipleItemSelectionAllowed="1" showAll="0" autoShow="1" rankBy="0">
      <items count="6">
        <item x="2"/>
        <item x="0"/>
        <item x="1"/>
        <item h="1" x="3"/>
        <item h="1" m="1" x="4"/>
        <item t="default"/>
      </items>
    </pivotField>
    <pivotField name="Geographic Region" axis="axisRow" compact="0" outline="0" multipleItemSelectionAllowed="1" showAll="0">
      <items count="14">
        <item x="7"/>
        <item x="6"/>
        <item x="8"/>
        <item x="9"/>
        <item x="11"/>
        <item x="2"/>
        <item x="4"/>
        <item x="5"/>
        <item x="3"/>
        <item x="10"/>
        <item x="0"/>
        <item x="1"/>
        <item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sortType="descending" rankBy="0">
      <autoSortScope>
        <pivotArea dataOnly="0" outline="0" fieldPosition="0">
          <references count="1">
            <reference field="4294967294" count="1" selected="0">
              <x v="0"/>
            </reference>
          </references>
        </pivotArea>
      </autoSortScope>
    </pivotField>
    <pivotField name="Year" compact="0" outline="0" multipleItemSelectionAllowed="1" showAll="0" sortType="ascending"/>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Fields count="1">
    <field x="0"/>
  </colFields>
  <colItems count="4">
    <i>
      <x/>
    </i>
    <i>
      <x v="1"/>
    </i>
    <i>
      <x v="2"/>
    </i>
    <i t="grand">
      <x/>
    </i>
  </colItems>
  <dataFields count="1">
    <dataField name="Count of Activity Category" fld="0" subtotal="count" baseField="0" baseItem="0"/>
  </dataFields>
  <formats count="3">
    <format dxfId="715">
      <pivotArea dataOnly="0" grandRow="1" outline="0" fieldPosition="0"/>
    </format>
    <format dxfId="714">
      <pivotArea grandCol="1" outline="0" fieldPosition="0"/>
    </format>
    <format dxfId="713">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3C89D31-0F1E-4A75-89E8-E383715BE993}" name="AFRICOM Figure 5 3" cacheId="56" applyNumberFormats="0" applyBorderFormats="0" applyFontFormats="0" applyPatternFormats="0" applyAlignmentFormats="0" applyWidthHeightFormats="0" dataCaption="" missingCaption="0" updatedVersion="8" compact="0" compactData="0">
  <location ref="A60:Y68"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0" hier="0"/>
    <pageField fld="9" hier="0"/>
  </pageFields>
  <dataFields count="1">
    <dataField name="Count of Activity Category" fld="0" subtotal="count" baseField="0"/>
  </dataFields>
  <formats count="6">
    <format dxfId="876">
      <pivotArea grandRow="1" outline="0" fieldPosition="0"/>
    </format>
    <format dxfId="875">
      <pivotArea outline="0" fieldPosition="0"/>
    </format>
    <format dxfId="874">
      <pivotArea outline="0" fieldPosition="0">
        <references count="1">
          <reference field="5" count="1" selected="0">
            <x v="0"/>
          </reference>
        </references>
      </pivotArea>
    </format>
    <format dxfId="873">
      <pivotArea dataOnly="0" labelOnly="1" outline="0" fieldPosition="0">
        <references count="1">
          <reference field="5" count="1">
            <x v="0"/>
          </reference>
        </references>
      </pivotArea>
    </format>
    <format dxfId="872">
      <pivotArea dataOnly="0" grandRow="1" outline="0" fieldPosition="0"/>
    </format>
    <format dxfId="871">
      <pivotArea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B97B4D3B-C7FC-42BC-9D06-6EA7247634CF}" name="PivotTable18" cacheId="43" applyNumberFormats="0" applyBorderFormats="0" applyFontFormats="0" applyPatternFormats="0" applyAlignmentFormats="0" applyWidthHeightFormats="0" dataCaption="" missingCaption="0" updatedVersion="8" compact="0" compactData="0">
  <location ref="A5:E11" firstHeaderRow="1" firstDataRow="2" firstDataCol="1"/>
  <pivotFields count="26">
    <pivotField name="Activity Category" axis="axisCol" dataField="1" compact="0" outline="0" multipleItemSelectionAllowed="1" showAll="0" autoShow="1" rankBy="0">
      <items count="6">
        <item x="2"/>
        <item x="0"/>
        <item x="1"/>
        <item h="1" x="3"/>
        <item h="1" m="1" x="4"/>
        <item t="default"/>
      </items>
    </pivotField>
    <pivotField name="Geographic Region" axis="axisRow" compact="0" outline="0" multipleItemSelectionAllowed="1" showAll="0">
      <items count="14">
        <item h="1" x="7"/>
        <item x="6"/>
        <item h="1" x="8"/>
        <item h="1" x="9"/>
        <item h="1" x="11"/>
        <item h="1" x="2"/>
        <item x="4"/>
        <item h="1" x="5"/>
        <item h="1" x="3"/>
        <item h="1" x="10"/>
        <item x="0"/>
        <item x="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sortType="descending" rankBy="0">
      <autoSortScope>
        <pivotArea dataOnly="0" outline="0" fieldPosition="0">
          <references count="1">
            <reference field="4294967294" count="1" selected="0">
              <x v="0"/>
            </reference>
          </references>
        </pivotArea>
      </autoSortScope>
    </pivotField>
    <pivotField name="Year" compact="0" outline="0" multipleItemSelectionAllowed="1" showAll="0" sortType="ascending"/>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5">
    <i>
      <x v="1"/>
    </i>
    <i>
      <x v="6"/>
    </i>
    <i>
      <x v="10"/>
    </i>
    <i>
      <x v="11"/>
    </i>
    <i t="grand">
      <x/>
    </i>
  </rowItems>
  <colFields count="1">
    <field x="0"/>
  </colFields>
  <colItems count="4">
    <i>
      <x/>
    </i>
    <i>
      <x v="1"/>
    </i>
    <i>
      <x v="2"/>
    </i>
    <i t="grand">
      <x/>
    </i>
  </colItems>
  <dataFields count="1">
    <dataField name="Count of Activity Category" fld="0" subtotal="count" baseField="0" baseItem="0"/>
  </dataFields>
  <formats count="3">
    <format dxfId="706">
      <pivotArea dataOnly="0" grandRow="1" outline="0" fieldPosition="0"/>
    </format>
    <format dxfId="705">
      <pivotArea grandCol="1" outline="0" fieldPosition="0"/>
    </format>
    <format dxfId="70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F44F2C95-45DA-4B72-A1B3-BBA5A2862A5C}" name="PivotTable19" cacheId="43" applyNumberFormats="0" applyBorderFormats="0" applyFontFormats="0" applyPatternFormats="0" applyAlignmentFormats="0" applyWidthHeightFormats="0" dataCaption="" missingCaption="0" updatedVersion="8" compact="0" compactData="0">
  <location ref="G5:K11"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axis="axisRow" compact="0" outline="0" multipleItemSelectionAllowed="1">
      <items count="14">
        <item h="1" x="7"/>
        <item x="6"/>
        <item h="1" x="8"/>
        <item h="1" x="9"/>
        <item h="1" x="11"/>
        <item h="1" x="2"/>
        <item x="4"/>
        <item h="1" x="5"/>
        <item h="1" x="3"/>
        <item h="1" x="10"/>
        <item x="0"/>
        <item x="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sortType="descending" rankBy="0">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5">
    <i>
      <x v="1"/>
    </i>
    <i>
      <x v="6"/>
    </i>
    <i>
      <x v="10"/>
    </i>
    <i>
      <x v="11"/>
    </i>
    <i t="grand">
      <x/>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709">
      <pivotArea dataOnly="0" grandRow="1" outline="0" fieldPosition="0"/>
    </format>
    <format dxfId="708">
      <pivotArea grandCol="1" outline="0" fieldPosition="0"/>
    </format>
    <format dxfId="707">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2D1A35ED-ABC2-424A-9602-DF68DA3D9A06}" name="PivotTable20" cacheId="43" applyNumberFormats="0" applyBorderFormats="0" applyFontFormats="0" applyPatternFormats="0" applyAlignmentFormats="0" applyWidthHeightFormats="0" dataCaption="" missingCaption="0" updatedVersion="8" compact="0" compactData="0">
  <location ref="A7:B80" firstHeaderRow="1" firstDataRow="1" firstDataCol="1" rowPageCount="3" colPageCount="1"/>
  <pivotFields count="26">
    <pivotField name="Activity Category" axis="axisPage" dataField="1" compact="0" outline="0" multipleItemSelectionAllowed="1" showAll="0" autoShow="1" rankBy="0">
      <items count="6">
        <item h="1" x="2"/>
        <item x="0"/>
        <item h="1"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3"/>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x="171"/>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axis="axisPage" compact="0" outline="0" multipleItemSelectionAllowed="1" showAll="0">
      <items count="139">
        <item x="118"/>
        <item x="43"/>
        <item x="42"/>
        <item x="44"/>
        <item x="45"/>
        <item x="46"/>
        <item x="47"/>
        <item x="48"/>
        <item x="49"/>
        <item x="53"/>
        <item x="51"/>
        <item x="57"/>
        <item x="59"/>
        <item x="61"/>
        <item x="63"/>
        <item x="65"/>
        <item x="66"/>
        <item x="70"/>
        <item x="69"/>
        <item x="73"/>
        <item x="77"/>
        <item x="78"/>
        <item x="79"/>
        <item x="86"/>
        <item x="87"/>
        <item x="91"/>
        <item x="102"/>
        <item x="104"/>
        <item x="103"/>
        <item h="1" x="109"/>
        <item x="114"/>
        <item x="115"/>
        <item x="117"/>
        <item x="121"/>
        <item x="122"/>
        <item x="125"/>
        <item x="126"/>
        <item x="128"/>
        <item h="1" x="27"/>
        <item h="1" x="12"/>
        <item h="1" x="130"/>
        <item h="1" x="129"/>
        <item h="1" x="132"/>
        <item h="1" x="133"/>
        <item h="1" x="134"/>
        <item h="1" x="135"/>
        <item h="1" x="136"/>
        <item h="1" x="137"/>
        <item x="29"/>
        <item x="30"/>
        <item x="31"/>
        <item x="33"/>
        <item x="34"/>
        <item x="35"/>
        <item x="38"/>
        <item x="39"/>
        <item x="40"/>
        <item h="1" x="0"/>
        <item h="1" x="1"/>
        <item h="1" x="2"/>
        <item h="1" x="3"/>
        <item h="1" x="4"/>
        <item h="1" x="5"/>
        <item h="1" x="6"/>
        <item h="1" x="7"/>
        <item h="1" x="8"/>
        <item h="1" x="9"/>
        <item h="1" x="10"/>
        <item h="1" x="11"/>
        <item h="1" x="13"/>
        <item h="1" x="14"/>
        <item h="1" x="15"/>
        <item h="1" x="16"/>
        <item h="1" x="17"/>
        <item h="1" x="18"/>
        <item h="1" x="19"/>
        <item h="1" x="20"/>
        <item h="1" x="21"/>
        <item h="1" x="22"/>
        <item h="1" x="23"/>
        <item h="1" x="24"/>
        <item h="1" x="25"/>
        <item h="1" x="26"/>
        <item h="1" x="28"/>
        <item h="1" x="32"/>
        <item h="1" x="36"/>
        <item h="1" x="37"/>
        <item h="1" x="41"/>
        <item h="1" x="50"/>
        <item h="1" x="52"/>
        <item h="1" x="54"/>
        <item h="1" x="55"/>
        <item h="1" x="56"/>
        <item h="1" x="58"/>
        <item h="1" x="60"/>
        <item h="1" x="62"/>
        <item h="1" x="64"/>
        <item h="1" x="67"/>
        <item h="1" x="68"/>
        <item h="1" x="71"/>
        <item h="1" x="72"/>
        <item h="1" x="74"/>
        <item h="1" x="75"/>
        <item h="1" x="76"/>
        <item h="1" x="80"/>
        <item h="1" x="81"/>
        <item h="1" x="82"/>
        <item h="1" x="83"/>
        <item h="1" x="84"/>
        <item h="1" x="85"/>
        <item h="1" x="88"/>
        <item h="1" x="93"/>
        <item h="1" x="94"/>
        <item h="1" x="98"/>
        <item h="1" x="101"/>
        <item h="1" x="105"/>
        <item h="1" x="107"/>
        <item h="1" x="110"/>
        <item h="1" x="111"/>
        <item h="1" x="112"/>
        <item h="1" x="113"/>
        <item h="1" x="116"/>
        <item h="1" x="119"/>
        <item h="1" x="120"/>
        <item h="1" x="123"/>
        <item h="1" x="124"/>
        <item h="1" x="127"/>
        <item h="1" x="131"/>
        <item h="1" x="89"/>
        <item h="1" x="90"/>
        <item h="1" x="92"/>
        <item h="1" x="95"/>
        <item h="1" x="96"/>
        <item h="1" x="97"/>
        <item h="1" x="99"/>
        <item h="1" x="100"/>
        <item h="1" x="106"/>
        <item h="1" x="108"/>
        <item t="default"/>
      </items>
    </pivotField>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73">
    <i>
      <x v="118"/>
    </i>
    <i>
      <x v="42"/>
    </i>
    <i>
      <x v="171"/>
    </i>
    <i>
      <x v="130"/>
    </i>
    <i>
      <x v="136"/>
    </i>
    <i>
      <x v="140"/>
    </i>
    <i>
      <x v="119"/>
    </i>
    <i>
      <x v="143"/>
    </i>
    <i>
      <x v="161"/>
    </i>
    <i>
      <x v="94"/>
    </i>
    <i>
      <x v="9"/>
    </i>
    <i>
      <x v="151"/>
    </i>
    <i>
      <x v="56"/>
    </i>
    <i>
      <x v="62"/>
    </i>
    <i>
      <x v="48"/>
    </i>
    <i>
      <x v="71"/>
    </i>
    <i>
      <x v="75"/>
    </i>
    <i>
      <x v="134"/>
    </i>
    <i>
      <x v="105"/>
    </i>
    <i>
      <x v="126"/>
    </i>
    <i>
      <x v="76"/>
    </i>
    <i>
      <x v="60"/>
    </i>
    <i>
      <x v="83"/>
    </i>
    <i>
      <x v="125"/>
    </i>
    <i>
      <x v="3"/>
    </i>
    <i>
      <x v="104"/>
    </i>
    <i>
      <x v="162"/>
    </i>
    <i>
      <x v="150"/>
    </i>
    <i>
      <x v="59"/>
    </i>
    <i>
      <x v="81"/>
    </i>
    <i>
      <x v="156"/>
    </i>
    <i>
      <x v="92"/>
    </i>
    <i>
      <x v="128"/>
    </i>
    <i>
      <x v="41"/>
    </i>
    <i>
      <x v="61"/>
    </i>
    <i>
      <x v="106"/>
    </i>
    <i>
      <x v="25"/>
    </i>
    <i>
      <x v="115"/>
    </i>
    <i>
      <x v="157"/>
    </i>
    <i>
      <x v="124"/>
    </i>
    <i>
      <x v="169"/>
    </i>
    <i>
      <x v="13"/>
    </i>
    <i>
      <x v="26"/>
    </i>
    <i>
      <x v="70"/>
    </i>
    <i>
      <x v="73"/>
    </i>
    <i>
      <x v="108"/>
    </i>
    <i>
      <x v="123"/>
    </i>
    <i>
      <x v="46"/>
    </i>
    <i>
      <x v="38"/>
    </i>
    <i>
      <x v="146"/>
    </i>
    <i>
      <x v="55"/>
    </i>
    <i>
      <x v="113"/>
    </i>
    <i>
      <x v="97"/>
    </i>
    <i>
      <x v="164"/>
    </i>
    <i>
      <x v="74"/>
    </i>
    <i>
      <x v="142"/>
    </i>
    <i>
      <x v="100"/>
    </i>
    <i>
      <x v="144"/>
    </i>
    <i>
      <x v="35"/>
    </i>
    <i>
      <x v="37"/>
    </i>
    <i>
      <x v="132"/>
    </i>
    <i>
      <x v="112"/>
    </i>
    <i>
      <x v="16"/>
    </i>
    <i>
      <x v="160"/>
    </i>
    <i>
      <x v="4"/>
    </i>
    <i>
      <x v="79"/>
    </i>
    <i>
      <x v="139"/>
    </i>
    <i>
      <x v="167"/>
    </i>
    <i>
      <x v="23"/>
    </i>
    <i>
      <x v="12"/>
    </i>
    <i>
      <x v="141"/>
    </i>
    <i>
      <x v="127"/>
    </i>
    <i t="grand">
      <x/>
    </i>
  </rowItems>
  <colItems count="1">
    <i/>
  </colItems>
  <pageFields count="3">
    <pageField fld="0" hier="-1"/>
    <pageField fld="7" hier="-1"/>
    <pageField fld="21" hier="-1"/>
  </pageFields>
  <dataFields count="1">
    <dataField name="Count of Activity Category" fld="0" subtotal="count" baseField="0" baseItem="0"/>
  </dataFields>
  <formats count="3">
    <format dxfId="697">
      <pivotArea dataOnly="0" grandRow="1" outline="0" fieldPosition="0"/>
    </format>
    <format dxfId="696">
      <pivotArea grandCol="1" outline="0" fieldPosition="0"/>
    </format>
    <format dxfId="69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2D285C0F-D5A7-45F4-9192-7273A5D59C39}" name="PivotTable22" cacheId="43" applyNumberFormats="0" applyBorderFormats="0" applyFontFormats="0" applyPatternFormats="0" applyAlignmentFormats="0" applyWidthHeightFormats="0" dataCaption="" missingCaption="0" updatedVersion="8" compact="0" compactData="0">
  <location ref="K7:L112" firstHeaderRow="1" firstDataRow="1" firstDataCol="1" rowPageCount="3" colPageCount="1"/>
  <pivotFields count="26">
    <pivotField name="Activity Category" axis="axisPage" dataField="1" compact="0" outline="0" multipleItemSelectionAllowed="1" showAll="0" autoShow="1" rankBy="0">
      <items count="6">
        <item h="1" x="2"/>
        <item x="0"/>
        <item h="1"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3"/>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x="171"/>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axis="axisPage" compact="0" outline="0" multipleItemSelectionAllowed="1" showAll="0">
      <items count="139">
        <item x="118"/>
        <item x="43"/>
        <item x="42"/>
        <item x="44"/>
        <item x="45"/>
        <item x="46"/>
        <item x="47"/>
        <item x="48"/>
        <item x="49"/>
        <item x="53"/>
        <item x="51"/>
        <item x="57"/>
        <item x="59"/>
        <item x="61"/>
        <item x="63"/>
        <item x="65"/>
        <item x="66"/>
        <item x="70"/>
        <item x="69"/>
        <item x="73"/>
        <item x="77"/>
        <item x="78"/>
        <item x="79"/>
        <item x="86"/>
        <item x="87"/>
        <item x="91"/>
        <item x="102"/>
        <item x="104"/>
        <item x="103"/>
        <item x="109"/>
        <item x="114"/>
        <item x="115"/>
        <item x="117"/>
        <item x="121"/>
        <item x="122"/>
        <item x="125"/>
        <item x="126"/>
        <item x="128"/>
        <item x="27"/>
        <item x="12"/>
        <item x="130"/>
        <item x="129"/>
        <item x="132"/>
        <item x="133"/>
        <item x="134"/>
        <item x="135"/>
        <item x="136"/>
        <item x="137"/>
        <item x="29"/>
        <item x="30"/>
        <item x="31"/>
        <item x="33"/>
        <item x="34"/>
        <item x="35"/>
        <item x="38"/>
        <item x="39"/>
        <item x="40"/>
        <item x="0"/>
        <item x="1"/>
        <item x="2"/>
        <item x="3"/>
        <item x="4"/>
        <item x="5"/>
        <item x="6"/>
        <item x="7"/>
        <item x="8"/>
        <item x="9"/>
        <item x="10"/>
        <item x="11"/>
        <item x="13"/>
        <item x="14"/>
        <item x="15"/>
        <item x="16"/>
        <item x="17"/>
        <item x="18"/>
        <item x="19"/>
        <item x="20"/>
        <item x="21"/>
        <item x="22"/>
        <item x="23"/>
        <item x="24"/>
        <item x="25"/>
        <item x="26"/>
        <item x="28"/>
        <item x="32"/>
        <item x="36"/>
        <item x="37"/>
        <item x="41"/>
        <item x="50"/>
        <item x="52"/>
        <item x="54"/>
        <item x="55"/>
        <item x="56"/>
        <item x="58"/>
        <item x="60"/>
        <item x="62"/>
        <item x="64"/>
        <item x="67"/>
        <item x="68"/>
        <item x="71"/>
        <item x="72"/>
        <item x="74"/>
        <item x="75"/>
        <item x="76"/>
        <item x="80"/>
        <item x="81"/>
        <item x="82"/>
        <item x="83"/>
        <item x="84"/>
        <item x="85"/>
        <item x="88"/>
        <item x="93"/>
        <item x="94"/>
        <item x="98"/>
        <item x="101"/>
        <item x="105"/>
        <item x="107"/>
        <item x="110"/>
        <item x="111"/>
        <item x="112"/>
        <item x="113"/>
        <item x="116"/>
        <item x="119"/>
        <item x="120"/>
        <item x="123"/>
        <item x="124"/>
        <item x="127"/>
        <item x="131"/>
        <item x="89"/>
        <item x="90"/>
        <item x="92"/>
        <item x="95"/>
        <item x="96"/>
        <item x="97"/>
        <item x="99"/>
        <item x="100"/>
        <item x="106"/>
        <item x="108"/>
        <item t="default"/>
      </items>
    </pivotField>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05">
    <i>
      <x v="118"/>
    </i>
    <i>
      <x v="42"/>
    </i>
    <i>
      <x v="143"/>
    </i>
    <i>
      <x v="151"/>
    </i>
    <i>
      <x v="119"/>
    </i>
    <i>
      <x v="136"/>
    </i>
    <i>
      <x v="9"/>
    </i>
    <i>
      <x v="140"/>
    </i>
    <i>
      <x v="71"/>
    </i>
    <i>
      <x v="13"/>
    </i>
    <i>
      <x v="171"/>
    </i>
    <i>
      <x v="94"/>
    </i>
    <i>
      <x v="164"/>
    </i>
    <i>
      <x v="113"/>
    </i>
    <i>
      <x v="169"/>
    </i>
    <i>
      <x v="130"/>
    </i>
    <i>
      <x v="56"/>
    </i>
    <i>
      <x v="123"/>
    </i>
    <i>
      <x v="128"/>
    </i>
    <i>
      <x v="150"/>
    </i>
    <i>
      <x v="75"/>
    </i>
    <i>
      <x v="25"/>
    </i>
    <i>
      <x v="106"/>
    </i>
    <i>
      <x v="22"/>
    </i>
    <i>
      <x v="62"/>
    </i>
    <i>
      <x v="161"/>
    </i>
    <i>
      <x v="70"/>
    </i>
    <i>
      <x v="125"/>
    </i>
    <i>
      <x v="48"/>
    </i>
    <i>
      <x v="54"/>
    </i>
    <i>
      <x v="134"/>
    </i>
    <i>
      <x v="105"/>
    </i>
    <i>
      <x v="162"/>
    </i>
    <i>
      <x v="60"/>
    </i>
    <i>
      <x v="59"/>
    </i>
    <i>
      <x v="157"/>
    </i>
    <i>
      <x v="47"/>
    </i>
    <i>
      <x v="3"/>
    </i>
    <i>
      <x v="21"/>
    </i>
    <i>
      <x v="126"/>
    </i>
    <i>
      <x v="121"/>
    </i>
    <i>
      <x v="26"/>
    </i>
    <i>
      <x v="141"/>
    </i>
    <i>
      <x v="76"/>
    </i>
    <i>
      <x v="154"/>
    </i>
    <i>
      <x v="81"/>
    </i>
    <i>
      <x v="4"/>
    </i>
    <i>
      <x v="83"/>
    </i>
    <i>
      <x v="46"/>
    </i>
    <i>
      <x v="32"/>
    </i>
    <i>
      <x v="142"/>
    </i>
    <i>
      <x v="92"/>
    </i>
    <i>
      <x v="152"/>
    </i>
    <i>
      <x v="35"/>
    </i>
    <i>
      <x v="167"/>
    </i>
    <i>
      <x v="104"/>
    </i>
    <i>
      <x v="122"/>
    </i>
    <i>
      <x v="67"/>
    </i>
    <i>
      <x v="95"/>
    </i>
    <i>
      <x v="73"/>
    </i>
    <i>
      <x v="100"/>
    </i>
    <i>
      <x v="160"/>
    </i>
    <i>
      <x v="38"/>
    </i>
    <i>
      <x v="55"/>
    </i>
    <i>
      <x v="115"/>
    </i>
    <i>
      <x v="78"/>
    </i>
    <i>
      <x v="41"/>
    </i>
    <i>
      <x v="156"/>
    </i>
    <i>
      <x v="124"/>
    </i>
    <i>
      <x v="61"/>
    </i>
    <i>
      <x v="27"/>
    </i>
    <i>
      <x v="63"/>
    </i>
    <i>
      <x v="144"/>
    </i>
    <i>
      <x v="6"/>
    </i>
    <i>
      <x v="12"/>
    </i>
    <i>
      <x v="44"/>
    </i>
    <i>
      <x v="77"/>
    </i>
    <i>
      <x v="112"/>
    </i>
    <i>
      <x v="58"/>
    </i>
    <i>
      <x v="127"/>
    </i>
    <i>
      <x v="155"/>
    </i>
    <i>
      <x v="85"/>
    </i>
    <i>
      <x v="43"/>
    </i>
    <i>
      <x v="23"/>
    </i>
    <i>
      <x v="17"/>
    </i>
    <i>
      <x v="98"/>
    </i>
    <i>
      <x v="146"/>
    </i>
    <i>
      <x v="79"/>
    </i>
    <i>
      <x v="37"/>
    </i>
    <i>
      <x v="135"/>
    </i>
    <i>
      <x v="97"/>
    </i>
    <i>
      <x v="16"/>
    </i>
    <i>
      <x v="74"/>
    </i>
    <i>
      <x v="139"/>
    </i>
    <i>
      <x v="82"/>
    </i>
    <i>
      <x v="36"/>
    </i>
    <i>
      <x v="108"/>
    </i>
    <i>
      <x v="116"/>
    </i>
    <i>
      <x v="5"/>
    </i>
    <i>
      <x v="168"/>
    </i>
    <i>
      <x v="132"/>
    </i>
    <i>
      <x v="99"/>
    </i>
    <i>
      <x v="14"/>
    </i>
    <i>
      <x v="86"/>
    </i>
    <i t="grand">
      <x/>
    </i>
  </rowItems>
  <colItems count="1">
    <i/>
  </colItems>
  <pageFields count="3">
    <pageField fld="0" hier="-1"/>
    <pageField fld="7" hier="-1"/>
    <pageField fld="21" hier="-1"/>
  </pageFields>
  <dataFields count="1">
    <dataField name="Count of Activity Category" fld="0" subtotal="count" baseField="0" baseItem="0"/>
  </dataFields>
  <formats count="3">
    <format dxfId="700">
      <pivotArea dataOnly="0" grandRow="1" outline="0" fieldPosition="0"/>
    </format>
    <format dxfId="699">
      <pivotArea grandCol="1" outline="0" fieldPosition="0"/>
    </format>
    <format dxfId="698">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CBB630B7-33ED-4F26-9D46-85285696C2F1}" name="PivotTable21" cacheId="43" applyNumberFormats="0" applyBorderFormats="0" applyFontFormats="0" applyPatternFormats="0" applyAlignmentFormats="0" applyWidthHeightFormats="0" dataCaption="" missingCaption="0" updatedVersion="8" compact="0" compactData="0">
  <location ref="F7:G20" firstHeaderRow="1" firstDataRow="1" firstDataCol="1" rowPageCount="3" colPageCount="1"/>
  <pivotFields count="26">
    <pivotField name="Activity Category" axis="axisPage" dataField="1" compact="0" outline="0" multipleItemSelectionAllowed="1" showAll="0" autoShow="1" rankBy="0">
      <items count="6">
        <item h="1" x="2"/>
        <item x="0"/>
        <item h="1"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3"/>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x="171"/>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axis="axisPage" compact="0" outline="0" multipleItemSelectionAllowed="1" showAll="0">
      <items count="139">
        <item x="118"/>
        <item h="1" x="43"/>
        <item h="1" x="42"/>
        <item h="1" x="44"/>
        <item h="1" x="45"/>
        <item h="1" x="46"/>
        <item h="1" x="47"/>
        <item h="1" x="48"/>
        <item h="1" x="49"/>
        <item h="1" x="53"/>
        <item h="1" x="51"/>
        <item h="1" x="57"/>
        <item h="1" x="59"/>
        <item h="1" x="61"/>
        <item h="1" x="63"/>
        <item h="1" x="65"/>
        <item h="1" x="66"/>
        <item h="1" x="70"/>
        <item h="1" x="69"/>
        <item h="1" x="73"/>
        <item h="1" x="77"/>
        <item h="1" x="78"/>
        <item h="1" x="79"/>
        <item h="1" x="86"/>
        <item h="1" x="87"/>
        <item h="1" x="91"/>
        <item h="1" x="102"/>
        <item h="1" x="104"/>
        <item h="1" x="103"/>
        <item h="1" x="109"/>
        <item h="1" x="114"/>
        <item h="1" x="115"/>
        <item h="1" x="117"/>
        <item h="1" x="121"/>
        <item h="1" x="122"/>
        <item h="1" x="125"/>
        <item h="1" x="126"/>
        <item h="1" x="128"/>
        <item x="27"/>
        <item x="12"/>
        <item h="1" x="130"/>
        <item h="1" x="129"/>
        <item h="1" x="132"/>
        <item h="1" x="133"/>
        <item h="1" x="134"/>
        <item h="1" x="135"/>
        <item h="1" x="136"/>
        <item h="1" x="137"/>
        <item h="1" x="29"/>
        <item h="1" x="30"/>
        <item h="1" x="31"/>
        <item h="1" x="33"/>
        <item h="1" x="34"/>
        <item h="1" x="35"/>
        <item h="1" x="38"/>
        <item h="1" x="39"/>
        <item h="1" x="40"/>
        <item h="1" x="0"/>
        <item h="1" x="1"/>
        <item h="1" x="2"/>
        <item h="1" x="3"/>
        <item h="1" x="4"/>
        <item h="1" x="5"/>
        <item h="1" x="6"/>
        <item h="1" x="7"/>
        <item h="1" x="8"/>
        <item h="1" x="9"/>
        <item h="1" x="10"/>
        <item h="1" x="11"/>
        <item h="1" x="13"/>
        <item h="1" x="14"/>
        <item h="1" x="15"/>
        <item h="1" x="16"/>
        <item h="1" x="17"/>
        <item h="1" x="18"/>
        <item h="1" x="19"/>
        <item h="1" x="20"/>
        <item h="1" x="21"/>
        <item h="1" x="22"/>
        <item h="1" x="23"/>
        <item h="1" x="24"/>
        <item h="1" x="25"/>
        <item h="1" x="26"/>
        <item h="1" x="28"/>
        <item h="1" x="32"/>
        <item h="1" x="36"/>
        <item h="1" x="37"/>
        <item h="1" x="41"/>
        <item h="1" x="50"/>
        <item h="1" x="52"/>
        <item h="1" x="54"/>
        <item h="1" x="55"/>
        <item h="1" x="56"/>
        <item h="1" x="58"/>
        <item h="1" x="60"/>
        <item h="1" x="62"/>
        <item h="1" x="64"/>
        <item h="1" x="67"/>
        <item h="1" x="68"/>
        <item h="1" x="71"/>
        <item h="1" x="72"/>
        <item h="1" x="74"/>
        <item h="1" x="75"/>
        <item h="1" x="76"/>
        <item h="1" x="80"/>
        <item h="1" x="81"/>
        <item h="1" x="82"/>
        <item h="1" x="83"/>
        <item h="1" x="84"/>
        <item h="1" x="85"/>
        <item h="1" x="88"/>
        <item h="1" x="93"/>
        <item h="1" x="94"/>
        <item h="1" x="98"/>
        <item h="1" x="101"/>
        <item h="1" x="105"/>
        <item h="1" x="107"/>
        <item h="1" x="110"/>
        <item h="1" x="111"/>
        <item h="1" x="112"/>
        <item h="1" x="113"/>
        <item h="1" x="116"/>
        <item h="1" x="119"/>
        <item h="1" x="120"/>
        <item h="1" x="123"/>
        <item h="1" x="124"/>
        <item h="1" x="127"/>
        <item h="1" x="131"/>
        <item h="1" x="89"/>
        <item h="1" x="90"/>
        <item h="1" x="92"/>
        <item h="1" x="95"/>
        <item h="1" x="96"/>
        <item h="1" x="97"/>
        <item h="1" x="99"/>
        <item h="1" x="100"/>
        <item h="1" x="106"/>
        <item h="1" x="108"/>
        <item t="default"/>
      </items>
    </pivotField>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3">
    <i>
      <x v="56"/>
    </i>
    <i>
      <x v="169"/>
    </i>
    <i>
      <x v="47"/>
    </i>
    <i>
      <x v="142"/>
    </i>
    <i>
      <x v="122"/>
    </i>
    <i>
      <x v="128"/>
    </i>
    <i>
      <x v="136"/>
    </i>
    <i>
      <x v="58"/>
    </i>
    <i>
      <x v="162"/>
    </i>
    <i>
      <x v="78"/>
    </i>
    <i>
      <x v="32"/>
    </i>
    <i>
      <x v="119"/>
    </i>
    <i t="grand">
      <x/>
    </i>
  </rowItems>
  <colItems count="1">
    <i/>
  </colItems>
  <pageFields count="3">
    <pageField fld="0" hier="-1"/>
    <pageField fld="7" hier="-1"/>
    <pageField fld="21" hier="-1"/>
  </pageFields>
  <dataFields count="1">
    <dataField name="Count of Activity Category" fld="0" subtotal="count" baseField="0" baseItem="0"/>
  </dataFields>
  <formats count="3">
    <format dxfId="703">
      <pivotArea dataOnly="0" grandRow="1" outline="0" fieldPosition="0"/>
    </format>
    <format dxfId="702">
      <pivotArea grandCol="1" outline="0" fieldPosition="0"/>
    </format>
    <format dxfId="701">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04BDCB4D-E84C-42FA-BF28-922186D1AD6C}" name="Figures 21-38 Bilat Countries 6" cacheId="56" applyNumberFormats="0" applyBorderFormats="0" applyFontFormats="0" applyPatternFormats="0" applyAlignmentFormats="0" applyWidthHeightFormats="0" dataCaption="" missingCaption="0" updatedVersion="8" compact="0" compactData="0" chartFormat="1">
  <location ref="B161:F186"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14">
      <pivotArea grandRow="1" outline="0" fieldPosition="0"/>
    </format>
    <format dxfId="613">
      <pivotArea dataOnly="0" labelOnly="1" grandRow="1" outline="0" fieldPosition="0"/>
    </format>
    <format dxfId="612">
      <pivotArea grandCol="1" outline="0" fieldPosition="0"/>
    </format>
    <format dxfId="611">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18737A6F-6FDC-40D1-8D6E-1082F316A1A1}" name="Figures 21-38 Bilat Countries 3" cacheId="56" applyNumberFormats="0" applyBorderFormats="0" applyFontFormats="0" applyPatternFormats="0" applyAlignmentFormats="0" applyWidthHeightFormats="0" dataCaption="" missingCaption="0" updatedVersion="8" compact="0" compactData="0" chartFormat="1">
  <location ref="B70:F95"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18">
      <pivotArea grandRow="1" outline="0" fieldPosition="0"/>
    </format>
    <format dxfId="617">
      <pivotArea dataOnly="0" labelOnly="1" grandRow="1" outline="0" fieldPosition="0"/>
    </format>
    <format dxfId="616">
      <pivotArea grandCol="1" outline="0" fieldPosition="0"/>
    </format>
    <format dxfId="615">
      <pivotArea dataOnly="0" labelOnly="1" grandCol="1" outline="0" fieldPosition="0"/>
    </format>
  </format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74177025-930D-432F-87D9-4CC3C12B6135}" name="PivotTable5" cacheId="56" applyNumberFormats="0" applyBorderFormats="0" applyFontFormats="0" applyPatternFormats="0" applyAlignmentFormats="0" applyWidthHeightFormats="0" dataCaption="" missingCaption="0" updatedVersion="8" compact="0" compactData="0" chartFormat="9">
  <location ref="B715:F740"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22">
      <pivotArea grandRow="1" outline="0" fieldPosition="0"/>
    </format>
    <format dxfId="621">
      <pivotArea dataOnly="0" labelOnly="1" grandRow="1" outline="0" fieldPosition="0"/>
    </format>
    <format dxfId="620">
      <pivotArea grandCol="1" outline="0" fieldPosition="0"/>
    </format>
    <format dxfId="619">
      <pivotArea dataOnly="0" labelOnly="1" grandCol="1" outline="0" fieldPosition="0"/>
    </format>
  </formats>
  <chartFormats count="9">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6" format="0" series="1">
      <pivotArea type="data" outline="0" fieldPosition="0">
        <references count="2">
          <reference field="4294967294" count="1" selected="0">
            <x v="0"/>
          </reference>
          <reference field="0" count="1" selected="0">
            <x v="0"/>
          </reference>
        </references>
      </pivotArea>
    </chartFormat>
    <chartFormat chart="6" format="1" series="1">
      <pivotArea type="data" outline="0" fieldPosition="0">
        <references count="2">
          <reference field="4294967294" count="1" selected="0">
            <x v="0"/>
          </reference>
          <reference field="0" count="1" selected="0">
            <x v="1"/>
          </reference>
        </references>
      </pivotArea>
    </chartFormat>
    <chartFormat chart="6" format="2" series="1">
      <pivotArea type="data" outline="0" fieldPosition="0">
        <references count="2">
          <reference field="4294967294" count="1" selected="0">
            <x v="0"/>
          </reference>
          <reference field="0" count="1" selected="0">
            <x v="2"/>
          </reference>
        </references>
      </pivotArea>
    </chartFormat>
    <chartFormat chart="8" format="6" series="1">
      <pivotArea type="data" outline="0" fieldPosition="0">
        <references count="2">
          <reference field="4294967294" count="1" selected="0">
            <x v="0"/>
          </reference>
          <reference field="0" count="1" selected="0">
            <x v="0"/>
          </reference>
        </references>
      </pivotArea>
    </chartFormat>
    <chartFormat chart="8" format="7" series="1">
      <pivotArea type="data" outline="0" fieldPosition="0">
        <references count="2">
          <reference field="4294967294" count="1" selected="0">
            <x v="0"/>
          </reference>
          <reference field="0" count="1" selected="0">
            <x v="1"/>
          </reference>
        </references>
      </pivotArea>
    </chartFormat>
    <chartFormat chart="8" format="8"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96713747-D12B-446A-869D-68DE4DDAB68D}" name="Figures 21-38 Bilat Countries 10" cacheId="56" applyNumberFormats="0" applyBorderFormats="0" applyFontFormats="0" applyPatternFormats="0" applyAlignmentFormats="0" applyWidthHeightFormats="0" dataCaption="" missingCaption="0" updatedVersion="8" compact="0" compactData="0" chartFormat="5">
  <location ref="B288:F313"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26">
      <pivotArea grandRow="1" outline="0" fieldPosition="0"/>
    </format>
    <format dxfId="625">
      <pivotArea dataOnly="0" labelOnly="1" grandRow="1" outline="0" fieldPosition="0"/>
    </format>
    <format dxfId="624">
      <pivotArea grandCol="1" outline="0" fieldPosition="0"/>
    </format>
    <format dxfId="623">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D8706AA9-18D5-4F21-89D9-0C2EF173F2FB}" name="Figures 21-38 Bilat Countries 18" cacheId="56" applyNumberFormats="0" applyBorderFormats="0" applyFontFormats="0" applyPatternFormats="0" applyAlignmentFormats="0" applyWidthHeightFormats="0" dataCaption="" missingCaption="0" updatedVersion="8" compact="0" compactData="0" chartFormat="9">
  <location ref="B589:F614"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3">
    <format dxfId="629">
      <pivotArea field="7" dataOnly="0" grandRow="1" outline="0" axis="axisRow" fieldPosition="0">
        <references count="1">
          <reference field="7" count="1">
            <x v="32"/>
          </reference>
        </references>
      </pivotArea>
    </format>
    <format dxfId="628">
      <pivotArea grandCol="1" outline="0" fieldPosition="0"/>
    </format>
    <format dxfId="627">
      <pivotArea dataOnly="0" labelOnly="1" grandCol="1" outline="0" fieldPosition="0"/>
    </format>
  </formats>
  <chartFormats count="7">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F00-00000D000000}" name="AFRICOM Figure 5" cacheId="14"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A376299E-815D-411D-ADDD-7D3C198BFE7C}" name="Figures 21-38 Bilat Countries 12" cacheId="56" applyNumberFormats="0" applyBorderFormats="0" applyFontFormats="0" applyPatternFormats="0" applyAlignmentFormats="0" applyWidthHeightFormats="0" dataCaption="" missingCaption="0" updatedVersion="8" compact="0" compactData="0" chartFormat="8">
  <location ref="B363:F388"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2">
    <format dxfId="631">
      <pivotArea grandRow="1" outline="0" fieldPosition="0"/>
    </format>
    <format dxfId="630">
      <pivotArea dataOnly="0" labelOnly="1" grandRow="1" outline="0" fieldPosition="0"/>
    </format>
  </formats>
  <chartFormats count="9">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 chart="5" format="9" series="1">
      <pivotArea type="data" outline="0" fieldPosition="0">
        <references count="2">
          <reference field="4294967294" count="1" selected="0">
            <x v="0"/>
          </reference>
          <reference field="0" count="1" selected="0">
            <x v="0"/>
          </reference>
        </references>
      </pivotArea>
    </chartFormat>
    <chartFormat chart="5" format="10" series="1">
      <pivotArea type="data" outline="0" fieldPosition="0">
        <references count="2">
          <reference field="4294967294" count="1" selected="0">
            <x v="0"/>
          </reference>
          <reference field="0" count="1" selected="0">
            <x v="1"/>
          </reference>
        </references>
      </pivotArea>
    </chartFormat>
    <chartFormat chart="5" format="11"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CEA605F7-E89E-4BB8-88FD-E1B74A486F82}" name="Figures 21-38 Bilat Countries 17" cacheId="56" applyNumberFormats="0" applyBorderFormats="0" applyFontFormats="0" applyPatternFormats="0" applyAlignmentFormats="0" applyWidthHeightFormats="0" dataCaption="" missingCaption="0" updatedVersion="8" compact="0" compactData="0" chartFormat="1">
  <location ref="B557:F582"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35">
      <pivotArea grandRow="1" outline="0" fieldPosition="0"/>
    </format>
    <format dxfId="634">
      <pivotArea dataOnly="0" labelOnly="1" grandRow="1" outline="0" fieldPosition="0"/>
    </format>
    <format dxfId="633">
      <pivotArea grandCol="1" outline="0" fieldPosition="0"/>
    </format>
    <format dxfId="632">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4335A3B4-EB1A-4E66-A5A9-79F6C38C1195}" name="Figures 21-38 Bilat Countries 15" cacheId="56" applyNumberFormats="0" applyBorderFormats="0" applyFontFormats="0" applyPatternFormats="0" applyAlignmentFormats="0" applyWidthHeightFormats="0" dataCaption="" missingCaption="0" updatedVersion="8" compact="0" compactData="0" chartFormat="1">
  <location ref="B497:F522"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39">
      <pivotArea grandRow="1" outline="0" fieldPosition="0"/>
    </format>
    <format dxfId="638">
      <pivotArea dataOnly="0" labelOnly="1" grandRow="1" outline="0" fieldPosition="0"/>
    </format>
    <format dxfId="637">
      <pivotArea grandCol="1" outline="0" fieldPosition="0"/>
    </format>
    <format dxfId="636">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87B3F464-F6FF-4DC9-BB2F-495BDF2EB8BD}" name="Figures 21-38 Bilat Countries 13" cacheId="56" applyNumberFormats="0" applyBorderFormats="0" applyFontFormats="0" applyPatternFormats="0" applyAlignmentFormats="0" applyWidthHeightFormats="0" dataCaption="" missingCaption="0" updatedVersion="8" compact="0" compactData="0" chartFormat="1">
  <location ref="B431:F456"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43">
      <pivotArea grandRow="1" outline="0" fieldPosition="0"/>
    </format>
    <format dxfId="642">
      <pivotArea dataOnly="0" labelOnly="1" grandRow="1" outline="0" fieldPosition="0"/>
    </format>
    <format dxfId="641">
      <pivotArea grandCol="1" outline="0" fieldPosition="0"/>
    </format>
    <format dxfId="640">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3ECAA7F1-7763-4C48-8CB2-B4E3518AD28D}" name="Figures 21-38 Bilat Countries 2" cacheId="56" applyNumberFormats="0" applyBorderFormats="0" applyFontFormats="0" applyPatternFormats="0" applyAlignmentFormats="0" applyWidthHeightFormats="0" dataCaption="" missingCaption="0" updatedVersion="8" compact="0" compactData="0" chartFormat="1">
  <location ref="B39:F64"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47">
      <pivotArea grandRow="1" outline="0" fieldPosition="0"/>
    </format>
    <format dxfId="646">
      <pivotArea dataOnly="0" labelOnly="1" grandRow="1" outline="0" fieldPosition="0"/>
    </format>
    <format dxfId="645">
      <pivotArea grandCol="1" outline="0" fieldPosition="0"/>
    </format>
    <format dxfId="644">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55E7C576-3F10-405E-AA1F-D2ED8A8467E8}" name="PivotTable2" cacheId="56" applyNumberFormats="0" applyBorderFormats="0" applyFontFormats="0" applyPatternFormats="0" applyAlignmentFormats="0" applyWidthHeightFormats="0" dataCaption="" missingCaption="0" updatedVersion="8" compact="0" compactData="0" chartFormat="6">
  <location ref="B651:F676"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showAll="0">
      <items count="1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2"/>
        <item x="153"/>
        <item x="154"/>
        <item x="155"/>
        <item x="156"/>
        <item x="151"/>
        <item x="157"/>
        <item x="158"/>
        <item x="159"/>
        <item x="160"/>
        <item x="161"/>
        <item x="162"/>
        <item x="163"/>
        <item x="164"/>
        <item x="165"/>
        <item x="166"/>
        <item x="167"/>
        <item x="168"/>
        <item m="1" x="172"/>
        <item x="169"/>
        <item x="170"/>
        <item m="1" x="174"/>
        <item x="171"/>
        <item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item="16" hier="0"/>
  </pageFields>
  <dataFields count="1">
    <dataField name="Count of Activity Category" fld="0" subtotal="count" baseField="0"/>
  </dataFields>
  <formats count="3">
    <format dxfId="650">
      <pivotArea grandRow="1" outline="0" fieldPosition="0"/>
    </format>
    <format dxfId="649">
      <pivotArea dataOnly="0" labelOnly="1" grandRow="1" outline="0" fieldPosition="0"/>
    </format>
    <format dxfId="648">
      <pivotArea field="6" dataOnly="0" grandCol="1" outline="0" axis="axisPage" fieldPosition="0">
        <references count="1">
          <reference field="6" count="1" selected="0">
            <x v="16"/>
          </reference>
        </references>
      </pivotArea>
    </format>
  </formats>
  <chartFormats count="7">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5" format="0" series="1">
      <pivotArea type="data" outline="0" fieldPosition="0">
        <references count="2">
          <reference field="4294967294" count="1" selected="0">
            <x v="0"/>
          </reference>
          <reference field="0" count="1" selected="0">
            <x v="0"/>
          </reference>
        </references>
      </pivotArea>
    </chartFormat>
    <chartFormat chart="5" format="1" series="1">
      <pivotArea type="data" outline="0" fieldPosition="0">
        <references count="2">
          <reference field="4294967294" count="1" selected="0">
            <x v="0"/>
          </reference>
          <reference field="0" count="1" selected="0">
            <x v="1"/>
          </reference>
        </references>
      </pivotArea>
    </chartFormat>
    <chartFormat chart="5" format="2" series="1">
      <pivotArea type="data" outline="0" fieldPosition="0">
        <references count="2">
          <reference field="4294967294" count="1" selected="0">
            <x v="0"/>
          </reference>
          <reference field="0" count="1" selected="0">
            <x v="2"/>
          </reference>
        </references>
      </pivotArea>
    </chartFormat>
    <chartFormat chart="5"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8CD507BF-A2E7-4F8D-ACA4-2B91757AD73A}" name="PivotTable4" cacheId="56" applyNumberFormats="0" applyBorderFormats="0" applyFontFormats="0" applyPatternFormats="0" applyAlignmentFormats="0" applyWidthHeightFormats="0" dataCaption="" missingCaption="0" showMissing="0" updatedVersion="8" showItems="0" showDrill="0" showHeaders="0" compact="0" compactData="0" gridDropZones="1" chartFormat="15">
  <location ref="B394:F419" firstHeaderRow="1" firstDataRow="2" firstDataCol="1" rowPageCount="1" colPageCount="1"/>
  <pivotFields count="26">
    <pivotField name="Activity Category" axis="axisCol" dataField="1" compact="0" outline="0" multipleItemSelectionAllowed="1" sortType="ascending">
      <items count="6">
        <item x="2"/>
        <item x="0"/>
        <item x="1"/>
        <item h="1" m="1" x="4"/>
        <item h="1"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m="1" x="174"/>
        <item h="1" x="171"/>
        <item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54">
      <pivotArea grandRow="1" outline="0" fieldPosition="0"/>
    </format>
    <format dxfId="653">
      <pivotArea dataOnly="0" labelOnly="1" grandRow="1" outline="0" fieldPosition="0"/>
    </format>
    <format dxfId="652">
      <pivotArea grandCol="1" outline="0" fieldPosition="0"/>
    </format>
    <format dxfId="651">
      <pivotArea dataOnly="0" labelOnly="1" grandCol="1" outline="0" fieldPosition="0"/>
    </format>
  </formats>
  <chartFormats count="9">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 chart="4" format="3" series="1">
      <pivotArea type="data" outline="0" fieldPosition="0">
        <references count="2">
          <reference field="4294967294" count="1" selected="0">
            <x v="0"/>
          </reference>
          <reference field="0" count="1" selected="0">
            <x v="0"/>
          </reference>
        </references>
      </pivotArea>
    </chartFormat>
    <chartFormat chart="4" format="4" series="1">
      <pivotArea type="data" outline="0" fieldPosition="0">
        <references count="2">
          <reference field="4294967294" count="1" selected="0">
            <x v="0"/>
          </reference>
          <reference field="0" count="1" selected="0">
            <x v="1"/>
          </reference>
        </references>
      </pivotArea>
    </chartFormat>
    <chartFormat chart="4" format="5"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49A8F98C-1ECD-49C1-A47E-1D7633D2D066}" name="Figures 21-38 Bilat Countries 5" cacheId="56" applyNumberFormats="0" applyBorderFormats="0" applyFontFormats="0" applyPatternFormats="0" applyAlignmentFormats="0" applyWidthHeightFormats="0" dataCaption="" missingCaption="0" updatedVersion="8" compact="0" compactData="0" chartFormat="5">
  <location ref="B131:F156"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3">
    <format dxfId="657">
      <pivotArea field="7" dataOnly="0" grandRow="1" outline="0" axis="axisRow" fieldPosition="0">
        <references count="1">
          <reference field="7" count="1">
            <x v="32"/>
          </reference>
        </references>
      </pivotArea>
    </format>
    <format dxfId="656">
      <pivotArea grandCol="1" outline="0" fieldPosition="0"/>
    </format>
    <format dxfId="655">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EE0986A2-97A7-4ED3-B9DD-7042207658F0}" name="Figures 21-38 Bilat Countries 9" cacheId="56" applyNumberFormats="0" applyBorderFormats="0" applyFontFormats="0" applyPatternFormats="0" applyAlignmentFormats="0" applyWidthHeightFormats="0" dataCaption="" missingCaption="0" updatedVersion="8" compact="0" compactData="0" chartFormat="1">
  <location ref="B255:F280"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61">
      <pivotArea grandRow="1" outline="0" fieldPosition="0"/>
    </format>
    <format dxfId="660">
      <pivotArea dataOnly="0" labelOnly="1" grandRow="1" outline="0" fieldPosition="0"/>
    </format>
    <format dxfId="659">
      <pivotArea grandCol="1" outline="0" fieldPosition="0"/>
    </format>
    <format dxfId="658">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420BD050-A493-4D6E-8215-4E03809EDF59}" name="Figures 21-38 Bilat Countries 16" cacheId="56" applyNumberFormats="0" applyBorderFormats="0" applyFontFormats="0" applyPatternFormats="0" applyAlignmentFormats="0" applyWidthHeightFormats="0" dataCaption="" missingCaption="0" updatedVersion="8" compact="0" compactData="0" chartFormat="1">
  <location ref="B527:F552"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3">
    <format dxfId="664">
      <pivotArea grandRow="1" outline="0" fieldPosition="0"/>
    </format>
    <format dxfId="663">
      <pivotArea dataOnly="0" labelOnly="1" grandRow="1" outline="0" fieldPosition="0"/>
    </format>
    <format dxfId="662">
      <pivotArea dataOnly="0" grandCol="1" outline="0" axis="axisCol"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000-00000F000000}" name="AFRICOM Figure 6 2" cacheId="14" applyNumberFormats="0" applyBorderFormats="0" applyFontFormats="0" applyPatternFormats="0" applyAlignmentFormats="0" applyWidthHeightFormats="0" dataCaption="" updatedVersion="8" colGrandTotals="0" compact="0" compactData="0">
  <location ref="A38:F40"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00EF6D7A-0B11-4BB2-9679-F1190F9B45E2}" name="Figures 21-38 Bilat Countries 4" cacheId="56" applyNumberFormats="0" applyBorderFormats="0" applyFontFormats="0" applyPatternFormats="0" applyAlignmentFormats="0" applyWidthHeightFormats="0" dataCaption="" missingCaption="0" updatedVersion="8" compact="0" compactData="0" chartFormat="1">
  <location ref="B100:F125"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3">
    <format dxfId="667">
      <pivotArea dataOnly="0" grandRow="1" outline="0" fieldPosition="0"/>
    </format>
    <format dxfId="666">
      <pivotArea grandCol="1" outline="0" fieldPosition="0"/>
    </format>
    <format dxfId="665">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09CFF10D-FF8B-450A-9E65-E2AC64C221FF}" name="Figures 21-38 Bilat Countries 14" cacheId="56" applyNumberFormats="0" applyBorderFormats="0" applyFontFormats="0" applyPatternFormats="0" applyAlignmentFormats="0" applyWidthHeightFormats="0" dataCaption="" missingCaption="0" updatedVersion="8" compact="0" compactData="0" chartFormat="1">
  <location ref="B464:F489"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71">
      <pivotArea grandRow="1" outline="0" fieldPosition="0"/>
    </format>
    <format dxfId="670">
      <pivotArea dataOnly="0" labelOnly="1" grandRow="1" outline="0" fieldPosition="0"/>
    </format>
    <format dxfId="669">
      <pivotArea grandCol="1" outline="0" fieldPosition="0"/>
    </format>
    <format dxfId="668">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2086DA4F-FB86-45E1-9F26-3570C6886F76}" name="Figures 21-38 Bilat Countries 11" cacheId="56" applyNumberFormats="0" applyBorderFormats="0" applyFontFormats="0" applyPatternFormats="0" applyAlignmentFormats="0" applyWidthHeightFormats="0" dataCaption="" missingCaption="0" updatedVersion="8" compact="0" compactData="0" chartFormat="1">
  <location ref="B326:E351"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3">
    <i>
      <x v="1"/>
    </i>
    <i>
      <x v="2"/>
    </i>
    <i t="grand">
      <x/>
    </i>
  </colItems>
  <pageFields count="1">
    <pageField fld="6" hier="0"/>
  </pageFields>
  <dataFields count="1">
    <dataField name="Count of Activity Category" fld="0" subtotal="count" baseField="0"/>
  </dataFields>
  <formats count="4">
    <format dxfId="675">
      <pivotArea grandRow="1" outline="0" fieldPosition="0"/>
    </format>
    <format dxfId="674">
      <pivotArea dataOnly="0" labelOnly="1" grandRow="1" outline="0" fieldPosition="0"/>
    </format>
    <format dxfId="673">
      <pivotArea grandCol="1" outline="0" fieldPosition="0"/>
    </format>
    <format dxfId="672">
      <pivotArea dataOnly="0" labelOnly="1" grandCol="1" outline="0" fieldPosition="0"/>
    </format>
  </formats>
  <chartFormats count="3">
    <chartFormat chart="0" format="0" series="1">
      <pivotArea type="data" outline="0" fieldPosition="0">
        <references count="2">
          <reference field="4294967294" count="1" selected="0">
            <x v="0"/>
          </reference>
          <reference field="0" count="1" selected="0">
            <x v="1"/>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0" format="2"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7A9B8F83-61BE-4DCA-9750-0860F583E12A}" name="PivotTable3" cacheId="56" applyNumberFormats="0" applyBorderFormats="0" applyFontFormats="0" applyPatternFormats="0" applyAlignmentFormats="0" applyWidthHeightFormats="0" dataCaption="" missingCaption="0" updatedVersion="8" compact="0" compactData="0" chartFormat="9">
  <location ref="B681:F706"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showAll="0">
      <items count="1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2"/>
        <item x="153"/>
        <item x="154"/>
        <item x="155"/>
        <item x="156"/>
        <item x="151"/>
        <item x="157"/>
        <item x="158"/>
        <item x="159"/>
        <item x="160"/>
        <item x="161"/>
        <item x="162"/>
        <item x="163"/>
        <item x="164"/>
        <item x="165"/>
        <item x="166"/>
        <item x="167"/>
        <item x="168"/>
        <item m="1" x="172"/>
        <item x="169"/>
        <item x="170"/>
        <item m="1" x="174"/>
        <item x="171"/>
        <item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item="142" hier="0"/>
  </pageFields>
  <dataFields count="1">
    <dataField name="Count of Activity Category" fld="0" subtotal="count" baseField="0"/>
  </dataFields>
  <formats count="4">
    <format dxfId="679">
      <pivotArea grandRow="1" outline="0" fieldPosition="0"/>
    </format>
    <format dxfId="678">
      <pivotArea dataOnly="0" labelOnly="1" grandRow="1" outline="0" fieldPosition="0"/>
    </format>
    <format dxfId="677">
      <pivotArea grandCol="1" outline="0" fieldPosition="0"/>
    </format>
    <format dxfId="676">
      <pivotArea dataOnly="0" labelOnly="1" grandCol="1" outline="0" fieldPosition="0"/>
    </format>
  </formats>
  <chartFormats count="9">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6" format="0" series="1">
      <pivotArea type="data" outline="0" fieldPosition="0">
        <references count="2">
          <reference field="4294967294" count="1" selected="0">
            <x v="0"/>
          </reference>
          <reference field="0" count="1" selected="0">
            <x v="0"/>
          </reference>
        </references>
      </pivotArea>
    </chartFormat>
    <chartFormat chart="6" format="1" series="1">
      <pivotArea type="data" outline="0" fieldPosition="0">
        <references count="2">
          <reference field="4294967294" count="1" selected="0">
            <x v="0"/>
          </reference>
          <reference field="0" count="1" selected="0">
            <x v="1"/>
          </reference>
        </references>
      </pivotArea>
    </chartFormat>
    <chartFormat chart="6" format="2" series="1">
      <pivotArea type="data" outline="0" fieldPosition="0">
        <references count="2">
          <reference field="4294967294" count="1" selected="0">
            <x v="0"/>
          </reference>
          <reference field="0" count="1" selected="0">
            <x v="2"/>
          </reference>
        </references>
      </pivotArea>
    </chartFormat>
    <chartFormat chart="8" format="6" series="1">
      <pivotArea type="data" outline="0" fieldPosition="0">
        <references count="2">
          <reference field="4294967294" count="1" selected="0">
            <x v="0"/>
          </reference>
          <reference field="0" count="1" selected="0">
            <x v="0"/>
          </reference>
        </references>
      </pivotArea>
    </chartFormat>
    <chartFormat chart="8" format="7" series="1">
      <pivotArea type="data" outline="0" fieldPosition="0">
        <references count="2">
          <reference field="4294967294" count="1" selected="0">
            <x v="0"/>
          </reference>
          <reference field="0" count="1" selected="0">
            <x v="1"/>
          </reference>
        </references>
      </pivotArea>
    </chartFormat>
    <chartFormat chart="8" format="8"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A48D580D-FC39-43B6-AE11-DB51B7BDA7D9}" name="Figures 21-38 Bilat Countries 7" cacheId="56" applyNumberFormats="0" applyBorderFormats="0" applyFontFormats="0" applyPatternFormats="0" applyAlignmentFormats="0" applyWidthHeightFormats="0" dataCaption="" missingCaption="0" updatedVersion="8" compact="0" compactData="0" chartFormat="1">
  <location ref="B191:F216"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83">
      <pivotArea grandCol="1" outline="0" fieldPosition="0"/>
    </format>
    <format dxfId="682">
      <pivotArea dataOnly="0" labelOnly="1" grandCol="1" outline="0" fieldPosition="0"/>
    </format>
    <format dxfId="681">
      <pivotArea grandRow="1" outline="0" fieldPosition="0"/>
    </format>
    <format dxfId="680">
      <pivotArea dataOnly="0" labelOnly="1" grandRow="1" outline="0" fieldPosition="0"/>
    </format>
  </format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47355214-60A2-476D-998E-F25F4DC9E491}" name="Figures 21-38 Bilat Countries 8" cacheId="56" applyNumberFormats="0" applyBorderFormats="0" applyFontFormats="0" applyPatternFormats="0" applyAlignmentFormats="0" applyWidthHeightFormats="0" dataCaption="" missingCaption="0" updatedVersion="8" compact="0" compactData="0" chartFormat="5">
  <location ref="B223:F248"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687">
      <pivotArea grandRow="1" outline="0" fieldPosition="0"/>
    </format>
    <format dxfId="686">
      <pivotArea dataOnly="0" labelOnly="1" grandRow="1" outline="0" fieldPosition="0"/>
    </format>
    <format dxfId="685">
      <pivotArea grandCol="1" outline="0" fieldPosition="0"/>
    </format>
    <format dxfId="684">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24394E7D-5262-462E-8152-8077BC71F21F}" name="PivotTable1" cacheId="56" applyNumberFormats="0" applyBorderFormats="0" applyFontFormats="0" applyPatternFormats="0" applyAlignmentFormats="0" applyWidthHeightFormats="0" dataCaption="" missingCaption="0" updatedVersion="8" compact="0" compactData="0" chartFormat="14">
  <location ref="B621:F646"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3">
    <format dxfId="690">
      <pivotArea field="7" dataOnly="0" grandRow="1" outline="0" axis="axisRow" fieldPosition="0">
        <references count="1">
          <reference field="7" count="1">
            <x v="32"/>
          </reference>
        </references>
      </pivotArea>
    </format>
    <format dxfId="689">
      <pivotArea grandCol="1" outline="0" fieldPosition="0"/>
    </format>
    <format dxfId="688">
      <pivotArea dataOnly="0" labelOnly="1" grandCol="1" outline="0" fieldPosition="0"/>
    </format>
  </formats>
  <chartFormats count="3">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BBC011D0-DD67-423D-A1A2-58AC02E8C3A9}" name="Figures 21-38 Bilat Countries" cacheId="56" applyNumberFormats="0" applyBorderFormats="0" applyFontFormats="0" applyPatternFormats="0" applyAlignmentFormats="0" applyWidthHeightFormats="0" dataCaption="" missingCaption="0" updatedVersion="8" compact="0" compactData="0" chartFormat="2">
  <location ref="B7:E32"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0"/>
  </colFields>
  <colItems count="3">
    <i>
      <x v="1"/>
    </i>
    <i>
      <x v="2"/>
    </i>
    <i t="grand">
      <x/>
    </i>
  </colItems>
  <pageFields count="1">
    <pageField fld="6" hier="0"/>
  </pageFields>
  <dataFields count="1">
    <dataField name="Count of Activity Category" fld="0" subtotal="count" baseField="0"/>
  </dataFields>
  <formats count="4">
    <format dxfId="694">
      <pivotArea grandRow="1" outline="0" fieldPosition="0"/>
    </format>
    <format dxfId="693">
      <pivotArea dataOnly="0" labelOnly="1" grandRow="1" outline="0" fieldPosition="0"/>
    </format>
    <format dxfId="692">
      <pivotArea grandCol="1" outline="0" fieldPosition="0"/>
    </format>
    <format dxfId="691">
      <pivotArea dataOnly="0" labelOnly="1" grandCol="1" outline="0" fieldPosition="0"/>
    </format>
  </formats>
  <chartFormats count="4">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0541BEC3-4865-4D8C-B0ED-85CA6E92315E}" name="Fig 39 ASEAN" cacheId="56" applyNumberFormats="0" applyBorderFormats="0" applyFontFormats="0" applyPatternFormats="0" applyAlignmentFormats="0" applyWidthHeightFormats="0" dataCaption="" missingCaption="0" updatedVersion="8" compact="0" compactData="0" chartFormat="1">
  <location ref="A5:D22" firstHeaderRow="1" firstDataRow="2" firstDataCol="1" rowPageCount="1" colPageCount="1"/>
  <pivotFields count="26">
    <pivotField name="Activity Category" axis="axisCol" dataField="1" compact="0" outline="0" multipleItemSelectionAllowed="1" sortType="ascending">
      <items count="6">
        <item x="2"/>
        <item h="1" x="0"/>
        <item x="1"/>
        <item h="1" m="1" x="4"/>
        <item h="1"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ortType="ascending">
      <items count="36">
        <item h="1" x="0"/>
        <item h="1" x="1"/>
        <item h="1" x="2"/>
        <item h="1" x="3"/>
        <item h="1" x="4"/>
        <item h="1" x="5"/>
        <item h="1" x="6"/>
        <item h="1" x="7"/>
        <item h="1" x="8"/>
        <item h="1" x="9"/>
        <item h="1" x="10"/>
        <item h="1" x="11"/>
        <item h="1" x="12"/>
        <item h="1" x="13"/>
        <item h="1" x="14"/>
        <item h="1" x="15"/>
        <item h="1" x="16"/>
        <item h="1" x="17"/>
        <item h="1"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16">
    <i>
      <x v="19"/>
    </i>
    <i>
      <x v="20"/>
    </i>
    <i>
      <x v="21"/>
    </i>
    <i>
      <x v="22"/>
    </i>
    <i>
      <x v="23"/>
    </i>
    <i>
      <x v="24"/>
    </i>
    <i>
      <x v="25"/>
    </i>
    <i>
      <x v="26"/>
    </i>
    <i>
      <x v="27"/>
    </i>
    <i>
      <x v="28"/>
    </i>
    <i>
      <x v="29"/>
    </i>
    <i>
      <x v="30"/>
    </i>
    <i>
      <x v="31"/>
    </i>
    <i>
      <x v="32"/>
    </i>
    <i>
      <x v="33"/>
    </i>
    <i t="grand">
      <x/>
    </i>
  </rowItems>
  <colFields count="1">
    <field x="0"/>
  </colFields>
  <colItems count="3">
    <i>
      <x/>
    </i>
    <i>
      <x v="2"/>
    </i>
    <i t="grand">
      <x/>
    </i>
  </colItems>
  <pageFields count="1">
    <pageField fld="6" hier="0"/>
  </pageFields>
  <dataFields count="1">
    <dataField name="Count of Activity Category" fld="0" subtotal="count" baseField="0"/>
  </dataFields>
  <formats count="2">
    <format dxfId="610">
      <pivotArea dataOnly="0" grandRow="1" outline="0" fieldPosition="0"/>
    </format>
    <format dxfId="609">
      <pivotArea dataOnly="0"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0" format="2" series="1">
      <pivotArea type="data" outline="0" fieldPosition="0">
        <references count="2">
          <reference field="4294967294" count="1" selected="0">
            <x v="0"/>
          </reference>
          <reference field="0" count="1" selected="0">
            <x v="4"/>
          </reference>
        </references>
      </pivotArea>
    </chartFormat>
    <chartFormat chart="0" format="3" series="1">
      <pivotArea type="data" outline="0" fieldPosition="0">
        <references count="2">
          <reference field="4294967294" count="1" selected="0">
            <x v="0"/>
          </reference>
          <reference field="0"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9.xml><?xml version="1.0" encoding="utf-8"?>
<pivotTableDefinition xmlns="http://schemas.openxmlformats.org/spreadsheetml/2006/main" xmlns:mc="http://schemas.openxmlformats.org/markup-compatibility/2006" xmlns:xr="http://schemas.microsoft.com/office/spreadsheetml/2014/revision" mc:Ignorable="xr" xr:uid="{818E49A3-E815-4473-8590-E20CE2065803}" name="Fig 39a SCO" cacheId="56" applyNumberFormats="0" applyBorderFormats="0" applyFontFormats="0" applyPatternFormats="0" applyAlignmentFormats="0" applyWidthHeightFormats="0" dataCaption="" missingCaption="0" updatedVersion="8" compact="0" compactData="0" chartFormat="4">
  <location ref="A5:D29"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6">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68"/>
        <item h="1" m="1" x="172"/>
        <item h="1" x="169"/>
        <item h="1" x="170"/>
        <item h="1" m="1" x="174"/>
        <item h="1" x="171"/>
        <item h="1" m="1" x="173"/>
        <item t="default"/>
      </items>
    </pivotField>
    <pivotField name="Year" axis="axisRow"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3">
    <i>
      <x v="11"/>
    </i>
    <i>
      <x v="12"/>
    </i>
    <i>
      <x v="13"/>
    </i>
    <i>
      <x v="15"/>
    </i>
    <i>
      <x v="16"/>
    </i>
    <i>
      <x v="17"/>
    </i>
    <i>
      <x v="18"/>
    </i>
    <i>
      <x v="19"/>
    </i>
    <i>
      <x v="20"/>
    </i>
    <i>
      <x v="21"/>
    </i>
    <i>
      <x v="22"/>
    </i>
    <i>
      <x v="23"/>
    </i>
    <i>
      <x v="24"/>
    </i>
    <i>
      <x v="25"/>
    </i>
    <i>
      <x v="26"/>
    </i>
    <i>
      <x v="27"/>
    </i>
    <i>
      <x v="28"/>
    </i>
    <i>
      <x v="29"/>
    </i>
    <i>
      <x v="30"/>
    </i>
    <i>
      <x v="31"/>
    </i>
    <i>
      <x v="32"/>
    </i>
    <i>
      <x v="33"/>
    </i>
    <i t="grand">
      <x/>
    </i>
  </rowItems>
  <colFields count="1">
    <field x="0"/>
  </colFields>
  <colItems count="3">
    <i>
      <x/>
    </i>
    <i>
      <x v="2"/>
    </i>
    <i t="grand">
      <x/>
    </i>
  </colItems>
  <pageFields count="1">
    <pageField fld="6" hier="0"/>
  </pageFields>
  <dataFields count="1">
    <dataField name="Count of Activity Category" fld="0" subtotal="count" baseField="0"/>
  </dataFields>
  <formats count="3">
    <format dxfId="608">
      <pivotArea grandRow="1" outline="0" fieldPosition="0"/>
    </format>
    <format dxfId="607">
      <pivotArea dataOnly="0" labelOnly="1" grandRow="1" outline="0" fieldPosition="0"/>
    </format>
    <format dxfId="606">
      <pivotArea dataOnly="0" grandCol="1" outline="0" fieldPosition="0"/>
    </format>
  </format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0" format="2" series="1">
      <pivotArea type="data" outline="0" fieldPosition="0">
        <references count="2">
          <reference field="4294967294" count="1" selected="0">
            <x v="0"/>
          </reference>
          <reference field="0" count="1" selected="0">
            <x v="4"/>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000-000010000000}" name="AFRICOM Figure 6" cacheId="14" applyNumberFormats="0" applyBorderFormats="0" applyFontFormats="0" applyPatternFormats="0" applyAlignmentFormats="0" applyWidthHeightFormats="0" dataCaption="" updatedVersion="8" colGrandTotals="0" compact="0" compactData="0">
  <location ref="A7:F9"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0.xml><?xml version="1.0" encoding="utf-8"?>
<pivotTableDefinition xmlns="http://schemas.openxmlformats.org/spreadsheetml/2006/main" xmlns:mc="http://schemas.openxmlformats.org/markup-compatibility/2006" xmlns:xr="http://schemas.microsoft.com/office/spreadsheetml/2014/revision" mc:Ignorable="xr" xr:uid="{3B2B00C7-B5AD-406D-A22D-041F5BE9BD34}" name="Fig 40-42 Exercises 3" cacheId="56" applyNumberFormats="0" applyBorderFormats="0" applyFontFormats="0" applyPatternFormats="0" applyAlignmentFormats="0" applyWidthHeightFormats="0" dataCaption="" missingCaption="0" updatedVersion="8" compact="0" compactData="0">
  <location ref="A91:B115" firstHeaderRow="1" firstDataRow="1"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Row"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h="1" x="0"/>
        <item h="1" x="1"/>
        <item h="1" x="2"/>
        <item h="1" x="3"/>
        <item h="1" x="4"/>
        <item h="1" x="5"/>
        <item x="6"/>
        <item h="1" x="7"/>
        <item h="1" x="8"/>
        <item h="1" x="9"/>
        <item h="1" x="10"/>
        <item h="1" x="11"/>
        <item h="1" x="12"/>
        <item h="1" x="13"/>
        <item h="1" x="14"/>
        <item h="1" x="15"/>
        <item h="1" x="16"/>
        <item h="1" x="17"/>
        <item h="1" m="1" x="18"/>
        <item h="1"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Items count="1">
    <i/>
  </colItems>
  <pageFields count="2">
    <pageField fld="0" hier="0"/>
    <pageField fld="9" hier="0"/>
  </pageFields>
  <dataFields count="1">
    <dataField name="Count of Activity Category" fld="0" subtotal="count" baseField="0"/>
  </dataFields>
  <formats count="2">
    <format dxfId="601">
      <pivotArea grandRow="1" outline="0" fieldPosition="0"/>
    </format>
    <format dxfId="600">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1.xml><?xml version="1.0" encoding="utf-8"?>
<pivotTableDefinition xmlns="http://schemas.openxmlformats.org/spreadsheetml/2006/main" xmlns:mc="http://schemas.openxmlformats.org/markup-compatibility/2006" xmlns:xr="http://schemas.microsoft.com/office/spreadsheetml/2014/revision" mc:Ignorable="xr" xr:uid="{1CBBD00B-3199-4B1A-9CD6-C8BA76195BBC}" name="Fig 40-42 Exercises 2" cacheId="56" applyNumberFormats="0" applyBorderFormats="0" applyFontFormats="0" applyPatternFormats="0" applyAlignmentFormats="0" applyWidthHeightFormats="0" dataCaption="" missingCaption="0" updatedVersion="8" compact="0" compactData="0" chartFormat="6">
  <location ref="A42:Y55" firstHeaderRow="1" firstDataRow="2" firstDataCol="1" rowPageCount="1"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axis="axisRow" compact="0" outline="0" multipleItemSelectionAllowed="1" showAll="0" sortType="ascending">
      <items count="14">
        <item x="7"/>
        <item x="6"/>
        <item x="8"/>
        <item x="9"/>
        <item x="11"/>
        <item x="2"/>
        <item x="4"/>
        <item x="5"/>
        <item x="3"/>
        <item x="10"/>
        <item x="0"/>
        <item x="1"/>
        <item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2">
    <i>
      <x/>
    </i>
    <i>
      <x v="1"/>
    </i>
    <i>
      <x v="2"/>
    </i>
    <i>
      <x v="3"/>
    </i>
    <i>
      <x v="5"/>
    </i>
    <i>
      <x v="6"/>
    </i>
    <i>
      <x v="7"/>
    </i>
    <i>
      <x v="8"/>
    </i>
    <i>
      <x v="9"/>
    </i>
    <i>
      <x v="10"/>
    </i>
    <i>
      <x v="11"/>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0" hier="0"/>
  </pageFields>
  <dataFields count="1">
    <dataField name="Count of Activity Category" fld="0" subtotal="count" baseField="0"/>
  </dataFields>
  <formats count="4">
    <format dxfId="605">
      <pivotArea grandRow="1" outline="0" fieldPosition="0"/>
    </format>
    <format dxfId="604">
      <pivotArea dataOnly="0" labelOnly="1" grandRow="1" outline="0" fieldPosition="0"/>
    </format>
    <format dxfId="603">
      <pivotArea grandCol="1" outline="0" fieldPosition="0"/>
    </format>
    <format dxfId="602">
      <pivotArea dataOnly="0" labelOnly="1" grandCol="1" outline="0" fieldPosition="0"/>
    </format>
  </formats>
  <chartFormats count="57">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5"/>
          </reference>
        </references>
      </pivotArea>
    </chartFormat>
    <chartFormat chart="0" format="5" series="1">
      <pivotArea type="data" outline="0" fieldPosition="0">
        <references count="2">
          <reference field="4294967294" count="1" selected="0">
            <x v="0"/>
          </reference>
          <reference field="1" count="1" selected="0">
            <x v="6"/>
          </reference>
        </references>
      </pivotArea>
    </chartFormat>
    <chartFormat chart="0" format="6" series="1">
      <pivotArea type="data" outline="0" fieldPosition="0">
        <references count="2">
          <reference field="4294967294" count="1" selected="0">
            <x v="0"/>
          </reference>
          <reference field="1" count="1" selected="0">
            <x v="7"/>
          </reference>
        </references>
      </pivotArea>
    </chartFormat>
    <chartFormat chart="0" format="7" series="1">
      <pivotArea type="data" outline="0" fieldPosition="0">
        <references count="2">
          <reference field="4294967294" count="1" selected="0">
            <x v="0"/>
          </reference>
          <reference field="1" count="1" selected="0">
            <x v="8"/>
          </reference>
        </references>
      </pivotArea>
    </chartFormat>
    <chartFormat chart="0" format="8" series="1">
      <pivotArea type="data" outline="0" fieldPosition="0">
        <references count="2">
          <reference field="4294967294" count="1" selected="0">
            <x v="0"/>
          </reference>
          <reference field="1" count="1" selected="0">
            <x v="9"/>
          </reference>
        </references>
      </pivotArea>
    </chartFormat>
    <chartFormat chart="0" format="9" series="1">
      <pivotArea type="data" outline="0" fieldPosition="0">
        <references count="2">
          <reference field="4294967294" count="1" selected="0">
            <x v="0"/>
          </reference>
          <reference field="1" count="1" selected="0">
            <x v="10"/>
          </reference>
        </references>
      </pivotArea>
    </chartFormat>
    <chartFormat chart="0" format="10" series="1">
      <pivotArea type="data" outline="0" fieldPosition="0">
        <references count="2">
          <reference field="4294967294" count="1" selected="0">
            <x v="0"/>
          </reference>
          <reference field="1" count="1" selected="0">
            <x v="11"/>
          </reference>
        </references>
      </pivotArea>
    </chartFormat>
    <chartFormat chart="0" format="11" series="1">
      <pivotArea type="data" outline="0" fieldPosition="0">
        <references count="1">
          <reference field="4294967294" count="1" selected="0">
            <x v="0"/>
          </reference>
        </references>
      </pivotArea>
    </chartFormat>
    <chartFormat chart="0" format="12" series="1">
      <pivotArea type="data" outline="0" fieldPosition="0">
        <references count="2">
          <reference field="4294967294" count="1" selected="0">
            <x v="0"/>
          </reference>
          <reference field="7" count="1" selected="0">
            <x v="12"/>
          </reference>
        </references>
      </pivotArea>
    </chartFormat>
    <chartFormat chart="0" format="13" series="1">
      <pivotArea type="data" outline="0" fieldPosition="0">
        <references count="2">
          <reference field="4294967294" count="1" selected="0">
            <x v="0"/>
          </reference>
          <reference field="7" count="1" selected="0">
            <x v="13"/>
          </reference>
        </references>
      </pivotArea>
    </chartFormat>
    <chartFormat chart="0" format="14" series="1">
      <pivotArea type="data" outline="0" fieldPosition="0">
        <references count="2">
          <reference field="4294967294" count="1" selected="0">
            <x v="0"/>
          </reference>
          <reference field="7" count="1" selected="0">
            <x v="14"/>
          </reference>
        </references>
      </pivotArea>
    </chartFormat>
    <chartFormat chart="0" format="15" series="1">
      <pivotArea type="data" outline="0" fieldPosition="0">
        <references count="2">
          <reference field="4294967294" count="1" selected="0">
            <x v="0"/>
          </reference>
          <reference field="7" count="1" selected="0">
            <x v="15"/>
          </reference>
        </references>
      </pivotArea>
    </chartFormat>
    <chartFormat chart="0" format="16" series="1">
      <pivotArea type="data" outline="0" fieldPosition="0">
        <references count="2">
          <reference field="4294967294" count="1" selected="0">
            <x v="0"/>
          </reference>
          <reference field="7" count="1" selected="0">
            <x v="16"/>
          </reference>
        </references>
      </pivotArea>
    </chartFormat>
    <chartFormat chart="0" format="17" series="1">
      <pivotArea type="data" outline="0" fieldPosition="0">
        <references count="2">
          <reference field="4294967294" count="1" selected="0">
            <x v="0"/>
          </reference>
          <reference field="7" count="1" selected="0">
            <x v="17"/>
          </reference>
        </references>
      </pivotArea>
    </chartFormat>
    <chartFormat chart="0" format="18" series="1">
      <pivotArea type="data" outline="0" fieldPosition="0">
        <references count="2">
          <reference field="4294967294" count="1" selected="0">
            <x v="0"/>
          </reference>
          <reference field="7" count="1" selected="0">
            <x v="18"/>
          </reference>
        </references>
      </pivotArea>
    </chartFormat>
    <chartFormat chart="0" format="19" series="1">
      <pivotArea type="data" outline="0" fieldPosition="0">
        <references count="2">
          <reference field="4294967294" count="1" selected="0">
            <x v="0"/>
          </reference>
          <reference field="7" count="1" selected="0">
            <x v="19"/>
          </reference>
        </references>
      </pivotArea>
    </chartFormat>
    <chartFormat chart="0" format="20" series="1">
      <pivotArea type="data" outline="0" fieldPosition="0">
        <references count="2">
          <reference field="4294967294" count="1" selected="0">
            <x v="0"/>
          </reference>
          <reference field="7" count="1" selected="0">
            <x v="20"/>
          </reference>
        </references>
      </pivotArea>
    </chartFormat>
    <chartFormat chart="0" format="21" series="1">
      <pivotArea type="data" outline="0" fieldPosition="0">
        <references count="2">
          <reference field="4294967294" count="1" selected="0">
            <x v="0"/>
          </reference>
          <reference field="7" count="1" selected="0">
            <x v="21"/>
          </reference>
        </references>
      </pivotArea>
    </chartFormat>
    <chartFormat chart="0" format="22" series="1">
      <pivotArea type="data" outline="0" fieldPosition="0">
        <references count="2">
          <reference field="4294967294" count="1" selected="0">
            <x v="0"/>
          </reference>
          <reference field="7" count="1" selected="0">
            <x v="22"/>
          </reference>
        </references>
      </pivotArea>
    </chartFormat>
    <chartFormat chart="0" format="23" series="1">
      <pivotArea type="data" outline="0" fieldPosition="0">
        <references count="2">
          <reference field="4294967294" count="1" selected="0">
            <x v="0"/>
          </reference>
          <reference field="7" count="1" selected="0">
            <x v="23"/>
          </reference>
        </references>
      </pivotArea>
    </chartFormat>
    <chartFormat chart="0" format="24" series="1">
      <pivotArea type="data" outline="0" fieldPosition="0">
        <references count="2">
          <reference field="4294967294" count="1" selected="0">
            <x v="0"/>
          </reference>
          <reference field="7" count="1" selected="0">
            <x v="24"/>
          </reference>
        </references>
      </pivotArea>
    </chartFormat>
    <chartFormat chart="0" format="25" series="1">
      <pivotArea type="data" outline="0" fieldPosition="0">
        <references count="2">
          <reference field="4294967294" count="1" selected="0">
            <x v="0"/>
          </reference>
          <reference field="7" count="1" selected="0">
            <x v="25"/>
          </reference>
        </references>
      </pivotArea>
    </chartFormat>
    <chartFormat chart="0" format="26" series="1">
      <pivotArea type="data" outline="0" fieldPosition="0">
        <references count="2">
          <reference field="4294967294" count="1" selected="0">
            <x v="0"/>
          </reference>
          <reference field="7" count="1" selected="0">
            <x v="26"/>
          </reference>
        </references>
      </pivotArea>
    </chartFormat>
    <chartFormat chart="0" format="27" series="1">
      <pivotArea type="data" outline="0" fieldPosition="0">
        <references count="2">
          <reference field="4294967294" count="1" selected="0">
            <x v="0"/>
          </reference>
          <reference field="7" count="1" selected="0">
            <x v="27"/>
          </reference>
        </references>
      </pivotArea>
    </chartFormat>
    <chartFormat chart="0" format="28" series="1">
      <pivotArea type="data" outline="0" fieldPosition="0">
        <references count="2">
          <reference field="4294967294" count="1" selected="0">
            <x v="0"/>
          </reference>
          <reference field="7" count="1" selected="0">
            <x v="28"/>
          </reference>
        </references>
      </pivotArea>
    </chartFormat>
    <chartFormat chart="0" format="29" series="1">
      <pivotArea type="data" outline="0" fieldPosition="0">
        <references count="2">
          <reference field="4294967294" count="1" selected="0">
            <x v="0"/>
          </reference>
          <reference field="7" count="1" selected="0">
            <x v="29"/>
          </reference>
        </references>
      </pivotArea>
    </chartFormat>
    <chartFormat chart="0" format="30" series="1">
      <pivotArea type="data" outline="0" fieldPosition="0">
        <references count="2">
          <reference field="4294967294" count="1" selected="0">
            <x v="0"/>
          </reference>
          <reference field="7" count="1" selected="0">
            <x v="30"/>
          </reference>
        </references>
      </pivotArea>
    </chartFormat>
    <chartFormat chart="0" format="31" series="1">
      <pivotArea type="data" outline="0" fieldPosition="0">
        <references count="2">
          <reference field="4294967294" count="1" selected="0">
            <x v="0"/>
          </reference>
          <reference field="7" count="1" selected="0">
            <x v="31"/>
          </reference>
        </references>
      </pivotArea>
    </chartFormat>
    <chartFormat chart="0" format="32" series="1">
      <pivotArea type="data" outline="0" fieldPosition="0">
        <references count="2">
          <reference field="4294967294" count="1" selected="0">
            <x v="0"/>
          </reference>
          <reference field="7" count="1" selected="0">
            <x v="32"/>
          </reference>
        </references>
      </pivotArea>
    </chartFormat>
    <chartFormat chart="0" format="33" series="1">
      <pivotArea type="data" outline="0" fieldPosition="0">
        <references count="2">
          <reference field="4294967294" count="1" selected="0">
            <x v="0"/>
          </reference>
          <reference field="7" count="1" selected="0">
            <x v="33"/>
          </reference>
        </references>
      </pivotArea>
    </chartFormat>
    <chartFormat chart="5" format="34" series="1">
      <pivotArea type="data" outline="0" fieldPosition="0">
        <references count="2">
          <reference field="4294967294" count="1" selected="0">
            <x v="0"/>
          </reference>
          <reference field="7" count="1" selected="0">
            <x v="11"/>
          </reference>
        </references>
      </pivotArea>
    </chartFormat>
    <chartFormat chart="5" format="35" series="1">
      <pivotArea type="data" outline="0" fieldPosition="0">
        <references count="2">
          <reference field="4294967294" count="1" selected="0">
            <x v="0"/>
          </reference>
          <reference field="7" count="1" selected="0">
            <x v="12"/>
          </reference>
        </references>
      </pivotArea>
    </chartFormat>
    <chartFormat chart="5" format="36" series="1">
      <pivotArea type="data" outline="0" fieldPosition="0">
        <references count="2">
          <reference field="4294967294" count="1" selected="0">
            <x v="0"/>
          </reference>
          <reference field="7" count="1" selected="0">
            <x v="13"/>
          </reference>
        </references>
      </pivotArea>
    </chartFormat>
    <chartFormat chart="5" format="37" series="1">
      <pivotArea type="data" outline="0" fieldPosition="0">
        <references count="2">
          <reference field="4294967294" count="1" selected="0">
            <x v="0"/>
          </reference>
          <reference field="7" count="1" selected="0">
            <x v="14"/>
          </reference>
        </references>
      </pivotArea>
    </chartFormat>
    <chartFormat chart="5" format="38" series="1">
      <pivotArea type="data" outline="0" fieldPosition="0">
        <references count="2">
          <reference field="4294967294" count="1" selected="0">
            <x v="0"/>
          </reference>
          <reference field="7" count="1" selected="0">
            <x v="15"/>
          </reference>
        </references>
      </pivotArea>
    </chartFormat>
    <chartFormat chart="5" format="39" series="1">
      <pivotArea type="data" outline="0" fieldPosition="0">
        <references count="2">
          <reference field="4294967294" count="1" selected="0">
            <x v="0"/>
          </reference>
          <reference field="7" count="1" selected="0">
            <x v="16"/>
          </reference>
        </references>
      </pivotArea>
    </chartFormat>
    <chartFormat chart="5" format="40" series="1">
      <pivotArea type="data" outline="0" fieldPosition="0">
        <references count="2">
          <reference field="4294967294" count="1" selected="0">
            <x v="0"/>
          </reference>
          <reference field="7" count="1" selected="0">
            <x v="17"/>
          </reference>
        </references>
      </pivotArea>
    </chartFormat>
    <chartFormat chart="5" format="41" series="1">
      <pivotArea type="data" outline="0" fieldPosition="0">
        <references count="2">
          <reference field="4294967294" count="1" selected="0">
            <x v="0"/>
          </reference>
          <reference field="7" count="1" selected="0">
            <x v="18"/>
          </reference>
        </references>
      </pivotArea>
    </chartFormat>
    <chartFormat chart="5" format="42" series="1">
      <pivotArea type="data" outline="0" fieldPosition="0">
        <references count="2">
          <reference field="4294967294" count="1" selected="0">
            <x v="0"/>
          </reference>
          <reference field="7" count="1" selected="0">
            <x v="19"/>
          </reference>
        </references>
      </pivotArea>
    </chartFormat>
    <chartFormat chart="5" format="43" series="1">
      <pivotArea type="data" outline="0" fieldPosition="0">
        <references count="2">
          <reference field="4294967294" count="1" selected="0">
            <x v="0"/>
          </reference>
          <reference field="7" count="1" selected="0">
            <x v="20"/>
          </reference>
        </references>
      </pivotArea>
    </chartFormat>
    <chartFormat chart="5" format="44" series="1">
      <pivotArea type="data" outline="0" fieldPosition="0">
        <references count="2">
          <reference field="4294967294" count="1" selected="0">
            <x v="0"/>
          </reference>
          <reference field="7" count="1" selected="0">
            <x v="21"/>
          </reference>
        </references>
      </pivotArea>
    </chartFormat>
    <chartFormat chart="5" format="45" series="1">
      <pivotArea type="data" outline="0" fieldPosition="0">
        <references count="2">
          <reference field="4294967294" count="1" selected="0">
            <x v="0"/>
          </reference>
          <reference field="7" count="1" selected="0">
            <x v="22"/>
          </reference>
        </references>
      </pivotArea>
    </chartFormat>
    <chartFormat chart="5" format="46" series="1">
      <pivotArea type="data" outline="0" fieldPosition="0">
        <references count="2">
          <reference field="4294967294" count="1" selected="0">
            <x v="0"/>
          </reference>
          <reference field="7" count="1" selected="0">
            <x v="23"/>
          </reference>
        </references>
      </pivotArea>
    </chartFormat>
    <chartFormat chart="5" format="47" series="1">
      <pivotArea type="data" outline="0" fieldPosition="0">
        <references count="2">
          <reference field="4294967294" count="1" selected="0">
            <x v="0"/>
          </reference>
          <reference field="7" count="1" selected="0">
            <x v="24"/>
          </reference>
        </references>
      </pivotArea>
    </chartFormat>
    <chartFormat chart="5" format="48" series="1">
      <pivotArea type="data" outline="0" fieldPosition="0">
        <references count="2">
          <reference field="4294967294" count="1" selected="0">
            <x v="0"/>
          </reference>
          <reference field="7" count="1" selected="0">
            <x v="25"/>
          </reference>
        </references>
      </pivotArea>
    </chartFormat>
    <chartFormat chart="5" format="49" series="1">
      <pivotArea type="data" outline="0" fieldPosition="0">
        <references count="2">
          <reference field="4294967294" count="1" selected="0">
            <x v="0"/>
          </reference>
          <reference field="7" count="1" selected="0">
            <x v="26"/>
          </reference>
        </references>
      </pivotArea>
    </chartFormat>
    <chartFormat chart="5" format="50" series="1">
      <pivotArea type="data" outline="0" fieldPosition="0">
        <references count="2">
          <reference field="4294967294" count="1" selected="0">
            <x v="0"/>
          </reference>
          <reference field="7" count="1" selected="0">
            <x v="27"/>
          </reference>
        </references>
      </pivotArea>
    </chartFormat>
    <chartFormat chart="5" format="51" series="1">
      <pivotArea type="data" outline="0" fieldPosition="0">
        <references count="2">
          <reference field="4294967294" count="1" selected="0">
            <x v="0"/>
          </reference>
          <reference field="7" count="1" selected="0">
            <x v="28"/>
          </reference>
        </references>
      </pivotArea>
    </chartFormat>
    <chartFormat chart="5" format="52" series="1">
      <pivotArea type="data" outline="0" fieldPosition="0">
        <references count="2">
          <reference field="4294967294" count="1" selected="0">
            <x v="0"/>
          </reference>
          <reference field="7" count="1" selected="0">
            <x v="29"/>
          </reference>
        </references>
      </pivotArea>
    </chartFormat>
    <chartFormat chart="5" format="53" series="1">
      <pivotArea type="data" outline="0" fieldPosition="0">
        <references count="2">
          <reference field="4294967294" count="1" selected="0">
            <x v="0"/>
          </reference>
          <reference field="7" count="1" selected="0">
            <x v="30"/>
          </reference>
        </references>
      </pivotArea>
    </chartFormat>
    <chartFormat chart="5" format="54" series="1">
      <pivotArea type="data" outline="0" fieldPosition="0">
        <references count="2">
          <reference field="4294967294" count="1" selected="0">
            <x v="0"/>
          </reference>
          <reference field="7" count="1" selected="0">
            <x v="31"/>
          </reference>
        </references>
      </pivotArea>
    </chartFormat>
    <chartFormat chart="5" format="55" series="1">
      <pivotArea type="data" outline="0" fieldPosition="0">
        <references count="2">
          <reference field="4294967294" count="1" selected="0">
            <x v="0"/>
          </reference>
          <reference field="7" count="1" selected="0">
            <x v="32"/>
          </reference>
        </references>
      </pivotArea>
    </chartFormat>
    <chartFormat chart="5" format="56" series="1">
      <pivotArea type="data" outline="0" fieldPosition="0">
        <references count="2">
          <reference field="4294967294" count="1" selected="0">
            <x v="0"/>
          </reference>
          <reference field="7" count="1" selected="0">
            <x v="3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2.xml><?xml version="1.0" encoding="utf-8"?>
<pivotTableDefinition xmlns="http://schemas.openxmlformats.org/spreadsheetml/2006/main" xmlns:mc="http://schemas.openxmlformats.org/markup-compatibility/2006" xmlns:xr="http://schemas.microsoft.com/office/spreadsheetml/2014/revision" mc:Ignorable="xr" xr:uid="{E4894B4C-34CF-4F79-8656-79971763A9F1}" name="Fig 40-42 Exercises" cacheId="56" applyNumberFormats="0" applyBorderFormats="0" applyFontFormats="0" applyPatternFormats="0" applyAlignmentFormats="0" applyWidthHeightFormats="0" dataCaption="" updatedVersion="8" colGrandTotals="0" compact="0" compactData="0">
  <location ref="A7:BP9" firstHeaderRow="1" firstDataRow="2" firstDataCol="1" rowPageCount="2" colPageCount="1"/>
  <pivotFields count="26">
    <pivotField name="Activity Category" axis="axisPage"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Col" compact="0" outline="0" multipleItemSelectionAllowed="1" showAll="0" sortType="ascending">
      <items count="1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2"/>
        <item x="153"/>
        <item x="154"/>
        <item x="155"/>
        <item x="156"/>
        <item x="151"/>
        <item x="157"/>
        <item x="158"/>
        <item x="159"/>
        <item x="160"/>
        <item x="161"/>
        <item x="162"/>
        <item x="163"/>
        <item x="164"/>
        <item x="165"/>
        <item x="166"/>
        <item x="167"/>
        <item x="168"/>
        <item m="1" x="172"/>
        <item x="169"/>
        <item x="170"/>
        <item m="1" x="174"/>
        <item m="1" x="173"/>
        <item x="171"/>
        <item t="default"/>
      </items>
      <autoSortScope>
        <pivotArea>
          <references count="1">
            <reference field="4294967294" count="1">
              <x v="0"/>
            </reference>
          </references>
        </pivotArea>
      </autoSortScope>
    </pivotField>
    <pivotField name="Year" axis="axisPage" dataField="1" compact="0" outline="0" multipleItemSelectionAllowed="1" showAl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6"/>
  </colFields>
  <colItems count="67">
    <i>
      <x v="31"/>
    </i>
    <i>
      <x v="2"/>
    </i>
    <i>
      <x v="6"/>
    </i>
    <i>
      <x v="14"/>
    </i>
    <i>
      <x v="22"/>
    </i>
    <i>
      <x v="21"/>
    </i>
    <i>
      <x v="12"/>
    </i>
    <i>
      <x v="5"/>
    </i>
    <i>
      <x v="4"/>
    </i>
    <i>
      <x v="7"/>
    </i>
    <i>
      <x v="60"/>
    </i>
    <i>
      <x v="30"/>
    </i>
    <i>
      <x v="136"/>
    </i>
    <i>
      <x v="33"/>
    </i>
    <i>
      <x v="39"/>
    </i>
    <i>
      <x v="53"/>
    </i>
    <i>
      <x v="67"/>
    </i>
    <i>
      <x v="38"/>
    </i>
    <i>
      <x v="54"/>
    </i>
    <i>
      <x v="20"/>
    </i>
    <i>
      <x v="34"/>
    </i>
    <i>
      <x v="8"/>
    </i>
    <i>
      <x v="56"/>
    </i>
    <i>
      <x v="45"/>
    </i>
    <i>
      <x v="101"/>
    </i>
    <i>
      <x v="3"/>
    </i>
    <i>
      <x v="13"/>
    </i>
    <i>
      <x v="152"/>
    </i>
    <i>
      <x v="158"/>
    </i>
    <i>
      <x v="69"/>
    </i>
    <i>
      <x v="65"/>
    </i>
    <i>
      <x v="36"/>
    </i>
    <i>
      <x v="16"/>
    </i>
    <i>
      <x v="10"/>
    </i>
    <i>
      <x v="29"/>
    </i>
    <i>
      <x v="25"/>
    </i>
    <i>
      <x v="116"/>
    </i>
    <i>
      <x v="24"/>
    </i>
    <i>
      <x v="43"/>
    </i>
    <i>
      <x v="18"/>
    </i>
    <i>
      <x v="15"/>
    </i>
    <i>
      <x v="142"/>
    </i>
    <i>
      <x/>
    </i>
    <i>
      <x v="17"/>
    </i>
    <i>
      <x v="106"/>
    </i>
    <i>
      <x v="50"/>
    </i>
    <i>
      <x v="72"/>
    </i>
    <i>
      <x v="119"/>
    </i>
    <i>
      <x v="89"/>
    </i>
    <i>
      <x v="1"/>
    </i>
    <i>
      <x v="164"/>
    </i>
    <i>
      <x v="147"/>
    </i>
    <i>
      <x v="94"/>
    </i>
    <i>
      <x v="149"/>
    </i>
    <i>
      <x v="23"/>
    </i>
    <i>
      <x v="32"/>
    </i>
    <i>
      <x v="70"/>
    </i>
    <i>
      <x v="87"/>
    </i>
    <i>
      <x v="52"/>
    </i>
    <i>
      <x v="66"/>
    </i>
    <i>
      <x v="161"/>
    </i>
    <i>
      <x v="122"/>
    </i>
    <i>
      <x v="73"/>
    </i>
    <i>
      <x v="11"/>
    </i>
    <i>
      <x v="95"/>
    </i>
    <i>
      <x v="123"/>
    </i>
    <i>
      <x v="84"/>
    </i>
  </colItems>
  <pageFields count="2">
    <pageField fld="0" hier="0"/>
    <pageField fld="7" hier="-1"/>
  </pageFields>
  <dataFields count="1">
    <dataField name="Min of Year" fld="7" subtotal="min"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3.xml><?xml version="1.0" encoding="utf-8"?>
<pivotTableDefinition xmlns="http://schemas.openxmlformats.org/spreadsheetml/2006/main" xmlns:mc="http://schemas.openxmlformats.org/markup-compatibility/2006" xmlns:xr="http://schemas.microsoft.com/office/spreadsheetml/2014/revision" mc:Ignorable="xr" xr:uid="{ECB1C4D2-CB5A-4C77-9B88-B49C8B763530}" name="Fig 43 Marginals" cacheId="56" applyNumberFormats="0" applyBorderFormats="0" applyFontFormats="0" applyPatternFormats="0" applyAlignmentFormats="0" applyWidthHeightFormats="0" dataCaption="" missingCaption="0" updatedVersion="8" compact="0" compactData="0">
  <location ref="A5:E30" firstHeaderRow="1" firstDataRow="2" firstDataCol="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Row"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Col" compact="0" outline="0" multipleItemSelectionAllowed="1" showAll="0" sortType="ascending">
      <items count="21">
        <item x="4"/>
        <item x="3"/>
        <item h="1" x="15"/>
        <item h="1" m="1" x="18"/>
        <item h="1" x="5"/>
        <item h="1" x="6"/>
        <item h="1" x="1"/>
        <item h="1" x="2"/>
        <item x="7"/>
        <item h="1" x="16"/>
        <item h="1" m="1" x="19"/>
        <item h="1" x="0"/>
        <item h="1" x="8"/>
        <item h="1" x="10"/>
        <item h="1" x="12"/>
        <item h="1" x="14"/>
        <item h="1" x="9"/>
        <item h="1" x="11"/>
        <item h="1" x="13"/>
        <item h="1"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4"/>
    </i>
    <i>
      <x v="15"/>
    </i>
    <i>
      <x v="16"/>
    </i>
    <i>
      <x v="17"/>
    </i>
    <i>
      <x v="18"/>
    </i>
    <i>
      <x v="19"/>
    </i>
    <i>
      <x v="20"/>
    </i>
    <i>
      <x v="21"/>
    </i>
    <i>
      <x v="22"/>
    </i>
    <i>
      <x v="23"/>
    </i>
    <i>
      <x v="24"/>
    </i>
    <i>
      <x v="25"/>
    </i>
    <i>
      <x v="26"/>
    </i>
    <i>
      <x v="27"/>
    </i>
    <i>
      <x v="28"/>
    </i>
    <i>
      <x v="29"/>
    </i>
    <i>
      <x v="30"/>
    </i>
    <i>
      <x v="31"/>
    </i>
    <i>
      <x v="32"/>
    </i>
    <i>
      <x v="33"/>
    </i>
    <i t="grand">
      <x/>
    </i>
  </rowItems>
  <colFields count="1">
    <field x="9"/>
  </colFields>
  <colItems count="4">
    <i>
      <x/>
    </i>
    <i>
      <x v="1"/>
    </i>
    <i>
      <x v="8"/>
    </i>
    <i t="grand">
      <x/>
    </i>
  </colItems>
  <dataFields count="1">
    <dataField name="Count of Activity Category" fld="0" subtotal="count" baseField="0"/>
  </dataFields>
  <formats count="3">
    <format dxfId="599">
      <pivotArea grandRow="1" outline="0" fieldPosition="0"/>
    </format>
    <format dxfId="598">
      <pivotArea dataOnly="0" labelOnly="1" grandRow="1" outline="0" fieldPosition="0"/>
    </format>
    <format dxfId="597">
      <pivotArea dataOnly="0"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4.xml><?xml version="1.0" encoding="utf-8"?>
<pivotTableDefinition xmlns="http://schemas.openxmlformats.org/spreadsheetml/2006/main" xmlns:mc="http://schemas.openxmlformats.org/markup-compatibility/2006" xmlns:xr="http://schemas.microsoft.com/office/spreadsheetml/2014/revision" mc:Ignorable="xr" xr:uid="{F9E653C3-E26D-430A-9D7A-3DE7A0838346}" name="Fig 46 PLA ML Mtgs" cacheId="19" applyNumberFormats="0" applyBorderFormats="0" applyFontFormats="0" applyPatternFormats="0" applyAlignmentFormats="0" applyWidthHeightFormats="0" dataCaption="" missingCaption="0" updatedVersion="8" compact="0" compactData="0" chartFormat="1">
  <location ref="A3:Z8" firstHeaderRow="1" firstDataRow="2" firstDataCol="1"/>
  <pivotFields count="24">
    <pivotField name="Activity Category"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x="9"/>
        <item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Row" dataField="1" compact="0" outline="0" multipleItemSelectionAllowed="1" showAll="0" sortType="ascending">
      <items count="21">
        <item h="1" x="4"/>
        <item h="1" x="3"/>
        <item h="1" x="15"/>
        <item h="1" m="1" x="18"/>
        <item h="1" x="5"/>
        <item h="1" x="6"/>
        <item x="1"/>
        <item x="2"/>
        <item h="1" x="7"/>
        <item x="16"/>
        <item h="1" m="1" x="19"/>
        <item h="1" x="0"/>
        <item h="1" x="8"/>
        <item h="1" x="10"/>
        <item h="1" x="12"/>
        <item h="1" x="14"/>
        <item h="1" x="9"/>
        <item h="1" x="11"/>
        <item h="1" x="13"/>
        <item h="1"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s>
  <rowFields count="1">
    <field x="9"/>
  </rowFields>
  <rowItems count="4">
    <i>
      <x v="6"/>
    </i>
    <i>
      <x v="7"/>
    </i>
    <i>
      <x v="9"/>
    </i>
    <i t="grand">
      <x/>
    </i>
  </rowItems>
  <colFields count="1">
    <field x="7"/>
  </colFields>
  <colItems count="25">
    <i>
      <x v="9"/>
    </i>
    <i>
      <x v="10"/>
    </i>
    <i>
      <x v="11"/>
    </i>
    <i>
      <x v="12"/>
    </i>
    <i>
      <x v="13"/>
    </i>
    <i>
      <x v="15"/>
    </i>
    <i>
      <x v="16"/>
    </i>
    <i>
      <x v="17"/>
    </i>
    <i>
      <x v="18"/>
    </i>
    <i>
      <x v="19"/>
    </i>
    <i>
      <x v="20"/>
    </i>
    <i>
      <x v="21"/>
    </i>
    <i>
      <x v="22"/>
    </i>
    <i>
      <x v="23"/>
    </i>
    <i>
      <x v="24"/>
    </i>
    <i>
      <x v="25"/>
    </i>
    <i>
      <x v="26"/>
    </i>
    <i>
      <x v="27"/>
    </i>
    <i>
      <x v="28"/>
    </i>
    <i>
      <x v="29"/>
    </i>
    <i>
      <x v="30"/>
    </i>
    <i>
      <x v="31"/>
    </i>
    <i>
      <x v="32"/>
    </i>
    <i>
      <x v="33"/>
    </i>
    <i t="grand">
      <x/>
    </i>
  </colItems>
  <dataFields count="1">
    <dataField name="Count of Activity Type" fld="9" subtotal="count" baseField="0"/>
  </dataFields>
  <formats count="4">
    <format dxfId="596">
      <pivotArea grandRow="1" outline="0" fieldPosition="0"/>
    </format>
    <format dxfId="595">
      <pivotArea dataOnly="0" labelOnly="1" grandRow="1" outline="0" fieldPosition="0"/>
    </format>
    <format dxfId="594">
      <pivotArea grandCol="1" outline="0" fieldPosition="0"/>
    </format>
    <format dxfId="593">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4817F34-7FE6-414B-87D8-EB438C784D4A}" name="AFRICOM Figure 6 3" cacheId="56" applyNumberFormats="0" applyBorderFormats="0" applyFontFormats="0" applyPatternFormats="0" applyAlignmentFormats="0" applyWidthHeightFormats="0" dataCaption="" missingCaption="0" updatedVersion="8" compact="0" compactData="0">
  <location ref="A66:J74"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h="1" x="32"/>
        <item h="1"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0"/>
        <item x="1"/>
        <item h="1" m="1" x="11"/>
        <item x="3"/>
        <item x="5"/>
        <item x="6"/>
        <item x="2"/>
        <item x="9"/>
        <item x="7"/>
        <item h="1"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9">
    <i>
      <x v="1"/>
    </i>
    <i>
      <x v="3"/>
    </i>
    <i>
      <x v="5"/>
    </i>
    <i>
      <x v="6"/>
    </i>
    <i>
      <x v="7"/>
    </i>
    <i>
      <x v="8"/>
    </i>
    <i>
      <x v="9"/>
    </i>
    <i>
      <x v="10"/>
    </i>
    <i t="grand">
      <x/>
    </i>
  </colItems>
  <pageFields count="2">
    <pageField fld="7" hier="0"/>
    <pageField fld="9" hier="0"/>
  </pageFields>
  <dataFields count="1">
    <dataField name="Count of Activity Category" fld="0" subtotal="count" baseField="0"/>
  </dataFields>
  <formats count="7">
    <format dxfId="870">
      <pivotArea grandRow="1" outline="0" fieldPosition="0"/>
    </format>
    <format dxfId="869">
      <pivotArea outline="0" fieldPosition="0">
        <references count="1">
          <reference field="5" count="1" selected="0">
            <x v="0"/>
          </reference>
        </references>
      </pivotArea>
    </format>
    <format dxfId="868">
      <pivotArea dataOnly="0" labelOnly="1" outline="0" fieldPosition="0">
        <references count="1">
          <reference field="5" count="1">
            <x v="0"/>
          </reference>
        </references>
      </pivotArea>
    </format>
    <format dxfId="867">
      <pivotArea grandRow="1" outline="0" fieldPosition="0"/>
    </format>
    <format dxfId="866">
      <pivotArea dataOnly="0" labelOnly="1" grandRow="1" outline="0" fieldPosition="0"/>
    </format>
    <format dxfId="865">
      <pivotArea grandCol="1" outline="0" fieldPosition="0"/>
    </format>
    <format dxfId="86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100-000013000000}" name="SOUTHCOM Figure 2 2" cacheId="14" applyNumberFormats="0" applyBorderFormats="0" applyFontFormats="0" applyPatternFormats="0" applyAlignmentFormats="0" applyWidthHeightFormats="0" dataCaption="" updatedVersion="8" rowGrandTotals="0" colGrandTotals="0" compact="0" compactData="0">
  <location ref="A31:R35"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7">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B952851-8C42-4971-A452-B8A4274F9003}" name="SOUTHCOM Figure 2 3" cacheId="56" applyNumberFormats="0" applyBorderFormats="0" applyFontFormats="0" applyPatternFormats="0" applyAlignmentFormats="0" applyWidthHeightFormats="0" dataCaption="" missingCaption="0" updatedVersion="8" compact="0" compactData="0">
  <location ref="A57:Y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h="1" x="3"/>
        <item h="1" x="4"/>
        <item x="5"/>
        <item h="1" x="6"/>
        <item h="1" x="7"/>
        <item h="1" x="0"/>
        <item t="default"/>
      </items>
    </pivotField>
    <pivotField name="Partner Country" compact="0" outline="0" multipleItemSelectionAllowed="1" showAll="0"/>
    <pivotField name="Year" axis="axisCol"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5" hier="0"/>
  </pageFields>
  <dataFields count="1">
    <dataField name="Count of Activity Category" fld="0" subtotal="count" baseField="0"/>
  </dataFields>
  <formats count="3">
    <format dxfId="863">
      <pivotArea dataOnly="0" grandRow="1" outline="0" fieldPosition="0"/>
    </format>
    <format dxfId="862">
      <pivotArea grandCol="1" outline="0" fieldPosition="0"/>
    </format>
    <format dxfId="861">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100-000011000000}" name="SOUTHCOM Figure 2" cacheId="14" applyNumberFormats="0" applyBorderFormats="0" applyFontFormats="0" applyPatternFormats="0" applyAlignmentFormats="0" applyWidthHeightFormats="0" dataCaption="" updatedVersion="8" rowGrandTotals="0" colGrandTotals="0" compact="0" compactData="0">
  <location ref="A4:Q8"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200-000014000000}" name="SOUTHCOM Figure 4 2" cacheId="14" applyNumberFormats="0" applyBorderFormats="0" applyFontFormats="0" applyPatternFormats="0" applyAlignmentFormats="0" applyWidthHeightFormats="0" dataCaption="" updatedVersion="8" rowGrandTotals="0" colGrandTotals="0" compact="0" compactData="0">
  <location ref="A36:R3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7">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C80BAEE-AD5D-4E16-8436-CA41AE77D2A0}" name="PivotTable1" cacheId="43" applyNumberFormats="0" applyBorderFormats="0" applyFontFormats="0" applyPatternFormats="0" applyAlignmentFormats="0" applyWidthHeightFormats="0" dataCaption="" missingCaption="0" updatedVersion="8" compact="0" compactData="0">
  <location ref="A5:E178" firstHeaderRow="1" firstDataRow="2" firstDataCol="1" rowPageCount="1" colPageCount="1"/>
  <pivotFields count="26">
    <pivotField name="Activity Category" axis="axisCol" dataField="1" compact="0" outline="0" multipleItemSelectionAllowed="1" showAll="0" sortType="ascending">
      <items count="6">
        <item x="2"/>
        <item x="0"/>
        <item x="1"/>
        <item h="1" m="1" x="4"/>
        <item h="1"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m="1" x="173"/>
        <item x="171"/>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72">
    <i>
      <x v="127"/>
    </i>
    <i>
      <x v="118"/>
    </i>
    <i>
      <x v="163"/>
    </i>
    <i>
      <x v="150"/>
    </i>
    <i>
      <x v="135"/>
    </i>
    <i>
      <x v="9"/>
    </i>
    <i>
      <x v="168"/>
    </i>
    <i>
      <x v="70"/>
    </i>
    <i>
      <x v="25"/>
    </i>
    <i>
      <x v="112"/>
    </i>
    <i>
      <x v="140"/>
    </i>
    <i>
      <x v="15"/>
    </i>
    <i>
      <x v="69"/>
    </i>
    <i>
      <x v="84"/>
    </i>
    <i>
      <x v="93"/>
    </i>
    <i>
      <x v="56"/>
    </i>
    <i>
      <x v="74"/>
    </i>
    <i>
      <x v="13"/>
    </i>
    <i>
      <x v="105"/>
    </i>
    <i>
      <x v="130"/>
    </i>
    <i>
      <x v="139"/>
    </i>
    <i>
      <x v="142"/>
    </i>
    <i>
      <x v="48"/>
    </i>
    <i>
      <x v="161"/>
    </i>
    <i>
      <x v="32"/>
    </i>
    <i>
      <x v="42"/>
    </i>
    <i>
      <x v="59"/>
    </i>
    <i>
      <x v="79"/>
    </i>
    <i>
      <x v="101"/>
    </i>
    <i>
      <x v="149"/>
    </i>
    <i>
      <x v="38"/>
    </i>
    <i>
      <x v="77"/>
    </i>
    <i>
      <x v="126"/>
    </i>
    <i>
      <x v="8"/>
    </i>
    <i>
      <x v="122"/>
    </i>
    <i>
      <x v="21"/>
    </i>
    <i>
      <x v="148"/>
    </i>
    <i>
      <x v="117"/>
    </i>
    <i>
      <x v="83"/>
    </i>
    <i>
      <x v="61"/>
    </i>
    <i>
      <x v="156"/>
    </i>
    <i>
      <x v="55"/>
    </i>
    <i>
      <x v="115"/>
    </i>
    <i>
      <x v="72"/>
    </i>
    <i>
      <x v="67"/>
    </i>
    <i>
      <x v="123"/>
    </i>
    <i>
      <x v="129"/>
    </i>
    <i>
      <x v="109"/>
    </i>
    <i>
      <x v="104"/>
    </i>
    <i>
      <x v="22"/>
    </i>
    <i>
      <x v="6"/>
    </i>
    <i>
      <x v="23"/>
    </i>
    <i>
      <x v="146"/>
    </i>
    <i>
      <x v="132"/>
    </i>
    <i>
      <x v="165"/>
    </i>
    <i>
      <x v="160"/>
    </i>
    <i>
      <x v="47"/>
    </i>
    <i>
      <x v="145"/>
    </i>
    <i>
      <x v="99"/>
    </i>
    <i>
      <x v="171"/>
    </i>
    <i>
      <x v="141"/>
    </i>
    <i>
      <x v="68"/>
    </i>
    <i>
      <x v="58"/>
    </i>
    <i>
      <x v="80"/>
    </i>
    <i>
      <x v="172"/>
    </i>
    <i>
      <x/>
    </i>
    <i>
      <x v="107"/>
    </i>
    <i>
      <x v="27"/>
    </i>
    <i>
      <x v="106"/>
    </i>
    <i>
      <x v="170"/>
    </i>
    <i>
      <x v="159"/>
    </i>
    <i>
      <x v="114"/>
    </i>
    <i>
      <x v="121"/>
    </i>
    <i>
      <x v="143"/>
    </i>
    <i>
      <x v="4"/>
    </i>
    <i>
      <x v="37"/>
    </i>
    <i>
      <x v="78"/>
    </i>
    <i>
      <x v="120"/>
    </i>
    <i>
      <x v="124"/>
    </i>
    <i>
      <x v="164"/>
    </i>
    <i>
      <x v="73"/>
    </i>
    <i>
      <x v="54"/>
    </i>
    <i>
      <x v="136"/>
    </i>
    <i>
      <x v="103"/>
    </i>
    <i>
      <x v="26"/>
    </i>
    <i>
      <x v="52"/>
    </i>
    <i>
      <x v="125"/>
    </i>
    <i>
      <x v="18"/>
    </i>
    <i>
      <x v="155"/>
    </i>
    <i>
      <x v="157"/>
    </i>
    <i>
      <x v="167"/>
    </i>
    <i>
      <x v="33"/>
    </i>
    <i>
      <x v="41"/>
    </i>
    <i>
      <x v="3"/>
    </i>
    <i>
      <x v="7"/>
    </i>
    <i>
      <x v="10"/>
    </i>
    <i>
      <x v="60"/>
    </i>
    <i>
      <x v="35"/>
    </i>
    <i>
      <x v="94"/>
    </i>
    <i>
      <x v="116"/>
    </i>
    <i>
      <x v="133"/>
    </i>
    <i>
      <x v="82"/>
    </i>
    <i>
      <x v="40"/>
    </i>
    <i>
      <x v="144"/>
    </i>
    <i>
      <x v="153"/>
    </i>
    <i>
      <x v="147"/>
    </i>
    <i>
      <x v="11"/>
    </i>
    <i>
      <x v="166"/>
    </i>
    <i>
      <x v="16"/>
    </i>
    <i>
      <x v="53"/>
    </i>
    <i>
      <x v="90"/>
    </i>
    <i>
      <x v="46"/>
    </i>
    <i>
      <x v="158"/>
    </i>
    <i>
      <x v="45"/>
    </i>
    <i>
      <x v="86"/>
    </i>
    <i>
      <x v="111"/>
    </i>
    <i>
      <x v="152"/>
    </i>
    <i>
      <x v="65"/>
    </i>
    <i>
      <x v="154"/>
    </i>
    <i>
      <x v="169"/>
    </i>
    <i>
      <x v="75"/>
    </i>
    <i>
      <x v="108"/>
    </i>
    <i>
      <x v="29"/>
    </i>
    <i>
      <x v="91"/>
    </i>
    <i>
      <x v="17"/>
    </i>
    <i>
      <x v="85"/>
    </i>
    <i>
      <x v="128"/>
    </i>
    <i>
      <x v="19"/>
    </i>
    <i>
      <x v="20"/>
    </i>
    <i>
      <x v="1"/>
    </i>
    <i>
      <x v="63"/>
    </i>
    <i>
      <x v="88"/>
    </i>
    <i>
      <x v="50"/>
    </i>
    <i>
      <x v="131"/>
    </i>
    <i>
      <x v="92"/>
    </i>
    <i>
      <x v="134"/>
    </i>
    <i>
      <x v="62"/>
    </i>
    <i>
      <x v="151"/>
    </i>
    <i>
      <x v="5"/>
    </i>
    <i>
      <x v="49"/>
    </i>
    <i>
      <x v="36"/>
    </i>
    <i>
      <x v="76"/>
    </i>
    <i>
      <x v="39"/>
    </i>
    <i>
      <x v="97"/>
    </i>
    <i>
      <x v="12"/>
    </i>
    <i>
      <x v="95"/>
    </i>
    <i>
      <x v="96"/>
    </i>
    <i>
      <x v="28"/>
    </i>
    <i>
      <x v="14"/>
    </i>
    <i>
      <x v="30"/>
    </i>
    <i>
      <x v="89"/>
    </i>
    <i>
      <x v="64"/>
    </i>
    <i>
      <x v="24"/>
    </i>
    <i>
      <x v="162"/>
    </i>
    <i>
      <x v="87"/>
    </i>
    <i>
      <x v="34"/>
    </i>
    <i>
      <x v="100"/>
    </i>
    <i>
      <x v="44"/>
    </i>
    <i>
      <x v="31"/>
    </i>
    <i>
      <x v="113"/>
    </i>
    <i>
      <x v="57"/>
    </i>
    <i>
      <x v="51"/>
    </i>
    <i>
      <x v="138"/>
    </i>
    <i>
      <x v="98"/>
    </i>
    <i>
      <x v="66"/>
    </i>
    <i>
      <x v="2"/>
    </i>
    <i>
      <x v="43"/>
    </i>
    <i>
      <x v="102"/>
    </i>
    <i>
      <x v="137"/>
    </i>
    <i>
      <x v="71"/>
    </i>
    <i>
      <x v="81"/>
    </i>
    <i t="grand">
      <x/>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910">
      <pivotArea dataOnly="0" grandRow="1" outline="0" fieldPosition="0"/>
    </format>
    <format dxfId="909">
      <pivotArea grandCol="1" outline="0" fieldPosition="0"/>
    </format>
    <format dxfId="908">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200-000015000000}" name="SOUTHCOM Figure 4" cacheId="14" applyNumberFormats="0" applyBorderFormats="0" applyFontFormats="0" applyPatternFormats="0" applyAlignmentFormats="0" applyWidthHeightFormats="0" dataCaption="" updatedVersion="8" rowGrandTotals="0" colGrandTotals="0" compact="0" compactData="0">
  <location ref="A11:Q14"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00B0251-4E37-45C5-BD30-0B353209F23C}" name="SOUTHCOM Figure 4 3" cacheId="56" applyNumberFormats="0" applyBorderFormats="0" applyFontFormats="0" applyPatternFormats="0" applyAlignmentFormats="0" applyWidthHeightFormats="0" dataCaption="" missingCaption="0" updatedVersion="8" compact="0" compactData="0">
  <location ref="A62:Y66"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h="1" x="3"/>
        <item h="1" x="4"/>
        <item x="5"/>
        <item h="1" x="6"/>
        <item h="1" x="7"/>
        <item h="1" x="0"/>
        <item t="default"/>
      </items>
    </pivotField>
    <pivotField name="Partner Country" compact="0" outline="0" multipleItemSelectionAllowed="1" showAll="0"/>
    <pivotField name="Year" axis="axisCol"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5" hier="0"/>
    <pageField fld="9" hier="0"/>
  </pageFields>
  <dataFields count="1">
    <dataField name="Count of Activity Category" fld="0" subtotal="count" baseField="0"/>
  </dataFields>
  <formats count="3">
    <format dxfId="860">
      <pivotArea grandCol="1" outline="0" fieldPosition="0"/>
    </format>
    <format dxfId="859">
      <pivotArea dataOnly="0" labelOnly="1" grandCol="1" outline="0" fieldPosition="0"/>
    </format>
    <format dxfId="858">
      <pivotArea dataOnly="0"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300-000018000000}" name="SOUTHCOM Figure 5 2" cacheId="14" applyNumberFormats="0" applyBorderFormats="0" applyFontFormats="0" applyPatternFormats="0" applyAlignmentFormats="0" applyWidthHeightFormats="0" dataCaption="" updatedVersion="8" colGrandTotals="0" compact="0" compactData="0">
  <location ref="A29:R31"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7">
    <i>
      <x v="12"/>
    </i>
    <i>
      <x v="13"/>
    </i>
    <i>
      <x v="14"/>
    </i>
    <i>
      <x v="15"/>
    </i>
    <i>
      <x v="16"/>
    </i>
    <i>
      <x v="17"/>
    </i>
    <i>
      <x v="18"/>
    </i>
    <i>
      <x v="19"/>
    </i>
    <i>
      <x v="20"/>
    </i>
    <i>
      <x v="21"/>
    </i>
    <i>
      <x v="22"/>
    </i>
    <i>
      <x v="23"/>
    </i>
    <i>
      <x v="24"/>
    </i>
    <i>
      <x v="25"/>
    </i>
    <i>
      <x v="26"/>
    </i>
    <i>
      <x v="27"/>
    </i>
    <i>
      <x v="28"/>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AFA49F8A-6EC5-4366-845B-1300301C2C18}" name="SOUTHCOM Figure 5 3" cacheId="56" applyNumberFormats="0" applyBorderFormats="0" applyFontFormats="0" applyPatternFormats="0" applyAlignmentFormats="0" applyWidthHeightFormats="0" dataCaption="" missingCaption="0" updatedVersion="8" compact="0" compactData="0">
  <location ref="A60:Y68"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0" hier="0"/>
    <pageField fld="9" hier="0"/>
  </pageFields>
  <dataFields count="1">
    <dataField name="Count of Activity Category" fld="0" subtotal="count" baseField="0"/>
  </dataFields>
  <formats count="5">
    <format dxfId="857">
      <pivotArea outline="0" fieldPosition="0">
        <references count="1">
          <reference field="5" count="1" selected="0">
            <x v="7"/>
          </reference>
        </references>
      </pivotArea>
    </format>
    <format dxfId="856">
      <pivotArea dataOnly="0" grandRow="1" outline="0" fieldPosition="0"/>
    </format>
    <format dxfId="855">
      <pivotArea grandCol="1" outline="0" fieldPosition="0"/>
    </format>
    <format dxfId="854">
      <pivotArea dataOnly="0" labelOnly="1" grandCol="1" outline="0" fieldPosition="0"/>
    </format>
    <format dxfId="853">
      <pivotArea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300-000019000000}" name="SOUTHCOM Figure 5" cacheId="14"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1400-00001B000000}" name="SOUTHCOM Figure 6 2" cacheId="14" applyNumberFormats="0" applyBorderFormats="0" applyFontFormats="0" applyPatternFormats="0" applyAlignmentFormats="0" applyWidthHeightFormats="0" dataCaption="" updatedVersion="8" colGrandTotals="0" compact="0" compactData="0">
  <location ref="A38:F40"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1400-00001C000000}" name="SOUTHCOM Figure 6" cacheId="14" applyNumberFormats="0" applyBorderFormats="0" applyFontFormats="0" applyPatternFormats="0" applyAlignmentFormats="0" applyWidthHeightFormats="0" dataCaption="" updatedVersion="8" colGrandTotals="0" compact="0" compactData="0">
  <location ref="A7:F9"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B3B7FE4-B20B-433F-8FC3-C13148813BDE}" name="SOUTHCOM Figure 6 3" cacheId="56" applyNumberFormats="0" applyBorderFormats="0" applyFontFormats="0" applyPatternFormats="0" applyAlignmentFormats="0" applyWidthHeightFormats="0" dataCaption="" missingCaption="0" updatedVersion="8" compact="0" compactData="0">
  <location ref="A67:J75" firstHeaderRow="1" firstDataRow="2"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h="1" x="32"/>
        <item h="1"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x="8"/>
        <item x="4"/>
        <item m="1" x="10"/>
        <item x="1"/>
        <item m="1" x="11"/>
        <item x="3"/>
        <item x="5"/>
        <item x="6"/>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9">
    <i>
      <x v="1"/>
    </i>
    <i>
      <x v="3"/>
    </i>
    <i>
      <x v="5"/>
    </i>
    <i>
      <x v="6"/>
    </i>
    <i>
      <x v="7"/>
    </i>
    <i>
      <x v="8"/>
    </i>
    <i>
      <x v="9"/>
    </i>
    <i>
      <x v="10"/>
    </i>
    <i t="grand">
      <x/>
    </i>
  </colItems>
  <pageFields count="3">
    <pageField fld="0" hier="0"/>
    <pageField fld="7" hier="0"/>
    <pageField fld="9" hier="0"/>
  </pageFields>
  <dataFields count="1">
    <dataField name="Count of Activity Category" fld="0" subtotal="count" baseField="0"/>
  </dataFields>
  <formats count="7">
    <format dxfId="852">
      <pivotArea outline="0" fieldPosition="0">
        <references count="1">
          <reference field="5" count="1" selected="0">
            <x v="7"/>
          </reference>
        </references>
      </pivotArea>
    </format>
    <format dxfId="851">
      <pivotArea grandRow="1" outline="0" fieldPosition="0"/>
    </format>
    <format dxfId="850">
      <pivotArea grandRow="1" outline="0" fieldPosition="0"/>
    </format>
    <format dxfId="849">
      <pivotArea dataOnly="0" labelOnly="1" grandRow="1" outline="0" fieldPosition="0"/>
    </format>
    <format dxfId="848">
      <pivotArea grandCol="1" outline="0" fieldPosition="0"/>
    </format>
    <format dxfId="847">
      <pivotArea dataOnly="0" labelOnly="1" grandCol="1" outline="0" fieldPosition="0"/>
    </format>
    <format dxfId="846">
      <pivotArea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500-00001F000000}" name="CENTCOM Figure 2 2" cacheId="14" applyNumberFormats="0" applyBorderFormats="0" applyFontFormats="0" applyPatternFormats="0" applyAlignmentFormats="0" applyWidthHeightFormats="0" dataCaption="" updatedVersion="8" rowGrandTotals="0" colGrandTotals="0" compact="0" compactData="0">
  <location ref="A31:R35"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7">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9627438E-A6D9-43CF-866F-7AD22323665A}" name="CENTCOM Figure 2 3" cacheId="56" applyNumberFormats="0" applyBorderFormats="0" applyFontFormats="0" applyPatternFormats="0" applyAlignmentFormats="0" applyWidthHeightFormats="0" dataCaption="" missingCaption="0" updatedVersion="8" compact="0" compactData="0">
  <location ref="A57:Y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x="1"/>
        <item h="1" x="2"/>
        <item h="1" x="3"/>
        <item h="1" x="4"/>
        <item h="1" x="5"/>
        <item h="1" x="6"/>
        <item h="1" x="7"/>
        <item h="1" x="0"/>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5" hier="0"/>
  </pageFields>
  <dataFields count="1">
    <dataField name="Count of Activity Category" fld="0" subtotal="count" baseField="0"/>
  </dataFields>
  <formats count="3">
    <format dxfId="845">
      <pivotArea grandCol="1" outline="0" fieldPosition="0"/>
    </format>
    <format dxfId="844">
      <pivotArea dataOnly="0" labelOnly="1" grandCol="1" outline="0" fieldPosition="0"/>
    </format>
    <format dxfId="843">
      <pivotArea dataOnly="0"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1B6A4F5-6205-476E-A9F0-9C56928D464F}" name="PACOM Figure 2" cacheId="56" applyNumberFormats="0" applyBorderFormats="0" applyFontFormats="0" applyPatternFormats="0" applyAlignmentFormats="0" applyWidthHeightFormats="0" dataCaption="" missingCaption="0" updatedVersion="8" compact="0" compactData="0" chartFormat="5">
  <location ref="A57:Y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m="1" x="8"/>
        <item h="1" x="1"/>
        <item h="1" x="2"/>
        <item h="1" x="3"/>
        <item h="1" x="4"/>
        <item h="1" x="5"/>
        <item h="1" x="6"/>
        <item h="1" x="7"/>
        <item x="0"/>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5" hier="0"/>
  </pageFields>
  <dataFields count="1">
    <dataField name="Count of Activity Category" fld="0" subtotal="count" baseField="0"/>
  </dataFields>
  <formats count="4">
    <format dxfId="907">
      <pivotArea grandRow="1" outline="0" fieldPosition="0"/>
    </format>
    <format dxfId="906">
      <pivotArea dataOnly="0" labelOnly="1" grandRow="1" outline="0" fieldPosition="0"/>
    </format>
    <format dxfId="905">
      <pivotArea field="7" grandRow="1" outline="0" axis="axisCol" fieldPosition="0">
        <references count="1">
          <reference field="7" count="0" selected="0"/>
        </references>
      </pivotArea>
    </format>
    <format dxfId="90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1500-00001D000000}" name="CENTCOM Figure 2" cacheId="14" applyNumberFormats="0" applyBorderFormats="0" applyFontFormats="0" applyPatternFormats="0" applyAlignmentFormats="0" applyWidthHeightFormats="0" dataCaption="" updatedVersion="8" rowGrandTotals="0" colGrandTotals="0" compact="0" compactData="0">
  <location ref="A4:Q8"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1600-000021000000}" name="CENTCOM Figure 4" cacheId="14" applyNumberFormats="0" applyBorderFormats="0" applyFontFormats="0" applyPatternFormats="0" applyAlignmentFormats="0" applyWidthHeightFormats="0" dataCaption="" updatedVersion="8" rowGrandTotals="0" colGrandTotals="0" compact="0" compactData="0">
  <location ref="A11:Q14"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1600-000020000000}" name="CENTCOM Figure 4 2" cacheId="14" applyNumberFormats="0" applyBorderFormats="0" applyFontFormats="0" applyPatternFormats="0" applyAlignmentFormats="0" applyWidthHeightFormats="0" dataCaption="" updatedVersion="8" rowGrandTotals="0" colGrandTotals="0" compact="0" compactData="0">
  <location ref="A36:R3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7">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A26772A4-B141-4FB4-8B39-B766E5D2576A}" name="CENTCOM Figure 4 3" cacheId="56" applyNumberFormats="0" applyBorderFormats="0" applyFontFormats="0" applyPatternFormats="0" applyAlignmentFormats="0" applyWidthHeightFormats="0" dataCaption="" missingCaption="0" updatedVersion="8" compact="0" compactData="0">
  <location ref="A62:Y66"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x="1"/>
        <item h="1" x="2"/>
        <item h="1" x="3"/>
        <item h="1" x="4"/>
        <item h="1" x="5"/>
        <item h="1" x="6"/>
        <item h="1" x="7"/>
        <item h="1" x="0"/>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5" hier="0"/>
    <pageField fld="9" hier="0"/>
  </pageFields>
  <dataFields count="1">
    <dataField name="Count of Activity Category" fld="0" subtotal="count" baseField="0"/>
  </dataFields>
  <formats count="4">
    <format dxfId="842">
      <pivotArea grandRow="1" outline="0" fieldPosition="0"/>
    </format>
    <format dxfId="841">
      <pivotArea dataOnly="0" labelOnly="1" grandRow="1" outline="0" fieldPosition="0"/>
    </format>
    <format dxfId="840">
      <pivotArea grandCol="1" outline="0" fieldPosition="0"/>
    </format>
    <format dxfId="83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1700-000024000000}" name="CENTCOM Figure 5 2" cacheId="14" applyNumberFormats="0" applyBorderFormats="0" applyFontFormats="0" applyPatternFormats="0" applyAlignmentFormats="0" applyWidthHeightFormats="0" dataCaption="" updatedVersion="8" colGrandTotals="0" compact="0" compactData="0">
  <location ref="A29:R31"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7">
    <i>
      <x v="12"/>
    </i>
    <i>
      <x v="13"/>
    </i>
    <i>
      <x v="14"/>
    </i>
    <i>
      <x v="15"/>
    </i>
    <i>
      <x v="16"/>
    </i>
    <i>
      <x v="17"/>
    </i>
    <i>
      <x v="18"/>
    </i>
    <i>
      <x v="19"/>
    </i>
    <i>
      <x v="20"/>
    </i>
    <i>
      <x v="21"/>
    </i>
    <i>
      <x v="22"/>
    </i>
    <i>
      <x v="23"/>
    </i>
    <i>
      <x v="24"/>
    </i>
    <i>
      <x v="25"/>
    </i>
    <i>
      <x v="26"/>
    </i>
    <i>
      <x v="27"/>
    </i>
    <i>
      <x v="28"/>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F8DFF4CB-9A16-4423-9EC1-0E1F42B85A2F}" name="CENTCOM Figure 5 3" cacheId="56" applyNumberFormats="0" applyBorderFormats="0" applyFontFormats="0" applyPatternFormats="0" applyAlignmentFormats="0" applyWidthHeightFormats="0" dataCaption="" missingCaption="0" updatedVersion="8" compact="0" compactData="0">
  <location ref="A60:Y68"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0" hier="0"/>
    <pageField fld="9" hier="0"/>
  </pageFields>
  <dataFields count="1">
    <dataField name="Count of Activity Category" fld="0" subtotal="count" baseField="0"/>
  </dataFields>
  <formats count="6">
    <format dxfId="838">
      <pivotArea grandRow="1" outline="0" fieldPosition="0"/>
    </format>
    <format dxfId="837">
      <pivotArea grandCol="1" outline="0" fieldPosition="0"/>
    </format>
    <format dxfId="836">
      <pivotArea dataOnly="0" labelOnly="1" grandCol="1" outline="0" fieldPosition="0"/>
    </format>
    <format dxfId="835">
      <pivotArea dataOnly="0" grandRow="1" outline="0" fieldPosition="0"/>
    </format>
    <format dxfId="834">
      <pivotArea dataOnly="0" grandRow="1" outline="0" fieldPosition="0"/>
    </format>
    <format dxfId="833">
      <pivotArea dataOnly="0" outline="0" fieldPosition="0">
        <references count="1">
          <reference field="5"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1700-000025000000}" name="CENTCOM Figure 5" cacheId="14"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1800-000028000000}" name="CENTCOM Figure 6" cacheId="14" applyNumberFormats="0" applyBorderFormats="0" applyFontFormats="0" applyPatternFormats="0" applyAlignmentFormats="0" applyWidthHeightFormats="0" dataCaption="" updatedVersion="8" colGrandTotals="0" compact="0" compactData="0">
  <location ref="A7:F9"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1800-000027000000}" name="CENTCOM Figure 6 2" cacheId="14" applyNumberFormats="0" applyBorderFormats="0" applyFontFormats="0" applyPatternFormats="0" applyAlignmentFormats="0" applyWidthHeightFormats="0" dataCaption="" updatedVersion="8" colGrandTotals="0" compact="0" compactData="0">
  <location ref="A38:F40"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7B1E592B-7FB2-477F-BC9B-EEDC78496A72}" name="CENTCOM Figure 6 3" cacheId="56" applyNumberFormats="0" applyBorderFormats="0" applyFontFormats="0" applyPatternFormats="0" applyAlignmentFormats="0" applyWidthHeightFormats="0" dataCaption="" missingCaption="0" updatedVersion="8" compact="0" compactData="0">
  <location ref="A66:J74" firstHeaderRow="1" firstDataRow="2"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h="1" x="31"/>
        <item h="1" x="32"/>
        <item h="1"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0"/>
        <item x="1"/>
        <item h="1" m="1" x="11"/>
        <item x="3"/>
        <item x="5"/>
        <item x="6"/>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9">
    <i>
      <x v="1"/>
    </i>
    <i>
      <x v="3"/>
    </i>
    <i>
      <x v="5"/>
    </i>
    <i>
      <x v="6"/>
    </i>
    <i>
      <x v="7"/>
    </i>
    <i>
      <x v="8"/>
    </i>
    <i>
      <x v="9"/>
    </i>
    <i>
      <x v="10"/>
    </i>
    <i t="grand">
      <x/>
    </i>
  </colItems>
  <pageFields count="3">
    <pageField fld="0" hier="0"/>
    <pageField fld="7" hier="0"/>
    <pageField fld="9" hier="0"/>
  </pageFields>
  <dataFields count="1">
    <dataField name="Count of Activity Category" fld="0" subtotal="count" baseField="0"/>
  </dataFields>
  <formats count="9">
    <format dxfId="832">
      <pivotArea grandRow="1" outline="0" fieldPosition="0"/>
    </format>
    <format dxfId="831">
      <pivotArea grandRow="1" outline="0" fieldPosition="0"/>
    </format>
    <format dxfId="830">
      <pivotArea dataOnly="0" labelOnly="1" grandRow="1" outline="0" fieldPosition="0"/>
    </format>
    <format dxfId="829">
      <pivotArea grandRow="1" outline="0" fieldPosition="0"/>
    </format>
    <format dxfId="828">
      <pivotArea dataOnly="0" labelOnly="1" grandRow="1" outline="0" fieldPosition="0"/>
    </format>
    <format dxfId="827">
      <pivotArea grandCol="1" outline="0" fieldPosition="0"/>
    </format>
    <format dxfId="826">
      <pivotArea dataOnly="0" labelOnly="1" grandCol="1" outline="0" fieldPosition="0"/>
    </format>
    <format dxfId="825">
      <pivotArea outline="0" fieldPosition="0">
        <references count="1">
          <reference field="5" count="1" selected="0">
            <x v="1"/>
          </reference>
        </references>
      </pivotArea>
    </format>
    <format dxfId="824">
      <pivotArea dataOnly="0" labelOnly="1" outline="0" fieldPosition="0">
        <references count="1">
          <reference field="5"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FD4B10B-22B4-4710-A416-D7FE64B2E550}" name="PACOM Figure 4 3" cacheId="56" applyNumberFormats="0" applyBorderFormats="0" applyFontFormats="0" applyPatternFormats="0" applyAlignmentFormats="0" applyWidthHeightFormats="0" dataCaption="" missingCaption="0" updatedVersion="8" compact="0" compactData="0" chartFormat="3">
  <location ref="A8:Y12" firstHeaderRow="1" firstDataRow="2" firstDataCol="1" rowPageCount="3" colPageCount="1"/>
  <pivotFields count="26">
    <pivotField name="Activity Category" axis="axisPage" dataField="1"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m="1" x="8"/>
        <item h="1" x="1"/>
        <item h="1" x="2"/>
        <item h="1" x="3"/>
        <item h="1" x="4"/>
        <item h="1" x="5"/>
        <item h="1" x="6"/>
        <item h="1" x="7"/>
        <item x="0"/>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3">
    <pageField fld="0" hier="0"/>
    <pageField fld="5" hier="0"/>
    <pageField fld="9" hier="0"/>
  </pageFields>
  <dataFields count="1">
    <dataField name="Count of Activity Category" fld="0" subtotal="count" baseField="0"/>
  </dataFields>
  <formats count="3">
    <format dxfId="903">
      <pivotArea dataOnly="0" grandCol="1" outline="0" fieldPosition="0"/>
    </format>
    <format dxfId="902">
      <pivotArea grandRow="1" outline="0" fieldPosition="0"/>
    </format>
    <format dxfId="901">
      <pivotArea dataOnly="0" labelOnly="1" grandRow="1" outline="0" fieldPosition="0"/>
    </format>
  </formats>
  <chartFormats count="23">
    <chartFormat chart="0" format="0" series="1">
      <pivotArea type="data" outline="0" fieldPosition="0">
        <references count="2">
          <reference field="4294967294" count="1" selected="0">
            <x v="0"/>
          </reference>
          <reference field="7" count="1" selected="0">
            <x v="11"/>
          </reference>
        </references>
      </pivotArea>
    </chartFormat>
    <chartFormat chart="0" format="1" series="1">
      <pivotArea type="data" outline="0" fieldPosition="0">
        <references count="2">
          <reference field="4294967294" count="1" selected="0">
            <x v="0"/>
          </reference>
          <reference field="7" count="1" selected="0">
            <x v="12"/>
          </reference>
        </references>
      </pivotArea>
    </chartFormat>
    <chartFormat chart="0" format="2" series="1">
      <pivotArea type="data" outline="0" fieldPosition="0">
        <references count="2">
          <reference field="4294967294" count="1" selected="0">
            <x v="0"/>
          </reference>
          <reference field="7" count="1" selected="0">
            <x v="13"/>
          </reference>
        </references>
      </pivotArea>
    </chartFormat>
    <chartFormat chart="0" format="3" series="1">
      <pivotArea type="data" outline="0" fieldPosition="0">
        <references count="2">
          <reference field="4294967294" count="1" selected="0">
            <x v="0"/>
          </reference>
          <reference field="7" count="1" selected="0">
            <x v="14"/>
          </reference>
        </references>
      </pivotArea>
    </chartFormat>
    <chartFormat chart="0" format="4" series="1">
      <pivotArea type="data" outline="0" fieldPosition="0">
        <references count="2">
          <reference field="4294967294" count="1" selected="0">
            <x v="0"/>
          </reference>
          <reference field="7" count="1" selected="0">
            <x v="15"/>
          </reference>
        </references>
      </pivotArea>
    </chartFormat>
    <chartFormat chart="0" format="5" series="1">
      <pivotArea type="data" outline="0" fieldPosition="0">
        <references count="2">
          <reference field="4294967294" count="1" selected="0">
            <x v="0"/>
          </reference>
          <reference field="7" count="1" selected="0">
            <x v="16"/>
          </reference>
        </references>
      </pivotArea>
    </chartFormat>
    <chartFormat chart="0" format="6" series="1">
      <pivotArea type="data" outline="0" fieldPosition="0">
        <references count="2">
          <reference field="4294967294" count="1" selected="0">
            <x v="0"/>
          </reference>
          <reference field="7" count="1" selected="0">
            <x v="17"/>
          </reference>
        </references>
      </pivotArea>
    </chartFormat>
    <chartFormat chart="0" format="7" series="1">
      <pivotArea type="data" outline="0" fieldPosition="0">
        <references count="2">
          <reference field="4294967294" count="1" selected="0">
            <x v="0"/>
          </reference>
          <reference field="7" count="1" selected="0">
            <x v="18"/>
          </reference>
        </references>
      </pivotArea>
    </chartFormat>
    <chartFormat chart="0" format="8" series="1">
      <pivotArea type="data" outline="0" fieldPosition="0">
        <references count="2">
          <reference field="4294967294" count="1" selected="0">
            <x v="0"/>
          </reference>
          <reference field="7" count="1" selected="0">
            <x v="19"/>
          </reference>
        </references>
      </pivotArea>
    </chartFormat>
    <chartFormat chart="0" format="9" series="1">
      <pivotArea type="data" outline="0" fieldPosition="0">
        <references count="2">
          <reference field="4294967294" count="1" selected="0">
            <x v="0"/>
          </reference>
          <reference field="7" count="1" selected="0">
            <x v="20"/>
          </reference>
        </references>
      </pivotArea>
    </chartFormat>
    <chartFormat chart="0" format="10" series="1">
      <pivotArea type="data" outline="0" fieldPosition="0">
        <references count="2">
          <reference field="4294967294" count="1" selected="0">
            <x v="0"/>
          </reference>
          <reference field="7" count="1" selected="0">
            <x v="21"/>
          </reference>
        </references>
      </pivotArea>
    </chartFormat>
    <chartFormat chart="0" format="11" series="1">
      <pivotArea type="data" outline="0" fieldPosition="0">
        <references count="2">
          <reference field="4294967294" count="1" selected="0">
            <x v="0"/>
          </reference>
          <reference field="7" count="1" selected="0">
            <x v="22"/>
          </reference>
        </references>
      </pivotArea>
    </chartFormat>
    <chartFormat chart="0" format="12" series="1">
      <pivotArea type="data" outline="0" fieldPosition="0">
        <references count="2">
          <reference field="4294967294" count="1" selected="0">
            <x v="0"/>
          </reference>
          <reference field="7" count="1" selected="0">
            <x v="23"/>
          </reference>
        </references>
      </pivotArea>
    </chartFormat>
    <chartFormat chart="0" format="13" series="1">
      <pivotArea type="data" outline="0" fieldPosition="0">
        <references count="2">
          <reference field="4294967294" count="1" selected="0">
            <x v="0"/>
          </reference>
          <reference field="7" count="1" selected="0">
            <x v="24"/>
          </reference>
        </references>
      </pivotArea>
    </chartFormat>
    <chartFormat chart="0" format="14" series="1">
      <pivotArea type="data" outline="0" fieldPosition="0">
        <references count="2">
          <reference field="4294967294" count="1" selected="0">
            <x v="0"/>
          </reference>
          <reference field="7" count="1" selected="0">
            <x v="25"/>
          </reference>
        </references>
      </pivotArea>
    </chartFormat>
    <chartFormat chart="0" format="15" series="1">
      <pivotArea type="data" outline="0" fieldPosition="0">
        <references count="2">
          <reference field="4294967294" count="1" selected="0">
            <x v="0"/>
          </reference>
          <reference field="7" count="1" selected="0">
            <x v="26"/>
          </reference>
        </references>
      </pivotArea>
    </chartFormat>
    <chartFormat chart="0" format="16" series="1">
      <pivotArea type="data" outline="0" fieldPosition="0">
        <references count="2">
          <reference field="4294967294" count="1" selected="0">
            <x v="0"/>
          </reference>
          <reference field="7" count="1" selected="0">
            <x v="27"/>
          </reference>
        </references>
      </pivotArea>
    </chartFormat>
    <chartFormat chart="0" format="17" series="1">
      <pivotArea type="data" outline="0" fieldPosition="0">
        <references count="2">
          <reference field="4294967294" count="1" selected="0">
            <x v="0"/>
          </reference>
          <reference field="7" count="1" selected="0">
            <x v="28"/>
          </reference>
        </references>
      </pivotArea>
    </chartFormat>
    <chartFormat chart="0" format="18" series="1">
      <pivotArea type="data" outline="0" fieldPosition="0">
        <references count="2">
          <reference field="4294967294" count="1" selected="0">
            <x v="0"/>
          </reference>
          <reference field="7" count="1" selected="0">
            <x v="29"/>
          </reference>
        </references>
      </pivotArea>
    </chartFormat>
    <chartFormat chart="0" format="19" series="1">
      <pivotArea type="data" outline="0" fieldPosition="0">
        <references count="2">
          <reference field="4294967294" count="1" selected="0">
            <x v="0"/>
          </reference>
          <reference field="7" count="1" selected="0">
            <x v="30"/>
          </reference>
        </references>
      </pivotArea>
    </chartFormat>
    <chartFormat chart="0" format="20" series="1">
      <pivotArea type="data" outline="0" fieldPosition="0">
        <references count="2">
          <reference field="4294967294" count="1" selected="0">
            <x v="0"/>
          </reference>
          <reference field="7" count="1" selected="0">
            <x v="31"/>
          </reference>
        </references>
      </pivotArea>
    </chartFormat>
    <chartFormat chart="0" format="21" series="1">
      <pivotArea type="data" outline="0" fieldPosition="0">
        <references count="2">
          <reference field="4294967294" count="1" selected="0">
            <x v="0"/>
          </reference>
          <reference field="7" count="1" selected="0">
            <x v="32"/>
          </reference>
        </references>
      </pivotArea>
    </chartFormat>
    <chartFormat chart="0" format="22" series="1">
      <pivotArea type="data" outline="0" fieldPosition="0">
        <references count="2">
          <reference field="4294967294" count="1" selected="0">
            <x v="0"/>
          </reference>
          <reference field="7" count="1" selected="0">
            <x v="3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1900-000029000000}" name="EUCOM Figure 2" cacheId="14" applyNumberFormats="0" applyBorderFormats="0" applyFontFormats="0" applyPatternFormats="0" applyAlignmentFormats="0" applyWidthHeightFormats="0" dataCaption="" updatedVersion="8" rowGrandTotals="0" colGrandTotals="0" compact="0" compactData="0">
  <location ref="A4:Q8"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D50DD9F1-4446-4AA0-BCC0-6181290C09FF}" name="EUCOM Figure 2 3" cacheId="56" applyNumberFormats="0" applyBorderFormats="0" applyFontFormats="0" applyPatternFormats="0" applyAlignmentFormats="0" applyWidthHeightFormats="0" dataCaption="" missingCaption="0" updatedVersion="8" compact="0" compactData="0">
  <location ref="A57:Y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x="3"/>
        <item h="1" x="4"/>
        <item h="1" x="5"/>
        <item h="1" x="6"/>
        <item h="1" x="7"/>
        <item h="1" x="0"/>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5"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1900-00002B000000}" name="EUCOM Figure 2 2" cacheId="14" applyNumberFormats="0" applyBorderFormats="0" applyFontFormats="0" applyPatternFormats="0" applyAlignmentFormats="0" applyWidthHeightFormats="0" dataCaption="" updatedVersion="8" rowGrandTotals="0" colGrandTotals="0" compact="0" compactData="0">
  <location ref="A31:R35"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7">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1A00-00002D000000}" name="EUCOM Figure 4" cacheId="14" applyNumberFormats="0" applyBorderFormats="0" applyFontFormats="0" applyPatternFormats="0" applyAlignmentFormats="0" applyWidthHeightFormats="0" dataCaption="" updatedVersion="8" rowGrandTotals="0" colGrandTotals="0" compact="0" compactData="0">
  <location ref="A11:Q14"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1A00-00002C000000}" name="EUCOM Figure 4 2" cacheId="14" applyNumberFormats="0" applyBorderFormats="0" applyFontFormats="0" applyPatternFormats="0" applyAlignmentFormats="0" applyWidthHeightFormats="0" dataCaption="" updatedVersion="8" rowGrandTotals="0" colGrandTotals="0" compact="0" compactData="0">
  <location ref="A36:R3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7">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E9DC61B9-D5DC-4E65-8622-AA44585BE0EA}" name="EUCOM Figure 4 3" cacheId="56" applyNumberFormats="0" applyBorderFormats="0" applyFontFormats="0" applyPatternFormats="0" applyAlignmentFormats="0" applyWidthHeightFormats="0" dataCaption="" missingCaption="0" updatedVersion="8" compact="0" compactData="0">
  <location ref="A62:Y66"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x="3"/>
        <item h="1" x="4"/>
        <item h="1" x="5"/>
        <item h="1" x="6"/>
        <item h="1" x="7"/>
        <item h="1" x="0"/>
        <item t="default"/>
      </items>
    </pivotField>
    <pivotField name="Partner Country" compact="0" outline="0" multipleItemSelectionAllowed="1" showAll="0"/>
    <pivotField name="Year" axis="axisCol"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5" hier="0"/>
    <pageField fld="9" hier="0"/>
  </pageFields>
  <dataFields count="1">
    <dataField name="Count of Activity Category" fld="0" subtotal="count" baseField="0"/>
  </dataFields>
  <formats count="4">
    <format dxfId="823">
      <pivotArea grandRow="1" outline="0" fieldPosition="0"/>
    </format>
    <format dxfId="822">
      <pivotArea dataOnly="0" labelOnly="1" grandRow="1" outline="0" fieldPosition="0"/>
    </format>
    <format dxfId="821">
      <pivotArea grandCol="1" outline="0" fieldPosition="0"/>
    </format>
    <format dxfId="82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1B00-000030000000}" name="EUCOM Figure 5 2" cacheId="14" applyNumberFormats="0" applyBorderFormats="0" applyFontFormats="0" applyPatternFormats="0" applyAlignmentFormats="0" applyWidthHeightFormats="0" dataCaption="" updatedVersion="8" colGrandTotals="0" compact="0" compactData="0">
  <location ref="A29:R31"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7">
    <i>
      <x v="12"/>
    </i>
    <i>
      <x v="13"/>
    </i>
    <i>
      <x v="14"/>
    </i>
    <i>
      <x v="15"/>
    </i>
    <i>
      <x v="16"/>
    </i>
    <i>
      <x v="17"/>
    </i>
    <i>
      <x v="18"/>
    </i>
    <i>
      <x v="19"/>
    </i>
    <i>
      <x v="20"/>
    </i>
    <i>
      <x v="21"/>
    </i>
    <i>
      <x v="22"/>
    </i>
    <i>
      <x v="23"/>
    </i>
    <i>
      <x v="24"/>
    </i>
    <i>
      <x v="25"/>
    </i>
    <i>
      <x v="26"/>
    </i>
    <i>
      <x v="27"/>
    </i>
    <i>
      <x v="28"/>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BE3CEE8-3B7C-4F6C-BF45-67B899448FAB}" name="EUCOM Figure 5 3" cacheId="56" applyNumberFormats="0" applyBorderFormats="0" applyFontFormats="0" applyPatternFormats="0" applyAlignmentFormats="0" applyWidthHeightFormats="0" dataCaption="" missingCaption="0" updatedVersion="8" compact="0" compactData="0">
  <location ref="A60:Y68"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0" hier="0"/>
    <pageField fld="9" hier="0"/>
  </pageFields>
  <dataFields count="1">
    <dataField name="Count of Activity Category" fld="0" subtotal="count" baseField="0"/>
  </dataFields>
  <formats count="8">
    <format dxfId="819">
      <pivotArea outline="0" fieldPosition="0">
        <references count="1">
          <reference field="5" count="1" selected="0">
            <x v="2"/>
          </reference>
        </references>
      </pivotArea>
    </format>
    <format dxfId="818">
      <pivotArea grandRow="1" outline="0" fieldPosition="0"/>
    </format>
    <format dxfId="817">
      <pivotArea grandRow="1" outline="0" fieldPosition="0"/>
    </format>
    <format dxfId="816">
      <pivotArea dataOnly="0" labelOnly="1" grandRow="1" outline="0" fieldPosition="0"/>
    </format>
    <format dxfId="815">
      <pivotArea grandRow="1" outline="0" fieldPosition="0"/>
    </format>
    <format dxfId="814">
      <pivotArea dataOnly="0" labelOnly="1" grandRow="1" outline="0" fieldPosition="0"/>
    </format>
    <format dxfId="813">
      <pivotArea dataOnly="0" grandCol="1" outline="0" axis="axisCol" fieldPosition="0"/>
    </format>
    <format dxfId="812">
      <pivotArea dataOnly="0" labelOnly="1" outline="0" fieldPosition="0">
        <references count="1">
          <reference field="5" count="1">
            <x v="2"/>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1B00-000031000000}" name="EUCOM Figure 5" cacheId="14"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1C00-000034000000}" name="EUCOM Figure 6" cacheId="14" applyNumberFormats="0" applyBorderFormats="0" applyFontFormats="0" applyPatternFormats="0" applyAlignmentFormats="0" applyWidthHeightFormats="0" dataCaption="" updatedVersion="8" colGrandTotals="0" compact="0" compactData="0">
  <location ref="A7:F9"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A00-000005000000}" name="PACOM Figure 5" cacheId="14"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1C00-000033000000}" name="EUCOM Figure 6 2" cacheId="14" applyNumberFormats="0" applyBorderFormats="0" applyFontFormats="0" applyPatternFormats="0" applyAlignmentFormats="0" applyWidthHeightFormats="0" dataCaption="" updatedVersion="8" colGrandTotals="0" compact="0" compactData="0">
  <location ref="A38:F40"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9BB9EF1B-38B0-413D-BBD3-B7CD237C5071}" name="EUCOM Figure 6 3" cacheId="56" applyNumberFormats="0" applyBorderFormats="0" applyFontFormats="0" applyPatternFormats="0" applyAlignmentFormats="0" applyWidthHeightFormats="0" dataCaption="" missingCaption="0" updatedVersion="8" compact="0" compactData="0">
  <location ref="A66:I74" firstHeaderRow="1" firstDataRow="2"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h="1" x="32"/>
        <item h="1"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x="8"/>
        <item x="4"/>
        <item h="1" m="1" x="10"/>
        <item x="1"/>
        <item h="1" m="1" x="11"/>
        <item x="3"/>
        <item h="1" x="5"/>
        <item x="6"/>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8">
    <i>
      <x v="1"/>
    </i>
    <i>
      <x v="3"/>
    </i>
    <i>
      <x v="5"/>
    </i>
    <i>
      <x v="7"/>
    </i>
    <i>
      <x v="8"/>
    </i>
    <i>
      <x v="9"/>
    </i>
    <i>
      <x v="10"/>
    </i>
    <i t="grand">
      <x/>
    </i>
  </colItems>
  <pageFields count="3">
    <pageField fld="0" hier="0"/>
    <pageField fld="7" hier="0"/>
    <pageField fld="9" hier="0"/>
  </pageFields>
  <dataFields count="1">
    <dataField name="Count of Activity Category" fld="0" subtotal="count" baseField="0"/>
  </dataFields>
  <formats count="7">
    <format dxfId="811">
      <pivotArea outline="0" fieldPosition="0">
        <references count="1">
          <reference field="5" count="1" selected="0">
            <x v="2"/>
          </reference>
        </references>
      </pivotArea>
    </format>
    <format dxfId="810">
      <pivotArea grandRow="1" outline="0" fieldPosition="0"/>
    </format>
    <format dxfId="809">
      <pivotArea dataOnly="0" labelOnly="1" outline="0" fieldPosition="0">
        <references count="1">
          <reference field="5" count="1">
            <x v="2"/>
          </reference>
        </references>
      </pivotArea>
    </format>
    <format dxfId="808">
      <pivotArea grandRow="1" outline="0" fieldPosition="0"/>
    </format>
    <format dxfId="807">
      <pivotArea dataOnly="0" labelOnly="1" grandRow="1" outline="0" fieldPosition="0"/>
    </format>
    <format dxfId="806">
      <pivotArea grandCol="1" outline="0" fieldPosition="0"/>
    </format>
    <format dxfId="80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B07DEFD9-C1B2-43D5-B2D5-0D2C187B208C}" name="Europe Figure 2 3" cacheId="56" applyNumberFormats="0" applyBorderFormats="0" applyFontFormats="0" applyPatternFormats="0" applyAlignmentFormats="0" applyWidthHeightFormats="0" dataCaption="" missingCaption="0" updatedVersion="8" compact="0" compactData="0" chartFormat="13">
  <location ref="A57:Y62" firstHeaderRow="1" firstDataRow="2" firstDataCol="1" rowPageCount="2"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axis="axisPage" compact="0" outline="0" multipleItemSelectionAllowed="1" showAll="0">
      <items count="14">
        <item h="1" x="0"/>
        <item h="1" x="1"/>
        <item h="1" x="2"/>
        <item h="1" x="3"/>
        <item h="1" x="4"/>
        <item h="1" x="5"/>
        <item h="1" x="6"/>
        <item h="1" x="7"/>
        <item x="8"/>
        <item h="1" x="9"/>
        <item h="1" x="10"/>
        <item h="1" x="1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x="3"/>
        <item h="1" x="4"/>
        <item h="1" x="5"/>
        <item h="1" x="6"/>
        <item h="1" x="7"/>
        <item h="1" x="0"/>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1" hier="0"/>
    <pageField fld="5" hier="0"/>
  </pageFields>
  <dataFields count="1">
    <dataField name="Count of Activity Category" fld="0" subtotal="count" baseField="0"/>
  </dataFields>
  <formats count="3">
    <format dxfId="804">
      <pivotArea grandRow="1" outline="0" fieldPosition="0"/>
    </format>
    <format dxfId="803">
      <pivotArea dataOnly="0" labelOnly="1" grandRow="1" outline="0" fieldPosition="0"/>
    </format>
    <format dxfId="802">
      <pivotArea dataOnly="0"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1D00-000037000000}" name="Europe Figure 2 2" cacheId="14" applyNumberFormats="0" applyBorderFormats="0" applyFontFormats="0" applyPatternFormats="0" applyAlignmentFormats="0" applyWidthHeightFormats="0" dataCaption="" updatedVersion="8" rowGrandTotals="0" colGrandTotals="0" compact="0" compactData="0">
  <location ref="A31:R35"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7">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1D00-000035000000}" name="Europe Figure 2" cacheId="14" applyNumberFormats="0" applyBorderFormats="0" applyFontFormats="0" applyPatternFormats="0" applyAlignmentFormats="0" applyWidthHeightFormats="0" dataCaption="" updatedVersion="8" rowGrandTotals="0" colGrandTotals="0" compact="0" compactData="0">
  <location ref="A4:Q8"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1E00-000039000000}" name="Europe Figure 4 2" cacheId="14" applyNumberFormats="0" applyBorderFormats="0" applyFontFormats="0" applyPatternFormats="0" applyAlignmentFormats="0" applyWidthHeightFormats="0" dataCaption="" updatedVersion="8" rowGrandTotals="0" colGrandTotals="0" compact="0" compactData="0">
  <location ref="A36:R3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7">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48706C9D-8CEF-4182-92A2-0A0FA4D297B8}" name="Europe Figure 4 3" cacheId="56" applyNumberFormats="0" applyBorderFormats="0" applyFontFormats="0" applyPatternFormats="0" applyAlignmentFormats="0" applyWidthHeightFormats="0" dataCaption="" missingCaption="0" updatedVersion="8" compact="0" compactData="0">
  <location ref="A62:Y66" firstHeaderRow="1" firstDataRow="2" firstDataCol="1" rowPageCount="3" colPageCount="1"/>
  <pivotFields count="26">
    <pivotField name="Activity Category" dataField="1" compact="0" outline="0" multipleItemSelectionAllowed="1" showAll="0"/>
    <pivotField name="Geographic Region" axis="axisPage" compact="0" outline="0" multipleItemSelectionAllowed="1" showAll="0">
      <items count="14">
        <item h="1" x="0"/>
        <item h="1" x="1"/>
        <item h="1" x="2"/>
        <item h="1" x="3"/>
        <item h="1" x="4"/>
        <item h="1" x="5"/>
        <item h="1" x="6"/>
        <item h="1" x="7"/>
        <item x="8"/>
        <item h="1" x="9"/>
        <item h="1" x="10"/>
        <item h="1" x="1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x="3"/>
        <item h="1" x="4"/>
        <item h="1" x="5"/>
        <item h="1" x="6"/>
        <item h="1" x="7"/>
        <item h="1" x="0"/>
        <item t="default"/>
      </items>
    </pivotField>
    <pivotField name="Partner Country" compact="0" outline="0" multipleItemSelectionAllowed="1" showAll="0"/>
    <pivotField name="Year" axis="axisCol"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3">
    <pageField fld="1" hier="0"/>
    <pageField fld="5" hier="0"/>
    <pageField fld="9" hier="0"/>
  </pageFields>
  <dataFields count="1">
    <dataField name="Count of Activity Category" fld="0" subtotal="count" baseField="0"/>
  </dataFields>
  <formats count="3">
    <format dxfId="801">
      <pivotArea grandRow="1" outline="0" fieldPosition="0"/>
    </format>
    <format dxfId="800">
      <pivotArea dataOnly="0" labelOnly="1" grandRow="1" outline="0" fieldPosition="0"/>
    </format>
    <format dxfId="799">
      <pivotArea dataOnly="0"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1E00-00003A000000}" name="Europe Figure 4" cacheId="14" applyNumberFormats="0" applyBorderFormats="0" applyFontFormats="0" applyPatternFormats="0" applyAlignmentFormats="0" applyWidthHeightFormats="0" dataCaption="" updatedVersion="8" rowGrandTotals="0" colGrandTotals="0" compact="0" compactData="0">
  <location ref="A11:Q14"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1F00-00003D000000}" name="NORTHCOM Figure 2" cacheId="14" applyNumberFormats="0" applyBorderFormats="0" applyFontFormats="0" applyPatternFormats="0" applyAlignmentFormats="0" applyWidthHeightFormats="0" dataCaption="" updatedVersion="8" rowGrandTotals="0" colGrandTotals="0" compact="0" compactData="0">
  <location ref="A4:Q8"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1F00-00003C000000}" name="NORTHCOM Figure 2 2" cacheId="14" applyNumberFormats="0" applyBorderFormats="0" applyFontFormats="0" applyPatternFormats="0" applyAlignmentFormats="0" applyWidthHeightFormats="0" dataCaption="" updatedVersion="8" rowGrandTotals="0" colGrandTotals="0" compact="0" compactData="0">
  <location ref="A31:R35"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7">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4143E63-AA13-4C7A-8080-A0C8C87BCD04}" name="PACOM Figure 5 3" cacheId="56" applyNumberFormats="0" applyBorderFormats="0" applyFontFormats="0" applyPatternFormats="0" applyAlignmentFormats="0" applyWidthHeightFormats="0" dataCaption="" missingCaption="0" updatedVersion="8" compact="0" compactData="0">
  <location ref="A15:Y23"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0" hier="0"/>
    <pageField fld="9" hier="0"/>
  </pageFields>
  <dataFields count="1">
    <dataField name="Count of Activity Category" fld="0" subtotal="count" baseField="0"/>
  </dataFields>
  <formats count="10">
    <format dxfId="900">
      <pivotArea outline="0" fieldPosition="0">
        <references count="1">
          <reference field="5" count="2" selected="0">
            <x v="6"/>
            <x v="7"/>
          </reference>
        </references>
      </pivotArea>
    </format>
    <format dxfId="899">
      <pivotArea dataOnly="0" labelOnly="1" outline="0" fieldPosition="0">
        <references count="1">
          <reference field="5" count="2">
            <x v="6"/>
            <x v="7"/>
          </reference>
        </references>
      </pivotArea>
    </format>
    <format dxfId="898">
      <pivotArea outline="0" fieldPosition="0">
        <references count="1">
          <reference field="5" count="1" selected="0">
            <x v="7"/>
          </reference>
        </references>
      </pivotArea>
    </format>
    <format dxfId="897">
      <pivotArea dataOnly="0" labelOnly="1" outline="0" fieldPosition="0">
        <references count="1">
          <reference field="5" count="1">
            <x v="7"/>
          </reference>
        </references>
      </pivotArea>
    </format>
    <format dxfId="896">
      <pivotArea grandCol="1" outline="0" fieldPosition="0"/>
    </format>
    <format dxfId="895">
      <pivotArea dataOnly="0" labelOnly="1" grandCol="1" outline="0" fieldPosition="0"/>
    </format>
    <format dxfId="894">
      <pivotArea grandRow="1" outline="0" fieldPosition="0"/>
    </format>
    <format dxfId="893">
      <pivotArea dataOnly="0" labelOnly="1" grandRow="1" outline="0" fieldPosition="0"/>
    </format>
    <format dxfId="892">
      <pivotArea grandRow="1" outline="0" fieldPosition="0"/>
    </format>
    <format dxfId="891">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77A64D2B-D194-4DE4-855C-7A8C65AE8FD7}" name="NORTHCOM Figure 2 3" cacheId="56" applyNumberFormats="0" applyBorderFormats="0" applyFontFormats="0" applyPatternFormats="0" applyAlignmentFormats="0" applyWidthHeightFormats="0" dataCaption="" missingCaption="0" updatedVersion="8" compact="0" compactData="0">
  <location ref="A57:Y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x="2"/>
        <item h="1" x="3"/>
        <item h="1" x="4"/>
        <item h="1" x="5"/>
        <item h="1" x="6"/>
        <item h="1" x="7"/>
        <item h="1" x="0"/>
        <item t="default"/>
      </items>
    </pivotField>
    <pivotField name="Partner Country" compact="0" outline="0" multipleItemSelectionAllowed="1" showAll="0"/>
    <pivotField name="Year" axis="axisCol"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5" hier="0"/>
  </pageFields>
  <dataFields count="1">
    <dataField name="Count of Activity Category" fld="0" subtotal="count" baseField="0"/>
  </dataFields>
  <formats count="3">
    <format dxfId="798">
      <pivotArea dataOnly="0" grandRow="1" outline="0" fieldPosition="0"/>
    </format>
    <format dxfId="797">
      <pivotArea grandCol="1" outline="0" fieldPosition="0"/>
    </format>
    <format dxfId="796">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2000-00003E000000}" name="NORTHCOM Figure 4" cacheId="14" applyNumberFormats="0" applyBorderFormats="0" applyFontFormats="0" applyPatternFormats="0" applyAlignmentFormats="0" applyWidthHeightFormats="0" dataCaption="" updatedVersion="8" rowGrandTotals="0" colGrandTotals="0" compact="0" compactData="0">
  <location ref="A11:Q14"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41CA657F-2960-457A-8032-CC39FCF71EC3}" name="NORTHCOM Figure 4 3" cacheId="56" applyNumberFormats="0" applyBorderFormats="0" applyFontFormats="0" applyPatternFormats="0" applyAlignmentFormats="0" applyWidthHeightFormats="0" dataCaption="" missingCaption="0" updatedVersion="8" compact="0" compactData="0">
  <location ref="A62:Y66"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x="2"/>
        <item h="1" x="3"/>
        <item h="1" x="4"/>
        <item h="1" x="5"/>
        <item h="1" x="6"/>
        <item h="1" x="7"/>
        <item h="1" x="0"/>
        <item t="default"/>
      </items>
    </pivotField>
    <pivotField name="Partner Country" compact="0" outline="0" multipleItemSelectionAllowed="1" showAll="0"/>
    <pivotField name="Year" axis="axisCol"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5" hier="0"/>
    <pageField fld="9" hier="0"/>
  </pageFields>
  <dataFields count="1">
    <dataField name="Count of Activity Category" fld="0" subtotal="count" baseField="0"/>
  </dataFields>
  <formats count="4">
    <format dxfId="795">
      <pivotArea grandRow="1" outline="0" fieldPosition="0"/>
    </format>
    <format dxfId="794">
      <pivotArea dataOnly="0" labelOnly="1" grandRow="1" outline="0" fieldPosition="0"/>
    </format>
    <format dxfId="793">
      <pivotArea grandCol="1" outline="0" fieldPosition="0"/>
    </format>
    <format dxfId="792">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2000-000040000000}" name="NORTHCOM Figure 4 2" cacheId="14" applyNumberFormats="0" applyBorderFormats="0" applyFontFormats="0" applyPatternFormats="0" applyAlignmentFormats="0" applyWidthHeightFormats="0" dataCaption="" updatedVersion="8" rowGrandTotals="0" colGrandTotals="0" compact="0" compactData="0">
  <location ref="A36:R3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7">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2100-000042000000}" name="NORTHCOM Figure 5" cacheId="14"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2100-000041000000}" name="NORTHCOM Figure 5 2" cacheId="14" applyNumberFormats="0" applyBorderFormats="0" applyFontFormats="0" applyPatternFormats="0" applyAlignmentFormats="0" applyWidthHeightFormats="0" dataCaption="" updatedVersion="8" colGrandTotals="0" compact="0" compactData="0">
  <location ref="A29:R31"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7">
    <i>
      <x v="12"/>
    </i>
    <i>
      <x v="13"/>
    </i>
    <i>
      <x v="14"/>
    </i>
    <i>
      <x v="15"/>
    </i>
    <i>
      <x v="16"/>
    </i>
    <i>
      <x v="17"/>
    </i>
    <i>
      <x v="18"/>
    </i>
    <i>
      <x v="19"/>
    </i>
    <i>
      <x v="20"/>
    </i>
    <i>
      <x v="21"/>
    </i>
    <i>
      <x v="22"/>
    </i>
    <i>
      <x v="23"/>
    </i>
    <i>
      <x v="24"/>
    </i>
    <i>
      <x v="25"/>
    </i>
    <i>
      <x v="26"/>
    </i>
    <i>
      <x v="27"/>
    </i>
    <i>
      <x v="28"/>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63F16F92-4C81-4D61-80A6-4FA7CDB3E53D}" name="NORTHCOM Figure 5 3" cacheId="56" applyNumberFormats="0" applyBorderFormats="0" applyFontFormats="0" applyPatternFormats="0" applyAlignmentFormats="0" applyWidthHeightFormats="0" dataCaption="" missingCaption="0" updatedVersion="8" compact="0" compactData="0">
  <location ref="A60:Y68"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0" hier="0"/>
    <pageField fld="9" hier="0"/>
  </pageFields>
  <dataFields count="1">
    <dataField name="Count of Activity Category" fld="0" subtotal="count" baseField="0"/>
  </dataFields>
  <formats count="5">
    <format dxfId="791">
      <pivotArea outline="0" fieldPosition="0">
        <references count="1">
          <reference field="5" count="1" selected="0">
            <x v="5"/>
          </reference>
        </references>
      </pivotArea>
    </format>
    <format dxfId="790">
      <pivotArea grandRow="1" outline="0" fieldPosition="0"/>
    </format>
    <format dxfId="789">
      <pivotArea dataOnly="0" grandRow="1" outline="0" fieldPosition="0"/>
    </format>
    <format dxfId="788">
      <pivotArea grandCol="1" outline="0" fieldPosition="0"/>
    </format>
    <format dxfId="787">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00000000-0007-0000-2200-000045000000}" name="NORTHCOM Figure 6 2" cacheId="14" applyNumberFormats="0" applyBorderFormats="0" applyFontFormats="0" applyPatternFormats="0" applyAlignmentFormats="0" applyWidthHeightFormats="0" dataCaption="" updatedVersion="8" colGrandTotals="0" compact="0" compactData="0">
  <location ref="A38:F40"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62924B85-356A-4FE1-AB4D-73B10AF0C612}" name="NORTHCOM Figure 6 3" cacheId="56" applyNumberFormats="0" applyBorderFormats="0" applyFontFormats="0" applyPatternFormats="0" applyAlignmentFormats="0" applyWidthHeightFormats="0" dataCaption="" missingCaption="0" updatedVersion="8" compact="0" compactData="0">
  <location ref="A66:J74" firstHeaderRow="1" firstDataRow="2"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h="1" x="32"/>
        <item h="1"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x="8"/>
        <item x="4"/>
        <item m="1" x="10"/>
        <item x="1"/>
        <item m="1" x="11"/>
        <item x="3"/>
        <item x="5"/>
        <item x="6"/>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9">
    <i>
      <x v="1"/>
    </i>
    <i>
      <x v="3"/>
    </i>
    <i>
      <x v="5"/>
    </i>
    <i>
      <x v="6"/>
    </i>
    <i>
      <x v="7"/>
    </i>
    <i>
      <x v="8"/>
    </i>
    <i>
      <x v="9"/>
    </i>
    <i>
      <x v="10"/>
    </i>
    <i t="grand">
      <x/>
    </i>
  </colItems>
  <pageFields count="3">
    <pageField fld="0" hier="0"/>
    <pageField fld="7" hier="0"/>
    <pageField fld="9" hier="0"/>
  </pageFields>
  <dataFields count="1">
    <dataField name="Count of Activity Category" fld="0" subtotal="count" baseField="0"/>
  </dataFields>
  <formats count="6">
    <format dxfId="786">
      <pivotArea outline="0" fieldPosition="0">
        <references count="1">
          <reference field="5" count="1" selected="0">
            <x v="5"/>
          </reference>
        </references>
      </pivotArea>
    </format>
    <format dxfId="785">
      <pivotArea grandRow="1" outline="0" fieldPosition="0"/>
    </format>
    <format dxfId="784">
      <pivotArea grandRow="1" outline="0" fieldPosition="0"/>
    </format>
    <format dxfId="783">
      <pivotArea dataOnly="0" labelOnly="1" grandRow="1" outline="0" fieldPosition="0"/>
    </format>
    <format dxfId="782">
      <pivotArea grandCol="1" outline="0" fieldPosition="0"/>
    </format>
    <format dxfId="781">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00000000-0007-0000-2200-000046000000}" name="NORTHCOM Figure 6" cacheId="14" applyNumberFormats="0" applyBorderFormats="0" applyFontFormats="0" applyPatternFormats="0" applyAlignmentFormats="0" applyWidthHeightFormats="0" dataCaption="" updatedVersion="8" colGrandTotals="0" compact="0" compactData="0">
  <location ref="A7:F9"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7F6A512-B0D4-408B-8984-1EEE0B93A3C7}" name="PACOM Figure 6" cacheId="56" applyNumberFormats="0" applyBorderFormats="0" applyFontFormats="0" applyPatternFormats="0" applyAlignmentFormats="0" applyWidthHeightFormats="0" dataCaption="" missingCaption="0" updatedVersion="8" compact="0" compactData="0">
  <location ref="A66:J74" firstHeaderRow="1" firstDataRow="2"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h="1" x="32"/>
        <item h="1"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x="8"/>
        <item x="4"/>
        <item m="1" x="10"/>
        <item x="1"/>
        <item m="1" x="11"/>
        <item x="3"/>
        <item x="5"/>
        <item x="6"/>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9">
    <i>
      <x v="1"/>
    </i>
    <i>
      <x v="3"/>
    </i>
    <i>
      <x v="5"/>
    </i>
    <i>
      <x v="6"/>
    </i>
    <i>
      <x v="7"/>
    </i>
    <i>
      <x v="8"/>
    </i>
    <i>
      <x v="9"/>
    </i>
    <i>
      <x v="10"/>
    </i>
    <i t="grand">
      <x/>
    </i>
  </colItems>
  <pageFields count="3">
    <pageField fld="0" hier="0"/>
    <pageField fld="7" hier="0"/>
    <pageField fld="9" hier="0"/>
  </pageFields>
  <dataFields count="1">
    <dataField name="Count of Activity Category" fld="0" subtotal="count" baseField="0"/>
  </dataFields>
  <formats count="7">
    <format dxfId="890">
      <pivotArea outline="0" fieldPosition="0">
        <references count="1">
          <reference field="5" count="1" selected="0">
            <x v="6"/>
          </reference>
        </references>
      </pivotArea>
    </format>
    <format dxfId="889">
      <pivotArea dataOnly="0" labelOnly="1" outline="0" fieldPosition="0">
        <references count="1">
          <reference field="5" count="1">
            <x v="6"/>
          </reference>
        </references>
      </pivotArea>
    </format>
    <format dxfId="888">
      <pivotArea dataOnly="0" grandCol="1" outline="0" fieldPosition="0"/>
    </format>
    <format dxfId="887">
      <pivotArea grandRow="1" outline="0" fieldPosition="0"/>
    </format>
    <format dxfId="886">
      <pivotArea dataOnly="0" labelOnly="1" grandRow="1" outline="0" fieldPosition="0"/>
    </format>
    <format dxfId="885">
      <pivotArea grandRow="1" outline="0" fieldPosition="0"/>
    </format>
    <format dxfId="884">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9F337599-ACBA-4E58-983E-D8C1F8319D66}" name="Figure 1-2" cacheId="56" applyNumberFormats="0" applyBorderFormats="0" applyFontFormats="0" applyPatternFormats="0" applyAlignmentFormats="0" applyWidthHeightFormats="0" dataCaption="" missingCaption="0" updatedVersion="8" compact="0" compactData="0">
  <location ref="A29:Y34"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Page" compact="0" outline="0" multipleItemSelectionAllowed="1" showAll="0">
      <items count="6">
        <item x="0"/>
        <item x="1"/>
        <item x="2"/>
        <item x="3"/>
        <item x="4"/>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14" hier="0"/>
  </pageFields>
  <dataFields count="1">
    <dataField name="Count of Activity Category" fld="0" subtotal="count" baseField="0"/>
  </dataFields>
  <formats count="4">
    <format dxfId="780">
      <pivotArea grandRow="1" outline="0" fieldPosition="0"/>
    </format>
    <format dxfId="779">
      <pivotArea dataOnly="0" labelOnly="1" grandRow="1" outline="0" fieldPosition="0"/>
    </format>
    <format dxfId="778">
      <pivotArea grandCol="1" outline="0" fieldPosition="0"/>
    </format>
    <format dxfId="777">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00000000-0007-0000-2300-000047000000}" name="Figure 1-2 3" cacheId="14" applyNumberFormats="0" applyBorderFormats="0" applyFontFormats="0" applyPatternFormats="0" applyAlignmentFormats="0" applyWidthHeightFormats="0" dataCaption="" updatedVersion="8" rowGrandTotals="0" colGrandTotals="0" compact="0" compactData="0">
  <location ref="A84:T88" firstHeaderRow="1" firstDataRow="2" firstDataCol="2"/>
  <pivotFields count="26">
    <pivotField name="Activity Category" axis="axisRow" dataField="1" compact="0" outline="0" multipleItemSelectionAllowed="1" showAll="0" sortType="ascending">
      <items count="4">
        <item sd="0" x="2"/>
        <item sd="0" x="0"/>
        <item sd="0"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Row" compact="0" outline="0" multipleItemSelectionAllowed="1" showAll="0" sortType="ascending">
      <items count="18">
        <item x="4"/>
        <item x="3"/>
        <item h="1" x="15"/>
        <item x="5"/>
        <item x="6"/>
        <item x="1"/>
        <item x="2"/>
        <item h="1" x="7"/>
        <item h="1" x="16"/>
        <item x="0"/>
        <item x="8"/>
        <item x="10"/>
        <item x="12"/>
        <item x="14"/>
        <item x="9"/>
        <item x="11"/>
        <item x="13"/>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2">
    <field x="0"/>
    <field x="9"/>
  </rowFields>
  <rowItems count="3">
    <i>
      <x/>
    </i>
    <i>
      <x v="1"/>
    </i>
    <i>
      <x v="2"/>
    </i>
  </rowItems>
  <colFields count="1">
    <field x="7"/>
  </colFields>
  <colItems count="18">
    <i>
      <x v="11"/>
    </i>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5BA1B05E-DC09-43C9-A5D0-EBB51B925049}" name="Figure 1-2 2" cacheId="56" applyNumberFormats="0" applyBorderFormats="0" applyFontFormats="0" applyPatternFormats="0" applyAlignmentFormats="0" applyWidthHeightFormats="0" dataCaption="" updatedVersion="8" rowGrandTotals="0" compact="0" compactData="0">
  <location ref="A59:B62" firstHeaderRow="1" firstDataRow="1"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h="1" x="34"/>
        <item x="33"/>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Items count="1">
    <i/>
  </colItems>
  <pageFields count="1">
    <pageField fld="7"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00000000-0007-0000-2400-00004B000000}" name="Figure 3-4" cacheId="14" applyNumberFormats="0" applyBorderFormats="0" applyFontFormats="0" applyPatternFormats="0" applyAlignmentFormats="0" applyWidthHeightFormats="0" dataCaption="" updatedVersion="8" rowGrandTotals="0" colGrandTotals="0" compact="0" compactData="0">
  <location ref="A6:Q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00000000-0007-0000-2400-00004C000000}" name="Figure 3-4 4" cacheId="14" applyNumberFormats="0" applyBorderFormats="0" applyFontFormats="0" applyPatternFormats="0" applyAlignmentFormats="0" applyWidthHeightFormats="0" dataCaption="" updatedVersion="8" rowGrandTotals="0" colGrandTotals="0" compact="0" compactData="0">
  <location ref="A87:S90"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h="1" x="7"/>
        <item x="8"/>
        <item x="9"/>
        <item x="10"/>
        <item x="11"/>
        <item x="12"/>
        <item x="13"/>
        <item x="14"/>
        <item h="1" x="15"/>
        <item h="1"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8">
    <i>
      <x v="11"/>
    </i>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93B5DE60-949A-434E-BC8E-8B8BFE0D38A7}" name="Figure 3-4 3" cacheId="56" applyNumberFormats="0" applyBorderFormats="0" applyFontFormats="0" applyPatternFormats="0" applyAlignmentFormats="0" applyWidthHeightFormats="0" dataCaption="" missingCaption="0" updatedVersion="8" compact="0" compactData="0">
  <location ref="A59:G65" firstHeaderRow="1" firstDataRow="2" firstDataCol="1" rowPageCount="1" colPageCount="1"/>
  <pivotFields count="26">
    <pivotField name="Activity Category" axis="axisPage" dataField="1"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x="3"/>
        <item x="1"/>
        <item x="2"/>
        <item x="4"/>
        <item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5">
    <i>
      <x v="1"/>
    </i>
    <i>
      <x v="2"/>
    </i>
    <i>
      <x v="3"/>
    </i>
    <i>
      <x v="4"/>
    </i>
    <i t="grand">
      <x/>
    </i>
  </rowItems>
  <colFields count="1">
    <field x="7"/>
  </colFields>
  <colItems count="6">
    <i>
      <x v="29"/>
    </i>
    <i>
      <x v="30"/>
    </i>
    <i>
      <x v="31"/>
    </i>
    <i>
      <x v="32"/>
    </i>
    <i>
      <x v="33"/>
    </i>
    <i t="grand">
      <x/>
    </i>
  </colItems>
  <pageFields count="1">
    <pageField fld="0" hier="0"/>
  </pageFields>
  <dataFields count="1">
    <dataField name="Count of Activity Category" fld="0" subtotal="count" baseField="0"/>
  </dataFields>
  <formats count="3">
    <format dxfId="773">
      <pivotArea dataOnly="0" grandRow="1" outline="0" fieldPosition="0"/>
    </format>
    <format dxfId="772">
      <pivotArea grandCol="1" outline="0" fieldPosition="0"/>
    </format>
    <format dxfId="771">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A3E7612F-180A-44DC-8B31-7D5D95F48953}" name="Figure 3-4 2" cacheId="56" applyNumberFormats="0" applyBorderFormats="0" applyFontFormats="0" applyPatternFormats="0" applyAlignmentFormats="0" applyWidthHeightFormats="0" dataCaption="" missingCaption="0" updatedVersion="8" compact="0" compactData="0">
  <location ref="A30:Y34" firstHeaderRow="1" firstDataRow="2" firstDataCol="1" rowPageCount="1" colPageCount="1"/>
  <pivotFields count="26">
    <pivotField name="Activity Category" axis="axisPage" dataField="1"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0" hier="0"/>
  </pageFields>
  <dataFields count="1">
    <dataField name="Count of Activity Category" fld="0" subtotal="count" baseField="0"/>
  </dataFields>
  <formats count="3">
    <format dxfId="776">
      <pivotArea dataOnly="0" grandCol="1" outline="0" axis="axisCol" fieldPosition="0"/>
    </format>
    <format dxfId="775">
      <pivotArea grandRow="1" outline="0" fieldPosition="0"/>
    </format>
    <format dxfId="774">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00000000-0007-0000-2500-000050000000}" name="Figure 5-6" cacheId="14" applyNumberFormats="0" applyBorderFormats="0" applyFontFormats="0" applyPatternFormats="0" applyAlignmentFormats="0" applyWidthHeightFormats="0" dataCaption="" updatedVersion="8" rowGrandTotals="0" colGrandTotals="0" compact="0" compactData="0">
  <location ref="A5:Q8" firstHeaderRow="1" firstDataRow="2" firstDataCol="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Row" compact="0" outline="0" multipleItemSelectionAllowed="1" showAll="0" sortType="ascending">
      <items count="18">
        <item h="1" x="4"/>
        <item h="1" x="3"/>
        <item h="1" x="15"/>
        <item x="5"/>
        <item x="6"/>
        <item h="1" x="1"/>
        <item h="1" x="2"/>
        <item h="1" x="7"/>
        <item h="1" x="16"/>
        <item h="1" x="0"/>
        <item h="1" x="8"/>
        <item h="1" x="10"/>
        <item h="1" x="12"/>
        <item h="1" x="14"/>
        <item h="1" x="9"/>
        <item h="1" x="11"/>
        <item h="1" x="13"/>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9"/>
  </rowFields>
  <rowItems count="2">
    <i>
      <x v="3"/>
    </i>
    <i>
      <x v="4"/>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EFB2F425-8739-4F12-9431-6E05503E6163}" name="Figure 5-6 3" cacheId="56" applyNumberFormats="0" applyBorderFormats="0" applyFontFormats="0" applyPatternFormats="0" applyAlignmentFormats="0" applyWidthHeightFormats="0" dataCaption="" missingCaption="0" updatedVersion="8" compact="0" compactData="0">
  <location ref="A60:G64" firstHeaderRow="1" firstDataRow="2" firstDataCol="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h="1" x="34"/>
        <item t="default"/>
      </items>
    </pivotField>
    <pivotField name="Month" compact="0" outline="0" multipleItemSelectionAllowed="1" showAll="0"/>
    <pivotField name="Activity Type" axis="axisRow" compact="0" outline="0" multipleItemSelectionAllowed="1" showAll="0" sortType="ascending">
      <items count="21">
        <item h="1" x="4"/>
        <item h="1" x="3"/>
        <item h="1" x="15"/>
        <item h="1" m="1" x="18"/>
        <item x="5"/>
        <item x="6"/>
        <item h="1" x="1"/>
        <item h="1" x="2"/>
        <item h="1" x="7"/>
        <item h="1" x="16"/>
        <item h="1" m="1" x="19"/>
        <item h="1" x="0"/>
        <item h="1" x="8"/>
        <item h="1" x="10"/>
        <item h="1" x="12"/>
        <item h="1" x="14"/>
        <item h="1" x="9"/>
        <item h="1" x="11"/>
        <item h="1" x="13"/>
        <item h="1"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9"/>
  </rowFields>
  <rowItems count="3">
    <i>
      <x v="4"/>
    </i>
    <i>
      <x v="5"/>
    </i>
    <i t="grand">
      <x/>
    </i>
  </rowItems>
  <colFields count="1">
    <field x="7"/>
  </colFields>
  <colItems count="6">
    <i>
      <x v="29"/>
    </i>
    <i>
      <x v="30"/>
    </i>
    <i>
      <x v="31"/>
    </i>
    <i>
      <x v="32"/>
    </i>
    <i>
      <x v="33"/>
    </i>
    <i t="grand">
      <x/>
    </i>
  </colItems>
  <dataFields count="1">
    <dataField name="Count of Activity Category" fld="0" subtotal="count" baseField="0"/>
  </dataFields>
  <formats count="4">
    <format dxfId="766">
      <pivotArea grandRow="1" outline="0" fieldPosition="0"/>
    </format>
    <format dxfId="765">
      <pivotArea dataOnly="0" labelOnly="1" grandRow="1" outline="0" fieldPosition="0"/>
    </format>
    <format dxfId="764">
      <pivotArea grandCol="1" outline="0" fieldPosition="0"/>
    </format>
    <format dxfId="763">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74FDBC4F-5A04-44C2-8964-30C2FEB43634}" name="Figure 5-6 2" cacheId="56" applyNumberFormats="0" applyBorderFormats="0" applyFontFormats="0" applyPatternFormats="0" applyAlignmentFormats="0" applyWidthHeightFormats="0" dataCaption="" missingCaption="0" updatedVersion="8" compact="0" compactData="0">
  <location ref="A33:Y37" firstHeaderRow="1" firstDataRow="2" firstDataCol="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Row" compact="0" outline="0" multipleItemSelectionAllowed="1" showAll="0" sortType="ascending">
      <items count="21">
        <item h="1" x="4"/>
        <item h="1" x="3"/>
        <item h="1" x="15"/>
        <item h="1" m="1" x="18"/>
        <item x="5"/>
        <item x="6"/>
        <item h="1" x="1"/>
        <item h="1" x="2"/>
        <item h="1" x="7"/>
        <item h="1" x="16"/>
        <item h="1" m="1" x="19"/>
        <item h="1" x="0"/>
        <item h="1" x="8"/>
        <item h="1" x="10"/>
        <item h="1" x="12"/>
        <item h="1" x="14"/>
        <item h="1" x="9"/>
        <item h="1" x="11"/>
        <item h="1" x="13"/>
        <item h="1"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9"/>
  </rowFields>
  <rowItems count="3">
    <i>
      <x v="4"/>
    </i>
    <i>
      <x v="5"/>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Count of Activity Category" fld="0" subtotal="count" baseField="0"/>
  </dataFields>
  <formats count="4">
    <format dxfId="770">
      <pivotArea grandCol="1" outline="0" fieldPosition="0"/>
    </format>
    <format dxfId="769">
      <pivotArea dataOnly="0" labelOnly="1" grandCol="1" outline="0" fieldPosition="0"/>
    </format>
    <format dxfId="768">
      <pivotArea grandRow="1" outline="0" fieldPosition="0"/>
    </format>
    <format dxfId="767">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F5C2264-BEC5-4A32-9337-320DBFC4E6FD}" name="AFRICOM Figure 2" cacheId="56" applyNumberFormats="0" applyBorderFormats="0" applyFontFormats="0" applyPatternFormats="0" applyAlignmentFormats="0" applyWidthHeightFormats="0" dataCaption="" missingCaption="0" updatedVersion="8" compact="0" compactData="0">
  <location ref="A57:Y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h="1" x="3"/>
        <item x="4"/>
        <item h="1" x="5"/>
        <item h="1" x="6"/>
        <item h="1" x="7"/>
        <item h="1" x="0"/>
        <item t="default"/>
      </items>
    </pivotField>
    <pivotField name="Partner Country" compact="0" outline="0" multipleItemSelectionAllowed="1" showAll="0"/>
    <pivotField name="Year" axis="axisCol"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5" hier="0"/>
  </pageFields>
  <dataFields count="1">
    <dataField name="Count of Activity Category" fld="0" subtotal="count" baseField="0"/>
  </dataFields>
  <formats count="4">
    <format dxfId="883">
      <pivotArea grandRow="1" outline="0" fieldPosition="0"/>
    </format>
    <format dxfId="882">
      <pivotArea dataOnly="0" labelOnly="1" grandRow="1" outline="0" fieldPosition="0"/>
    </format>
    <format dxfId="881">
      <pivotArea grandCol="1" outline="0" fieldPosition="0"/>
    </format>
    <format dxfId="88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00000000-0007-0000-2600-000054000000}" name="Figure 7-8" cacheId="14" applyNumberFormats="0" applyBorderFormats="0" applyFontFormats="0" applyPatternFormats="0" applyAlignmentFormats="0" applyWidthHeightFormats="0" dataCaption="" updatedVersion="8" compact="0" compactData="0">
  <location ref="A6:B12" firstHeaderRow="1" firstDataRow="1"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Row"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6"/>
  </rowFields>
  <rowItems count="6">
    <i>
      <x v="1"/>
    </i>
    <i>
      <x v="3"/>
    </i>
    <i>
      <x v="5"/>
    </i>
    <i>
      <x v="7"/>
    </i>
    <i>
      <x v="8"/>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00000000-0007-0000-2600-000053000000}" name="Figure 7-8 2" cacheId="14" applyNumberFormats="0" applyBorderFormats="0" applyFontFormats="0" applyPatternFormats="0" applyAlignmentFormats="0" applyWidthHeightFormats="0" dataCaption="" updatedVersion="8" compact="0" compactData="0">
  <location ref="A21:B27" firstHeaderRow="1" firstDataRow="1"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Row"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6"/>
  </rowFields>
  <rowItems count="6">
    <i>
      <x v="1"/>
    </i>
    <i>
      <x v="3"/>
    </i>
    <i>
      <x v="5"/>
    </i>
    <i>
      <x v="7"/>
    </i>
    <i>
      <x v="8"/>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F73848A7-1BCF-40BA-95AC-9E82C5F9831F}" name="Figure 7-8 4" cacheId="56" applyNumberFormats="0" applyBorderFormats="0" applyFontFormats="0" applyPatternFormats="0" applyAlignmentFormats="0" applyWidthHeightFormats="0" dataCaption="" missingCaption="0" updatedVersion="8" compact="0" compactData="0">
  <location ref="A61:B69" firstHeaderRow="1" firstDataRow="1"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Row" compact="0" outline="0" multipleItemSelectionAllowed="1" showAll="0" sortType="ascending">
      <items count="13">
        <item x="8"/>
        <item x="4"/>
        <item m="1" x="10"/>
        <item x="1"/>
        <item m="1" x="11"/>
        <item x="3"/>
        <item x="5"/>
        <item x="6"/>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6"/>
  </rowFields>
  <rowItems count="8">
    <i>
      <x v="1"/>
    </i>
    <i>
      <x v="3"/>
    </i>
    <i>
      <x v="5"/>
    </i>
    <i>
      <x v="6"/>
    </i>
    <i>
      <x v="7"/>
    </i>
    <i>
      <x v="8"/>
    </i>
    <i>
      <x v="9"/>
    </i>
    <i t="grand">
      <x/>
    </i>
  </rowItems>
  <colItems count="1">
    <i/>
  </colItems>
  <pageFields count="3">
    <pageField fld="0" hier="0"/>
    <pageField fld="7" hier="0"/>
    <pageField fld="9" hier="0"/>
  </pageFields>
  <dataFields count="1">
    <dataField name="Count of Activity Category" fld="0" subtotal="count" baseField="0"/>
  </dataFields>
  <formats count="2">
    <format dxfId="761">
      <pivotArea grandRow="1" outline="0" fieldPosition="0"/>
    </format>
    <format dxfId="760">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B6B53857-A859-4CC6-9312-53A23231786A}" name="Figure 7-8 3" cacheId="56" applyNumberFormats="0" applyBorderFormats="0" applyFontFormats="0" applyPatternFormats="0" applyAlignmentFormats="0" applyWidthHeightFormats="0" dataCaption="" missingCaption="0" updatedVersion="8" compact="0" compactData="0">
  <location ref="A44:B53" firstHeaderRow="1" firstDataRow="1"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h="1" x="0"/>
        <item h="1" x="1"/>
        <item h="1" x="2"/>
        <item h="1" x="3"/>
        <item h="1" x="4"/>
        <item x="5"/>
        <item x="6"/>
        <item h="1" x="7"/>
        <item h="1" x="8"/>
        <item h="1" x="9"/>
        <item h="1" x="10"/>
        <item h="1" x="11"/>
        <item h="1" x="12"/>
        <item h="1" x="13"/>
        <item h="1" x="14"/>
        <item h="1" x="15"/>
        <item h="1" x="16"/>
        <item h="1" x="17"/>
        <item h="1" m="1" x="18"/>
        <item h="1"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Row" compact="0" outline="0" multipleItemSelectionAllowed="1" showAll="0" sortType="ascending">
      <items count="13">
        <item h="1" x="8"/>
        <item x="4"/>
        <item h="1" m="1" x="10"/>
        <item x="1"/>
        <item h="1" m="1" x="11"/>
        <item x="3"/>
        <item x="5"/>
        <item x="6"/>
        <item x="2"/>
        <item x="9"/>
        <item x="7"/>
        <item h="1"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6"/>
  </rowFields>
  <rowItems count="9">
    <i>
      <x v="1"/>
    </i>
    <i>
      <x v="3"/>
    </i>
    <i>
      <x v="5"/>
    </i>
    <i>
      <x v="6"/>
    </i>
    <i>
      <x v="7"/>
    </i>
    <i>
      <x v="8"/>
    </i>
    <i>
      <x v="9"/>
    </i>
    <i>
      <x v="10"/>
    </i>
    <i t="grand">
      <x/>
    </i>
  </rowItems>
  <colItems count="1">
    <i/>
  </colItems>
  <pageFields count="3">
    <pageField fld="0" hier="0"/>
    <pageField fld="7" hier="0"/>
    <pageField fld="9" hier="0"/>
  </pageFields>
  <dataFields count="1">
    <dataField name="Count of Activity Category" fld="0" subtotal="count" baseField="0"/>
  </dataFields>
  <formats count="1">
    <format dxfId="762">
      <pivotArea dataOnly="0"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00000000-0007-0000-2700-000057000000}" name="Figure 9-10" cacheId="14" applyNumberFormats="0" applyBorderFormats="0" applyFontFormats="0" applyPatternFormats="0" applyAlignmentFormats="0" applyWidthHeightFormats="0" dataCaption="" updatedVersion="8" compact="0" compactData="0">
  <location ref="A6:B12" firstHeaderRow="1" firstDataRow="1"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axis="axisRow" compact="0" outline="0" multipleItemSelectionAllowed="1" showAll="0" sortType="ascending">
      <items count="11">
        <item h="1" x="6"/>
        <item x="5"/>
        <item x="1"/>
        <item h="1" x="8"/>
        <item h="1" x="7"/>
        <item h="1" m="1" x="9"/>
        <item x="3"/>
        <item x="2"/>
        <item x="4"/>
        <item x="0"/>
        <item t="default"/>
      </items>
    </pivotField>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8"/>
  </rowFields>
  <rowItems count="6">
    <i>
      <x v="1"/>
    </i>
    <i>
      <x v="2"/>
    </i>
    <i>
      <x v="6"/>
    </i>
    <i>
      <x v="7"/>
    </i>
    <i>
      <x v="8"/>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B4B2C4E9-549C-4DE7-8101-5A3B9434EF28}" name="Figure 9-10 2" cacheId="56" applyNumberFormats="0" applyBorderFormats="0" applyFontFormats="0" applyPatternFormats="0" applyAlignmentFormats="0" applyWidthHeightFormats="0" dataCaption="" missingCaption="0" updatedVersion="8" compact="0" compactData="0">
  <location ref="A27:B34" firstHeaderRow="1" firstDataRow="1"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axis="axisRow" compact="0" outline="0" multipleItemSelectionAllowed="1" showAll="0" sortType="ascending">
      <items count="11">
        <item h="1" x="6"/>
        <item x="5"/>
        <item x="1"/>
        <item x="8"/>
        <item x="7"/>
        <item h="1" x="9"/>
        <item x="3"/>
        <item x="2"/>
        <item x="4"/>
        <item h="1" x="0"/>
        <item t="default"/>
      </items>
    </pivotField>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8"/>
  </rowFields>
  <rowItems count="7">
    <i>
      <x v="1"/>
    </i>
    <i>
      <x v="2"/>
    </i>
    <i>
      <x v="4"/>
    </i>
    <i>
      <x v="6"/>
    </i>
    <i>
      <x v="7"/>
    </i>
    <i>
      <x v="8"/>
    </i>
    <i t="grand">
      <x/>
    </i>
  </rowItems>
  <colItems count="1">
    <i/>
  </colItems>
  <pageFields count="3">
    <pageField fld="0" hier="0"/>
    <pageField fld="7" hier="0"/>
    <pageField fld="9" hier="0"/>
  </pageFields>
  <dataFields count="1">
    <dataField name="Count of Activity Category" fld="0" subtotal="count" baseField="0"/>
  </dataFields>
  <formats count="2">
    <format dxfId="757">
      <pivotArea grandRow="1" outline="0" fieldPosition="0"/>
    </format>
    <format dxfId="756">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4BE0E1EC-35C5-40BD-8D58-176B9345BC30}" name="Figure 9-10 3" cacheId="56" applyNumberFormats="0" applyBorderFormats="0" applyFontFormats="0" applyPatternFormats="0" applyAlignmentFormats="0" applyWidthHeightFormats="0" dataCaption="" missingCaption="0" updatedVersion="8" compact="0" compactData="0">
  <location ref="A54:B60" firstHeaderRow="1" firstDataRow="1"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axis="axisRow" compact="0" outline="0" multipleItemSelectionAllowed="1" showAll="0" sortType="ascending">
      <items count="11">
        <item h="1" x="6"/>
        <item x="5"/>
        <item x="1"/>
        <item x="8"/>
        <item x="7"/>
        <item h="1" x="9"/>
        <item x="3"/>
        <item x="2"/>
        <item x="4"/>
        <item h="1" x="0"/>
        <item t="default"/>
      </items>
    </pivotField>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8"/>
  </rowFields>
  <rowItems count="6">
    <i>
      <x v="1"/>
    </i>
    <i>
      <x v="2"/>
    </i>
    <i>
      <x v="4"/>
    </i>
    <i>
      <x v="6"/>
    </i>
    <i>
      <x v="7"/>
    </i>
    <i t="grand">
      <x/>
    </i>
  </rowItems>
  <colItems count="1">
    <i/>
  </colItems>
  <pageFields count="3">
    <pageField fld="0" hier="0"/>
    <pageField fld="7" hier="0"/>
    <pageField fld="9" hier="0"/>
  </pageFields>
  <dataFields count="1">
    <dataField name="Count of Activity Category" fld="0" subtotal="count" baseField="0"/>
  </dataFields>
  <formats count="2">
    <format dxfId="759">
      <pivotArea grandRow="1" outline="0" fieldPosition="0"/>
    </format>
    <format dxfId="758">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CDF1F557-FF54-4FD4-A5C7-8961D3C38AA7}" name="Figure 11-12" cacheId="56" applyNumberFormats="0" applyBorderFormats="0" applyFontFormats="0" applyPatternFormats="0" applyAlignmentFormats="0" applyWidthHeightFormats="0" dataCaption="" missingCaption="0" updatedVersion="8" compact="0" compactData="0" chartFormat="37">
  <location ref="A9:Y13" firstHeaderRow="1" firstDataRow="2" firstDataCol="1" rowPageCount="1" colPageCount="1"/>
  <pivotFields count="26">
    <pivotField name="Activity Category"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axis="axisRow" dataField="1" compact="0" outline="0" showAll="0" includeNewItemsInFilter="1">
      <items count="4">
        <item x="2"/>
        <item x="0"/>
        <item h="1" x="1"/>
        <item t="default"/>
      </items>
    </pivotField>
    <pivotField name="Port Call Voyage Identifier" compact="0" outline="0" multipleItemSelectionAllowed="1" showAll="0" sortType="ascending"/>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20"/>
  </rowFields>
  <rowItems count="3">
    <i>
      <x/>
    </i>
    <i>
      <x v="1"/>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1">
    <pageField fld="9" hier="-1"/>
  </pageFields>
  <dataFields count="1">
    <dataField name="Count of ETF or NETF" fld="20" subtotal="count" baseField="0" baseItem="0"/>
  </dataFields>
  <formats count="5">
    <format dxfId="753">
      <pivotArea dataOnly="0" labelOnly="1" outline="0" fieldPosition="0">
        <references count="1">
          <reference field="20" count="0"/>
        </references>
      </pivotArea>
    </format>
    <format dxfId="752">
      <pivotArea dataOnly="0" labelOnly="1" outline="0" fieldPosition="0">
        <references count="1">
          <reference field="20" count="0"/>
        </references>
      </pivotArea>
    </format>
    <format dxfId="751">
      <pivotArea dataOnly="0" labelOnly="1" grandCol="1" outline="0" fieldPosition="0"/>
    </format>
    <format dxfId="750">
      <pivotArea dataOnly="0" labelOnly="1" grandRow="1" outline="0" fieldPosition="0"/>
    </format>
    <format dxfId="749">
      <pivotArea dataOnly="0" labelOnly="1" grandRow="1" outline="0" fieldPosition="0"/>
    </format>
  </formats>
  <chartFormats count="48">
    <chartFormat chart="25" format="0" series="1">
      <pivotArea type="data" outline="0" fieldPosition="0">
        <references count="2">
          <reference field="4294967294" count="1" selected="0">
            <x v="0"/>
          </reference>
          <reference field="7" count="1" selected="0">
            <x v="11"/>
          </reference>
        </references>
      </pivotArea>
    </chartFormat>
    <chartFormat chart="25" format="1" series="1">
      <pivotArea type="data" outline="0" fieldPosition="0">
        <references count="2">
          <reference field="4294967294" count="1" selected="0">
            <x v="0"/>
          </reference>
          <reference field="7" count="1" selected="0">
            <x v="12"/>
          </reference>
        </references>
      </pivotArea>
    </chartFormat>
    <chartFormat chart="25" format="2" series="1">
      <pivotArea type="data" outline="0" fieldPosition="0">
        <references count="2">
          <reference field="4294967294" count="1" selected="0">
            <x v="0"/>
          </reference>
          <reference field="7" count="1" selected="0">
            <x v="13"/>
          </reference>
        </references>
      </pivotArea>
    </chartFormat>
    <chartFormat chart="25" format="3" series="1">
      <pivotArea type="data" outline="0" fieldPosition="0">
        <references count="2">
          <reference field="4294967294" count="1" selected="0">
            <x v="0"/>
          </reference>
          <reference field="7" count="1" selected="0">
            <x v="14"/>
          </reference>
        </references>
      </pivotArea>
    </chartFormat>
    <chartFormat chart="25" format="4" series="1">
      <pivotArea type="data" outline="0" fieldPosition="0">
        <references count="2">
          <reference field="4294967294" count="1" selected="0">
            <x v="0"/>
          </reference>
          <reference field="7" count="1" selected="0">
            <x v="15"/>
          </reference>
        </references>
      </pivotArea>
    </chartFormat>
    <chartFormat chart="25" format="5" series="1">
      <pivotArea type="data" outline="0" fieldPosition="0">
        <references count="2">
          <reference field="4294967294" count="1" selected="0">
            <x v="0"/>
          </reference>
          <reference field="7" count="1" selected="0">
            <x v="16"/>
          </reference>
        </references>
      </pivotArea>
    </chartFormat>
    <chartFormat chart="25" format="6" series="1">
      <pivotArea type="data" outline="0" fieldPosition="0">
        <references count="2">
          <reference field="4294967294" count="1" selected="0">
            <x v="0"/>
          </reference>
          <reference field="7" count="1" selected="0">
            <x v="17"/>
          </reference>
        </references>
      </pivotArea>
    </chartFormat>
    <chartFormat chart="25" format="7" series="1">
      <pivotArea type="data" outline="0" fieldPosition="0">
        <references count="2">
          <reference field="4294967294" count="1" selected="0">
            <x v="0"/>
          </reference>
          <reference field="7" count="1" selected="0">
            <x v="18"/>
          </reference>
        </references>
      </pivotArea>
    </chartFormat>
    <chartFormat chart="25" format="8" series="1">
      <pivotArea type="data" outline="0" fieldPosition="0">
        <references count="2">
          <reference field="4294967294" count="1" selected="0">
            <x v="0"/>
          </reference>
          <reference field="7" count="1" selected="0">
            <x v="19"/>
          </reference>
        </references>
      </pivotArea>
    </chartFormat>
    <chartFormat chart="25" format="9" series="1">
      <pivotArea type="data" outline="0" fieldPosition="0">
        <references count="2">
          <reference field="4294967294" count="1" selected="0">
            <x v="0"/>
          </reference>
          <reference field="7" count="1" selected="0">
            <x v="20"/>
          </reference>
        </references>
      </pivotArea>
    </chartFormat>
    <chartFormat chart="25" format="10" series="1">
      <pivotArea type="data" outline="0" fieldPosition="0">
        <references count="2">
          <reference field="4294967294" count="1" selected="0">
            <x v="0"/>
          </reference>
          <reference field="7" count="1" selected="0">
            <x v="21"/>
          </reference>
        </references>
      </pivotArea>
    </chartFormat>
    <chartFormat chart="25" format="11" series="1">
      <pivotArea type="data" outline="0" fieldPosition="0">
        <references count="2">
          <reference field="4294967294" count="1" selected="0">
            <x v="0"/>
          </reference>
          <reference field="7" count="1" selected="0">
            <x v="22"/>
          </reference>
        </references>
      </pivotArea>
    </chartFormat>
    <chartFormat chart="25" format="12" series="1">
      <pivotArea type="data" outline="0" fieldPosition="0">
        <references count="2">
          <reference field="4294967294" count="1" selected="0">
            <x v="0"/>
          </reference>
          <reference field="7" count="1" selected="0">
            <x v="23"/>
          </reference>
        </references>
      </pivotArea>
    </chartFormat>
    <chartFormat chart="25" format="13" series="1">
      <pivotArea type="data" outline="0" fieldPosition="0">
        <references count="2">
          <reference field="4294967294" count="1" selected="0">
            <x v="0"/>
          </reference>
          <reference field="7" count="1" selected="0">
            <x v="24"/>
          </reference>
        </references>
      </pivotArea>
    </chartFormat>
    <chartFormat chart="25" format="14" series="1">
      <pivotArea type="data" outline="0" fieldPosition="0">
        <references count="2">
          <reference field="4294967294" count="1" selected="0">
            <x v="0"/>
          </reference>
          <reference field="7" count="1" selected="0">
            <x v="25"/>
          </reference>
        </references>
      </pivotArea>
    </chartFormat>
    <chartFormat chart="25" format="15" series="1">
      <pivotArea type="data" outline="0" fieldPosition="0">
        <references count="2">
          <reference field="4294967294" count="1" selected="0">
            <x v="0"/>
          </reference>
          <reference field="7" count="1" selected="0">
            <x v="26"/>
          </reference>
        </references>
      </pivotArea>
    </chartFormat>
    <chartFormat chart="25" format="16" series="1">
      <pivotArea type="data" outline="0" fieldPosition="0">
        <references count="2">
          <reference field="4294967294" count="1" selected="0">
            <x v="0"/>
          </reference>
          <reference field="7" count="1" selected="0">
            <x v="27"/>
          </reference>
        </references>
      </pivotArea>
    </chartFormat>
    <chartFormat chart="25" format="17" series="1">
      <pivotArea type="data" outline="0" fieldPosition="0">
        <references count="2">
          <reference field="4294967294" count="1" selected="0">
            <x v="0"/>
          </reference>
          <reference field="7" count="1" selected="0">
            <x v="28"/>
          </reference>
        </references>
      </pivotArea>
    </chartFormat>
    <chartFormat chart="25" format="18" series="1">
      <pivotArea type="data" outline="0" fieldPosition="0">
        <references count="2">
          <reference field="4294967294" count="1" selected="0">
            <x v="0"/>
          </reference>
          <reference field="7" count="1" selected="0">
            <x v="29"/>
          </reference>
        </references>
      </pivotArea>
    </chartFormat>
    <chartFormat chart="25" format="19" series="1">
      <pivotArea type="data" outline="0" fieldPosition="0">
        <references count="2">
          <reference field="4294967294" count="1" selected="0">
            <x v="0"/>
          </reference>
          <reference field="7" count="1" selected="0">
            <x v="30"/>
          </reference>
        </references>
      </pivotArea>
    </chartFormat>
    <chartFormat chart="25" format="20" series="1">
      <pivotArea type="data" outline="0" fieldPosition="0">
        <references count="2">
          <reference field="4294967294" count="1" selected="0">
            <x v="0"/>
          </reference>
          <reference field="7" count="1" selected="0">
            <x v="31"/>
          </reference>
        </references>
      </pivotArea>
    </chartFormat>
    <chartFormat chart="25" format="21" series="1">
      <pivotArea type="data" outline="0" fieldPosition="0">
        <references count="2">
          <reference field="4294967294" count="1" selected="0">
            <x v="0"/>
          </reference>
          <reference field="7" count="1" selected="0">
            <x v="32"/>
          </reference>
        </references>
      </pivotArea>
    </chartFormat>
    <chartFormat chart="25" format="22" series="1">
      <pivotArea type="data" outline="0" fieldPosition="0">
        <references count="2">
          <reference field="4294967294" count="1" selected="0">
            <x v="0"/>
          </reference>
          <reference field="7" count="1" selected="0">
            <x v="33"/>
          </reference>
        </references>
      </pivotArea>
    </chartFormat>
    <chartFormat chart="25" format="23" series="1">
      <pivotArea type="data" outline="0" fieldPosition="0">
        <references count="2">
          <reference field="4294967294" count="1" selected="0">
            <x v="0"/>
          </reference>
          <reference field="20" count="1" selected="0">
            <x v="0"/>
          </reference>
        </references>
      </pivotArea>
    </chartFormat>
    <chartFormat chart="25" format="24" series="1">
      <pivotArea type="data" outline="0" fieldPosition="0">
        <references count="2">
          <reference field="4294967294" count="1" selected="0">
            <x v="0"/>
          </reference>
          <reference field="20" count="1" selected="0">
            <x v="1"/>
          </reference>
        </references>
      </pivotArea>
    </chartFormat>
    <chartFormat chart="36" format="25" series="1">
      <pivotArea type="data" outline="0" fieldPosition="0">
        <references count="2">
          <reference field="4294967294" count="1" selected="0">
            <x v="0"/>
          </reference>
          <reference field="7" count="1" selected="0">
            <x v="11"/>
          </reference>
        </references>
      </pivotArea>
    </chartFormat>
    <chartFormat chart="36" format="26" series="1">
      <pivotArea type="data" outline="0" fieldPosition="0">
        <references count="2">
          <reference field="4294967294" count="1" selected="0">
            <x v="0"/>
          </reference>
          <reference field="7" count="1" selected="0">
            <x v="12"/>
          </reference>
        </references>
      </pivotArea>
    </chartFormat>
    <chartFormat chart="36" format="27" series="1">
      <pivotArea type="data" outline="0" fieldPosition="0">
        <references count="2">
          <reference field="4294967294" count="1" selected="0">
            <x v="0"/>
          </reference>
          <reference field="7" count="1" selected="0">
            <x v="13"/>
          </reference>
        </references>
      </pivotArea>
    </chartFormat>
    <chartFormat chart="36" format="28" series="1">
      <pivotArea type="data" outline="0" fieldPosition="0">
        <references count="2">
          <reference field="4294967294" count="1" selected="0">
            <x v="0"/>
          </reference>
          <reference field="7" count="1" selected="0">
            <x v="14"/>
          </reference>
        </references>
      </pivotArea>
    </chartFormat>
    <chartFormat chart="36" format="29" series="1">
      <pivotArea type="data" outline="0" fieldPosition="0">
        <references count="2">
          <reference field="4294967294" count="1" selected="0">
            <x v="0"/>
          </reference>
          <reference field="7" count="1" selected="0">
            <x v="15"/>
          </reference>
        </references>
      </pivotArea>
    </chartFormat>
    <chartFormat chart="36" format="30" series="1">
      <pivotArea type="data" outline="0" fieldPosition="0">
        <references count="2">
          <reference field="4294967294" count="1" selected="0">
            <x v="0"/>
          </reference>
          <reference field="7" count="1" selected="0">
            <x v="16"/>
          </reference>
        </references>
      </pivotArea>
    </chartFormat>
    <chartFormat chart="36" format="31" series="1">
      <pivotArea type="data" outline="0" fieldPosition="0">
        <references count="2">
          <reference field="4294967294" count="1" selected="0">
            <x v="0"/>
          </reference>
          <reference field="7" count="1" selected="0">
            <x v="17"/>
          </reference>
        </references>
      </pivotArea>
    </chartFormat>
    <chartFormat chart="36" format="32" series="1">
      <pivotArea type="data" outline="0" fieldPosition="0">
        <references count="2">
          <reference field="4294967294" count="1" selected="0">
            <x v="0"/>
          </reference>
          <reference field="7" count="1" selected="0">
            <x v="18"/>
          </reference>
        </references>
      </pivotArea>
    </chartFormat>
    <chartFormat chart="36" format="33" series="1">
      <pivotArea type="data" outline="0" fieldPosition="0">
        <references count="2">
          <reference field="4294967294" count="1" selected="0">
            <x v="0"/>
          </reference>
          <reference field="7" count="1" selected="0">
            <x v="19"/>
          </reference>
        </references>
      </pivotArea>
    </chartFormat>
    <chartFormat chart="36" format="34" series="1">
      <pivotArea type="data" outline="0" fieldPosition="0">
        <references count="2">
          <reference field="4294967294" count="1" selected="0">
            <x v="0"/>
          </reference>
          <reference field="7" count="1" selected="0">
            <x v="20"/>
          </reference>
        </references>
      </pivotArea>
    </chartFormat>
    <chartFormat chart="36" format="35" series="1">
      <pivotArea type="data" outline="0" fieldPosition="0">
        <references count="2">
          <reference field="4294967294" count="1" selected="0">
            <x v="0"/>
          </reference>
          <reference field="7" count="1" selected="0">
            <x v="21"/>
          </reference>
        </references>
      </pivotArea>
    </chartFormat>
    <chartFormat chart="36" format="36" series="1">
      <pivotArea type="data" outline="0" fieldPosition="0">
        <references count="2">
          <reference field="4294967294" count="1" selected="0">
            <x v="0"/>
          </reference>
          <reference field="7" count="1" selected="0">
            <x v="22"/>
          </reference>
        </references>
      </pivotArea>
    </chartFormat>
    <chartFormat chart="36" format="37" series="1">
      <pivotArea type="data" outline="0" fieldPosition="0">
        <references count="2">
          <reference field="4294967294" count="1" selected="0">
            <x v="0"/>
          </reference>
          <reference field="7" count="1" selected="0">
            <x v="23"/>
          </reference>
        </references>
      </pivotArea>
    </chartFormat>
    <chartFormat chart="36" format="38" series="1">
      <pivotArea type="data" outline="0" fieldPosition="0">
        <references count="2">
          <reference field="4294967294" count="1" selected="0">
            <x v="0"/>
          </reference>
          <reference field="7" count="1" selected="0">
            <x v="24"/>
          </reference>
        </references>
      </pivotArea>
    </chartFormat>
    <chartFormat chart="36" format="39" series="1">
      <pivotArea type="data" outline="0" fieldPosition="0">
        <references count="2">
          <reference field="4294967294" count="1" selected="0">
            <x v="0"/>
          </reference>
          <reference field="7" count="1" selected="0">
            <x v="25"/>
          </reference>
        </references>
      </pivotArea>
    </chartFormat>
    <chartFormat chart="36" format="40" series="1">
      <pivotArea type="data" outline="0" fieldPosition="0">
        <references count="2">
          <reference field="4294967294" count="1" selected="0">
            <x v="0"/>
          </reference>
          <reference field="7" count="1" selected="0">
            <x v="26"/>
          </reference>
        </references>
      </pivotArea>
    </chartFormat>
    <chartFormat chart="36" format="41" series="1">
      <pivotArea type="data" outline="0" fieldPosition="0">
        <references count="2">
          <reference field="4294967294" count="1" selected="0">
            <x v="0"/>
          </reference>
          <reference field="7" count="1" selected="0">
            <x v="27"/>
          </reference>
        </references>
      </pivotArea>
    </chartFormat>
    <chartFormat chart="36" format="42" series="1">
      <pivotArea type="data" outline="0" fieldPosition="0">
        <references count="2">
          <reference field="4294967294" count="1" selected="0">
            <x v="0"/>
          </reference>
          <reference field="7" count="1" selected="0">
            <x v="28"/>
          </reference>
        </references>
      </pivotArea>
    </chartFormat>
    <chartFormat chart="36" format="43" series="1">
      <pivotArea type="data" outline="0" fieldPosition="0">
        <references count="2">
          <reference field="4294967294" count="1" selected="0">
            <x v="0"/>
          </reference>
          <reference field="7" count="1" selected="0">
            <x v="29"/>
          </reference>
        </references>
      </pivotArea>
    </chartFormat>
    <chartFormat chart="36" format="44" series="1">
      <pivotArea type="data" outline="0" fieldPosition="0">
        <references count="2">
          <reference field="4294967294" count="1" selected="0">
            <x v="0"/>
          </reference>
          <reference field="7" count="1" selected="0">
            <x v="30"/>
          </reference>
        </references>
      </pivotArea>
    </chartFormat>
    <chartFormat chart="36" format="45" series="1">
      <pivotArea type="data" outline="0" fieldPosition="0">
        <references count="2">
          <reference field="4294967294" count="1" selected="0">
            <x v="0"/>
          </reference>
          <reference field="7" count="1" selected="0">
            <x v="31"/>
          </reference>
        </references>
      </pivotArea>
    </chartFormat>
    <chartFormat chart="36" format="46" series="1">
      <pivotArea type="data" outline="0" fieldPosition="0">
        <references count="2">
          <reference field="4294967294" count="1" selected="0">
            <x v="0"/>
          </reference>
          <reference field="7" count="1" selected="0">
            <x v="32"/>
          </reference>
        </references>
      </pivotArea>
    </chartFormat>
    <chartFormat chart="36" format="47" series="1">
      <pivotArea type="data" outline="0" fieldPosition="0">
        <references count="2">
          <reference field="4294967294" count="1" selected="0">
            <x v="0"/>
          </reference>
          <reference field="7" count="1" selected="0">
            <x v="3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F6B60CF9-FA49-44CD-B751-5B6969BCDC3A}" name="PivotTable1" cacheId="56" applyNumberFormats="0" applyBorderFormats="0" applyFontFormats="0" applyPatternFormats="0" applyAlignmentFormats="0" applyWidthHeightFormats="0" dataCaption="" missingCaption="0" updatedVersion="8" compact="0" compactData="0" chartFormat="12">
  <location ref="A40:E47" firstHeaderRow="1" firstDataRow="2" firstDataCol="1" rowPageCount="2" colPageCount="1"/>
  <pivotFields count="26">
    <pivotField name="Activity Category" axis="axisPage" compact="0" outline="0" multipleItemSelectionAllowed="1" showAll="0">
      <items count="6">
        <item x="0"/>
        <item h="1"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Row" compact="0" outline="0" multipleItemSelectionAllowed="1" sortType="ascending">
      <items count="3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axis="axisCol" dataField="1" compact="0" outline="0" showAll="0" includeNewItemsInFilter="1">
      <items count="4">
        <item x="2"/>
        <item x="0"/>
        <item x="1"/>
        <item t="default"/>
      </items>
    </pivotField>
    <pivotField name="Port Call Voyage Identifier" compact="0" outline="0" multipleItemSelectionAllowed="1" showAll="0" sortType="ascending"/>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6">
    <i>
      <x v="29"/>
    </i>
    <i>
      <x v="30"/>
    </i>
    <i>
      <x v="31"/>
    </i>
    <i>
      <x v="32"/>
    </i>
    <i>
      <x v="33"/>
    </i>
    <i t="grand">
      <x/>
    </i>
  </rowItems>
  <colFields count="1">
    <field x="20"/>
  </colFields>
  <colItems count="4">
    <i>
      <x/>
    </i>
    <i>
      <x v="1"/>
    </i>
    <i>
      <x v="2"/>
    </i>
    <i t="grand">
      <x/>
    </i>
  </colItems>
  <pageFields count="2">
    <pageField fld="0" hier="0"/>
    <pageField fld="9" hier="0"/>
  </pageFields>
  <dataFields count="1">
    <dataField name="Count of ETF or NETF" fld="20" subtotal="count" baseField="0" baseItem="0"/>
  </dataFields>
  <formats count="2">
    <format dxfId="755">
      <pivotArea grandCol="1" outline="0" fieldPosition="0"/>
    </format>
    <format dxfId="75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00000000-0007-0000-2900-00005C000000}" name="Figure 13-14" cacheId="14" applyNumberFormats="0" applyBorderFormats="0" applyFontFormats="0" applyPatternFormats="0" applyAlignmentFormats="0" applyWidthHeightFormats="0" dataCaption="" updatedVersion="8" colGrandTotals="0" compact="0" compactData="0">
  <location ref="A5:R11" firstHeaderRow="1" firstDataRow="2" firstDataCol="1" rowPageCount="2" colPageCount="1"/>
  <pivotFields count="26">
    <pivotField name="Activity Category" axis="axisPage" dataField="1" compact="0" outline="0" multipleItemSelectionAllowed="1" showAll="0">
      <items count="4">
        <item x="0"/>
        <item x="1"/>
        <item x="2"/>
        <item t="default"/>
      </items>
    </pivotField>
    <pivotField name="Geographic Region" axis="axisRow" compact="0" outline="0" multipleItemSelectionAllowed="1" showAll="0" sortType="ascending">
      <items count="13">
        <item h="1" x="7"/>
        <item x="6"/>
        <item h="1" x="8"/>
        <item h="1" x="9"/>
        <item h="1" x="11"/>
        <item h="1" x="2"/>
        <item x="4"/>
        <item h="1" x="5"/>
        <item h="1" x="3"/>
        <item h="1" x="10"/>
        <item x="0"/>
        <item x="1"/>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5">
    <i>
      <x v="1"/>
    </i>
    <i>
      <x v="6"/>
    </i>
    <i>
      <x v="10"/>
    </i>
    <i>
      <x v="11"/>
    </i>
    <i t="grand">
      <x/>
    </i>
  </rowItems>
  <colFields count="1">
    <field x="7"/>
  </colFields>
  <colItems count="17">
    <i>
      <x v="11"/>
    </i>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407AE0D-9920-457C-840C-C299E261B7FA}" name="AFRICOM Figure 4" cacheId="56" applyNumberFormats="0" applyBorderFormats="0" applyFontFormats="0" applyPatternFormats="0" applyAlignmentFormats="0" applyWidthHeightFormats="0" dataCaption="" missingCaption="0" updatedVersion="8" compact="0" compactData="0">
  <location ref="A62:Y66"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h="1" x="3"/>
        <item x="4"/>
        <item h="1" x="5"/>
        <item h="1" x="6"/>
        <item h="1" x="7"/>
        <item h="1" x="0"/>
        <item t="default"/>
      </items>
    </pivotField>
    <pivotField name="Partner Country" compact="0" outline="0" multipleItemSelectionAllowed="1" showAll="0"/>
    <pivotField name="Year" axis="axisCol" compact="0" outline="0" multipleItemSelectionAllowed="1"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5" hier="0"/>
    <pageField fld="9" hier="0"/>
  </pageFields>
  <dataFields count="1">
    <dataField name="Count of Activity Category" fld="0" subtotal="count" baseField="14" baseItem="1"/>
  </dataFields>
  <formats count="3">
    <format dxfId="879">
      <pivotArea grandRow="1" outline="0" fieldPosition="0"/>
    </format>
    <format dxfId="878">
      <pivotArea dataOnly="0" labelOnly="1" grandRow="1" outline="0" fieldPosition="0"/>
    </format>
    <format dxfId="877">
      <pivotArea dataOnly="0" grandCol="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252FE0CA-E9CA-4B7D-826A-75F07237283F}" name="Figure 13-14 3" cacheId="56" applyNumberFormats="0" applyBorderFormats="0" applyFontFormats="0" applyPatternFormats="0" applyAlignmentFormats="0" applyWidthHeightFormats="0" dataCaption="" missingCaption="0" updatedVersion="8" compact="0" compactData="0">
  <location ref="A70:B75" firstHeaderRow="1" firstDataRow="1" firstDataCol="1" rowPageCount="3" colPageCount="1"/>
  <pivotFields count="26">
    <pivotField name="Activity Category" axis="axisPage" dataField="1" compact="0" outline="0" multipleItemSelectionAllowed="1" showAll="0">
      <items count="6">
        <item x="0"/>
        <item x="1"/>
        <item x="2"/>
        <item x="3"/>
        <item m="1" x="4"/>
        <item t="default"/>
      </items>
    </pivotField>
    <pivotField name="Geographic Region" axis="axisRow" compact="0" outline="0" multipleItemSelectionAllowed="1" showAll="0" sortType="ascending">
      <items count="14">
        <item h="1" x="7"/>
        <item x="6"/>
        <item h="1" x="8"/>
        <item h="1" x="9"/>
        <item h="1" x="11"/>
        <item h="1" x="2"/>
        <item x="4"/>
        <item h="1" x="5"/>
        <item h="1" x="3"/>
        <item h="1" x="10"/>
        <item x="0"/>
        <item x="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5">
    <i>
      <x v="1"/>
    </i>
    <i>
      <x v="6"/>
    </i>
    <i>
      <x v="10"/>
    </i>
    <i>
      <x v="11"/>
    </i>
    <i t="grand">
      <x/>
    </i>
  </rowItems>
  <colItems count="1">
    <i/>
  </colItems>
  <pageFields count="3">
    <pageField fld="0" hier="0"/>
    <pageField fld="7" hier="0"/>
    <pageField fld="9" hier="0"/>
  </pageFields>
  <dataFields count="1">
    <dataField name="Count of Activity Category" fld="0" subtotal="count" baseField="0"/>
  </dataFields>
  <formats count="1">
    <format dxfId="745">
      <pivotArea field="1" dataOnly="0" grandRow="1" outline="0" axis="axisRow" fieldPosition="0">
        <references count="1">
          <reference field="1" count="1">
            <x v="1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77C5AB06-0E30-4C27-B1F6-FA5E2EAA2383}" name="Figure 13-14 2" cacheId="56" applyNumberFormats="0" applyBorderFormats="0" applyFontFormats="0" applyPatternFormats="0" applyAlignmentFormats="0" applyWidthHeightFormats="0" dataCaption="" missingCaption="0" updatedVersion="8" compact="0" compactData="0">
  <location ref="A36:Y42" firstHeaderRow="1" firstDataRow="2" firstDataCol="1" rowPageCount="2" colPageCount="1"/>
  <pivotFields count="26">
    <pivotField name="Activity Category" axis="axisPage" dataField="1" compact="0" outline="0" multipleItemSelectionAllowed="1" showAll="0">
      <items count="6">
        <item x="0"/>
        <item x="1"/>
        <item x="2"/>
        <item x="3"/>
        <item m="1" x="4"/>
        <item t="default"/>
      </items>
    </pivotField>
    <pivotField name="Geographic Region" axis="axisRow" compact="0" outline="0" multipleItemSelectionAllowed="1" showAll="0" sortType="ascending">
      <items count="14">
        <item h="1" x="7"/>
        <item x="6"/>
        <item h="1" x="8"/>
        <item h="1" x="9"/>
        <item h="1" x="11"/>
        <item h="1" x="2"/>
        <item x="4"/>
        <item h="1" x="5"/>
        <item h="1" x="3"/>
        <item h="1" x="10"/>
        <item x="0"/>
        <item x="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5">
    <i>
      <x v="1"/>
    </i>
    <i>
      <x v="6"/>
    </i>
    <i>
      <x v="10"/>
    </i>
    <i>
      <x v="11"/>
    </i>
    <i t="grand">
      <x/>
    </i>
  </rowItems>
  <colFields count="1">
    <field x="7"/>
  </colFields>
  <colItems count="24">
    <i>
      <x v="11"/>
    </i>
    <i>
      <x v="12"/>
    </i>
    <i>
      <x v="13"/>
    </i>
    <i>
      <x v="14"/>
    </i>
    <i>
      <x v="15"/>
    </i>
    <i>
      <x v="16"/>
    </i>
    <i>
      <x v="17"/>
    </i>
    <i>
      <x v="18"/>
    </i>
    <i>
      <x v="19"/>
    </i>
    <i>
      <x v="20"/>
    </i>
    <i>
      <x v="21"/>
    </i>
    <i>
      <x v="22"/>
    </i>
    <i>
      <x v="23"/>
    </i>
    <i>
      <x v="24"/>
    </i>
    <i>
      <x v="25"/>
    </i>
    <i>
      <x v="26"/>
    </i>
    <i>
      <x v="27"/>
    </i>
    <i>
      <x v="28"/>
    </i>
    <i>
      <x v="29"/>
    </i>
    <i>
      <x v="30"/>
    </i>
    <i>
      <x v="31"/>
    </i>
    <i>
      <x v="32"/>
    </i>
    <i>
      <x v="33"/>
    </i>
    <i t="grand">
      <x/>
    </i>
  </colItems>
  <pageFields count="2">
    <pageField fld="0" hier="0"/>
    <pageField fld="9" hier="0"/>
  </pageFields>
  <dataFields count="1">
    <dataField name="Count of Activity Category" fld="0" subtotal="count" baseField="0"/>
  </dataFields>
  <formats count="3">
    <format dxfId="748">
      <pivotArea grandCol="1" outline="0" fieldPosition="0"/>
    </format>
    <format dxfId="747">
      <pivotArea dataOnly="0" labelOnly="1" grandCol="1" outline="0" fieldPosition="0"/>
    </format>
    <format dxfId="746">
      <pivotArea dataOnly="0"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99C02883-F0CA-4E9B-94AD-E8BD1F06F3D5}" name="Figure 15 3" cacheId="56" applyNumberFormats="0" applyBorderFormats="0" applyFontFormats="0" applyPatternFormats="0" applyAlignmentFormats="0" applyWidthHeightFormats="0" dataCaption="" missingCaption="0" updatedVersion="8" compact="0" compactData="0">
  <location ref="A82:B95" firstHeaderRow="1" firstDataRow="1" firstDataCol="1" rowPageCount="3" colPageCount="1"/>
  <pivotFields count="26">
    <pivotField name="Activity Category" axis="axisPage" dataField="1" compact="0" outline="0" multipleItemSelectionAllowed="1" showAll="0">
      <items count="6">
        <item x="0"/>
        <item x="1"/>
        <item x="2"/>
        <item x="3"/>
        <item m="1" x="4"/>
        <item t="default"/>
      </items>
    </pivotField>
    <pivotField name="Geographic Region" axis="axisRow" compact="0" outline="0" multipleItemSelectionAllowed="1" showAll="0" sortType="ascending">
      <items count="14">
        <item x="7"/>
        <item x="6"/>
        <item x="8"/>
        <item x="9"/>
        <item x="11"/>
        <item x="2"/>
        <item x="4"/>
        <item x="5"/>
        <item x="3"/>
        <item x="10"/>
        <item x="0"/>
        <item x="1"/>
        <item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x="0"/>
        <item x="1"/>
        <item x="2"/>
        <item x="3"/>
        <item x="4"/>
        <item x="5"/>
        <item x="6"/>
        <item x="7"/>
        <item x="8"/>
        <item x="9"/>
        <item x="10"/>
        <item x="11"/>
        <item x="12"/>
        <item x="13"/>
        <item x="14"/>
        <item x="15"/>
        <item x="16"/>
        <item x="17"/>
        <item m="1" x="18"/>
        <item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Items count="1">
    <i/>
  </colItems>
  <pageFields count="3">
    <pageField fld="0" hier="0"/>
    <pageField fld="7" hier="0"/>
    <pageField fld="9" hier="0"/>
  </pageFields>
  <dataFields count="1">
    <dataField name="Count of Activity Category" fld="0" subtotal="count" baseField="0"/>
  </dataFields>
  <formats count="1">
    <format dxfId="744">
      <pivotArea dataOnly="0"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00000000-0007-0000-2A00-00005D000000}" name="Figure 15 4" cacheId="14" applyNumberFormats="0" applyBorderFormats="0" applyFontFormats="0" applyPatternFormats="0" applyAlignmentFormats="0" applyWidthHeightFormats="0" dataCaption="" updatedVersion="8" compact="0" compactData="0">
  <location ref="A117:B130" firstHeaderRow="1" firstDataRow="1"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axis="axisRow" compact="0" outline="0" multipleItemSelectionAllowed="1" showAll="0" sortType="ascending">
      <items count="13">
        <item x="7"/>
        <item x="6"/>
        <item x="8"/>
        <item x="9"/>
        <item x="11"/>
        <item x="2"/>
        <item x="4"/>
        <item x="5"/>
        <item x="3"/>
        <item x="10"/>
        <item x="0"/>
        <item x="1"/>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h="1" x="7"/>
        <item x="8"/>
        <item x="9"/>
        <item x="10"/>
        <item x="11"/>
        <item x="12"/>
        <item x="13"/>
        <item x="14"/>
        <item h="1" x="15"/>
        <item h="1"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00000000-0007-0000-2A00-000060000000}" name="Figure 15" cacheId="14" applyNumberFormats="0" applyBorderFormats="0" applyFontFormats="0" applyPatternFormats="0" applyAlignmentFormats="0" applyWidthHeightFormats="0" dataCaption="" updatedVersion="8" compact="0" compactData="0">
  <location ref="A6:B19" firstHeaderRow="1" firstDataRow="1"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axis="axisRow" compact="0" outline="0" multipleItemSelectionAllowed="1" showAll="0" sortType="ascending">
      <items count="13">
        <item x="7"/>
        <item x="6"/>
        <item x="8"/>
        <item x="9"/>
        <item x="11"/>
        <item x="2"/>
        <item x="4"/>
        <item x="5"/>
        <item x="3"/>
        <item x="10"/>
        <item x="0"/>
        <item x="1"/>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00000000-0007-0000-2A00-00005F000000}" name="Figure 15 2" cacheId="14" applyNumberFormats="0" applyBorderFormats="0" applyFontFormats="0" applyPatternFormats="0" applyAlignmentFormats="0" applyWidthHeightFormats="0" dataCaption="" updatedVersion="8" compact="0" compactData="0">
  <location ref="A44:B57" firstHeaderRow="1" firstDataRow="1"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axis="axisRow" compact="0" outline="0" multipleItemSelectionAllowed="1" showAll="0" sortType="ascending">
      <items count="13">
        <item x="7"/>
        <item x="6"/>
        <item x="8"/>
        <item x="9"/>
        <item x="11"/>
        <item x="2"/>
        <item x="4"/>
        <item x="5"/>
        <item x="3"/>
        <item x="10"/>
        <item x="0"/>
        <item x="1"/>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0489BAA1-175D-4C6A-8B1A-37E0DCCCD712}" name="PivotTable2" cacheId="43" applyNumberFormats="0" applyBorderFormats="0" applyFontFormats="0" applyPatternFormats="0" applyAlignmentFormats="0" applyWidthHeightFormats="0" dataCaption="" missingCaption="0" updatedVersion="8" rowGrandTotals="0" colGrandTotals="0" compact="0" compactData="0" chartFormat="12">
  <location ref="A7:B137" firstHeaderRow="1" firstDataRow="2" firstDataCol="1" rowPageCount="2" colPageCount="1"/>
  <pivotFields count="26">
    <pivotField name="Activity Category" axis="axisCol" dataField="1" compact="0" outline="0" multipleItemSelectionAllowed="1" showAll="0" autoShow="1" rankBy="0">
      <items count="6">
        <item h="1" x="2"/>
        <item h="1"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m="1" x="173"/>
        <item x="171"/>
        <item t="default"/>
      </items>
      <autoSortScope>
        <pivotArea dataOnly="0" outline="0" fieldPosition="0">
          <references count="2">
            <reference field="4294967294" count="1" selected="0">
              <x v="0"/>
            </reference>
            <reference field="0" count="1" selected="0">
              <x v="2"/>
            </reference>
          </references>
        </pivotArea>
      </autoSortScope>
    </pivotField>
    <pivotField name="Year" axis="axisPage" compact="0" outline="0" multipleItemSelectionAllowed="1" showAll="0" sortType="ascending">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Page" compact="0" outline="0" multipleItemSelectionAllowed="1" showAll="0">
      <items count="6">
        <item h="1" x="3"/>
        <item x="1"/>
        <item h="1"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29">
    <i>
      <x v="127"/>
    </i>
    <i>
      <x v="163"/>
    </i>
    <i>
      <x v="118"/>
    </i>
    <i>
      <x v="135"/>
    </i>
    <i>
      <x v="168"/>
    </i>
    <i>
      <x v="38"/>
    </i>
    <i>
      <x v="9"/>
    </i>
    <i>
      <x v="140"/>
    </i>
    <i>
      <x v="150"/>
    </i>
    <i>
      <x v="112"/>
    </i>
    <i>
      <x v="84"/>
    </i>
    <i>
      <x v="15"/>
    </i>
    <i>
      <x v="48"/>
    </i>
    <i>
      <x v="70"/>
    </i>
    <i>
      <x v="130"/>
    </i>
    <i>
      <x v="67"/>
    </i>
    <i>
      <x v="69"/>
    </i>
    <i>
      <x v="8"/>
    </i>
    <i>
      <x v="79"/>
    </i>
    <i>
      <x v="21"/>
    </i>
    <i>
      <x v="32"/>
    </i>
    <i>
      <x v="68"/>
    </i>
    <i>
      <x v="6"/>
    </i>
    <i>
      <x v="149"/>
    </i>
    <i>
      <x v="126"/>
    </i>
    <i>
      <x v="148"/>
    </i>
    <i>
      <x v="77"/>
    </i>
    <i>
      <x v="93"/>
    </i>
    <i>
      <x v="99"/>
    </i>
    <i>
      <x v="25"/>
    </i>
    <i>
      <x v="105"/>
    </i>
    <i>
      <x v="56"/>
    </i>
    <i>
      <x v="61"/>
    </i>
    <i>
      <x v="161"/>
    </i>
    <i>
      <x v="123"/>
    </i>
    <i>
      <x v="74"/>
    </i>
    <i>
      <x v="59"/>
    </i>
    <i>
      <x v="122"/>
    </i>
    <i>
      <x v="139"/>
    </i>
    <i>
      <x v="55"/>
    </i>
    <i>
      <x v="23"/>
    </i>
    <i>
      <x v="156"/>
    </i>
    <i>
      <x v="72"/>
    </i>
    <i>
      <x v="145"/>
    </i>
    <i>
      <x v="83"/>
    </i>
    <i>
      <x v="22"/>
    </i>
    <i>
      <x v="115"/>
    </i>
    <i>
      <x v="165"/>
    </i>
    <i>
      <x v="136"/>
    </i>
    <i>
      <x v="101"/>
    </i>
    <i>
      <x v="27"/>
    </i>
    <i>
      <x v="13"/>
    </i>
    <i>
      <x v="37"/>
    </i>
    <i>
      <x v="159"/>
    </i>
    <i>
      <x v="132"/>
    </i>
    <i>
      <x v="171"/>
    </i>
    <i>
      <x v="80"/>
    </i>
    <i>
      <x v="146"/>
    </i>
    <i>
      <x v="142"/>
    </i>
    <i>
      <x v="116"/>
    </i>
    <i>
      <x v="164"/>
    </i>
    <i>
      <x v="147"/>
    </i>
    <i>
      <x v="167"/>
    </i>
    <i>
      <x v="52"/>
    </i>
    <i>
      <x v="107"/>
    </i>
    <i>
      <x v="40"/>
    </i>
    <i>
      <x v="141"/>
    </i>
    <i>
      <x v="158"/>
    </i>
    <i>
      <x v="155"/>
    </i>
    <i>
      <x v="33"/>
    </i>
    <i>
      <x v="129"/>
    </i>
    <i>
      <x v="109"/>
    </i>
    <i>
      <x v="78"/>
    </i>
    <i>
      <x v="172"/>
    </i>
    <i>
      <x v="104"/>
    </i>
    <i>
      <x v="73"/>
    </i>
    <i>
      <x v="58"/>
    </i>
    <i>
      <x v="3"/>
    </i>
    <i>
      <x v="18"/>
    </i>
    <i>
      <x v="47"/>
    </i>
    <i>
      <x v="103"/>
    </i>
    <i>
      <x v="4"/>
    </i>
    <i>
      <x v="121"/>
    </i>
    <i>
      <x v="16"/>
    </i>
    <i>
      <x v="124"/>
    </i>
    <i>
      <x v="157"/>
    </i>
    <i>
      <x v="154"/>
    </i>
    <i>
      <x v="86"/>
    </i>
    <i>
      <x v="41"/>
    </i>
    <i>
      <x v="20"/>
    </i>
    <i>
      <x v="160"/>
    </i>
    <i>
      <x v="143"/>
    </i>
    <i>
      <x v="42"/>
    </i>
    <i>
      <x v="10"/>
    </i>
    <i>
      <x v="170"/>
    </i>
    <i>
      <x v="125"/>
    </i>
    <i>
      <x v="108"/>
    </i>
    <i>
      <x/>
    </i>
    <i>
      <x v="17"/>
    </i>
    <i>
      <x v="39"/>
    </i>
    <i>
      <x v="111"/>
    </i>
    <i>
      <x v="36"/>
    </i>
    <i>
      <x v="94"/>
    </i>
    <i>
      <x v="26"/>
    </i>
    <i>
      <x v="7"/>
    </i>
    <i>
      <x v="117"/>
    </i>
    <i>
      <x v="90"/>
    </i>
    <i>
      <x v="60"/>
    </i>
    <i>
      <x v="89"/>
    </i>
    <i>
      <x v="49"/>
    </i>
    <i>
      <x v="53"/>
    </i>
    <i>
      <x v="91"/>
    </i>
    <i>
      <x v="44"/>
    </i>
    <i>
      <x v="120"/>
    </i>
    <i>
      <x v="152"/>
    </i>
    <i>
      <x v="11"/>
    </i>
    <i>
      <x v="153"/>
    </i>
    <i>
      <x v="12"/>
    </i>
    <i>
      <x v="128"/>
    </i>
    <i>
      <x v="35"/>
    </i>
    <i>
      <x v="85"/>
    </i>
    <i>
      <x v="166"/>
    </i>
    <i>
      <x v="45"/>
    </i>
    <i>
      <x v="96"/>
    </i>
    <i>
      <x v="131"/>
    </i>
    <i>
      <x v="50"/>
    </i>
    <i>
      <x v="87"/>
    </i>
    <i>
      <x v="82"/>
    </i>
    <i>
      <x v="133"/>
    </i>
  </rowItems>
  <colFields count="1">
    <field x="0"/>
  </colFields>
  <colItems count="1">
    <i>
      <x v="2"/>
    </i>
  </colItems>
  <pageFields count="2">
    <pageField fld="14" hier="-1"/>
    <pageField fld="7" hier="-1"/>
  </pageFields>
  <dataFields count="1">
    <dataField name="Count of Activity Category" fld="0" subtotal="count" baseField="0" baseItem="0"/>
  </dataFields>
  <formats count="3">
    <format dxfId="743">
      <pivotArea dataOnly="0" grandRow="1" outline="0" fieldPosition="0"/>
    </format>
    <format dxfId="742">
      <pivotArea grandCol="1" outline="0" fieldPosition="0"/>
    </format>
    <format dxfId="741">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B202A3A7-9799-4CDC-A8BE-620D28854A6B}" name="Figure 17-18 3" cacheId="56" applyNumberFormats="0" applyBorderFormats="0" applyFontFormats="0" applyPatternFormats="0" applyAlignmentFormats="0" applyWidthHeightFormats="0" dataCaption="" missingCaption="0" updatedVersion="8" rowGrandTotals="0" colGrandTotals="0" compact="0" compactData="0">
  <location ref="A181:C338" firstHeaderRow="1" firstDataRow="2" firstDataCol="1" rowPageCount="3" colPageCount="1"/>
  <pivotFields count="26">
    <pivotField name="Activity Category" axis="axisPage" dataField="1"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sortType="ascending">
      <items count="176">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3"/>
        <item x="150"/>
        <item x="67"/>
        <item x="18"/>
        <item x="87"/>
        <item x="29"/>
        <item x="138"/>
        <item x="80"/>
        <item x="109"/>
        <item x="88"/>
        <item x="19"/>
        <item x="82"/>
        <item x="137"/>
        <item x="6"/>
        <item x="8"/>
        <item x="164"/>
        <item x="89"/>
        <item x="100"/>
        <item x="20"/>
        <item x="140"/>
        <item x="145"/>
        <item x="83"/>
        <item x="101"/>
        <item x="30"/>
        <item x="47"/>
        <item x="170"/>
        <item x="72"/>
        <item x="31"/>
        <item x="52"/>
        <item x="157"/>
        <item x="110"/>
        <item x="114"/>
        <item x="115"/>
        <item x="111"/>
        <item x="99"/>
        <item x="141"/>
        <item x="143"/>
        <item x="10"/>
        <item x="149"/>
        <item x="121"/>
        <item x="148"/>
        <item x="160"/>
        <item x="162"/>
        <item x="77"/>
        <item x="126"/>
        <item x="53"/>
        <item x="155"/>
        <item x="27"/>
        <item x="84"/>
        <item x="1"/>
        <item x="161"/>
        <item x="69"/>
        <item x="151"/>
        <item x="32"/>
        <item m="1" x="174"/>
        <item x="117"/>
        <item x="13"/>
        <item x="104"/>
        <item x="36"/>
        <item x="9"/>
        <item x="37"/>
        <item x="147"/>
        <item x="2"/>
        <item m="1" x="172"/>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x="171"/>
        <item t="default"/>
      </items>
    </pivotField>
    <pivotField name="Year" axis="axisPage" compact="0" outline="0" multipleItemSelectionAllowed="1" showAll="0">
      <items count="36">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4"/>
        <item t="default"/>
      </items>
    </pivotField>
    <pivotField name="Month" compact="0" outline="0" multipleItemSelectionAllowed="1" showAll="0"/>
    <pivotField name="Activity Type" axis="axisPage" compact="0" outline="0" multipleItemSelectionAllowed="1" showAll="0">
      <items count="21">
        <item h="1" x="0"/>
        <item h="1" x="1"/>
        <item h="1" x="2"/>
        <item x="3"/>
        <item x="4"/>
        <item h="1" x="5"/>
        <item h="1" x="6"/>
        <item h="1" x="7"/>
        <item h="1" x="8"/>
        <item h="1" x="9"/>
        <item h="1" x="10"/>
        <item h="1" x="11"/>
        <item h="1" x="12"/>
        <item h="1" x="13"/>
        <item h="1" x="14"/>
        <item h="1" x="15"/>
        <item h="1" x="16"/>
        <item h="1" x="17"/>
        <item h="1" m="1" x="18"/>
        <item h="1" m="1" x="19"/>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axis="axisCol" compact="0" outline="0" multipleItemSelectionAllowed="1" showAll="0" sortType="descending">
      <items count="6">
        <item h="1" x="0"/>
        <item h="1" x="4"/>
        <item x="2"/>
        <item x="1"/>
        <item h="1" x="3"/>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56">
    <i>
      <x/>
    </i>
    <i>
      <x v="2"/>
    </i>
    <i>
      <x v="3"/>
    </i>
    <i>
      <x v="4"/>
    </i>
    <i>
      <x v="5"/>
    </i>
    <i>
      <x v="6"/>
    </i>
    <i>
      <x v="7"/>
    </i>
    <i>
      <x v="9"/>
    </i>
    <i>
      <x v="10"/>
    </i>
    <i>
      <x v="11"/>
    </i>
    <i>
      <x v="12"/>
    </i>
    <i>
      <x v="13"/>
    </i>
    <i>
      <x v="14"/>
    </i>
    <i>
      <x v="15"/>
    </i>
    <i>
      <x v="16"/>
    </i>
    <i>
      <x v="17"/>
    </i>
    <i>
      <x v="18"/>
    </i>
    <i>
      <x v="19"/>
    </i>
    <i>
      <x v="20"/>
    </i>
    <i>
      <x v="21"/>
    </i>
    <i>
      <x v="22"/>
    </i>
    <i>
      <x v="23"/>
    </i>
    <i>
      <x v="24"/>
    </i>
    <i>
      <x v="25"/>
    </i>
    <i>
      <x v="26"/>
    </i>
    <i>
      <x v="27"/>
    </i>
    <i>
      <x v="28"/>
    </i>
    <i>
      <x v="30"/>
    </i>
    <i>
      <x v="31"/>
    </i>
    <i>
      <x v="32"/>
    </i>
    <i>
      <x v="33"/>
    </i>
    <i>
      <x v="34"/>
    </i>
    <i>
      <x v="35"/>
    </i>
    <i>
      <x v="36"/>
    </i>
    <i>
      <x v="37"/>
    </i>
    <i>
      <x v="38"/>
    </i>
    <i>
      <x v="39"/>
    </i>
    <i>
      <x v="40"/>
    </i>
    <i>
      <x v="41"/>
    </i>
    <i>
      <x v="42"/>
    </i>
    <i>
      <x v="44"/>
    </i>
    <i>
      <x v="45"/>
    </i>
    <i>
      <x v="46"/>
    </i>
    <i>
      <x v="47"/>
    </i>
    <i>
      <x v="48"/>
    </i>
    <i>
      <x v="49"/>
    </i>
    <i>
      <x v="50"/>
    </i>
    <i>
      <x v="51"/>
    </i>
    <i>
      <x v="52"/>
    </i>
    <i>
      <x v="53"/>
    </i>
    <i>
      <x v="54"/>
    </i>
    <i>
      <x v="55"/>
    </i>
    <i>
      <x v="56"/>
    </i>
    <i>
      <x v="59"/>
    </i>
    <i>
      <x v="60"/>
    </i>
    <i>
      <x v="61"/>
    </i>
    <i>
      <x v="62"/>
    </i>
    <i>
      <x v="63"/>
    </i>
    <i>
      <x v="64"/>
    </i>
    <i>
      <x v="65"/>
    </i>
    <i>
      <x v="66"/>
    </i>
    <i>
      <x v="68"/>
    </i>
    <i>
      <x v="70"/>
    </i>
    <i>
      <x v="71"/>
    </i>
    <i>
      <x v="73"/>
    </i>
    <i>
      <x v="74"/>
    </i>
    <i>
      <x v="75"/>
    </i>
    <i>
      <x v="76"/>
    </i>
    <i>
      <x v="77"/>
    </i>
    <i>
      <x v="78"/>
    </i>
    <i>
      <x v="79"/>
    </i>
    <i>
      <x v="80"/>
    </i>
    <i>
      <x v="81"/>
    </i>
    <i>
      <x v="83"/>
    </i>
    <i>
      <x v="84"/>
    </i>
    <i>
      <x v="85"/>
    </i>
    <i>
      <x v="86"/>
    </i>
    <i>
      <x v="87"/>
    </i>
    <i>
      <x v="88"/>
    </i>
    <i>
      <x v="89"/>
    </i>
    <i>
      <x v="90"/>
    </i>
    <i>
      <x v="91"/>
    </i>
    <i>
      <x v="92"/>
    </i>
    <i>
      <x v="93"/>
    </i>
    <i>
      <x v="94"/>
    </i>
    <i>
      <x v="95"/>
    </i>
    <i>
      <x v="96"/>
    </i>
    <i>
      <x v="97"/>
    </i>
    <i>
      <x v="98"/>
    </i>
    <i>
      <x v="100"/>
    </i>
    <i>
      <x v="101"/>
    </i>
    <i>
      <x v="102"/>
    </i>
    <i>
      <x v="103"/>
    </i>
    <i>
      <x v="104"/>
    </i>
    <i>
      <x v="105"/>
    </i>
    <i>
      <x v="106"/>
    </i>
    <i>
      <x v="108"/>
    </i>
    <i>
      <x v="109"/>
    </i>
    <i>
      <x v="110"/>
    </i>
    <i>
      <x v="112"/>
    </i>
    <i>
      <x v="113"/>
    </i>
    <i>
      <x v="114"/>
    </i>
    <i>
      <x v="115"/>
    </i>
    <i>
      <x v="116"/>
    </i>
    <i>
      <x v="117"/>
    </i>
    <i>
      <x v="118"/>
    </i>
    <i>
      <x v="119"/>
    </i>
    <i>
      <x v="121"/>
    </i>
    <i>
      <x v="122"/>
    </i>
    <i>
      <x v="123"/>
    </i>
    <i>
      <x v="124"/>
    </i>
    <i>
      <x v="125"/>
    </i>
    <i>
      <x v="126"/>
    </i>
    <i>
      <x v="127"/>
    </i>
    <i>
      <x v="128"/>
    </i>
    <i>
      <x v="129"/>
    </i>
    <i>
      <x v="130"/>
    </i>
    <i>
      <x v="132"/>
    </i>
    <i>
      <x v="133"/>
    </i>
    <i>
      <x v="134"/>
    </i>
    <i>
      <x v="135"/>
    </i>
    <i>
      <x v="136"/>
    </i>
    <i>
      <x v="137"/>
    </i>
    <i>
      <x v="138"/>
    </i>
    <i>
      <x v="140"/>
    </i>
    <i>
      <x v="141"/>
    </i>
    <i>
      <x v="142"/>
    </i>
    <i>
      <x v="143"/>
    </i>
    <i>
      <x v="144"/>
    </i>
    <i>
      <x v="145"/>
    </i>
    <i>
      <x v="146"/>
    </i>
    <i>
      <x v="147"/>
    </i>
    <i>
      <x v="148"/>
    </i>
    <i>
      <x v="149"/>
    </i>
    <i>
      <x v="150"/>
    </i>
    <i>
      <x v="151"/>
    </i>
    <i>
      <x v="153"/>
    </i>
    <i>
      <x v="154"/>
    </i>
    <i>
      <x v="155"/>
    </i>
    <i>
      <x v="156"/>
    </i>
    <i>
      <x v="157"/>
    </i>
    <i>
      <x v="158"/>
    </i>
    <i>
      <x v="159"/>
    </i>
    <i>
      <x v="160"/>
    </i>
    <i>
      <x v="161"/>
    </i>
    <i>
      <x v="162"/>
    </i>
    <i>
      <x v="163"/>
    </i>
    <i>
      <x v="164"/>
    </i>
    <i>
      <x v="165"/>
    </i>
    <i>
      <x v="166"/>
    </i>
    <i>
      <x v="167"/>
    </i>
    <i>
      <x v="168"/>
    </i>
    <i>
      <x v="169"/>
    </i>
    <i>
      <x v="171"/>
    </i>
    <i>
      <x v="172"/>
    </i>
    <i>
      <x v="173"/>
    </i>
  </rowItems>
  <colFields count="1">
    <field x="14"/>
  </colFields>
  <colItems count="2">
    <i>
      <x v="2"/>
    </i>
    <i>
      <x v="3"/>
    </i>
  </colItems>
  <pageFields count="3">
    <pageField fld="0" hier="0"/>
    <pageField fld="7" hier="0"/>
    <pageField fld="9" hier="0"/>
  </pageFields>
  <dataFields count="1">
    <dataField name="Count of Activity Category" fld="0" subtotal="count" baseField="0"/>
  </dataFields>
  <formats count="2">
    <format dxfId="740">
      <pivotArea dataOnly="0" labelOnly="1" outline="0" fieldPosition="0">
        <references count="1">
          <reference field="14" count="1">
            <x v="2"/>
          </reference>
        </references>
      </pivotArea>
    </format>
    <format dxfId="739">
      <pivotArea dataOnly="0" labelOnly="1" outline="0" fieldPosition="0">
        <references count="1">
          <reference field="14" count="1">
            <x v="3"/>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00000000-0007-0000-2C00-000061000000}" name="Figure 17-18" cacheId="14" applyNumberFormats="0" applyBorderFormats="0" applyFontFormats="0" applyPatternFormats="0" applyAlignmentFormats="0" applyWidthHeightFormats="0" dataCaption="" updatedVersion="8" rowGrandTotals="0" colGrandTotals="0" compact="0" compactData="0">
  <location ref="A10:C63" firstHeaderRow="1" firstDataRow="2"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sortType="ascending">
      <items count="174">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1"/>
        <item x="150"/>
        <item x="67"/>
        <item x="18"/>
        <item x="87"/>
        <item x="29"/>
        <item x="138"/>
        <item x="80"/>
        <item x="109"/>
        <item x="88"/>
        <item x="19"/>
        <item x="82"/>
        <item x="137"/>
        <item x="6"/>
        <item x="8"/>
        <item x="164"/>
        <item x="89"/>
        <item x="100"/>
        <item x="20"/>
        <item x="140"/>
        <item x="145"/>
        <item x="83"/>
        <item x="101"/>
        <item x="30"/>
        <item x="47"/>
        <item m="1" x="172"/>
        <item x="72"/>
        <item x="31"/>
        <item x="52"/>
        <item x="157"/>
        <item x="110"/>
        <item x="114"/>
        <item x="115"/>
        <item x="111"/>
        <item x="99"/>
        <item x="141"/>
        <item x="143"/>
        <item x="10"/>
        <item x="149"/>
        <item x="121"/>
        <item x="148"/>
        <item x="160"/>
        <item x="162"/>
        <item x="77"/>
        <item x="126"/>
        <item x="53"/>
        <item x="155"/>
        <item x="27"/>
        <item x="84"/>
        <item x="1"/>
        <item x="161"/>
        <item x="69"/>
        <item x="151"/>
        <item x="32"/>
        <item x="117"/>
        <item x="13"/>
        <item x="104"/>
        <item x="36"/>
        <item x="9"/>
        <item x="37"/>
        <item x="147"/>
        <item x="2"/>
        <item m="1" x="170"/>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t="default"/>
      </items>
    </pivotField>
    <pivotField name="Year" axis="axisPage" compact="0" outline="0" multipleItemSelectionAllowed="1" showAll="0">
      <items count="3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h="1"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Col" compact="0" outline="0" multipleItemSelectionAllowed="1" showAll="0" sortType="descending">
      <items count="6">
        <item x="0"/>
        <item x="4"/>
        <item x="2"/>
        <item x="1"/>
        <item x="3"/>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52">
    <i>
      <x v="1"/>
    </i>
    <i>
      <x v="8"/>
    </i>
    <i>
      <x v="9"/>
    </i>
    <i>
      <x v="10"/>
    </i>
    <i>
      <x v="11"/>
    </i>
    <i>
      <x v="15"/>
    </i>
    <i>
      <x v="18"/>
    </i>
    <i>
      <x v="25"/>
    </i>
    <i>
      <x v="29"/>
    </i>
    <i>
      <x v="36"/>
    </i>
    <i>
      <x v="38"/>
    </i>
    <i>
      <x v="47"/>
    </i>
    <i>
      <x v="48"/>
    </i>
    <i>
      <x v="49"/>
    </i>
    <i>
      <x v="54"/>
    </i>
    <i>
      <x v="59"/>
    </i>
    <i>
      <x v="60"/>
    </i>
    <i>
      <x v="69"/>
    </i>
    <i>
      <x v="70"/>
    </i>
    <i>
      <x v="73"/>
    </i>
    <i>
      <x v="78"/>
    </i>
    <i>
      <x v="80"/>
    </i>
    <i>
      <x v="84"/>
    </i>
    <i>
      <x v="85"/>
    </i>
    <i>
      <x v="94"/>
    </i>
    <i>
      <x v="102"/>
    </i>
    <i>
      <x v="105"/>
    </i>
    <i>
      <x v="106"/>
    </i>
    <i>
      <x v="107"/>
    </i>
    <i>
      <x v="109"/>
    </i>
    <i>
      <x v="110"/>
    </i>
    <i>
      <x v="112"/>
    </i>
    <i>
      <x v="114"/>
    </i>
    <i>
      <x v="115"/>
    </i>
    <i>
      <x v="118"/>
    </i>
    <i>
      <x v="127"/>
    </i>
    <i>
      <x v="130"/>
    </i>
    <i>
      <x v="132"/>
    </i>
    <i>
      <x v="135"/>
    </i>
    <i>
      <x v="139"/>
    </i>
    <i>
      <x v="140"/>
    </i>
    <i>
      <x v="146"/>
    </i>
    <i>
      <x v="148"/>
    </i>
    <i>
      <x v="149"/>
    </i>
    <i>
      <x v="150"/>
    </i>
    <i>
      <x v="153"/>
    </i>
    <i>
      <x v="162"/>
    </i>
    <i>
      <x v="163"/>
    </i>
    <i>
      <x v="165"/>
    </i>
    <i>
      <x v="166"/>
    </i>
    <i>
      <x v="167"/>
    </i>
    <i>
      <x v="168"/>
    </i>
  </rowItems>
  <colFields count="1">
    <field x="14"/>
  </colFields>
  <colItems count="2">
    <i>
      <x v="2"/>
    </i>
    <i>
      <x v="3"/>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00000000-0007-0000-2C00-000064000000}" name="Figure 17-18 2" cacheId="14" applyNumberFormats="0" applyBorderFormats="0" applyFontFormats="0" applyPatternFormats="0" applyAlignmentFormats="0" applyWidthHeightFormats="0" dataCaption="" updatedVersion="8" rowGrandTotals="0" colGrandTotals="0" compact="0" compactData="0">
  <location ref="A93:C151" firstHeaderRow="1" firstDataRow="2"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sortType="ascending">
      <items count="174">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x="50"/>
        <item x="51"/>
        <item x="24"/>
        <item x="46"/>
        <item x="71"/>
        <item x="134"/>
        <item x="95"/>
        <item x="158"/>
        <item x="128"/>
        <item x="81"/>
        <item x="22"/>
        <item m="1" x="171"/>
        <item x="150"/>
        <item x="67"/>
        <item x="18"/>
        <item x="87"/>
        <item x="29"/>
        <item x="138"/>
        <item x="80"/>
        <item x="109"/>
        <item x="88"/>
        <item x="19"/>
        <item x="82"/>
        <item x="137"/>
        <item x="6"/>
        <item x="8"/>
        <item x="164"/>
        <item x="89"/>
        <item x="100"/>
        <item x="20"/>
        <item x="140"/>
        <item x="145"/>
        <item x="83"/>
        <item x="101"/>
        <item x="30"/>
        <item x="47"/>
        <item m="1" x="172"/>
        <item x="72"/>
        <item x="31"/>
        <item x="52"/>
        <item x="157"/>
        <item x="110"/>
        <item x="114"/>
        <item x="115"/>
        <item x="111"/>
        <item x="99"/>
        <item x="141"/>
        <item x="143"/>
        <item x="10"/>
        <item x="149"/>
        <item x="121"/>
        <item x="148"/>
        <item x="160"/>
        <item x="162"/>
        <item x="77"/>
        <item x="126"/>
        <item x="53"/>
        <item x="155"/>
        <item x="27"/>
        <item x="84"/>
        <item x="1"/>
        <item x="161"/>
        <item x="69"/>
        <item x="151"/>
        <item x="32"/>
        <item x="117"/>
        <item x="13"/>
        <item x="104"/>
        <item x="36"/>
        <item x="9"/>
        <item x="37"/>
        <item x="147"/>
        <item x="2"/>
        <item m="1" x="170"/>
        <item x="122"/>
        <item x="54"/>
        <item x="11"/>
        <item x="59"/>
        <item x="48"/>
        <item x="131"/>
        <item x="33"/>
        <item x="7"/>
        <item x="129"/>
        <item x="142"/>
        <item x="14"/>
        <item x="152"/>
        <item x="112"/>
        <item x="139"/>
        <item x="90"/>
        <item x="39"/>
        <item x="40"/>
        <item x="154"/>
        <item x="168"/>
        <item x="15"/>
        <item x="25"/>
        <item x="70"/>
        <item x="3"/>
        <item x="74"/>
        <item x="91"/>
        <item x="92"/>
        <item x="78"/>
        <item x="102"/>
        <item x="60"/>
        <item x="16"/>
        <item x="5"/>
        <item x="169"/>
        <item x="96"/>
        <item x="144"/>
        <item x="75"/>
        <item x="85"/>
        <item x="38"/>
        <item x="55"/>
        <item x="97"/>
        <item x="26"/>
        <item x="106"/>
        <item x="21"/>
        <item x="163"/>
        <item x="4"/>
        <item x="107"/>
        <item x="73"/>
        <item x="120"/>
        <item x="56"/>
        <item x="23"/>
        <item x="136"/>
        <item x="135"/>
        <item x="61"/>
        <item x="86"/>
        <item t="default"/>
      </items>
    </pivotField>
    <pivotField name="Year" axis="axisPage" compact="0" outline="0" multipleItemSelectionAllowed="1" showAll="0">
      <items count="3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x="28"/>
        <item h="1" x="29"/>
        <item h="1" x="30"/>
        <item h="1" x="31"/>
        <item h="1" m="1" x="32"/>
        <item h="1" m="1" x="33"/>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Col" compact="0" outline="0" multipleItemSelectionAllowed="1" showAll="0" sortType="descending">
      <items count="6">
        <item h="1" x="0"/>
        <item h="1" x="4"/>
        <item x="2"/>
        <item x="1"/>
        <item h="1" x="3"/>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57">
    <i>
      <x v="4"/>
    </i>
    <i>
      <x v="6"/>
    </i>
    <i>
      <x v="7"/>
    </i>
    <i>
      <x v="8"/>
    </i>
    <i>
      <x v="9"/>
    </i>
    <i>
      <x v="11"/>
    </i>
    <i>
      <x v="13"/>
    </i>
    <i>
      <x v="15"/>
    </i>
    <i>
      <x v="17"/>
    </i>
    <i>
      <x v="21"/>
    </i>
    <i>
      <x v="22"/>
    </i>
    <i>
      <x v="25"/>
    </i>
    <i>
      <x v="38"/>
    </i>
    <i>
      <x v="44"/>
    </i>
    <i>
      <x v="48"/>
    </i>
    <i>
      <x v="54"/>
    </i>
    <i>
      <x v="61"/>
    </i>
    <i>
      <x v="64"/>
    </i>
    <i>
      <x v="66"/>
    </i>
    <i>
      <x v="68"/>
    </i>
    <i>
      <x v="69"/>
    </i>
    <i>
      <x v="70"/>
    </i>
    <i>
      <x v="71"/>
    </i>
    <i>
      <x v="73"/>
    </i>
    <i>
      <x v="78"/>
    </i>
    <i>
      <x v="80"/>
    </i>
    <i>
      <x v="84"/>
    </i>
    <i>
      <x v="85"/>
    </i>
    <i>
      <x v="86"/>
    </i>
    <i>
      <x v="94"/>
    </i>
    <i>
      <x v="102"/>
    </i>
    <i>
      <x v="105"/>
    </i>
    <i>
      <x v="106"/>
    </i>
    <i>
      <x v="107"/>
    </i>
    <i>
      <x v="110"/>
    </i>
    <i>
      <x v="112"/>
    </i>
    <i>
      <x v="115"/>
    </i>
    <i>
      <x v="118"/>
    </i>
    <i>
      <x v="120"/>
    </i>
    <i>
      <x v="122"/>
    </i>
    <i>
      <x v="127"/>
    </i>
    <i>
      <x v="128"/>
    </i>
    <i>
      <x v="129"/>
    </i>
    <i>
      <x v="130"/>
    </i>
    <i>
      <x v="132"/>
    </i>
    <i>
      <x v="135"/>
    </i>
    <i>
      <x v="140"/>
    </i>
    <i>
      <x v="144"/>
    </i>
    <i>
      <x v="150"/>
    </i>
    <i>
      <x v="156"/>
    </i>
    <i>
      <x v="160"/>
    </i>
    <i>
      <x v="163"/>
    </i>
    <i>
      <x v="164"/>
    </i>
    <i>
      <x v="165"/>
    </i>
    <i>
      <x v="166"/>
    </i>
    <i>
      <x v="168"/>
    </i>
    <i>
      <x v="172"/>
    </i>
  </rowItems>
  <colFields count="1">
    <field x="14"/>
  </colFields>
  <colItems count="2">
    <i>
      <x v="2"/>
    </i>
    <i>
      <x v="3"/>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59:F67">
  <tableColumns count="6">
    <tableColumn id="1" xr3:uid="{00000000-0010-0000-0000-000001000000}" name="Countries"/>
    <tableColumn id="2" xr3:uid="{00000000-0010-0000-0000-000002000000}" name="Senior-Level Meetings"/>
    <tableColumn id="3" xr3:uid="{00000000-0010-0000-0000-000003000000}" name="Military Exercises "/>
    <tableColumn id="4" xr3:uid="{00000000-0010-0000-0000-000004000000}" name="Naval Port Calls"/>
    <tableColumn id="5" xr3:uid="{00000000-0010-0000-0000-000005000000}" name="TOTAL"/>
    <tableColumn id="6" xr3:uid="{00000000-0010-0000-0000-000006000000}" name="%"/>
  </tableColumns>
  <tableStyleInfo name="CCMD Figure 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62:D69" totalsRowCount="1" totalsRowDxfId="922">
  <tableColumns count="4">
    <tableColumn id="1" xr3:uid="{00000000-0010-0000-0100-000001000000}" name="Countries" totalsRowLabel="TOTAL" totalsRowDxfId="921"/>
    <tableColumn id="2" xr3:uid="{00000000-0010-0000-0100-000002000000}" name="Visits Abroad" totalsRowFunction="sum" totalsRowDxfId="920"/>
    <tableColumn id="3" xr3:uid="{00000000-0010-0000-0100-000003000000}" name="Visits Hosted" totalsRowFunction="sum" totalsRowDxfId="919"/>
    <tableColumn id="4" xr3:uid="{F0A273A9-3B62-45ED-A8DF-F3609FC6602E}" name="TOTAL" totalsRowFunction="sum" dataDxfId="918" totalsRowDxfId="917">
      <calculatedColumnFormula>SUM('CCMD Figure 3'!$B63:$C63)</calculatedColumnFormula>
    </tableColumn>
  </tableColumns>
  <tableStyleInfo name="CCMD Figure 3-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33:D40" totalsRowCount="1" totalsRowDxfId="916">
  <tableColumns count="4">
    <tableColumn id="1" xr3:uid="{00000000-0010-0000-0200-000001000000}" name="Countries" totalsRowLabel="TOTAL" totalsRowDxfId="915"/>
    <tableColumn id="2" xr3:uid="{00000000-0010-0000-0200-000002000000}" name="ETF Port Calls" totalsRowFunction="sum" totalsRowDxfId="914"/>
    <tableColumn id="3" xr3:uid="{00000000-0010-0000-0200-000003000000}" name="Non-ETF" totalsRowFunction="sum" totalsRowDxfId="913"/>
    <tableColumn id="4" xr3:uid="{760651BB-62F7-450C-ADF7-989EA1D8B32E}" name="TOTAL" totalsRowFunction="sum" dataDxfId="912" totalsRowDxfId="911">
      <calculatedColumnFormula>SUM('CCMD Figure 7'!$B34:$C34)</calculatedColumnFormula>
    </tableColumn>
  </tableColumns>
  <tableStyleInfo name="CCMD Figure 7-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5:B15">
  <tableColumns count="2">
    <tableColumn id="1" xr3:uid="{00000000-0010-0000-0300-000001000000}" name="Countries"/>
    <tableColumn id="2" xr3:uid="{00000000-0010-0000-0300-000002000000}" name="Differences"/>
  </tableColumns>
  <tableStyleInfo name="PACOM Figure 7-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44:B77">
  <tableColumns count="2">
    <tableColumn id="1" xr3:uid="{00000000-0010-0000-0400-000001000000}" name="Countries">
      <calculatedColumnFormula>D45</calculatedColumnFormula>
    </tableColumn>
    <tableColumn id="2" xr3:uid="{00000000-0010-0000-0400-000002000000}" name="Differences"/>
  </tableColumns>
  <tableStyleInfo name="PACOM Figure 7-style 2"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101:B111">
  <tableColumns count="2">
    <tableColumn id="1" xr3:uid="{00000000-0010-0000-0500-000001000000}" name="Column1"/>
    <tableColumn id="2" xr3:uid="{00000000-0010-0000-0500-000002000000}" name="Column2"/>
  </tableColumns>
  <tableStyleInfo name="Figure 15-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F11:G62">
  <tableColumns count="2">
    <tableColumn id="1" xr3:uid="{00000000-0010-0000-0600-000001000000}" name="Countries"/>
    <tableColumn id="2" xr3:uid="{00000000-0010-0000-0600-000002000000}" name="Differences"/>
  </tableColumns>
  <tableStyleInfo name="Figure 17-18-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F389:G555">
  <tableColumns count="2">
    <tableColumn id="1" xr3:uid="{00000000-0010-0000-0800-000001000000}" name="Countries"/>
    <tableColumn id="2" xr3:uid="{00000000-0010-0000-0800-000002000000}" name="Differences"/>
  </tableColumns>
  <tableStyleInfo name="Figure 17-18-style 3"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12:B35">
  <tableColumns count="2">
    <tableColumn id="1" xr3:uid="{00000000-0010-0000-0A00-000001000000}" name="Year"/>
    <tableColumn id="2" xr3:uid="{00000000-0010-0000-0A00-000002000000}" name="Count"/>
  </tableColumns>
  <tableStyleInfo name="Fig 40-42 Exercise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Z3340" dT="2024-12-27T16:19:44.66" personId="{C0DA4D43-90A6-4110-978F-1FFA1018DA7C}" id="{96802FB9-E33B-47F4-B8F4-1B641F0601A0}">
    <text>Mentions side meetings with other states - include as separate bilaterals with those states?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9.xml"/></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17" Type="http://schemas.openxmlformats.org/officeDocument/2006/relationships/hyperlink" Target="http://english.chinamil.com.cn/view/2017-05/16/content_7604554.htm" TargetMode="External"/><Relationship Id="rId299" Type="http://schemas.openxmlformats.org/officeDocument/2006/relationships/hyperlink" Target="http://www.xinhuanet.com/2019-11/26/c_1125277668.htm" TargetMode="External"/><Relationship Id="rId21" Type="http://schemas.openxmlformats.org/officeDocument/2006/relationships/hyperlink" Target="https://jamestown.org/program/uzbekistan-hosts-sco-anti-terrorist-drill/;%20de%20Haas%20Journal%20of%20Slavic%20Military%20Studies%2029:3%20(2016)" TargetMode="External"/><Relationship Id="rId63" Type="http://schemas.openxmlformats.org/officeDocument/2006/relationships/hyperlink" Target="https://www.nationalguard.mil/News/Article/575366/us-china-conduct-disaster-management-exchange/" TargetMode="External"/><Relationship Id="rId159" Type="http://schemas.openxmlformats.org/officeDocument/2006/relationships/hyperlink" Target="http://english.chinamil.com.cn/view/2017-09/15/content_7757901.htm" TargetMode="External"/><Relationship Id="rId324" Type="http://schemas.openxmlformats.org/officeDocument/2006/relationships/hyperlink" Target="http://english.chinamil.com.cn/view/2022-06/10/content_10162190.htm%20;" TargetMode="External"/><Relationship Id="rId366" Type="http://schemas.openxmlformats.org/officeDocument/2006/relationships/hyperlink" Target="http://eng.mod.gov.cn/xb/News_213114/TopStories/16310111.html" TargetMode="External"/><Relationship Id="rId170" Type="http://schemas.openxmlformats.org/officeDocument/2006/relationships/hyperlink" Target="http://english.chinamil.com.cn/view/2017-10/31/content_7806844.htm" TargetMode="External"/><Relationship Id="rId226" Type="http://schemas.openxmlformats.org/officeDocument/2006/relationships/hyperlink" Target="http://english.chinamil.com.cn/view/2018-05/24/content_8041205.htm" TargetMode="External"/><Relationship Id="rId268" Type="http://schemas.openxmlformats.org/officeDocument/2006/relationships/hyperlink" Target="http://english.chinamil.com.cn/view/2018-10/10/content_9307556.htm" TargetMode="External"/><Relationship Id="rId32" Type="http://schemas.openxmlformats.org/officeDocument/2006/relationships/hyperlink" Target="https://dlib-eastview-com.ezproxy.princeton.edu/browse/doc/24536821" TargetMode="External"/><Relationship Id="rId74" Type="http://schemas.openxmlformats.org/officeDocument/2006/relationships/hyperlink" Target="http://eng.mod.gov.cn/SpecialReports/2014-11/21/content_4553604.htm" TargetMode="External"/><Relationship Id="rId128" Type="http://schemas.openxmlformats.org/officeDocument/2006/relationships/hyperlink" Target="http://english.chinamil.com.cn/view/2017-06/20/content_7646396.htm" TargetMode="External"/><Relationship Id="rId335" Type="http://schemas.openxmlformats.org/officeDocument/2006/relationships/hyperlink" Target="http://eng.mod.gov.cn/news/2022-11/19/content_4926527.htm%20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TargetMode="External"/><Relationship Id="rId377" Type="http://schemas.openxmlformats.org/officeDocument/2006/relationships/hyperlink" Target="http://eng.chinamil.com.cn/CHINA_209163/Exchanges/News_209188/16302752.html" TargetMode="External"/><Relationship Id="rId5" Type="http://schemas.openxmlformats.org/officeDocument/2006/relationships/hyperlink" Target="https://dlib.eastview.com/browse/doc/14660911" TargetMode="External"/><Relationship Id="rId181" Type="http://schemas.openxmlformats.org/officeDocument/2006/relationships/hyperlink" Target="http://english.chinamil.com.cn/view/2017-11/20/content_7833802.htm" TargetMode="External"/><Relationship Id="rId237" Type="http://schemas.openxmlformats.org/officeDocument/2006/relationships/hyperlink" Target="http://eng.mod.gov.cn/news/2018-07/26/content_4820578.htm" TargetMode="External"/><Relationship Id="rId279" Type="http://schemas.openxmlformats.org/officeDocument/2006/relationships/hyperlink" Target="http://eng.chinamil.com.cn/view/2019-03/22/content_9456821.htm" TargetMode="External"/><Relationship Id="rId43" Type="http://schemas.openxmlformats.org/officeDocument/2006/relationships/hyperlink" Target="https://dlib-eastview-com.ezproxy.princeton.edu/browse/doc/18939547" TargetMode="External"/><Relationship Id="rId139" Type="http://schemas.openxmlformats.org/officeDocument/2006/relationships/hyperlink" Target="http://english.chinamil.com.cn/view/2017-07/12/content_7673162.htm" TargetMode="External"/><Relationship Id="rId290" Type="http://schemas.openxmlformats.org/officeDocument/2006/relationships/hyperlink" Target="http://www.81.cn/jwzb/2019-08/28/content_9604591.htm" TargetMode="External"/><Relationship Id="rId304" Type="http://schemas.openxmlformats.org/officeDocument/2006/relationships/hyperlink" Target="http://www.xinhuanet.com/world/2020-03/15/c_1125716729.htm" TargetMode="External"/><Relationship Id="rId346" Type="http://schemas.openxmlformats.org/officeDocument/2006/relationships/hyperlink" Target="http://english.chinamil.com.cn/view/2022-12/21/content_10207012.htm" TargetMode="External"/><Relationship Id="rId388" Type="http://schemas.openxmlformats.org/officeDocument/2006/relationships/hyperlink" Target="http://english.chinamil.com.cn/view/2017-07/17/content_7678654.htm" TargetMode="External"/><Relationship Id="rId85" Type="http://schemas.openxmlformats.org/officeDocument/2006/relationships/hyperlink" Target="http://english.chinamil.com.cn/view/2017-11/02/content_7810455.htm" TargetMode="External"/><Relationship Id="rId150" Type="http://schemas.openxmlformats.org/officeDocument/2006/relationships/hyperlink" Target="http://english.chinamil.com.cn/view/2017-08/06/content_7705899.htm" TargetMode="External"/><Relationship Id="rId192" Type="http://schemas.openxmlformats.org/officeDocument/2006/relationships/hyperlink" Target="http://english.chinamil.com.cn/view/2017-12/11/content_7863222.htm" TargetMode="External"/><Relationship Id="rId206" Type="http://schemas.openxmlformats.org/officeDocument/2006/relationships/hyperlink" Target="http://english.chinamil.com.cn/view/2018-03/13/content_7970888.htm" TargetMode="External"/><Relationship Id="rId248" Type="http://schemas.openxmlformats.org/officeDocument/2006/relationships/hyperlink" Target="http://english.chinamil.com.cn/view/2018-08/23/content_9261764.htm" TargetMode="External"/><Relationship Id="rId12" Type="http://schemas.openxmlformats.org/officeDocument/2006/relationships/hyperlink" Target="https://dlib.eastview.com/browse/doc/14675628" TargetMode="External"/><Relationship Id="rId108" Type="http://schemas.openxmlformats.org/officeDocument/2006/relationships/hyperlink" Target="http://english.chinamil.com.cn/view/2017-04/25/content_7577039.htm" TargetMode="External"/><Relationship Id="rId315" Type="http://schemas.openxmlformats.org/officeDocument/2006/relationships/hyperlink" Target="https://apnews.com/article/donald-trump-business-china-arts-and-entertainment-army-74ad214fdfbf0f8422a762e8f6657862" TargetMode="External"/><Relationship Id="rId357" Type="http://schemas.openxmlformats.org/officeDocument/2006/relationships/hyperlink" Target="https://www-81-cn.translate.goog/yw_208727/16328939.html?_x_tr_sch=http&amp;_x_tr_sl=auto&amp;_x_tr_tl=en&amp;_x_tr_hl=en&amp;_x_tr_pto=wapp" TargetMode="External"/><Relationship Id="rId54" Type="http://schemas.openxmlformats.org/officeDocument/2006/relationships/hyperlink" Target="https://www.nationalguard.mil/News/Article/575366/us-china-conduct-disaster-management-exchange/" TargetMode="External"/><Relationship Id="rId96" Type="http://schemas.openxmlformats.org/officeDocument/2006/relationships/hyperlink" Target="http://eng.mod.gov.cn/DefenseNews/2017-02/21/content_4773208.htm" TargetMode="External"/><Relationship Id="rId161" Type="http://schemas.openxmlformats.org/officeDocument/2006/relationships/hyperlink" Target="http://english.chinamil.com.cn/view/2017-09/01/content_7740479.htm" TargetMode="External"/><Relationship Id="rId217" Type="http://schemas.openxmlformats.org/officeDocument/2006/relationships/hyperlink" Target="http://english.chinamil.com.cn/view/2018-04/24/content_8013937.htm" TargetMode="External"/><Relationship Id="rId259" Type="http://schemas.openxmlformats.org/officeDocument/2006/relationships/hyperlink" Target="http://english.chinamil.com.cn/view/2018-09/07/content_9275202.htm" TargetMode="External"/><Relationship Id="rId23" Type="http://schemas.openxmlformats.org/officeDocument/2006/relationships/hyperlink" Target="https://dlib-eastview-com.ezproxy.princeton.edu/browse/doc/14707183" TargetMode="External"/><Relationship Id="rId119" Type="http://schemas.openxmlformats.org/officeDocument/2006/relationships/hyperlink" Target="http://www.xinhuanet.com/english/2017-05/02/c_136251579.htm" TargetMode="External"/><Relationship Id="rId270" Type="http://schemas.openxmlformats.org/officeDocument/2006/relationships/hyperlink" Target="http://english.chinamil.com.cn/view/2018-10/22/content_9319696.htm" TargetMode="External"/><Relationship Id="rId326" Type="http://schemas.openxmlformats.org/officeDocument/2006/relationships/hyperlink" Target="http://english.chinamil.com.cn/view/2022-07/16/content_10171410.htm" TargetMode="External"/><Relationship Id="rId65" Type="http://schemas.openxmlformats.org/officeDocument/2006/relationships/hyperlink" Target="https://www.nationalguard.mil/News/Article/575366/us-china-conduct-disaster-management-exchange/" TargetMode="External"/><Relationship Id="rId130" Type="http://schemas.openxmlformats.org/officeDocument/2006/relationships/hyperlink" Target="http://english.chinamil.com.cn/view/2017-06/13/content_7637523.htm" TargetMode="External"/><Relationship Id="rId368" Type="http://schemas.openxmlformats.org/officeDocument/2006/relationships/hyperlink" Target="http://eng.mod.gov.cn/xb/News_213114/TopStories/16338069.html" TargetMode="External"/><Relationship Id="rId172" Type="http://schemas.openxmlformats.org/officeDocument/2006/relationships/hyperlink" Target="http://english.chinamil.com.cn/view/2017-10/17/content_7790399.htm" TargetMode="External"/><Relationship Id="rId228" Type="http://schemas.openxmlformats.org/officeDocument/2006/relationships/hyperlink" Target="http://navy.81.cn/content/2018-06/14/content_8061838.htm" TargetMode="External"/><Relationship Id="rId281" Type="http://schemas.openxmlformats.org/officeDocument/2006/relationships/hyperlink" Target="https://thediplomat.com/2019/04/china-myanmar-extol-eternal-friendship-as-commander-in-chief-visits-beijing/" TargetMode="External"/><Relationship Id="rId337" Type="http://schemas.openxmlformats.org/officeDocument/2006/relationships/hyperlink" Target="http://eng.mod.gov.cn/news/2022-11/03/content_4925044.htm" TargetMode="External"/><Relationship Id="rId34" Type="http://schemas.openxmlformats.org/officeDocument/2006/relationships/hyperlink" Target="http://eng.chinamil.com.cn/view/2019-05/31/content_9519879.htm" TargetMode="External"/><Relationship Id="rId76" Type="http://schemas.openxmlformats.org/officeDocument/2006/relationships/hyperlink" Target="https://www.mindef.gov.sg/web/portal/mindef/news-and-events/latest-releases/article-detail/2015/may/2015may25-news-releases-02118" TargetMode="External"/><Relationship Id="rId141" Type="http://schemas.openxmlformats.org/officeDocument/2006/relationships/hyperlink" Target="http://english.chinamil.com.cn/view/2017-07/12/content_7673794.htm" TargetMode="External"/><Relationship Id="rId379" Type="http://schemas.openxmlformats.org/officeDocument/2006/relationships/hyperlink" Target="http://eng.chinamil.com.cn/CHINA_209163/TopStories_209189/16234980.html" TargetMode="External"/><Relationship Id="rId7" Type="http://schemas.openxmlformats.org/officeDocument/2006/relationships/hyperlink" Target="https://dlib.eastview.com/browse/doc/14663334" TargetMode="External"/><Relationship Id="rId183" Type="http://schemas.openxmlformats.org/officeDocument/2006/relationships/hyperlink" Target="http://english.chinamil.com.cn/view/2017-11/20/content_7832446.htm" TargetMode="External"/><Relationship Id="rId239" Type="http://schemas.openxmlformats.org/officeDocument/2006/relationships/hyperlink" Target="http://english.chinamil.com.cn/view/2018-07/20/content_8095190.htm" TargetMode="External"/><Relationship Id="rId390" Type="http://schemas.openxmlformats.org/officeDocument/2006/relationships/hyperlink" Target="http://www.chinadaily.com.cn/china/2017-10/06/content_32901405.htm" TargetMode="External"/><Relationship Id="rId250" Type="http://schemas.openxmlformats.org/officeDocument/2006/relationships/hyperlink" Target="http://english.chinamil.com.cn/view/2018-09/17/content_9284969.htm" TargetMode="External"/><Relationship Id="rId292" Type="http://schemas.openxmlformats.org/officeDocument/2006/relationships/hyperlink" Target="http://www.xinhuanet.com/world/2019-09/04/c_1124959809.htm" TargetMode="External"/><Relationship Id="rId306" Type="http://schemas.openxmlformats.org/officeDocument/2006/relationships/hyperlink" Target="https://apnews.com/article/donald-trump-business-china-arts-and-entertainment-army-74ad214fdfbf0f8422a762e8f6657862" TargetMode="External"/><Relationship Id="rId45" Type="http://schemas.openxmlformats.org/officeDocument/2006/relationships/hyperlink" Target="https://dlib-eastview-com.ezproxy.princeton.edu/browse/doc/19268531" TargetMode="External"/><Relationship Id="rId87" Type="http://schemas.openxmlformats.org/officeDocument/2006/relationships/hyperlink" Target="http://english.chinamil.com.cn/view/2017-11/30/content_7851222.htm" TargetMode="External"/><Relationship Id="rId110" Type="http://schemas.openxmlformats.org/officeDocument/2006/relationships/hyperlink" Target="http://english.chinamil.com.cn/view/2017-05/24/content_7616128.htm" TargetMode="External"/><Relationship Id="rId348" Type="http://schemas.openxmlformats.org/officeDocument/2006/relationships/hyperlink" Target="https://johnmenadue.com/nz-and-china-military-meeting-no-news-is-bad-news/" TargetMode="External"/><Relationship Id="rId152" Type="http://schemas.openxmlformats.org/officeDocument/2006/relationships/hyperlink" Target="https://web.archive.org/web/20170920220529/http:/english.chinamil.com.cn/view/2017-08/15/content_7719318.htm" TargetMode="External"/><Relationship Id="rId194" Type="http://schemas.openxmlformats.org/officeDocument/2006/relationships/hyperlink" Target="http://english.chinamil.com.cn/view/2017-12/05/content_7855318.htm" TargetMode="External"/><Relationship Id="rId208" Type="http://schemas.openxmlformats.org/officeDocument/2006/relationships/hyperlink" Target="http://english.chinamil.com.cn/view/2018-04/28/content_8019280.htm" TargetMode="External"/><Relationship Id="rId261" Type="http://schemas.openxmlformats.org/officeDocument/2006/relationships/hyperlink" Target="http://english.chinamil.com.cn/view/2018-10/31/content_9327912.htm" TargetMode="External"/><Relationship Id="rId14" Type="http://schemas.openxmlformats.org/officeDocument/2006/relationships/hyperlink" Target="https://dlib.eastview.com/browse/doc/14680808" TargetMode="External"/><Relationship Id="rId56" Type="http://schemas.openxmlformats.org/officeDocument/2006/relationships/hyperlink" Target="https://www.nationalguard.mil/News/Article/575366/us-china-conduct-disaster-management-exchange/" TargetMode="External"/><Relationship Id="rId317" Type="http://schemas.openxmlformats.org/officeDocument/2006/relationships/hyperlink" Target="https://www.radio.gov.pk/25-09-2021/pakistan-attaches-great-importance-to-further-bilateral-cooperation-with-russia-china-cjcsc" TargetMode="External"/><Relationship Id="rId359" Type="http://schemas.openxmlformats.org/officeDocument/2006/relationships/hyperlink" Target="https://www.jcs.mil/Media/News/News-Display/Article/3623794/readout-of-chairman-of-the-joint-chiefs-of-staff-gen-cq-brown-jrs-video-telecon/" TargetMode="External"/><Relationship Id="rId98" Type="http://schemas.openxmlformats.org/officeDocument/2006/relationships/hyperlink" Target="http://english.chinamil.com.cn/view/2017-03/17/content_7529919.htm" TargetMode="External"/><Relationship Id="rId121" Type="http://schemas.openxmlformats.org/officeDocument/2006/relationships/hyperlink" Target="http://english.chinamil.com.cn/view/2017-05/10/content_7596291.htm" TargetMode="External"/><Relationship Id="rId163" Type="http://schemas.openxmlformats.org/officeDocument/2006/relationships/hyperlink" Target="http://english.chinamil.com.cn/view/2017-09/11/content_7751586.htm" TargetMode="External"/><Relationship Id="rId219" Type="http://schemas.openxmlformats.org/officeDocument/2006/relationships/hyperlink" Target="http://english.chinamil.com.cn/view/2018-04/23/content_8012465.htm" TargetMode="External"/><Relationship Id="rId370" Type="http://schemas.openxmlformats.org/officeDocument/2006/relationships/hyperlink" Target="http://www.mod.gov.cn/gfbw/jswj/lf/16338277.html" TargetMode="External"/><Relationship Id="rId230" Type="http://schemas.openxmlformats.org/officeDocument/2006/relationships/hyperlink" Target="http://english.chinamil.com.cn/view/2018-06/11/content_8058428.htm" TargetMode="External"/><Relationship Id="rId25" Type="http://schemas.openxmlformats.org/officeDocument/2006/relationships/hyperlink" Target="https://www.npr.org/templates/story/story.php?storyId=6135356" TargetMode="External"/><Relationship Id="rId67" Type="http://schemas.openxmlformats.org/officeDocument/2006/relationships/hyperlink" Target="https://www.nationalguard.mil/News/Article/575366/us-china-conduct-disaster-management-exchange/" TargetMode="External"/><Relationship Id="rId272" Type="http://schemas.openxmlformats.org/officeDocument/2006/relationships/hyperlink" Target="http://www.xinhuanet.com/english/2018-11/23/c_137625085.htm" TargetMode="External"/><Relationship Id="rId328" Type="http://schemas.openxmlformats.org/officeDocument/2006/relationships/hyperlink" Target="http://english.chinamil.com.cn/view/2022-08/15/content_10178351.htm" TargetMode="External"/><Relationship Id="rId132" Type="http://schemas.openxmlformats.org/officeDocument/2006/relationships/hyperlink" Target="http://english.chinamil.com.cn/view/2017-06/03/content_7627210.htm" TargetMode="External"/><Relationship Id="rId174" Type="http://schemas.openxmlformats.org/officeDocument/2006/relationships/hyperlink" Target="http://english.chinamil.com.cn/view/2017-10/17/content_7790455.htm" TargetMode="External"/><Relationship Id="rId381" Type="http://schemas.openxmlformats.org/officeDocument/2006/relationships/hyperlink" Target="http://eng.chinamil.com.cn/CHINA_209163/TopStories_209189/16233084.html" TargetMode="External"/><Relationship Id="rId241" Type="http://schemas.openxmlformats.org/officeDocument/2006/relationships/hyperlink" Target="http://www.81.cn/jmywyl/2018-07/19/content_8093131.htm" TargetMode="External"/><Relationship Id="rId36" Type="http://schemas.openxmlformats.org/officeDocument/2006/relationships/hyperlink" Target="https://dlib-eastview-com.ezproxy.princeton.edu/browse/doc/24529512" TargetMode="External"/><Relationship Id="rId283" Type="http://schemas.openxmlformats.org/officeDocument/2006/relationships/hyperlink" Target="http://www.xinhuanet.com/english/2019-05/29/c_138099645.htm" TargetMode="External"/><Relationship Id="rId339" Type="http://schemas.openxmlformats.org/officeDocument/2006/relationships/hyperlink" Target="http://english.chinamil.com.cn/view/2022-11/29/content_10202150.htm" TargetMode="External"/><Relationship Id="rId78" Type="http://schemas.openxmlformats.org/officeDocument/2006/relationships/hyperlink" Target="http://eng.mod.gov.cn/DefenseNews/2015-03/31/content_4577899.htm" TargetMode="External"/><Relationship Id="rId101" Type="http://schemas.openxmlformats.org/officeDocument/2006/relationships/hyperlink" Target="http://eng.mod.gov.cn/DefenseNews/2017-03/28/content_4776738.htm" TargetMode="External"/><Relationship Id="rId143" Type="http://schemas.openxmlformats.org/officeDocument/2006/relationships/hyperlink" Target="http://english.chinamil.com.cn/view/2017-06/19/content_7643658.htm" TargetMode="External"/><Relationship Id="rId185" Type="http://schemas.openxmlformats.org/officeDocument/2006/relationships/hyperlink" Target="http://english.chinamil.com.cn/view/2017-11/30/content_7851222.htm" TargetMode="External"/><Relationship Id="rId350" Type="http://schemas.openxmlformats.org/officeDocument/2006/relationships/hyperlink" Target="http://eng.chinamil.com.cn/CHINA_209163/Exchanges/News_209188/16332206.html" TargetMode="External"/><Relationship Id="rId9" Type="http://schemas.openxmlformats.org/officeDocument/2006/relationships/hyperlink" Target="https://dlib.eastview.com/browse/doc/14712209" TargetMode="External"/><Relationship Id="rId210" Type="http://schemas.openxmlformats.org/officeDocument/2006/relationships/hyperlink" Target="http://english.chinamil.com.cn/view/2018-04/26/content_8017075.htm" TargetMode="External"/><Relationship Id="rId392" Type="http://schemas.openxmlformats.org/officeDocument/2006/relationships/hyperlink" Target="https://www.defenceweb.co.za/sea/sea-sea/chinese-survey-vessel-visits-south-africa/" TargetMode="External"/><Relationship Id="rId252" Type="http://schemas.openxmlformats.org/officeDocument/2006/relationships/hyperlink" Target="http://english.chinamil.com.cn/view/2018-09/10/content_9277330.htm" TargetMode="External"/><Relationship Id="rId294" Type="http://schemas.openxmlformats.org/officeDocument/2006/relationships/hyperlink" Target="http://www.mod.gov.cn/action/2019-09/08/content_4849983.htm" TargetMode="External"/><Relationship Id="rId308" Type="http://schemas.openxmlformats.org/officeDocument/2006/relationships/hyperlink" Target="https://apnews.com/article/donald-trump-business-china-arts-and-entertainment-army-74ad214fdfbf0f8422a762e8f6657862" TargetMode="External"/><Relationship Id="rId47" Type="http://schemas.openxmlformats.org/officeDocument/2006/relationships/hyperlink" Target="https://www.jstor.org/stable/pdf/resrep11945.11.pdf?refreqid=excelsior%3A4fac441d45c51d61db50c8bc19c2628f" TargetMode="External"/><Relationship Id="rId89" Type="http://schemas.openxmlformats.org/officeDocument/2006/relationships/hyperlink" Target="https://www.marines.mil/News/News-Display/Article/644293/exercise-cobra-gold-2016-to-begin-february-9/" TargetMode="External"/><Relationship Id="rId112" Type="http://schemas.openxmlformats.org/officeDocument/2006/relationships/hyperlink" Target="http://english.chinamil.com.cn/view/2017-05/18/content_7607981.htm" TargetMode="External"/><Relationship Id="rId154" Type="http://schemas.openxmlformats.org/officeDocument/2006/relationships/hyperlink" Target="http://english.chinamil.com.cn/view/2017-08/01/content_7699372.htm" TargetMode="External"/><Relationship Id="rId361" Type="http://schemas.openxmlformats.org/officeDocument/2006/relationships/hyperlink" Target="https://www.globaltimes.cn/page/202403/1308701.shtml" TargetMode="External"/><Relationship Id="rId196" Type="http://schemas.openxmlformats.org/officeDocument/2006/relationships/hyperlink" Target="http://english.chinamil.com.cn/view/2017-12/13/content_7866854.htm" TargetMode="External"/><Relationship Id="rId16" Type="http://schemas.openxmlformats.org/officeDocument/2006/relationships/hyperlink" Target="https://dlib.eastview.com/browse/doc/14702697" TargetMode="External"/><Relationship Id="rId221" Type="http://schemas.openxmlformats.org/officeDocument/2006/relationships/hyperlink" Target="http://english.chinamil.com.cn/view/2018-10/04/content_9303573.htm" TargetMode="External"/><Relationship Id="rId242" Type="http://schemas.openxmlformats.org/officeDocument/2006/relationships/hyperlink" Target="http://english.chinamil.com.cn/view/2018-08/07/content_9244657.htm" TargetMode="External"/><Relationship Id="rId263" Type="http://schemas.openxmlformats.org/officeDocument/2006/relationships/hyperlink" Target="http://english.chinamil.com.cn/view/2018-10/30/content_9326986.htm" TargetMode="External"/><Relationship Id="rId284" Type="http://schemas.openxmlformats.org/officeDocument/2006/relationships/hyperlink" Target="https://www.chinadaily.com.cn/a/201905/30/WS5cef9188a3104842260beb7a.html" TargetMode="External"/><Relationship Id="rId319" Type="http://schemas.openxmlformats.org/officeDocument/2006/relationships/hyperlink" Target="https://www.cnn.com/2019/12/27/asia/china-russia-iran-military-drills-intl-hnk/index.html" TargetMode="External"/><Relationship Id="rId37" Type="http://schemas.openxmlformats.org/officeDocument/2006/relationships/hyperlink" Target="http://en.people.cn/90002/91620/index.html" TargetMode="External"/><Relationship Id="rId58" Type="http://schemas.openxmlformats.org/officeDocument/2006/relationships/hyperlink" Target="http://chn.chinamil.com.cn/jwjj/2013-06/11/content_5372267" TargetMode="External"/><Relationship Id="rId79" Type="http://schemas.openxmlformats.org/officeDocument/2006/relationships/hyperlink" Target="https://web.archive.org/web/20170414073944/http:/www.nzdf.mil.nz/news/media-releases/2015/20151008-nzdfltghoatci.htm" TargetMode="External"/><Relationship Id="rId102" Type="http://schemas.openxmlformats.org/officeDocument/2006/relationships/hyperlink" Target="http://english.chinamil.com.cn/view/2017-04/12/content_7559734.htm" TargetMode="External"/><Relationship Id="rId123" Type="http://schemas.openxmlformats.org/officeDocument/2006/relationships/hyperlink" Target="http://english.chinamil.com.cn/view/2017-06/09/content_7633894.htm" TargetMode="External"/><Relationship Id="rId144" Type="http://schemas.openxmlformats.org/officeDocument/2006/relationships/hyperlink" Target="http://english.chinamil.com.cn/view/2017-07/21/content_7684472.htm" TargetMode="External"/><Relationship Id="rId330" Type="http://schemas.openxmlformats.org/officeDocument/2006/relationships/hyperlink" Target="http://english.chinamil.com.cn/view/2022-08/09/content_10177081.htm" TargetMode="External"/><Relationship Id="rId90" Type="http://schemas.openxmlformats.org/officeDocument/2006/relationships/hyperlink" Target="https://web.archive.org/web/20180821103143/http:/news.ifeng.com/a/20160519/48800334_0.shtml" TargetMode="External"/><Relationship Id="rId165" Type="http://schemas.openxmlformats.org/officeDocument/2006/relationships/hyperlink" Target="http://english.chinamil.com.cn/view/2017-09/07/content_7747221.htm" TargetMode="External"/><Relationship Id="rId186" Type="http://schemas.openxmlformats.org/officeDocument/2006/relationships/hyperlink" Target="http://english.chinamil.com.cn/view/2017-11/17/content_7831111.htm" TargetMode="External"/><Relationship Id="rId351" Type="http://schemas.openxmlformats.org/officeDocument/2006/relationships/hyperlink" Target="http://eng.mod.gov.cn/xb/News_213114/OverseasOperations/EscortMissions/16310300.html" TargetMode="External"/><Relationship Id="rId372" Type="http://schemas.openxmlformats.org/officeDocument/2006/relationships/hyperlink" Target="http://www.mod.gov.cn/gfbw/jswj/lf/16263539.html" TargetMode="External"/><Relationship Id="rId393" Type="http://schemas.openxmlformats.org/officeDocument/2006/relationships/hyperlink" Target="http://www.mod.gov.cn/gfbw/jswj/cf/16313261.html" TargetMode="External"/><Relationship Id="rId211" Type="http://schemas.openxmlformats.org/officeDocument/2006/relationships/hyperlink" Target="http://lenta.inform.kz/en/kazakh-chinese-defense-ministers-praise-high-level-of-coop_a3229921" TargetMode="External"/><Relationship Id="rId232" Type="http://schemas.openxmlformats.org/officeDocument/2006/relationships/hyperlink" Target="http://english.chinamil.com.cn/view/2018-10/04/content_9303573.htm" TargetMode="External"/><Relationship Id="rId253" Type="http://schemas.openxmlformats.org/officeDocument/2006/relationships/hyperlink" Target="http://english.chinamil.com.cn/view/2018-09/05/content_9272625.htm" TargetMode="External"/><Relationship Id="rId274" Type="http://schemas.openxmlformats.org/officeDocument/2006/relationships/hyperlink" Target="http://www.xinhuanet.com/politics/2018-11/16/c_1123726590.htm" TargetMode="External"/><Relationship Id="rId295" Type="http://schemas.openxmlformats.org/officeDocument/2006/relationships/hyperlink" Target="http://eng.chinamil.com.cn/view/2019-10/11/content_9648913.htm" TargetMode="External"/><Relationship Id="rId309" Type="http://schemas.openxmlformats.org/officeDocument/2006/relationships/hyperlink" Target="https://www.newindianexpress.com/world/2020/nov/29/chinese-defence-ministerwei-fenghearrives-in-nepal-to-bolster-military-cooperation-2229614.html" TargetMode="External"/><Relationship Id="rId27" Type="http://schemas.openxmlformats.org/officeDocument/2006/relationships/hyperlink" Target="https://dlib-eastview-com.ezproxy.princeton.edu/browse/doc/14715624" TargetMode="External"/><Relationship Id="rId48" Type="http://schemas.openxmlformats.org/officeDocument/2006/relationships/hyperlink" Target="https://dlib-eastview-com.ezproxy.princeton.edu/browse/doc/20662675" TargetMode="External"/><Relationship Id="rId69" Type="http://schemas.openxmlformats.org/officeDocument/2006/relationships/hyperlink" Target="http://www.mindef.gov.bn/Lists/News/DispForm.aspx?ID=3002" TargetMode="External"/><Relationship Id="rId113" Type="http://schemas.openxmlformats.org/officeDocument/2006/relationships/hyperlink" Target="http://english.chinamil.com.cn/view/2017-05/17/content_7606327.htm" TargetMode="External"/><Relationship Id="rId134" Type="http://schemas.openxmlformats.org/officeDocument/2006/relationships/hyperlink" Target="http://www.xinhuanet.com/english/2017-06/21/c_136384259.htm" TargetMode="External"/><Relationship Id="rId320" Type="http://schemas.openxmlformats.org/officeDocument/2006/relationships/hyperlink" Target="http://english.chinamil.com.cn/view/2018-08/24/content_9262529.htm" TargetMode="External"/><Relationship Id="rId80" Type="http://schemas.openxmlformats.org/officeDocument/2006/relationships/hyperlink" Target="http://eng.mod.gov.cn/SpecialReports/node_46641.htm" TargetMode="External"/><Relationship Id="rId155" Type="http://schemas.openxmlformats.org/officeDocument/2006/relationships/hyperlink" Target="http://english.chinamil.com.cn/view/2017-08/11/content_7715167.htm" TargetMode="External"/><Relationship Id="rId176" Type="http://schemas.openxmlformats.org/officeDocument/2006/relationships/hyperlink" Target="http://english.chinamil.com.cn/view/2017-11/27/content_7845199.htm" TargetMode="External"/><Relationship Id="rId197" Type="http://schemas.openxmlformats.org/officeDocument/2006/relationships/hyperlink" Target="http://english.chinamil.com.cn/view/2017-12/14/content_7868625.htm" TargetMode="External"/><Relationship Id="rId341" Type="http://schemas.openxmlformats.org/officeDocument/2006/relationships/hyperlink" Target="http://eng.mod.gov.cn/news/2022-11/30/content_4927318.htm" TargetMode="External"/><Relationship Id="rId362" Type="http://schemas.openxmlformats.org/officeDocument/2006/relationships/hyperlink" Target="http://eng.chinamil.com.cn/CHINA_209163/Exchanges/News_209188/16304549.html" TargetMode="External"/><Relationship Id="rId383" Type="http://schemas.openxmlformats.org/officeDocument/2006/relationships/hyperlink" Target="https://news.navy.lk/eventnews/2024/08/26/202408261600/" TargetMode="External"/><Relationship Id="rId201" Type="http://schemas.openxmlformats.org/officeDocument/2006/relationships/hyperlink" Target="http://english.chinamil.com.cn/view/2018-01/17/content_7912398.htm" TargetMode="External"/><Relationship Id="rId222" Type="http://schemas.openxmlformats.org/officeDocument/2006/relationships/hyperlink" Target="http://english.chinamil.com.cn/view/2018-05/28/content_8043876.htm" TargetMode="External"/><Relationship Id="rId243" Type="http://schemas.openxmlformats.org/officeDocument/2006/relationships/hyperlink" Target="http://english.chinamil.com.cn/view/2018-08/07/content_9244658.htm" TargetMode="External"/><Relationship Id="rId264" Type="http://schemas.openxmlformats.org/officeDocument/2006/relationships/hyperlink" Target="http://eng.chinamil.com.cn/view/2018-10/30/content_9326872.htm" TargetMode="External"/><Relationship Id="rId285" Type="http://schemas.openxmlformats.org/officeDocument/2006/relationships/hyperlink" Target="https://www.stripes.com/news/in-a-first-chinese-military-deploys-for-medical-drill-with-german-forces-in-europe-1.589687" TargetMode="External"/><Relationship Id="rId17" Type="http://schemas.openxmlformats.org/officeDocument/2006/relationships/hyperlink" Target="http://www.chinavitae.com/vip/index.php?mode=show&amp;id=4545" TargetMode="External"/><Relationship Id="rId38" Type="http://schemas.openxmlformats.org/officeDocument/2006/relationships/hyperlink" Target="https://dlib-eastview-com.ezproxy.princeton.edu/browse/doc/24526495" TargetMode="External"/><Relationship Id="rId59" Type="http://schemas.openxmlformats.org/officeDocument/2006/relationships/hyperlink" Target="http://english.people.com.cn/90786/8362119.html" TargetMode="External"/><Relationship Id="rId103" Type="http://schemas.openxmlformats.org/officeDocument/2006/relationships/hyperlink" Target="http://eng.mod.gov.cn/DefenseNews/2017-04/06/content_4777529.htm" TargetMode="External"/><Relationship Id="rId124" Type="http://schemas.openxmlformats.org/officeDocument/2006/relationships/hyperlink" Target="http://english.chinamil.com.cn/view/2017-06/30/content_7658357.htm" TargetMode="External"/><Relationship Id="rId310" Type="http://schemas.openxmlformats.org/officeDocument/2006/relationships/hyperlink" Target="https://news.clearancejobs.com/2020/11/12/u-s-and-china-hold-joint-disaster-management-exercise/" TargetMode="External"/><Relationship Id="rId70" Type="http://schemas.openxmlformats.org/officeDocument/2006/relationships/hyperlink" Target="https://usa.mfa.gov.ua/en/news/22977-zajava-mzs-ukrajini-shhodo-provedennya-rosijsykoju-federacijeju-vijsykovih-navchany-aviadarts-2014" TargetMode="External"/><Relationship Id="rId91" Type="http://schemas.openxmlformats.org/officeDocument/2006/relationships/hyperlink" Target="https://www.pacom.mil/Media/News/News-Article-View/Article/929481/exercise-kowari-us-australia-china-set-to-survive-inside-the-outback/" TargetMode="External"/><Relationship Id="rId145" Type="http://schemas.openxmlformats.org/officeDocument/2006/relationships/hyperlink" Target="http://english.chinamil.com.cn/view/2017-08/29/content_7735681.htm" TargetMode="External"/><Relationship Id="rId166" Type="http://schemas.openxmlformats.org/officeDocument/2006/relationships/hyperlink" Target="http://english.chinamil.com.cn/view/2017-09/26/content_7770309.htm" TargetMode="External"/><Relationship Id="rId187" Type="http://schemas.openxmlformats.org/officeDocument/2006/relationships/hyperlink" Target="http://english.chinamil.com.cn/view/2017-11/09/content_7818645.htm" TargetMode="External"/><Relationship Id="rId331" Type="http://schemas.openxmlformats.org/officeDocument/2006/relationships/hyperlink" Target="http://english.chinamil.com.cn/view/2022-08/12/content_10177822.htm" TargetMode="External"/><Relationship Id="rId352" Type="http://schemas.openxmlformats.org/officeDocument/2006/relationships/hyperlink" Target="http://www.mod.gov.cn/gfbw/jswj/jl/16353474.html" TargetMode="External"/><Relationship Id="rId373" Type="http://schemas.openxmlformats.org/officeDocument/2006/relationships/hyperlink" Target="http://www.mod.gov.cn/gfbw/jswj/lf/16263691.html" TargetMode="External"/><Relationship Id="rId394" Type="http://schemas.openxmlformats.org/officeDocument/2006/relationships/vmlDrawing" Target="../drawings/vmlDrawing2.vml"/><Relationship Id="rId1" Type="http://schemas.openxmlformats.org/officeDocument/2006/relationships/hyperlink" Target="https://dlib.eastview.com/browse/doc/14643704" TargetMode="External"/><Relationship Id="rId212" Type="http://schemas.openxmlformats.org/officeDocument/2006/relationships/hyperlink" Target="http://lenta.inform.kz/en/kazakh-chinese-defense-ministers-praise-high-level-of-coop_a3229921" TargetMode="External"/><Relationship Id="rId233" Type="http://schemas.openxmlformats.org/officeDocument/2006/relationships/hyperlink" Target="http://english.chinamil.com.cn/view/2018-02/06/content_7934820.htm" TargetMode="External"/><Relationship Id="rId254" Type="http://schemas.openxmlformats.org/officeDocument/2006/relationships/hyperlink" Target="http://english.chinamil.com.cn/view/2018-09/19/content_9293261.htm" TargetMode="External"/><Relationship Id="rId28" Type="http://schemas.openxmlformats.org/officeDocument/2006/relationships/hyperlink" Target="https://dlib-eastview-com.ezproxy.princeton.edu/browse/doc/14688205" TargetMode="External"/><Relationship Id="rId49" Type="http://schemas.openxmlformats.org/officeDocument/2006/relationships/hyperlink" Target="https://www.voanews.com/a/australia-china-conduct-live-fire-naval-exercise-in-yellow-sea-103780194/126679.html;%20Defense%20White%20Paper%20Appendix" TargetMode="External"/><Relationship Id="rId114" Type="http://schemas.openxmlformats.org/officeDocument/2006/relationships/hyperlink" Target="http://english.chinamil.com.cn/view/2017-05/08/content_7592399.htm" TargetMode="External"/><Relationship Id="rId275" Type="http://schemas.openxmlformats.org/officeDocument/2006/relationships/hyperlink" Target="http://english.chinamil.com.cn/view/2018-11/10/content_9340354.htm" TargetMode="External"/><Relationship Id="rId296" Type="http://schemas.openxmlformats.org/officeDocument/2006/relationships/hyperlink" Target="http://www.xinhuanet.com/2019-10/22/c_1125138601.htm" TargetMode="External"/><Relationship Id="rId300" Type="http://schemas.openxmlformats.org/officeDocument/2006/relationships/hyperlink" Target="http://www.xinhuanet.com/mil/2019-11/21/c_1210363767.htm" TargetMode="External"/><Relationship Id="rId60" Type="http://schemas.openxmlformats.org/officeDocument/2006/relationships/hyperlink" Target="https://www.nationalguard.mil/News/Article/575366/us-china-conduct-disaster-management-exchange/" TargetMode="External"/><Relationship Id="rId81" Type="http://schemas.openxmlformats.org/officeDocument/2006/relationships/hyperlink" Target="http://eng.mod.gov.cn/SpecialReports/2015-10/15/content_4624532.htm" TargetMode="External"/><Relationship Id="rId135" Type="http://schemas.openxmlformats.org/officeDocument/2006/relationships/hyperlink" Target="http://english.chinamil.com.cn/view/2017-06/26/content_7652811.htm" TargetMode="External"/><Relationship Id="rId156" Type="http://schemas.openxmlformats.org/officeDocument/2006/relationships/hyperlink" Target="http://english.chinamil.com.cn/view/2017-08/17/content_7720968.htm" TargetMode="External"/><Relationship Id="rId177" Type="http://schemas.openxmlformats.org/officeDocument/2006/relationships/hyperlink" Target="http://english.chinamil.com.cn/view/2017-11/28/content_7847062.htm" TargetMode="External"/><Relationship Id="rId198" Type="http://schemas.openxmlformats.org/officeDocument/2006/relationships/hyperlink" Target="http://english.chinamil.com.cn/view/2018-01/09/content_7901186.htm" TargetMode="External"/><Relationship Id="rId321" Type="http://schemas.openxmlformats.org/officeDocument/2006/relationships/hyperlink" Target="http://english.chinamil.com.cn/view/2022-04/20/content_10149377.htm;" TargetMode="External"/><Relationship Id="rId342" Type="http://schemas.openxmlformats.org/officeDocument/2006/relationships/hyperlink" Target="http://english.chinamil.com.cn/view/2022-06/10/content_10162190.htm%20;" TargetMode="External"/><Relationship Id="rId363" Type="http://schemas.openxmlformats.org/officeDocument/2006/relationships/hyperlink" Target="http://eng.chinamil.com.cn/CHINA_209163/Exercises/News_209184/16311857.html" TargetMode="External"/><Relationship Id="rId384" Type="http://schemas.openxmlformats.org/officeDocument/2006/relationships/hyperlink" Target="https://www.scmp.com/news/china/diplomacy/article/3292880/chinese-warships-make-port-call-vietnam-after-talks-joint-patrols" TargetMode="External"/><Relationship Id="rId202" Type="http://schemas.openxmlformats.org/officeDocument/2006/relationships/hyperlink" Target="http://english.chinamil.com.cn/view/2018-01/23/content_7918716.htm" TargetMode="External"/><Relationship Id="rId223" Type="http://schemas.openxmlformats.org/officeDocument/2006/relationships/hyperlink" Target="http://english.chinamil.com.cn/view/2018-05/31/content_8045922.htm" TargetMode="External"/><Relationship Id="rId244" Type="http://schemas.openxmlformats.org/officeDocument/2006/relationships/hyperlink" Target="http://english.chinamil.com.cn/view/2018-08/22/content_9260060.htm" TargetMode="External"/><Relationship Id="rId18" Type="http://schemas.openxmlformats.org/officeDocument/2006/relationships/hyperlink" Target="https://dlib.eastview.com/browse/doc/14704768" TargetMode="External"/><Relationship Id="rId39" Type="http://schemas.openxmlformats.org/officeDocument/2006/relationships/hyperlink" Target="https://dlib-eastview-com.ezproxy.princeton.edu/browse/doc/14723065" TargetMode="External"/><Relationship Id="rId265" Type="http://schemas.openxmlformats.org/officeDocument/2006/relationships/hyperlink" Target="http://english.chinamil.com.cn/view/2018-10/15/content_9313496.htm" TargetMode="External"/><Relationship Id="rId286" Type="http://schemas.openxmlformats.org/officeDocument/2006/relationships/hyperlink" Target="http://www.mod.gov.cn/jzhzt/2019-08/29/content_4849311.htm" TargetMode="External"/><Relationship Id="rId50" Type="http://schemas.openxmlformats.org/officeDocument/2006/relationships/hyperlink" Target="https://www.defenceiq.com/naval-maritime-defence/press-releases/people-s-republic-of-china-navy-visit-to-australia" TargetMode="External"/><Relationship Id="rId104" Type="http://schemas.openxmlformats.org/officeDocument/2006/relationships/hyperlink" Target="http://english.chinamil.com.cn/view/2017-04/21/content_7571498.htm" TargetMode="External"/><Relationship Id="rId125" Type="http://schemas.openxmlformats.org/officeDocument/2006/relationships/hyperlink" Target="http://english.chinamil.com.cn/view/2017-06/16/content_7642344.htm" TargetMode="External"/><Relationship Id="rId146" Type="http://schemas.openxmlformats.org/officeDocument/2006/relationships/hyperlink" Target="http://english.chinamil.com.cn/view/2017-08/24/content_7729644.htm" TargetMode="External"/><Relationship Id="rId167" Type="http://schemas.openxmlformats.org/officeDocument/2006/relationships/hyperlink" Target="http://english.chinamil.com.cn/view/2017-09/22/content_7765269.htm" TargetMode="External"/><Relationship Id="rId188" Type="http://schemas.openxmlformats.org/officeDocument/2006/relationships/hyperlink" Target="http://english.chinamil.com.cn/view/2017-12/27/content_7886245.htm" TargetMode="External"/><Relationship Id="rId311" Type="http://schemas.openxmlformats.org/officeDocument/2006/relationships/hyperlink" Target="http://www.mod.gov.cn/shouye/2020-12/14/content_4875453.htm;%20%E2%80%9CJapan-China%20Defense%20Ministers%E2%80%99%20Video%20Teleconference,%E2%80%9D%20Japan%20Ministry%20of%20Defense%20%5bEnglish-language%20source%5d,%2014%20December%202020,;%20PLA%20Activities%20Report%201-15%20January%202021,%20China%20sounded%20out%20Japan%20on%20sending%20defense%20minister%20for%20talks%20in%20October%20%7C%20The%20Japan%20Times" TargetMode="External"/><Relationship Id="rId332" Type="http://schemas.openxmlformats.org/officeDocument/2006/relationships/hyperlink" Target="http://english.chinamil.com.cn/view/2022-09/01/content_10182185.htm" TargetMode="External"/><Relationship Id="rId353" Type="http://schemas.openxmlformats.org/officeDocument/2006/relationships/hyperlink" Target="https://geotvnews.com/china-signed-a-defense-agreement-with-the-maldives-to-provide-military-assistance-the-details-have-not-been-disclosed-geo-tv-news/" TargetMode="External"/><Relationship Id="rId374" Type="http://schemas.openxmlformats.org/officeDocument/2006/relationships/hyperlink" Target="http://eng.chinamil.com.cn/SIDEBAR/WeRecommend/16329725.html" TargetMode="External"/><Relationship Id="rId395" Type="http://schemas.openxmlformats.org/officeDocument/2006/relationships/comments" Target="../comments1.xml"/><Relationship Id="rId71" Type="http://schemas.openxmlformats.org/officeDocument/2006/relationships/hyperlink" Target="http://en.sco-russia.ru/news/20140828/1013179153.html" TargetMode="External"/><Relationship Id="rId92" Type="http://schemas.openxmlformats.org/officeDocument/2006/relationships/hyperlink" Target="http://english.chinamil.com.cn/news-channels/china-military-news/2016-08/11/content_7202787.htm" TargetMode="External"/><Relationship Id="rId213" Type="http://schemas.openxmlformats.org/officeDocument/2006/relationships/hyperlink" Target="http://english.chinamil.com.cn/view/2018-04/25/content_8014470.htm" TargetMode="External"/><Relationship Id="rId234" Type="http://schemas.openxmlformats.org/officeDocument/2006/relationships/hyperlink" Target="http://eng.chinamil.com.cn/view/2018-06/28/content_8074433.htm" TargetMode="External"/><Relationship Id="rId2" Type="http://schemas.openxmlformats.org/officeDocument/2006/relationships/hyperlink" Target="https://dlib.eastview.com/browse/doc/14666368" TargetMode="External"/><Relationship Id="rId29" Type="http://schemas.openxmlformats.org/officeDocument/2006/relationships/hyperlink" Target="https://dlib-eastview-com.ezproxy.princeton.edu/browse/doc/14714804" TargetMode="External"/><Relationship Id="rId255" Type="http://schemas.openxmlformats.org/officeDocument/2006/relationships/hyperlink" Target="http://english.chinamil.com.cn/view/2018-09/19/content_9292412.htm" TargetMode="External"/><Relationship Id="rId276" Type="http://schemas.openxmlformats.org/officeDocument/2006/relationships/hyperlink" Target="http://www.81.cn/jmywyl/2019-01/20/content_9408890.htm" TargetMode="External"/><Relationship Id="rId297" Type="http://schemas.openxmlformats.org/officeDocument/2006/relationships/hyperlink" Target="http://eng.mod.gov.cn/news/2019-11/01/content_4854326.htm" TargetMode="External"/><Relationship Id="rId40" Type="http://schemas.openxmlformats.org/officeDocument/2006/relationships/hyperlink" Target="https://dlib-eastview-com.ezproxy.princeton.edu/browse/doc/18636239" TargetMode="External"/><Relationship Id="rId115" Type="http://schemas.openxmlformats.org/officeDocument/2006/relationships/hyperlink" Target="http://english.chinamil.com.cn/view/2017-05/18/content_7607981.htm" TargetMode="External"/><Relationship Id="rId136" Type="http://schemas.openxmlformats.org/officeDocument/2006/relationships/hyperlink" Target="http://english.chinamil.com.cn/view/2017-07/14/content_7675380.htm" TargetMode="External"/><Relationship Id="rId157" Type="http://schemas.openxmlformats.org/officeDocument/2006/relationships/hyperlink" Target="http://english.chinamil.com.cn/view/2017-08/17/content_7721898.htm" TargetMode="External"/><Relationship Id="rId178" Type="http://schemas.openxmlformats.org/officeDocument/2006/relationships/hyperlink" Target="http://english.chinamil.com.cn/view/2017-11/10/content_7819995.htm" TargetMode="External"/><Relationship Id="rId301" Type="http://schemas.openxmlformats.org/officeDocument/2006/relationships/hyperlink" Target="https://www.navyrecognition.com/index.php/news/defence-news/2019/november/7732-joint-naval-military-exercise-code-named-mosi-in-south-africa.html" TargetMode="External"/><Relationship Id="rId322" Type="http://schemas.openxmlformats.org/officeDocument/2006/relationships/hyperlink" Target="http://eng.mod.gov.cn/news/2022-05/24/content_4911446.htm" TargetMode="External"/><Relationship Id="rId343" Type="http://schemas.openxmlformats.org/officeDocument/2006/relationships/hyperlink" Target="http://eng.mod.gov.cn/news/2022-11/22/content_4926695.htm" TargetMode="External"/><Relationship Id="rId364" Type="http://schemas.openxmlformats.org/officeDocument/2006/relationships/hyperlink" Target="http://eng.mod.gov.cn/xb/News_213114/TopStories/16310576.html" TargetMode="External"/><Relationship Id="rId61" Type="http://schemas.openxmlformats.org/officeDocument/2006/relationships/hyperlink" Target="https://www.nationalguard.mil/News/Article/575366/us-china-conduct-disaster-management-exchange/" TargetMode="External"/><Relationship Id="rId82" Type="http://schemas.openxmlformats.org/officeDocument/2006/relationships/hyperlink" Target="https://web.archive.org/web/20150926012801/https:/www.news.lk/news/sri-lanka/item/9929-exercise-cormorant-exercise-vi-draws-to-a-close" TargetMode="External"/><Relationship Id="rId199" Type="http://schemas.openxmlformats.org/officeDocument/2006/relationships/hyperlink" Target="http://english.chinamil.com.cn/view/2018-01/30/content_7926171.htm" TargetMode="External"/><Relationship Id="rId203" Type="http://schemas.openxmlformats.org/officeDocument/2006/relationships/hyperlink" Target="http://english.chinamil.com.cn/view/2018-02/26/content_7952675.htm" TargetMode="External"/><Relationship Id="rId385" Type="http://schemas.openxmlformats.org/officeDocument/2006/relationships/hyperlink" Target="http://en.people.cn/n3/2023/0517/c90000-20019709.html" TargetMode="External"/><Relationship Id="rId19" Type="http://schemas.openxmlformats.org/officeDocument/2006/relationships/hyperlink" Target="https://dlib-eastview-com.ezproxy.princeton.edu/browse/doc/14711056" TargetMode="External"/><Relationship Id="rId224" Type="http://schemas.openxmlformats.org/officeDocument/2006/relationships/hyperlink" Target="http://english.chinamil.com.cn/view/2018-05/21/content_8038257.htm" TargetMode="External"/><Relationship Id="rId245" Type="http://schemas.openxmlformats.org/officeDocument/2006/relationships/hyperlink" Target="http://english.chinamil.com.cn/view/2018-08/28/content_9265435.htm" TargetMode="External"/><Relationship Id="rId266" Type="http://schemas.openxmlformats.org/officeDocument/2006/relationships/hyperlink" Target="http://english.chinamil.com.cn/view/2018-10/15/content_9313491.htm" TargetMode="External"/><Relationship Id="rId287" Type="http://schemas.openxmlformats.org/officeDocument/2006/relationships/hyperlink" Target="http://eng.mod.gov.cn/news/2019-08/13/content_4848137.htm" TargetMode="External"/><Relationship Id="rId30" Type="http://schemas.openxmlformats.org/officeDocument/2006/relationships/hyperlink" Target="https://dlib-eastview-com.ezproxy.princeton.edu/browse/doc/14713441" TargetMode="External"/><Relationship Id="rId105" Type="http://schemas.openxmlformats.org/officeDocument/2006/relationships/hyperlink" Target="http://eng.mod.gov.cn/DefenseNews/2017-04/17/content_4778533.htm" TargetMode="External"/><Relationship Id="rId126" Type="http://schemas.openxmlformats.org/officeDocument/2006/relationships/hyperlink" Target="http://english.chinamil.com.cn/view/2017-06/30/content_7658542.htm" TargetMode="External"/><Relationship Id="rId147" Type="http://schemas.openxmlformats.org/officeDocument/2006/relationships/hyperlink" Target="http://english.chinamil.com.cn/view/2017-08/19/content_7723327.htm" TargetMode="External"/><Relationship Id="rId168" Type="http://schemas.openxmlformats.org/officeDocument/2006/relationships/hyperlink" Target="http://english.chinamil.com.cn/view/2017-09/11/content_7751723.htm" TargetMode="External"/><Relationship Id="rId312" Type="http://schemas.openxmlformats.org/officeDocument/2006/relationships/hyperlink" Target="http://eng.chinamil.com.cn/view/2020-12/02/content_9946240.htm" TargetMode="External"/><Relationship Id="rId333" Type="http://schemas.openxmlformats.org/officeDocument/2006/relationships/hyperlink" Target="http://english.chinamil.com.cn/view/2022-09/29/content_10188309.htm" TargetMode="External"/><Relationship Id="rId354" Type="http://schemas.openxmlformats.org/officeDocument/2006/relationships/hyperlink" Target="https://www.ceris.be/blog/nato-china-relations-charting-the-way-forward/" TargetMode="External"/><Relationship Id="rId51" Type="http://schemas.openxmlformats.org/officeDocument/2006/relationships/hyperlink" Target="http://www.china.org.cn/world/2010-09/11/content_20910137.htm" TargetMode="External"/><Relationship Id="rId72" Type="http://schemas.openxmlformats.org/officeDocument/2006/relationships/hyperlink" Target="http://eng.mod.gov.cn/DefenseNews/2014-08/28/content_4533185.htm" TargetMode="External"/><Relationship Id="rId93" Type="http://schemas.openxmlformats.org/officeDocument/2006/relationships/hyperlink" Target="http://english.chinamil.com.cn/view/2016-09/18/content_7263185.htm" TargetMode="External"/><Relationship Id="rId189" Type="http://schemas.openxmlformats.org/officeDocument/2006/relationships/hyperlink" Target="http://english.chinamil.com.cn/view/2017-12/07/content_7858238.htm" TargetMode="External"/><Relationship Id="rId375" Type="http://schemas.openxmlformats.org/officeDocument/2006/relationships/hyperlink" Target="http://eng.chinamil.com.cn/BILINGUAL/News_209203/16334825.html" TargetMode="External"/><Relationship Id="rId396" Type="http://schemas.microsoft.com/office/2017/10/relationships/threadedComment" Target="../threadedComments/threadedComment1.xml"/><Relationship Id="rId3" Type="http://schemas.openxmlformats.org/officeDocument/2006/relationships/hyperlink" Target="https://dlib-eastview-com.ezproxy.princeton.edu/search/simple/doc?pager.offset=0&amp;id=14666421&amp;hl=%E9%98%BF%E8%81%94https://dlib-eastview-com.ezproxy.princeton.edu/browse/doc/14666421" TargetMode="External"/><Relationship Id="rId214" Type="http://schemas.openxmlformats.org/officeDocument/2006/relationships/hyperlink" Target="http://www.81.cn/jmywyl/2018-04/24/content_8013935.htm" TargetMode="External"/><Relationship Id="rId235" Type="http://schemas.openxmlformats.org/officeDocument/2006/relationships/hyperlink" Target="http://navy.81.cn/content/2018-07/03/content_8078834.htm" TargetMode="External"/><Relationship Id="rId256" Type="http://schemas.openxmlformats.org/officeDocument/2006/relationships/hyperlink" Target="https://www.nato.int/docu/review/articles/2018/12/20/vostok-2018-ten-years-of-russian-strategic-exercises-and-warfare-preparation/index.html" TargetMode="External"/><Relationship Id="rId277" Type="http://schemas.openxmlformats.org/officeDocument/2006/relationships/hyperlink" Target="https://www.scmp.com/news/china/article/1425918/chinese-troops-join-asia-us-drills-positive-step-amid-regional-tensions" TargetMode="External"/><Relationship Id="rId298" Type="http://schemas.openxmlformats.org/officeDocument/2006/relationships/hyperlink" Target="http://eng.mod.gov.cn/news/2019-11/01/content_4854326.htm" TargetMode="External"/><Relationship Id="rId116" Type="http://schemas.openxmlformats.org/officeDocument/2006/relationships/hyperlink" Target="http://english.chinamil.com.cn/view/2017-05/14/content_7600876.htm" TargetMode="External"/><Relationship Id="rId137" Type="http://schemas.openxmlformats.org/officeDocument/2006/relationships/hyperlink" Target="http://english.chinamil.com.cn/view/2017-07/19/content_7682288.htm" TargetMode="External"/><Relationship Id="rId158" Type="http://schemas.openxmlformats.org/officeDocument/2006/relationships/hyperlink" Target="http://english.chinamil.com.cn/view/2017-09/11/content_7751741.htm" TargetMode="External"/><Relationship Id="rId302" Type="http://schemas.openxmlformats.org/officeDocument/2006/relationships/hyperlink" Target="https://www.cnn.com/2019/12/27/asia/china-russia-iran-military-drills-intl-hnk/index.html" TargetMode="External"/><Relationship Id="rId323" Type="http://schemas.openxmlformats.org/officeDocument/2006/relationships/hyperlink" Target="http://english.chinamil.com.cn/view/2018-05/24/content_8041205.htm" TargetMode="External"/><Relationship Id="rId344" Type="http://schemas.openxmlformats.org/officeDocument/2006/relationships/hyperlink" Target="http://english.chinamil.com.cn/view/2022-12/13/content_10205508.htm" TargetMode="External"/><Relationship Id="rId20" Type="http://schemas.openxmlformats.org/officeDocument/2006/relationships/hyperlink" Target="https://dlib-eastview-com.ezproxy.princeton.edu/browse/doc/14712481" TargetMode="External"/><Relationship Id="rId41" Type="http://schemas.openxmlformats.org/officeDocument/2006/relationships/hyperlink" Target="https://dlib-eastview-com.ezproxy.princeton.edu/browse/doc/17685252" TargetMode="External"/><Relationship Id="rId62" Type="http://schemas.openxmlformats.org/officeDocument/2006/relationships/hyperlink" Target="http://en.people.cn/90786/8402165.html" TargetMode="External"/><Relationship Id="rId83" Type="http://schemas.openxmlformats.org/officeDocument/2006/relationships/hyperlink" Target="https://www.cpf.navy.mil/Newsroom/News/Article/2745342/uss-stethem-joins-with-plan-to-conduct-exercise/" TargetMode="External"/><Relationship Id="rId179" Type="http://schemas.openxmlformats.org/officeDocument/2006/relationships/hyperlink" Target="http://english.chinamil.com.cn/view/2017-11/08/content_7816817.htm" TargetMode="External"/><Relationship Id="rId365" Type="http://schemas.openxmlformats.org/officeDocument/2006/relationships/hyperlink" Target="http://eng.chinamil.com.cn/CHINA_209163/Exchanges/News_209188/16310270.html" TargetMode="External"/><Relationship Id="rId386" Type="http://schemas.openxmlformats.org/officeDocument/2006/relationships/hyperlink" Target="http://world.people.com.cn/n1/2024/0727/c1002-40286881.html" TargetMode="External"/><Relationship Id="rId190" Type="http://schemas.openxmlformats.org/officeDocument/2006/relationships/hyperlink" Target="http://eng.chinamil.com.cn/view/2017-12/15/content_7870166.htm" TargetMode="External"/><Relationship Id="rId204" Type="http://schemas.openxmlformats.org/officeDocument/2006/relationships/hyperlink" Target="http://english.chinamil.com.cn/view/2018-02/06/content_7934820.htm" TargetMode="External"/><Relationship Id="rId225" Type="http://schemas.openxmlformats.org/officeDocument/2006/relationships/hyperlink" Target="http://english.chinamil.com.cn/view/2018-05/30/content_8045918.htm" TargetMode="External"/><Relationship Id="rId246" Type="http://schemas.openxmlformats.org/officeDocument/2006/relationships/hyperlink" Target="http://english.chinamil.com.cn/view/2018-08/24/content_9262529.htm" TargetMode="External"/><Relationship Id="rId267" Type="http://schemas.openxmlformats.org/officeDocument/2006/relationships/hyperlink" Target="http://english.chinamil.com.cn/view/2018-10/23/content_9320430.htm" TargetMode="External"/><Relationship Id="rId288" Type="http://schemas.openxmlformats.org/officeDocument/2006/relationships/hyperlink" Target="http://www.xinhuanet.com/english/2019-08/16/c_138314743.htm" TargetMode="External"/><Relationship Id="rId106" Type="http://schemas.openxmlformats.org/officeDocument/2006/relationships/hyperlink" Target="http://eng.mod.gov.cn/DefenseNews/2017-04/05/content_4777417.htm" TargetMode="External"/><Relationship Id="rId127" Type="http://schemas.openxmlformats.org/officeDocument/2006/relationships/hyperlink" Target="http://english.chinamil.com.cn/view/2017-06/16/content_7642495.htm" TargetMode="External"/><Relationship Id="rId313" Type="http://schemas.openxmlformats.org/officeDocument/2006/relationships/hyperlink" Target="https://timesofindia.indiatimes.com/world/china/china-pakistan-air-forces-to-hold-joint-exercises/articleshow/79611283.cms;%20China%20sends%20warplanes,%20troops%20for%20drill%20in%20Pakistan%20%7C%20World%20News%20-%20Hindustan%20Times,%20PLA%20Activities%20Report%201-15%20January%202021" TargetMode="External"/><Relationship Id="rId10" Type="http://schemas.openxmlformats.org/officeDocument/2006/relationships/hyperlink" Target="https://dlib.eastview.com/browse/doc/14694891" TargetMode="External"/><Relationship Id="rId31" Type="http://schemas.openxmlformats.org/officeDocument/2006/relationships/hyperlink" Target="https://dlib-eastview-com.ezproxy.princeton.edu/browse/doc/24491764" TargetMode="External"/><Relationship Id="rId52" Type="http://schemas.openxmlformats.org/officeDocument/2006/relationships/hyperlink" Target="http://www.china.org.cn/world/2010-11/18/content_21372399.htm" TargetMode="External"/><Relationship Id="rId73" Type="http://schemas.openxmlformats.org/officeDocument/2006/relationships/hyperlink" Target="https://www.army-technology.com/news/newsexercise-kowari-14-concludes-in-australia-4419629/" TargetMode="External"/><Relationship Id="rId94" Type="http://schemas.openxmlformats.org/officeDocument/2006/relationships/hyperlink" Target="http://eng.mod.gov.cn/DefenseNews/2017-01/23/content_4770731.htm" TargetMode="External"/><Relationship Id="rId148" Type="http://schemas.openxmlformats.org/officeDocument/2006/relationships/hyperlink" Target="http://english.chinamil.com.cn/view/2017-08/02/content_7699947.htm" TargetMode="External"/><Relationship Id="rId169" Type="http://schemas.openxmlformats.org/officeDocument/2006/relationships/hyperlink" Target="http://english.chinamil.com.cn/view/2017-10/20/content_7794034.htm" TargetMode="External"/><Relationship Id="rId334" Type="http://schemas.openxmlformats.org/officeDocument/2006/relationships/hyperlink" Target="http://eng.mod.gov.cn/news/2022-10/27/content_4924562.htm" TargetMode="External"/><Relationship Id="rId355" Type="http://schemas.openxmlformats.org/officeDocument/2006/relationships/hyperlink" Target="https://apnews.com/article/china-russia-us-military-planes-norad-alaska-4994b489e75ae636b4a4cd5bb40f91ac" TargetMode="External"/><Relationship Id="rId376" Type="http://schemas.openxmlformats.org/officeDocument/2006/relationships/hyperlink" Target="http://eng.chinamil.com.cn/BILINGUAL/News_209203/16335372.html" TargetMode="External"/><Relationship Id="rId4" Type="http://schemas.openxmlformats.org/officeDocument/2006/relationships/hyperlink" Target="https://dlib.eastview.com/browse/doc/14386032" TargetMode="External"/><Relationship Id="rId180" Type="http://schemas.openxmlformats.org/officeDocument/2006/relationships/hyperlink" Target="http://english.chinamil.com.cn/view/2017-11/02/content_7810455.htm" TargetMode="External"/><Relationship Id="rId215" Type="http://schemas.openxmlformats.org/officeDocument/2006/relationships/hyperlink" Target="http://english.chinamil.com.cn/view/2018-04/19/content_8009037.htm" TargetMode="External"/><Relationship Id="rId236" Type="http://schemas.openxmlformats.org/officeDocument/2006/relationships/hyperlink" Target="http://www.xinhuanet.com/english/2019-07/05/c_138202550.htm" TargetMode="External"/><Relationship Id="rId257" Type="http://schemas.openxmlformats.org/officeDocument/2006/relationships/hyperlink" Target="http://english.chinamil.com.cn/view/2018-09/05/content_9272625.htm" TargetMode="External"/><Relationship Id="rId278" Type="http://schemas.openxmlformats.org/officeDocument/2006/relationships/hyperlink" Target="http://english.chinamil.com.cn/view/2019-03/14/content_9450012.htm" TargetMode="External"/><Relationship Id="rId303" Type="http://schemas.openxmlformats.org/officeDocument/2006/relationships/hyperlink" Target="http://eng.chinamil.com.cn/view/2019-12/06/content_9691028.htm" TargetMode="External"/><Relationship Id="rId42" Type="http://schemas.openxmlformats.org/officeDocument/2006/relationships/hyperlink" Target="https://dlib-eastview-com.ezproxy.princeton.edu/browse/doc/18952140" TargetMode="External"/><Relationship Id="rId84" Type="http://schemas.openxmlformats.org/officeDocument/2006/relationships/hyperlink" Target="http://english.chinamil.com.cn/view/2017-11/10/content_7819995.htm" TargetMode="External"/><Relationship Id="rId138" Type="http://schemas.openxmlformats.org/officeDocument/2006/relationships/hyperlink" Target="http://english.chinamil.com.cn/view/2017-07/24/content_7686625.htm" TargetMode="External"/><Relationship Id="rId345" Type="http://schemas.openxmlformats.org/officeDocument/2006/relationships/hyperlink" Target="http://english.chinamil.com.cn/view/2022-12/03/content_10203069.htm" TargetMode="External"/><Relationship Id="rId387" Type="http://schemas.openxmlformats.org/officeDocument/2006/relationships/hyperlink" Target="http://english.chinamil.com.cn/view/2017-11/10/content_7820123.htm" TargetMode="External"/><Relationship Id="rId191" Type="http://schemas.openxmlformats.org/officeDocument/2006/relationships/hyperlink" Target="http://english.chinamil.com.cn/view/2017-12/19/content_7873974.htm" TargetMode="External"/><Relationship Id="rId205" Type="http://schemas.openxmlformats.org/officeDocument/2006/relationships/hyperlink" Target="https://www.marines.mil/News/News-Display/Article/1448893/cobra-gold-18-hadr-x/" TargetMode="External"/><Relationship Id="rId247" Type="http://schemas.openxmlformats.org/officeDocument/2006/relationships/hyperlink" Target="http://english.chinamil.com.cn/view/2018-08/16/content_9255121.htm" TargetMode="External"/><Relationship Id="rId107" Type="http://schemas.openxmlformats.org/officeDocument/2006/relationships/hyperlink" Target="http://english.chinamil.com.cn/view/2017-05/09/content_7594109.htm" TargetMode="External"/><Relationship Id="rId289" Type="http://schemas.openxmlformats.org/officeDocument/2006/relationships/hyperlink" Target="http://eng.mod.gov.cn/news/2019-08/30/content_4849442.htm" TargetMode="External"/><Relationship Id="rId11" Type="http://schemas.openxmlformats.org/officeDocument/2006/relationships/hyperlink" Target="https://dlib.eastview.com/browse/doc/14696449" TargetMode="External"/><Relationship Id="rId53" Type="http://schemas.openxmlformats.org/officeDocument/2006/relationships/hyperlink" Target="https://web.archive.org/web/20120609071043/http:/news.tj/en/news/sco-s-peace-mission-2012-war-games-start-north-tajikistan" TargetMode="External"/><Relationship Id="rId149" Type="http://schemas.openxmlformats.org/officeDocument/2006/relationships/hyperlink" Target="http://english.chinamil.com.cn/view/2017-08/22/content_7725742.htm" TargetMode="External"/><Relationship Id="rId314" Type="http://schemas.openxmlformats.org/officeDocument/2006/relationships/hyperlink" Target="http://www.81.cn/jwywpd/2020-12/23/content_9957361.htm" TargetMode="External"/><Relationship Id="rId356" Type="http://schemas.openxmlformats.org/officeDocument/2006/relationships/hyperlink" Target="https://www.globaltimes.cn/page/202407/1315995.shtml" TargetMode="External"/><Relationship Id="rId95" Type="http://schemas.openxmlformats.org/officeDocument/2006/relationships/hyperlink" Target="http://eng.mod.gov.cn/DefenseNews/2017-02/24/content_4773595.htm" TargetMode="External"/><Relationship Id="rId160" Type="http://schemas.openxmlformats.org/officeDocument/2006/relationships/hyperlink" Target="http://english.chinamil.com.cn/view/2017-09/29/content_7774095.htm" TargetMode="External"/><Relationship Id="rId216" Type="http://schemas.openxmlformats.org/officeDocument/2006/relationships/hyperlink" Target="http://english.chinamil.com.cn/view/2018-03/30/content_7988151.htm" TargetMode="External"/><Relationship Id="rId258" Type="http://schemas.openxmlformats.org/officeDocument/2006/relationships/hyperlink" Target="http://english.chinamil.com.cn/view/2018-09/06/content_9274052.htm" TargetMode="External"/><Relationship Id="rId22" Type="http://schemas.openxmlformats.org/officeDocument/2006/relationships/hyperlink" Target="http://www.chinaconsulatesf.org/eng/xw/t249533.htm" TargetMode="External"/><Relationship Id="rId64" Type="http://schemas.openxmlformats.org/officeDocument/2006/relationships/hyperlink" Target="https://www.nationalguard.mil/News/Article/575366/us-china-conduct-disaster-management-exchange/" TargetMode="External"/><Relationship Id="rId118" Type="http://schemas.openxmlformats.org/officeDocument/2006/relationships/hyperlink" Target="http://english.chinamil.com.cn/view/2017-05/22/content_7612831.htm" TargetMode="External"/><Relationship Id="rId325" Type="http://schemas.openxmlformats.org/officeDocument/2006/relationships/hyperlink" Target="http://eng.mod.gov.cn/xb/News_213114/TopStories/4916451.html" TargetMode="External"/><Relationship Id="rId367" Type="http://schemas.openxmlformats.org/officeDocument/2006/relationships/hyperlink" Target="http://eng.chinamil.com.cn/CHINA_209163/TopStories_209189/16313162.html" TargetMode="External"/><Relationship Id="rId171" Type="http://schemas.openxmlformats.org/officeDocument/2006/relationships/hyperlink" Target="http://english.chinamil.com.cn/view/2017-10/11/content_7783463.htm" TargetMode="External"/><Relationship Id="rId227" Type="http://schemas.openxmlformats.org/officeDocument/2006/relationships/hyperlink" Target="http://www.mod.gov.cn/shouye/2018-06/26/content_4817721.htm" TargetMode="External"/><Relationship Id="rId269" Type="http://schemas.openxmlformats.org/officeDocument/2006/relationships/hyperlink" Target="http://english.chinamil.com.cn/view/2018-10/14/content_9312024.htm" TargetMode="External"/><Relationship Id="rId33" Type="http://schemas.openxmlformats.org/officeDocument/2006/relationships/hyperlink" Target="https://www.nas.gov.sg/archivesonline/data/pdfdoc/20070516999.htm" TargetMode="External"/><Relationship Id="rId129" Type="http://schemas.openxmlformats.org/officeDocument/2006/relationships/hyperlink" Target="http://english.chinamil.com.cn/view/2017-06/19/content_7644422.htm" TargetMode="External"/><Relationship Id="rId280" Type="http://schemas.openxmlformats.org/officeDocument/2006/relationships/hyperlink" Target="https://www.scmp.com/news/china/military/article/3007804/china-begins-joint-naval-drills-six-southeast-asian-nations" TargetMode="External"/><Relationship Id="rId336" Type="http://schemas.openxmlformats.org/officeDocument/2006/relationships/hyperlink" Target="http://eng.mod.gov.cn/news/2022-11/21/content_4926578.htm" TargetMode="External"/><Relationship Id="rId75" Type="http://schemas.openxmlformats.org/officeDocument/2006/relationships/hyperlink" Target="https://www.pacom.mil/Media/News/Article/565021/china-us-disaster-management-exchange/" TargetMode="External"/><Relationship Id="rId140" Type="http://schemas.openxmlformats.org/officeDocument/2006/relationships/hyperlink" Target="http://english.chinamil.com.cn/view/2017-07/09/content_7669819.htm" TargetMode="External"/><Relationship Id="rId182" Type="http://schemas.openxmlformats.org/officeDocument/2006/relationships/hyperlink" Target="http://english.chinamil.com.cn/view/2017-11/15/content_7827412.htm" TargetMode="External"/><Relationship Id="rId378" Type="http://schemas.openxmlformats.org/officeDocument/2006/relationships/hyperlink" Target="https://www.scmp.com/news/china/diplomacy/article/3224414/brazil-and-china-officials-resume-bilateral-defence-talks-also-discuss-fishing-complaints" TargetMode="External"/><Relationship Id="rId6" Type="http://schemas.openxmlformats.org/officeDocument/2006/relationships/hyperlink" Target="https://dlib.eastview.com/browse/doc/14386034" TargetMode="External"/><Relationship Id="rId238" Type="http://schemas.openxmlformats.org/officeDocument/2006/relationships/hyperlink" Target="http://www.xinhuanet.com/world/2018-07/11/c_1123112181.htm" TargetMode="External"/><Relationship Id="rId291" Type="http://schemas.openxmlformats.org/officeDocument/2006/relationships/hyperlink" Target="https://www.rferl.org/a/tajikistan-china-counterterror-drills-gorno-badakhshan/30107427.html" TargetMode="External"/><Relationship Id="rId305" Type="http://schemas.openxmlformats.org/officeDocument/2006/relationships/hyperlink" Target="http://www.81.cn/jwywpd/2020-03/30/content_9780936.htm" TargetMode="External"/><Relationship Id="rId347" Type="http://schemas.openxmlformats.org/officeDocument/2006/relationships/hyperlink" Target="http://english.chinamil.com.cn/view/2022-12/10/content_10204633.htm" TargetMode="External"/><Relationship Id="rId44" Type="http://schemas.openxmlformats.org/officeDocument/2006/relationships/hyperlink" Target="https://dlib-eastview-com.ezproxy.princeton.edu/browse/doc/19041905" TargetMode="External"/><Relationship Id="rId86" Type="http://schemas.openxmlformats.org/officeDocument/2006/relationships/hyperlink" Target="http://english.chinamil.com.cn/view/2017-11/20/content_7833802.htm" TargetMode="External"/><Relationship Id="rId151" Type="http://schemas.openxmlformats.org/officeDocument/2006/relationships/hyperlink" Target="http://english.chinamil.com.cn/view/2017-08/28/content_7733398.htm" TargetMode="External"/><Relationship Id="rId389" Type="http://schemas.openxmlformats.org/officeDocument/2006/relationships/hyperlink" Target="http://english.chinamil.com.cn/view/2017-10/16/content_7788876.htm" TargetMode="External"/><Relationship Id="rId193" Type="http://schemas.openxmlformats.org/officeDocument/2006/relationships/hyperlink" Target="http://english.chinamil.com.cn/view/2017-12/13/content_7865423.htm" TargetMode="External"/><Relationship Id="rId207" Type="http://schemas.openxmlformats.org/officeDocument/2006/relationships/hyperlink" Target="http://english.chinamil.com.cn/view/2018-03/26/content_7984027.htm" TargetMode="External"/><Relationship Id="rId249" Type="http://schemas.openxmlformats.org/officeDocument/2006/relationships/hyperlink" Target="http://english.chinamil.com.cn/view/2018-09/17/content_9284969.htm" TargetMode="External"/><Relationship Id="rId13" Type="http://schemas.openxmlformats.org/officeDocument/2006/relationships/hyperlink" Target="https://dlib.eastview.com/browse/doc/14698980" TargetMode="External"/><Relationship Id="rId109" Type="http://schemas.openxmlformats.org/officeDocument/2006/relationships/hyperlink" Target="https://web.archive.org/web/20170522140635/http:/english.chinamil.com.cn/view/2017-05/22/content_7612829.htm" TargetMode="External"/><Relationship Id="rId260" Type="http://schemas.openxmlformats.org/officeDocument/2006/relationships/hyperlink" Target="http://english.chinamil.com.cn/view/2018-09/25/content_9297699.htm" TargetMode="External"/><Relationship Id="rId316" Type="http://schemas.openxmlformats.org/officeDocument/2006/relationships/hyperlink" Target="https://www.radio.gov.pk/25-09-2021/pakistan-attaches-great-importance-to-further-bilateral-cooperation-with-russia-china-cjcsc" TargetMode="External"/><Relationship Id="rId55" Type="http://schemas.openxmlformats.org/officeDocument/2006/relationships/hyperlink" Target="https://apa.az/en/asia-news/news_chinese_defense_minister_meets_with_lati_-182886" TargetMode="External"/><Relationship Id="rId97" Type="http://schemas.openxmlformats.org/officeDocument/2006/relationships/hyperlink" Target="http://eng.mod.gov.cn/DefenseNews/2017-02/20/content_4773000.htm" TargetMode="External"/><Relationship Id="rId120" Type="http://schemas.openxmlformats.org/officeDocument/2006/relationships/hyperlink" Target="http://english.chinamil.com.cn/view/2017-05/12/content_7599711.htm" TargetMode="External"/><Relationship Id="rId358" Type="http://schemas.openxmlformats.org/officeDocument/2006/relationships/hyperlink" Target="https://news.usni.org/2024/10/01/9-russian-chinese-warships-on-joint-patrol-in-the-northwest-pacific-after-major-naval-exercise" TargetMode="External"/><Relationship Id="rId162" Type="http://schemas.openxmlformats.org/officeDocument/2006/relationships/hyperlink" Target="http://english.chinamil.com.cn/view/2017-09/26/content_7769056.htm" TargetMode="External"/><Relationship Id="rId218" Type="http://schemas.openxmlformats.org/officeDocument/2006/relationships/hyperlink" Target="http://www.81.cn/jmywyl/2018-04/24/content_8013935.htm" TargetMode="External"/><Relationship Id="rId271" Type="http://schemas.openxmlformats.org/officeDocument/2006/relationships/hyperlink" Target="http://english.chinamil.com.cn/view/2018-11/02/content_9330152.htm" TargetMode="External"/><Relationship Id="rId24" Type="http://schemas.openxmlformats.org/officeDocument/2006/relationships/hyperlink" Target="https://www.jstor.org/stable/pdf/resrep11945.11.pdf?refreqid=excelsior%3A4fac441d45c51d61db50c8bc19c2628f" TargetMode="External"/><Relationship Id="rId66" Type="http://schemas.openxmlformats.org/officeDocument/2006/relationships/hyperlink" Target="https://www.nationalguard.mil/News/Article/575366/us-china-conduct-disaster-management-exchange/" TargetMode="External"/><Relationship Id="rId131" Type="http://schemas.openxmlformats.org/officeDocument/2006/relationships/hyperlink" Target="http://english.chinamil.com.cn/view/2017-06/30/content_7658903.htm" TargetMode="External"/><Relationship Id="rId327" Type="http://schemas.openxmlformats.org/officeDocument/2006/relationships/hyperlink" Target="https://apnews.com/article/donald-trump-business-china-arts-and-entertainment-army-74ad214fdfbf0f8422a762e8f6657862" TargetMode="External"/><Relationship Id="rId369" Type="http://schemas.openxmlformats.org/officeDocument/2006/relationships/hyperlink" Target="http://eng.mod.gov.cn/xb/News_213114/TopStories/16334468.html" TargetMode="External"/><Relationship Id="rId173" Type="http://schemas.openxmlformats.org/officeDocument/2006/relationships/hyperlink" Target="http://english.chinamil.com.cn/view/2017-10/30/content_7805014.htm" TargetMode="External"/><Relationship Id="rId229" Type="http://schemas.openxmlformats.org/officeDocument/2006/relationships/hyperlink" Target="http://eng.chinamil.com.cn/view/2018-06/05/content_8053122.htm" TargetMode="External"/><Relationship Id="rId380" Type="http://schemas.openxmlformats.org/officeDocument/2006/relationships/hyperlink" Target="http://eng.chinamil.com.cn/CHINA_209163/TopStories_209189/16234758.html" TargetMode="External"/><Relationship Id="rId240" Type="http://schemas.openxmlformats.org/officeDocument/2006/relationships/hyperlink" Target="http://chinaplus.cri.cn/news/china/9/20180719/159486.html" TargetMode="External"/><Relationship Id="rId35" Type="http://schemas.openxmlformats.org/officeDocument/2006/relationships/hyperlink" Target="https://dlib-eastview-com.ezproxy.princeton.edu/browse/doc/24489731" TargetMode="External"/><Relationship Id="rId77" Type="http://schemas.openxmlformats.org/officeDocument/2006/relationships/hyperlink" Target="http://www.pacom.mil/Media/News/Article/600918/exercise-khaan-quest-2015/" TargetMode="External"/><Relationship Id="rId100" Type="http://schemas.openxmlformats.org/officeDocument/2006/relationships/hyperlink" Target="http://www.xinhuanet.com/english/2017-03/16/c_136134589.htm" TargetMode="External"/><Relationship Id="rId282" Type="http://schemas.openxmlformats.org/officeDocument/2006/relationships/hyperlink" Target="http://www.81.cn/jwzb/2019-04/25/content_9489144.htm" TargetMode="External"/><Relationship Id="rId338" Type="http://schemas.openxmlformats.org/officeDocument/2006/relationships/hyperlink" Target="http://eng.mod.gov.cn/news/2022-11/18/content_4926418.htm" TargetMode="External"/><Relationship Id="rId8" Type="http://schemas.openxmlformats.org/officeDocument/2006/relationships/hyperlink" Target="https://dlib.eastview.com/browse/doc/14653038" TargetMode="External"/><Relationship Id="rId142" Type="http://schemas.openxmlformats.org/officeDocument/2006/relationships/hyperlink" Target="https://armedforcessports.defense.gov/CISM/Military-World-Games/6th-Military-World-Games/" TargetMode="External"/><Relationship Id="rId184" Type="http://schemas.openxmlformats.org/officeDocument/2006/relationships/hyperlink" Target="http://english.chinamil.com.cn/view/2017-11/20/content_7833799.htm" TargetMode="External"/><Relationship Id="rId391" Type="http://schemas.openxmlformats.org/officeDocument/2006/relationships/hyperlink" Target="http://www.chinadaily.com.cn/china/2017-10/06/content_32901405.htm" TargetMode="External"/><Relationship Id="rId251" Type="http://schemas.openxmlformats.org/officeDocument/2006/relationships/hyperlink" Target="http://eng.chinamil.com.cn/view/2018-09/05/content_9272890.htm" TargetMode="External"/><Relationship Id="rId46" Type="http://schemas.openxmlformats.org/officeDocument/2006/relationships/hyperlink" Target="https://dlib-eastview-com.ezproxy.princeton.edu/browse/doc/20378334" TargetMode="External"/><Relationship Id="rId293" Type="http://schemas.openxmlformats.org/officeDocument/2006/relationships/hyperlink" Target="http://www.xinhuanet.com/world/2019-09/07/c_1124972363.htm" TargetMode="External"/><Relationship Id="rId307" Type="http://schemas.openxmlformats.org/officeDocument/2006/relationships/hyperlink" Target="http://mod.gov.cn/topnews/2020-09/09/content_4870994.htm" TargetMode="External"/><Relationship Id="rId349" Type="http://schemas.openxmlformats.org/officeDocument/2006/relationships/hyperlink" Target="http://www.mod.gov.cn/gfbw/jswj/jl/16353474.html" TargetMode="External"/><Relationship Id="rId88" Type="http://schemas.openxmlformats.org/officeDocument/2006/relationships/hyperlink" Target="http://eng.chinamil.com.cn/news-channels/2016-01/04/content_6843101_2.htm" TargetMode="External"/><Relationship Id="rId111" Type="http://schemas.openxmlformats.org/officeDocument/2006/relationships/hyperlink" Target="http://english.chinamil.com.cn/view/2017-05/27/content_7620906.htm" TargetMode="External"/><Relationship Id="rId153" Type="http://schemas.openxmlformats.org/officeDocument/2006/relationships/hyperlink" Target="http://english.chinamil.com.cn/view/2017-08/28/content_7733909.htm" TargetMode="External"/><Relationship Id="rId195" Type="http://schemas.openxmlformats.org/officeDocument/2006/relationships/hyperlink" Target="http://english.chinamil.com.cn/view/2017-12/21/content_7878182.htm" TargetMode="External"/><Relationship Id="rId209" Type="http://schemas.openxmlformats.org/officeDocument/2006/relationships/hyperlink" Target="http://english.chinamil.com.cn/view/2018-03/30/content_7988151.htm" TargetMode="External"/><Relationship Id="rId360" Type="http://schemas.openxmlformats.org/officeDocument/2006/relationships/hyperlink" Target="https://www.pacom.mil/Media/News/News-Article-View/Article/3900303/readout-of-commander-us-indo-pacific-command-call-with-pla-southern-theater-com/" TargetMode="External"/><Relationship Id="rId220" Type="http://schemas.openxmlformats.org/officeDocument/2006/relationships/hyperlink" Target="http://english.chinamil.com.cn/view/2018-05/30/content_8046045.htm" TargetMode="External"/><Relationship Id="rId15" Type="http://schemas.openxmlformats.org/officeDocument/2006/relationships/hyperlink" Target="https://dlib.eastview.com/browse/doc/14690844" TargetMode="External"/><Relationship Id="rId57" Type="http://schemas.openxmlformats.org/officeDocument/2006/relationships/hyperlink" Target="https://www.nationalguard.mil/News/Article/575366/us-china-conduct-disaster-management-exchange/" TargetMode="External"/><Relationship Id="rId262" Type="http://schemas.openxmlformats.org/officeDocument/2006/relationships/hyperlink" Target="http://eng.chinamil.com.cn/view/2018-10/22/content_9319771.htm" TargetMode="External"/><Relationship Id="rId318" Type="http://schemas.openxmlformats.org/officeDocument/2006/relationships/hyperlink" Target="http://www.81.cn/jwywpd/2021-09/28/content_10094486.htm" TargetMode="External"/><Relationship Id="rId99" Type="http://schemas.openxmlformats.org/officeDocument/2006/relationships/hyperlink" Target="http://eng.mod.gov.cn/DefenseNews/2017-03/28/content_4776738.htm" TargetMode="External"/><Relationship Id="rId122" Type="http://schemas.openxmlformats.org/officeDocument/2006/relationships/hyperlink" Target="https://www.navy.mil/submit/display.asp?story_id=100979" TargetMode="External"/><Relationship Id="rId164" Type="http://schemas.openxmlformats.org/officeDocument/2006/relationships/hyperlink" Target="http://english.chinamil.com.cn/view/2017-09/25/content_7768600.htm" TargetMode="External"/><Relationship Id="rId371" Type="http://schemas.openxmlformats.org/officeDocument/2006/relationships/hyperlink" Target="http://www.mod.gov.cn/gfbw/jswj/lf/16263539.html" TargetMode="External"/><Relationship Id="rId26" Type="http://schemas.openxmlformats.org/officeDocument/2006/relationships/hyperlink" Target="https://dlib-eastview-com.ezproxy.princeton.edu/browse/doc/14711783" TargetMode="External"/><Relationship Id="rId231" Type="http://schemas.openxmlformats.org/officeDocument/2006/relationships/hyperlink" Target="http://english.chinamil.com.cn/view/2018-06/12/content_8058599.htm" TargetMode="External"/><Relationship Id="rId273" Type="http://schemas.openxmlformats.org/officeDocument/2006/relationships/hyperlink" Target="http://www.xinhuanet.com/english/2018-11/15/c_137609320.htm" TargetMode="External"/><Relationship Id="rId329" Type="http://schemas.openxmlformats.org/officeDocument/2006/relationships/hyperlink" Target="http://english.chinamil.com.cn/view/2022-08/16/content_10178641.htm" TargetMode="External"/><Relationship Id="rId68" Type="http://schemas.openxmlformats.org/officeDocument/2006/relationships/hyperlink" Target="https://sputniknews.com/military/20140402188995765-Komodo-2014-Naval-Exercises-Prove-Beneficial-for-Russia--Russian/" TargetMode="External"/><Relationship Id="rId133" Type="http://schemas.openxmlformats.org/officeDocument/2006/relationships/hyperlink" Target="http://english.chinamil.com.cn/view/2017-06/05/content_7628604.htm" TargetMode="External"/><Relationship Id="rId175" Type="http://schemas.openxmlformats.org/officeDocument/2006/relationships/hyperlink" Target="http://english.chinamil.com.cn/view/2017-10/06/content_7778058.htm" TargetMode="External"/><Relationship Id="rId340" Type="http://schemas.openxmlformats.org/officeDocument/2006/relationships/hyperlink" Target="http://eng.mod.gov.cn/news/2022-11/19/content_4926508.htm" TargetMode="External"/><Relationship Id="rId200" Type="http://schemas.openxmlformats.org/officeDocument/2006/relationships/hyperlink" Target="http://english.chinamil.com.cn/view/2018-01/17/content_7912398.htm" TargetMode="External"/><Relationship Id="rId382" Type="http://schemas.openxmlformats.org/officeDocument/2006/relationships/hyperlink" Target="http://eng.mod.gov.cn/xb/News_213114/TopStories/16322940.html;"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4"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1.xml"/><Relationship Id="rId2" Type="http://schemas.openxmlformats.org/officeDocument/2006/relationships/pivotTable" Target="../pivotTables/pivotTable20.xml"/><Relationship Id="rId1" Type="http://schemas.openxmlformats.org/officeDocument/2006/relationships/pivotTable" Target="../pivotTables/pivotTable19.xml"/><Relationship Id="rId4"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4"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4"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 Id="rId4"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3" Type="http://schemas.openxmlformats.org/officeDocument/2006/relationships/pivotTable" Target="../pivotTables/pivotTable33.xml"/><Relationship Id="rId2" Type="http://schemas.openxmlformats.org/officeDocument/2006/relationships/pivotTable" Target="../pivotTables/pivotTable32.xml"/><Relationship Id="rId1" Type="http://schemas.openxmlformats.org/officeDocument/2006/relationships/pivotTable" Target="../pivotTables/pivotTable31.xml"/><Relationship Id="rId4"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3" Type="http://schemas.openxmlformats.org/officeDocument/2006/relationships/pivotTable" Target="../pivotTables/pivotTable36.xml"/><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9.xml"/><Relationship Id="rId2" Type="http://schemas.openxmlformats.org/officeDocument/2006/relationships/pivotTable" Target="../pivotTables/pivotTable38.xml"/><Relationship Id="rId1" Type="http://schemas.openxmlformats.org/officeDocument/2006/relationships/pivotTable" Target="../pivotTables/pivotTable37.xml"/><Relationship Id="rId4"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42.xml"/><Relationship Id="rId2" Type="http://schemas.openxmlformats.org/officeDocument/2006/relationships/pivotTable" Target="../pivotTables/pivotTable41.xml"/><Relationship Id="rId1" Type="http://schemas.openxmlformats.org/officeDocument/2006/relationships/pivotTable" Target="../pivotTables/pivotTable40.xml"/><Relationship Id="rId4"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3" Type="http://schemas.openxmlformats.org/officeDocument/2006/relationships/pivotTable" Target="../pivotTables/pivotTable45.xml"/><Relationship Id="rId2" Type="http://schemas.openxmlformats.org/officeDocument/2006/relationships/pivotTable" Target="../pivotTables/pivotTable44.xml"/><Relationship Id="rId1" Type="http://schemas.openxmlformats.org/officeDocument/2006/relationships/pivotTable" Target="../pivotTables/pivotTable43.xml"/><Relationship Id="rId4"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2" Type="http://schemas.openxmlformats.org/officeDocument/2006/relationships/hyperlink" Target="http://english.chinamil.com.cn/view/2018-01/17/content_7912398.htm" TargetMode="Externa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ivotTable" Target="../pivotTables/pivotTable48.xml"/><Relationship Id="rId2" Type="http://schemas.openxmlformats.org/officeDocument/2006/relationships/pivotTable" Target="../pivotTables/pivotTable47.xml"/><Relationship Id="rId1" Type="http://schemas.openxmlformats.org/officeDocument/2006/relationships/pivotTable" Target="../pivotTables/pivotTable46.xml"/><Relationship Id="rId4"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3" Type="http://schemas.openxmlformats.org/officeDocument/2006/relationships/pivotTable" Target="../pivotTables/pivotTable51.xml"/><Relationship Id="rId2" Type="http://schemas.openxmlformats.org/officeDocument/2006/relationships/pivotTable" Target="../pivotTables/pivotTable50.xml"/><Relationship Id="rId1" Type="http://schemas.openxmlformats.org/officeDocument/2006/relationships/pivotTable" Target="../pivotTables/pivotTable49.xml"/><Relationship Id="rId4"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3" Type="http://schemas.openxmlformats.org/officeDocument/2006/relationships/pivotTable" Target="../pivotTables/pivotTable54.xml"/><Relationship Id="rId2" Type="http://schemas.openxmlformats.org/officeDocument/2006/relationships/pivotTable" Target="../pivotTables/pivotTable53.xml"/><Relationship Id="rId1" Type="http://schemas.openxmlformats.org/officeDocument/2006/relationships/pivotTable" Target="../pivotTables/pivotTable52.xml"/><Relationship Id="rId4"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3" Type="http://schemas.openxmlformats.org/officeDocument/2006/relationships/pivotTable" Target="../pivotTables/pivotTable57.xml"/><Relationship Id="rId2" Type="http://schemas.openxmlformats.org/officeDocument/2006/relationships/pivotTable" Target="../pivotTables/pivotTable56.xml"/><Relationship Id="rId1" Type="http://schemas.openxmlformats.org/officeDocument/2006/relationships/pivotTable" Target="../pivotTables/pivotTable55.xml"/><Relationship Id="rId4"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3" Type="http://schemas.openxmlformats.org/officeDocument/2006/relationships/pivotTable" Target="../pivotTables/pivotTable60.xml"/><Relationship Id="rId2" Type="http://schemas.openxmlformats.org/officeDocument/2006/relationships/pivotTable" Target="../pivotTables/pivotTable59.xml"/><Relationship Id="rId1" Type="http://schemas.openxmlformats.org/officeDocument/2006/relationships/pivotTable" Target="../pivotTables/pivotTable58.xml"/><Relationship Id="rId4"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3" Type="http://schemas.openxmlformats.org/officeDocument/2006/relationships/pivotTable" Target="../pivotTables/pivotTable63.xml"/><Relationship Id="rId2" Type="http://schemas.openxmlformats.org/officeDocument/2006/relationships/pivotTable" Target="../pivotTables/pivotTable62.xml"/><Relationship Id="rId1" Type="http://schemas.openxmlformats.org/officeDocument/2006/relationships/pivotTable" Target="../pivotTables/pivotTable61.xml"/><Relationship Id="rId4"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3" Type="http://schemas.openxmlformats.org/officeDocument/2006/relationships/pivotTable" Target="../pivotTables/pivotTable66.xml"/><Relationship Id="rId2" Type="http://schemas.openxmlformats.org/officeDocument/2006/relationships/pivotTable" Target="../pivotTables/pivotTable65.xml"/><Relationship Id="rId1" Type="http://schemas.openxmlformats.org/officeDocument/2006/relationships/pivotTable" Target="../pivotTables/pivotTable64.xml"/><Relationship Id="rId4"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3" Type="http://schemas.openxmlformats.org/officeDocument/2006/relationships/pivotTable" Target="../pivotTables/pivotTable69.xml"/><Relationship Id="rId2" Type="http://schemas.openxmlformats.org/officeDocument/2006/relationships/pivotTable" Target="../pivotTables/pivotTable68.xml"/><Relationship Id="rId1" Type="http://schemas.openxmlformats.org/officeDocument/2006/relationships/pivotTable" Target="../pivotTables/pivotTable67.xml"/><Relationship Id="rId4" Type="http://schemas.openxmlformats.org/officeDocument/2006/relationships/drawing" Target="../drawings/drawing32.xml"/></Relationships>
</file>

<file path=xl/worksheets/_rels/sheet38.xml.rels><?xml version="1.0" encoding="UTF-8" standalone="yes"?>
<Relationships xmlns="http://schemas.openxmlformats.org/package/2006/relationships"><Relationship Id="rId3" Type="http://schemas.openxmlformats.org/officeDocument/2006/relationships/pivotTable" Target="../pivotTables/pivotTable72.xml"/><Relationship Id="rId2" Type="http://schemas.openxmlformats.org/officeDocument/2006/relationships/pivotTable" Target="../pivotTables/pivotTable71.xml"/><Relationship Id="rId1" Type="http://schemas.openxmlformats.org/officeDocument/2006/relationships/pivotTable" Target="../pivotTables/pivotTable70.xml"/><Relationship Id="rId4" Type="http://schemas.openxmlformats.org/officeDocument/2006/relationships/drawing" Target="../drawings/drawing33.xml"/></Relationships>
</file>

<file path=xl/worksheets/_rels/sheet39.xml.rels><?xml version="1.0" encoding="UTF-8" standalone="yes"?>
<Relationships xmlns="http://schemas.openxmlformats.org/package/2006/relationships"><Relationship Id="rId3" Type="http://schemas.openxmlformats.org/officeDocument/2006/relationships/pivotTable" Target="../pivotTables/pivotTable75.xml"/><Relationship Id="rId2" Type="http://schemas.openxmlformats.org/officeDocument/2006/relationships/pivotTable" Target="../pivotTables/pivotTable74.xml"/><Relationship Id="rId1" Type="http://schemas.openxmlformats.org/officeDocument/2006/relationships/pivotTable" Target="../pivotTables/pivotTable73.xml"/><Relationship Id="rId5" Type="http://schemas.openxmlformats.org/officeDocument/2006/relationships/drawing" Target="../drawings/drawing34.xml"/><Relationship Id="rId4" Type="http://schemas.openxmlformats.org/officeDocument/2006/relationships/pivotTable" Target="../pivotTables/pivotTable76.xml"/></Relationships>
</file>

<file path=xl/worksheets/_rels/sheet40.xml.rels><?xml version="1.0" encoding="UTF-8" standalone="yes"?>
<Relationships xmlns="http://schemas.openxmlformats.org/package/2006/relationships"><Relationship Id="rId3" Type="http://schemas.openxmlformats.org/officeDocument/2006/relationships/pivotTable" Target="../pivotTables/pivotTable79.xml"/><Relationship Id="rId2" Type="http://schemas.openxmlformats.org/officeDocument/2006/relationships/pivotTable" Target="../pivotTables/pivotTable78.xml"/><Relationship Id="rId1" Type="http://schemas.openxmlformats.org/officeDocument/2006/relationships/pivotTable" Target="../pivotTables/pivotTable77.xml"/><Relationship Id="rId4" Type="http://schemas.openxmlformats.org/officeDocument/2006/relationships/drawing" Target="../drawings/drawing35.xml"/></Relationships>
</file>

<file path=xl/worksheets/_rels/sheet41.xml.rels><?xml version="1.0" encoding="UTF-8" standalone="yes"?>
<Relationships xmlns="http://schemas.openxmlformats.org/package/2006/relationships"><Relationship Id="rId3" Type="http://schemas.openxmlformats.org/officeDocument/2006/relationships/pivotTable" Target="../pivotTables/pivotTable82.xml"/><Relationship Id="rId2" Type="http://schemas.openxmlformats.org/officeDocument/2006/relationships/pivotTable" Target="../pivotTables/pivotTable81.xml"/><Relationship Id="rId1" Type="http://schemas.openxmlformats.org/officeDocument/2006/relationships/pivotTable" Target="../pivotTables/pivotTable80.xml"/><Relationship Id="rId5" Type="http://schemas.openxmlformats.org/officeDocument/2006/relationships/drawing" Target="../drawings/drawing36.xml"/><Relationship Id="rId4" Type="http://schemas.openxmlformats.org/officeDocument/2006/relationships/pivotTable" Target="../pivotTables/pivotTable83.xml"/></Relationships>
</file>

<file path=xl/worksheets/_rels/sheet42.xml.rels><?xml version="1.0" encoding="UTF-8" standalone="yes"?>
<Relationships xmlns="http://schemas.openxmlformats.org/package/2006/relationships"><Relationship Id="rId3" Type="http://schemas.openxmlformats.org/officeDocument/2006/relationships/pivotTable" Target="../pivotTables/pivotTable86.xml"/><Relationship Id="rId2" Type="http://schemas.openxmlformats.org/officeDocument/2006/relationships/pivotTable" Target="../pivotTables/pivotTable85.xml"/><Relationship Id="rId1" Type="http://schemas.openxmlformats.org/officeDocument/2006/relationships/pivotTable" Target="../pivotTables/pivotTable84.xml"/><Relationship Id="rId4" Type="http://schemas.openxmlformats.org/officeDocument/2006/relationships/drawing" Target="../drawings/drawing37.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ivotTable" Target="../pivotTables/pivotTable88.xml"/><Relationship Id="rId1" Type="http://schemas.openxmlformats.org/officeDocument/2006/relationships/pivotTable" Target="../pivotTables/pivotTable87.xml"/></Relationships>
</file>

<file path=xl/worksheets/_rels/sheet44.xml.rels><?xml version="1.0" encoding="UTF-8" standalone="yes"?>
<Relationships xmlns="http://schemas.openxmlformats.org/package/2006/relationships"><Relationship Id="rId3" Type="http://schemas.openxmlformats.org/officeDocument/2006/relationships/pivotTable" Target="../pivotTables/pivotTable91.xml"/><Relationship Id="rId2" Type="http://schemas.openxmlformats.org/officeDocument/2006/relationships/pivotTable" Target="../pivotTables/pivotTable90.xml"/><Relationship Id="rId1" Type="http://schemas.openxmlformats.org/officeDocument/2006/relationships/pivotTable" Target="../pivotTables/pivotTable89.xml"/><Relationship Id="rId4" Type="http://schemas.openxmlformats.org/officeDocument/2006/relationships/drawing" Target="../drawings/drawing39.xml"/></Relationships>
</file>

<file path=xl/worksheets/_rels/sheet45.xml.rels><?xml version="1.0" encoding="UTF-8" standalone="yes"?>
<Relationships xmlns="http://schemas.openxmlformats.org/package/2006/relationships"><Relationship Id="rId3" Type="http://schemas.openxmlformats.org/officeDocument/2006/relationships/pivotTable" Target="../pivotTables/pivotTable94.xml"/><Relationship Id="rId2" Type="http://schemas.openxmlformats.org/officeDocument/2006/relationships/pivotTable" Target="../pivotTables/pivotTable93.xml"/><Relationship Id="rId1" Type="http://schemas.openxmlformats.org/officeDocument/2006/relationships/pivotTable" Target="../pivotTables/pivotTable92.xml"/><Relationship Id="rId6" Type="http://schemas.openxmlformats.org/officeDocument/2006/relationships/table" Target="../tables/table6.xml"/><Relationship Id="rId5" Type="http://schemas.openxmlformats.org/officeDocument/2006/relationships/drawing" Target="../drawings/drawing40.xml"/><Relationship Id="rId4" Type="http://schemas.openxmlformats.org/officeDocument/2006/relationships/pivotTable" Target="../pivotTables/pivotTable95.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ivotTable" Target="../pivotTables/pivotTable9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8.xml.rels><?xml version="1.0" encoding="UTF-8" standalone="yes"?>
<Relationships xmlns="http://schemas.openxmlformats.org/package/2006/relationships"><Relationship Id="rId3" Type="http://schemas.openxmlformats.org/officeDocument/2006/relationships/pivotTable" Target="../pivotTables/pivotTable99.xml"/><Relationship Id="rId7" Type="http://schemas.openxmlformats.org/officeDocument/2006/relationships/table" Target="../tables/table8.xml"/><Relationship Id="rId2" Type="http://schemas.openxmlformats.org/officeDocument/2006/relationships/pivotTable" Target="../pivotTables/pivotTable98.xml"/><Relationship Id="rId1" Type="http://schemas.openxmlformats.org/officeDocument/2006/relationships/pivotTable" Target="../pivotTables/pivotTable97.xml"/><Relationship Id="rId6" Type="http://schemas.openxmlformats.org/officeDocument/2006/relationships/table" Target="../tables/table7.xml"/><Relationship Id="rId5" Type="http://schemas.openxmlformats.org/officeDocument/2006/relationships/drawing" Target="../drawings/drawing43.xml"/><Relationship Id="rId4" Type="http://schemas.openxmlformats.org/officeDocument/2006/relationships/pivotTable" Target="../pivotTables/pivotTable100.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ivotTable" Target="../pivotTables/pivotTable10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Excel_Worksheet.xlsx"/></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ivotTable" Target="../pivotTables/pivotTable102.xml"/></Relationships>
</file>

<file path=xl/worksheets/_rels/sheet51.xml.rels><?xml version="1.0" encoding="UTF-8" standalone="yes"?>
<Relationships xmlns="http://schemas.openxmlformats.org/package/2006/relationships"><Relationship Id="rId2" Type="http://schemas.openxmlformats.org/officeDocument/2006/relationships/pivotTable" Target="../pivotTables/pivotTable104.xml"/><Relationship Id="rId1" Type="http://schemas.openxmlformats.org/officeDocument/2006/relationships/pivotTable" Target="../pivotTables/pivotTable103.xml"/></Relationships>
</file>

<file path=xl/worksheets/_rels/sheet53.xml.rels><?xml version="1.0" encoding="UTF-8" standalone="yes"?>
<Relationships xmlns="http://schemas.openxmlformats.org/package/2006/relationships"><Relationship Id="rId3" Type="http://schemas.openxmlformats.org/officeDocument/2006/relationships/pivotTable" Target="../pivotTables/pivotTable107.xml"/><Relationship Id="rId2" Type="http://schemas.openxmlformats.org/officeDocument/2006/relationships/pivotTable" Target="../pivotTables/pivotTable106.xml"/><Relationship Id="rId1" Type="http://schemas.openxmlformats.org/officeDocument/2006/relationships/pivotTable" Target="../pivotTables/pivotTable105.xml"/></Relationships>
</file>

<file path=xl/worksheets/_rels/sheet55.xml.rels><?xml version="1.0" encoding="UTF-8" standalone="yes"?>
<Relationships xmlns="http://schemas.openxmlformats.org/package/2006/relationships"><Relationship Id="rId2" Type="http://schemas.openxmlformats.org/officeDocument/2006/relationships/pivotTable" Target="../pivotTables/pivotTable109.xml"/><Relationship Id="rId1" Type="http://schemas.openxmlformats.org/officeDocument/2006/relationships/pivotTable" Target="../pivotTables/pivotTable108.xml"/></Relationships>
</file>

<file path=xl/worksheets/_rels/sheet56.xml.rels><?xml version="1.0" encoding="UTF-8" standalone="yes"?>
<Relationships xmlns="http://schemas.openxmlformats.org/package/2006/relationships"><Relationship Id="rId2" Type="http://schemas.openxmlformats.org/officeDocument/2006/relationships/pivotTable" Target="../pivotTables/pivotTable111.xml"/><Relationship Id="rId1" Type="http://schemas.openxmlformats.org/officeDocument/2006/relationships/pivotTable" Target="../pivotTables/pivotTable110.xml"/></Relationships>
</file>

<file path=xl/worksheets/_rels/sheet57.xml.rels><?xml version="1.0" encoding="UTF-8" standalone="yes"?>
<Relationships xmlns="http://schemas.openxmlformats.org/package/2006/relationships"><Relationship Id="rId3" Type="http://schemas.openxmlformats.org/officeDocument/2006/relationships/pivotTable" Target="../pivotTables/pivotTable114.xml"/><Relationship Id="rId2" Type="http://schemas.openxmlformats.org/officeDocument/2006/relationships/pivotTable" Target="../pivotTables/pivotTable113.xml"/><Relationship Id="rId1" Type="http://schemas.openxmlformats.org/officeDocument/2006/relationships/pivotTable" Target="../pivotTables/pivotTable112.xml"/></Relationships>
</file>

<file path=xl/worksheets/_rels/sheet58.xml.rels><?xml version="1.0" encoding="UTF-8" standalone="yes"?>
<Relationships xmlns="http://schemas.openxmlformats.org/package/2006/relationships"><Relationship Id="rId8" Type="http://schemas.openxmlformats.org/officeDocument/2006/relationships/pivotTable" Target="../pivotTables/pivotTable122.xml"/><Relationship Id="rId13" Type="http://schemas.openxmlformats.org/officeDocument/2006/relationships/pivotTable" Target="../pivotTables/pivotTable127.xml"/><Relationship Id="rId18" Type="http://schemas.openxmlformats.org/officeDocument/2006/relationships/pivotTable" Target="../pivotTables/pivotTable132.xml"/><Relationship Id="rId3" Type="http://schemas.openxmlformats.org/officeDocument/2006/relationships/pivotTable" Target="../pivotTables/pivotTable117.xml"/><Relationship Id="rId21" Type="http://schemas.openxmlformats.org/officeDocument/2006/relationships/pivotTable" Target="../pivotTables/pivotTable135.xml"/><Relationship Id="rId7" Type="http://schemas.openxmlformats.org/officeDocument/2006/relationships/pivotTable" Target="../pivotTables/pivotTable121.xml"/><Relationship Id="rId12" Type="http://schemas.openxmlformats.org/officeDocument/2006/relationships/pivotTable" Target="../pivotTables/pivotTable126.xml"/><Relationship Id="rId17" Type="http://schemas.openxmlformats.org/officeDocument/2006/relationships/pivotTable" Target="../pivotTables/pivotTable131.xml"/><Relationship Id="rId2" Type="http://schemas.openxmlformats.org/officeDocument/2006/relationships/pivotTable" Target="../pivotTables/pivotTable116.xml"/><Relationship Id="rId16" Type="http://schemas.openxmlformats.org/officeDocument/2006/relationships/pivotTable" Target="../pivotTables/pivotTable130.xml"/><Relationship Id="rId20" Type="http://schemas.openxmlformats.org/officeDocument/2006/relationships/pivotTable" Target="../pivotTables/pivotTable134.xml"/><Relationship Id="rId1" Type="http://schemas.openxmlformats.org/officeDocument/2006/relationships/pivotTable" Target="../pivotTables/pivotTable115.xml"/><Relationship Id="rId6" Type="http://schemas.openxmlformats.org/officeDocument/2006/relationships/pivotTable" Target="../pivotTables/pivotTable120.xml"/><Relationship Id="rId11" Type="http://schemas.openxmlformats.org/officeDocument/2006/relationships/pivotTable" Target="../pivotTables/pivotTable125.xml"/><Relationship Id="rId24" Type="http://schemas.openxmlformats.org/officeDocument/2006/relationships/drawing" Target="../drawings/drawing46.xml"/><Relationship Id="rId5" Type="http://schemas.openxmlformats.org/officeDocument/2006/relationships/pivotTable" Target="../pivotTables/pivotTable119.xml"/><Relationship Id="rId15" Type="http://schemas.openxmlformats.org/officeDocument/2006/relationships/pivotTable" Target="../pivotTables/pivotTable129.xml"/><Relationship Id="rId23" Type="http://schemas.openxmlformats.org/officeDocument/2006/relationships/pivotTable" Target="../pivotTables/pivotTable137.xml"/><Relationship Id="rId10" Type="http://schemas.openxmlformats.org/officeDocument/2006/relationships/pivotTable" Target="../pivotTables/pivotTable124.xml"/><Relationship Id="rId19" Type="http://schemas.openxmlformats.org/officeDocument/2006/relationships/pivotTable" Target="../pivotTables/pivotTable133.xml"/><Relationship Id="rId4" Type="http://schemas.openxmlformats.org/officeDocument/2006/relationships/pivotTable" Target="../pivotTables/pivotTable118.xml"/><Relationship Id="rId9" Type="http://schemas.openxmlformats.org/officeDocument/2006/relationships/pivotTable" Target="../pivotTables/pivotTable123.xml"/><Relationship Id="rId14" Type="http://schemas.openxmlformats.org/officeDocument/2006/relationships/pivotTable" Target="../pivotTables/pivotTable128.xml"/><Relationship Id="rId22" Type="http://schemas.openxmlformats.org/officeDocument/2006/relationships/pivotTable" Target="../pivotTables/pivotTable136.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ivotTable" Target="../pivotTables/pivotTable138.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ivotTable" Target="../pivotTables/pivotTable139.xml"/></Relationships>
</file>

<file path=xl/worksheets/_rels/sheet61.xml.rels><?xml version="1.0" encoding="UTF-8" standalone="yes"?>
<Relationships xmlns="http://schemas.openxmlformats.org/package/2006/relationships"><Relationship Id="rId3" Type="http://schemas.openxmlformats.org/officeDocument/2006/relationships/pivotTable" Target="../pivotTables/pivotTable142.xml"/><Relationship Id="rId2" Type="http://schemas.openxmlformats.org/officeDocument/2006/relationships/pivotTable" Target="../pivotTables/pivotTable141.xml"/><Relationship Id="rId1" Type="http://schemas.openxmlformats.org/officeDocument/2006/relationships/pivotTable" Target="../pivotTables/pivotTable140.xml"/><Relationship Id="rId5" Type="http://schemas.openxmlformats.org/officeDocument/2006/relationships/table" Target="../tables/table9.xml"/><Relationship Id="rId4" Type="http://schemas.openxmlformats.org/officeDocument/2006/relationships/drawing" Target="../drawings/drawing49.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ivotTable" Target="../pivotTables/pivotTable143.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ivotTable" Target="../pivotTables/pivotTable14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B43"/>
  <sheetViews>
    <sheetView workbookViewId="0">
      <selection activeCell="B2" sqref="B2"/>
    </sheetView>
  </sheetViews>
  <sheetFormatPr defaultColWidth="14.42578125" defaultRowHeight="15" customHeight="1" x14ac:dyDescent="0.25"/>
  <cols>
    <col min="1" max="26" width="8.7109375" customWidth="1"/>
  </cols>
  <sheetData>
    <row r="43" spans="2:2" ht="15.75" customHeight="1" x14ac:dyDescent="0.25">
      <c r="B43" s="1" t="s">
        <v>0</v>
      </c>
    </row>
  </sheetData>
  <pageMargins left="0.7" right="0.7" top="0.75" bottom="0.75" header="0" footer="0"/>
  <pageSetup orientation="portrait" r:id="rId1"/>
  <drawing r:id="rId2"/>
  <legacyDrawing r:id="rId3"/>
  <oleObjects>
    <mc:AlternateContent xmlns:mc="http://schemas.openxmlformats.org/markup-compatibility/2006">
      <mc:Choice Requires="x14">
        <oleObject progId="Document" shapeId="1037" r:id="rId4">
          <objectPr defaultSize="0" r:id="rId5">
            <anchor moveWithCells="1">
              <from>
                <xdr:col>1</xdr:col>
                <xdr:colOff>0</xdr:colOff>
                <xdr:row>1</xdr:row>
                <xdr:rowOff>0</xdr:rowOff>
              </from>
              <to>
                <xdr:col>11</xdr:col>
                <xdr:colOff>123825</xdr:colOff>
                <xdr:row>43</xdr:row>
                <xdr:rowOff>57150</xdr:rowOff>
              </to>
            </anchor>
          </objectPr>
        </oleObject>
      </mc:Choice>
      <mc:Fallback>
        <oleObject progId="Document" shapeId="103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E18"/>
  <sheetViews>
    <sheetView workbookViewId="0">
      <selection activeCell="E18" sqref="E18"/>
    </sheetView>
  </sheetViews>
  <sheetFormatPr defaultColWidth="14.42578125" defaultRowHeight="15" customHeight="1" x14ac:dyDescent="0.25"/>
  <cols>
    <col min="1" max="1" width="16.28515625" customWidth="1"/>
    <col min="2" max="2" width="16.7109375" customWidth="1"/>
    <col min="3" max="3" width="13.28515625" customWidth="1"/>
    <col min="4" max="4" width="15" customWidth="1"/>
    <col min="5" max="5" width="10.7109375" customWidth="1"/>
    <col min="6" max="6" width="13" customWidth="1"/>
    <col min="7" max="7" width="6" customWidth="1"/>
    <col min="8" max="26" width="11.42578125" customWidth="1"/>
  </cols>
  <sheetData>
    <row r="1" spans="1:5" ht="15.75" customHeight="1" x14ac:dyDescent="0.25">
      <c r="A1" s="12" t="s">
        <v>3618</v>
      </c>
    </row>
    <row r="2" spans="1:5" ht="15.75" customHeight="1" x14ac:dyDescent="0.25">
      <c r="A2" s="6" t="s">
        <v>3719</v>
      </c>
    </row>
    <row r="3" spans="1:5" ht="15.75" customHeight="1" x14ac:dyDescent="0.25"/>
    <row r="4" spans="1:5" ht="15.75" customHeight="1" x14ac:dyDescent="0.25"/>
    <row r="5" spans="1:5" ht="15.75" customHeight="1" x14ac:dyDescent="0.25">
      <c r="A5" s="3" t="s">
        <v>8</v>
      </c>
      <c r="B5" s="2" t="s">
        <v>2817</v>
      </c>
    </row>
    <row r="7" spans="1:5" ht="15.75" customHeight="1" x14ac:dyDescent="0.25">
      <c r="A7" s="3" t="s">
        <v>2819</v>
      </c>
      <c r="B7" s="3" t="s">
        <v>2820</v>
      </c>
    </row>
    <row r="8" spans="1:5" ht="15.75" customHeight="1" x14ac:dyDescent="0.25">
      <c r="A8" s="3" t="s">
        <v>2821</v>
      </c>
      <c r="B8" s="2" t="s">
        <v>307</v>
      </c>
      <c r="C8" s="2" t="s">
        <v>26</v>
      </c>
      <c r="D8" s="2" t="s">
        <v>76</v>
      </c>
      <c r="E8" s="2" t="s">
        <v>2779</v>
      </c>
    </row>
    <row r="9" spans="1:5" ht="15.75" customHeight="1" x14ac:dyDescent="0.25">
      <c r="A9" s="6" t="str" cm="1">
        <f t="array" ref="A9:E18">'CCMD Table 3 Pivot Table'!$A7:$E16</f>
        <v>Russia</v>
      </c>
      <c r="B9" s="2">
        <v>59</v>
      </c>
      <c r="C9" s="2">
        <v>5</v>
      </c>
      <c r="D9" s="2">
        <v>97</v>
      </c>
      <c r="E9" s="2">
        <v>161</v>
      </c>
    </row>
    <row r="10" spans="1:5" ht="15.75" customHeight="1" x14ac:dyDescent="0.25">
      <c r="A10" s="6" t="str">
        <v>Pakistan</v>
      </c>
      <c r="B10" s="2">
        <v>48</v>
      </c>
      <c r="C10" s="2">
        <v>11</v>
      </c>
      <c r="D10" s="2">
        <v>85</v>
      </c>
      <c r="E10" s="2">
        <v>144</v>
      </c>
    </row>
    <row r="11" spans="1:5" ht="15.75" customHeight="1" x14ac:dyDescent="0.25">
      <c r="A11" s="6" t="str">
        <v>United States</v>
      </c>
      <c r="B11" s="2">
        <v>18</v>
      </c>
      <c r="C11" s="2">
        <v>7</v>
      </c>
      <c r="D11" s="2">
        <v>114</v>
      </c>
      <c r="E11" s="2">
        <v>139</v>
      </c>
    </row>
    <row r="12" spans="1:5" ht="15.75" customHeight="1" x14ac:dyDescent="0.25">
      <c r="A12" s="6" t="str">
        <v>Thailand</v>
      </c>
      <c r="B12" s="2">
        <v>32</v>
      </c>
      <c r="C12" s="2">
        <v>11</v>
      </c>
      <c r="D12" s="2">
        <v>62</v>
      </c>
      <c r="E12" s="2">
        <v>105</v>
      </c>
    </row>
    <row r="13" spans="1:5" ht="15.75" customHeight="1" x14ac:dyDescent="0.25">
      <c r="A13" s="6" t="str">
        <v>Singapore</v>
      </c>
      <c r="B13" s="2">
        <v>13</v>
      </c>
      <c r="C13" s="2">
        <v>13</v>
      </c>
      <c r="D13" s="2">
        <v>59</v>
      </c>
      <c r="E13" s="2">
        <v>85</v>
      </c>
    </row>
    <row r="14" spans="1:5" ht="15.75" customHeight="1" x14ac:dyDescent="0.25">
      <c r="A14" s="6" t="str">
        <v>Australia</v>
      </c>
      <c r="B14" s="2">
        <v>23</v>
      </c>
      <c r="C14" s="2">
        <v>10</v>
      </c>
      <c r="D14" s="2">
        <v>50</v>
      </c>
      <c r="E14" s="2">
        <v>83</v>
      </c>
    </row>
    <row r="15" spans="1:5" ht="15.75" customHeight="1" x14ac:dyDescent="0.25">
      <c r="A15" s="6" t="str">
        <v>Vietnam</v>
      </c>
      <c r="B15" s="2">
        <v>3</v>
      </c>
      <c r="C15" s="2">
        <v>9</v>
      </c>
      <c r="D15" s="2">
        <v>64</v>
      </c>
      <c r="E15" s="2">
        <v>76</v>
      </c>
    </row>
    <row r="16" spans="1:5" ht="15.75" customHeight="1" x14ac:dyDescent="0.25">
      <c r="A16" s="6" t="str">
        <v>Indonesia</v>
      </c>
      <c r="B16" s="2">
        <v>12</v>
      </c>
      <c r="C16" s="2">
        <v>11</v>
      </c>
      <c r="D16" s="2">
        <v>40</v>
      </c>
      <c r="E16" s="2">
        <v>63</v>
      </c>
    </row>
    <row r="17" spans="1:5" ht="15.75" customHeight="1" x14ac:dyDescent="0.25">
      <c r="A17" s="6" t="str">
        <v>Cambodia</v>
      </c>
      <c r="B17" s="2">
        <v>7</v>
      </c>
      <c r="C17" s="2">
        <v>6</v>
      </c>
      <c r="D17" s="2">
        <v>44</v>
      </c>
      <c r="E17" s="2">
        <v>57</v>
      </c>
    </row>
    <row r="18" spans="1:5" ht="15.75" customHeight="1" x14ac:dyDescent="0.25">
      <c r="A18" s="6" t="str">
        <v>New Zealand</v>
      </c>
      <c r="B18" s="2">
        <v>4</v>
      </c>
      <c r="C18" s="2">
        <v>8</v>
      </c>
      <c r="D18" s="2">
        <v>45</v>
      </c>
      <c r="E18" s="2">
        <v>57</v>
      </c>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88"/>
  <sheetViews>
    <sheetView topLeftCell="A56" workbookViewId="0">
      <selection activeCell="M8" sqref="M8:W9"/>
    </sheetView>
  </sheetViews>
  <sheetFormatPr defaultColWidth="14.42578125" defaultRowHeight="15" customHeight="1" x14ac:dyDescent="0.25"/>
  <cols>
    <col min="1" max="1" width="23.42578125" customWidth="1"/>
    <col min="2" max="2" width="15.42578125" customWidth="1"/>
    <col min="3" max="24" width="5" customWidth="1"/>
    <col min="25" max="26" width="8.7109375" customWidth="1"/>
  </cols>
  <sheetData>
    <row r="1" spans="1:17" hidden="1" x14ac:dyDescent="0.25">
      <c r="A1" s="2" t="s">
        <v>2822</v>
      </c>
    </row>
    <row r="2" spans="1:17" hidden="1" x14ac:dyDescent="0.25">
      <c r="A2" s="3" t="s">
        <v>2818</v>
      </c>
      <c r="B2" s="2" t="s">
        <v>31</v>
      </c>
    </row>
    <row r="3" spans="1:17" hidden="1" x14ac:dyDescent="0.25"/>
    <row r="4" spans="1:17" hidden="1" x14ac:dyDescent="0.25">
      <c r="A4" s="3" t="s">
        <v>2778</v>
      </c>
      <c r="B4" s="3" t="s">
        <v>2820</v>
      </c>
    </row>
    <row r="5" spans="1:17" hidden="1" x14ac:dyDescent="0.25">
      <c r="A5" s="3" t="s">
        <v>2821</v>
      </c>
      <c r="B5" s="2">
        <v>2003</v>
      </c>
      <c r="C5" s="2">
        <v>2004</v>
      </c>
      <c r="D5" s="2">
        <v>2005</v>
      </c>
      <c r="E5" s="2">
        <v>2006</v>
      </c>
      <c r="F5" s="2">
        <v>2007</v>
      </c>
      <c r="G5" s="2">
        <v>2008</v>
      </c>
      <c r="H5" s="2">
        <v>2009</v>
      </c>
      <c r="I5" s="2">
        <v>2010</v>
      </c>
      <c r="J5" s="2">
        <v>2011</v>
      </c>
      <c r="K5" s="2">
        <v>2012</v>
      </c>
      <c r="L5" s="2">
        <v>2013</v>
      </c>
      <c r="M5" s="2">
        <v>2014</v>
      </c>
      <c r="N5" s="2">
        <v>2015</v>
      </c>
      <c r="O5" s="2">
        <v>2016</v>
      </c>
      <c r="P5" s="2">
        <v>2017</v>
      </c>
      <c r="Q5" s="2">
        <v>2018</v>
      </c>
    </row>
    <row r="6" spans="1:17" hidden="1" x14ac:dyDescent="0.25">
      <c r="A6" s="6" t="s">
        <v>307</v>
      </c>
      <c r="B6" s="2">
        <v>1</v>
      </c>
      <c r="C6" s="2">
        <v>1</v>
      </c>
      <c r="D6" s="2">
        <v>2</v>
      </c>
      <c r="F6" s="2">
        <v>3</v>
      </c>
      <c r="G6" s="2">
        <v>2</v>
      </c>
      <c r="H6" s="2">
        <v>2</v>
      </c>
      <c r="I6" s="2">
        <v>4</v>
      </c>
      <c r="J6" s="2">
        <v>2</v>
      </c>
      <c r="K6" s="2">
        <v>4</v>
      </c>
      <c r="L6" s="2">
        <v>5</v>
      </c>
      <c r="M6" s="2">
        <v>11</v>
      </c>
      <c r="N6" s="2">
        <v>18</v>
      </c>
      <c r="O6" s="2">
        <v>18</v>
      </c>
      <c r="P6" s="2">
        <v>24</v>
      </c>
      <c r="Q6" s="2">
        <v>18</v>
      </c>
    </row>
    <row r="7" spans="1:17" hidden="1" x14ac:dyDescent="0.25">
      <c r="A7" s="6" t="s">
        <v>26</v>
      </c>
      <c r="B7" s="2">
        <v>3</v>
      </c>
      <c r="C7" s="2">
        <v>1</v>
      </c>
      <c r="D7" s="2">
        <v>2</v>
      </c>
      <c r="E7" s="2">
        <v>1</v>
      </c>
      <c r="F7" s="2">
        <v>2</v>
      </c>
      <c r="G7" s="2">
        <v>1</v>
      </c>
      <c r="H7" s="2">
        <v>7</v>
      </c>
      <c r="I7" s="2">
        <v>7</v>
      </c>
      <c r="J7" s="2">
        <v>2</v>
      </c>
      <c r="K7" s="2">
        <v>2</v>
      </c>
      <c r="L7" s="2">
        <v>19</v>
      </c>
      <c r="M7" s="2">
        <v>15</v>
      </c>
      <c r="N7" s="2">
        <v>3</v>
      </c>
      <c r="O7" s="2">
        <v>16</v>
      </c>
      <c r="P7" s="2">
        <v>17</v>
      </c>
      <c r="Q7" s="2">
        <v>7</v>
      </c>
    </row>
    <row r="8" spans="1:17" hidden="1" x14ac:dyDescent="0.25">
      <c r="A8" s="6" t="s">
        <v>76</v>
      </c>
      <c r="B8" s="2">
        <v>25</v>
      </c>
      <c r="C8" s="2">
        <v>34</v>
      </c>
      <c r="D8" s="2">
        <v>25</v>
      </c>
      <c r="E8" s="2">
        <v>35</v>
      </c>
      <c r="F8" s="2">
        <v>44</v>
      </c>
      <c r="G8" s="2">
        <v>40</v>
      </c>
      <c r="H8" s="2">
        <v>49</v>
      </c>
      <c r="I8" s="2">
        <v>49</v>
      </c>
      <c r="J8" s="2">
        <v>44</v>
      </c>
      <c r="K8" s="2">
        <v>32</v>
      </c>
      <c r="L8" s="2">
        <v>44</v>
      </c>
      <c r="M8" s="2">
        <v>47</v>
      </c>
      <c r="N8" s="2">
        <v>52</v>
      </c>
      <c r="O8" s="2">
        <v>42</v>
      </c>
      <c r="P8" s="2">
        <v>33</v>
      </c>
      <c r="Q8" s="2">
        <v>48</v>
      </c>
    </row>
    <row r="27" spans="1:18" ht="15.75" hidden="1" customHeight="1" x14ac:dyDescent="0.25">
      <c r="A27" s="2" t="s">
        <v>2823</v>
      </c>
    </row>
    <row r="28" spans="1:18" ht="15.75" hidden="1" customHeight="1" x14ac:dyDescent="0.25"/>
    <row r="29" spans="1:18" ht="15.75" hidden="1" customHeight="1" x14ac:dyDescent="0.25">
      <c r="A29" s="3" t="s">
        <v>2818</v>
      </c>
      <c r="B29" s="2" t="s">
        <v>31</v>
      </c>
    </row>
    <row r="30" spans="1:18" ht="15.75" hidden="1" customHeight="1" x14ac:dyDescent="0.25"/>
    <row r="31" spans="1:18" ht="15.75" hidden="1" customHeight="1" x14ac:dyDescent="0.25">
      <c r="A31" s="3" t="s">
        <v>2778</v>
      </c>
      <c r="B31" s="3" t="s">
        <v>2820</v>
      </c>
    </row>
    <row r="32" spans="1:18" ht="15.75" hidden="1" customHeight="1" x14ac:dyDescent="0.25">
      <c r="A32" s="3" t="s">
        <v>2821</v>
      </c>
      <c r="B32" s="2">
        <v>2003</v>
      </c>
      <c r="C32" s="2">
        <v>2004</v>
      </c>
      <c r="D32" s="2">
        <v>2005</v>
      </c>
      <c r="E32" s="2">
        <v>2006</v>
      </c>
      <c r="F32" s="2">
        <v>2007</v>
      </c>
      <c r="G32" s="2">
        <v>2008</v>
      </c>
      <c r="H32" s="2">
        <v>2009</v>
      </c>
      <c r="I32" s="2">
        <v>2010</v>
      </c>
      <c r="J32" s="2">
        <v>2011</v>
      </c>
      <c r="K32" s="2">
        <v>2012</v>
      </c>
      <c r="L32" s="2">
        <v>2013</v>
      </c>
      <c r="M32" s="2">
        <v>2014</v>
      </c>
      <c r="N32" s="2">
        <v>2015</v>
      </c>
      <c r="O32" s="2">
        <v>2016</v>
      </c>
      <c r="P32" s="2">
        <v>2017</v>
      </c>
      <c r="Q32" s="2">
        <v>2018</v>
      </c>
      <c r="R32" s="2">
        <v>2019</v>
      </c>
    </row>
    <row r="33" spans="1:18" ht="15.75" hidden="1" customHeight="1" x14ac:dyDescent="0.25">
      <c r="A33" s="6" t="s">
        <v>307</v>
      </c>
      <c r="B33" s="2">
        <v>1</v>
      </c>
      <c r="C33" s="2">
        <v>1</v>
      </c>
      <c r="D33" s="2">
        <v>2</v>
      </c>
      <c r="F33" s="2">
        <v>3</v>
      </c>
      <c r="G33" s="2">
        <v>2</v>
      </c>
      <c r="H33" s="2">
        <v>2</v>
      </c>
      <c r="I33" s="2">
        <v>4</v>
      </c>
      <c r="J33" s="2">
        <v>2</v>
      </c>
      <c r="K33" s="2">
        <v>4</v>
      </c>
      <c r="L33" s="2">
        <v>5</v>
      </c>
      <c r="M33" s="2">
        <v>11</v>
      </c>
      <c r="N33" s="2">
        <v>18</v>
      </c>
      <c r="O33" s="2">
        <v>18</v>
      </c>
      <c r="P33" s="2">
        <v>24</v>
      </c>
      <c r="Q33" s="2">
        <v>18</v>
      </c>
      <c r="R33" s="2">
        <v>18</v>
      </c>
    </row>
    <row r="34" spans="1:18" ht="15.75" hidden="1" customHeight="1" x14ac:dyDescent="0.25">
      <c r="A34" s="6" t="s">
        <v>26</v>
      </c>
      <c r="B34" s="2">
        <v>3</v>
      </c>
      <c r="C34" s="2">
        <v>1</v>
      </c>
      <c r="D34" s="2">
        <v>2</v>
      </c>
      <c r="E34" s="2">
        <v>1</v>
      </c>
      <c r="F34" s="2">
        <v>2</v>
      </c>
      <c r="G34" s="2">
        <v>1</v>
      </c>
      <c r="H34" s="2">
        <v>7</v>
      </c>
      <c r="I34" s="2">
        <v>7</v>
      </c>
      <c r="J34" s="2">
        <v>2</v>
      </c>
      <c r="K34" s="2">
        <v>2</v>
      </c>
      <c r="L34" s="2">
        <v>19</v>
      </c>
      <c r="M34" s="2">
        <v>15</v>
      </c>
      <c r="N34" s="2">
        <v>3</v>
      </c>
      <c r="O34" s="2">
        <v>16</v>
      </c>
      <c r="P34" s="2">
        <v>17</v>
      </c>
      <c r="Q34" s="2">
        <v>7</v>
      </c>
      <c r="R34" s="2">
        <v>11</v>
      </c>
    </row>
    <row r="35" spans="1:18" ht="15.75" hidden="1" customHeight="1" x14ac:dyDescent="0.25">
      <c r="A35" s="6" t="s">
        <v>76</v>
      </c>
      <c r="B35" s="2">
        <v>25</v>
      </c>
      <c r="C35" s="2">
        <v>34</v>
      </c>
      <c r="D35" s="2">
        <v>25</v>
      </c>
      <c r="E35" s="2">
        <v>35</v>
      </c>
      <c r="F35" s="2">
        <v>44</v>
      </c>
      <c r="G35" s="2">
        <v>40</v>
      </c>
      <c r="H35" s="2">
        <v>49</v>
      </c>
      <c r="I35" s="2">
        <v>49</v>
      </c>
      <c r="J35" s="2">
        <v>44</v>
      </c>
      <c r="K35" s="2">
        <v>32</v>
      </c>
      <c r="L35" s="2">
        <v>44</v>
      </c>
      <c r="M35" s="2">
        <v>47</v>
      </c>
      <c r="N35" s="2">
        <v>52</v>
      </c>
      <c r="O35" s="2">
        <v>42</v>
      </c>
      <c r="P35" s="2">
        <v>33</v>
      </c>
      <c r="Q35" s="2">
        <v>48</v>
      </c>
      <c r="R35" s="2">
        <v>49</v>
      </c>
    </row>
    <row r="53" spans="1:25" ht="15.75" customHeight="1" x14ac:dyDescent="0.25">
      <c r="A53" s="12" t="s">
        <v>3192</v>
      </c>
    </row>
    <row r="54" spans="1:25" ht="15.75" customHeight="1" x14ac:dyDescent="0.25"/>
    <row r="55" spans="1:25" x14ac:dyDescent="0.25">
      <c r="A55" s="120" t="s">
        <v>6</v>
      </c>
      <c r="B55" s="119" t="s">
        <v>3183</v>
      </c>
    </row>
    <row r="56" spans="1:25" ht="15.75" customHeight="1" x14ac:dyDescent="0.25"/>
    <row r="57" spans="1:25" ht="15.75" customHeight="1" x14ac:dyDescent="0.25">
      <c r="A57" s="111" t="s">
        <v>2778</v>
      </c>
      <c r="B57" s="111" t="s">
        <v>8</v>
      </c>
      <c r="C57" s="112"/>
      <c r="D57" s="112"/>
      <c r="E57" s="112"/>
      <c r="F57" s="112"/>
      <c r="G57" s="112"/>
      <c r="H57" s="112"/>
      <c r="I57" s="112"/>
      <c r="J57" s="112"/>
      <c r="K57" s="112"/>
      <c r="L57" s="112"/>
      <c r="M57" s="112"/>
      <c r="N57" s="112"/>
      <c r="O57" s="112"/>
      <c r="P57" s="112"/>
      <c r="Q57" s="112"/>
      <c r="R57" s="112"/>
      <c r="S57" s="112"/>
      <c r="T57" s="112"/>
      <c r="U57" s="112"/>
      <c r="V57" s="112"/>
      <c r="W57" s="112"/>
      <c r="X57" s="112"/>
      <c r="Y57" s="113"/>
    </row>
    <row r="58" spans="1:25" x14ac:dyDescent="0.25">
      <c r="A58" s="111" t="s">
        <v>1</v>
      </c>
      <c r="B58" s="114">
        <v>2002</v>
      </c>
      <c r="C58" s="115">
        <v>2003</v>
      </c>
      <c r="D58" s="115">
        <v>2004</v>
      </c>
      <c r="E58" s="115">
        <v>2005</v>
      </c>
      <c r="F58" s="115">
        <v>2006</v>
      </c>
      <c r="G58" s="115">
        <v>2007</v>
      </c>
      <c r="H58" s="115">
        <v>2008</v>
      </c>
      <c r="I58" s="115">
        <v>2009</v>
      </c>
      <c r="J58" s="115">
        <v>2010</v>
      </c>
      <c r="K58" s="115">
        <v>2011</v>
      </c>
      <c r="L58" s="115">
        <v>2012</v>
      </c>
      <c r="M58" s="115">
        <v>2013</v>
      </c>
      <c r="N58" s="115">
        <v>2014</v>
      </c>
      <c r="O58" s="115">
        <v>2015</v>
      </c>
      <c r="P58" s="115">
        <v>2016</v>
      </c>
      <c r="Q58" s="115">
        <v>2017</v>
      </c>
      <c r="R58" s="115">
        <v>2018</v>
      </c>
      <c r="S58" s="115">
        <v>2019</v>
      </c>
      <c r="T58" s="115">
        <v>2020</v>
      </c>
      <c r="U58" s="115">
        <v>2021</v>
      </c>
      <c r="V58" s="115">
        <v>2022</v>
      </c>
      <c r="W58" s="115">
        <v>2023</v>
      </c>
      <c r="X58" s="115">
        <v>2024</v>
      </c>
      <c r="Y58" s="122" t="s">
        <v>2779</v>
      </c>
    </row>
    <row r="59" spans="1:25" x14ac:dyDescent="0.25">
      <c r="A59" s="114" t="s">
        <v>307</v>
      </c>
      <c r="B59" s="184">
        <v>0</v>
      </c>
      <c r="C59" s="185">
        <v>1</v>
      </c>
      <c r="D59" s="185">
        <v>1</v>
      </c>
      <c r="E59" s="185">
        <v>2</v>
      </c>
      <c r="F59" s="185">
        <v>0</v>
      </c>
      <c r="G59" s="185">
        <v>4</v>
      </c>
      <c r="H59" s="185">
        <v>2</v>
      </c>
      <c r="I59" s="185">
        <v>2</v>
      </c>
      <c r="J59" s="185">
        <v>5</v>
      </c>
      <c r="K59" s="185">
        <v>3</v>
      </c>
      <c r="L59" s="185">
        <v>5</v>
      </c>
      <c r="M59" s="185">
        <v>6</v>
      </c>
      <c r="N59" s="185">
        <v>11</v>
      </c>
      <c r="O59" s="185">
        <v>18</v>
      </c>
      <c r="P59" s="185">
        <v>18</v>
      </c>
      <c r="Q59" s="185">
        <v>23</v>
      </c>
      <c r="R59" s="185">
        <v>19</v>
      </c>
      <c r="S59" s="185">
        <v>19</v>
      </c>
      <c r="T59" s="185">
        <v>3</v>
      </c>
      <c r="U59" s="185">
        <v>5</v>
      </c>
      <c r="V59" s="185">
        <v>2</v>
      </c>
      <c r="W59" s="185">
        <v>13</v>
      </c>
      <c r="X59" s="185">
        <v>12</v>
      </c>
      <c r="Y59" s="193">
        <v>174</v>
      </c>
    </row>
    <row r="60" spans="1:25" x14ac:dyDescent="0.25">
      <c r="A60" s="117" t="s">
        <v>26</v>
      </c>
      <c r="B60" s="187">
        <v>2</v>
      </c>
      <c r="C60" s="188">
        <v>3</v>
      </c>
      <c r="D60" s="188">
        <v>1</v>
      </c>
      <c r="E60" s="188">
        <v>2</v>
      </c>
      <c r="F60" s="188">
        <v>1</v>
      </c>
      <c r="G60" s="188">
        <v>2</v>
      </c>
      <c r="H60" s="188">
        <v>1</v>
      </c>
      <c r="I60" s="188">
        <v>7</v>
      </c>
      <c r="J60" s="188">
        <v>9</v>
      </c>
      <c r="K60" s="188">
        <v>2</v>
      </c>
      <c r="L60" s="188">
        <v>2</v>
      </c>
      <c r="M60" s="188">
        <v>19</v>
      </c>
      <c r="N60" s="188">
        <v>15</v>
      </c>
      <c r="O60" s="188">
        <v>3</v>
      </c>
      <c r="P60" s="188">
        <v>16</v>
      </c>
      <c r="Q60" s="188">
        <v>21</v>
      </c>
      <c r="R60" s="188">
        <v>7</v>
      </c>
      <c r="S60" s="188">
        <v>11</v>
      </c>
      <c r="T60" s="188">
        <v>2</v>
      </c>
      <c r="U60" s="188">
        <v>0</v>
      </c>
      <c r="V60" s="188">
        <v>2</v>
      </c>
      <c r="W60" s="188">
        <v>12</v>
      </c>
      <c r="X60" s="188">
        <v>13</v>
      </c>
      <c r="Y60" s="194">
        <v>153</v>
      </c>
    </row>
    <row r="61" spans="1:25" x14ac:dyDescent="0.25">
      <c r="A61" s="117" t="s">
        <v>76</v>
      </c>
      <c r="B61" s="187">
        <v>28</v>
      </c>
      <c r="C61" s="188">
        <v>25</v>
      </c>
      <c r="D61" s="188">
        <v>34</v>
      </c>
      <c r="E61" s="188">
        <v>25</v>
      </c>
      <c r="F61" s="188">
        <v>35</v>
      </c>
      <c r="G61" s="188">
        <v>43</v>
      </c>
      <c r="H61" s="188">
        <v>40</v>
      </c>
      <c r="I61" s="188">
        <v>49</v>
      </c>
      <c r="J61" s="188">
        <v>49</v>
      </c>
      <c r="K61" s="188">
        <v>44</v>
      </c>
      <c r="L61" s="188">
        <v>32</v>
      </c>
      <c r="M61" s="188">
        <v>44</v>
      </c>
      <c r="N61" s="188">
        <v>47</v>
      </c>
      <c r="O61" s="188">
        <v>52</v>
      </c>
      <c r="P61" s="188">
        <v>42</v>
      </c>
      <c r="Q61" s="188">
        <v>31</v>
      </c>
      <c r="R61" s="188">
        <v>47</v>
      </c>
      <c r="S61" s="188">
        <v>49</v>
      </c>
      <c r="T61" s="188">
        <v>22</v>
      </c>
      <c r="U61" s="188">
        <v>15</v>
      </c>
      <c r="V61" s="188">
        <v>20</v>
      </c>
      <c r="W61" s="188">
        <v>27</v>
      </c>
      <c r="X61" s="188">
        <v>40</v>
      </c>
      <c r="Y61" s="194">
        <v>840</v>
      </c>
    </row>
    <row r="62" spans="1:25" x14ac:dyDescent="0.25">
      <c r="A62" s="121" t="s">
        <v>2779</v>
      </c>
      <c r="B62" s="196">
        <v>30</v>
      </c>
      <c r="C62" s="197">
        <v>29</v>
      </c>
      <c r="D62" s="197">
        <v>36</v>
      </c>
      <c r="E62" s="197">
        <v>29</v>
      </c>
      <c r="F62" s="197">
        <v>36</v>
      </c>
      <c r="G62" s="197">
        <v>49</v>
      </c>
      <c r="H62" s="197">
        <v>43</v>
      </c>
      <c r="I62" s="197">
        <v>58</v>
      </c>
      <c r="J62" s="197">
        <v>63</v>
      </c>
      <c r="K62" s="197">
        <v>49</v>
      </c>
      <c r="L62" s="197">
        <v>39</v>
      </c>
      <c r="M62" s="197">
        <v>69</v>
      </c>
      <c r="N62" s="197">
        <v>73</v>
      </c>
      <c r="O62" s="197">
        <v>73</v>
      </c>
      <c r="P62" s="197">
        <v>76</v>
      </c>
      <c r="Q62" s="197">
        <v>75</v>
      </c>
      <c r="R62" s="197">
        <v>73</v>
      </c>
      <c r="S62" s="197">
        <v>79</v>
      </c>
      <c r="T62" s="197">
        <v>27</v>
      </c>
      <c r="U62" s="197">
        <v>20</v>
      </c>
      <c r="V62" s="197">
        <v>24</v>
      </c>
      <c r="W62" s="197">
        <v>52</v>
      </c>
      <c r="X62" s="197">
        <v>65</v>
      </c>
      <c r="Y62" s="198">
        <v>1167</v>
      </c>
    </row>
    <row r="65" spans="1:25" x14ac:dyDescent="0.25">
      <c r="A65" s="64" t="s">
        <v>1</v>
      </c>
      <c r="B65" s="64">
        <v>2002</v>
      </c>
      <c r="C65" s="65">
        <v>2003</v>
      </c>
      <c r="D65" s="65">
        <v>2004</v>
      </c>
      <c r="E65" s="65">
        <v>2005</v>
      </c>
      <c r="F65" s="65">
        <v>2006</v>
      </c>
      <c r="G65" s="65">
        <v>2007</v>
      </c>
      <c r="H65" s="65">
        <v>2008</v>
      </c>
      <c r="I65" s="65">
        <v>2009</v>
      </c>
      <c r="J65" s="65">
        <v>2010</v>
      </c>
      <c r="K65" s="65">
        <v>2011</v>
      </c>
      <c r="L65" s="65">
        <v>2012</v>
      </c>
      <c r="M65" s="65">
        <v>2013</v>
      </c>
      <c r="N65" s="65">
        <v>2014</v>
      </c>
      <c r="O65" s="65">
        <v>2015</v>
      </c>
      <c r="P65" s="65">
        <v>2016</v>
      </c>
      <c r="Q65" s="65">
        <v>2017</v>
      </c>
      <c r="R65" s="65">
        <v>2018</v>
      </c>
      <c r="S65" s="65">
        <v>2019</v>
      </c>
      <c r="T65" s="65">
        <v>2020</v>
      </c>
      <c r="U65" s="65">
        <v>2021</v>
      </c>
      <c r="V65" s="65">
        <v>2022</v>
      </c>
      <c r="W65" s="65">
        <v>2023</v>
      </c>
      <c r="X65" s="65">
        <v>2024</v>
      </c>
      <c r="Y65" s="74" t="s">
        <v>2779</v>
      </c>
    </row>
    <row r="66" spans="1:25" x14ac:dyDescent="0.25">
      <c r="A66" s="64" t="s">
        <v>307</v>
      </c>
      <c r="B66" s="64">
        <f>GETPIVOTDATA("Activity Category",$A$57,"Activity Category","Military Exercise","Year",2002)</f>
        <v>0</v>
      </c>
      <c r="C66" s="65">
        <f>GETPIVOTDATA("Activity Category",$A$57,"Activity Category","Military Exercise","Year",2003)</f>
        <v>1</v>
      </c>
      <c r="D66" s="65">
        <f>GETPIVOTDATA("Activity Category",$A$57,"Activity Category","Military Exercise","Year",2004)</f>
        <v>1</v>
      </c>
      <c r="E66" s="65">
        <f>GETPIVOTDATA("Activity Category",$A$57,"Activity Category","Military Exercise","Year",2005)</f>
        <v>2</v>
      </c>
      <c r="F66" s="65">
        <f>GETPIVOTDATA("Activity Category",$A$57,"Activity Category","Military Exercise","Year",2006)</f>
        <v>0</v>
      </c>
      <c r="G66" s="65">
        <f>GETPIVOTDATA("Activity Category",$A$57,"Activity Category","Military Exercise","Year",2007)</f>
        <v>4</v>
      </c>
      <c r="H66" s="65">
        <f>GETPIVOTDATA("Activity Category",$A$57,"Activity Category","Military Exercise","Year",2008)</f>
        <v>2</v>
      </c>
      <c r="I66" s="65">
        <f>GETPIVOTDATA("Activity Category",$A$57,"Activity Category","Military Exercise","Year",2009)</f>
        <v>2</v>
      </c>
      <c r="J66" s="65">
        <f>GETPIVOTDATA("Activity Category",$A$57,"Activity Category","Military Exercise","Year",2010)</f>
        <v>5</v>
      </c>
      <c r="K66" s="65">
        <f>GETPIVOTDATA("Activity Category",$A$57,"Activity Category","Military Exercise","Year",2011)</f>
        <v>3</v>
      </c>
      <c r="L66" s="65">
        <f>GETPIVOTDATA("Activity Category",$A$57,"Activity Category","Military Exercise","Year",2012)</f>
        <v>5</v>
      </c>
      <c r="M66" s="65">
        <f>GETPIVOTDATA("Activity Category",$A$57,"Activity Category","Military Exercise","Year",2013)</f>
        <v>6</v>
      </c>
      <c r="N66" s="65">
        <f>GETPIVOTDATA("Activity Category",$A$57,"Activity Category","Military Exercise","Year",2014)</f>
        <v>11</v>
      </c>
      <c r="O66" s="65">
        <f>GETPIVOTDATA("Activity Category",$A$57,"Activity Category","Military Exercise","Year",2015)</f>
        <v>18</v>
      </c>
      <c r="P66" s="65">
        <f>GETPIVOTDATA("Activity Category",$A$57,"Activity Category","Military Exercise","Year",2016)</f>
        <v>18</v>
      </c>
      <c r="Q66" s="65">
        <f>GETPIVOTDATA("Activity Category",$A$57,"Activity Category","Military Exercise","Year",2017)</f>
        <v>23</v>
      </c>
      <c r="R66" s="65">
        <f>GETPIVOTDATA("Activity Category",$A$57,"Activity Category","Military Exercise","Year",2018)</f>
        <v>19</v>
      </c>
      <c r="S66" s="65">
        <f>GETPIVOTDATA("Activity Category",$A$57,"Activity Category","Military Exercise","Year",2019)</f>
        <v>19</v>
      </c>
      <c r="T66" s="65">
        <f>GETPIVOTDATA("Activity Category",$A$57,"Activity Category","Military Exercise","Year",2020)</f>
        <v>3</v>
      </c>
      <c r="U66" s="65">
        <f>GETPIVOTDATA("Activity Category",$A$57,"Activity Category","Military Exercise","Year",2021)</f>
        <v>5</v>
      </c>
      <c r="V66" s="65">
        <f>GETPIVOTDATA("Activity Category",$A$57,"Activity Category","Military Exercise","Year",2022)</f>
        <v>2</v>
      </c>
      <c r="W66" s="65">
        <f>GETPIVOTDATA("Activity Category",$A$57,"Activity Category","Military Exercise","Year",2023)</f>
        <v>13</v>
      </c>
      <c r="X66" s="65">
        <f>GETPIVOTDATA("Activity Category",$A$57,"Activity Category","Military Exercise","Year",2024)</f>
        <v>12</v>
      </c>
      <c r="Y66" s="66">
        <f>SUM(B66:X66)</f>
        <v>174</v>
      </c>
    </row>
    <row r="67" spans="1:25" x14ac:dyDescent="0.25">
      <c r="A67" s="67" t="s">
        <v>26</v>
      </c>
      <c r="B67" s="67">
        <f>GETPIVOTDATA("Activity Category",$A$57,"Activity Category","Naval Port Call","Year",2002)</f>
        <v>2</v>
      </c>
      <c r="C67" s="68">
        <f>GETPIVOTDATA("Activity Category",$A$57,"Activity Category","Naval Port Call","Year",2003)</f>
        <v>3</v>
      </c>
      <c r="D67" s="68">
        <f>GETPIVOTDATA("Activity Category",$A$57,"Activity Category","Naval Port Call","Year",2004)</f>
        <v>1</v>
      </c>
      <c r="E67" s="68">
        <f>GETPIVOTDATA("Activity Category",$A$57,"Activity Category","Naval Port Call","Year",2005)</f>
        <v>2</v>
      </c>
      <c r="F67" s="68">
        <f>GETPIVOTDATA("Activity Category",$A$57,"Activity Category","Naval Port Call","Year",2006)</f>
        <v>1</v>
      </c>
      <c r="G67" s="68">
        <f>GETPIVOTDATA("Activity Category",$A$57,"Activity Category","Naval Port Call","Year",2007)</f>
        <v>2</v>
      </c>
      <c r="H67" s="68">
        <f>GETPIVOTDATA("Activity Category",$A$57,"Activity Category","Naval Port Call","Year",2008)</f>
        <v>1</v>
      </c>
      <c r="I67" s="68">
        <f>GETPIVOTDATA("Activity Category",$A$57,"Activity Category","Naval Port Call","Year",2009)</f>
        <v>7</v>
      </c>
      <c r="J67" s="68">
        <f>GETPIVOTDATA("Activity Category",$A$57,"Activity Category","Naval Port Call","Year",2010)</f>
        <v>9</v>
      </c>
      <c r="K67" s="68">
        <f>GETPIVOTDATA("Activity Category",$A$57,"Activity Category","Naval Port Call","Year",2011)</f>
        <v>2</v>
      </c>
      <c r="L67" s="68">
        <f>GETPIVOTDATA("Activity Category",$A$57,"Activity Category","Naval Port Call","Year",2012)</f>
        <v>2</v>
      </c>
      <c r="M67" s="68">
        <f>GETPIVOTDATA("Activity Category",$A$57,"Activity Category","Naval Port Call","Year",2013)</f>
        <v>19</v>
      </c>
      <c r="N67" s="68">
        <f>GETPIVOTDATA("Activity Category",$A$57,"Activity Category","Naval Port Call","Year",2014)</f>
        <v>15</v>
      </c>
      <c r="O67" s="68">
        <f>GETPIVOTDATA("Activity Category",$A$57,"Activity Category","Naval Port Call","Year",2015)</f>
        <v>3</v>
      </c>
      <c r="P67" s="68">
        <f>GETPIVOTDATA("Activity Category",$A$57,"Activity Category","Naval Port Call","Year",2016)</f>
        <v>16</v>
      </c>
      <c r="Q67" s="68">
        <f>GETPIVOTDATA("Activity Category",$A$57,"Activity Category","Naval Port Call","Year",2017)</f>
        <v>21</v>
      </c>
      <c r="R67" s="68">
        <f>GETPIVOTDATA("Activity Category",$A$57,"Activity Category","Naval Port Call","Year",2018)</f>
        <v>7</v>
      </c>
      <c r="S67" s="68">
        <f>GETPIVOTDATA("Activity Category",$A$57,"Activity Category","Naval Port Call","Year",2019)</f>
        <v>11</v>
      </c>
      <c r="T67" s="68">
        <f>GETPIVOTDATA("Activity Category",$A$57,"Activity Category","Naval Port Call","Year",2020)</f>
        <v>2</v>
      </c>
      <c r="U67" s="68">
        <f>GETPIVOTDATA("Activity Category",$A$57,"Activity Category","Naval Port Call","Year",2021)</f>
        <v>0</v>
      </c>
      <c r="V67" s="68">
        <f>GETPIVOTDATA("Activity Category",$A$57,"Activity Category","Naval Port Call","Year",2022)</f>
        <v>2</v>
      </c>
      <c r="W67" s="68">
        <f>GETPIVOTDATA("Activity Category",$A$57,"Activity Category","Naval Port Call","Year",2023)</f>
        <v>12</v>
      </c>
      <c r="X67" s="68">
        <f>GETPIVOTDATA("Activity Category",$A$57,"Activity Category","Naval Port Call","Year",2024)</f>
        <v>13</v>
      </c>
      <c r="Y67" s="66">
        <f>SUM(B67:X67)</f>
        <v>153</v>
      </c>
    </row>
    <row r="68" spans="1:25" x14ac:dyDescent="0.25">
      <c r="A68" s="67" t="s">
        <v>76</v>
      </c>
      <c r="B68" s="67">
        <f>GETPIVOTDATA("Activity Category",$A$57,"Activity Category","Senior Level Visit","Year",2002)</f>
        <v>28</v>
      </c>
      <c r="C68" s="68">
        <f>GETPIVOTDATA("Activity Category",$A$57,"Activity Category","Senior Level Visit","Year",2003)</f>
        <v>25</v>
      </c>
      <c r="D68" s="68">
        <f>GETPIVOTDATA("Activity Category",$A$57,"Activity Category","Senior Level Visit","Year",2004)</f>
        <v>34</v>
      </c>
      <c r="E68" s="68">
        <f>GETPIVOTDATA("Activity Category",$A$57,"Activity Category","Senior Level Visit","Year",2005)</f>
        <v>25</v>
      </c>
      <c r="F68" s="68">
        <f>GETPIVOTDATA("Activity Category",$A$57,"Activity Category","Senior Level Visit","Year",2006)</f>
        <v>35</v>
      </c>
      <c r="G68" s="68">
        <f>GETPIVOTDATA("Activity Category",$A$57,"Activity Category","Senior Level Visit","Year",2007)</f>
        <v>43</v>
      </c>
      <c r="H68" s="68">
        <f>GETPIVOTDATA("Activity Category",$A$57,"Year",2008)</f>
        <v>43</v>
      </c>
      <c r="I68" s="68">
        <f>GETPIVOTDATA("Activity Category",$A$57,"Activity Category","Senior Level Visit","Year",2009)</f>
        <v>49</v>
      </c>
      <c r="J68" s="68">
        <f>GETPIVOTDATA("Activity Category",$A$57,"Activity Category","Senior Level Visit","Year",2010)</f>
        <v>49</v>
      </c>
      <c r="K68" s="68">
        <f>GETPIVOTDATA("Activity Category",$A$57,"Activity Category","Senior Level Visit","Year",2011)</f>
        <v>44</v>
      </c>
      <c r="L68" s="68">
        <f>GETPIVOTDATA("Activity Category",$A$57,"Activity Category","Senior Level Visit","Year",2012)</f>
        <v>32</v>
      </c>
      <c r="M68" s="68">
        <f>GETPIVOTDATA("Activity Category",$A$57,"Activity Category","Senior Level Visit","Year",2013)</f>
        <v>44</v>
      </c>
      <c r="N68" s="68">
        <f>GETPIVOTDATA("Activity Category",$A$57,"Activity Category","Senior Level Visit","Year",2014)</f>
        <v>47</v>
      </c>
      <c r="O68" s="68">
        <f>GETPIVOTDATA("Activity Category",$A$57,"Activity Category","Senior Level Visit","Year",2015)</f>
        <v>52</v>
      </c>
      <c r="P68" s="68">
        <f>GETPIVOTDATA("Activity Category",$A$57,"Activity Category","Senior Level Visit","Year",2016)</f>
        <v>42</v>
      </c>
      <c r="Q68" s="68">
        <f>GETPIVOTDATA("Activity Category",$A$57,"Activity Category","Senior Level Visit","Year",2017)</f>
        <v>31</v>
      </c>
      <c r="R68" s="68">
        <f>GETPIVOTDATA("Activity Category",$A$57,"Activity Category","Senior Level Visit","Year",2018)</f>
        <v>47</v>
      </c>
      <c r="S68" s="68">
        <f>GETPIVOTDATA("Activity Category",$A$57,"Activity Category","Senior Level Visit","Year",2019)</f>
        <v>49</v>
      </c>
      <c r="T68" s="68">
        <f>GETPIVOTDATA("Activity Category",$A$57,"Activity Category","Senior Level Visit","Year",2020)</f>
        <v>22</v>
      </c>
      <c r="U68" s="68">
        <f>GETPIVOTDATA("Activity Category",$A$57,"Activity Category","Senior Level Visit","Year",2021)</f>
        <v>15</v>
      </c>
      <c r="V68" s="68">
        <f>GETPIVOTDATA("Activity Category",$A$57,"Activity Category","Senior Level Visit","Year",2022)</f>
        <v>20</v>
      </c>
      <c r="W68" s="68">
        <f>GETPIVOTDATA("Activity Category",$A$57,"Activity Category","Senior Level Visit","Year",2023)</f>
        <v>27</v>
      </c>
      <c r="X68" s="68">
        <f>GETPIVOTDATA("Activity Category",$A$57,"Activity Category","Senior Level Visit","Year",2024)</f>
        <v>40</v>
      </c>
      <c r="Y68" s="66">
        <f>SUM(B68:X68)</f>
        <v>843</v>
      </c>
    </row>
    <row r="69" spans="1:25" x14ac:dyDescent="0.25">
      <c r="A69" s="73" t="s">
        <v>2779</v>
      </c>
      <c r="B69" s="73">
        <f t="shared" ref="B69:X69" si="0">SUM(B66:B68)</f>
        <v>30</v>
      </c>
      <c r="C69" s="73">
        <f t="shared" si="0"/>
        <v>29</v>
      </c>
      <c r="D69" s="73">
        <f t="shared" si="0"/>
        <v>36</v>
      </c>
      <c r="E69" s="73">
        <f t="shared" si="0"/>
        <v>29</v>
      </c>
      <c r="F69" s="73">
        <f t="shared" si="0"/>
        <v>36</v>
      </c>
      <c r="G69" s="73">
        <f t="shared" si="0"/>
        <v>49</v>
      </c>
      <c r="H69" s="73">
        <f t="shared" si="0"/>
        <v>46</v>
      </c>
      <c r="I69" s="73">
        <f t="shared" si="0"/>
        <v>58</v>
      </c>
      <c r="J69" s="73">
        <f t="shared" si="0"/>
        <v>63</v>
      </c>
      <c r="K69" s="73">
        <f t="shared" si="0"/>
        <v>49</v>
      </c>
      <c r="L69" s="73">
        <f t="shared" si="0"/>
        <v>39</v>
      </c>
      <c r="M69" s="73">
        <f t="shared" si="0"/>
        <v>69</v>
      </c>
      <c r="N69" s="73">
        <f t="shared" si="0"/>
        <v>73</v>
      </c>
      <c r="O69" s="73">
        <f t="shared" si="0"/>
        <v>73</v>
      </c>
      <c r="P69" s="73">
        <f t="shared" si="0"/>
        <v>76</v>
      </c>
      <c r="Q69" s="73">
        <f t="shared" si="0"/>
        <v>75</v>
      </c>
      <c r="R69" s="73">
        <f t="shared" si="0"/>
        <v>73</v>
      </c>
      <c r="S69" s="73">
        <f t="shared" si="0"/>
        <v>79</v>
      </c>
      <c r="T69" s="73">
        <f t="shared" si="0"/>
        <v>27</v>
      </c>
      <c r="U69" s="73">
        <f t="shared" si="0"/>
        <v>20</v>
      </c>
      <c r="V69" s="73">
        <f t="shared" si="0"/>
        <v>24</v>
      </c>
      <c r="W69" s="73">
        <f t="shared" si="0"/>
        <v>52</v>
      </c>
      <c r="X69" s="73">
        <f t="shared" si="0"/>
        <v>65</v>
      </c>
      <c r="Y69" s="81">
        <v>1107</v>
      </c>
    </row>
    <row r="88" spans="1:1" ht="15.75" customHeight="1" x14ac:dyDescent="0.25">
      <c r="A88" s="82" t="s">
        <v>3197</v>
      </c>
    </row>
  </sheetData>
  <pageMargins left="0.7" right="0.7" top="0.75" bottom="0.75" header="0" footer="0"/>
  <pageSetup orientation="portrait"/>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Y12"/>
  <sheetViews>
    <sheetView workbookViewId="0">
      <selection activeCell="X12" sqref="X12"/>
    </sheetView>
  </sheetViews>
  <sheetFormatPr defaultColWidth="14.42578125" defaultRowHeight="15" customHeight="1" x14ac:dyDescent="0.25"/>
  <cols>
    <col min="1" max="1" width="23.42578125" customWidth="1"/>
    <col min="2" max="2" width="17.28515625" customWidth="1"/>
    <col min="3" max="24" width="5" customWidth="1"/>
    <col min="25" max="26" width="8.7109375" customWidth="1"/>
  </cols>
  <sheetData>
    <row r="1" spans="1:25" x14ac:dyDescent="0.25">
      <c r="A1" s="12" t="s">
        <v>3193</v>
      </c>
    </row>
    <row r="4" spans="1:25" x14ac:dyDescent="0.25">
      <c r="A4" s="120" t="s">
        <v>1</v>
      </c>
      <c r="B4" s="119" t="s">
        <v>76</v>
      </c>
    </row>
    <row r="5" spans="1:25" x14ac:dyDescent="0.25">
      <c r="A5" s="120" t="s">
        <v>6</v>
      </c>
      <c r="B5" s="119" t="s">
        <v>3183</v>
      </c>
    </row>
    <row r="6" spans="1:25" x14ac:dyDescent="0.25">
      <c r="A6" s="120" t="s">
        <v>10</v>
      </c>
      <c r="B6" s="119" t="s">
        <v>2827</v>
      </c>
    </row>
    <row r="7" spans="1:25" ht="15.75" customHeight="1" x14ac:dyDescent="0.25"/>
    <row r="8" spans="1:25" ht="15.75" customHeight="1" x14ac:dyDescent="0.25">
      <c r="A8" s="111" t="s">
        <v>2778</v>
      </c>
      <c r="B8" s="111" t="s">
        <v>8</v>
      </c>
      <c r="C8" s="112"/>
      <c r="D8" s="112"/>
      <c r="E8" s="112"/>
      <c r="F8" s="112"/>
      <c r="G8" s="112"/>
      <c r="H8" s="112"/>
      <c r="I8" s="112"/>
      <c r="J8" s="112"/>
      <c r="K8" s="112"/>
      <c r="L8" s="112"/>
      <c r="M8" s="112"/>
      <c r="N8" s="112"/>
      <c r="O8" s="112"/>
      <c r="P8" s="112"/>
      <c r="Q8" s="112"/>
      <c r="R8" s="112"/>
      <c r="S8" s="112"/>
      <c r="T8" s="112"/>
      <c r="U8" s="112"/>
      <c r="V8" s="112"/>
      <c r="W8" s="112"/>
      <c r="X8" s="112"/>
      <c r="Y8" s="113"/>
    </row>
    <row r="9" spans="1:25" x14ac:dyDescent="0.25">
      <c r="A9" s="111" t="s">
        <v>15</v>
      </c>
      <c r="B9" s="114">
        <v>2002</v>
      </c>
      <c r="C9" s="115">
        <v>2003</v>
      </c>
      <c r="D9" s="115">
        <v>2004</v>
      </c>
      <c r="E9" s="115">
        <v>2005</v>
      </c>
      <c r="F9" s="115">
        <v>2006</v>
      </c>
      <c r="G9" s="115">
        <v>2007</v>
      </c>
      <c r="H9" s="115">
        <v>2008</v>
      </c>
      <c r="I9" s="115">
        <v>2009</v>
      </c>
      <c r="J9" s="115">
        <v>2010</v>
      </c>
      <c r="K9" s="115">
        <v>2011</v>
      </c>
      <c r="L9" s="115">
        <v>2012</v>
      </c>
      <c r="M9" s="115">
        <v>2013</v>
      </c>
      <c r="N9" s="115">
        <v>2014</v>
      </c>
      <c r="O9" s="115">
        <v>2015</v>
      </c>
      <c r="P9" s="115">
        <v>2016</v>
      </c>
      <c r="Q9" s="115">
        <v>2017</v>
      </c>
      <c r="R9" s="115">
        <v>2018</v>
      </c>
      <c r="S9" s="115">
        <v>2019</v>
      </c>
      <c r="T9" s="115">
        <v>2020</v>
      </c>
      <c r="U9" s="115">
        <v>2021</v>
      </c>
      <c r="V9" s="115">
        <v>2022</v>
      </c>
      <c r="W9" s="115">
        <v>2023</v>
      </c>
      <c r="X9" s="115">
        <v>2024</v>
      </c>
      <c r="Y9" s="122" t="s">
        <v>2779</v>
      </c>
    </row>
    <row r="10" spans="1:25" x14ac:dyDescent="0.25">
      <c r="A10" s="114" t="s">
        <v>83</v>
      </c>
      <c r="B10" s="184">
        <v>3</v>
      </c>
      <c r="C10" s="185">
        <v>12</v>
      </c>
      <c r="D10" s="185">
        <v>14</v>
      </c>
      <c r="E10" s="185">
        <v>6</v>
      </c>
      <c r="F10" s="185">
        <v>18</v>
      </c>
      <c r="G10" s="185">
        <v>25</v>
      </c>
      <c r="H10" s="185">
        <v>21</v>
      </c>
      <c r="I10" s="185">
        <v>25</v>
      </c>
      <c r="J10" s="185">
        <v>25</v>
      </c>
      <c r="K10" s="185">
        <v>20</v>
      </c>
      <c r="L10" s="185">
        <v>11</v>
      </c>
      <c r="M10" s="185">
        <v>15</v>
      </c>
      <c r="N10" s="185">
        <v>14</v>
      </c>
      <c r="O10" s="185">
        <v>23</v>
      </c>
      <c r="P10" s="185">
        <v>13</v>
      </c>
      <c r="Q10" s="185">
        <v>13</v>
      </c>
      <c r="R10" s="185">
        <v>17</v>
      </c>
      <c r="S10" s="185">
        <v>17</v>
      </c>
      <c r="T10" s="185">
        <v>6</v>
      </c>
      <c r="U10" s="185">
        <v>4</v>
      </c>
      <c r="V10" s="185">
        <v>6</v>
      </c>
      <c r="W10" s="185">
        <v>10</v>
      </c>
      <c r="X10" s="185">
        <v>26</v>
      </c>
      <c r="Y10" s="199">
        <v>344</v>
      </c>
    </row>
    <row r="11" spans="1:25" x14ac:dyDescent="0.25">
      <c r="A11" s="117" t="s">
        <v>101</v>
      </c>
      <c r="B11" s="187">
        <v>25</v>
      </c>
      <c r="C11" s="188">
        <v>13</v>
      </c>
      <c r="D11" s="188">
        <v>20</v>
      </c>
      <c r="E11" s="188">
        <v>19</v>
      </c>
      <c r="F11" s="188">
        <v>17</v>
      </c>
      <c r="G11" s="188">
        <v>18</v>
      </c>
      <c r="H11" s="188">
        <v>19</v>
      </c>
      <c r="I11" s="188">
        <v>24</v>
      </c>
      <c r="J11" s="188">
        <v>24</v>
      </c>
      <c r="K11" s="188">
        <v>24</v>
      </c>
      <c r="L11" s="188">
        <v>21</v>
      </c>
      <c r="M11" s="188">
        <v>29</v>
      </c>
      <c r="N11" s="188">
        <v>33</v>
      </c>
      <c r="O11" s="188">
        <v>29</v>
      </c>
      <c r="P11" s="188">
        <v>29</v>
      </c>
      <c r="Q11" s="188">
        <v>18</v>
      </c>
      <c r="R11" s="188">
        <v>30</v>
      </c>
      <c r="S11" s="188">
        <v>32</v>
      </c>
      <c r="T11" s="188">
        <v>2</v>
      </c>
      <c r="U11" s="188">
        <v>0</v>
      </c>
      <c r="V11" s="188">
        <v>6</v>
      </c>
      <c r="W11" s="188">
        <v>16</v>
      </c>
      <c r="X11" s="188">
        <v>13</v>
      </c>
      <c r="Y11" s="200">
        <v>461</v>
      </c>
    </row>
    <row r="12" spans="1:25" x14ac:dyDescent="0.25">
      <c r="A12" s="121" t="s">
        <v>2779</v>
      </c>
      <c r="B12" s="196">
        <v>28</v>
      </c>
      <c r="C12" s="197">
        <v>25</v>
      </c>
      <c r="D12" s="197">
        <v>34</v>
      </c>
      <c r="E12" s="197">
        <v>25</v>
      </c>
      <c r="F12" s="197">
        <v>35</v>
      </c>
      <c r="G12" s="197">
        <v>43</v>
      </c>
      <c r="H12" s="197">
        <v>40</v>
      </c>
      <c r="I12" s="197">
        <v>49</v>
      </c>
      <c r="J12" s="197">
        <v>49</v>
      </c>
      <c r="K12" s="197">
        <v>44</v>
      </c>
      <c r="L12" s="197">
        <v>32</v>
      </c>
      <c r="M12" s="197">
        <v>44</v>
      </c>
      <c r="N12" s="197">
        <v>47</v>
      </c>
      <c r="O12" s="197">
        <v>52</v>
      </c>
      <c r="P12" s="197">
        <v>42</v>
      </c>
      <c r="Q12" s="197">
        <v>31</v>
      </c>
      <c r="R12" s="197">
        <v>47</v>
      </c>
      <c r="S12" s="197">
        <v>49</v>
      </c>
      <c r="T12" s="197">
        <v>8</v>
      </c>
      <c r="U12" s="197">
        <v>4</v>
      </c>
      <c r="V12" s="197">
        <v>12</v>
      </c>
      <c r="W12" s="197">
        <v>26</v>
      </c>
      <c r="X12" s="197">
        <v>39</v>
      </c>
      <c r="Y12" s="198">
        <v>805</v>
      </c>
    </row>
  </sheetData>
  <pageMargins left="0.7" right="0.7" top="0.75" bottom="0.75" header="0" footer="0"/>
  <pageSetup orientation="portrait"/>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23"/>
  <sheetViews>
    <sheetView topLeftCell="A8" workbookViewId="0">
      <selection activeCell="P415" sqref="P415"/>
    </sheetView>
  </sheetViews>
  <sheetFormatPr defaultColWidth="14.42578125" defaultRowHeight="15" customHeight="1" x14ac:dyDescent="0.25"/>
  <cols>
    <col min="1" max="1" width="23.42578125" customWidth="1"/>
    <col min="2" max="2" width="17" customWidth="1"/>
    <col min="3" max="24" width="5" customWidth="1"/>
    <col min="25" max="26" width="8.7109375" customWidth="1"/>
  </cols>
  <sheetData>
    <row r="1" spans="1:25" hidden="1" x14ac:dyDescent="0.25">
      <c r="A1" s="2" t="s">
        <v>2824</v>
      </c>
    </row>
    <row r="2" spans="1:25" hidden="1" x14ac:dyDescent="0.25">
      <c r="A2" s="120" t="s">
        <v>1</v>
      </c>
      <c r="B2" s="119" t="s">
        <v>307</v>
      </c>
    </row>
    <row r="3" spans="1:25" hidden="1" x14ac:dyDescent="0.25">
      <c r="A3" s="120" t="s">
        <v>10</v>
      </c>
      <c r="B3" s="119" t="s">
        <v>2827</v>
      </c>
    </row>
    <row r="4" spans="1:25" hidden="1" x14ac:dyDescent="0.25"/>
    <row r="5" spans="1:25" hidden="1" x14ac:dyDescent="0.25">
      <c r="A5" s="114"/>
      <c r="B5" s="111" t="s">
        <v>8</v>
      </c>
      <c r="C5" s="112"/>
      <c r="D5" s="112"/>
      <c r="E5" s="112"/>
      <c r="F5" s="112"/>
      <c r="G5" s="112"/>
      <c r="H5" s="112"/>
      <c r="I5" s="112"/>
      <c r="J5" s="112"/>
      <c r="K5" s="112"/>
      <c r="L5" s="112"/>
      <c r="M5" s="112"/>
      <c r="N5" s="112"/>
      <c r="O5" s="112"/>
      <c r="P5" s="112"/>
      <c r="Q5" s="113"/>
    </row>
    <row r="6" spans="1:25" hidden="1" x14ac:dyDescent="0.25">
      <c r="A6" s="124"/>
      <c r="B6" s="114">
        <v>2003</v>
      </c>
      <c r="C6" s="115">
        <v>2004</v>
      </c>
      <c r="D6" s="115">
        <v>2005</v>
      </c>
      <c r="E6" s="115">
        <v>2006</v>
      </c>
      <c r="F6" s="115">
        <v>2007</v>
      </c>
      <c r="G6" s="115">
        <v>2008</v>
      </c>
      <c r="H6" s="115">
        <v>2009</v>
      </c>
      <c r="I6" s="115">
        <v>2010</v>
      </c>
      <c r="J6" s="115">
        <v>2011</v>
      </c>
      <c r="K6" s="115">
        <v>2012</v>
      </c>
      <c r="L6" s="115">
        <v>2013</v>
      </c>
      <c r="M6" s="115">
        <v>2014</v>
      </c>
      <c r="N6" s="115">
        <v>2015</v>
      </c>
      <c r="O6" s="115">
        <v>2016</v>
      </c>
      <c r="P6" s="115">
        <v>2017</v>
      </c>
      <c r="Q6" s="125">
        <v>2018</v>
      </c>
    </row>
    <row r="7" spans="1:25" hidden="1" x14ac:dyDescent="0.25">
      <c r="A7" s="118" t="s">
        <v>2778</v>
      </c>
      <c r="B7" s="181">
        <v>3</v>
      </c>
      <c r="C7" s="182">
        <v>4</v>
      </c>
      <c r="D7" s="182">
        <v>5</v>
      </c>
      <c r="E7" s="182">
        <v>5</v>
      </c>
      <c r="F7" s="182">
        <v>8</v>
      </c>
      <c r="G7" s="182">
        <v>2</v>
      </c>
      <c r="H7" s="182">
        <v>9</v>
      </c>
      <c r="I7" s="182">
        <v>13</v>
      </c>
      <c r="J7" s="182">
        <v>10</v>
      </c>
      <c r="K7" s="182">
        <v>12</v>
      </c>
      <c r="L7" s="182">
        <v>15</v>
      </c>
      <c r="M7" s="182">
        <v>26</v>
      </c>
      <c r="N7" s="182">
        <v>44</v>
      </c>
      <c r="O7" s="182">
        <v>38</v>
      </c>
      <c r="P7" s="182">
        <v>50</v>
      </c>
      <c r="Q7" s="183">
        <v>39</v>
      </c>
    </row>
    <row r="9" spans="1:25" ht="15.75" customHeight="1" x14ac:dyDescent="0.25">
      <c r="A9" s="12" t="s">
        <v>3194</v>
      </c>
    </row>
    <row r="10" spans="1:25" ht="15.75" customHeight="1" x14ac:dyDescent="0.25"/>
    <row r="11" spans="1:25" ht="15.75" customHeight="1" x14ac:dyDescent="0.25"/>
    <row r="12" spans="1:25" x14ac:dyDescent="0.25">
      <c r="A12" s="120" t="s">
        <v>1</v>
      </c>
      <c r="B12" s="119" t="s">
        <v>307</v>
      </c>
      <c r="G12" t="s">
        <v>3113</v>
      </c>
    </row>
    <row r="13" spans="1:25" x14ac:dyDescent="0.25">
      <c r="A13" s="120" t="s">
        <v>10</v>
      </c>
      <c r="B13" s="119" t="s">
        <v>2827</v>
      </c>
    </row>
    <row r="14" spans="1:25" ht="15.75" customHeight="1" x14ac:dyDescent="0.25"/>
    <row r="15" spans="1:25" ht="15.75" customHeight="1" x14ac:dyDescent="0.25">
      <c r="A15" s="111" t="s">
        <v>2778</v>
      </c>
      <c r="B15" s="111" t="s">
        <v>8</v>
      </c>
      <c r="C15" s="112"/>
      <c r="D15" s="112"/>
      <c r="E15" s="112"/>
      <c r="F15" s="112"/>
      <c r="G15" s="112"/>
      <c r="H15" s="112"/>
      <c r="I15" s="112"/>
      <c r="J15" s="112"/>
      <c r="K15" s="112"/>
      <c r="L15" s="112"/>
      <c r="M15" s="112"/>
      <c r="N15" s="112"/>
      <c r="O15" s="112"/>
      <c r="P15" s="112"/>
      <c r="Q15" s="112"/>
      <c r="R15" s="112"/>
      <c r="S15" s="112"/>
      <c r="T15" s="112"/>
      <c r="U15" s="112"/>
      <c r="V15" s="112"/>
      <c r="W15" s="112"/>
      <c r="X15" s="112"/>
      <c r="Y15" s="113"/>
    </row>
    <row r="16" spans="1:25" x14ac:dyDescent="0.25">
      <c r="A16" s="111" t="s">
        <v>6</v>
      </c>
      <c r="B16" s="114">
        <v>2002</v>
      </c>
      <c r="C16" s="115">
        <v>2003</v>
      </c>
      <c r="D16" s="115">
        <v>2004</v>
      </c>
      <c r="E16" s="115">
        <v>2005</v>
      </c>
      <c r="F16" s="115">
        <v>2006</v>
      </c>
      <c r="G16" s="115">
        <v>2007</v>
      </c>
      <c r="H16" s="115">
        <v>2008</v>
      </c>
      <c r="I16" s="115">
        <v>2009</v>
      </c>
      <c r="J16" s="115">
        <v>2010</v>
      </c>
      <c r="K16" s="115">
        <v>2011</v>
      </c>
      <c r="L16" s="115">
        <v>2012</v>
      </c>
      <c r="M16" s="115">
        <v>2013</v>
      </c>
      <c r="N16" s="115">
        <v>2014</v>
      </c>
      <c r="O16" s="115">
        <v>2015</v>
      </c>
      <c r="P16" s="115">
        <v>2016</v>
      </c>
      <c r="Q16" s="115">
        <v>2017</v>
      </c>
      <c r="R16" s="115">
        <v>2018</v>
      </c>
      <c r="S16" s="115">
        <v>2019</v>
      </c>
      <c r="T16" s="115">
        <v>2020</v>
      </c>
      <c r="U16" s="115">
        <v>2021</v>
      </c>
      <c r="V16" s="115">
        <v>2022</v>
      </c>
      <c r="W16" s="115">
        <v>2023</v>
      </c>
      <c r="X16" s="115">
        <v>2024</v>
      </c>
      <c r="Y16" s="122" t="s">
        <v>2779</v>
      </c>
    </row>
    <row r="17" spans="1:25" x14ac:dyDescent="0.25">
      <c r="A17" s="114" t="s">
        <v>91</v>
      </c>
      <c r="B17" s="184">
        <v>0</v>
      </c>
      <c r="C17" s="185">
        <v>0</v>
      </c>
      <c r="D17" s="185">
        <v>0</v>
      </c>
      <c r="E17" s="185">
        <v>0</v>
      </c>
      <c r="F17" s="185">
        <v>0</v>
      </c>
      <c r="G17" s="185">
        <v>0</v>
      </c>
      <c r="H17" s="185">
        <v>0</v>
      </c>
      <c r="I17" s="185">
        <v>1</v>
      </c>
      <c r="J17" s="185">
        <v>0</v>
      </c>
      <c r="K17" s="185">
        <v>0</v>
      </c>
      <c r="L17" s="185">
        <v>0</v>
      </c>
      <c r="M17" s="185">
        <v>0</v>
      </c>
      <c r="N17" s="185">
        <v>4</v>
      </c>
      <c r="O17" s="185">
        <v>0</v>
      </c>
      <c r="P17" s="185">
        <v>1</v>
      </c>
      <c r="Q17" s="185">
        <v>1</v>
      </c>
      <c r="R17" s="185">
        <v>6</v>
      </c>
      <c r="S17" s="185">
        <v>2</v>
      </c>
      <c r="T17" s="185">
        <v>0</v>
      </c>
      <c r="U17" s="185">
        <v>0</v>
      </c>
      <c r="V17" s="185">
        <v>0</v>
      </c>
      <c r="W17" s="185">
        <v>2</v>
      </c>
      <c r="X17" s="185">
        <v>5</v>
      </c>
      <c r="Y17" s="199">
        <v>22</v>
      </c>
    </row>
    <row r="18" spans="1:25" x14ac:dyDescent="0.25">
      <c r="A18" s="117" t="s">
        <v>41</v>
      </c>
      <c r="B18" s="187">
        <v>1</v>
      </c>
      <c r="C18" s="188">
        <v>2</v>
      </c>
      <c r="D18" s="188">
        <v>1</v>
      </c>
      <c r="E18" s="188">
        <v>1</v>
      </c>
      <c r="F18" s="188">
        <v>4</v>
      </c>
      <c r="G18" s="188">
        <v>3</v>
      </c>
      <c r="H18" s="188">
        <v>0</v>
      </c>
      <c r="I18" s="188">
        <v>2</v>
      </c>
      <c r="J18" s="188">
        <v>3</v>
      </c>
      <c r="K18" s="188">
        <v>5</v>
      </c>
      <c r="L18" s="188">
        <v>2</v>
      </c>
      <c r="M18" s="188">
        <v>2</v>
      </c>
      <c r="N18" s="188">
        <v>3</v>
      </c>
      <c r="O18" s="188">
        <v>8</v>
      </c>
      <c r="P18" s="188">
        <v>9</v>
      </c>
      <c r="Q18" s="188">
        <v>11</v>
      </c>
      <c r="R18" s="188">
        <v>5</v>
      </c>
      <c r="S18" s="188">
        <v>13</v>
      </c>
      <c r="T18" s="188">
        <v>2</v>
      </c>
      <c r="U18" s="188">
        <v>4</v>
      </c>
      <c r="V18" s="188">
        <v>2</v>
      </c>
      <c r="W18" s="188">
        <v>6</v>
      </c>
      <c r="X18" s="188">
        <v>3</v>
      </c>
      <c r="Y18" s="200">
        <v>92</v>
      </c>
    </row>
    <row r="19" spans="1:25" x14ac:dyDescent="0.25">
      <c r="A19" s="117" t="s">
        <v>56</v>
      </c>
      <c r="B19" s="187">
        <v>0</v>
      </c>
      <c r="C19" s="188">
        <v>0</v>
      </c>
      <c r="D19" s="188">
        <v>2</v>
      </c>
      <c r="E19" s="188">
        <v>1</v>
      </c>
      <c r="F19" s="188">
        <v>0</v>
      </c>
      <c r="G19" s="188">
        <v>1</v>
      </c>
      <c r="H19" s="188">
        <v>0</v>
      </c>
      <c r="I19" s="188">
        <v>4</v>
      </c>
      <c r="J19" s="188">
        <v>4</v>
      </c>
      <c r="K19" s="188">
        <v>1</v>
      </c>
      <c r="L19" s="188">
        <v>3</v>
      </c>
      <c r="M19" s="188">
        <v>5</v>
      </c>
      <c r="N19" s="188">
        <v>6</v>
      </c>
      <c r="O19" s="188">
        <v>14</v>
      </c>
      <c r="P19" s="188">
        <v>7</v>
      </c>
      <c r="Q19" s="188">
        <v>12</v>
      </c>
      <c r="R19" s="188">
        <v>7</v>
      </c>
      <c r="S19" s="188">
        <v>7</v>
      </c>
      <c r="T19" s="188">
        <v>3</v>
      </c>
      <c r="U19" s="188">
        <v>5</v>
      </c>
      <c r="V19" s="188">
        <v>6</v>
      </c>
      <c r="W19" s="188">
        <v>3</v>
      </c>
      <c r="X19" s="188">
        <v>8</v>
      </c>
      <c r="Y19" s="200">
        <v>99</v>
      </c>
    </row>
    <row r="20" spans="1:25" x14ac:dyDescent="0.25">
      <c r="A20" s="117" t="s">
        <v>3183</v>
      </c>
      <c r="B20" s="187">
        <v>0</v>
      </c>
      <c r="C20" s="188">
        <v>1</v>
      </c>
      <c r="D20" s="188">
        <v>1</v>
      </c>
      <c r="E20" s="188">
        <v>2</v>
      </c>
      <c r="F20" s="188">
        <v>0</v>
      </c>
      <c r="G20" s="188">
        <v>4</v>
      </c>
      <c r="H20" s="188">
        <v>2</v>
      </c>
      <c r="I20" s="188">
        <v>2</v>
      </c>
      <c r="J20" s="188">
        <v>5</v>
      </c>
      <c r="K20" s="188">
        <v>3</v>
      </c>
      <c r="L20" s="188">
        <v>5</v>
      </c>
      <c r="M20" s="188">
        <v>6</v>
      </c>
      <c r="N20" s="188">
        <v>11</v>
      </c>
      <c r="O20" s="188">
        <v>18</v>
      </c>
      <c r="P20" s="188">
        <v>18</v>
      </c>
      <c r="Q20" s="188">
        <v>23</v>
      </c>
      <c r="R20" s="188">
        <v>19</v>
      </c>
      <c r="S20" s="188">
        <v>19</v>
      </c>
      <c r="T20" s="188">
        <v>3</v>
      </c>
      <c r="U20" s="188">
        <v>5</v>
      </c>
      <c r="V20" s="188">
        <v>2</v>
      </c>
      <c r="W20" s="188">
        <v>13</v>
      </c>
      <c r="X20" s="188">
        <v>12</v>
      </c>
      <c r="Y20" s="200">
        <v>174</v>
      </c>
    </row>
    <row r="21" spans="1:25" x14ac:dyDescent="0.25">
      <c r="A21" s="117" t="s">
        <v>47</v>
      </c>
      <c r="B21" s="187">
        <v>0</v>
      </c>
      <c r="C21" s="188">
        <v>0</v>
      </c>
      <c r="D21" s="188">
        <v>0</v>
      </c>
      <c r="E21" s="188">
        <v>1</v>
      </c>
      <c r="F21" s="188">
        <v>1</v>
      </c>
      <c r="G21" s="188">
        <v>0</v>
      </c>
      <c r="H21" s="188">
        <v>0</v>
      </c>
      <c r="I21" s="188">
        <v>0</v>
      </c>
      <c r="J21" s="188">
        <v>0</v>
      </c>
      <c r="K21" s="188">
        <v>0</v>
      </c>
      <c r="L21" s="188">
        <v>1</v>
      </c>
      <c r="M21" s="188">
        <v>2</v>
      </c>
      <c r="N21" s="188">
        <v>2</v>
      </c>
      <c r="O21" s="188">
        <v>4</v>
      </c>
      <c r="P21" s="188">
        <v>2</v>
      </c>
      <c r="Q21" s="188">
        <v>3</v>
      </c>
      <c r="R21" s="188">
        <v>1</v>
      </c>
      <c r="S21" s="188">
        <v>1</v>
      </c>
      <c r="T21" s="188">
        <v>1</v>
      </c>
      <c r="U21" s="188">
        <v>0</v>
      </c>
      <c r="V21" s="188">
        <v>0</v>
      </c>
      <c r="W21" s="188">
        <v>0</v>
      </c>
      <c r="X21" s="188">
        <v>0</v>
      </c>
      <c r="Y21" s="200">
        <v>19</v>
      </c>
    </row>
    <row r="22" spans="1:25" x14ac:dyDescent="0.25">
      <c r="A22" s="205" t="s">
        <v>199</v>
      </c>
      <c r="B22" s="203">
        <v>0</v>
      </c>
      <c r="C22" s="204">
        <v>0</v>
      </c>
      <c r="D22" s="204">
        <v>0</v>
      </c>
      <c r="E22" s="204">
        <v>0</v>
      </c>
      <c r="F22" s="204">
        <v>0</v>
      </c>
      <c r="G22" s="204">
        <v>0</v>
      </c>
      <c r="H22" s="204">
        <v>0</v>
      </c>
      <c r="I22" s="204">
        <v>0</v>
      </c>
      <c r="J22" s="204">
        <v>1</v>
      </c>
      <c r="K22" s="204">
        <v>1</v>
      </c>
      <c r="L22" s="204">
        <v>1</v>
      </c>
      <c r="M22" s="204">
        <v>0</v>
      </c>
      <c r="N22" s="204">
        <v>0</v>
      </c>
      <c r="O22" s="204">
        <v>0</v>
      </c>
      <c r="P22" s="204">
        <v>1</v>
      </c>
      <c r="Q22" s="204">
        <v>0</v>
      </c>
      <c r="R22" s="204">
        <v>1</v>
      </c>
      <c r="S22" s="204">
        <v>0</v>
      </c>
      <c r="T22" s="204">
        <v>0</v>
      </c>
      <c r="U22" s="204">
        <v>0</v>
      </c>
      <c r="V22" s="204">
        <v>0</v>
      </c>
      <c r="W22" s="204">
        <v>0</v>
      </c>
      <c r="X22" s="204">
        <v>1</v>
      </c>
      <c r="Y22" s="206">
        <v>6</v>
      </c>
    </row>
    <row r="23" spans="1:25" x14ac:dyDescent="0.25">
      <c r="A23" s="210" t="s">
        <v>2779</v>
      </c>
      <c r="B23" s="208">
        <v>1</v>
      </c>
      <c r="C23" s="209">
        <v>3</v>
      </c>
      <c r="D23" s="209">
        <v>4</v>
      </c>
      <c r="E23" s="209">
        <v>5</v>
      </c>
      <c r="F23" s="209">
        <v>5</v>
      </c>
      <c r="G23" s="209">
        <v>8</v>
      </c>
      <c r="H23" s="209">
        <v>2</v>
      </c>
      <c r="I23" s="209">
        <v>9</v>
      </c>
      <c r="J23" s="209">
        <v>13</v>
      </c>
      <c r="K23" s="209">
        <v>10</v>
      </c>
      <c r="L23" s="209">
        <v>12</v>
      </c>
      <c r="M23" s="209">
        <v>15</v>
      </c>
      <c r="N23" s="209">
        <v>26</v>
      </c>
      <c r="O23" s="209">
        <v>44</v>
      </c>
      <c r="P23" s="209">
        <v>38</v>
      </c>
      <c r="Q23" s="209">
        <v>50</v>
      </c>
      <c r="R23" s="209">
        <v>39</v>
      </c>
      <c r="S23" s="209">
        <v>42</v>
      </c>
      <c r="T23" s="209">
        <v>9</v>
      </c>
      <c r="U23" s="209">
        <v>14</v>
      </c>
      <c r="V23" s="209">
        <v>10</v>
      </c>
      <c r="W23" s="209">
        <v>24</v>
      </c>
      <c r="X23" s="209">
        <v>29</v>
      </c>
      <c r="Y23" s="207">
        <v>412</v>
      </c>
    </row>
  </sheetData>
  <pageMargins left="0.7" right="0.7" top="0.75" bottom="0.75" header="0" footer="0"/>
  <pageSetup orientation="portrait"/>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J74"/>
  <sheetViews>
    <sheetView topLeftCell="A60" workbookViewId="0">
      <selection activeCell="E74" sqref="E74"/>
    </sheetView>
  </sheetViews>
  <sheetFormatPr defaultColWidth="14.42578125" defaultRowHeight="15" customHeight="1" x14ac:dyDescent="0.25"/>
  <cols>
    <col min="1" max="1" width="23.42578125" customWidth="1"/>
    <col min="2" max="2" width="17" customWidth="1"/>
    <col min="3" max="3" width="12.7109375" customWidth="1"/>
    <col min="4" max="4" width="7.42578125" customWidth="1"/>
    <col min="5" max="5" width="14.5703125" customWidth="1"/>
    <col min="6" max="6" width="13.7109375" customWidth="1"/>
    <col min="7" max="7" width="9.42578125" customWidth="1"/>
    <col min="8" max="8" width="8.42578125" customWidth="1"/>
    <col min="9" max="9" width="12.28515625" customWidth="1"/>
    <col min="10" max="26" width="8.7109375" customWidth="1"/>
  </cols>
  <sheetData>
    <row r="2" spans="1:7" hidden="1" x14ac:dyDescent="0.25">
      <c r="A2" s="2" t="s">
        <v>2826</v>
      </c>
    </row>
    <row r="3" spans="1:7" hidden="1" x14ac:dyDescent="0.25">
      <c r="A3" s="2" t="s">
        <v>10</v>
      </c>
      <c r="B3" s="2" t="s">
        <v>2827</v>
      </c>
    </row>
    <row r="4" spans="1:7" hidden="1" x14ac:dyDescent="0.25">
      <c r="A4" s="2" t="s">
        <v>1</v>
      </c>
      <c r="B4" s="2" t="s">
        <v>307</v>
      </c>
    </row>
    <row r="5" spans="1:7" hidden="1" x14ac:dyDescent="0.25">
      <c r="A5" s="2" t="s">
        <v>8</v>
      </c>
      <c r="B5" s="2" t="s">
        <v>2817</v>
      </c>
    </row>
    <row r="6" spans="1:7" hidden="1" x14ac:dyDescent="0.25"/>
    <row r="7" spans="1:7" hidden="1" x14ac:dyDescent="0.25">
      <c r="A7" s="2" t="s">
        <v>2778</v>
      </c>
      <c r="B7" s="2" t="s">
        <v>2820</v>
      </c>
    </row>
    <row r="8" spans="1:7" hidden="1" x14ac:dyDescent="0.25">
      <c r="A8" s="2" t="s">
        <v>2821</v>
      </c>
      <c r="B8" s="2" t="s">
        <v>818</v>
      </c>
      <c r="C8" s="2" t="s">
        <v>309</v>
      </c>
      <c r="D8" s="2" t="s">
        <v>594</v>
      </c>
      <c r="E8" s="2" t="s">
        <v>2828</v>
      </c>
      <c r="F8" s="2" t="s">
        <v>1229</v>
      </c>
      <c r="G8" s="2" t="s">
        <v>426</v>
      </c>
    </row>
    <row r="9" spans="1:7" hidden="1" x14ac:dyDescent="0.25">
      <c r="A9" s="6" t="s">
        <v>2825</v>
      </c>
      <c r="B9" s="2">
        <v>14</v>
      </c>
      <c r="C9" s="2">
        <v>60</v>
      </c>
      <c r="D9" s="2">
        <v>38</v>
      </c>
      <c r="E9" s="2">
        <v>10</v>
      </c>
      <c r="F9" s="2">
        <v>18</v>
      </c>
      <c r="G9" s="2">
        <v>121</v>
      </c>
    </row>
    <row r="10" spans="1:7" hidden="1" x14ac:dyDescent="0.25">
      <c r="A10" s="6" t="s">
        <v>91</v>
      </c>
      <c r="B10" s="2">
        <v>3</v>
      </c>
      <c r="C10" s="2">
        <v>2</v>
      </c>
      <c r="G10" s="2">
        <v>8</v>
      </c>
    </row>
    <row r="11" spans="1:7" hidden="1" x14ac:dyDescent="0.25">
      <c r="A11" s="6" t="s">
        <v>2829</v>
      </c>
      <c r="B11" s="2">
        <v>17</v>
      </c>
      <c r="C11" s="2">
        <v>62</v>
      </c>
      <c r="D11" s="2">
        <v>38</v>
      </c>
      <c r="E11" s="2">
        <v>10</v>
      </c>
      <c r="F11" s="2">
        <v>18</v>
      </c>
      <c r="G11" s="2">
        <v>129</v>
      </c>
    </row>
    <row r="31" spans="1:1" ht="15.75" hidden="1" customHeight="1" x14ac:dyDescent="0.25">
      <c r="A31" s="2" t="s">
        <v>2830</v>
      </c>
    </row>
    <row r="34" spans="1:7" ht="15.75" hidden="1" customHeight="1" x14ac:dyDescent="0.25">
      <c r="A34" s="2" t="s">
        <v>10</v>
      </c>
      <c r="B34" s="2" t="s">
        <v>2827</v>
      </c>
    </row>
    <row r="35" spans="1:7" ht="15.75" hidden="1" customHeight="1" x14ac:dyDescent="0.25">
      <c r="A35" s="2" t="s">
        <v>1</v>
      </c>
      <c r="B35" s="2" t="s">
        <v>307</v>
      </c>
    </row>
    <row r="36" spans="1:7" ht="15.75" hidden="1" customHeight="1" x14ac:dyDescent="0.25">
      <c r="A36" s="2" t="s">
        <v>8</v>
      </c>
      <c r="B36" s="2" t="s">
        <v>2817</v>
      </c>
    </row>
    <row r="37" spans="1:7" ht="15.75" hidden="1" customHeight="1" x14ac:dyDescent="0.25"/>
    <row r="38" spans="1:7" ht="15.75" hidden="1" customHeight="1" x14ac:dyDescent="0.25">
      <c r="A38" s="2" t="s">
        <v>2778</v>
      </c>
      <c r="B38" s="2" t="s">
        <v>2820</v>
      </c>
    </row>
    <row r="39" spans="1:7" ht="15.75" hidden="1" customHeight="1" x14ac:dyDescent="0.25">
      <c r="A39" s="2" t="s">
        <v>2821</v>
      </c>
      <c r="B39" s="2" t="s">
        <v>818</v>
      </c>
      <c r="C39" s="2" t="s">
        <v>309</v>
      </c>
      <c r="D39" s="2" t="s">
        <v>594</v>
      </c>
      <c r="E39" s="2" t="s">
        <v>2828</v>
      </c>
      <c r="F39" s="2" t="s">
        <v>1229</v>
      </c>
      <c r="G39" s="2" t="s">
        <v>426</v>
      </c>
    </row>
    <row r="40" spans="1:7" ht="15.75" hidden="1" customHeight="1" x14ac:dyDescent="0.25">
      <c r="A40" s="6" t="s">
        <v>2825</v>
      </c>
      <c r="B40" s="2">
        <v>15</v>
      </c>
      <c r="C40" s="2">
        <v>76</v>
      </c>
      <c r="D40" s="2">
        <v>42</v>
      </c>
      <c r="E40" s="2">
        <v>10</v>
      </c>
      <c r="F40" s="2">
        <v>21</v>
      </c>
      <c r="G40" s="2">
        <v>137</v>
      </c>
    </row>
    <row r="41" spans="1:7" ht="15.75" hidden="1" customHeight="1" x14ac:dyDescent="0.25">
      <c r="A41" s="6" t="s">
        <v>91</v>
      </c>
      <c r="B41" s="2">
        <v>3</v>
      </c>
      <c r="C41" s="2">
        <v>2</v>
      </c>
      <c r="D41" s="2">
        <v>2</v>
      </c>
      <c r="G41" s="2">
        <v>8</v>
      </c>
    </row>
    <row r="42" spans="1:7" ht="15.75" hidden="1" customHeight="1" x14ac:dyDescent="0.25">
      <c r="A42" s="6" t="s">
        <v>2829</v>
      </c>
      <c r="B42" s="2">
        <v>18</v>
      </c>
      <c r="C42" s="2">
        <v>78</v>
      </c>
      <c r="D42" s="2">
        <v>44</v>
      </c>
      <c r="E42" s="2">
        <v>10</v>
      </c>
      <c r="F42" s="2">
        <v>21</v>
      </c>
      <c r="G42" s="2">
        <v>145</v>
      </c>
    </row>
    <row r="60" spans="1:9" ht="15.75" customHeight="1" x14ac:dyDescent="0.25">
      <c r="A60" s="12" t="s">
        <v>3195</v>
      </c>
      <c r="B60" s="15"/>
      <c r="C60" s="15"/>
      <c r="D60" s="15"/>
      <c r="E60" s="15"/>
      <c r="F60" s="15"/>
      <c r="G60" s="15"/>
      <c r="H60" s="15"/>
      <c r="I60" s="15"/>
    </row>
    <row r="61" spans="1:9" ht="15.75" customHeight="1" x14ac:dyDescent="0.25">
      <c r="B61" s="15"/>
      <c r="C61" s="15"/>
      <c r="D61" s="15"/>
      <c r="E61" s="15"/>
      <c r="F61" s="15"/>
      <c r="G61" s="15"/>
      <c r="H61" s="15"/>
      <c r="I61" s="15"/>
    </row>
    <row r="62" spans="1:9" x14ac:dyDescent="0.25">
      <c r="A62" s="120" t="s">
        <v>1</v>
      </c>
      <c r="B62" s="119" t="s">
        <v>307</v>
      </c>
    </row>
    <row r="63" spans="1:9" x14ac:dyDescent="0.25">
      <c r="A63" s="120" t="s">
        <v>8</v>
      </c>
      <c r="B63" s="119" t="s">
        <v>2817</v>
      </c>
    </row>
    <row r="64" spans="1:9" x14ac:dyDescent="0.25">
      <c r="A64" s="120" t="s">
        <v>10</v>
      </c>
      <c r="B64" s="119" t="s">
        <v>2827</v>
      </c>
    </row>
    <row r="65" spans="1:10" ht="15.75" customHeight="1" x14ac:dyDescent="0.25"/>
    <row r="66" spans="1:10" ht="15.75" customHeight="1" x14ac:dyDescent="0.25">
      <c r="A66" s="111" t="s">
        <v>2778</v>
      </c>
      <c r="B66" s="111" t="s">
        <v>17</v>
      </c>
      <c r="C66" s="112"/>
      <c r="D66" s="112"/>
      <c r="E66" s="112"/>
      <c r="F66" s="112"/>
      <c r="G66" s="112"/>
      <c r="H66" s="112"/>
      <c r="I66" s="112"/>
      <c r="J66" s="113"/>
    </row>
    <row r="67" spans="1:10" x14ac:dyDescent="0.25">
      <c r="A67" s="111" t="s">
        <v>6</v>
      </c>
      <c r="B67" s="114" t="s">
        <v>818</v>
      </c>
      <c r="C67" s="115" t="s">
        <v>309</v>
      </c>
      <c r="D67" s="115" t="s">
        <v>594</v>
      </c>
      <c r="E67" s="115" t="s">
        <v>866</v>
      </c>
      <c r="F67" s="115" t="s">
        <v>1229</v>
      </c>
      <c r="G67" s="115" t="s">
        <v>426</v>
      </c>
      <c r="H67" s="115" t="s">
        <v>2239</v>
      </c>
      <c r="I67" s="115" t="s">
        <v>1477</v>
      </c>
      <c r="J67" s="122" t="s">
        <v>2779</v>
      </c>
    </row>
    <row r="68" spans="1:10" x14ac:dyDescent="0.25">
      <c r="A68" s="114" t="s">
        <v>91</v>
      </c>
      <c r="B68" s="184">
        <v>3</v>
      </c>
      <c r="C68" s="185">
        <v>2</v>
      </c>
      <c r="D68" s="185">
        <v>2</v>
      </c>
      <c r="E68" s="185">
        <v>0</v>
      </c>
      <c r="F68" s="185">
        <v>0</v>
      </c>
      <c r="G68" s="185">
        <v>8</v>
      </c>
      <c r="H68" s="185">
        <v>0</v>
      </c>
      <c r="I68" s="185">
        <v>0</v>
      </c>
      <c r="J68" s="199">
        <v>15</v>
      </c>
    </row>
    <row r="69" spans="1:10" x14ac:dyDescent="0.25">
      <c r="A69" s="117" t="s">
        <v>41</v>
      </c>
      <c r="B69" s="187">
        <v>8</v>
      </c>
      <c r="C69" s="188">
        <v>32</v>
      </c>
      <c r="D69" s="188">
        <v>21</v>
      </c>
      <c r="E69" s="188">
        <v>2</v>
      </c>
      <c r="F69" s="188">
        <v>3</v>
      </c>
      <c r="G69" s="188">
        <v>17</v>
      </c>
      <c r="H69" s="188">
        <v>0</v>
      </c>
      <c r="I69" s="188">
        <v>0</v>
      </c>
      <c r="J69" s="200">
        <v>83</v>
      </c>
    </row>
    <row r="70" spans="1:10" x14ac:dyDescent="0.25">
      <c r="A70" s="117" t="s">
        <v>56</v>
      </c>
      <c r="B70" s="187">
        <v>4</v>
      </c>
      <c r="C70" s="188">
        <v>15</v>
      </c>
      <c r="D70" s="188">
        <v>22</v>
      </c>
      <c r="E70" s="188">
        <v>1</v>
      </c>
      <c r="F70" s="188">
        <v>10</v>
      </c>
      <c r="G70" s="188">
        <v>27</v>
      </c>
      <c r="H70" s="188">
        <v>7</v>
      </c>
      <c r="I70" s="188">
        <v>2</v>
      </c>
      <c r="J70" s="200">
        <v>88</v>
      </c>
    </row>
    <row r="71" spans="1:10" x14ac:dyDescent="0.25">
      <c r="A71" s="117" t="s">
        <v>3183</v>
      </c>
      <c r="B71" s="187">
        <v>4</v>
      </c>
      <c r="C71" s="188">
        <v>37</v>
      </c>
      <c r="D71" s="188">
        <v>12</v>
      </c>
      <c r="E71" s="188">
        <v>8</v>
      </c>
      <c r="F71" s="188">
        <v>1</v>
      </c>
      <c r="G71" s="188">
        <v>87</v>
      </c>
      <c r="H71" s="188">
        <v>0</v>
      </c>
      <c r="I71" s="188">
        <v>0</v>
      </c>
      <c r="J71" s="200">
        <v>149</v>
      </c>
    </row>
    <row r="72" spans="1:10" x14ac:dyDescent="0.25">
      <c r="A72" s="117" t="s">
        <v>47</v>
      </c>
      <c r="B72" s="187">
        <v>3</v>
      </c>
      <c r="C72" s="188">
        <v>0</v>
      </c>
      <c r="D72" s="188">
        <v>2</v>
      </c>
      <c r="E72" s="188">
        <v>1</v>
      </c>
      <c r="F72" s="188">
        <v>0</v>
      </c>
      <c r="G72" s="188">
        <v>13</v>
      </c>
      <c r="H72" s="188">
        <v>0</v>
      </c>
      <c r="I72" s="188">
        <v>0</v>
      </c>
      <c r="J72" s="200">
        <v>19</v>
      </c>
    </row>
    <row r="73" spans="1:10" x14ac:dyDescent="0.25">
      <c r="A73" s="117" t="s">
        <v>199</v>
      </c>
      <c r="B73" s="187">
        <v>0</v>
      </c>
      <c r="C73" s="188">
        <v>0</v>
      </c>
      <c r="D73" s="188">
        <v>1</v>
      </c>
      <c r="E73" s="188">
        <v>0</v>
      </c>
      <c r="F73" s="188">
        <v>1</v>
      </c>
      <c r="G73" s="188">
        <v>3</v>
      </c>
      <c r="H73" s="188">
        <v>0</v>
      </c>
      <c r="I73" s="188">
        <v>0</v>
      </c>
      <c r="J73" s="200">
        <v>5</v>
      </c>
    </row>
    <row r="74" spans="1:10" x14ac:dyDescent="0.25">
      <c r="A74" s="210" t="s">
        <v>2779</v>
      </c>
      <c r="B74" s="208">
        <v>22</v>
      </c>
      <c r="C74" s="209">
        <v>86</v>
      </c>
      <c r="D74" s="209">
        <v>60</v>
      </c>
      <c r="E74" s="209">
        <v>12</v>
      </c>
      <c r="F74" s="209">
        <v>15</v>
      </c>
      <c r="G74" s="209">
        <v>155</v>
      </c>
      <c r="H74" s="209">
        <v>7</v>
      </c>
      <c r="I74" s="209">
        <v>2</v>
      </c>
      <c r="J74" s="207">
        <v>359</v>
      </c>
    </row>
  </sheetData>
  <pageMargins left="0.7" right="0.7" top="0.75" bottom="0.75" header="0" footer="0"/>
  <pageSetup orientation="portrait"/>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G77"/>
  <sheetViews>
    <sheetView topLeftCell="A39" workbookViewId="0">
      <selection activeCell="B48" sqref="B48"/>
    </sheetView>
  </sheetViews>
  <sheetFormatPr defaultColWidth="14.42578125" defaultRowHeight="15" customHeight="1" x14ac:dyDescent="0.25"/>
  <cols>
    <col min="1" max="1" width="12.42578125" customWidth="1"/>
    <col min="2" max="2" width="14.42578125" customWidth="1"/>
    <col min="3" max="3" width="11.42578125" customWidth="1"/>
    <col min="4" max="4" width="17.7109375" customWidth="1"/>
    <col min="5" max="5" width="16.7109375" customWidth="1"/>
    <col min="6" max="6" width="6.7109375" customWidth="1"/>
    <col min="7" max="7" width="10.7109375" customWidth="1"/>
    <col min="8" max="26" width="11.42578125" customWidth="1"/>
  </cols>
  <sheetData>
    <row r="1" spans="1:7" hidden="1" x14ac:dyDescent="0.25">
      <c r="A1" s="2" t="s">
        <v>2831</v>
      </c>
    </row>
    <row r="2" spans="1:7" hidden="1" x14ac:dyDescent="0.25">
      <c r="D2" s="3" t="s">
        <v>8</v>
      </c>
      <c r="E2" s="2" t="s">
        <v>2817</v>
      </c>
    </row>
    <row r="3" spans="1:7" hidden="1" x14ac:dyDescent="0.25">
      <c r="D3" s="3" t="s">
        <v>2818</v>
      </c>
      <c r="E3" s="2" t="s">
        <v>31</v>
      </c>
    </row>
    <row r="4" spans="1:7" hidden="1" x14ac:dyDescent="0.25"/>
    <row r="5" spans="1:7" hidden="1" x14ac:dyDescent="0.25">
      <c r="A5" s="2" t="s">
        <v>2807</v>
      </c>
      <c r="B5" s="2" t="s">
        <v>2832</v>
      </c>
      <c r="D5" s="3" t="s">
        <v>2833</v>
      </c>
      <c r="E5" s="3" t="s">
        <v>2820</v>
      </c>
    </row>
    <row r="6" spans="1:7" hidden="1" x14ac:dyDescent="0.25">
      <c r="A6" s="2" t="str">
        <f t="shared" ref="A6:A15" si="0">D7</f>
        <v>Thailand</v>
      </c>
      <c r="B6" s="2" t="e">
        <f>GETPIVOTDATA("Visit Type ",$D$5,"Partner Country","Thailand","Visit Type ","Hosted")-GETPIVOTDATA("Visit Type ",$D$5,"Partner Country","Thailand","Visit Type ","Abroad")</f>
        <v>#REF!</v>
      </c>
      <c r="D6" s="3" t="s">
        <v>2821</v>
      </c>
      <c r="E6" s="2" t="s">
        <v>83</v>
      </c>
      <c r="F6" s="2" t="s">
        <v>101</v>
      </c>
      <c r="G6" s="2" t="s">
        <v>2779</v>
      </c>
    </row>
    <row r="7" spans="1:7" hidden="1" x14ac:dyDescent="0.25">
      <c r="A7" s="2" t="str">
        <f t="shared" si="0"/>
        <v>Vietnam</v>
      </c>
      <c r="B7" s="2" t="e">
        <f>GETPIVOTDATA("Visit Type ",$D$5,"Partner Country","Vietnam","Visit Type ","Hosted")-GETPIVOTDATA("Visit Type ",$D$5,"Partner Country","Vietnam","Visit Type ","Abroad")</f>
        <v>#REF!</v>
      </c>
      <c r="D7" s="6" t="s">
        <v>52</v>
      </c>
      <c r="E7" s="2">
        <v>17</v>
      </c>
      <c r="F7" s="2">
        <v>33</v>
      </c>
      <c r="G7" s="2">
        <v>50</v>
      </c>
    </row>
    <row r="8" spans="1:7" hidden="1" x14ac:dyDescent="0.25">
      <c r="A8" s="2" t="str">
        <f t="shared" si="0"/>
        <v>Australia</v>
      </c>
      <c r="B8" s="2" t="e">
        <f>GETPIVOTDATA("Visit Type ",$D$5,"Partner Country","Australia","Visit Type ","Hosted")-GETPIVOTDATA("Visit Type ",$D$5,"Partner Country","Australia","Visit Type ","Abroad")</f>
        <v>#REF!</v>
      </c>
      <c r="D8" s="6" t="s">
        <v>114</v>
      </c>
      <c r="E8" s="2">
        <v>18</v>
      </c>
      <c r="F8" s="2">
        <v>28</v>
      </c>
      <c r="G8" s="2">
        <v>46</v>
      </c>
    </row>
    <row r="9" spans="1:7" hidden="1" x14ac:dyDescent="0.25">
      <c r="A9" s="2" t="str">
        <f t="shared" si="0"/>
        <v>Singapore</v>
      </c>
      <c r="B9" s="2" t="e">
        <f>GETPIVOTDATA("Visit Type ",$D$5,"Partner Country","Singapore","Visit Type ","Hosted")-GETPIVOTDATA("Visit Type ",$D$5,"Partner Country","Singapore","Visit Type ","Abroad")</f>
        <v>#REF!</v>
      </c>
      <c r="D9" s="6" t="s">
        <v>73</v>
      </c>
      <c r="E9" s="2">
        <v>18</v>
      </c>
      <c r="F9" s="2">
        <v>27</v>
      </c>
      <c r="G9" s="2">
        <v>45</v>
      </c>
    </row>
    <row r="10" spans="1:7" hidden="1" x14ac:dyDescent="0.25">
      <c r="A10" s="2" t="str">
        <f t="shared" si="0"/>
        <v>South Korea</v>
      </c>
      <c r="B10" s="2" t="e">
        <f>GETPIVOTDATA("Visit Type ",$D$5,"Partner Country","South Korea","Visit Type ","Hosted")-GETPIVOTDATA("Visit Type ",$D$5,"Partner Country","South Korea","Visit Type ","Abroad")</f>
        <v>#REF!</v>
      </c>
      <c r="D10" s="6" t="s">
        <v>194</v>
      </c>
      <c r="E10" s="2">
        <v>20</v>
      </c>
      <c r="F10" s="2">
        <v>23</v>
      </c>
      <c r="G10" s="2">
        <v>43</v>
      </c>
    </row>
    <row r="11" spans="1:7" hidden="1" x14ac:dyDescent="0.25">
      <c r="A11" s="2" t="str">
        <f t="shared" si="0"/>
        <v>New Zealand</v>
      </c>
      <c r="B11" s="2" t="e">
        <f>GETPIVOTDATA("Visit Type ",$D$5,"Partner Country","New Zealand","Visit Type ","Hosted")-GETPIVOTDATA("Visit Type ",$D$5,"Partner Country","New Zealand","Visit Type ","Abroad")</f>
        <v>#REF!</v>
      </c>
      <c r="D11" s="6" t="s">
        <v>130</v>
      </c>
      <c r="E11" s="2">
        <v>18</v>
      </c>
      <c r="F11" s="2">
        <v>20</v>
      </c>
      <c r="G11" s="2">
        <v>38</v>
      </c>
    </row>
    <row r="12" spans="1:7" hidden="1" x14ac:dyDescent="0.25">
      <c r="A12" s="2" t="str">
        <f t="shared" si="0"/>
        <v>Myanmar</v>
      </c>
      <c r="B12" s="2" t="e">
        <f>GETPIVOTDATA("Visit Type ",$D$5,"Partner Country","Myanmar","Visit Type ","Hosted")-GETPIVOTDATA("Visit Type ",$D$5,"Partner Country","Myanmar","Visit Type ","Abroad")</f>
        <v>#REF!</v>
      </c>
      <c r="D12" s="6" t="s">
        <v>75</v>
      </c>
      <c r="E12" s="2">
        <v>16</v>
      </c>
      <c r="F12" s="2">
        <v>21</v>
      </c>
      <c r="G12" s="2">
        <v>37</v>
      </c>
    </row>
    <row r="13" spans="1:7" hidden="1" x14ac:dyDescent="0.25">
      <c r="A13" s="2" t="str">
        <f t="shared" si="0"/>
        <v>Cambodia</v>
      </c>
      <c r="B13" s="2" t="e">
        <f>GETPIVOTDATA("Visit Type ",$D$5,"Partner Country","Cambodia","Visit Type ","Hosted")-GETPIVOTDATA("Visit Type ",$D$5,"Partner Country","Cambodia","Visit Type ","Abroad")</f>
        <v>#REF!</v>
      </c>
      <c r="D13" s="6" t="s">
        <v>37</v>
      </c>
      <c r="E13" s="2">
        <v>13</v>
      </c>
      <c r="F13" s="2">
        <v>18</v>
      </c>
      <c r="G13" s="2">
        <v>31</v>
      </c>
    </row>
    <row r="14" spans="1:7" hidden="1" x14ac:dyDescent="0.25">
      <c r="A14" s="2" t="str">
        <f t="shared" si="0"/>
        <v>Indonesia</v>
      </c>
      <c r="B14" s="2" t="e">
        <f>GETPIVOTDATA("Visit Type ",$D$5,"Partner Country","Indonesia","Visit Type ","Hosted")-GETPIVOTDATA("Visit Type ",$D$5,"Partner Country","Indonesia","Visit Type ","Abroad")</f>
        <v>#REF!</v>
      </c>
      <c r="D14" s="6" t="s">
        <v>438</v>
      </c>
      <c r="E14" s="2">
        <v>9</v>
      </c>
      <c r="F14" s="2">
        <v>21</v>
      </c>
      <c r="G14" s="2">
        <v>30</v>
      </c>
    </row>
    <row r="15" spans="1:7" hidden="1" x14ac:dyDescent="0.25">
      <c r="A15" s="2" t="str">
        <f t="shared" si="0"/>
        <v>India</v>
      </c>
      <c r="B15" s="2" t="e">
        <f>GETPIVOTDATA("Visit Type ",$D$5,"Partner Country","India","Visit Type ","Hosted")-GETPIVOTDATA("Visit Type ",$D$5,"Partner Country","India","Visit Type ","Abroad")</f>
        <v>#REF!</v>
      </c>
      <c r="D15" s="6" t="s">
        <v>59</v>
      </c>
      <c r="E15" s="2">
        <v>15</v>
      </c>
      <c r="F15" s="2">
        <v>15</v>
      </c>
      <c r="G15" s="2">
        <v>30</v>
      </c>
    </row>
    <row r="16" spans="1:7" hidden="1" x14ac:dyDescent="0.25">
      <c r="D16" s="6" t="s">
        <v>53</v>
      </c>
      <c r="E16" s="2">
        <v>13</v>
      </c>
      <c r="F16" s="2">
        <v>17</v>
      </c>
      <c r="G16" s="2">
        <v>30</v>
      </c>
    </row>
    <row r="39" spans="1:7" ht="15.75" customHeight="1" x14ac:dyDescent="0.25">
      <c r="A39" s="12" t="s">
        <v>3617</v>
      </c>
    </row>
    <row r="40" spans="1:7" ht="15.75" customHeight="1" x14ac:dyDescent="0.25">
      <c r="D40" s="3" t="s">
        <v>8</v>
      </c>
      <c r="E40" s="2" t="s">
        <v>2817</v>
      </c>
    </row>
    <row r="41" spans="1:7" ht="15.75" customHeight="1" x14ac:dyDescent="0.25">
      <c r="D41" s="3" t="s">
        <v>6</v>
      </c>
      <c r="E41" s="143" t="s">
        <v>3183</v>
      </c>
    </row>
    <row r="42" spans="1:7" ht="15.75" customHeight="1" x14ac:dyDescent="0.25"/>
    <row r="43" spans="1:7" ht="15.75" customHeight="1" x14ac:dyDescent="0.25">
      <c r="D43" s="3" t="s">
        <v>2833</v>
      </c>
      <c r="E43" s="3" t="s">
        <v>2820</v>
      </c>
    </row>
    <row r="44" spans="1:7" ht="15.75" customHeight="1" x14ac:dyDescent="0.25">
      <c r="A44" s="2" t="s">
        <v>2807</v>
      </c>
      <c r="B44" s="2" t="s">
        <v>2832</v>
      </c>
      <c r="D44" s="3" t="s">
        <v>2821</v>
      </c>
      <c r="E44" s="2" t="s">
        <v>83</v>
      </c>
      <c r="F44" s="2" t="s">
        <v>101</v>
      </c>
      <c r="G44" s="2" t="s">
        <v>2779</v>
      </c>
    </row>
    <row r="45" spans="1:7" ht="15.75" customHeight="1" x14ac:dyDescent="0.25">
      <c r="A45" s="2" t="str">
        <f t="shared" ref="A45:A74" si="1">D45</f>
        <v>Thailand</v>
      </c>
      <c r="B45" s="2">
        <f>F45-E45</f>
        <v>18</v>
      </c>
      <c r="D45" s="6" t="s">
        <v>52</v>
      </c>
      <c r="E45" s="2">
        <v>18</v>
      </c>
      <c r="F45" s="2">
        <v>36</v>
      </c>
      <c r="G45" s="2">
        <v>54</v>
      </c>
    </row>
    <row r="46" spans="1:7" ht="15.75" customHeight="1" x14ac:dyDescent="0.25">
      <c r="A46" s="2" t="str">
        <f t="shared" si="1"/>
        <v>Vietnam</v>
      </c>
      <c r="B46" s="2">
        <f t="shared" ref="B46:B74" si="2">F46-E46</f>
        <v>11</v>
      </c>
      <c r="D46" s="6" t="s">
        <v>114</v>
      </c>
      <c r="E46" s="2">
        <v>21</v>
      </c>
      <c r="F46" s="2">
        <v>32</v>
      </c>
      <c r="G46" s="2">
        <v>53</v>
      </c>
    </row>
    <row r="47" spans="1:7" ht="15.75" customHeight="1" x14ac:dyDescent="0.25">
      <c r="A47" s="2" t="str">
        <f t="shared" si="1"/>
        <v>Singapore</v>
      </c>
      <c r="B47" s="2">
        <f t="shared" si="2"/>
        <v>5</v>
      </c>
      <c r="D47" s="6" t="s">
        <v>194</v>
      </c>
      <c r="E47" s="2">
        <v>23</v>
      </c>
      <c r="F47" s="2">
        <v>28</v>
      </c>
      <c r="G47" s="2">
        <v>51</v>
      </c>
    </row>
    <row r="48" spans="1:7" ht="15.75" customHeight="1" x14ac:dyDescent="0.25">
      <c r="A48" s="2" t="str">
        <f t="shared" si="1"/>
        <v>Australia</v>
      </c>
      <c r="B48" s="2">
        <f t="shared" si="2"/>
        <v>9</v>
      </c>
      <c r="D48" s="6" t="s">
        <v>73</v>
      </c>
      <c r="E48" s="2">
        <v>20</v>
      </c>
      <c r="F48" s="2">
        <v>29</v>
      </c>
      <c r="G48" s="2">
        <v>49</v>
      </c>
    </row>
    <row r="49" spans="1:7" ht="15.75" customHeight="1" x14ac:dyDescent="0.25">
      <c r="A49" s="2" t="str">
        <f t="shared" si="1"/>
        <v>South Korea</v>
      </c>
      <c r="B49" s="2">
        <f t="shared" si="2"/>
        <v>7</v>
      </c>
      <c r="D49" s="6" t="s">
        <v>130</v>
      </c>
      <c r="E49" s="2">
        <v>20</v>
      </c>
      <c r="F49" s="2">
        <v>27</v>
      </c>
      <c r="G49" s="2">
        <v>47</v>
      </c>
    </row>
    <row r="50" spans="1:7" ht="15.75" customHeight="1" x14ac:dyDescent="0.25">
      <c r="A50" s="2" t="str">
        <f t="shared" si="1"/>
        <v>New Zealand</v>
      </c>
      <c r="B50" s="2">
        <f t="shared" si="2"/>
        <v>4</v>
      </c>
      <c r="D50" s="6" t="s">
        <v>75</v>
      </c>
      <c r="E50" s="2">
        <v>18</v>
      </c>
      <c r="F50" s="2">
        <v>22</v>
      </c>
      <c r="G50" s="2">
        <v>40</v>
      </c>
    </row>
    <row r="51" spans="1:7" ht="15.75" customHeight="1" x14ac:dyDescent="0.25">
      <c r="A51" s="2" t="str">
        <f t="shared" si="1"/>
        <v>Indonesia</v>
      </c>
      <c r="B51" s="2">
        <f t="shared" si="2"/>
        <v>0</v>
      </c>
      <c r="D51" s="6" t="s">
        <v>59</v>
      </c>
      <c r="E51" s="2">
        <v>18</v>
      </c>
      <c r="F51" s="2">
        <v>18</v>
      </c>
      <c r="G51" s="2">
        <v>36</v>
      </c>
    </row>
    <row r="52" spans="1:7" ht="15.75" customHeight="1" x14ac:dyDescent="0.25">
      <c r="A52" s="2" t="str">
        <f t="shared" si="1"/>
        <v>Cambodia</v>
      </c>
      <c r="B52" s="2">
        <f t="shared" si="2"/>
        <v>15</v>
      </c>
      <c r="D52" s="6" t="s">
        <v>438</v>
      </c>
      <c r="E52" s="2">
        <v>10</v>
      </c>
      <c r="F52" s="2">
        <v>25</v>
      </c>
      <c r="G52" s="2">
        <v>35</v>
      </c>
    </row>
    <row r="53" spans="1:7" ht="15.75" customHeight="1" x14ac:dyDescent="0.25">
      <c r="A53" s="2" t="str">
        <f t="shared" si="1"/>
        <v>India</v>
      </c>
      <c r="B53" s="2">
        <f t="shared" si="2"/>
        <v>4</v>
      </c>
      <c r="D53" s="6" t="s">
        <v>53</v>
      </c>
      <c r="E53" s="2">
        <v>15</v>
      </c>
      <c r="F53" s="2">
        <v>19</v>
      </c>
      <c r="G53" s="2">
        <v>34</v>
      </c>
    </row>
    <row r="54" spans="1:7" ht="15.75" customHeight="1" x14ac:dyDescent="0.25">
      <c r="A54" s="2" t="str">
        <f t="shared" si="1"/>
        <v>Laos</v>
      </c>
      <c r="B54" s="2">
        <f t="shared" si="2"/>
        <v>1</v>
      </c>
      <c r="D54" s="6" t="s">
        <v>242</v>
      </c>
      <c r="E54" s="2">
        <v>16</v>
      </c>
      <c r="F54" s="2">
        <v>17</v>
      </c>
      <c r="G54" s="2">
        <v>33</v>
      </c>
    </row>
    <row r="55" spans="1:7" ht="15.75" customHeight="1" x14ac:dyDescent="0.25">
      <c r="A55" s="2" t="str">
        <f t="shared" si="1"/>
        <v>Myanmar</v>
      </c>
      <c r="B55" s="2">
        <f t="shared" si="2"/>
        <v>7</v>
      </c>
      <c r="D55" s="6" t="s">
        <v>37</v>
      </c>
      <c r="E55" s="2">
        <v>13</v>
      </c>
      <c r="F55" s="2">
        <v>20</v>
      </c>
      <c r="G55" s="2">
        <v>33</v>
      </c>
    </row>
    <row r="56" spans="1:7" ht="15.75" customHeight="1" x14ac:dyDescent="0.25">
      <c r="A56" s="2" t="str">
        <f t="shared" si="1"/>
        <v>Malaysia</v>
      </c>
      <c r="B56" s="2">
        <f t="shared" si="2"/>
        <v>2</v>
      </c>
      <c r="D56" s="6" t="s">
        <v>67</v>
      </c>
      <c r="E56" s="2">
        <v>14</v>
      </c>
      <c r="F56" s="2">
        <v>16</v>
      </c>
      <c r="G56" s="2">
        <v>30</v>
      </c>
    </row>
    <row r="57" spans="1:7" ht="15.75" customHeight="1" x14ac:dyDescent="0.25">
      <c r="A57" s="2" t="str">
        <f t="shared" si="1"/>
        <v>Bangladesh</v>
      </c>
      <c r="B57" s="2">
        <f t="shared" si="2"/>
        <v>12</v>
      </c>
      <c r="D57" s="6" t="s">
        <v>32</v>
      </c>
      <c r="E57" s="2">
        <v>8</v>
      </c>
      <c r="F57" s="2">
        <v>20</v>
      </c>
      <c r="G57" s="2">
        <v>28</v>
      </c>
    </row>
    <row r="58" spans="1:7" ht="15.75" customHeight="1" x14ac:dyDescent="0.25">
      <c r="A58" s="2" t="str">
        <f t="shared" si="1"/>
        <v>Japan</v>
      </c>
      <c r="B58" s="2">
        <f t="shared" si="2"/>
        <v>4</v>
      </c>
      <c r="D58" s="6" t="s">
        <v>409</v>
      </c>
      <c r="E58" s="2">
        <v>12</v>
      </c>
      <c r="F58" s="2">
        <v>16</v>
      </c>
      <c r="G58" s="2">
        <v>28</v>
      </c>
    </row>
    <row r="59" spans="1:7" ht="15.75" customHeight="1" x14ac:dyDescent="0.25">
      <c r="A59" s="2" t="str">
        <f t="shared" si="1"/>
        <v>North Korea</v>
      </c>
      <c r="B59" s="2">
        <f t="shared" si="2"/>
        <v>7</v>
      </c>
      <c r="D59" s="6" t="s">
        <v>63</v>
      </c>
      <c r="E59" s="2">
        <v>9</v>
      </c>
      <c r="F59" s="2">
        <v>16</v>
      </c>
      <c r="G59" s="2">
        <v>25</v>
      </c>
    </row>
    <row r="60" spans="1:7" ht="15.75" customHeight="1" x14ac:dyDescent="0.25">
      <c r="A60" s="2" t="str">
        <f t="shared" si="1"/>
        <v>Philippines</v>
      </c>
      <c r="B60" s="2">
        <f t="shared" si="2"/>
        <v>5</v>
      </c>
      <c r="D60" s="6" t="s">
        <v>69</v>
      </c>
      <c r="E60" s="2">
        <v>10</v>
      </c>
      <c r="F60" s="2">
        <v>15</v>
      </c>
      <c r="G60" s="2">
        <v>25</v>
      </c>
    </row>
    <row r="61" spans="1:7" ht="15.75" customHeight="1" x14ac:dyDescent="0.25">
      <c r="A61" s="2" t="str">
        <f t="shared" si="1"/>
        <v>Mongolia</v>
      </c>
      <c r="B61" s="2">
        <f t="shared" si="2"/>
        <v>6</v>
      </c>
      <c r="D61" s="6" t="s">
        <v>244</v>
      </c>
      <c r="E61" s="2">
        <v>8</v>
      </c>
      <c r="F61" s="2">
        <v>14</v>
      </c>
      <c r="G61" s="2">
        <v>22</v>
      </c>
    </row>
    <row r="62" spans="1:7" ht="15.75" customHeight="1" x14ac:dyDescent="0.25">
      <c r="A62" s="2" t="str">
        <f t="shared" si="1"/>
        <v>Nepal</v>
      </c>
      <c r="B62" s="2">
        <f t="shared" si="2"/>
        <v>8</v>
      </c>
      <c r="D62" s="6" t="s">
        <v>163</v>
      </c>
      <c r="E62" s="2">
        <v>5</v>
      </c>
      <c r="F62" s="2">
        <v>13</v>
      </c>
      <c r="G62" s="2">
        <v>18</v>
      </c>
    </row>
    <row r="63" spans="1:7" ht="15.75" customHeight="1" x14ac:dyDescent="0.25">
      <c r="A63" s="2" t="str">
        <f t="shared" si="1"/>
        <v>Sri Lanka</v>
      </c>
      <c r="B63" s="2">
        <f t="shared" si="2"/>
        <v>4</v>
      </c>
      <c r="D63" s="6" t="s">
        <v>43</v>
      </c>
      <c r="E63" s="2">
        <v>7</v>
      </c>
      <c r="F63" s="2">
        <v>11</v>
      </c>
      <c r="G63" s="2">
        <v>18</v>
      </c>
    </row>
    <row r="64" spans="1:7" ht="15.75" customHeight="1" x14ac:dyDescent="0.25">
      <c r="A64" s="2" t="str">
        <f t="shared" si="1"/>
        <v>Brunei</v>
      </c>
      <c r="B64" s="2">
        <f t="shared" si="2"/>
        <v>-2</v>
      </c>
      <c r="D64" s="6" t="s">
        <v>211</v>
      </c>
      <c r="E64" s="2">
        <v>9</v>
      </c>
      <c r="F64" s="2">
        <v>7</v>
      </c>
      <c r="G64" s="2">
        <v>16</v>
      </c>
    </row>
    <row r="65" spans="1:7" ht="15.75" customHeight="1" x14ac:dyDescent="0.25">
      <c r="A65" s="2" t="str">
        <f t="shared" si="1"/>
        <v>ASEAN</v>
      </c>
      <c r="B65" s="2">
        <f t="shared" si="2"/>
        <v>-14</v>
      </c>
      <c r="D65" s="6" t="s">
        <v>888</v>
      </c>
      <c r="E65" s="2">
        <v>15</v>
      </c>
      <c r="F65" s="2">
        <v>1</v>
      </c>
      <c r="G65" s="2">
        <v>16</v>
      </c>
    </row>
    <row r="66" spans="1:7" ht="15.75" customHeight="1" x14ac:dyDescent="0.25">
      <c r="A66" s="2" t="str">
        <f t="shared" si="1"/>
        <v>IISS</v>
      </c>
      <c r="B66" s="2">
        <f t="shared" si="2"/>
        <v>-14</v>
      </c>
      <c r="D66" s="6" t="s">
        <v>722</v>
      </c>
      <c r="E66" s="2">
        <v>14</v>
      </c>
      <c r="G66" s="2">
        <v>14</v>
      </c>
    </row>
    <row r="67" spans="1:7" ht="15.75" customHeight="1" x14ac:dyDescent="0.25">
      <c r="A67" s="2" t="str">
        <f t="shared" si="1"/>
        <v>N/A</v>
      </c>
      <c r="B67" s="2">
        <f t="shared" si="2"/>
        <v>7</v>
      </c>
      <c r="D67" s="6" t="s">
        <v>46</v>
      </c>
      <c r="F67" s="2">
        <v>7</v>
      </c>
      <c r="G67" s="2">
        <v>7</v>
      </c>
    </row>
    <row r="68" spans="1:7" ht="15.75" customHeight="1" x14ac:dyDescent="0.25">
      <c r="A68" s="2" t="str">
        <f t="shared" si="1"/>
        <v>Papua New Guinea</v>
      </c>
      <c r="B68" s="2">
        <f t="shared" si="2"/>
        <v>4</v>
      </c>
      <c r="D68" s="6" t="s">
        <v>600</v>
      </c>
      <c r="E68" s="2">
        <v>1</v>
      </c>
      <c r="F68" s="2">
        <v>5</v>
      </c>
      <c r="G68" s="2">
        <v>6</v>
      </c>
    </row>
    <row r="69" spans="1:7" ht="15.75" customHeight="1" x14ac:dyDescent="0.25">
      <c r="A69" s="2" t="str">
        <f t="shared" si="1"/>
        <v>Fiji</v>
      </c>
      <c r="B69" s="2">
        <f t="shared" si="2"/>
        <v>5</v>
      </c>
      <c r="D69" s="6" t="s">
        <v>621</v>
      </c>
      <c r="F69" s="2">
        <v>5</v>
      </c>
      <c r="G69" s="2">
        <v>5</v>
      </c>
    </row>
    <row r="70" spans="1:7" ht="15.75" customHeight="1" x14ac:dyDescent="0.25">
      <c r="A70" s="2" t="str">
        <f t="shared" si="1"/>
        <v>Maldives</v>
      </c>
      <c r="B70" s="2">
        <f t="shared" si="2"/>
        <v>2</v>
      </c>
      <c r="D70" s="6" t="s">
        <v>791</v>
      </c>
      <c r="E70" s="2">
        <v>1</v>
      </c>
      <c r="F70" s="2">
        <v>3</v>
      </c>
      <c r="G70" s="2">
        <v>4</v>
      </c>
    </row>
    <row r="71" spans="1:7" ht="15.75" customHeight="1" x14ac:dyDescent="0.25">
      <c r="A71" s="2" t="str">
        <f t="shared" si="1"/>
        <v>Tonga</v>
      </c>
      <c r="B71" s="2">
        <f t="shared" si="2"/>
        <v>2</v>
      </c>
      <c r="D71" s="6" t="s">
        <v>769</v>
      </c>
      <c r="E71" s="2">
        <v>1</v>
      </c>
      <c r="F71" s="2">
        <v>3</v>
      </c>
      <c r="G71" s="2">
        <v>4</v>
      </c>
    </row>
    <row r="72" spans="1:7" ht="15.75" customHeight="1" x14ac:dyDescent="0.25">
      <c r="A72" s="2" t="str">
        <f t="shared" si="1"/>
        <v>Vanuatu</v>
      </c>
      <c r="B72" s="2">
        <f t="shared" si="2"/>
        <v>2</v>
      </c>
      <c r="D72" s="6" t="s">
        <v>588</v>
      </c>
      <c r="E72" s="2">
        <v>1</v>
      </c>
      <c r="F72" s="2">
        <v>3</v>
      </c>
      <c r="G72" s="2">
        <v>4</v>
      </c>
    </row>
    <row r="73" spans="1:7" ht="15.75" customHeight="1" x14ac:dyDescent="0.25">
      <c r="A73" s="2" t="str">
        <f t="shared" si="1"/>
        <v>East Timor</v>
      </c>
      <c r="B73" s="2">
        <f t="shared" si="2"/>
        <v>3</v>
      </c>
      <c r="D73" s="6" t="s">
        <v>239</v>
      </c>
      <c r="F73" s="2">
        <v>3</v>
      </c>
      <c r="G73" s="2">
        <v>3</v>
      </c>
    </row>
    <row r="74" spans="1:7" ht="15.75" customHeight="1" x14ac:dyDescent="0.25">
      <c r="A74" s="2" t="str">
        <f t="shared" si="1"/>
        <v>WPNS</v>
      </c>
      <c r="B74" s="2">
        <f t="shared" si="2"/>
        <v>1</v>
      </c>
      <c r="D74" s="6" t="s">
        <v>716</v>
      </c>
      <c r="F74" s="2">
        <v>1</v>
      </c>
      <c r="G74" s="2">
        <v>1</v>
      </c>
    </row>
    <row r="75" spans="1:7" ht="15.75" customHeight="1" x14ac:dyDescent="0.25">
      <c r="A75" s="2"/>
      <c r="B75" s="2"/>
    </row>
    <row r="76" spans="1:7" ht="15.75" customHeight="1" x14ac:dyDescent="0.25">
      <c r="A76" s="2"/>
      <c r="B76" s="2"/>
    </row>
    <row r="77" spans="1:7" ht="15.75" customHeight="1" x14ac:dyDescent="0.25">
      <c r="A77" s="2"/>
      <c r="B77" s="2"/>
    </row>
  </sheetData>
  <pageMargins left="0.7" right="0.7" top="0.75" bottom="0.75" header="0" footer="0"/>
  <pageSetup orientation="portrait"/>
  <drawing r:id="rId1"/>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Y62"/>
  <sheetViews>
    <sheetView topLeftCell="A53" workbookViewId="0">
      <selection activeCell="O61" sqref="O61"/>
    </sheetView>
  </sheetViews>
  <sheetFormatPr defaultColWidth="14.42578125" defaultRowHeight="15" customHeight="1" x14ac:dyDescent="0.25"/>
  <cols>
    <col min="1" max="1" width="23.42578125" customWidth="1"/>
    <col min="2" max="2" width="15.42578125" customWidth="1"/>
    <col min="3" max="20" width="5" customWidth="1"/>
    <col min="21" max="24" width="6" customWidth="1"/>
    <col min="25" max="25" width="11.28515625" customWidth="1"/>
    <col min="26" max="26" width="8.7109375" customWidth="1"/>
  </cols>
  <sheetData>
    <row r="1" spans="1:17" hidden="1" x14ac:dyDescent="0.25">
      <c r="A1" s="2" t="s">
        <v>3717</v>
      </c>
    </row>
    <row r="2" spans="1:17" hidden="1" x14ac:dyDescent="0.25">
      <c r="A2" s="3" t="s">
        <v>2818</v>
      </c>
      <c r="B2" s="2" t="s">
        <v>91</v>
      </c>
    </row>
    <row r="3" spans="1:17" hidden="1" x14ac:dyDescent="0.25"/>
    <row r="4" spans="1:17" hidden="1" x14ac:dyDescent="0.25">
      <c r="A4" s="3" t="s">
        <v>2778</v>
      </c>
      <c r="B4" s="3" t="s">
        <v>2820</v>
      </c>
    </row>
    <row r="5" spans="1:17" hidden="1" x14ac:dyDescent="0.25">
      <c r="A5" s="3" t="s">
        <v>2821</v>
      </c>
      <c r="B5" s="2">
        <v>2003</v>
      </c>
      <c r="C5" s="2">
        <v>2004</v>
      </c>
      <c r="D5" s="2">
        <v>2005</v>
      </c>
      <c r="E5" s="2">
        <v>2006</v>
      </c>
      <c r="F5" s="2">
        <v>2007</v>
      </c>
      <c r="G5" s="2">
        <v>2008</v>
      </c>
      <c r="H5" s="2">
        <v>2009</v>
      </c>
      <c r="I5" s="2">
        <v>2010</v>
      </c>
      <c r="J5" s="2">
        <v>2011</v>
      </c>
      <c r="K5" s="2">
        <v>2012</v>
      </c>
      <c r="L5" s="2">
        <v>2013</v>
      </c>
      <c r="M5" s="2">
        <v>2014</v>
      </c>
      <c r="N5" s="2">
        <v>2015</v>
      </c>
      <c r="O5" s="2">
        <v>2016</v>
      </c>
      <c r="P5" s="2">
        <v>2017</v>
      </c>
      <c r="Q5" s="2">
        <v>2018</v>
      </c>
    </row>
    <row r="6" spans="1:17" hidden="1" x14ac:dyDescent="0.25">
      <c r="A6" s="6" t="s">
        <v>307</v>
      </c>
      <c r="H6" s="2">
        <v>1</v>
      </c>
      <c r="M6" s="2">
        <v>4</v>
      </c>
      <c r="O6" s="2">
        <v>1</v>
      </c>
      <c r="P6" s="2">
        <v>1</v>
      </c>
      <c r="Q6" s="2">
        <v>6</v>
      </c>
    </row>
    <row r="7" spans="1:17" hidden="1" x14ac:dyDescent="0.25">
      <c r="A7" s="6" t="s">
        <v>26</v>
      </c>
      <c r="I7" s="2">
        <v>3</v>
      </c>
      <c r="J7" s="2">
        <v>2</v>
      </c>
      <c r="K7" s="2">
        <v>1</v>
      </c>
      <c r="L7" s="2">
        <v>3</v>
      </c>
      <c r="M7" s="2">
        <v>11</v>
      </c>
      <c r="N7" s="2">
        <v>3</v>
      </c>
      <c r="O7" s="2">
        <v>1</v>
      </c>
      <c r="P7" s="2">
        <v>8</v>
      </c>
      <c r="Q7" s="2">
        <v>8</v>
      </c>
    </row>
    <row r="8" spans="1:17" hidden="1" x14ac:dyDescent="0.25">
      <c r="A8" s="6" t="s">
        <v>76</v>
      </c>
      <c r="B8" s="2">
        <v>22</v>
      </c>
      <c r="C8" s="2">
        <v>15</v>
      </c>
      <c r="D8" s="2">
        <v>27</v>
      </c>
      <c r="E8" s="2">
        <v>27</v>
      </c>
      <c r="F8" s="2">
        <v>30</v>
      </c>
      <c r="G8" s="2">
        <v>16</v>
      </c>
      <c r="H8" s="2">
        <v>18</v>
      </c>
      <c r="I8" s="2">
        <v>21</v>
      </c>
      <c r="J8" s="2">
        <v>13</v>
      </c>
      <c r="K8" s="2">
        <v>7</v>
      </c>
      <c r="L8" s="2">
        <v>10</v>
      </c>
      <c r="M8" s="2">
        <v>9</v>
      </c>
      <c r="N8" s="2">
        <v>11</v>
      </c>
      <c r="O8" s="2">
        <v>4</v>
      </c>
      <c r="P8" s="2">
        <v>14</v>
      </c>
      <c r="Q8" s="2">
        <v>9</v>
      </c>
    </row>
    <row r="27" spans="1:18" ht="15.75" hidden="1" customHeight="1" x14ac:dyDescent="0.25">
      <c r="A27" s="2" t="s">
        <v>2834</v>
      </c>
    </row>
    <row r="28" spans="1:18" ht="15.75" hidden="1" customHeight="1" x14ac:dyDescent="0.25"/>
    <row r="29" spans="1:18" ht="15.75" hidden="1" customHeight="1" x14ac:dyDescent="0.25">
      <c r="A29" s="3" t="s">
        <v>2818</v>
      </c>
      <c r="B29" s="2" t="s">
        <v>91</v>
      </c>
    </row>
    <row r="30" spans="1:18" ht="15.75" hidden="1" customHeight="1" x14ac:dyDescent="0.25"/>
    <row r="31" spans="1:18" ht="15.75" hidden="1" customHeight="1" x14ac:dyDescent="0.25">
      <c r="A31" s="3" t="s">
        <v>2778</v>
      </c>
      <c r="B31" s="3" t="s">
        <v>2820</v>
      </c>
    </row>
    <row r="32" spans="1:18" ht="15.75" hidden="1" customHeight="1" x14ac:dyDescent="0.25">
      <c r="A32" s="3" t="s">
        <v>2821</v>
      </c>
      <c r="B32" s="2">
        <v>2003</v>
      </c>
      <c r="C32" s="2">
        <v>2004</v>
      </c>
      <c r="D32" s="2">
        <v>2005</v>
      </c>
      <c r="E32" s="2">
        <v>2006</v>
      </c>
      <c r="F32" s="2">
        <v>2007</v>
      </c>
      <c r="G32" s="2">
        <v>2008</v>
      </c>
      <c r="H32" s="2">
        <v>2009</v>
      </c>
      <c r="I32" s="2">
        <v>2010</v>
      </c>
      <c r="J32" s="2">
        <v>2011</v>
      </c>
      <c r="K32" s="2">
        <v>2012</v>
      </c>
      <c r="L32" s="2">
        <v>2013</v>
      </c>
      <c r="M32" s="2">
        <v>2014</v>
      </c>
      <c r="N32" s="2">
        <v>2015</v>
      </c>
      <c r="O32" s="2">
        <v>2016</v>
      </c>
      <c r="P32" s="2">
        <v>2017</v>
      </c>
      <c r="Q32" s="2">
        <v>2018</v>
      </c>
      <c r="R32" s="2">
        <v>2019</v>
      </c>
    </row>
    <row r="33" spans="1:18" ht="15.75" hidden="1" customHeight="1" x14ac:dyDescent="0.25">
      <c r="A33" s="6" t="s">
        <v>307</v>
      </c>
      <c r="H33" s="2">
        <v>1</v>
      </c>
      <c r="M33" s="2">
        <v>4</v>
      </c>
      <c r="O33" s="2">
        <v>1</v>
      </c>
      <c r="P33" s="2">
        <v>1</v>
      </c>
      <c r="Q33" s="2">
        <v>6</v>
      </c>
      <c r="R33" s="2">
        <v>2</v>
      </c>
    </row>
    <row r="34" spans="1:18" ht="15.75" hidden="1" customHeight="1" x14ac:dyDescent="0.25">
      <c r="A34" s="6" t="s">
        <v>26</v>
      </c>
      <c r="I34" s="2">
        <v>3</v>
      </c>
      <c r="J34" s="2">
        <v>2</v>
      </c>
      <c r="K34" s="2">
        <v>1</v>
      </c>
      <c r="L34" s="2">
        <v>3</v>
      </c>
      <c r="M34" s="2">
        <v>11</v>
      </c>
      <c r="N34" s="2">
        <v>3</v>
      </c>
      <c r="O34" s="2">
        <v>1</v>
      </c>
      <c r="P34" s="2">
        <v>8</v>
      </c>
      <c r="Q34" s="2">
        <v>8</v>
      </c>
      <c r="R34" s="2">
        <v>4</v>
      </c>
    </row>
    <row r="35" spans="1:18" ht="15.75" hidden="1" customHeight="1" x14ac:dyDescent="0.25">
      <c r="A35" s="6" t="s">
        <v>76</v>
      </c>
      <c r="B35" s="2">
        <v>22</v>
      </c>
      <c r="C35" s="2">
        <v>15</v>
      </c>
      <c r="D35" s="2">
        <v>27</v>
      </c>
      <c r="E35" s="2">
        <v>27</v>
      </c>
      <c r="F35" s="2">
        <v>30</v>
      </c>
      <c r="G35" s="2">
        <v>16</v>
      </c>
      <c r="H35" s="2">
        <v>18</v>
      </c>
      <c r="I35" s="2">
        <v>21</v>
      </c>
      <c r="J35" s="2">
        <v>13</v>
      </c>
      <c r="K35" s="2">
        <v>7</v>
      </c>
      <c r="L35" s="2">
        <v>10</v>
      </c>
      <c r="M35" s="2">
        <v>9</v>
      </c>
      <c r="N35" s="2">
        <v>11</v>
      </c>
      <c r="O35" s="2">
        <v>4</v>
      </c>
      <c r="P35" s="2">
        <v>14</v>
      </c>
      <c r="Q35" s="2">
        <v>9</v>
      </c>
      <c r="R35" s="2">
        <v>9</v>
      </c>
    </row>
    <row r="53" spans="1:25" ht="15.75" customHeight="1" x14ac:dyDescent="0.25">
      <c r="A53" s="12" t="s">
        <v>3118</v>
      </c>
    </row>
    <row r="54" spans="1:25" ht="15.75" customHeight="1" x14ac:dyDescent="0.25"/>
    <row r="55" spans="1:25" x14ac:dyDescent="0.25">
      <c r="A55" s="120" t="s">
        <v>6</v>
      </c>
      <c r="B55" s="119" t="s">
        <v>91</v>
      </c>
    </row>
    <row r="56" spans="1:25" ht="15.75" customHeight="1" x14ac:dyDescent="0.25"/>
    <row r="57" spans="1:25" ht="15.75" customHeight="1" x14ac:dyDescent="0.25">
      <c r="A57" s="111" t="s">
        <v>2778</v>
      </c>
      <c r="B57" s="111" t="s">
        <v>8</v>
      </c>
      <c r="C57" s="112"/>
      <c r="D57" s="112"/>
      <c r="E57" s="112"/>
      <c r="F57" s="112"/>
      <c r="G57" s="112"/>
      <c r="H57" s="112"/>
      <c r="I57" s="112"/>
      <c r="J57" s="112"/>
      <c r="K57" s="112"/>
      <c r="L57" s="112"/>
      <c r="M57" s="112"/>
      <c r="N57" s="112"/>
      <c r="O57" s="112"/>
      <c r="P57" s="112"/>
      <c r="Q57" s="112"/>
      <c r="R57" s="112"/>
      <c r="S57" s="112"/>
      <c r="T57" s="112"/>
      <c r="U57" s="112"/>
      <c r="V57" s="112"/>
      <c r="W57" s="112"/>
      <c r="X57" s="112"/>
      <c r="Y57" s="113"/>
    </row>
    <row r="58" spans="1:25" x14ac:dyDescent="0.25">
      <c r="A58" s="111" t="s">
        <v>1</v>
      </c>
      <c r="B58" s="114">
        <v>2002</v>
      </c>
      <c r="C58" s="115">
        <v>2003</v>
      </c>
      <c r="D58" s="115">
        <v>2004</v>
      </c>
      <c r="E58" s="115">
        <v>2005</v>
      </c>
      <c r="F58" s="115">
        <v>2006</v>
      </c>
      <c r="G58" s="115">
        <v>2007</v>
      </c>
      <c r="H58" s="115">
        <v>2008</v>
      </c>
      <c r="I58" s="115">
        <v>2009</v>
      </c>
      <c r="J58" s="115">
        <v>2010</v>
      </c>
      <c r="K58" s="115">
        <v>2011</v>
      </c>
      <c r="L58" s="115">
        <v>2012</v>
      </c>
      <c r="M58" s="115">
        <v>2013</v>
      </c>
      <c r="N58" s="115">
        <v>2014</v>
      </c>
      <c r="O58" s="115">
        <v>2015</v>
      </c>
      <c r="P58" s="115">
        <v>2016</v>
      </c>
      <c r="Q58" s="115">
        <v>2017</v>
      </c>
      <c r="R58" s="115">
        <v>2018</v>
      </c>
      <c r="S58" s="115">
        <v>2019</v>
      </c>
      <c r="T58" s="115">
        <v>2020</v>
      </c>
      <c r="U58" s="115">
        <v>2021</v>
      </c>
      <c r="V58" s="115">
        <v>2022</v>
      </c>
      <c r="W58" s="115">
        <v>2023</v>
      </c>
      <c r="X58" s="115">
        <v>2024</v>
      </c>
      <c r="Y58" s="122" t="s">
        <v>2779</v>
      </c>
    </row>
    <row r="59" spans="1:25" x14ac:dyDescent="0.25">
      <c r="A59" s="114" t="s">
        <v>307</v>
      </c>
      <c r="B59" s="184">
        <v>0</v>
      </c>
      <c r="C59" s="185">
        <v>0</v>
      </c>
      <c r="D59" s="185">
        <v>0</v>
      </c>
      <c r="E59" s="185">
        <v>0</v>
      </c>
      <c r="F59" s="185">
        <v>0</v>
      </c>
      <c r="G59" s="185">
        <v>0</v>
      </c>
      <c r="H59" s="185">
        <v>0</v>
      </c>
      <c r="I59" s="185">
        <v>1</v>
      </c>
      <c r="J59" s="185">
        <v>0</v>
      </c>
      <c r="K59" s="185">
        <v>0</v>
      </c>
      <c r="L59" s="185">
        <v>0</v>
      </c>
      <c r="M59" s="185">
        <v>0</v>
      </c>
      <c r="N59" s="185">
        <v>4</v>
      </c>
      <c r="O59" s="185">
        <v>0</v>
      </c>
      <c r="P59" s="185">
        <v>1</v>
      </c>
      <c r="Q59" s="185">
        <v>1</v>
      </c>
      <c r="R59" s="185">
        <v>6</v>
      </c>
      <c r="S59" s="185">
        <v>2</v>
      </c>
      <c r="T59" s="185">
        <v>0</v>
      </c>
      <c r="U59" s="185">
        <v>0</v>
      </c>
      <c r="V59" s="185">
        <v>0</v>
      </c>
      <c r="W59" s="185">
        <v>2</v>
      </c>
      <c r="X59" s="185">
        <v>5</v>
      </c>
      <c r="Y59" s="199">
        <v>22</v>
      </c>
    </row>
    <row r="60" spans="1:25" x14ac:dyDescent="0.25">
      <c r="A60" s="117" t="s">
        <v>26</v>
      </c>
      <c r="B60" s="187">
        <v>0</v>
      </c>
      <c r="C60" s="188">
        <v>0</v>
      </c>
      <c r="D60" s="188">
        <v>0</v>
      </c>
      <c r="E60" s="188">
        <v>0</v>
      </c>
      <c r="F60" s="188">
        <v>0</v>
      </c>
      <c r="G60" s="188">
        <v>0</v>
      </c>
      <c r="H60" s="188">
        <v>0</v>
      </c>
      <c r="I60" s="188">
        <v>0</v>
      </c>
      <c r="J60" s="188">
        <v>3</v>
      </c>
      <c r="K60" s="188">
        <v>2</v>
      </c>
      <c r="L60" s="188">
        <v>1</v>
      </c>
      <c r="M60" s="188">
        <v>3</v>
      </c>
      <c r="N60" s="188">
        <v>11</v>
      </c>
      <c r="O60" s="188">
        <v>3</v>
      </c>
      <c r="P60" s="188">
        <v>1</v>
      </c>
      <c r="Q60" s="188">
        <v>8</v>
      </c>
      <c r="R60" s="188">
        <v>9</v>
      </c>
      <c r="S60" s="188">
        <v>4</v>
      </c>
      <c r="T60" s="188">
        <v>0</v>
      </c>
      <c r="U60" s="188">
        <v>0</v>
      </c>
      <c r="V60" s="188">
        <v>0</v>
      </c>
      <c r="W60" s="188">
        <v>7</v>
      </c>
      <c r="X60" s="188">
        <v>19</v>
      </c>
      <c r="Y60" s="200">
        <v>71</v>
      </c>
    </row>
    <row r="61" spans="1:25" x14ac:dyDescent="0.25">
      <c r="A61" s="117" t="s">
        <v>76</v>
      </c>
      <c r="B61" s="187">
        <v>15</v>
      </c>
      <c r="C61" s="188">
        <v>22</v>
      </c>
      <c r="D61" s="188">
        <v>15</v>
      </c>
      <c r="E61" s="188">
        <v>27</v>
      </c>
      <c r="F61" s="188">
        <v>27</v>
      </c>
      <c r="G61" s="188">
        <v>30</v>
      </c>
      <c r="H61" s="188">
        <v>16</v>
      </c>
      <c r="I61" s="188">
        <v>18</v>
      </c>
      <c r="J61" s="188">
        <v>21</v>
      </c>
      <c r="K61" s="188">
        <v>13</v>
      </c>
      <c r="L61" s="188">
        <v>7</v>
      </c>
      <c r="M61" s="188">
        <v>10</v>
      </c>
      <c r="N61" s="188">
        <v>9</v>
      </c>
      <c r="O61" s="188">
        <v>11</v>
      </c>
      <c r="P61" s="188">
        <v>4</v>
      </c>
      <c r="Q61" s="188">
        <v>14</v>
      </c>
      <c r="R61" s="188">
        <v>8</v>
      </c>
      <c r="S61" s="188">
        <v>9</v>
      </c>
      <c r="T61" s="188">
        <v>0</v>
      </c>
      <c r="U61" s="188">
        <v>0</v>
      </c>
      <c r="V61" s="188">
        <v>6</v>
      </c>
      <c r="W61" s="188">
        <v>6</v>
      </c>
      <c r="X61" s="188">
        <v>9</v>
      </c>
      <c r="Y61" s="200">
        <v>297</v>
      </c>
    </row>
    <row r="62" spans="1:25" x14ac:dyDescent="0.25">
      <c r="A62" s="121" t="s">
        <v>2779</v>
      </c>
      <c r="B62" s="196">
        <v>15</v>
      </c>
      <c r="C62" s="197">
        <v>22</v>
      </c>
      <c r="D62" s="197">
        <v>15</v>
      </c>
      <c r="E62" s="197">
        <v>27</v>
      </c>
      <c r="F62" s="197">
        <v>27</v>
      </c>
      <c r="G62" s="197">
        <v>30</v>
      </c>
      <c r="H62" s="197">
        <v>16</v>
      </c>
      <c r="I62" s="197">
        <v>19</v>
      </c>
      <c r="J62" s="197">
        <v>24</v>
      </c>
      <c r="K62" s="197">
        <v>15</v>
      </c>
      <c r="L62" s="197">
        <v>8</v>
      </c>
      <c r="M62" s="197">
        <v>13</v>
      </c>
      <c r="N62" s="197">
        <v>24</v>
      </c>
      <c r="O62" s="197">
        <v>14</v>
      </c>
      <c r="P62" s="197">
        <v>6</v>
      </c>
      <c r="Q62" s="197">
        <v>23</v>
      </c>
      <c r="R62" s="197">
        <v>23</v>
      </c>
      <c r="S62" s="197">
        <v>15</v>
      </c>
      <c r="T62" s="197">
        <v>0</v>
      </c>
      <c r="U62" s="197">
        <v>0</v>
      </c>
      <c r="V62" s="197">
        <v>6</v>
      </c>
      <c r="W62" s="197">
        <v>15</v>
      </c>
      <c r="X62" s="197">
        <v>33</v>
      </c>
      <c r="Y62" s="198">
        <v>390</v>
      </c>
    </row>
  </sheetData>
  <pageMargins left="0.7" right="0.7" top="0.75" bottom="0.75" header="0" footer="0"/>
  <pageSetup orientation="portrait"/>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6:Y66"/>
  <sheetViews>
    <sheetView topLeftCell="A57" workbookViewId="0">
      <selection activeCell="N65" sqref="N65"/>
    </sheetView>
  </sheetViews>
  <sheetFormatPr defaultColWidth="14.42578125" defaultRowHeight="15" customHeight="1" x14ac:dyDescent="0.25"/>
  <cols>
    <col min="1" max="1" width="23.42578125" customWidth="1"/>
    <col min="2" max="2" width="15.42578125" customWidth="1"/>
    <col min="3" max="24" width="5" customWidth="1"/>
    <col min="25" max="25" width="10.7109375" customWidth="1"/>
    <col min="26" max="26" width="8.7109375" customWidth="1"/>
  </cols>
  <sheetData>
    <row r="6" spans="1:17" hidden="1" x14ac:dyDescent="0.25">
      <c r="A6" s="2" t="s">
        <v>2835</v>
      </c>
    </row>
    <row r="7" spans="1:17" hidden="1" x14ac:dyDescent="0.25"/>
    <row r="8" spans="1:17" hidden="1" x14ac:dyDescent="0.25">
      <c r="A8" s="3" t="s">
        <v>2818</v>
      </c>
      <c r="B8" s="2" t="s">
        <v>91</v>
      </c>
    </row>
    <row r="9" spans="1:17" hidden="1" x14ac:dyDescent="0.25">
      <c r="A9" s="3" t="s">
        <v>10</v>
      </c>
      <c r="B9" s="2" t="s">
        <v>2827</v>
      </c>
    </row>
    <row r="10" spans="1:17" hidden="1" x14ac:dyDescent="0.25"/>
    <row r="11" spans="1:17" hidden="1" x14ac:dyDescent="0.25">
      <c r="A11" s="3" t="s">
        <v>2778</v>
      </c>
      <c r="B11" s="3" t="s">
        <v>2820</v>
      </c>
    </row>
    <row r="12" spans="1:17" hidden="1" x14ac:dyDescent="0.25">
      <c r="A12" s="3" t="s">
        <v>2821</v>
      </c>
      <c r="B12" s="2">
        <v>2003</v>
      </c>
      <c r="C12" s="2">
        <v>2004</v>
      </c>
      <c r="D12" s="2">
        <v>2005</v>
      </c>
      <c r="E12" s="2">
        <v>2006</v>
      </c>
      <c r="F12" s="2">
        <v>2007</v>
      </c>
      <c r="G12" s="2">
        <v>2008</v>
      </c>
      <c r="H12" s="2">
        <v>2009</v>
      </c>
      <c r="I12" s="2">
        <v>2010</v>
      </c>
      <c r="J12" s="2">
        <v>2011</v>
      </c>
      <c r="K12" s="2">
        <v>2012</v>
      </c>
      <c r="L12" s="2">
        <v>2013</v>
      </c>
      <c r="M12" s="2">
        <v>2014</v>
      </c>
      <c r="N12" s="2">
        <v>2015</v>
      </c>
      <c r="O12" s="2">
        <v>2016</v>
      </c>
      <c r="P12" s="2">
        <v>2017</v>
      </c>
      <c r="Q12" s="2">
        <v>2018</v>
      </c>
    </row>
    <row r="13" spans="1:17" hidden="1" x14ac:dyDescent="0.25">
      <c r="A13" s="6" t="s">
        <v>83</v>
      </c>
      <c r="B13" s="2">
        <v>13</v>
      </c>
      <c r="C13" s="2">
        <v>9</v>
      </c>
      <c r="D13" s="2">
        <v>8</v>
      </c>
      <c r="E13" s="2">
        <v>13</v>
      </c>
      <c r="F13" s="2">
        <v>8</v>
      </c>
      <c r="G13" s="2">
        <v>11</v>
      </c>
      <c r="H13" s="2">
        <v>7</v>
      </c>
      <c r="I13" s="2">
        <v>10</v>
      </c>
      <c r="J13" s="2">
        <v>6</v>
      </c>
      <c r="K13" s="2">
        <v>4</v>
      </c>
      <c r="M13" s="2">
        <v>4</v>
      </c>
      <c r="N13" s="2">
        <v>2</v>
      </c>
      <c r="O13" s="2">
        <v>3</v>
      </c>
      <c r="P13" s="2">
        <v>2</v>
      </c>
      <c r="Q13" s="2">
        <v>3</v>
      </c>
    </row>
    <row r="14" spans="1:17" hidden="1" x14ac:dyDescent="0.25">
      <c r="A14" s="6" t="s">
        <v>101</v>
      </c>
      <c r="B14" s="2">
        <v>9</v>
      </c>
      <c r="C14" s="2">
        <v>6</v>
      </c>
      <c r="D14" s="2">
        <v>19</v>
      </c>
      <c r="E14" s="2">
        <v>14</v>
      </c>
      <c r="F14" s="2">
        <v>22</v>
      </c>
      <c r="G14" s="2">
        <v>5</v>
      </c>
      <c r="H14" s="2">
        <v>11</v>
      </c>
      <c r="I14" s="2">
        <v>11</v>
      </c>
      <c r="J14" s="2">
        <v>7</v>
      </c>
      <c r="K14" s="2">
        <v>3</v>
      </c>
      <c r="L14" s="2">
        <v>10</v>
      </c>
      <c r="M14" s="2">
        <v>5</v>
      </c>
      <c r="N14" s="2">
        <v>9</v>
      </c>
      <c r="O14" s="2">
        <v>1</v>
      </c>
      <c r="P14" s="2">
        <v>12</v>
      </c>
      <c r="Q14" s="2">
        <v>6</v>
      </c>
    </row>
    <row r="32" spans="1:1" ht="15.75" hidden="1" customHeight="1" x14ac:dyDescent="0.25">
      <c r="A32" s="2" t="s">
        <v>2836</v>
      </c>
    </row>
    <row r="33" spans="1:18" ht="15.75" hidden="1" customHeight="1" x14ac:dyDescent="0.25">
      <c r="A33" s="3" t="s">
        <v>2818</v>
      </c>
      <c r="B33" s="2" t="s">
        <v>91</v>
      </c>
    </row>
    <row r="34" spans="1:18" ht="15.75" hidden="1" customHeight="1" x14ac:dyDescent="0.25">
      <c r="A34" s="3" t="s">
        <v>10</v>
      </c>
      <c r="B34" s="2" t="s">
        <v>2827</v>
      </c>
    </row>
    <row r="35" spans="1:18" ht="15.75" hidden="1" customHeight="1" x14ac:dyDescent="0.25"/>
    <row r="36" spans="1:18" ht="15.75" hidden="1" customHeight="1" x14ac:dyDescent="0.25">
      <c r="A36" s="3" t="s">
        <v>2778</v>
      </c>
      <c r="B36" s="3" t="s">
        <v>2820</v>
      </c>
    </row>
    <row r="37" spans="1:18" ht="15.75" hidden="1" customHeight="1" x14ac:dyDescent="0.25">
      <c r="A37" s="3" t="s">
        <v>2821</v>
      </c>
      <c r="B37" s="2">
        <v>2003</v>
      </c>
      <c r="C37" s="2">
        <v>2004</v>
      </c>
      <c r="D37" s="2">
        <v>2005</v>
      </c>
      <c r="E37" s="2">
        <v>2006</v>
      </c>
      <c r="F37" s="2">
        <v>2007</v>
      </c>
      <c r="G37" s="2">
        <v>2008</v>
      </c>
      <c r="H37" s="2">
        <v>2009</v>
      </c>
      <c r="I37" s="2">
        <v>2010</v>
      </c>
      <c r="J37" s="2">
        <v>2011</v>
      </c>
      <c r="K37" s="2">
        <v>2012</v>
      </c>
      <c r="L37" s="2">
        <v>2013</v>
      </c>
      <c r="M37" s="2">
        <v>2014</v>
      </c>
      <c r="N37" s="2">
        <v>2015</v>
      </c>
      <c r="O37" s="2">
        <v>2016</v>
      </c>
      <c r="P37" s="2">
        <v>2017</v>
      </c>
      <c r="Q37" s="2">
        <v>2018</v>
      </c>
      <c r="R37" s="2">
        <v>2019</v>
      </c>
    </row>
    <row r="38" spans="1:18" ht="15.75" hidden="1" customHeight="1" x14ac:dyDescent="0.25">
      <c r="A38" s="6" t="s">
        <v>83</v>
      </c>
      <c r="B38" s="2">
        <v>13</v>
      </c>
      <c r="C38" s="2">
        <v>9</v>
      </c>
      <c r="D38" s="2">
        <v>8</v>
      </c>
      <c r="E38" s="2">
        <v>13</v>
      </c>
      <c r="F38" s="2">
        <v>8</v>
      </c>
      <c r="G38" s="2">
        <v>11</v>
      </c>
      <c r="H38" s="2">
        <v>7</v>
      </c>
      <c r="I38" s="2">
        <v>10</v>
      </c>
      <c r="J38" s="2">
        <v>6</v>
      </c>
      <c r="K38" s="2">
        <v>4</v>
      </c>
      <c r="M38" s="2">
        <v>4</v>
      </c>
      <c r="N38" s="2">
        <v>2</v>
      </c>
      <c r="O38" s="2">
        <v>3</v>
      </c>
      <c r="P38" s="2">
        <v>2</v>
      </c>
      <c r="Q38" s="2">
        <v>3</v>
      </c>
      <c r="R38" s="2">
        <v>3</v>
      </c>
    </row>
    <row r="39" spans="1:18" ht="15.75" hidden="1" customHeight="1" x14ac:dyDescent="0.25">
      <c r="A39" s="6" t="s">
        <v>101</v>
      </c>
      <c r="B39" s="2">
        <v>9</v>
      </c>
      <c r="C39" s="2">
        <v>6</v>
      </c>
      <c r="D39" s="2">
        <v>19</v>
      </c>
      <c r="E39" s="2">
        <v>14</v>
      </c>
      <c r="F39" s="2">
        <v>22</v>
      </c>
      <c r="G39" s="2">
        <v>5</v>
      </c>
      <c r="H39" s="2">
        <v>11</v>
      </c>
      <c r="I39" s="2">
        <v>11</v>
      </c>
      <c r="J39" s="2">
        <v>7</v>
      </c>
      <c r="K39" s="2">
        <v>3</v>
      </c>
      <c r="L39" s="2">
        <v>10</v>
      </c>
      <c r="M39" s="2">
        <v>5</v>
      </c>
      <c r="N39" s="2">
        <v>9</v>
      </c>
      <c r="O39" s="2">
        <v>1</v>
      </c>
      <c r="P39" s="2">
        <v>12</v>
      </c>
      <c r="Q39" s="2">
        <v>6</v>
      </c>
      <c r="R39" s="2">
        <v>6</v>
      </c>
    </row>
    <row r="57" spans="1:25" ht="15.75" customHeight="1" x14ac:dyDescent="0.25">
      <c r="A57" s="12" t="s">
        <v>3119</v>
      </c>
    </row>
    <row r="58" spans="1:25" ht="15.75" customHeight="1" x14ac:dyDescent="0.25"/>
    <row r="59" spans="1:25" x14ac:dyDescent="0.25">
      <c r="A59" s="120" t="s">
        <v>6</v>
      </c>
      <c r="B59" s="119" t="s">
        <v>91</v>
      </c>
    </row>
    <row r="60" spans="1:25" x14ac:dyDescent="0.25">
      <c r="A60" s="120" t="s">
        <v>10</v>
      </c>
      <c r="B60" s="119" t="s">
        <v>2827</v>
      </c>
    </row>
    <row r="61" spans="1:25" ht="15.75" customHeight="1" x14ac:dyDescent="0.25"/>
    <row r="62" spans="1:25" ht="15.75" customHeight="1" x14ac:dyDescent="0.25">
      <c r="A62" s="111" t="s">
        <v>2778</v>
      </c>
      <c r="B62" s="111" t="s">
        <v>8</v>
      </c>
      <c r="C62" s="112"/>
      <c r="D62" s="112"/>
      <c r="E62" s="112"/>
      <c r="F62" s="112"/>
      <c r="G62" s="112"/>
      <c r="H62" s="112"/>
      <c r="I62" s="112"/>
      <c r="J62" s="112"/>
      <c r="K62" s="112"/>
      <c r="L62" s="112"/>
      <c r="M62" s="112"/>
      <c r="N62" s="112"/>
      <c r="O62" s="112"/>
      <c r="P62" s="112"/>
      <c r="Q62" s="112"/>
      <c r="R62" s="112"/>
      <c r="S62" s="112"/>
      <c r="T62" s="112"/>
      <c r="U62" s="112"/>
      <c r="V62" s="112"/>
      <c r="W62" s="112"/>
      <c r="X62" s="112"/>
      <c r="Y62" s="113"/>
    </row>
    <row r="63" spans="1:25" x14ac:dyDescent="0.25">
      <c r="A63" s="111" t="s">
        <v>15</v>
      </c>
      <c r="B63" s="114">
        <v>2002</v>
      </c>
      <c r="C63" s="115">
        <v>2003</v>
      </c>
      <c r="D63" s="115">
        <v>2004</v>
      </c>
      <c r="E63" s="115">
        <v>2005</v>
      </c>
      <c r="F63" s="115">
        <v>2006</v>
      </c>
      <c r="G63" s="115">
        <v>2007</v>
      </c>
      <c r="H63" s="115">
        <v>2008</v>
      </c>
      <c r="I63" s="115">
        <v>2009</v>
      </c>
      <c r="J63" s="115">
        <v>2010</v>
      </c>
      <c r="K63" s="115">
        <v>2011</v>
      </c>
      <c r="L63" s="115">
        <v>2012</v>
      </c>
      <c r="M63" s="115">
        <v>2013</v>
      </c>
      <c r="N63" s="115">
        <v>2014</v>
      </c>
      <c r="O63" s="115">
        <v>2015</v>
      </c>
      <c r="P63" s="115">
        <v>2016</v>
      </c>
      <c r="Q63" s="115">
        <v>2017</v>
      </c>
      <c r="R63" s="115">
        <v>2018</v>
      </c>
      <c r="S63" s="115">
        <v>2019</v>
      </c>
      <c r="T63" s="115">
        <v>2020</v>
      </c>
      <c r="U63" s="115">
        <v>2021</v>
      </c>
      <c r="V63" s="115">
        <v>2022</v>
      </c>
      <c r="W63" s="115">
        <v>2023</v>
      </c>
      <c r="X63" s="115">
        <v>2024</v>
      </c>
      <c r="Y63" s="122" t="s">
        <v>2779</v>
      </c>
    </row>
    <row r="64" spans="1:25" x14ac:dyDescent="0.25">
      <c r="A64" s="114" t="s">
        <v>83</v>
      </c>
      <c r="B64" s="184">
        <v>4</v>
      </c>
      <c r="C64" s="185">
        <v>13</v>
      </c>
      <c r="D64" s="185">
        <v>9</v>
      </c>
      <c r="E64" s="185">
        <v>8</v>
      </c>
      <c r="F64" s="185">
        <v>13</v>
      </c>
      <c r="G64" s="185">
        <v>8</v>
      </c>
      <c r="H64" s="185">
        <v>11</v>
      </c>
      <c r="I64" s="185">
        <v>7</v>
      </c>
      <c r="J64" s="185">
        <v>10</v>
      </c>
      <c r="K64" s="185">
        <v>6</v>
      </c>
      <c r="L64" s="185">
        <v>4</v>
      </c>
      <c r="M64" s="185">
        <v>0</v>
      </c>
      <c r="N64" s="185">
        <v>4</v>
      </c>
      <c r="O64" s="185">
        <v>2</v>
      </c>
      <c r="P64" s="185">
        <v>3</v>
      </c>
      <c r="Q64" s="185">
        <v>2</v>
      </c>
      <c r="R64" s="185">
        <v>2</v>
      </c>
      <c r="S64" s="185">
        <v>3</v>
      </c>
      <c r="T64" s="185">
        <v>0</v>
      </c>
      <c r="U64" s="185">
        <v>0</v>
      </c>
      <c r="V64" s="185">
        <v>1</v>
      </c>
      <c r="W64" s="185">
        <v>0</v>
      </c>
      <c r="X64" s="185">
        <v>0</v>
      </c>
      <c r="Y64" s="199">
        <v>110</v>
      </c>
    </row>
    <row r="65" spans="1:25" x14ac:dyDescent="0.25">
      <c r="A65" s="117" t="s">
        <v>101</v>
      </c>
      <c r="B65" s="187">
        <v>11</v>
      </c>
      <c r="C65" s="188">
        <v>9</v>
      </c>
      <c r="D65" s="188">
        <v>6</v>
      </c>
      <c r="E65" s="188">
        <v>19</v>
      </c>
      <c r="F65" s="188">
        <v>14</v>
      </c>
      <c r="G65" s="188">
        <v>22</v>
      </c>
      <c r="H65" s="188">
        <v>5</v>
      </c>
      <c r="I65" s="188">
        <v>11</v>
      </c>
      <c r="J65" s="188">
        <v>11</v>
      </c>
      <c r="K65" s="188">
        <v>7</v>
      </c>
      <c r="L65" s="188">
        <v>3</v>
      </c>
      <c r="M65" s="188">
        <v>10</v>
      </c>
      <c r="N65" s="188">
        <v>5</v>
      </c>
      <c r="O65" s="188">
        <v>9</v>
      </c>
      <c r="P65" s="188">
        <v>1</v>
      </c>
      <c r="Q65" s="188">
        <v>12</v>
      </c>
      <c r="R65" s="188">
        <v>6</v>
      </c>
      <c r="S65" s="188">
        <v>6</v>
      </c>
      <c r="T65" s="188">
        <v>0</v>
      </c>
      <c r="U65" s="188">
        <v>0</v>
      </c>
      <c r="V65" s="188">
        <v>0</v>
      </c>
      <c r="W65" s="188">
        <v>6</v>
      </c>
      <c r="X65" s="188">
        <v>9</v>
      </c>
      <c r="Y65" s="200">
        <v>182</v>
      </c>
    </row>
    <row r="66" spans="1:25" x14ac:dyDescent="0.25">
      <c r="A66" s="121" t="s">
        <v>2779</v>
      </c>
      <c r="B66" s="196">
        <v>15</v>
      </c>
      <c r="C66" s="197">
        <v>22</v>
      </c>
      <c r="D66" s="197">
        <v>15</v>
      </c>
      <c r="E66" s="197">
        <v>27</v>
      </c>
      <c r="F66" s="197">
        <v>27</v>
      </c>
      <c r="G66" s="197">
        <v>30</v>
      </c>
      <c r="H66" s="197">
        <v>16</v>
      </c>
      <c r="I66" s="197">
        <v>18</v>
      </c>
      <c r="J66" s="197">
        <v>21</v>
      </c>
      <c r="K66" s="197">
        <v>13</v>
      </c>
      <c r="L66" s="197">
        <v>7</v>
      </c>
      <c r="M66" s="197">
        <v>10</v>
      </c>
      <c r="N66" s="197">
        <v>9</v>
      </c>
      <c r="O66" s="197">
        <v>11</v>
      </c>
      <c r="P66" s="197">
        <v>4</v>
      </c>
      <c r="Q66" s="197">
        <v>14</v>
      </c>
      <c r="R66" s="197">
        <v>8</v>
      </c>
      <c r="S66" s="197">
        <v>9</v>
      </c>
      <c r="T66" s="197">
        <v>0</v>
      </c>
      <c r="U66" s="197">
        <v>0</v>
      </c>
      <c r="V66" s="197">
        <v>1</v>
      </c>
      <c r="W66" s="197">
        <v>6</v>
      </c>
      <c r="X66" s="197">
        <v>9</v>
      </c>
      <c r="Y66" s="198">
        <v>292</v>
      </c>
    </row>
  </sheetData>
  <pageMargins left="0.7" right="0.7" top="0.75" bottom="0.75" header="0" footer="0"/>
  <pageSetup orientation="portrait"/>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Y68"/>
  <sheetViews>
    <sheetView topLeftCell="A52" workbookViewId="0">
      <selection activeCell="Q65" sqref="Q65"/>
    </sheetView>
  </sheetViews>
  <sheetFormatPr defaultColWidth="14.42578125" defaultRowHeight="15" customHeight="1" x14ac:dyDescent="0.25"/>
  <cols>
    <col min="1" max="1" width="29.7109375" customWidth="1"/>
    <col min="2" max="2" width="22.28515625" customWidth="1"/>
    <col min="3" max="21" width="6" customWidth="1"/>
    <col min="22" max="24" width="5" customWidth="1"/>
    <col min="25" max="25" width="11.28515625" customWidth="1"/>
    <col min="26" max="26" width="8.7109375" customWidth="1"/>
  </cols>
  <sheetData>
    <row r="1" spans="1:17" hidden="1" x14ac:dyDescent="0.25">
      <c r="A1" s="2" t="s">
        <v>2837</v>
      </c>
    </row>
    <row r="2" spans="1:17" hidden="1" x14ac:dyDescent="0.25">
      <c r="A2" s="120" t="s">
        <v>1</v>
      </c>
      <c r="B2" s="119" t="s">
        <v>307</v>
      </c>
    </row>
    <row r="3" spans="1:17" hidden="1" x14ac:dyDescent="0.25">
      <c r="A3" s="120" t="s">
        <v>10</v>
      </c>
      <c r="B3" s="119" t="s">
        <v>2827</v>
      </c>
    </row>
    <row r="4" spans="1:17" hidden="1" x14ac:dyDescent="0.25"/>
    <row r="5" spans="1:17" hidden="1" x14ac:dyDescent="0.25">
      <c r="A5" s="114"/>
      <c r="B5" s="111" t="s">
        <v>8</v>
      </c>
      <c r="C5" s="112"/>
      <c r="D5" s="112"/>
      <c r="E5" s="112"/>
      <c r="F5" s="112"/>
      <c r="G5" s="112"/>
      <c r="H5" s="112"/>
      <c r="I5" s="112"/>
      <c r="J5" s="112"/>
      <c r="K5" s="112"/>
      <c r="L5" s="112"/>
      <c r="M5" s="112"/>
      <c r="N5" s="112"/>
      <c r="O5" s="112"/>
      <c r="P5" s="112"/>
      <c r="Q5" s="113"/>
    </row>
    <row r="6" spans="1:17" hidden="1" x14ac:dyDescent="0.25">
      <c r="A6" s="124"/>
      <c r="B6" s="114">
        <v>2003</v>
      </c>
      <c r="C6" s="115">
        <v>2004</v>
      </c>
      <c r="D6" s="115">
        <v>2005</v>
      </c>
      <c r="E6" s="115">
        <v>2006</v>
      </c>
      <c r="F6" s="115">
        <v>2007</v>
      </c>
      <c r="G6" s="115">
        <v>2008</v>
      </c>
      <c r="H6" s="115">
        <v>2009</v>
      </c>
      <c r="I6" s="115">
        <v>2010</v>
      </c>
      <c r="J6" s="115">
        <v>2011</v>
      </c>
      <c r="K6" s="115">
        <v>2012</v>
      </c>
      <c r="L6" s="115">
        <v>2013</v>
      </c>
      <c r="M6" s="115">
        <v>2014</v>
      </c>
      <c r="N6" s="115">
        <v>2015</v>
      </c>
      <c r="O6" s="115">
        <v>2016</v>
      </c>
      <c r="P6" s="115">
        <v>2017</v>
      </c>
      <c r="Q6" s="125">
        <v>2018</v>
      </c>
    </row>
    <row r="7" spans="1:17" hidden="1" x14ac:dyDescent="0.25">
      <c r="A7" s="118" t="s">
        <v>2778</v>
      </c>
      <c r="B7" s="181">
        <v>3</v>
      </c>
      <c r="C7" s="182">
        <v>4</v>
      </c>
      <c r="D7" s="182">
        <v>5</v>
      </c>
      <c r="E7" s="182">
        <v>5</v>
      </c>
      <c r="F7" s="182">
        <v>8</v>
      </c>
      <c r="G7" s="182">
        <v>2</v>
      </c>
      <c r="H7" s="182">
        <v>9</v>
      </c>
      <c r="I7" s="182">
        <v>13</v>
      </c>
      <c r="J7" s="182">
        <v>10</v>
      </c>
      <c r="K7" s="182">
        <v>12</v>
      </c>
      <c r="L7" s="182">
        <v>15</v>
      </c>
      <c r="M7" s="182">
        <v>26</v>
      </c>
      <c r="N7" s="182">
        <v>44</v>
      </c>
      <c r="O7" s="182">
        <v>38</v>
      </c>
      <c r="P7" s="182">
        <v>50</v>
      </c>
      <c r="Q7" s="183">
        <v>39</v>
      </c>
    </row>
    <row r="25" spans="1:18" ht="15.75" hidden="1" customHeight="1" x14ac:dyDescent="0.25">
      <c r="A25" s="2" t="s">
        <v>2837</v>
      </c>
    </row>
    <row r="26" spans="1:18" hidden="1" x14ac:dyDescent="0.25">
      <c r="A26" s="120" t="s">
        <v>1</v>
      </c>
      <c r="B26" s="119" t="s">
        <v>307</v>
      </c>
    </row>
    <row r="27" spans="1:18" hidden="1" x14ac:dyDescent="0.25">
      <c r="A27" s="120" t="s">
        <v>10</v>
      </c>
      <c r="B27" s="119" t="s">
        <v>2827</v>
      </c>
    </row>
    <row r="28" spans="1:18" ht="15.75" hidden="1" customHeight="1" x14ac:dyDescent="0.25"/>
    <row r="29" spans="1:18" ht="15.75" hidden="1" customHeight="1" x14ac:dyDescent="0.25">
      <c r="A29" s="114"/>
      <c r="B29" s="111" t="s">
        <v>8</v>
      </c>
      <c r="C29" s="112"/>
      <c r="D29" s="112"/>
      <c r="E29" s="112"/>
      <c r="F29" s="112"/>
      <c r="G29" s="112"/>
      <c r="H29" s="112"/>
      <c r="I29" s="112"/>
      <c r="J29" s="112"/>
      <c r="K29" s="112"/>
      <c r="L29" s="112"/>
      <c r="M29" s="112"/>
      <c r="N29" s="112"/>
      <c r="O29" s="112"/>
      <c r="P29" s="112"/>
      <c r="Q29" s="112"/>
      <c r="R29" s="113"/>
    </row>
    <row r="30" spans="1:18" ht="15.75" hidden="1" customHeight="1" x14ac:dyDescent="0.25">
      <c r="A30" s="124"/>
      <c r="B30" s="114">
        <v>2003</v>
      </c>
      <c r="C30" s="115">
        <v>2004</v>
      </c>
      <c r="D30" s="115">
        <v>2005</v>
      </c>
      <c r="E30" s="115">
        <v>2006</v>
      </c>
      <c r="F30" s="115">
        <v>2007</v>
      </c>
      <c r="G30" s="115">
        <v>2008</v>
      </c>
      <c r="H30" s="115">
        <v>2009</v>
      </c>
      <c r="I30" s="115">
        <v>2010</v>
      </c>
      <c r="J30" s="115">
        <v>2011</v>
      </c>
      <c r="K30" s="115">
        <v>2012</v>
      </c>
      <c r="L30" s="115">
        <v>2013</v>
      </c>
      <c r="M30" s="115">
        <v>2014</v>
      </c>
      <c r="N30" s="115">
        <v>2015</v>
      </c>
      <c r="O30" s="115">
        <v>2016</v>
      </c>
      <c r="P30" s="115">
        <v>2017</v>
      </c>
      <c r="Q30" s="115">
        <v>2018</v>
      </c>
      <c r="R30" s="125">
        <v>2019</v>
      </c>
    </row>
    <row r="31" spans="1:18" ht="15.75" hidden="1" customHeight="1" x14ac:dyDescent="0.25">
      <c r="A31" s="118" t="s">
        <v>2778</v>
      </c>
      <c r="B31" s="181">
        <v>3</v>
      </c>
      <c r="C31" s="182">
        <v>4</v>
      </c>
      <c r="D31" s="182">
        <v>5</v>
      </c>
      <c r="E31" s="182">
        <v>5</v>
      </c>
      <c r="F31" s="182">
        <v>8</v>
      </c>
      <c r="G31" s="182">
        <v>2</v>
      </c>
      <c r="H31" s="182">
        <v>9</v>
      </c>
      <c r="I31" s="182">
        <v>13</v>
      </c>
      <c r="J31" s="182">
        <v>10</v>
      </c>
      <c r="K31" s="182">
        <v>12</v>
      </c>
      <c r="L31" s="182">
        <v>15</v>
      </c>
      <c r="M31" s="182">
        <v>26</v>
      </c>
      <c r="N31" s="182">
        <v>44</v>
      </c>
      <c r="O31" s="182">
        <v>38</v>
      </c>
      <c r="P31" s="182">
        <v>50</v>
      </c>
      <c r="Q31" s="182">
        <v>39</v>
      </c>
      <c r="R31" s="183">
        <v>42</v>
      </c>
    </row>
    <row r="52" spans="1:25" ht="15.75" customHeight="1" x14ac:dyDescent="0.25">
      <c r="A52" s="12" t="s">
        <v>3117</v>
      </c>
    </row>
    <row r="53" spans="1:25" ht="15.75" customHeight="1" x14ac:dyDescent="0.25"/>
    <row r="54" spans="1:25" ht="15.75" customHeight="1" x14ac:dyDescent="0.25"/>
    <row r="55" spans="1:25" ht="15.75" customHeight="1" x14ac:dyDescent="0.25"/>
    <row r="56" spans="1:25" ht="15.75" customHeight="1" x14ac:dyDescent="0.25"/>
    <row r="57" spans="1:25" x14ac:dyDescent="0.25">
      <c r="A57" s="120" t="s">
        <v>1</v>
      </c>
      <c r="B57" s="119" t="s">
        <v>307</v>
      </c>
    </row>
    <row r="58" spans="1:25" x14ac:dyDescent="0.25">
      <c r="A58" s="120" t="s">
        <v>10</v>
      </c>
      <c r="B58" s="119" t="s">
        <v>2827</v>
      </c>
    </row>
    <row r="59" spans="1:25" ht="15.75" customHeight="1" x14ac:dyDescent="0.25"/>
    <row r="60" spans="1:25" ht="15.75" customHeight="1" x14ac:dyDescent="0.25">
      <c r="A60" s="111" t="s">
        <v>2778</v>
      </c>
      <c r="B60" s="111" t="s">
        <v>8</v>
      </c>
      <c r="C60" s="112"/>
      <c r="D60" s="112"/>
      <c r="E60" s="112"/>
      <c r="F60" s="112"/>
      <c r="G60" s="112"/>
      <c r="H60" s="112"/>
      <c r="I60" s="112"/>
      <c r="J60" s="112"/>
      <c r="K60" s="112"/>
      <c r="L60" s="112"/>
      <c r="M60" s="112"/>
      <c r="N60" s="112"/>
      <c r="O60" s="112"/>
      <c r="P60" s="112"/>
      <c r="Q60" s="112"/>
      <c r="R60" s="112"/>
      <c r="S60" s="112"/>
      <c r="T60" s="112"/>
      <c r="U60" s="112"/>
      <c r="V60" s="112"/>
      <c r="W60" s="112"/>
      <c r="X60" s="112"/>
      <c r="Y60" s="113"/>
    </row>
    <row r="61" spans="1:25" ht="15.75" customHeight="1" x14ac:dyDescent="0.25">
      <c r="A61" s="111" t="s">
        <v>6</v>
      </c>
      <c r="B61" s="114">
        <v>2002</v>
      </c>
      <c r="C61" s="115">
        <v>2003</v>
      </c>
      <c r="D61" s="115">
        <v>2004</v>
      </c>
      <c r="E61" s="115">
        <v>2005</v>
      </c>
      <c r="F61" s="115">
        <v>2006</v>
      </c>
      <c r="G61" s="115">
        <v>2007</v>
      </c>
      <c r="H61" s="115">
        <v>2008</v>
      </c>
      <c r="I61" s="115">
        <v>2009</v>
      </c>
      <c r="J61" s="115">
        <v>2010</v>
      </c>
      <c r="K61" s="115">
        <v>2011</v>
      </c>
      <c r="L61" s="115">
        <v>2012</v>
      </c>
      <c r="M61" s="115">
        <v>2013</v>
      </c>
      <c r="N61" s="115">
        <v>2014</v>
      </c>
      <c r="O61" s="115">
        <v>2015</v>
      </c>
      <c r="P61" s="115">
        <v>2016</v>
      </c>
      <c r="Q61" s="115">
        <v>2017</v>
      </c>
      <c r="R61" s="115">
        <v>2018</v>
      </c>
      <c r="S61" s="115">
        <v>2019</v>
      </c>
      <c r="T61" s="115">
        <v>2020</v>
      </c>
      <c r="U61" s="115">
        <v>2021</v>
      </c>
      <c r="V61" s="115">
        <v>2022</v>
      </c>
      <c r="W61" s="115">
        <v>2023</v>
      </c>
      <c r="X61" s="115">
        <v>2024</v>
      </c>
      <c r="Y61" s="116" t="s">
        <v>2779</v>
      </c>
    </row>
    <row r="62" spans="1:25" x14ac:dyDescent="0.25">
      <c r="A62" s="133" t="s">
        <v>91</v>
      </c>
      <c r="B62" s="211">
        <v>0</v>
      </c>
      <c r="C62" s="212">
        <v>0</v>
      </c>
      <c r="D62" s="212">
        <v>0</v>
      </c>
      <c r="E62" s="212">
        <v>0</v>
      </c>
      <c r="F62" s="212">
        <v>0</v>
      </c>
      <c r="G62" s="212">
        <v>0</v>
      </c>
      <c r="H62" s="212">
        <v>0</v>
      </c>
      <c r="I62" s="212">
        <v>1</v>
      </c>
      <c r="J62" s="212">
        <v>0</v>
      </c>
      <c r="K62" s="212">
        <v>0</v>
      </c>
      <c r="L62" s="212">
        <v>0</v>
      </c>
      <c r="M62" s="212">
        <v>0</v>
      </c>
      <c r="N62" s="212">
        <v>4</v>
      </c>
      <c r="O62" s="212">
        <v>0</v>
      </c>
      <c r="P62" s="212">
        <v>1</v>
      </c>
      <c r="Q62" s="212">
        <v>1</v>
      </c>
      <c r="R62" s="212">
        <v>6</v>
      </c>
      <c r="S62" s="212">
        <v>2</v>
      </c>
      <c r="T62" s="212">
        <v>0</v>
      </c>
      <c r="U62" s="212">
        <v>0</v>
      </c>
      <c r="V62" s="212">
        <v>0</v>
      </c>
      <c r="W62" s="212">
        <v>2</v>
      </c>
      <c r="X62" s="212">
        <v>5</v>
      </c>
      <c r="Y62" s="213">
        <v>22</v>
      </c>
    </row>
    <row r="63" spans="1:25" x14ac:dyDescent="0.25">
      <c r="A63" s="117" t="s">
        <v>41</v>
      </c>
      <c r="B63" s="203">
        <v>1</v>
      </c>
      <c r="C63" s="204">
        <v>2</v>
      </c>
      <c r="D63" s="204">
        <v>1</v>
      </c>
      <c r="E63" s="204">
        <v>1</v>
      </c>
      <c r="F63" s="204">
        <v>4</v>
      </c>
      <c r="G63" s="204">
        <v>3</v>
      </c>
      <c r="H63" s="204">
        <v>0</v>
      </c>
      <c r="I63" s="204">
        <v>2</v>
      </c>
      <c r="J63" s="204">
        <v>3</v>
      </c>
      <c r="K63" s="204">
        <v>5</v>
      </c>
      <c r="L63" s="204">
        <v>2</v>
      </c>
      <c r="M63" s="204">
        <v>2</v>
      </c>
      <c r="N63" s="204">
        <v>3</v>
      </c>
      <c r="O63" s="204">
        <v>8</v>
      </c>
      <c r="P63" s="204">
        <v>9</v>
      </c>
      <c r="Q63" s="204">
        <v>11</v>
      </c>
      <c r="R63" s="204">
        <v>5</v>
      </c>
      <c r="S63" s="204">
        <v>13</v>
      </c>
      <c r="T63" s="204">
        <v>2</v>
      </c>
      <c r="U63" s="204">
        <v>4</v>
      </c>
      <c r="V63" s="204">
        <v>2</v>
      </c>
      <c r="W63" s="204">
        <v>6</v>
      </c>
      <c r="X63" s="204">
        <v>3</v>
      </c>
      <c r="Y63" s="206">
        <v>92</v>
      </c>
    </row>
    <row r="64" spans="1:25" x14ac:dyDescent="0.25">
      <c r="A64" s="117" t="s">
        <v>56</v>
      </c>
      <c r="B64" s="203">
        <v>0</v>
      </c>
      <c r="C64" s="204">
        <v>0</v>
      </c>
      <c r="D64" s="204">
        <v>2</v>
      </c>
      <c r="E64" s="204">
        <v>1</v>
      </c>
      <c r="F64" s="204">
        <v>0</v>
      </c>
      <c r="G64" s="204">
        <v>1</v>
      </c>
      <c r="H64" s="204">
        <v>0</v>
      </c>
      <c r="I64" s="204">
        <v>4</v>
      </c>
      <c r="J64" s="204">
        <v>4</v>
      </c>
      <c r="K64" s="204">
        <v>1</v>
      </c>
      <c r="L64" s="204">
        <v>3</v>
      </c>
      <c r="M64" s="204">
        <v>5</v>
      </c>
      <c r="N64" s="204">
        <v>6</v>
      </c>
      <c r="O64" s="204">
        <v>14</v>
      </c>
      <c r="P64" s="204">
        <v>7</v>
      </c>
      <c r="Q64" s="204">
        <v>12</v>
      </c>
      <c r="R64" s="204">
        <v>7</v>
      </c>
      <c r="S64" s="204">
        <v>7</v>
      </c>
      <c r="T64" s="204">
        <v>3</v>
      </c>
      <c r="U64" s="204">
        <v>5</v>
      </c>
      <c r="V64" s="204">
        <v>6</v>
      </c>
      <c r="W64" s="204">
        <v>3</v>
      </c>
      <c r="X64" s="204">
        <v>8</v>
      </c>
      <c r="Y64" s="206">
        <v>99</v>
      </c>
    </row>
    <row r="65" spans="1:25" x14ac:dyDescent="0.25">
      <c r="A65" s="117" t="s">
        <v>3183</v>
      </c>
      <c r="B65" s="203">
        <v>0</v>
      </c>
      <c r="C65" s="204">
        <v>1</v>
      </c>
      <c r="D65" s="204">
        <v>1</v>
      </c>
      <c r="E65" s="204">
        <v>2</v>
      </c>
      <c r="F65" s="204">
        <v>0</v>
      </c>
      <c r="G65" s="204">
        <v>4</v>
      </c>
      <c r="H65" s="204">
        <v>2</v>
      </c>
      <c r="I65" s="204">
        <v>2</v>
      </c>
      <c r="J65" s="204">
        <v>5</v>
      </c>
      <c r="K65" s="204">
        <v>3</v>
      </c>
      <c r="L65" s="204">
        <v>5</v>
      </c>
      <c r="M65" s="204">
        <v>6</v>
      </c>
      <c r="N65" s="204">
        <v>11</v>
      </c>
      <c r="O65" s="204">
        <v>18</v>
      </c>
      <c r="P65" s="204">
        <v>18</v>
      </c>
      <c r="Q65" s="204">
        <v>23</v>
      </c>
      <c r="R65" s="204">
        <v>19</v>
      </c>
      <c r="S65" s="204">
        <v>19</v>
      </c>
      <c r="T65" s="204">
        <v>3</v>
      </c>
      <c r="U65" s="204">
        <v>5</v>
      </c>
      <c r="V65" s="204">
        <v>2</v>
      </c>
      <c r="W65" s="204">
        <v>13</v>
      </c>
      <c r="X65" s="204">
        <v>12</v>
      </c>
      <c r="Y65" s="206">
        <v>174</v>
      </c>
    </row>
    <row r="66" spans="1:25" x14ac:dyDescent="0.25">
      <c r="A66" s="117" t="s">
        <v>47</v>
      </c>
      <c r="B66" s="203">
        <v>0</v>
      </c>
      <c r="C66" s="204">
        <v>0</v>
      </c>
      <c r="D66" s="204">
        <v>0</v>
      </c>
      <c r="E66" s="204">
        <v>1</v>
      </c>
      <c r="F66" s="204">
        <v>1</v>
      </c>
      <c r="G66" s="204">
        <v>0</v>
      </c>
      <c r="H66" s="204">
        <v>0</v>
      </c>
      <c r="I66" s="204">
        <v>0</v>
      </c>
      <c r="J66" s="204">
        <v>0</v>
      </c>
      <c r="K66" s="204">
        <v>0</v>
      </c>
      <c r="L66" s="204">
        <v>1</v>
      </c>
      <c r="M66" s="204">
        <v>2</v>
      </c>
      <c r="N66" s="204">
        <v>2</v>
      </c>
      <c r="O66" s="204">
        <v>4</v>
      </c>
      <c r="P66" s="204">
        <v>2</v>
      </c>
      <c r="Q66" s="204">
        <v>3</v>
      </c>
      <c r="R66" s="204">
        <v>1</v>
      </c>
      <c r="S66" s="204">
        <v>1</v>
      </c>
      <c r="T66" s="204">
        <v>1</v>
      </c>
      <c r="U66" s="204">
        <v>0</v>
      </c>
      <c r="V66" s="204">
        <v>0</v>
      </c>
      <c r="W66" s="204">
        <v>0</v>
      </c>
      <c r="X66" s="204">
        <v>0</v>
      </c>
      <c r="Y66" s="206">
        <v>19</v>
      </c>
    </row>
    <row r="67" spans="1:25" x14ac:dyDescent="0.25">
      <c r="A67" s="117" t="s">
        <v>199</v>
      </c>
      <c r="B67" s="203">
        <v>0</v>
      </c>
      <c r="C67" s="204">
        <v>0</v>
      </c>
      <c r="D67" s="204">
        <v>0</v>
      </c>
      <c r="E67" s="204">
        <v>0</v>
      </c>
      <c r="F67" s="204">
        <v>0</v>
      </c>
      <c r="G67" s="204">
        <v>0</v>
      </c>
      <c r="H67" s="204">
        <v>0</v>
      </c>
      <c r="I67" s="204">
        <v>0</v>
      </c>
      <c r="J67" s="204">
        <v>1</v>
      </c>
      <c r="K67" s="204">
        <v>1</v>
      </c>
      <c r="L67" s="204">
        <v>1</v>
      </c>
      <c r="M67" s="204">
        <v>0</v>
      </c>
      <c r="N67" s="204">
        <v>0</v>
      </c>
      <c r="O67" s="204">
        <v>0</v>
      </c>
      <c r="P67" s="204">
        <v>1</v>
      </c>
      <c r="Q67" s="204">
        <v>0</v>
      </c>
      <c r="R67" s="204">
        <v>1</v>
      </c>
      <c r="S67" s="204">
        <v>0</v>
      </c>
      <c r="T67" s="204">
        <v>0</v>
      </c>
      <c r="U67" s="204">
        <v>0</v>
      </c>
      <c r="V67" s="204">
        <v>0</v>
      </c>
      <c r="W67" s="204">
        <v>0</v>
      </c>
      <c r="X67" s="204">
        <v>1</v>
      </c>
      <c r="Y67" s="206">
        <v>6</v>
      </c>
    </row>
    <row r="68" spans="1:25" x14ac:dyDescent="0.25">
      <c r="A68" s="121" t="s">
        <v>2779</v>
      </c>
      <c r="B68" s="208">
        <v>1</v>
      </c>
      <c r="C68" s="209">
        <v>3</v>
      </c>
      <c r="D68" s="209">
        <v>4</v>
      </c>
      <c r="E68" s="209">
        <v>5</v>
      </c>
      <c r="F68" s="209">
        <v>5</v>
      </c>
      <c r="G68" s="209">
        <v>8</v>
      </c>
      <c r="H68" s="209">
        <v>2</v>
      </c>
      <c r="I68" s="209">
        <v>9</v>
      </c>
      <c r="J68" s="209">
        <v>13</v>
      </c>
      <c r="K68" s="209">
        <v>10</v>
      </c>
      <c r="L68" s="209">
        <v>12</v>
      </c>
      <c r="M68" s="209">
        <v>15</v>
      </c>
      <c r="N68" s="209">
        <v>26</v>
      </c>
      <c r="O68" s="209">
        <v>44</v>
      </c>
      <c r="P68" s="209">
        <v>38</v>
      </c>
      <c r="Q68" s="209">
        <v>50</v>
      </c>
      <c r="R68" s="209">
        <v>39</v>
      </c>
      <c r="S68" s="209">
        <v>42</v>
      </c>
      <c r="T68" s="209">
        <v>9</v>
      </c>
      <c r="U68" s="209">
        <v>14</v>
      </c>
      <c r="V68" s="209">
        <v>10</v>
      </c>
      <c r="W68" s="209">
        <v>24</v>
      </c>
      <c r="X68" s="209">
        <v>29</v>
      </c>
      <c r="Y68" s="207">
        <v>412</v>
      </c>
    </row>
  </sheetData>
  <pageMargins left="0.7" right="0.7" top="0.75" bottom="0.75" header="0" footer="0"/>
  <pageSetup orientation="portrait"/>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2:J74"/>
  <sheetViews>
    <sheetView topLeftCell="A60" workbookViewId="0">
      <selection activeCell="G72" sqref="G72"/>
    </sheetView>
  </sheetViews>
  <sheetFormatPr defaultColWidth="14.42578125" defaultRowHeight="15" customHeight="1" x14ac:dyDescent="0.25"/>
  <cols>
    <col min="1" max="1" width="29.7109375" customWidth="1"/>
    <col min="2" max="2" width="21.28515625" customWidth="1"/>
    <col min="3" max="3" width="16.28515625" customWidth="1"/>
    <col min="4" max="4" width="8" customWidth="1"/>
    <col min="5" max="5" width="16.28515625" customWidth="1"/>
    <col min="6" max="6" width="13" customWidth="1"/>
    <col min="7" max="7" width="10.28515625" customWidth="1"/>
    <col min="8" max="8" width="9.42578125" customWidth="1"/>
    <col min="9" max="9" width="12.28515625" customWidth="1"/>
    <col min="10" max="10" width="12.42578125" customWidth="1"/>
    <col min="11" max="26" width="8.7109375" customWidth="1"/>
  </cols>
  <sheetData>
    <row r="2" spans="1:6" hidden="1" x14ac:dyDescent="0.25">
      <c r="A2" s="2" t="s">
        <v>2826</v>
      </c>
    </row>
    <row r="3" spans="1:6" hidden="1" x14ac:dyDescent="0.25">
      <c r="A3" s="120" t="s">
        <v>1</v>
      </c>
      <c r="B3" s="119" t="s">
        <v>307</v>
      </c>
    </row>
    <row r="4" spans="1:6" hidden="1" x14ac:dyDescent="0.25">
      <c r="A4" s="120" t="s">
        <v>8</v>
      </c>
      <c r="B4" s="119" t="s">
        <v>2817</v>
      </c>
    </row>
    <row r="5" spans="1:6" hidden="1" x14ac:dyDescent="0.25">
      <c r="A5" s="120" t="s">
        <v>10</v>
      </c>
      <c r="B5" s="119" t="s">
        <v>2827</v>
      </c>
    </row>
    <row r="6" spans="1:6" hidden="1" x14ac:dyDescent="0.25"/>
    <row r="7" spans="1:6" hidden="1" x14ac:dyDescent="0.25">
      <c r="A7" s="114"/>
      <c r="B7" s="111" t="s">
        <v>17</v>
      </c>
      <c r="C7" s="112"/>
      <c r="D7" s="112"/>
      <c r="E7" s="112"/>
      <c r="F7" s="113"/>
    </row>
    <row r="8" spans="1:6" hidden="1" x14ac:dyDescent="0.25">
      <c r="A8" s="124"/>
      <c r="B8" s="114" t="s">
        <v>818</v>
      </c>
      <c r="C8" s="115" t="s">
        <v>309</v>
      </c>
      <c r="D8" s="115" t="s">
        <v>594</v>
      </c>
      <c r="E8" s="115" t="s">
        <v>1229</v>
      </c>
      <c r="F8" s="125" t="s">
        <v>426</v>
      </c>
    </row>
    <row r="9" spans="1:6" hidden="1" x14ac:dyDescent="0.25">
      <c r="A9" s="118" t="s">
        <v>2778</v>
      </c>
      <c r="B9" s="181">
        <v>19</v>
      </c>
      <c r="C9" s="182">
        <v>67</v>
      </c>
      <c r="D9" s="182">
        <v>42</v>
      </c>
      <c r="E9" s="182">
        <v>11</v>
      </c>
      <c r="F9" s="183">
        <v>130</v>
      </c>
    </row>
    <row r="31" spans="1:1" ht="15.75" hidden="1" customHeight="1" x14ac:dyDescent="0.25">
      <c r="A31" s="2" t="s">
        <v>2830</v>
      </c>
    </row>
    <row r="34" spans="1:6" hidden="1" x14ac:dyDescent="0.25">
      <c r="A34" s="120" t="s">
        <v>1</v>
      </c>
      <c r="B34" s="119" t="s">
        <v>307</v>
      </c>
    </row>
    <row r="35" spans="1:6" hidden="1" x14ac:dyDescent="0.25">
      <c r="A35" s="120" t="s">
        <v>8</v>
      </c>
      <c r="B35" s="119" t="s">
        <v>2817</v>
      </c>
    </row>
    <row r="36" spans="1:6" hidden="1" x14ac:dyDescent="0.25">
      <c r="A36" s="120" t="s">
        <v>10</v>
      </c>
      <c r="B36" s="119" t="s">
        <v>2827</v>
      </c>
    </row>
    <row r="37" spans="1:6" ht="15.75" hidden="1" customHeight="1" x14ac:dyDescent="0.25"/>
    <row r="38" spans="1:6" ht="15.75" hidden="1" customHeight="1" x14ac:dyDescent="0.25">
      <c r="A38" s="114"/>
      <c r="B38" s="111" t="s">
        <v>17</v>
      </c>
      <c r="C38" s="112"/>
      <c r="D38" s="112"/>
      <c r="E38" s="112"/>
      <c r="F38" s="113"/>
    </row>
    <row r="39" spans="1:6" ht="15.75" hidden="1" customHeight="1" x14ac:dyDescent="0.25">
      <c r="A39" s="124"/>
      <c r="B39" s="114" t="s">
        <v>818</v>
      </c>
      <c r="C39" s="115" t="s">
        <v>309</v>
      </c>
      <c r="D39" s="115" t="s">
        <v>594</v>
      </c>
      <c r="E39" s="115" t="s">
        <v>1229</v>
      </c>
      <c r="F39" s="125" t="s">
        <v>426</v>
      </c>
    </row>
    <row r="40" spans="1:6" ht="15.75" hidden="1" customHeight="1" x14ac:dyDescent="0.25">
      <c r="A40" s="118" t="s">
        <v>2778</v>
      </c>
      <c r="B40" s="181">
        <v>20</v>
      </c>
      <c r="C40" s="182">
        <v>83</v>
      </c>
      <c r="D40" s="182">
        <v>50</v>
      </c>
      <c r="E40" s="182">
        <v>12</v>
      </c>
      <c r="F40" s="183">
        <v>145</v>
      </c>
    </row>
    <row r="60" spans="1:9" ht="15.75" customHeight="1" x14ac:dyDescent="0.25">
      <c r="A60" s="12" t="s">
        <v>3120</v>
      </c>
      <c r="B60" s="15"/>
      <c r="C60" s="15"/>
      <c r="D60" s="15"/>
      <c r="E60" s="15"/>
      <c r="F60" s="15"/>
      <c r="G60" s="15"/>
      <c r="H60" s="15"/>
      <c r="I60" s="15"/>
    </row>
    <row r="61" spans="1:9" ht="15.75" customHeight="1" x14ac:dyDescent="0.25">
      <c r="B61" s="15"/>
      <c r="C61" s="15"/>
      <c r="D61" s="15"/>
      <c r="E61" s="15"/>
      <c r="F61" s="15"/>
      <c r="G61" s="15"/>
      <c r="H61" s="15"/>
      <c r="I61" s="15"/>
    </row>
    <row r="62" spans="1:9" ht="15.75" customHeight="1" x14ac:dyDescent="0.25"/>
    <row r="63" spans="1:9" x14ac:dyDescent="0.25">
      <c r="A63" s="120" t="s">
        <v>8</v>
      </c>
      <c r="B63" s="119" t="s">
        <v>2817</v>
      </c>
    </row>
    <row r="64" spans="1:9" x14ac:dyDescent="0.25">
      <c r="A64" s="120" t="s">
        <v>10</v>
      </c>
      <c r="B64" s="119" t="s">
        <v>2827</v>
      </c>
    </row>
    <row r="65" spans="1:10" ht="15.75" customHeight="1" x14ac:dyDescent="0.25"/>
    <row r="66" spans="1:10" ht="15.75" customHeight="1" x14ac:dyDescent="0.25">
      <c r="A66" s="111" t="s">
        <v>2778</v>
      </c>
      <c r="B66" s="111" t="s">
        <v>17</v>
      </c>
      <c r="C66" s="112"/>
      <c r="D66" s="112"/>
      <c r="E66" s="112"/>
      <c r="F66" s="112"/>
      <c r="G66" s="112"/>
      <c r="H66" s="112"/>
      <c r="I66" s="112"/>
      <c r="J66" s="113"/>
    </row>
    <row r="67" spans="1:10" x14ac:dyDescent="0.25">
      <c r="A67" s="111" t="s">
        <v>6</v>
      </c>
      <c r="B67" s="114" t="s">
        <v>818</v>
      </c>
      <c r="C67" s="115" t="s">
        <v>309</v>
      </c>
      <c r="D67" s="115" t="s">
        <v>594</v>
      </c>
      <c r="E67" s="115" t="s">
        <v>866</v>
      </c>
      <c r="F67" s="115" t="s">
        <v>1229</v>
      </c>
      <c r="G67" s="115" t="s">
        <v>426</v>
      </c>
      <c r="H67" s="115" t="s">
        <v>2239</v>
      </c>
      <c r="I67" s="115" t="s">
        <v>1477</v>
      </c>
      <c r="J67" s="122" t="s">
        <v>2779</v>
      </c>
    </row>
    <row r="68" spans="1:10" x14ac:dyDescent="0.25">
      <c r="A68" s="133" t="s">
        <v>91</v>
      </c>
      <c r="B68" s="211">
        <v>3</v>
      </c>
      <c r="C68" s="212">
        <v>2</v>
      </c>
      <c r="D68" s="212">
        <v>2</v>
      </c>
      <c r="E68" s="212">
        <v>0</v>
      </c>
      <c r="F68" s="212">
        <v>0</v>
      </c>
      <c r="G68" s="212">
        <v>8</v>
      </c>
      <c r="H68" s="212">
        <v>0</v>
      </c>
      <c r="I68" s="212">
        <v>0</v>
      </c>
      <c r="J68" s="213">
        <v>15</v>
      </c>
    </row>
    <row r="69" spans="1:10" x14ac:dyDescent="0.25">
      <c r="A69" s="117" t="s">
        <v>41</v>
      </c>
      <c r="B69" s="187">
        <v>8</v>
      </c>
      <c r="C69" s="188">
        <v>32</v>
      </c>
      <c r="D69" s="188">
        <v>21</v>
      </c>
      <c r="E69" s="188">
        <v>2</v>
      </c>
      <c r="F69" s="188">
        <v>3</v>
      </c>
      <c r="G69" s="188">
        <v>17</v>
      </c>
      <c r="H69" s="188">
        <v>0</v>
      </c>
      <c r="I69" s="188">
        <v>0</v>
      </c>
      <c r="J69" s="200">
        <v>83</v>
      </c>
    </row>
    <row r="70" spans="1:10" x14ac:dyDescent="0.25">
      <c r="A70" s="117" t="s">
        <v>56</v>
      </c>
      <c r="B70" s="187">
        <v>4</v>
      </c>
      <c r="C70" s="188">
        <v>15</v>
      </c>
      <c r="D70" s="188">
        <v>22</v>
      </c>
      <c r="E70" s="188">
        <v>1</v>
      </c>
      <c r="F70" s="188">
        <v>10</v>
      </c>
      <c r="G70" s="188">
        <v>27</v>
      </c>
      <c r="H70" s="188">
        <v>7</v>
      </c>
      <c r="I70" s="188">
        <v>2</v>
      </c>
      <c r="J70" s="200">
        <v>88</v>
      </c>
    </row>
    <row r="71" spans="1:10" x14ac:dyDescent="0.25">
      <c r="A71" s="117" t="s">
        <v>3183</v>
      </c>
      <c r="B71" s="187">
        <v>4</v>
      </c>
      <c r="C71" s="188">
        <v>37</v>
      </c>
      <c r="D71" s="188">
        <v>12</v>
      </c>
      <c r="E71" s="188">
        <v>8</v>
      </c>
      <c r="F71" s="188">
        <v>1</v>
      </c>
      <c r="G71" s="188">
        <v>87</v>
      </c>
      <c r="H71" s="188">
        <v>0</v>
      </c>
      <c r="I71" s="188">
        <v>0</v>
      </c>
      <c r="J71" s="200">
        <v>149</v>
      </c>
    </row>
    <row r="72" spans="1:10" x14ac:dyDescent="0.25">
      <c r="A72" s="117" t="s">
        <v>47</v>
      </c>
      <c r="B72" s="187">
        <v>3</v>
      </c>
      <c r="C72" s="188">
        <v>0</v>
      </c>
      <c r="D72" s="188">
        <v>2</v>
      </c>
      <c r="E72" s="188">
        <v>1</v>
      </c>
      <c r="F72" s="188">
        <v>0</v>
      </c>
      <c r="G72" s="188">
        <v>13</v>
      </c>
      <c r="H72" s="188">
        <v>0</v>
      </c>
      <c r="I72" s="188">
        <v>0</v>
      </c>
      <c r="J72" s="200">
        <v>19</v>
      </c>
    </row>
    <row r="73" spans="1:10" x14ac:dyDescent="0.25">
      <c r="A73" s="117" t="s">
        <v>199</v>
      </c>
      <c r="B73" s="187">
        <v>0</v>
      </c>
      <c r="C73" s="188">
        <v>0</v>
      </c>
      <c r="D73" s="188">
        <v>1</v>
      </c>
      <c r="E73" s="188">
        <v>0</v>
      </c>
      <c r="F73" s="188">
        <v>1</v>
      </c>
      <c r="G73" s="188">
        <v>3</v>
      </c>
      <c r="H73" s="188">
        <v>0</v>
      </c>
      <c r="I73" s="188">
        <v>0</v>
      </c>
      <c r="J73" s="200">
        <v>5</v>
      </c>
    </row>
    <row r="74" spans="1:10" x14ac:dyDescent="0.25">
      <c r="A74" s="121" t="s">
        <v>2779</v>
      </c>
      <c r="B74" s="208">
        <v>22</v>
      </c>
      <c r="C74" s="209">
        <v>86</v>
      </c>
      <c r="D74" s="209">
        <v>60</v>
      </c>
      <c r="E74" s="209">
        <v>12</v>
      </c>
      <c r="F74" s="209">
        <v>15</v>
      </c>
      <c r="G74" s="209">
        <v>155</v>
      </c>
      <c r="H74" s="209">
        <v>7</v>
      </c>
      <c r="I74" s="209">
        <v>2</v>
      </c>
      <c r="J74" s="207">
        <v>359</v>
      </c>
    </row>
  </sheetData>
  <pageMargins left="0.7" right="0.7" top="0.75" bottom="0.75" header="0" footer="0"/>
  <pageSetup orientation="portrait"/>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tabColor rgb="FFFF0000"/>
  </sheetPr>
  <dimension ref="A1:AA3379"/>
  <sheetViews>
    <sheetView topLeftCell="D1802" workbookViewId="0">
      <selection activeCell="M3084" sqref="M3084"/>
    </sheetView>
  </sheetViews>
  <sheetFormatPr defaultColWidth="14.42578125" defaultRowHeight="15" customHeight="1" x14ac:dyDescent="0.25"/>
  <cols>
    <col min="1" max="2" width="19.42578125" style="148" customWidth="1"/>
    <col min="3" max="3" width="27.28515625" style="148" customWidth="1"/>
    <col min="4" max="4" width="58.7109375" style="148" customWidth="1"/>
    <col min="5" max="5" width="22" style="148" customWidth="1"/>
    <col min="6" max="6" width="17.28515625" style="148" customWidth="1"/>
    <col min="7" max="7" width="14.28515625" style="148" customWidth="1"/>
    <col min="8" max="8" width="7.28515625" style="148" customWidth="1"/>
    <col min="9" max="9" width="5.7109375" style="148" customWidth="1"/>
    <col min="10" max="10" width="29.7109375" style="148" customWidth="1"/>
    <col min="11" max="11" width="14.28515625" style="148" customWidth="1"/>
    <col min="12" max="12" width="7.28515625" style="148" customWidth="1"/>
    <col min="13" max="13" width="20.28515625" style="148" customWidth="1"/>
    <col min="14" max="14" width="16.7109375" style="148" customWidth="1"/>
    <col min="15" max="15" width="14" style="148" customWidth="1"/>
    <col min="16" max="16" width="25.7109375" style="148" customWidth="1"/>
    <col min="17" max="17" width="18.7109375" style="148" customWidth="1"/>
    <col min="18" max="18" width="21.28515625" style="148" customWidth="1"/>
    <col min="19" max="19" width="15.7109375" style="148" customWidth="1"/>
    <col min="20" max="20" width="30" style="148" customWidth="1"/>
    <col min="21" max="21" width="14.7109375" style="148" customWidth="1"/>
    <col min="22" max="22" width="36.28515625" style="148" customWidth="1"/>
    <col min="23" max="23" width="29.42578125" style="148" customWidth="1"/>
    <col min="24" max="24" width="69.28515625" style="148" customWidth="1"/>
    <col min="25" max="25" width="24.7109375" style="150" customWidth="1"/>
    <col min="26" max="26" width="69.7109375" style="148" customWidth="1"/>
    <col min="27" max="27" width="8.7109375" style="148" customWidth="1"/>
    <col min="28" max="16384" width="14.42578125" style="148"/>
  </cols>
  <sheetData>
    <row r="1" spans="1:26" x14ac:dyDescent="0.25">
      <c r="A1" s="148" t="s">
        <v>1</v>
      </c>
      <c r="B1" s="148" t="s">
        <v>2</v>
      </c>
      <c r="C1" s="148" t="s">
        <v>3</v>
      </c>
      <c r="D1" s="148" t="s">
        <v>4</v>
      </c>
      <c r="E1" s="148" t="s">
        <v>5</v>
      </c>
      <c r="F1" s="148" t="s">
        <v>6</v>
      </c>
      <c r="G1" s="148" t="s">
        <v>7</v>
      </c>
      <c r="H1" s="148" t="s">
        <v>8</v>
      </c>
      <c r="I1" s="148" t="s">
        <v>9</v>
      </c>
      <c r="J1" s="148" t="s">
        <v>10</v>
      </c>
      <c r="K1" s="148" t="s">
        <v>11</v>
      </c>
      <c r="L1" s="148" t="s">
        <v>12</v>
      </c>
      <c r="M1" s="148" t="s">
        <v>13</v>
      </c>
      <c r="N1" s="148" t="s">
        <v>14</v>
      </c>
      <c r="O1" s="148" t="s">
        <v>15</v>
      </c>
      <c r="P1" s="148" t="s">
        <v>16</v>
      </c>
      <c r="Q1" s="149" t="s">
        <v>17</v>
      </c>
      <c r="R1" s="148" t="s">
        <v>18</v>
      </c>
      <c r="S1" s="148" t="s">
        <v>19</v>
      </c>
      <c r="T1" s="148" t="s">
        <v>20</v>
      </c>
      <c r="U1" s="149" t="s">
        <v>3628</v>
      </c>
      <c r="V1" s="148" t="s">
        <v>21</v>
      </c>
      <c r="W1" s="148" t="s">
        <v>22</v>
      </c>
      <c r="X1" s="148" t="s">
        <v>23</v>
      </c>
      <c r="Y1" s="150" t="s">
        <v>24</v>
      </c>
      <c r="Z1" s="148" t="s">
        <v>25</v>
      </c>
    </row>
    <row r="2" spans="1:26" hidden="1" x14ac:dyDescent="0.25">
      <c r="A2" s="148" t="s">
        <v>26</v>
      </c>
      <c r="B2" s="148" t="s">
        <v>27</v>
      </c>
      <c r="C2" s="148" t="s">
        <v>28</v>
      </c>
      <c r="D2" s="148" t="s">
        <v>29</v>
      </c>
      <c r="E2" s="148" t="s">
        <v>30</v>
      </c>
      <c r="F2" s="148" t="s">
        <v>3183</v>
      </c>
      <c r="G2" s="148" t="s">
        <v>32</v>
      </c>
      <c r="H2" s="148">
        <v>1985</v>
      </c>
      <c r="I2" s="148">
        <v>11</v>
      </c>
      <c r="J2" s="148" t="s">
        <v>33</v>
      </c>
      <c r="U2" s="149" t="s">
        <v>112</v>
      </c>
      <c r="V2" s="148" t="s">
        <v>3639</v>
      </c>
      <c r="W2" s="148" t="s">
        <v>34</v>
      </c>
      <c r="X2" s="148" t="s">
        <v>35</v>
      </c>
    </row>
    <row r="3" spans="1:26" hidden="1" x14ac:dyDescent="0.25">
      <c r="A3" s="148" t="s">
        <v>26</v>
      </c>
      <c r="B3" s="148" t="s">
        <v>36</v>
      </c>
      <c r="C3" s="148" t="s">
        <v>28</v>
      </c>
      <c r="D3" s="148" t="s">
        <v>29</v>
      </c>
      <c r="E3" s="148" t="s">
        <v>30</v>
      </c>
      <c r="F3" s="148" t="s">
        <v>3183</v>
      </c>
      <c r="G3" s="148" t="s">
        <v>37</v>
      </c>
      <c r="H3" s="148">
        <v>1985</v>
      </c>
      <c r="I3" s="148">
        <v>11</v>
      </c>
      <c r="J3" s="148" t="s">
        <v>33</v>
      </c>
      <c r="U3" s="149" t="s">
        <v>112</v>
      </c>
      <c r="V3" s="148">
        <v>1985</v>
      </c>
      <c r="W3" s="148" t="s">
        <v>38</v>
      </c>
      <c r="X3" s="148" t="s">
        <v>39</v>
      </c>
    </row>
    <row r="4" spans="1:26" hidden="1" x14ac:dyDescent="0.25">
      <c r="A4" s="148" t="s">
        <v>26</v>
      </c>
      <c r="B4" s="148" t="s">
        <v>27</v>
      </c>
      <c r="C4" s="148" t="s">
        <v>28</v>
      </c>
      <c r="D4" s="148" t="s">
        <v>29</v>
      </c>
      <c r="E4" s="148" t="s">
        <v>40</v>
      </c>
      <c r="F4" s="148" t="s">
        <v>41</v>
      </c>
      <c r="G4" s="148" t="s">
        <v>42</v>
      </c>
      <c r="H4" s="148">
        <v>1985</v>
      </c>
      <c r="I4" s="148">
        <v>11</v>
      </c>
      <c r="J4" s="148" t="s">
        <v>33</v>
      </c>
      <c r="U4" s="149" t="s">
        <v>112</v>
      </c>
      <c r="V4" s="148" t="s">
        <v>3639</v>
      </c>
      <c r="W4" s="148" t="s">
        <v>34</v>
      </c>
      <c r="X4" s="148" t="s">
        <v>35</v>
      </c>
    </row>
    <row r="5" spans="1:26" hidden="1" x14ac:dyDescent="0.25">
      <c r="A5" s="148" t="s">
        <v>26</v>
      </c>
      <c r="B5" s="148" t="s">
        <v>27</v>
      </c>
      <c r="C5" s="148" t="s">
        <v>28</v>
      </c>
      <c r="D5" s="148" t="s">
        <v>29</v>
      </c>
      <c r="E5" s="148" t="s">
        <v>30</v>
      </c>
      <c r="F5" s="148" t="s">
        <v>3183</v>
      </c>
      <c r="G5" s="148" t="s">
        <v>43</v>
      </c>
      <c r="H5" s="148">
        <v>1985</v>
      </c>
      <c r="I5" s="148">
        <v>11</v>
      </c>
      <c r="J5" s="148" t="s">
        <v>33</v>
      </c>
      <c r="U5" s="149" t="s">
        <v>112</v>
      </c>
      <c r="V5" s="148" t="s">
        <v>3639</v>
      </c>
      <c r="W5" s="148" t="s">
        <v>34</v>
      </c>
      <c r="X5" s="148" t="s">
        <v>35</v>
      </c>
    </row>
    <row r="6" spans="1:26" hidden="1" x14ac:dyDescent="0.25">
      <c r="A6" s="148" t="s">
        <v>26</v>
      </c>
      <c r="B6" s="148" t="s">
        <v>44</v>
      </c>
      <c r="C6" s="148" t="s">
        <v>45</v>
      </c>
      <c r="D6" s="148" t="s">
        <v>29</v>
      </c>
      <c r="E6" s="148" t="s">
        <v>46</v>
      </c>
      <c r="F6" s="148" t="s">
        <v>47</v>
      </c>
      <c r="G6" s="148" t="s">
        <v>48</v>
      </c>
      <c r="H6" s="148">
        <v>1989</v>
      </c>
      <c r="I6" s="148">
        <v>3</v>
      </c>
      <c r="J6" s="148" t="s">
        <v>33</v>
      </c>
      <c r="U6" s="149" t="s">
        <v>112</v>
      </c>
      <c r="V6" s="148" t="s">
        <v>3640</v>
      </c>
      <c r="W6" s="148" t="s">
        <v>49</v>
      </c>
      <c r="X6" s="148" t="s">
        <v>50</v>
      </c>
    </row>
    <row r="7" spans="1:26" hidden="1" x14ac:dyDescent="0.25">
      <c r="A7" s="148" t="s">
        <v>26</v>
      </c>
      <c r="B7" s="148" t="s">
        <v>36</v>
      </c>
      <c r="C7" s="148" t="s">
        <v>28</v>
      </c>
      <c r="D7" s="148" t="s">
        <v>29</v>
      </c>
      <c r="E7" s="148" t="s">
        <v>51</v>
      </c>
      <c r="F7" s="148" t="s">
        <v>3183</v>
      </c>
      <c r="G7" s="148" t="s">
        <v>52</v>
      </c>
      <c r="H7" s="148">
        <v>1990</v>
      </c>
      <c r="I7" s="148">
        <v>3</v>
      </c>
      <c r="J7" s="148" t="s">
        <v>33</v>
      </c>
      <c r="U7" s="149" t="s">
        <v>112</v>
      </c>
      <c r="V7" s="148" t="s">
        <v>3641</v>
      </c>
      <c r="W7" s="148" t="s">
        <v>49</v>
      </c>
      <c r="X7" s="148" t="s">
        <v>50</v>
      </c>
    </row>
    <row r="8" spans="1:26" hidden="1" x14ac:dyDescent="0.25">
      <c r="A8" s="148" t="s">
        <v>26</v>
      </c>
      <c r="B8" s="148" t="s">
        <v>27</v>
      </c>
      <c r="C8" s="148" t="s">
        <v>28</v>
      </c>
      <c r="D8" s="148" t="s">
        <v>29</v>
      </c>
      <c r="E8" s="148" t="s">
        <v>30</v>
      </c>
      <c r="F8" s="148" t="s">
        <v>3183</v>
      </c>
      <c r="G8" s="148" t="s">
        <v>32</v>
      </c>
      <c r="H8" s="148">
        <v>1993</v>
      </c>
      <c r="I8" s="148">
        <v>10</v>
      </c>
      <c r="J8" s="148" t="s">
        <v>33</v>
      </c>
      <c r="U8" s="149" t="s">
        <v>112</v>
      </c>
      <c r="V8" s="148" t="s">
        <v>3642</v>
      </c>
      <c r="W8" s="148" t="s">
        <v>49</v>
      </c>
      <c r="X8" s="148" t="s">
        <v>50</v>
      </c>
    </row>
    <row r="9" spans="1:26" hidden="1" x14ac:dyDescent="0.25">
      <c r="A9" s="148" t="s">
        <v>26</v>
      </c>
      <c r="B9" s="148" t="s">
        <v>27</v>
      </c>
      <c r="C9" s="148" t="s">
        <v>28</v>
      </c>
      <c r="D9" s="148" t="s">
        <v>29</v>
      </c>
      <c r="E9" s="148" t="s">
        <v>30</v>
      </c>
      <c r="F9" s="148" t="s">
        <v>3183</v>
      </c>
      <c r="G9" s="148" t="s">
        <v>53</v>
      </c>
      <c r="H9" s="148">
        <v>1993</v>
      </c>
      <c r="I9" s="148">
        <v>10</v>
      </c>
      <c r="J9" s="148" t="s">
        <v>33</v>
      </c>
      <c r="U9" s="149" t="s">
        <v>112</v>
      </c>
      <c r="V9" s="148" t="s">
        <v>3642</v>
      </c>
      <c r="W9" s="148" t="s">
        <v>49</v>
      </c>
      <c r="X9" s="148" t="s">
        <v>50</v>
      </c>
    </row>
    <row r="10" spans="1:26" ht="13.5" hidden="1" customHeight="1" x14ac:dyDescent="0.25">
      <c r="A10" s="148" t="s">
        <v>26</v>
      </c>
      <c r="B10" s="148" t="s">
        <v>27</v>
      </c>
      <c r="C10" s="148" t="s">
        <v>28</v>
      </c>
      <c r="D10" s="148" t="s">
        <v>29</v>
      </c>
      <c r="E10" s="148" t="s">
        <v>40</v>
      </c>
      <c r="F10" s="148" t="s">
        <v>41</v>
      </c>
      <c r="G10" s="148" t="s">
        <v>42</v>
      </c>
      <c r="H10" s="148">
        <v>1993</v>
      </c>
      <c r="I10" s="148">
        <v>10</v>
      </c>
      <c r="J10" s="148" t="s">
        <v>33</v>
      </c>
      <c r="U10" s="149" t="s">
        <v>112</v>
      </c>
      <c r="V10" s="148" t="s">
        <v>3642</v>
      </c>
      <c r="W10" s="148" t="s">
        <v>49</v>
      </c>
      <c r="X10" s="148" t="s">
        <v>50</v>
      </c>
    </row>
    <row r="11" spans="1:26" hidden="1" x14ac:dyDescent="0.25">
      <c r="A11" s="148" t="s">
        <v>26</v>
      </c>
      <c r="B11" s="148" t="s">
        <v>36</v>
      </c>
      <c r="C11" s="148" t="s">
        <v>28</v>
      </c>
      <c r="D11" s="148" t="s">
        <v>29</v>
      </c>
      <c r="E11" s="148" t="s">
        <v>51</v>
      </c>
      <c r="F11" s="148" t="s">
        <v>3183</v>
      </c>
      <c r="G11" s="148" t="s">
        <v>52</v>
      </c>
      <c r="H11" s="148">
        <v>1993</v>
      </c>
      <c r="I11" s="148">
        <v>10</v>
      </c>
      <c r="J11" s="148" t="s">
        <v>33</v>
      </c>
      <c r="U11" s="149" t="s">
        <v>112</v>
      </c>
      <c r="V11" s="148" t="s">
        <v>3642</v>
      </c>
      <c r="W11" s="148" t="s">
        <v>49</v>
      </c>
      <c r="X11" s="148" t="s">
        <v>50</v>
      </c>
    </row>
    <row r="12" spans="1:26" hidden="1" x14ac:dyDescent="0.25">
      <c r="A12" s="148" t="s">
        <v>26</v>
      </c>
      <c r="B12" s="148" t="s">
        <v>54</v>
      </c>
      <c r="C12" s="148" t="s">
        <v>55</v>
      </c>
      <c r="D12" s="148" t="s">
        <v>29</v>
      </c>
      <c r="E12" s="148" t="s">
        <v>30</v>
      </c>
      <c r="F12" s="148" t="s">
        <v>56</v>
      </c>
      <c r="G12" s="148" t="s">
        <v>54</v>
      </c>
      <c r="H12" s="148">
        <v>1994</v>
      </c>
      <c r="I12" s="148">
        <v>5</v>
      </c>
      <c r="J12" s="148" t="s">
        <v>33</v>
      </c>
      <c r="U12" s="149" t="s">
        <v>112</v>
      </c>
      <c r="V12" s="148" t="s">
        <v>3643</v>
      </c>
      <c r="W12" s="148" t="s">
        <v>57</v>
      </c>
      <c r="X12" s="148" t="s">
        <v>58</v>
      </c>
    </row>
    <row r="13" spans="1:26" hidden="1" x14ac:dyDescent="0.25">
      <c r="A13" s="148" t="s">
        <v>26</v>
      </c>
      <c r="B13" s="148" t="s">
        <v>36</v>
      </c>
      <c r="C13" s="148" t="s">
        <v>28</v>
      </c>
      <c r="D13" s="148" t="s">
        <v>29</v>
      </c>
      <c r="E13" s="148" t="s">
        <v>30</v>
      </c>
      <c r="F13" s="148" t="s">
        <v>3183</v>
      </c>
      <c r="G13" s="148" t="s">
        <v>59</v>
      </c>
      <c r="H13" s="148">
        <v>1995</v>
      </c>
      <c r="I13" s="148">
        <v>8</v>
      </c>
      <c r="J13" s="148" t="s">
        <v>33</v>
      </c>
      <c r="U13" s="149" t="s">
        <v>112</v>
      </c>
      <c r="V13" s="148" t="s">
        <v>3644</v>
      </c>
      <c r="W13" s="148" t="s">
        <v>57</v>
      </c>
      <c r="X13" s="148" t="s">
        <v>60</v>
      </c>
    </row>
    <row r="14" spans="1:26" hidden="1" x14ac:dyDescent="0.25">
      <c r="A14" s="148" t="s">
        <v>26</v>
      </c>
      <c r="B14" s="148" t="s">
        <v>54</v>
      </c>
      <c r="C14" s="148" t="s">
        <v>55</v>
      </c>
      <c r="D14" s="148" t="s">
        <v>29</v>
      </c>
      <c r="E14" s="148" t="s">
        <v>30</v>
      </c>
      <c r="F14" s="148" t="s">
        <v>56</v>
      </c>
      <c r="G14" s="148" t="s">
        <v>54</v>
      </c>
      <c r="H14" s="148">
        <v>1995</v>
      </c>
      <c r="I14" s="148">
        <v>8</v>
      </c>
      <c r="J14" s="148" t="s">
        <v>33</v>
      </c>
      <c r="U14" s="149" t="s">
        <v>112</v>
      </c>
      <c r="V14" s="148" t="s">
        <v>3645</v>
      </c>
      <c r="W14" s="148" t="s">
        <v>34</v>
      </c>
      <c r="X14" s="148" t="s">
        <v>61</v>
      </c>
    </row>
    <row r="15" spans="1:26" ht="13.5" hidden="1" customHeight="1" x14ac:dyDescent="0.25">
      <c r="A15" s="148" t="s">
        <v>26</v>
      </c>
      <c r="B15" s="148" t="s">
        <v>62</v>
      </c>
      <c r="C15" s="148" t="s">
        <v>28</v>
      </c>
      <c r="D15" s="148" t="s">
        <v>51</v>
      </c>
      <c r="E15" s="148" t="s">
        <v>30</v>
      </c>
      <c r="F15" s="148" t="s">
        <v>3183</v>
      </c>
      <c r="G15" s="148" t="s">
        <v>63</v>
      </c>
      <c r="H15" s="148">
        <v>1996</v>
      </c>
      <c r="I15" s="148">
        <v>7</v>
      </c>
      <c r="J15" s="148" t="s">
        <v>33</v>
      </c>
      <c r="U15" s="149" t="s">
        <v>112</v>
      </c>
      <c r="V15" s="148" t="s">
        <v>3646</v>
      </c>
      <c r="W15" s="148" t="s">
        <v>49</v>
      </c>
      <c r="X15" s="148" t="s">
        <v>64</v>
      </c>
    </row>
    <row r="16" spans="1:26" hidden="1" x14ac:dyDescent="0.25">
      <c r="A16" s="148" t="s">
        <v>26</v>
      </c>
      <c r="B16" s="148" t="s">
        <v>54</v>
      </c>
      <c r="C16" s="148" t="s">
        <v>55</v>
      </c>
      <c r="D16" s="148" t="s">
        <v>65</v>
      </c>
      <c r="E16" s="148" t="s">
        <v>30</v>
      </c>
      <c r="F16" s="148" t="s">
        <v>56</v>
      </c>
      <c r="G16" s="148" t="s">
        <v>54</v>
      </c>
      <c r="H16" s="148">
        <v>1996</v>
      </c>
      <c r="I16" s="148">
        <v>7</v>
      </c>
      <c r="J16" s="148" t="s">
        <v>33</v>
      </c>
      <c r="U16" s="149" t="s">
        <v>112</v>
      </c>
      <c r="V16" s="148" t="s">
        <v>3646</v>
      </c>
      <c r="W16" s="148" t="s">
        <v>49</v>
      </c>
      <c r="X16" s="148" t="s">
        <v>66</v>
      </c>
    </row>
    <row r="17" spans="1:25" hidden="1" x14ac:dyDescent="0.25">
      <c r="A17" s="148" t="s">
        <v>26</v>
      </c>
      <c r="B17" s="148" t="s">
        <v>36</v>
      </c>
      <c r="C17" s="148" t="s">
        <v>28</v>
      </c>
      <c r="D17" s="148" t="s">
        <v>29</v>
      </c>
      <c r="E17" s="148" t="s">
        <v>30</v>
      </c>
      <c r="F17" s="148" t="s">
        <v>3183</v>
      </c>
      <c r="G17" s="148" t="s">
        <v>67</v>
      </c>
      <c r="H17" s="148">
        <v>1997</v>
      </c>
      <c r="I17" s="148">
        <v>2</v>
      </c>
      <c r="J17" s="148" t="s">
        <v>33</v>
      </c>
      <c r="U17" s="149" t="s">
        <v>112</v>
      </c>
      <c r="V17" s="148" t="s">
        <v>3647</v>
      </c>
      <c r="W17" s="148" t="s">
        <v>49</v>
      </c>
      <c r="X17" s="148" t="s">
        <v>68</v>
      </c>
    </row>
    <row r="18" spans="1:25" hidden="1" x14ac:dyDescent="0.25">
      <c r="A18" s="148" t="s">
        <v>26</v>
      </c>
      <c r="B18" s="148" t="s">
        <v>36</v>
      </c>
      <c r="C18" s="148" t="s">
        <v>28</v>
      </c>
      <c r="D18" s="148" t="s">
        <v>29</v>
      </c>
      <c r="E18" s="148" t="s">
        <v>51</v>
      </c>
      <c r="F18" s="148" t="s">
        <v>3183</v>
      </c>
      <c r="G18" s="148" t="s">
        <v>69</v>
      </c>
      <c r="H18" s="148">
        <v>1997</v>
      </c>
      <c r="I18" s="148">
        <v>2</v>
      </c>
      <c r="J18" s="148" t="s">
        <v>33</v>
      </c>
      <c r="U18" s="149" t="s">
        <v>112</v>
      </c>
      <c r="V18" s="148" t="s">
        <v>3647</v>
      </c>
      <c r="W18" s="148" t="s">
        <v>49</v>
      </c>
      <c r="X18" s="148" t="s">
        <v>68</v>
      </c>
    </row>
    <row r="19" spans="1:25" hidden="1" x14ac:dyDescent="0.25">
      <c r="A19" s="148" t="s">
        <v>26</v>
      </c>
      <c r="B19" s="148" t="s">
        <v>36</v>
      </c>
      <c r="C19" s="148" t="s">
        <v>28</v>
      </c>
      <c r="D19" s="148" t="s">
        <v>29</v>
      </c>
      <c r="E19" s="148" t="s">
        <v>51</v>
      </c>
      <c r="F19" s="148" t="s">
        <v>3183</v>
      </c>
      <c r="G19" s="148" t="s">
        <v>52</v>
      </c>
      <c r="H19" s="148">
        <v>1997</v>
      </c>
      <c r="I19" s="148">
        <v>2</v>
      </c>
      <c r="J19" s="148" t="s">
        <v>33</v>
      </c>
      <c r="U19" s="149" t="s">
        <v>112</v>
      </c>
      <c r="V19" s="148" t="s">
        <v>3647</v>
      </c>
      <c r="W19" s="148" t="s">
        <v>49</v>
      </c>
      <c r="X19" s="148" t="s">
        <v>68</v>
      </c>
    </row>
    <row r="20" spans="1:25" ht="15.75" hidden="1" customHeight="1" x14ac:dyDescent="0.25">
      <c r="A20" s="148" t="s">
        <v>26</v>
      </c>
      <c r="B20" s="148" t="s">
        <v>44</v>
      </c>
      <c r="C20" s="148" t="s">
        <v>45</v>
      </c>
      <c r="D20" s="148" t="s">
        <v>29</v>
      </c>
      <c r="E20" s="148" t="s">
        <v>46</v>
      </c>
      <c r="F20" s="148" t="s">
        <v>47</v>
      </c>
      <c r="G20" s="148" t="s">
        <v>48</v>
      </c>
      <c r="H20" s="148">
        <v>1997</v>
      </c>
      <c r="I20" s="148">
        <v>2</v>
      </c>
      <c r="J20" s="148" t="s">
        <v>33</v>
      </c>
      <c r="U20" s="149" t="s">
        <v>112</v>
      </c>
      <c r="V20" s="148" t="s">
        <v>3648</v>
      </c>
      <c r="W20" s="148" t="s">
        <v>57</v>
      </c>
      <c r="X20" s="148" t="s">
        <v>70</v>
      </c>
    </row>
    <row r="21" spans="1:25" ht="15.75" hidden="1" customHeight="1" x14ac:dyDescent="0.25">
      <c r="A21" s="148" t="s">
        <v>26</v>
      </c>
      <c r="B21" s="148" t="s">
        <v>71</v>
      </c>
      <c r="C21" s="148" t="s">
        <v>45</v>
      </c>
      <c r="D21" s="148" t="s">
        <v>29</v>
      </c>
      <c r="E21" s="148" t="s">
        <v>72</v>
      </c>
      <c r="F21" s="148" t="s">
        <v>3183</v>
      </c>
      <c r="G21" s="148" t="s">
        <v>73</v>
      </c>
      <c r="H21" s="148">
        <v>1998</v>
      </c>
      <c r="I21" s="148">
        <v>4</v>
      </c>
      <c r="J21" s="148" t="s">
        <v>33</v>
      </c>
      <c r="U21" s="149" t="s">
        <v>112</v>
      </c>
      <c r="V21" s="148" t="s">
        <v>3649</v>
      </c>
      <c r="W21" s="148" t="s">
        <v>49</v>
      </c>
      <c r="X21" s="148" t="s">
        <v>74</v>
      </c>
    </row>
    <row r="22" spans="1:25" ht="15.75" hidden="1" customHeight="1" x14ac:dyDescent="0.25">
      <c r="A22" s="148" t="s">
        <v>26</v>
      </c>
      <c r="B22" s="148" t="s">
        <v>71</v>
      </c>
      <c r="C22" s="148" t="s">
        <v>45</v>
      </c>
      <c r="D22" s="148" t="s">
        <v>29</v>
      </c>
      <c r="E22" s="148" t="s">
        <v>72</v>
      </c>
      <c r="F22" s="148" t="s">
        <v>3183</v>
      </c>
      <c r="G22" s="148" t="s">
        <v>75</v>
      </c>
      <c r="H22" s="148">
        <v>1998</v>
      </c>
      <c r="I22" s="148">
        <v>4</v>
      </c>
      <c r="J22" s="148" t="s">
        <v>33</v>
      </c>
      <c r="U22" s="149" t="s">
        <v>112</v>
      </c>
      <c r="V22" s="148" t="s">
        <v>3649</v>
      </c>
      <c r="W22" s="148" t="s">
        <v>49</v>
      </c>
      <c r="X22" s="148" t="s">
        <v>74</v>
      </c>
    </row>
    <row r="23" spans="1:25" ht="15.75" hidden="1" customHeight="1" x14ac:dyDescent="0.25">
      <c r="A23" s="148" t="s">
        <v>26</v>
      </c>
      <c r="B23" s="148" t="s">
        <v>36</v>
      </c>
      <c r="C23" s="148" t="s">
        <v>28</v>
      </c>
      <c r="D23" s="148" t="s">
        <v>29</v>
      </c>
      <c r="E23" s="148" t="s">
        <v>51</v>
      </c>
      <c r="F23" s="148" t="s">
        <v>3183</v>
      </c>
      <c r="G23" s="148" t="s">
        <v>69</v>
      </c>
      <c r="H23" s="148">
        <v>1998</v>
      </c>
      <c r="I23" s="148">
        <v>4</v>
      </c>
      <c r="J23" s="148" t="s">
        <v>33</v>
      </c>
      <c r="U23" s="149" t="s">
        <v>112</v>
      </c>
      <c r="V23" s="148" t="s">
        <v>3649</v>
      </c>
      <c r="W23" s="148" t="s">
        <v>49</v>
      </c>
      <c r="X23" s="148" t="s">
        <v>74</v>
      </c>
    </row>
    <row r="24" spans="1:25" ht="15.75" hidden="1" customHeight="1" x14ac:dyDescent="0.25">
      <c r="A24" s="148" t="s">
        <v>76</v>
      </c>
      <c r="B24" s="148" t="s">
        <v>77</v>
      </c>
      <c r="C24" s="148" t="s">
        <v>55</v>
      </c>
      <c r="D24" s="148" t="s">
        <v>78</v>
      </c>
      <c r="E24" s="148" t="s">
        <v>30</v>
      </c>
      <c r="F24" s="148" t="s">
        <v>41</v>
      </c>
      <c r="G24" s="148" t="s">
        <v>79</v>
      </c>
      <c r="H24" s="148">
        <v>2000</v>
      </c>
      <c r="I24" s="148">
        <v>3</v>
      </c>
      <c r="J24" s="148" t="s">
        <v>80</v>
      </c>
      <c r="K24" s="148" t="s">
        <v>81</v>
      </c>
      <c r="M24" s="148" t="s">
        <v>82</v>
      </c>
      <c r="N24" s="148">
        <v>8</v>
      </c>
      <c r="O24" s="148" t="s">
        <v>83</v>
      </c>
      <c r="P24" s="148" t="s">
        <v>84</v>
      </c>
      <c r="Y24" s="150" t="s">
        <v>85</v>
      </c>
    </row>
    <row r="25" spans="1:25" ht="15.75" hidden="1" customHeight="1" x14ac:dyDescent="0.25">
      <c r="A25" s="148" t="s">
        <v>26</v>
      </c>
      <c r="B25" s="148" t="s">
        <v>36</v>
      </c>
      <c r="C25" s="148" t="s">
        <v>28</v>
      </c>
      <c r="D25" s="148" t="s">
        <v>86</v>
      </c>
      <c r="E25" s="148" t="s">
        <v>30</v>
      </c>
      <c r="F25" s="148" t="s">
        <v>3183</v>
      </c>
      <c r="G25" s="148" t="s">
        <v>67</v>
      </c>
      <c r="H25" s="148">
        <v>2000</v>
      </c>
      <c r="I25" s="148">
        <v>7</v>
      </c>
      <c r="J25" s="148" t="s">
        <v>33</v>
      </c>
      <c r="U25" s="149" t="s">
        <v>112</v>
      </c>
      <c r="V25" s="148" t="s">
        <v>3650</v>
      </c>
      <c r="W25" s="148" t="s">
        <v>87</v>
      </c>
      <c r="X25" s="148" t="s">
        <v>88</v>
      </c>
    </row>
    <row r="26" spans="1:25" ht="15.75" hidden="1" customHeight="1" x14ac:dyDescent="0.25">
      <c r="A26" s="148" t="s">
        <v>26</v>
      </c>
      <c r="B26" s="148" t="s">
        <v>89</v>
      </c>
      <c r="C26" s="148" t="s">
        <v>90</v>
      </c>
      <c r="D26" s="148" t="s">
        <v>29</v>
      </c>
      <c r="E26" s="148" t="s">
        <v>30</v>
      </c>
      <c r="F26" s="148" t="s">
        <v>91</v>
      </c>
      <c r="G26" s="148" t="s">
        <v>92</v>
      </c>
      <c r="H26" s="148">
        <v>2000</v>
      </c>
      <c r="I26" s="148">
        <v>7</v>
      </c>
      <c r="J26" s="148" t="s">
        <v>33</v>
      </c>
      <c r="U26" s="149" t="s">
        <v>112</v>
      </c>
      <c r="V26" s="148" t="s">
        <v>3650</v>
      </c>
      <c r="W26" s="148" t="s">
        <v>87</v>
      </c>
      <c r="X26" s="148" t="s">
        <v>88</v>
      </c>
    </row>
    <row r="27" spans="1:25" ht="15.75" hidden="1" customHeight="1" x14ac:dyDescent="0.25">
      <c r="A27" s="148" t="s">
        <v>26</v>
      </c>
      <c r="B27" s="148" t="s">
        <v>89</v>
      </c>
      <c r="C27" s="148" t="s">
        <v>90</v>
      </c>
      <c r="D27" s="148" t="s">
        <v>29</v>
      </c>
      <c r="E27" s="148" t="s">
        <v>30</v>
      </c>
      <c r="F27" s="148" t="s">
        <v>91</v>
      </c>
      <c r="G27" s="148" t="s">
        <v>93</v>
      </c>
      <c r="H27" s="148">
        <v>2000</v>
      </c>
      <c r="I27" s="148">
        <v>7</v>
      </c>
      <c r="J27" s="148" t="s">
        <v>33</v>
      </c>
      <c r="U27" s="149" t="s">
        <v>112</v>
      </c>
      <c r="V27" s="148" t="s">
        <v>3650</v>
      </c>
      <c r="W27" s="148" t="s">
        <v>87</v>
      </c>
      <c r="X27" s="148" t="s">
        <v>88</v>
      </c>
    </row>
    <row r="28" spans="1:25" ht="15.75" hidden="1" customHeight="1" x14ac:dyDescent="0.25">
      <c r="A28" s="148" t="s">
        <v>26</v>
      </c>
      <c r="B28" s="148" t="s">
        <v>44</v>
      </c>
      <c r="C28" s="148" t="s">
        <v>45</v>
      </c>
      <c r="D28" s="148" t="s">
        <v>94</v>
      </c>
      <c r="E28" s="148" t="s">
        <v>95</v>
      </c>
      <c r="F28" s="148" t="s">
        <v>47</v>
      </c>
      <c r="G28" s="148" t="s">
        <v>96</v>
      </c>
      <c r="H28" s="148">
        <v>2000</v>
      </c>
      <c r="I28" s="148">
        <v>8</v>
      </c>
      <c r="J28" s="148" t="s">
        <v>33</v>
      </c>
      <c r="U28" s="149" t="s">
        <v>112</v>
      </c>
      <c r="V28" s="148" t="s">
        <v>3651</v>
      </c>
      <c r="W28" s="148" t="s">
        <v>49</v>
      </c>
      <c r="X28" s="148" t="s">
        <v>97</v>
      </c>
    </row>
    <row r="29" spans="1:25" ht="15.75" hidden="1" customHeight="1" x14ac:dyDescent="0.25">
      <c r="A29" s="148" t="s">
        <v>26</v>
      </c>
      <c r="B29" s="148" t="s">
        <v>44</v>
      </c>
      <c r="C29" s="148" t="s">
        <v>45</v>
      </c>
      <c r="D29" s="148" t="s">
        <v>29</v>
      </c>
      <c r="E29" s="148" t="s">
        <v>46</v>
      </c>
      <c r="F29" s="148" t="s">
        <v>47</v>
      </c>
      <c r="G29" s="148" t="s">
        <v>48</v>
      </c>
      <c r="H29" s="148">
        <v>2000</v>
      </c>
      <c r="I29" s="148">
        <v>8</v>
      </c>
      <c r="J29" s="148" t="s">
        <v>33</v>
      </c>
      <c r="U29" s="149" t="s">
        <v>112</v>
      </c>
      <c r="V29" s="148" t="s">
        <v>3652</v>
      </c>
      <c r="W29" s="148" t="s">
        <v>49</v>
      </c>
      <c r="X29" s="148" t="s">
        <v>97</v>
      </c>
    </row>
    <row r="30" spans="1:25" ht="15.75" hidden="1" customHeight="1" x14ac:dyDescent="0.25">
      <c r="A30" s="148" t="s">
        <v>26</v>
      </c>
      <c r="B30" s="148" t="s">
        <v>27</v>
      </c>
      <c r="C30" s="148" t="s">
        <v>28</v>
      </c>
      <c r="D30" s="148" t="s">
        <v>29</v>
      </c>
      <c r="E30" s="148" t="s">
        <v>30</v>
      </c>
      <c r="F30" s="148" t="s">
        <v>3183</v>
      </c>
      <c r="G30" s="148" t="s">
        <v>53</v>
      </c>
      <c r="H30" s="148">
        <v>2001</v>
      </c>
      <c r="I30" s="148">
        <v>5</v>
      </c>
      <c r="J30" s="148" t="s">
        <v>33</v>
      </c>
      <c r="U30" s="149" t="s">
        <v>112</v>
      </c>
      <c r="V30" s="148" t="s">
        <v>3653</v>
      </c>
      <c r="W30" s="148" t="s">
        <v>49</v>
      </c>
      <c r="X30" s="148" t="s">
        <v>98</v>
      </c>
    </row>
    <row r="31" spans="1:25" ht="15.75" hidden="1" customHeight="1" x14ac:dyDescent="0.25">
      <c r="A31" s="148" t="s">
        <v>26</v>
      </c>
      <c r="B31" s="148" t="s">
        <v>27</v>
      </c>
      <c r="C31" s="148" t="s">
        <v>28</v>
      </c>
      <c r="D31" s="148" t="s">
        <v>99</v>
      </c>
      <c r="E31" s="148" t="s">
        <v>40</v>
      </c>
      <c r="F31" s="148" t="s">
        <v>41</v>
      </c>
      <c r="G31" s="148" t="s">
        <v>42</v>
      </c>
      <c r="H31" s="148">
        <v>2001</v>
      </c>
      <c r="I31" s="148">
        <v>5</v>
      </c>
      <c r="J31" s="148" t="s">
        <v>33</v>
      </c>
      <c r="U31" s="149" t="s">
        <v>112</v>
      </c>
      <c r="V31" s="148" t="s">
        <v>3653</v>
      </c>
      <c r="W31" s="148" t="s">
        <v>49</v>
      </c>
      <c r="X31" s="148" t="s">
        <v>98</v>
      </c>
    </row>
    <row r="32" spans="1:25" ht="15.75" hidden="1" customHeight="1" x14ac:dyDescent="0.25">
      <c r="A32" s="148" t="s">
        <v>76</v>
      </c>
      <c r="B32" s="148" t="s">
        <v>77</v>
      </c>
      <c r="C32" s="148" t="s">
        <v>55</v>
      </c>
      <c r="D32" s="148" t="s">
        <v>78</v>
      </c>
      <c r="E32" s="148" t="s">
        <v>30</v>
      </c>
      <c r="F32" s="148" t="s">
        <v>41</v>
      </c>
      <c r="G32" s="148" t="s">
        <v>79</v>
      </c>
      <c r="H32" s="148">
        <v>2001</v>
      </c>
      <c r="I32" s="148">
        <v>6</v>
      </c>
      <c r="J32" s="148" t="s">
        <v>100</v>
      </c>
      <c r="K32" s="148" t="s">
        <v>81</v>
      </c>
      <c r="M32" s="148" t="s">
        <v>82</v>
      </c>
      <c r="N32" s="148">
        <v>8</v>
      </c>
      <c r="O32" s="148" t="s">
        <v>101</v>
      </c>
      <c r="P32" s="148" t="s">
        <v>102</v>
      </c>
      <c r="Y32" s="150" t="s">
        <v>85</v>
      </c>
    </row>
    <row r="33" spans="1:25" ht="15.75" hidden="1" customHeight="1" x14ac:dyDescent="0.25">
      <c r="A33" s="148" t="s">
        <v>26</v>
      </c>
      <c r="B33" s="148" t="s">
        <v>103</v>
      </c>
      <c r="C33" s="148" t="s">
        <v>55</v>
      </c>
      <c r="D33" s="148" t="s">
        <v>29</v>
      </c>
      <c r="E33" s="148" t="s">
        <v>95</v>
      </c>
      <c r="F33" s="148" t="s">
        <v>56</v>
      </c>
      <c r="G33" s="148" t="s">
        <v>104</v>
      </c>
      <c r="H33" s="148">
        <v>2001</v>
      </c>
      <c r="I33" s="148">
        <v>8</v>
      </c>
      <c r="J33" s="148" t="s">
        <v>33</v>
      </c>
      <c r="U33" s="149" t="s">
        <v>112</v>
      </c>
      <c r="V33" s="149" t="s">
        <v>3654</v>
      </c>
      <c r="W33" s="148" t="s">
        <v>87</v>
      </c>
      <c r="X33" s="148" t="s">
        <v>105</v>
      </c>
    </row>
    <row r="34" spans="1:25" ht="15.75" hidden="1" customHeight="1" x14ac:dyDescent="0.25">
      <c r="A34" s="148" t="s">
        <v>26</v>
      </c>
      <c r="B34" s="148" t="s">
        <v>62</v>
      </c>
      <c r="C34" s="148" t="s">
        <v>28</v>
      </c>
      <c r="D34" s="148" t="s">
        <v>46</v>
      </c>
      <c r="E34" s="148" t="s">
        <v>30</v>
      </c>
      <c r="F34" s="148" t="s">
        <v>3183</v>
      </c>
      <c r="G34" s="148" t="s">
        <v>106</v>
      </c>
      <c r="H34" s="148">
        <v>2001</v>
      </c>
      <c r="I34" s="148">
        <v>8</v>
      </c>
      <c r="J34" s="148" t="s">
        <v>33</v>
      </c>
      <c r="U34" s="149" t="s">
        <v>112</v>
      </c>
      <c r="V34" s="149" t="s">
        <v>3654</v>
      </c>
      <c r="W34" s="148" t="s">
        <v>87</v>
      </c>
      <c r="X34" s="148" t="s">
        <v>105</v>
      </c>
    </row>
    <row r="35" spans="1:25" ht="15.75" hidden="1" customHeight="1" x14ac:dyDescent="0.25">
      <c r="A35" s="148" t="s">
        <v>26</v>
      </c>
      <c r="B35" s="148" t="s">
        <v>103</v>
      </c>
      <c r="C35" s="148" t="s">
        <v>55</v>
      </c>
      <c r="D35" s="148" t="s">
        <v>29</v>
      </c>
      <c r="E35" s="148" t="s">
        <v>95</v>
      </c>
      <c r="F35" s="148" t="s">
        <v>56</v>
      </c>
      <c r="G35" s="148" t="s">
        <v>107</v>
      </c>
      <c r="H35" s="148">
        <v>2001</v>
      </c>
      <c r="I35" s="148">
        <v>8</v>
      </c>
      <c r="J35" s="148" t="s">
        <v>33</v>
      </c>
      <c r="U35" s="149" t="s">
        <v>112</v>
      </c>
      <c r="V35" s="149" t="s">
        <v>3654</v>
      </c>
      <c r="W35" s="148" t="s">
        <v>87</v>
      </c>
      <c r="X35" s="148" t="s">
        <v>105</v>
      </c>
    </row>
    <row r="36" spans="1:25" ht="15.75" hidden="1" customHeight="1" x14ac:dyDescent="0.25">
      <c r="A36" s="148" t="s">
        <v>26</v>
      </c>
      <c r="B36" s="148" t="s">
        <v>103</v>
      </c>
      <c r="C36" s="148" t="s">
        <v>55</v>
      </c>
      <c r="D36" s="148" t="s">
        <v>29</v>
      </c>
      <c r="E36" s="148" t="s">
        <v>95</v>
      </c>
      <c r="F36" s="148" t="s">
        <v>56</v>
      </c>
      <c r="G36" s="148" t="s">
        <v>108</v>
      </c>
      <c r="H36" s="148">
        <v>2001</v>
      </c>
      <c r="I36" s="148">
        <v>8</v>
      </c>
      <c r="J36" s="148" t="s">
        <v>33</v>
      </c>
      <c r="U36" s="149" t="s">
        <v>112</v>
      </c>
      <c r="V36" s="149" t="s">
        <v>3654</v>
      </c>
      <c r="W36" s="148" t="s">
        <v>87</v>
      </c>
      <c r="X36" s="148" t="s">
        <v>105</v>
      </c>
    </row>
    <row r="37" spans="1:25" ht="15.75" hidden="1" customHeight="1" x14ac:dyDescent="0.25">
      <c r="A37" s="148" t="s">
        <v>26</v>
      </c>
      <c r="B37" s="148" t="s">
        <v>71</v>
      </c>
      <c r="C37" s="148" t="s">
        <v>45</v>
      </c>
      <c r="D37" s="148" t="s">
        <v>29</v>
      </c>
      <c r="E37" s="148" t="s">
        <v>72</v>
      </c>
      <c r="F37" s="148" t="s">
        <v>3183</v>
      </c>
      <c r="G37" s="148" t="s">
        <v>73</v>
      </c>
      <c r="H37" s="148">
        <v>2001</v>
      </c>
      <c r="I37" s="148">
        <v>9</v>
      </c>
      <c r="J37" s="148" t="s">
        <v>33</v>
      </c>
      <c r="U37" s="149" t="s">
        <v>112</v>
      </c>
      <c r="V37" s="148" t="s">
        <v>3655</v>
      </c>
      <c r="W37" s="148" t="s">
        <v>87</v>
      </c>
      <c r="X37" s="148" t="s">
        <v>109</v>
      </c>
    </row>
    <row r="38" spans="1:25" ht="15.75" hidden="1" customHeight="1" x14ac:dyDescent="0.25">
      <c r="A38" s="148" t="s">
        <v>26</v>
      </c>
      <c r="B38" s="148" t="s">
        <v>103</v>
      </c>
      <c r="C38" s="148" t="s">
        <v>110</v>
      </c>
      <c r="D38" s="148" t="s">
        <v>29</v>
      </c>
      <c r="E38" s="148" t="s">
        <v>95</v>
      </c>
      <c r="F38" s="148" t="s">
        <v>56</v>
      </c>
      <c r="G38" s="148" t="s">
        <v>111</v>
      </c>
      <c r="H38" s="148">
        <v>2001</v>
      </c>
      <c r="I38" s="148">
        <v>9</v>
      </c>
      <c r="J38" s="148" t="s">
        <v>33</v>
      </c>
      <c r="U38" s="149" t="s">
        <v>112</v>
      </c>
      <c r="Y38" s="150" t="s">
        <v>113</v>
      </c>
    </row>
    <row r="39" spans="1:25" ht="15.75" hidden="1" customHeight="1" x14ac:dyDescent="0.25">
      <c r="A39" s="148" t="s">
        <v>26</v>
      </c>
      <c r="B39" s="148" t="s">
        <v>71</v>
      </c>
      <c r="C39" s="148" t="s">
        <v>45</v>
      </c>
      <c r="D39" s="148" t="s">
        <v>29</v>
      </c>
      <c r="E39" s="148" t="s">
        <v>72</v>
      </c>
      <c r="F39" s="148" t="s">
        <v>3183</v>
      </c>
      <c r="G39" s="148" t="s">
        <v>75</v>
      </c>
      <c r="H39" s="148">
        <v>2001</v>
      </c>
      <c r="I39" s="148">
        <v>9</v>
      </c>
      <c r="J39" s="148" t="s">
        <v>33</v>
      </c>
      <c r="U39" s="149" t="s">
        <v>112</v>
      </c>
      <c r="V39" s="148" t="s">
        <v>3655</v>
      </c>
      <c r="W39" s="148" t="s">
        <v>87</v>
      </c>
      <c r="X39" s="148" t="s">
        <v>109</v>
      </c>
    </row>
    <row r="40" spans="1:25" ht="15.75" hidden="1" customHeight="1" x14ac:dyDescent="0.25">
      <c r="A40" s="148" t="s">
        <v>26</v>
      </c>
      <c r="B40" s="148" t="s">
        <v>36</v>
      </c>
      <c r="C40" s="148" t="s">
        <v>28</v>
      </c>
      <c r="D40" s="148" t="s">
        <v>29</v>
      </c>
      <c r="E40" s="148" t="s">
        <v>30</v>
      </c>
      <c r="F40" s="148" t="s">
        <v>3183</v>
      </c>
      <c r="G40" s="148" t="s">
        <v>114</v>
      </c>
      <c r="H40" s="148">
        <v>2001</v>
      </c>
      <c r="I40" s="148">
        <v>11</v>
      </c>
      <c r="J40" s="148" t="s">
        <v>33</v>
      </c>
      <c r="U40" s="149" t="s">
        <v>112</v>
      </c>
      <c r="V40" s="148" t="s">
        <v>3656</v>
      </c>
      <c r="W40" s="148" t="s">
        <v>87</v>
      </c>
      <c r="X40" s="148" t="s">
        <v>115</v>
      </c>
    </row>
    <row r="41" spans="1:25" ht="15.75" hidden="1" customHeight="1" x14ac:dyDescent="0.25">
      <c r="A41" s="148" t="s">
        <v>76</v>
      </c>
      <c r="B41" s="148" t="s">
        <v>116</v>
      </c>
      <c r="C41" s="148" t="s">
        <v>90</v>
      </c>
      <c r="D41" s="148" t="s">
        <v>86</v>
      </c>
      <c r="E41" s="148" t="s">
        <v>40</v>
      </c>
      <c r="F41" s="148" t="s">
        <v>41</v>
      </c>
      <c r="G41" s="148" t="s">
        <v>117</v>
      </c>
      <c r="H41" s="148">
        <v>2002</v>
      </c>
      <c r="I41" s="148">
        <v>1</v>
      </c>
      <c r="J41" s="148" t="s">
        <v>118</v>
      </c>
      <c r="K41" s="148" t="s">
        <v>119</v>
      </c>
      <c r="M41" s="148" t="s">
        <v>120</v>
      </c>
      <c r="N41" s="148">
        <v>6</v>
      </c>
      <c r="O41" s="148" t="s">
        <v>101</v>
      </c>
      <c r="P41" s="148" t="s">
        <v>121</v>
      </c>
      <c r="Y41" s="150" t="s">
        <v>122</v>
      </c>
    </row>
    <row r="42" spans="1:25" ht="15.75" hidden="1" customHeight="1" x14ac:dyDescent="0.25">
      <c r="A42" s="148" t="s">
        <v>76</v>
      </c>
      <c r="B42" s="148" t="s">
        <v>36</v>
      </c>
      <c r="C42" s="148" t="s">
        <v>28</v>
      </c>
      <c r="D42" s="148" t="s">
        <v>29</v>
      </c>
      <c r="E42" s="148" t="s">
        <v>30</v>
      </c>
      <c r="F42" s="148" t="s">
        <v>3183</v>
      </c>
      <c r="G42" s="148" t="s">
        <v>59</v>
      </c>
      <c r="H42" s="148">
        <v>2002</v>
      </c>
      <c r="I42" s="148">
        <v>1</v>
      </c>
      <c r="J42" s="148" t="s">
        <v>118</v>
      </c>
      <c r="K42" s="148" t="s">
        <v>81</v>
      </c>
      <c r="M42" s="148" t="s">
        <v>82</v>
      </c>
      <c r="N42" s="148">
        <v>8</v>
      </c>
      <c r="O42" s="148" t="s">
        <v>101</v>
      </c>
      <c r="P42" s="148" t="s">
        <v>123</v>
      </c>
      <c r="Y42" s="150" t="s">
        <v>124</v>
      </c>
    </row>
    <row r="43" spans="1:25" ht="15.75" hidden="1" customHeight="1" x14ac:dyDescent="0.25">
      <c r="A43" s="148" t="s">
        <v>76</v>
      </c>
      <c r="B43" s="148" t="s">
        <v>27</v>
      </c>
      <c r="C43" s="148" t="s">
        <v>28</v>
      </c>
      <c r="D43" s="148" t="s">
        <v>99</v>
      </c>
      <c r="E43" s="148" t="s">
        <v>40</v>
      </c>
      <c r="F43" s="148" t="s">
        <v>41</v>
      </c>
      <c r="G43" s="148" t="s">
        <v>42</v>
      </c>
      <c r="H43" s="148">
        <v>2002</v>
      </c>
      <c r="I43" s="148">
        <v>1</v>
      </c>
      <c r="J43" s="148" t="s">
        <v>118</v>
      </c>
      <c r="K43" s="148" t="s">
        <v>125</v>
      </c>
      <c r="M43" s="148" t="s">
        <v>126</v>
      </c>
      <c r="N43" s="148">
        <v>10</v>
      </c>
      <c r="O43" s="148" t="s">
        <v>101</v>
      </c>
      <c r="P43" s="148" t="s">
        <v>127</v>
      </c>
      <c r="Y43" s="150" t="s">
        <v>128</v>
      </c>
    </row>
    <row r="44" spans="1:25" ht="15.75" hidden="1" customHeight="1" x14ac:dyDescent="0.25">
      <c r="A44" s="148" t="s">
        <v>76</v>
      </c>
      <c r="B44" s="148" t="s">
        <v>62</v>
      </c>
      <c r="C44" s="148" t="s">
        <v>28</v>
      </c>
      <c r="D44" s="148" t="s">
        <v>129</v>
      </c>
      <c r="E44" s="148" t="s">
        <v>51</v>
      </c>
      <c r="F44" s="148" t="s">
        <v>3183</v>
      </c>
      <c r="G44" s="148" t="s">
        <v>130</v>
      </c>
      <c r="H44" s="148">
        <v>2002</v>
      </c>
      <c r="I44" s="148">
        <v>1</v>
      </c>
      <c r="J44" s="148" t="s">
        <v>118</v>
      </c>
      <c r="K44" s="148" t="s">
        <v>131</v>
      </c>
      <c r="M44" s="148" t="s">
        <v>132</v>
      </c>
      <c r="N44" s="148">
        <v>8</v>
      </c>
      <c r="O44" s="148" t="s">
        <v>101</v>
      </c>
      <c r="P44" s="148" t="s">
        <v>133</v>
      </c>
      <c r="Y44" s="150" t="s">
        <v>134</v>
      </c>
    </row>
    <row r="45" spans="1:25" ht="15.75" hidden="1" customHeight="1" x14ac:dyDescent="0.25">
      <c r="A45" s="148" t="s">
        <v>76</v>
      </c>
      <c r="B45" s="148" t="s">
        <v>36</v>
      </c>
      <c r="C45" s="148" t="s">
        <v>28</v>
      </c>
      <c r="D45" s="148" t="s">
        <v>29</v>
      </c>
      <c r="E45" s="148" t="s">
        <v>51</v>
      </c>
      <c r="F45" s="148" t="s">
        <v>3183</v>
      </c>
      <c r="G45" s="148" t="s">
        <v>52</v>
      </c>
      <c r="H45" s="148">
        <v>2002</v>
      </c>
      <c r="I45" s="148">
        <v>1</v>
      </c>
      <c r="J45" s="148" t="s">
        <v>118</v>
      </c>
      <c r="K45" s="148" t="s">
        <v>81</v>
      </c>
      <c r="M45" s="148" t="s">
        <v>82</v>
      </c>
      <c r="N45" s="148">
        <v>8</v>
      </c>
      <c r="O45" s="148" t="s">
        <v>101</v>
      </c>
      <c r="P45" s="148" t="s">
        <v>135</v>
      </c>
      <c r="Y45" s="150" t="s">
        <v>136</v>
      </c>
    </row>
    <row r="46" spans="1:25" ht="15.75" hidden="1" customHeight="1" x14ac:dyDescent="0.25">
      <c r="A46" s="148" t="s">
        <v>76</v>
      </c>
      <c r="B46" s="148" t="s">
        <v>103</v>
      </c>
      <c r="C46" s="148" t="s">
        <v>55</v>
      </c>
      <c r="D46" s="148" t="s">
        <v>29</v>
      </c>
      <c r="E46" s="148" t="s">
        <v>30</v>
      </c>
      <c r="F46" s="148" t="s">
        <v>56</v>
      </c>
      <c r="G46" s="148" t="s">
        <v>137</v>
      </c>
      <c r="H46" s="148">
        <v>2002</v>
      </c>
      <c r="I46" s="148">
        <v>1</v>
      </c>
      <c r="J46" s="148" t="s">
        <v>118</v>
      </c>
      <c r="K46" s="148" t="s">
        <v>81</v>
      </c>
      <c r="M46" s="148" t="s">
        <v>82</v>
      </c>
      <c r="N46" s="148">
        <v>8</v>
      </c>
      <c r="O46" s="148" t="s">
        <v>101</v>
      </c>
      <c r="P46" s="148" t="s">
        <v>138</v>
      </c>
      <c r="Y46" s="150" t="s">
        <v>139</v>
      </c>
    </row>
    <row r="47" spans="1:25" ht="15.75" hidden="1" customHeight="1" x14ac:dyDescent="0.25">
      <c r="A47" s="148" t="s">
        <v>76</v>
      </c>
      <c r="B47" s="148" t="s">
        <v>44</v>
      </c>
      <c r="C47" s="148" t="s">
        <v>45</v>
      </c>
      <c r="D47" s="148" t="s">
        <v>29</v>
      </c>
      <c r="E47" s="148" t="s">
        <v>46</v>
      </c>
      <c r="F47" s="148" t="s">
        <v>47</v>
      </c>
      <c r="G47" s="148" t="s">
        <v>48</v>
      </c>
      <c r="H47" s="148">
        <v>2002</v>
      </c>
      <c r="I47" s="148">
        <v>1</v>
      </c>
      <c r="J47" s="148" t="s">
        <v>118</v>
      </c>
      <c r="K47" s="148" t="s">
        <v>81</v>
      </c>
      <c r="M47" s="148" t="s">
        <v>82</v>
      </c>
      <c r="N47" s="148">
        <v>8</v>
      </c>
      <c r="O47" s="148" t="s">
        <v>101</v>
      </c>
      <c r="P47" s="148" t="s">
        <v>140</v>
      </c>
      <c r="Y47" s="150" t="s">
        <v>141</v>
      </c>
    </row>
    <row r="48" spans="1:25" ht="15.75" hidden="1" customHeight="1" x14ac:dyDescent="0.25">
      <c r="A48" s="148" t="s">
        <v>76</v>
      </c>
      <c r="B48" s="148" t="s">
        <v>89</v>
      </c>
      <c r="C48" s="148" t="s">
        <v>90</v>
      </c>
      <c r="D48" s="148" t="s">
        <v>29</v>
      </c>
      <c r="E48" s="148" t="s">
        <v>40</v>
      </c>
      <c r="F48" s="148" t="s">
        <v>91</v>
      </c>
      <c r="G48" s="148" t="s">
        <v>142</v>
      </c>
      <c r="H48" s="148">
        <v>2002</v>
      </c>
      <c r="I48" s="148">
        <v>2</v>
      </c>
      <c r="J48" s="148" t="s">
        <v>118</v>
      </c>
      <c r="K48" s="148" t="s">
        <v>81</v>
      </c>
      <c r="M48" s="148" t="s">
        <v>82</v>
      </c>
      <c r="N48" s="148">
        <v>8</v>
      </c>
      <c r="O48" s="148" t="s">
        <v>101</v>
      </c>
      <c r="P48" s="148" t="s">
        <v>143</v>
      </c>
      <c r="Y48" s="150" t="s">
        <v>144</v>
      </c>
    </row>
    <row r="49" spans="1:26" ht="15.75" hidden="1" customHeight="1" x14ac:dyDescent="0.25">
      <c r="A49" s="148" t="s">
        <v>76</v>
      </c>
      <c r="B49" s="148" t="s">
        <v>89</v>
      </c>
      <c r="C49" s="148" t="s">
        <v>90</v>
      </c>
      <c r="D49" s="148" t="s">
        <v>29</v>
      </c>
      <c r="E49" s="148" t="s">
        <v>30</v>
      </c>
      <c r="F49" s="148" t="s">
        <v>91</v>
      </c>
      <c r="G49" s="148" t="s">
        <v>145</v>
      </c>
      <c r="H49" s="148">
        <v>2002</v>
      </c>
      <c r="I49" s="148">
        <v>3</v>
      </c>
      <c r="J49" s="148" t="s">
        <v>118</v>
      </c>
      <c r="K49" s="148" t="s">
        <v>119</v>
      </c>
      <c r="M49" s="148" t="s">
        <v>120</v>
      </c>
      <c r="N49" s="148">
        <v>6</v>
      </c>
      <c r="O49" s="148" t="s">
        <v>101</v>
      </c>
      <c r="P49" s="148" t="s">
        <v>146</v>
      </c>
      <c r="Y49" s="150" t="s">
        <v>147</v>
      </c>
    </row>
    <row r="50" spans="1:26" ht="15.75" hidden="1" customHeight="1" x14ac:dyDescent="0.25">
      <c r="A50" s="148" t="s">
        <v>76</v>
      </c>
      <c r="B50" s="148" t="s">
        <v>103</v>
      </c>
      <c r="C50" s="148" t="s">
        <v>55</v>
      </c>
      <c r="D50" s="148" t="s">
        <v>29</v>
      </c>
      <c r="E50" s="148" t="s">
        <v>95</v>
      </c>
      <c r="F50" s="148" t="s">
        <v>56</v>
      </c>
      <c r="G50" s="148" t="s">
        <v>111</v>
      </c>
      <c r="H50" s="148">
        <v>2002</v>
      </c>
      <c r="I50" s="148">
        <v>3</v>
      </c>
      <c r="J50" s="148" t="s">
        <v>118</v>
      </c>
      <c r="K50" s="148" t="s">
        <v>81</v>
      </c>
      <c r="M50" s="148" t="s">
        <v>82</v>
      </c>
      <c r="N50" s="148">
        <v>8</v>
      </c>
      <c r="O50" s="148" t="s">
        <v>101</v>
      </c>
      <c r="P50" s="148" t="s">
        <v>148</v>
      </c>
      <c r="Y50" s="150" t="s">
        <v>149</v>
      </c>
    </row>
    <row r="51" spans="1:26" ht="15.75" hidden="1" customHeight="1" x14ac:dyDescent="0.25">
      <c r="A51" s="148" t="s">
        <v>76</v>
      </c>
      <c r="B51" s="148" t="s">
        <v>103</v>
      </c>
      <c r="C51" s="148" t="s">
        <v>55</v>
      </c>
      <c r="D51" s="148" t="s">
        <v>29</v>
      </c>
      <c r="E51" s="148" t="s">
        <v>95</v>
      </c>
      <c r="F51" s="148" t="s">
        <v>56</v>
      </c>
      <c r="G51" s="148" t="s">
        <v>104</v>
      </c>
      <c r="H51" s="148">
        <v>2002</v>
      </c>
      <c r="I51" s="148">
        <v>3</v>
      </c>
      <c r="J51" s="148" t="s">
        <v>150</v>
      </c>
      <c r="K51" s="148" t="s">
        <v>81</v>
      </c>
      <c r="M51" s="148" t="s">
        <v>82</v>
      </c>
      <c r="N51" s="148">
        <v>8</v>
      </c>
      <c r="O51" s="148" t="s">
        <v>83</v>
      </c>
      <c r="P51" s="148" t="s">
        <v>151</v>
      </c>
      <c r="Y51" s="150" t="s">
        <v>152</v>
      </c>
    </row>
    <row r="52" spans="1:26" ht="15.75" hidden="1" customHeight="1" x14ac:dyDescent="0.25">
      <c r="A52" s="148" t="s">
        <v>76</v>
      </c>
      <c r="B52" s="148" t="s">
        <v>103</v>
      </c>
      <c r="C52" s="148" t="s">
        <v>55</v>
      </c>
      <c r="D52" s="148" t="s">
        <v>29</v>
      </c>
      <c r="E52" s="148" t="s">
        <v>95</v>
      </c>
      <c r="F52" s="148" t="s">
        <v>56</v>
      </c>
      <c r="G52" s="148" t="s">
        <v>153</v>
      </c>
      <c r="H52" s="148">
        <v>2002</v>
      </c>
      <c r="I52" s="148">
        <v>3</v>
      </c>
      <c r="J52" s="148" t="s">
        <v>150</v>
      </c>
      <c r="K52" s="148" t="s">
        <v>81</v>
      </c>
      <c r="M52" s="148" t="s">
        <v>82</v>
      </c>
      <c r="N52" s="148">
        <v>8</v>
      </c>
      <c r="O52" s="148" t="s">
        <v>83</v>
      </c>
      <c r="P52" s="148" t="s">
        <v>154</v>
      </c>
      <c r="Y52" s="150" t="s">
        <v>155</v>
      </c>
    </row>
    <row r="53" spans="1:26" ht="15.75" hidden="1" customHeight="1" x14ac:dyDescent="0.25">
      <c r="A53" s="148" t="s">
        <v>76</v>
      </c>
      <c r="B53" s="148" t="s">
        <v>103</v>
      </c>
      <c r="C53" s="148" t="s">
        <v>55</v>
      </c>
      <c r="D53" s="148" t="s">
        <v>29</v>
      </c>
      <c r="E53" s="148" t="s">
        <v>95</v>
      </c>
      <c r="F53" s="148" t="s">
        <v>56</v>
      </c>
      <c r="G53" s="148" t="s">
        <v>107</v>
      </c>
      <c r="H53" s="148">
        <v>2002</v>
      </c>
      <c r="I53" s="148">
        <v>3</v>
      </c>
      <c r="J53" s="148" t="s">
        <v>118</v>
      </c>
      <c r="K53" s="148" t="s">
        <v>131</v>
      </c>
      <c r="M53" s="148" t="s">
        <v>132</v>
      </c>
      <c r="N53" s="148">
        <v>8</v>
      </c>
      <c r="O53" s="148" t="s">
        <v>101</v>
      </c>
      <c r="P53" s="148" t="s">
        <v>156</v>
      </c>
      <c r="Y53" s="150" t="s">
        <v>157</v>
      </c>
    </row>
    <row r="54" spans="1:26" ht="15.75" hidden="1" customHeight="1" x14ac:dyDescent="0.25">
      <c r="A54" s="148" t="s">
        <v>76</v>
      </c>
      <c r="B54" s="148" t="s">
        <v>77</v>
      </c>
      <c r="C54" s="148" t="s">
        <v>55</v>
      </c>
      <c r="D54" s="148" t="s">
        <v>158</v>
      </c>
      <c r="E54" s="148" t="s">
        <v>30</v>
      </c>
      <c r="F54" s="148" t="s">
        <v>41</v>
      </c>
      <c r="G54" s="148" t="s">
        <v>159</v>
      </c>
      <c r="H54" s="148">
        <v>2002</v>
      </c>
      <c r="I54" s="148">
        <v>3</v>
      </c>
      <c r="J54" s="148" t="s">
        <v>150</v>
      </c>
      <c r="K54" s="148" t="s">
        <v>119</v>
      </c>
      <c r="M54" s="148" t="s">
        <v>120</v>
      </c>
      <c r="N54" s="148">
        <v>6</v>
      </c>
      <c r="O54" s="148" t="s">
        <v>83</v>
      </c>
      <c r="P54" s="148" t="s">
        <v>154</v>
      </c>
      <c r="Y54" s="150" t="s">
        <v>160</v>
      </c>
    </row>
    <row r="55" spans="1:26" ht="15.75" hidden="1" customHeight="1" x14ac:dyDescent="0.25">
      <c r="A55" s="148" t="s">
        <v>76</v>
      </c>
      <c r="B55" s="148" t="s">
        <v>77</v>
      </c>
      <c r="C55" s="148" t="s">
        <v>55</v>
      </c>
      <c r="D55" s="148" t="s">
        <v>29</v>
      </c>
      <c r="E55" s="148" t="s">
        <v>30</v>
      </c>
      <c r="F55" s="148" t="s">
        <v>41</v>
      </c>
      <c r="G55" s="148" t="s">
        <v>161</v>
      </c>
      <c r="H55" s="148">
        <v>2002</v>
      </c>
      <c r="I55" s="148">
        <v>3</v>
      </c>
      <c r="J55" s="148" t="s">
        <v>150</v>
      </c>
      <c r="K55" s="148" t="s">
        <v>119</v>
      </c>
      <c r="M55" s="148" t="s">
        <v>120</v>
      </c>
      <c r="N55" s="148">
        <v>6</v>
      </c>
      <c r="O55" s="148" t="s">
        <v>83</v>
      </c>
      <c r="P55" s="148" t="s">
        <v>154</v>
      </c>
      <c r="Y55" s="150" t="s">
        <v>162</v>
      </c>
    </row>
    <row r="56" spans="1:26" ht="15.75" hidden="1" customHeight="1" x14ac:dyDescent="0.25">
      <c r="A56" s="148" t="s">
        <v>76</v>
      </c>
      <c r="B56" s="148" t="s">
        <v>27</v>
      </c>
      <c r="C56" s="148" t="s">
        <v>28</v>
      </c>
      <c r="D56" s="148" t="s">
        <v>3320</v>
      </c>
      <c r="E56" s="148" t="s">
        <v>30</v>
      </c>
      <c r="F56" s="148" t="s">
        <v>3183</v>
      </c>
      <c r="G56" s="148" t="s">
        <v>163</v>
      </c>
      <c r="H56" s="148">
        <v>2002</v>
      </c>
      <c r="I56" s="148">
        <v>3</v>
      </c>
      <c r="J56" s="148" t="s">
        <v>118</v>
      </c>
      <c r="K56" s="148" t="s">
        <v>131</v>
      </c>
      <c r="M56" s="148" t="s">
        <v>132</v>
      </c>
      <c r="N56" s="148">
        <v>8</v>
      </c>
      <c r="O56" s="148" t="s">
        <v>101</v>
      </c>
      <c r="P56" s="148" t="s">
        <v>164</v>
      </c>
      <c r="Y56" s="150" t="s">
        <v>165</v>
      </c>
      <c r="Z56" s="148" t="s">
        <v>166</v>
      </c>
    </row>
    <row r="57" spans="1:26" ht="15.75" hidden="1" customHeight="1" x14ac:dyDescent="0.25">
      <c r="A57" s="148" t="s">
        <v>76</v>
      </c>
      <c r="B57" s="148" t="s">
        <v>27</v>
      </c>
      <c r="C57" s="148" t="s">
        <v>28</v>
      </c>
      <c r="D57" s="148" t="s">
        <v>99</v>
      </c>
      <c r="E57" s="148" t="s">
        <v>40</v>
      </c>
      <c r="F57" s="148" t="s">
        <v>41</v>
      </c>
      <c r="G57" s="148" t="s">
        <v>42</v>
      </c>
      <c r="H57" s="148">
        <v>2002</v>
      </c>
      <c r="I57" s="148">
        <v>3</v>
      </c>
      <c r="J57" s="148" t="s">
        <v>150</v>
      </c>
      <c r="K57" s="148" t="s">
        <v>119</v>
      </c>
      <c r="M57" s="148" t="s">
        <v>120</v>
      </c>
      <c r="N57" s="148">
        <v>6</v>
      </c>
      <c r="O57" s="148" t="s">
        <v>83</v>
      </c>
      <c r="P57" s="148" t="s">
        <v>154</v>
      </c>
      <c r="Y57" s="150" t="s">
        <v>167</v>
      </c>
    </row>
    <row r="58" spans="1:26" ht="15.75" hidden="1" customHeight="1" x14ac:dyDescent="0.25">
      <c r="A58" s="148" t="s">
        <v>76</v>
      </c>
      <c r="B58" s="148" t="s">
        <v>103</v>
      </c>
      <c r="C58" s="148" t="s">
        <v>55</v>
      </c>
      <c r="D58" s="148" t="s">
        <v>29</v>
      </c>
      <c r="E58" s="148" t="s">
        <v>95</v>
      </c>
      <c r="F58" s="148" t="s">
        <v>56</v>
      </c>
      <c r="G58" s="148" t="s">
        <v>168</v>
      </c>
      <c r="H58" s="148">
        <v>2002</v>
      </c>
      <c r="I58" s="148">
        <v>3</v>
      </c>
      <c r="J58" s="148" t="s">
        <v>150</v>
      </c>
      <c r="K58" s="148" t="s">
        <v>81</v>
      </c>
      <c r="M58" s="148" t="s">
        <v>82</v>
      </c>
      <c r="N58" s="148">
        <v>8</v>
      </c>
      <c r="O58" s="148" t="s">
        <v>83</v>
      </c>
      <c r="P58" s="148" t="s">
        <v>154</v>
      </c>
      <c r="Y58" s="150" t="s">
        <v>169</v>
      </c>
    </row>
    <row r="59" spans="1:26" ht="15.75" hidden="1" customHeight="1" x14ac:dyDescent="0.25">
      <c r="A59" s="148" t="s">
        <v>76</v>
      </c>
      <c r="B59" s="148" t="s">
        <v>103</v>
      </c>
      <c r="C59" s="148" t="s">
        <v>55</v>
      </c>
      <c r="D59" s="148" t="s">
        <v>29</v>
      </c>
      <c r="E59" s="148" t="s">
        <v>95</v>
      </c>
      <c r="F59" s="148" t="s">
        <v>56</v>
      </c>
      <c r="G59" s="148" t="s">
        <v>108</v>
      </c>
      <c r="H59" s="148">
        <v>2002</v>
      </c>
      <c r="I59" s="148">
        <v>3</v>
      </c>
      <c r="J59" s="148" t="s">
        <v>118</v>
      </c>
      <c r="K59" s="148" t="s">
        <v>131</v>
      </c>
      <c r="M59" s="148" t="s">
        <v>132</v>
      </c>
      <c r="N59" s="148">
        <v>8</v>
      </c>
      <c r="O59" s="148" t="s">
        <v>101</v>
      </c>
      <c r="P59" s="148" t="s">
        <v>164</v>
      </c>
      <c r="Y59" s="150" t="s">
        <v>170</v>
      </c>
    </row>
    <row r="60" spans="1:26" ht="15.75" hidden="1" customHeight="1" x14ac:dyDescent="0.25">
      <c r="A60" s="148" t="s">
        <v>76</v>
      </c>
      <c r="B60" s="148" t="s">
        <v>103</v>
      </c>
      <c r="C60" s="148" t="s">
        <v>55</v>
      </c>
      <c r="D60" s="148" t="s">
        <v>158</v>
      </c>
      <c r="E60" s="148" t="s">
        <v>30</v>
      </c>
      <c r="F60" s="148" t="s">
        <v>56</v>
      </c>
      <c r="G60" s="148" t="s">
        <v>171</v>
      </c>
      <c r="H60" s="148">
        <v>2002</v>
      </c>
      <c r="I60" s="148">
        <v>4</v>
      </c>
      <c r="J60" s="148" t="s">
        <v>118</v>
      </c>
      <c r="K60" s="148" t="s">
        <v>172</v>
      </c>
      <c r="M60" s="148" t="s">
        <v>173</v>
      </c>
      <c r="N60" s="148">
        <v>8</v>
      </c>
      <c r="O60" s="148" t="s">
        <v>101</v>
      </c>
      <c r="P60" s="148" t="s">
        <v>146</v>
      </c>
      <c r="Y60" s="150" t="s">
        <v>174</v>
      </c>
      <c r="Z60" s="148" t="s">
        <v>175</v>
      </c>
    </row>
    <row r="61" spans="1:26" ht="15.75" hidden="1" customHeight="1" x14ac:dyDescent="0.25">
      <c r="A61" s="148" t="s">
        <v>76</v>
      </c>
      <c r="B61" s="148" t="s">
        <v>103</v>
      </c>
      <c r="C61" s="148" t="s">
        <v>55</v>
      </c>
      <c r="D61" s="148" t="s">
        <v>29</v>
      </c>
      <c r="E61" s="148" t="s">
        <v>95</v>
      </c>
      <c r="F61" s="148" t="s">
        <v>56</v>
      </c>
      <c r="G61" s="148" t="s">
        <v>176</v>
      </c>
      <c r="H61" s="148">
        <v>2002</v>
      </c>
      <c r="I61" s="148">
        <v>4</v>
      </c>
      <c r="J61" s="148" t="s">
        <v>150</v>
      </c>
      <c r="K61" s="148" t="s">
        <v>81</v>
      </c>
      <c r="M61" s="148" t="s">
        <v>82</v>
      </c>
      <c r="N61" s="148">
        <v>8</v>
      </c>
      <c r="O61" s="148" t="s">
        <v>83</v>
      </c>
      <c r="P61" s="148" t="s">
        <v>154</v>
      </c>
      <c r="Y61" s="150" t="s">
        <v>177</v>
      </c>
    </row>
    <row r="62" spans="1:26" ht="15.75" hidden="1" customHeight="1" x14ac:dyDescent="0.25">
      <c r="A62" s="148" t="s">
        <v>76</v>
      </c>
      <c r="B62" s="148" t="s">
        <v>89</v>
      </c>
      <c r="C62" s="148" t="s">
        <v>90</v>
      </c>
      <c r="D62" s="148" t="s">
        <v>29</v>
      </c>
      <c r="E62" s="148" t="s">
        <v>30</v>
      </c>
      <c r="F62" s="148" t="s">
        <v>91</v>
      </c>
      <c r="G62" s="148" t="s">
        <v>178</v>
      </c>
      <c r="H62" s="148">
        <v>2002</v>
      </c>
      <c r="I62" s="148">
        <v>4</v>
      </c>
      <c r="J62" s="148" t="s">
        <v>118</v>
      </c>
      <c r="K62" s="148" t="s">
        <v>81</v>
      </c>
      <c r="M62" s="148" t="s">
        <v>82</v>
      </c>
      <c r="N62" s="148">
        <v>8</v>
      </c>
      <c r="O62" s="148" t="s">
        <v>101</v>
      </c>
      <c r="P62" s="148" t="s">
        <v>146</v>
      </c>
      <c r="Y62" s="150" t="s">
        <v>179</v>
      </c>
    </row>
    <row r="63" spans="1:26" ht="15.75" hidden="1" customHeight="1" x14ac:dyDescent="0.25">
      <c r="A63" s="148" t="s">
        <v>76</v>
      </c>
      <c r="B63" s="148" t="s">
        <v>103</v>
      </c>
      <c r="C63" s="148" t="s">
        <v>55</v>
      </c>
      <c r="D63" s="148" t="s">
        <v>29</v>
      </c>
      <c r="E63" s="148" t="s">
        <v>95</v>
      </c>
      <c r="F63" s="148" t="s">
        <v>56</v>
      </c>
      <c r="G63" s="148" t="s">
        <v>180</v>
      </c>
      <c r="H63" s="148">
        <v>2002</v>
      </c>
      <c r="I63" s="148">
        <v>4</v>
      </c>
      <c r="J63" s="148" t="s">
        <v>150</v>
      </c>
      <c r="K63" s="148" t="s">
        <v>81</v>
      </c>
      <c r="M63" s="148" t="s">
        <v>82</v>
      </c>
      <c r="N63" s="148">
        <v>8</v>
      </c>
      <c r="O63" s="148" t="s">
        <v>83</v>
      </c>
      <c r="P63" s="148" t="s">
        <v>181</v>
      </c>
      <c r="Y63" s="150" t="s">
        <v>182</v>
      </c>
    </row>
    <row r="64" spans="1:26" ht="15.75" hidden="1" customHeight="1" x14ac:dyDescent="0.25">
      <c r="A64" s="148" t="s">
        <v>76</v>
      </c>
      <c r="B64" s="148" t="s">
        <v>36</v>
      </c>
      <c r="C64" s="148" t="s">
        <v>28</v>
      </c>
      <c r="D64" s="148" t="s">
        <v>29</v>
      </c>
      <c r="E64" s="148" t="s">
        <v>51</v>
      </c>
      <c r="F64" s="148" t="s">
        <v>3183</v>
      </c>
      <c r="G64" s="148" t="s">
        <v>69</v>
      </c>
      <c r="H64" s="148">
        <v>2002</v>
      </c>
      <c r="I64" s="148">
        <v>4</v>
      </c>
      <c r="J64" s="148" t="s">
        <v>118</v>
      </c>
      <c r="K64" s="148" t="s">
        <v>81</v>
      </c>
      <c r="M64" s="148" t="s">
        <v>82</v>
      </c>
      <c r="N64" s="148">
        <v>8</v>
      </c>
      <c r="O64" s="148" t="s">
        <v>101</v>
      </c>
      <c r="P64" s="148" t="s">
        <v>183</v>
      </c>
      <c r="Y64" s="150" t="s">
        <v>184</v>
      </c>
    </row>
    <row r="65" spans="1:25" ht="15.75" hidden="1" customHeight="1" x14ac:dyDescent="0.25">
      <c r="A65" s="148" t="s">
        <v>76</v>
      </c>
      <c r="B65" s="148" t="s">
        <v>62</v>
      </c>
      <c r="C65" s="148" t="s">
        <v>28</v>
      </c>
      <c r="D65" s="148" t="s">
        <v>129</v>
      </c>
      <c r="E65" s="148" t="s">
        <v>51</v>
      </c>
      <c r="F65" s="148" t="s">
        <v>3183</v>
      </c>
      <c r="G65" s="148" t="s">
        <v>130</v>
      </c>
      <c r="H65" s="148">
        <v>2002</v>
      </c>
      <c r="I65" s="148">
        <v>4</v>
      </c>
      <c r="J65" s="148" t="s">
        <v>118</v>
      </c>
      <c r="K65" s="148" t="s">
        <v>81</v>
      </c>
      <c r="M65" s="148" t="s">
        <v>82</v>
      </c>
      <c r="N65" s="148">
        <v>8</v>
      </c>
      <c r="O65" s="148" t="s">
        <v>101</v>
      </c>
      <c r="P65" s="148" t="s">
        <v>140</v>
      </c>
      <c r="Y65" s="150" t="s">
        <v>185</v>
      </c>
    </row>
    <row r="66" spans="1:25" ht="15.75" hidden="1" customHeight="1" x14ac:dyDescent="0.25">
      <c r="A66" s="148" t="s">
        <v>76</v>
      </c>
      <c r="B66" s="148" t="s">
        <v>103</v>
      </c>
      <c r="C66" s="148" t="s">
        <v>55</v>
      </c>
      <c r="D66" s="148" t="s">
        <v>29</v>
      </c>
      <c r="E66" s="148" t="s">
        <v>95</v>
      </c>
      <c r="F66" s="148" t="s">
        <v>56</v>
      </c>
      <c r="G66" s="148" t="s">
        <v>186</v>
      </c>
      <c r="H66" s="148">
        <v>2002</v>
      </c>
      <c r="I66" s="148">
        <v>4</v>
      </c>
      <c r="J66" s="148" t="s">
        <v>118</v>
      </c>
      <c r="K66" s="148" t="s">
        <v>81</v>
      </c>
      <c r="M66" s="148" t="s">
        <v>82</v>
      </c>
      <c r="N66" s="148">
        <v>8</v>
      </c>
      <c r="O66" s="148" t="s">
        <v>101</v>
      </c>
      <c r="P66" s="148" t="s">
        <v>187</v>
      </c>
      <c r="Y66" s="150" t="s">
        <v>188</v>
      </c>
    </row>
    <row r="67" spans="1:25" ht="15.75" hidden="1" customHeight="1" x14ac:dyDescent="0.25">
      <c r="A67" s="148" t="s">
        <v>76</v>
      </c>
      <c r="B67" s="148" t="s">
        <v>103</v>
      </c>
      <c r="C67" s="148" t="s">
        <v>55</v>
      </c>
      <c r="D67" s="148" t="s">
        <v>158</v>
      </c>
      <c r="E67" s="148" t="s">
        <v>30</v>
      </c>
      <c r="F67" s="148" t="s">
        <v>56</v>
      </c>
      <c r="G67" s="148" t="s">
        <v>171</v>
      </c>
      <c r="H67" s="148">
        <v>2002</v>
      </c>
      <c r="I67" s="148">
        <v>5</v>
      </c>
      <c r="J67" s="148" t="s">
        <v>150</v>
      </c>
      <c r="K67" s="148" t="s">
        <v>131</v>
      </c>
      <c r="M67" s="148" t="s">
        <v>132</v>
      </c>
      <c r="N67" s="148">
        <v>8</v>
      </c>
      <c r="O67" s="148" t="s">
        <v>83</v>
      </c>
      <c r="P67" s="148" t="s">
        <v>154</v>
      </c>
      <c r="Y67" s="150" t="s">
        <v>189</v>
      </c>
    </row>
    <row r="68" spans="1:25" ht="15.75" hidden="1" customHeight="1" x14ac:dyDescent="0.25">
      <c r="A68" s="148" t="s">
        <v>26</v>
      </c>
      <c r="B68" s="148" t="s">
        <v>116</v>
      </c>
      <c r="C68" s="148" t="s">
        <v>90</v>
      </c>
      <c r="D68" s="148" t="s">
        <v>86</v>
      </c>
      <c r="E68" s="148" t="s">
        <v>40</v>
      </c>
      <c r="F68" s="148" t="s">
        <v>41</v>
      </c>
      <c r="G68" s="148" t="s">
        <v>117</v>
      </c>
      <c r="H68" s="148">
        <v>2002</v>
      </c>
      <c r="I68" s="148">
        <v>5</v>
      </c>
      <c r="J68" s="148" t="s">
        <v>33</v>
      </c>
      <c r="U68" s="149" t="s">
        <v>112</v>
      </c>
      <c r="V68" s="148" t="s">
        <v>3657</v>
      </c>
      <c r="W68" s="148" t="s">
        <v>49</v>
      </c>
      <c r="X68" s="148" t="s">
        <v>97</v>
      </c>
      <c r="Y68" s="150" t="s">
        <v>190</v>
      </c>
    </row>
    <row r="69" spans="1:25" ht="15.75" hidden="1" customHeight="1" x14ac:dyDescent="0.25">
      <c r="A69" s="148" t="s">
        <v>76</v>
      </c>
      <c r="B69" s="148" t="s">
        <v>103</v>
      </c>
      <c r="C69" s="148" t="s">
        <v>55</v>
      </c>
      <c r="D69" s="148" t="s">
        <v>29</v>
      </c>
      <c r="E69" s="148" t="s">
        <v>95</v>
      </c>
      <c r="F69" s="148" t="s">
        <v>56</v>
      </c>
      <c r="G69" s="148" t="s">
        <v>153</v>
      </c>
      <c r="H69" s="148">
        <v>2002</v>
      </c>
      <c r="I69" s="148">
        <v>5</v>
      </c>
      <c r="J69" s="148" t="s">
        <v>118</v>
      </c>
      <c r="K69" s="148" t="s">
        <v>131</v>
      </c>
      <c r="M69" s="148" t="s">
        <v>132</v>
      </c>
      <c r="N69" s="148">
        <v>8</v>
      </c>
      <c r="O69" s="148" t="s">
        <v>101</v>
      </c>
      <c r="P69" s="148" t="s">
        <v>191</v>
      </c>
      <c r="Y69" s="150" t="s">
        <v>192</v>
      </c>
    </row>
    <row r="70" spans="1:25" ht="15.75" hidden="1" customHeight="1" x14ac:dyDescent="0.25">
      <c r="A70" s="148" t="s">
        <v>26</v>
      </c>
      <c r="B70" s="148" t="s">
        <v>103</v>
      </c>
      <c r="C70" s="148" t="s">
        <v>55</v>
      </c>
      <c r="D70" s="148" t="s">
        <v>29</v>
      </c>
      <c r="E70" s="148" t="s">
        <v>95</v>
      </c>
      <c r="F70" s="148" t="s">
        <v>56</v>
      </c>
      <c r="G70" s="148" t="s">
        <v>153</v>
      </c>
      <c r="H70" s="148">
        <v>2002</v>
      </c>
      <c r="I70" s="148">
        <v>5</v>
      </c>
      <c r="J70" s="148" t="s">
        <v>33</v>
      </c>
      <c r="U70" s="149" t="s">
        <v>112</v>
      </c>
      <c r="V70" s="148" t="s">
        <v>3657</v>
      </c>
      <c r="W70" s="148" t="s">
        <v>49</v>
      </c>
      <c r="X70" s="148" t="s">
        <v>97</v>
      </c>
      <c r="Y70" s="150" t="s">
        <v>190</v>
      </c>
    </row>
    <row r="71" spans="1:25" ht="15.75" hidden="1" customHeight="1" x14ac:dyDescent="0.25">
      <c r="A71" s="148" t="s">
        <v>76</v>
      </c>
      <c r="B71" s="148" t="s">
        <v>77</v>
      </c>
      <c r="C71" s="148" t="s">
        <v>55</v>
      </c>
      <c r="D71" s="148" t="s">
        <v>78</v>
      </c>
      <c r="E71" s="148" t="s">
        <v>30</v>
      </c>
      <c r="F71" s="148" t="s">
        <v>41</v>
      </c>
      <c r="G71" s="148" t="s">
        <v>79</v>
      </c>
      <c r="H71" s="148">
        <v>2002</v>
      </c>
      <c r="I71" s="148">
        <v>5</v>
      </c>
      <c r="J71" s="148" t="s">
        <v>100</v>
      </c>
      <c r="K71" s="148" t="s">
        <v>81</v>
      </c>
      <c r="M71" s="148" t="s">
        <v>82</v>
      </c>
      <c r="N71" s="148">
        <v>8</v>
      </c>
      <c r="O71" s="148" t="s">
        <v>101</v>
      </c>
      <c r="P71" s="148" t="s">
        <v>193</v>
      </c>
      <c r="Y71" s="150" t="s">
        <v>85</v>
      </c>
    </row>
    <row r="72" spans="1:25" ht="15.75" hidden="1" customHeight="1" x14ac:dyDescent="0.25">
      <c r="A72" s="148" t="s">
        <v>26</v>
      </c>
      <c r="B72" s="148" t="s">
        <v>36</v>
      </c>
      <c r="C72" s="148" t="s">
        <v>28</v>
      </c>
      <c r="D72" s="148" t="s">
        <v>29</v>
      </c>
      <c r="E72" s="148" t="s">
        <v>30</v>
      </c>
      <c r="F72" s="148" t="s">
        <v>3183</v>
      </c>
      <c r="G72" s="148" t="s">
        <v>194</v>
      </c>
      <c r="H72" s="148">
        <v>2002</v>
      </c>
      <c r="I72" s="148">
        <v>5</v>
      </c>
      <c r="J72" s="148" t="s">
        <v>33</v>
      </c>
      <c r="U72" s="149" t="s">
        <v>112</v>
      </c>
      <c r="V72" s="148" t="s">
        <v>3657</v>
      </c>
      <c r="W72" s="148" t="s">
        <v>49</v>
      </c>
      <c r="X72" s="148" t="s">
        <v>97</v>
      </c>
      <c r="Y72" s="150" t="s">
        <v>190</v>
      </c>
    </row>
    <row r="73" spans="1:25" ht="15.75" hidden="1" customHeight="1" x14ac:dyDescent="0.25">
      <c r="A73" s="148" t="s">
        <v>76</v>
      </c>
      <c r="B73" s="148" t="s">
        <v>103</v>
      </c>
      <c r="C73" s="148" t="s">
        <v>55</v>
      </c>
      <c r="D73" s="148" t="s">
        <v>29</v>
      </c>
      <c r="E73" s="148" t="s">
        <v>95</v>
      </c>
      <c r="F73" s="148" t="s">
        <v>56</v>
      </c>
      <c r="G73" s="148" t="s">
        <v>195</v>
      </c>
      <c r="H73" s="148">
        <v>2002</v>
      </c>
      <c r="I73" s="148">
        <v>5</v>
      </c>
      <c r="J73" s="148" t="s">
        <v>150</v>
      </c>
      <c r="K73" s="148" t="s">
        <v>131</v>
      </c>
      <c r="M73" s="148" t="s">
        <v>132</v>
      </c>
      <c r="N73" s="148">
        <v>8</v>
      </c>
      <c r="O73" s="148" t="s">
        <v>83</v>
      </c>
      <c r="P73" s="148" t="s">
        <v>154</v>
      </c>
      <c r="Y73" s="150" t="s">
        <v>196</v>
      </c>
    </row>
    <row r="74" spans="1:25" ht="15.75" hidden="1" customHeight="1" x14ac:dyDescent="0.25">
      <c r="A74" s="148" t="s">
        <v>26</v>
      </c>
      <c r="B74" s="148" t="s">
        <v>62</v>
      </c>
      <c r="C74" s="148" t="s">
        <v>28</v>
      </c>
      <c r="D74" s="148" t="s">
        <v>129</v>
      </c>
      <c r="E74" s="148" t="s">
        <v>51</v>
      </c>
      <c r="F74" s="148" t="s">
        <v>3183</v>
      </c>
      <c r="G74" s="148" t="s">
        <v>130</v>
      </c>
      <c r="H74" s="148">
        <v>2002</v>
      </c>
      <c r="I74" s="148">
        <v>5</v>
      </c>
      <c r="J74" s="148" t="s">
        <v>33</v>
      </c>
      <c r="U74" s="149" t="s">
        <v>112</v>
      </c>
      <c r="V74" s="148" t="s">
        <v>3658</v>
      </c>
      <c r="W74" s="148" t="s">
        <v>34</v>
      </c>
      <c r="X74" s="148" t="s">
        <v>197</v>
      </c>
    </row>
    <row r="75" spans="1:25" ht="15.75" hidden="1" customHeight="1" x14ac:dyDescent="0.25">
      <c r="A75" s="148" t="s">
        <v>26</v>
      </c>
      <c r="B75" s="148" t="s">
        <v>103</v>
      </c>
      <c r="C75" s="148" t="s">
        <v>55</v>
      </c>
      <c r="D75" s="148" t="s">
        <v>29</v>
      </c>
      <c r="E75" s="148" t="s">
        <v>95</v>
      </c>
      <c r="F75" s="148" t="s">
        <v>56</v>
      </c>
      <c r="G75" s="148" t="s">
        <v>186</v>
      </c>
      <c r="H75" s="148">
        <v>2002</v>
      </c>
      <c r="I75" s="148">
        <v>5</v>
      </c>
      <c r="J75" s="148" t="s">
        <v>33</v>
      </c>
      <c r="U75" s="149" t="s">
        <v>112</v>
      </c>
      <c r="V75" s="148" t="s">
        <v>3657</v>
      </c>
      <c r="W75" s="148" t="s">
        <v>49</v>
      </c>
      <c r="X75" s="148" t="s">
        <v>97</v>
      </c>
      <c r="Y75" s="150" t="s">
        <v>190</v>
      </c>
    </row>
    <row r="76" spans="1:25" ht="15.75" hidden="1" customHeight="1" x14ac:dyDescent="0.25">
      <c r="A76" s="148" t="s">
        <v>26</v>
      </c>
      <c r="B76" s="148" t="s">
        <v>103</v>
      </c>
      <c r="C76" s="148" t="s">
        <v>55</v>
      </c>
      <c r="D76" s="148" t="s">
        <v>29</v>
      </c>
      <c r="E76" s="148" t="s">
        <v>30</v>
      </c>
      <c r="F76" s="148" t="s">
        <v>56</v>
      </c>
      <c r="G76" s="148" t="s">
        <v>137</v>
      </c>
      <c r="H76" s="148">
        <v>2002</v>
      </c>
      <c r="I76" s="148">
        <v>5</v>
      </c>
      <c r="J76" s="148" t="s">
        <v>33</v>
      </c>
      <c r="U76" s="149" t="s">
        <v>112</v>
      </c>
      <c r="V76" s="148" t="s">
        <v>3657</v>
      </c>
      <c r="W76" s="148" t="s">
        <v>49</v>
      </c>
      <c r="X76" s="148" t="s">
        <v>97</v>
      </c>
      <c r="Y76" s="150" t="s">
        <v>190</v>
      </c>
    </row>
    <row r="77" spans="1:25" ht="15.75" hidden="1" customHeight="1" x14ac:dyDescent="0.25">
      <c r="A77" s="148" t="s">
        <v>76</v>
      </c>
      <c r="B77" s="148" t="s">
        <v>198</v>
      </c>
      <c r="C77" s="148" t="s">
        <v>45</v>
      </c>
      <c r="D77" s="148" t="s">
        <v>29</v>
      </c>
      <c r="E77" s="148" t="s">
        <v>30</v>
      </c>
      <c r="F77" s="148" t="s">
        <v>199</v>
      </c>
      <c r="G77" s="148" t="s">
        <v>200</v>
      </c>
      <c r="H77" s="148">
        <v>2002</v>
      </c>
      <c r="I77" s="148">
        <v>6</v>
      </c>
      <c r="J77" s="148" t="s">
        <v>118</v>
      </c>
      <c r="K77" s="148" t="s">
        <v>131</v>
      </c>
      <c r="M77" s="148" t="s">
        <v>132</v>
      </c>
      <c r="N77" s="148">
        <v>8</v>
      </c>
      <c r="O77" s="148" t="s">
        <v>101</v>
      </c>
      <c r="P77" s="148" t="s">
        <v>201</v>
      </c>
      <c r="Y77" s="150" t="s">
        <v>202</v>
      </c>
    </row>
    <row r="78" spans="1:25" ht="15.75" hidden="1" customHeight="1" x14ac:dyDescent="0.25">
      <c r="A78" s="148" t="s">
        <v>76</v>
      </c>
      <c r="B78" s="148" t="s">
        <v>27</v>
      </c>
      <c r="C78" s="148" t="s">
        <v>28</v>
      </c>
      <c r="D78" s="148" t="s">
        <v>29</v>
      </c>
      <c r="E78" s="148" t="s">
        <v>30</v>
      </c>
      <c r="F78" s="148" t="s">
        <v>3183</v>
      </c>
      <c r="G78" s="148" t="s">
        <v>32</v>
      </c>
      <c r="H78" s="148">
        <v>2002</v>
      </c>
      <c r="I78" s="148">
        <v>6</v>
      </c>
      <c r="J78" s="148" t="s">
        <v>118</v>
      </c>
      <c r="K78" s="148" t="s">
        <v>81</v>
      </c>
      <c r="M78" s="148" t="s">
        <v>82</v>
      </c>
      <c r="N78" s="148">
        <v>8</v>
      </c>
      <c r="O78" s="148" t="s">
        <v>101</v>
      </c>
      <c r="P78" s="148" t="s">
        <v>203</v>
      </c>
      <c r="Y78" s="150" t="s">
        <v>204</v>
      </c>
    </row>
    <row r="79" spans="1:25" ht="15.75" hidden="1" customHeight="1" x14ac:dyDescent="0.25">
      <c r="A79" s="148" t="s">
        <v>76</v>
      </c>
      <c r="B79" s="148" t="s">
        <v>198</v>
      </c>
      <c r="C79" s="148" t="s">
        <v>45</v>
      </c>
      <c r="D79" s="148" t="s">
        <v>29</v>
      </c>
      <c r="E79" s="148" t="s">
        <v>30</v>
      </c>
      <c r="F79" s="148" t="s">
        <v>199</v>
      </c>
      <c r="G79" s="148" t="s">
        <v>205</v>
      </c>
      <c r="H79" s="148">
        <v>2002</v>
      </c>
      <c r="I79" s="148">
        <v>6</v>
      </c>
      <c r="J79" s="148" t="s">
        <v>118</v>
      </c>
      <c r="K79" s="148" t="s">
        <v>131</v>
      </c>
      <c r="M79" s="148" t="s">
        <v>132</v>
      </c>
      <c r="N79" s="148">
        <v>8</v>
      </c>
      <c r="O79" s="148" t="s">
        <v>101</v>
      </c>
      <c r="P79" s="148" t="s">
        <v>206</v>
      </c>
      <c r="Y79" s="150" t="s">
        <v>207</v>
      </c>
    </row>
    <row r="80" spans="1:25" ht="15.75" hidden="1" customHeight="1" x14ac:dyDescent="0.25">
      <c r="A80" s="148" t="s">
        <v>76</v>
      </c>
      <c r="B80" s="148" t="s">
        <v>198</v>
      </c>
      <c r="C80" s="148" t="s">
        <v>45</v>
      </c>
      <c r="D80" s="148" t="s">
        <v>99</v>
      </c>
      <c r="E80" s="148" t="s">
        <v>30</v>
      </c>
      <c r="F80" s="148" t="s">
        <v>199</v>
      </c>
      <c r="G80" s="148" t="s">
        <v>208</v>
      </c>
      <c r="H80" s="148">
        <v>2002</v>
      </c>
      <c r="I80" s="148">
        <v>6</v>
      </c>
      <c r="J80" s="148" t="s">
        <v>118</v>
      </c>
      <c r="K80" s="148" t="s">
        <v>131</v>
      </c>
      <c r="M80" s="148" t="s">
        <v>132</v>
      </c>
      <c r="N80" s="148">
        <v>8</v>
      </c>
      <c r="O80" s="148" t="s">
        <v>101</v>
      </c>
      <c r="P80" s="148" t="s">
        <v>209</v>
      </c>
      <c r="Y80" s="150" t="s">
        <v>210</v>
      </c>
    </row>
    <row r="81" spans="1:25" ht="15.75" hidden="1" customHeight="1" x14ac:dyDescent="0.25">
      <c r="A81" s="148" t="s">
        <v>26</v>
      </c>
      <c r="B81" s="148" t="s">
        <v>198</v>
      </c>
      <c r="C81" s="148" t="s">
        <v>45</v>
      </c>
      <c r="D81" s="148" t="s">
        <v>99</v>
      </c>
      <c r="E81" s="148" t="s">
        <v>30</v>
      </c>
      <c r="F81" s="148" t="s">
        <v>199</v>
      </c>
      <c r="G81" s="148" t="s">
        <v>208</v>
      </c>
      <c r="H81" s="148">
        <v>2002</v>
      </c>
      <c r="I81" s="148">
        <v>6</v>
      </c>
      <c r="J81" s="148" t="s">
        <v>33</v>
      </c>
      <c r="U81" s="149" t="s">
        <v>112</v>
      </c>
      <c r="V81" s="148" t="s">
        <v>3657</v>
      </c>
      <c r="W81" s="148" t="s">
        <v>49</v>
      </c>
      <c r="X81" s="148" t="s">
        <v>97</v>
      </c>
      <c r="Y81" s="150" t="s">
        <v>190</v>
      </c>
    </row>
    <row r="82" spans="1:25" ht="15.75" hidden="1" customHeight="1" x14ac:dyDescent="0.25">
      <c r="A82" s="148" t="s">
        <v>76</v>
      </c>
      <c r="B82" s="148" t="s">
        <v>36</v>
      </c>
      <c r="C82" s="148" t="s">
        <v>28</v>
      </c>
      <c r="D82" s="148" t="s">
        <v>29</v>
      </c>
      <c r="E82" s="148" t="s">
        <v>30</v>
      </c>
      <c r="F82" s="148" t="s">
        <v>3183</v>
      </c>
      <c r="G82" s="148" t="s">
        <v>211</v>
      </c>
      <c r="H82" s="148">
        <v>2002</v>
      </c>
      <c r="I82" s="148">
        <v>6</v>
      </c>
      <c r="J82" s="148" t="s">
        <v>118</v>
      </c>
      <c r="K82" s="148" t="s">
        <v>125</v>
      </c>
      <c r="M82" s="148" t="s">
        <v>126</v>
      </c>
      <c r="N82" s="148">
        <v>10</v>
      </c>
      <c r="O82" s="148" t="s">
        <v>101</v>
      </c>
      <c r="P82" s="148" t="s">
        <v>212</v>
      </c>
      <c r="Y82" s="150" t="s">
        <v>213</v>
      </c>
    </row>
    <row r="83" spans="1:25" ht="15.75" hidden="1" customHeight="1" x14ac:dyDescent="0.25">
      <c r="A83" s="148" t="s">
        <v>76</v>
      </c>
      <c r="B83" s="148" t="s">
        <v>198</v>
      </c>
      <c r="C83" s="148" t="s">
        <v>45</v>
      </c>
      <c r="D83" s="148" t="s">
        <v>29</v>
      </c>
      <c r="E83" s="148" t="s">
        <v>30</v>
      </c>
      <c r="F83" s="148" t="s">
        <v>199</v>
      </c>
      <c r="G83" s="148" t="s">
        <v>214</v>
      </c>
      <c r="H83" s="148">
        <v>2002</v>
      </c>
      <c r="I83" s="148">
        <v>6</v>
      </c>
      <c r="J83" s="148" t="s">
        <v>118</v>
      </c>
      <c r="K83" s="148" t="s">
        <v>81</v>
      </c>
      <c r="M83" s="148" t="s">
        <v>82</v>
      </c>
      <c r="N83" s="148">
        <v>8</v>
      </c>
      <c r="O83" s="148" t="s">
        <v>101</v>
      </c>
      <c r="P83" s="148" t="s">
        <v>215</v>
      </c>
      <c r="Y83" s="150" t="s">
        <v>216</v>
      </c>
    </row>
    <row r="84" spans="1:25" ht="15.75" hidden="1" customHeight="1" x14ac:dyDescent="0.25">
      <c r="A84" s="148" t="s">
        <v>76</v>
      </c>
      <c r="B84" s="148" t="s">
        <v>89</v>
      </c>
      <c r="C84" s="148" t="s">
        <v>90</v>
      </c>
      <c r="D84" s="148" t="s">
        <v>29</v>
      </c>
      <c r="E84" s="148" t="s">
        <v>30</v>
      </c>
      <c r="F84" s="148" t="s">
        <v>91</v>
      </c>
      <c r="G84" s="148" t="s">
        <v>217</v>
      </c>
      <c r="H84" s="148">
        <v>2002</v>
      </c>
      <c r="I84" s="148">
        <v>6</v>
      </c>
      <c r="J84" s="148" t="s">
        <v>118</v>
      </c>
      <c r="K84" s="148" t="s">
        <v>131</v>
      </c>
      <c r="M84" s="148" t="s">
        <v>132</v>
      </c>
      <c r="N84" s="148">
        <v>8</v>
      </c>
      <c r="O84" s="148" t="s">
        <v>101</v>
      </c>
      <c r="P84" s="148" t="s">
        <v>146</v>
      </c>
      <c r="Y84" s="150" t="s">
        <v>218</v>
      </c>
    </row>
    <row r="85" spans="1:25" ht="15.75" hidden="1" customHeight="1" x14ac:dyDescent="0.25">
      <c r="A85" s="148" t="s">
        <v>76</v>
      </c>
      <c r="B85" s="148" t="s">
        <v>103</v>
      </c>
      <c r="C85" s="148" t="s">
        <v>55</v>
      </c>
      <c r="D85" s="148" t="s">
        <v>29</v>
      </c>
      <c r="E85" s="148" t="s">
        <v>95</v>
      </c>
      <c r="F85" s="148" t="s">
        <v>56</v>
      </c>
      <c r="G85" s="148" t="s">
        <v>111</v>
      </c>
      <c r="H85" s="148">
        <v>2002</v>
      </c>
      <c r="I85" s="148">
        <v>6</v>
      </c>
      <c r="J85" s="148" t="s">
        <v>150</v>
      </c>
      <c r="K85" s="148" t="s">
        <v>172</v>
      </c>
      <c r="M85" s="148" t="s">
        <v>173</v>
      </c>
      <c r="N85" s="148">
        <v>8</v>
      </c>
      <c r="O85" s="148" t="s">
        <v>83</v>
      </c>
      <c r="P85" s="148" t="s">
        <v>146</v>
      </c>
      <c r="Y85" s="150" t="s">
        <v>219</v>
      </c>
    </row>
    <row r="86" spans="1:25" ht="15.75" hidden="1" customHeight="1" x14ac:dyDescent="0.25">
      <c r="A86" s="148" t="s">
        <v>76</v>
      </c>
      <c r="B86" s="148" t="s">
        <v>103</v>
      </c>
      <c r="C86" s="148" t="s">
        <v>55</v>
      </c>
      <c r="D86" s="148" t="s">
        <v>29</v>
      </c>
      <c r="E86" s="148" t="s">
        <v>95</v>
      </c>
      <c r="F86" s="148" t="s">
        <v>56</v>
      </c>
      <c r="G86" s="148" t="s">
        <v>104</v>
      </c>
      <c r="H86" s="148">
        <v>2002</v>
      </c>
      <c r="I86" s="148">
        <v>6</v>
      </c>
      <c r="J86" s="148" t="s">
        <v>118</v>
      </c>
      <c r="K86" s="148" t="s">
        <v>81</v>
      </c>
      <c r="M86" s="148" t="s">
        <v>82</v>
      </c>
      <c r="N86" s="148">
        <v>8</v>
      </c>
      <c r="O86" s="148" t="s">
        <v>101</v>
      </c>
      <c r="P86" s="148" t="s">
        <v>220</v>
      </c>
      <c r="Y86" s="150" t="s">
        <v>221</v>
      </c>
    </row>
    <row r="87" spans="1:25" ht="15.75" hidden="1" customHeight="1" x14ac:dyDescent="0.25">
      <c r="A87" s="148" t="s">
        <v>76</v>
      </c>
      <c r="B87" s="148" t="s">
        <v>103</v>
      </c>
      <c r="C87" s="148" t="s">
        <v>55</v>
      </c>
      <c r="D87" s="148" t="s">
        <v>29</v>
      </c>
      <c r="E87" s="148" t="s">
        <v>95</v>
      </c>
      <c r="F87" s="148" t="s">
        <v>56</v>
      </c>
      <c r="G87" s="148" t="s">
        <v>107</v>
      </c>
      <c r="H87" s="148">
        <v>2002</v>
      </c>
      <c r="I87" s="148">
        <v>6</v>
      </c>
      <c r="J87" s="148" t="s">
        <v>150</v>
      </c>
      <c r="K87" s="148" t="s">
        <v>172</v>
      </c>
      <c r="M87" s="148" t="s">
        <v>173</v>
      </c>
      <c r="N87" s="148">
        <v>8</v>
      </c>
      <c r="O87" s="148" t="s">
        <v>83</v>
      </c>
      <c r="P87" s="148" t="s">
        <v>146</v>
      </c>
      <c r="Y87" s="150" t="s">
        <v>219</v>
      </c>
    </row>
    <row r="88" spans="1:25" ht="15.75" hidden="1" customHeight="1" x14ac:dyDescent="0.25">
      <c r="A88" s="148" t="s">
        <v>76</v>
      </c>
      <c r="B88" s="148" t="s">
        <v>89</v>
      </c>
      <c r="C88" s="148" t="s">
        <v>90</v>
      </c>
      <c r="D88" s="148" t="s">
        <v>29</v>
      </c>
      <c r="E88" s="148" t="s">
        <v>30</v>
      </c>
      <c r="F88" s="148" t="s">
        <v>91</v>
      </c>
      <c r="G88" s="148" t="s">
        <v>222</v>
      </c>
      <c r="H88" s="148">
        <v>2002</v>
      </c>
      <c r="I88" s="148">
        <v>6</v>
      </c>
      <c r="J88" s="148" t="s">
        <v>118</v>
      </c>
      <c r="K88" s="148" t="s">
        <v>81</v>
      </c>
      <c r="M88" s="148" t="s">
        <v>82</v>
      </c>
      <c r="N88" s="148">
        <v>8</v>
      </c>
      <c r="O88" s="148" t="s">
        <v>101</v>
      </c>
      <c r="P88" s="148" t="s">
        <v>223</v>
      </c>
      <c r="Y88" s="150" t="s">
        <v>224</v>
      </c>
    </row>
    <row r="89" spans="1:25" ht="13.5" hidden="1" customHeight="1" x14ac:dyDescent="0.25">
      <c r="A89" s="148" t="s">
        <v>26</v>
      </c>
      <c r="B89" s="148" t="s">
        <v>103</v>
      </c>
      <c r="C89" s="148" t="s">
        <v>55</v>
      </c>
      <c r="D89" s="148" t="s">
        <v>29</v>
      </c>
      <c r="E89" s="148" t="s">
        <v>95</v>
      </c>
      <c r="F89" s="148" t="s">
        <v>56</v>
      </c>
      <c r="G89" s="148" t="s">
        <v>225</v>
      </c>
      <c r="H89" s="148">
        <v>2002</v>
      </c>
      <c r="I89" s="148">
        <v>6</v>
      </c>
      <c r="J89" s="148" t="s">
        <v>33</v>
      </c>
      <c r="U89" s="149" t="s">
        <v>112</v>
      </c>
      <c r="V89" s="148" t="s">
        <v>3657</v>
      </c>
      <c r="W89" s="148" t="s">
        <v>49</v>
      </c>
      <c r="X89" s="148" t="s">
        <v>97</v>
      </c>
      <c r="Y89" s="150" t="s">
        <v>190</v>
      </c>
    </row>
    <row r="90" spans="1:25" ht="13.5" hidden="1" customHeight="1" x14ac:dyDescent="0.25">
      <c r="A90" s="148" t="s">
        <v>76</v>
      </c>
      <c r="B90" s="148" t="s">
        <v>54</v>
      </c>
      <c r="C90" s="148" t="s">
        <v>55</v>
      </c>
      <c r="D90" s="148" t="s">
        <v>65</v>
      </c>
      <c r="E90" s="148" t="s">
        <v>30</v>
      </c>
      <c r="F90" s="148" t="s">
        <v>56</v>
      </c>
      <c r="G90" s="148" t="s">
        <v>54</v>
      </c>
      <c r="H90" s="148">
        <v>2002</v>
      </c>
      <c r="I90" s="148">
        <v>6</v>
      </c>
      <c r="J90" s="148" t="s">
        <v>118</v>
      </c>
      <c r="K90" s="148" t="s">
        <v>81</v>
      </c>
      <c r="M90" s="148" t="s">
        <v>82</v>
      </c>
      <c r="N90" s="148">
        <v>8</v>
      </c>
      <c r="O90" s="148" t="s">
        <v>101</v>
      </c>
      <c r="P90" s="148" t="s">
        <v>146</v>
      </c>
      <c r="Y90" s="150" t="s">
        <v>226</v>
      </c>
    </row>
    <row r="91" spans="1:25" ht="15.75" hidden="1" customHeight="1" x14ac:dyDescent="0.25">
      <c r="A91" s="148" t="s">
        <v>76</v>
      </c>
      <c r="B91" s="148" t="s">
        <v>89</v>
      </c>
      <c r="C91" s="148" t="s">
        <v>90</v>
      </c>
      <c r="D91" s="148" t="s">
        <v>29</v>
      </c>
      <c r="E91" s="148" t="s">
        <v>30</v>
      </c>
      <c r="F91" s="148" t="s">
        <v>91</v>
      </c>
      <c r="G91" s="148" t="s">
        <v>92</v>
      </c>
      <c r="H91" s="148">
        <v>2002</v>
      </c>
      <c r="I91" s="148">
        <v>6</v>
      </c>
      <c r="J91" s="148" t="s">
        <v>150</v>
      </c>
      <c r="K91" s="148" t="s">
        <v>172</v>
      </c>
      <c r="M91" s="148" t="s">
        <v>173</v>
      </c>
      <c r="N91" s="148">
        <v>8</v>
      </c>
      <c r="O91" s="148" t="s">
        <v>83</v>
      </c>
      <c r="P91" s="148" t="s">
        <v>146</v>
      </c>
      <c r="Y91" s="150" t="s">
        <v>219</v>
      </c>
    </row>
    <row r="92" spans="1:25" ht="15.75" hidden="1" customHeight="1" x14ac:dyDescent="0.25">
      <c r="A92" s="148" t="s">
        <v>76</v>
      </c>
      <c r="B92" s="148" t="s">
        <v>62</v>
      </c>
      <c r="C92" s="148" t="s">
        <v>28</v>
      </c>
      <c r="D92" s="148" t="s">
        <v>129</v>
      </c>
      <c r="E92" s="148" t="s">
        <v>51</v>
      </c>
      <c r="F92" s="148" t="s">
        <v>3183</v>
      </c>
      <c r="G92" s="148" t="s">
        <v>130</v>
      </c>
      <c r="H92" s="148">
        <v>2002</v>
      </c>
      <c r="I92" s="148">
        <v>6</v>
      </c>
      <c r="J92" s="148" t="s">
        <v>118</v>
      </c>
      <c r="K92" s="148" t="s">
        <v>81</v>
      </c>
      <c r="M92" s="148" t="s">
        <v>82</v>
      </c>
      <c r="N92" s="148">
        <v>8</v>
      </c>
      <c r="O92" s="148" t="s">
        <v>101</v>
      </c>
      <c r="P92" s="148" t="s">
        <v>146</v>
      </c>
      <c r="Y92" s="150" t="s">
        <v>227</v>
      </c>
    </row>
    <row r="93" spans="1:25" ht="15.75" hidden="1" customHeight="1" x14ac:dyDescent="0.25">
      <c r="A93" s="148" t="s">
        <v>76</v>
      </c>
      <c r="B93" s="148" t="s">
        <v>27</v>
      </c>
      <c r="C93" s="148" t="s">
        <v>28</v>
      </c>
      <c r="D93" s="148" t="s">
        <v>29</v>
      </c>
      <c r="E93" s="148" t="s">
        <v>30</v>
      </c>
      <c r="F93" s="148" t="s">
        <v>3183</v>
      </c>
      <c r="G93" s="148" t="s">
        <v>43</v>
      </c>
      <c r="H93" s="148">
        <v>2002</v>
      </c>
      <c r="I93" s="148">
        <v>6</v>
      </c>
      <c r="J93" s="148" t="s">
        <v>118</v>
      </c>
      <c r="K93" s="148" t="s">
        <v>81</v>
      </c>
      <c r="M93" s="148" t="s">
        <v>82</v>
      </c>
      <c r="N93" s="148">
        <v>8</v>
      </c>
      <c r="O93" s="148" t="s">
        <v>101</v>
      </c>
      <c r="P93" s="148" t="s">
        <v>146</v>
      </c>
      <c r="Y93" s="150" t="s">
        <v>228</v>
      </c>
    </row>
    <row r="94" spans="1:25" ht="15.75" hidden="1" customHeight="1" x14ac:dyDescent="0.25">
      <c r="A94" s="148" t="s">
        <v>76</v>
      </c>
      <c r="B94" s="148" t="s">
        <v>36</v>
      </c>
      <c r="C94" s="148" t="s">
        <v>28</v>
      </c>
      <c r="D94" s="148" t="s">
        <v>29</v>
      </c>
      <c r="E94" s="148" t="s">
        <v>51</v>
      </c>
      <c r="F94" s="148" t="s">
        <v>3183</v>
      </c>
      <c r="G94" s="148" t="s">
        <v>52</v>
      </c>
      <c r="H94" s="148">
        <v>2002</v>
      </c>
      <c r="I94" s="148">
        <v>6</v>
      </c>
      <c r="J94" s="148" t="s">
        <v>118</v>
      </c>
      <c r="K94" s="148" t="s">
        <v>131</v>
      </c>
      <c r="M94" s="148" t="s">
        <v>132</v>
      </c>
      <c r="N94" s="148">
        <v>8</v>
      </c>
      <c r="O94" s="148" t="s">
        <v>101</v>
      </c>
      <c r="P94" s="148" t="s">
        <v>206</v>
      </c>
      <c r="Y94" s="150" t="s">
        <v>229</v>
      </c>
    </row>
    <row r="95" spans="1:25" ht="15.75" hidden="1" customHeight="1" x14ac:dyDescent="0.25">
      <c r="A95" s="148" t="s">
        <v>76</v>
      </c>
      <c r="B95" s="148" t="s">
        <v>103</v>
      </c>
      <c r="C95" s="148" t="s">
        <v>55</v>
      </c>
      <c r="D95" s="148" t="s">
        <v>29</v>
      </c>
      <c r="E95" s="148" t="s">
        <v>30</v>
      </c>
      <c r="F95" s="148" t="s">
        <v>56</v>
      </c>
      <c r="G95" s="148" t="s">
        <v>137</v>
      </c>
      <c r="H95" s="148">
        <v>2002</v>
      </c>
      <c r="I95" s="148">
        <v>6</v>
      </c>
      <c r="J95" s="148" t="s">
        <v>150</v>
      </c>
      <c r="K95" s="148" t="s">
        <v>131</v>
      </c>
      <c r="M95" s="148" t="s">
        <v>132</v>
      </c>
      <c r="N95" s="148">
        <v>8</v>
      </c>
      <c r="O95" s="148" t="s">
        <v>83</v>
      </c>
      <c r="P95" s="148" t="s">
        <v>154</v>
      </c>
      <c r="Y95" s="150" t="s">
        <v>230</v>
      </c>
    </row>
    <row r="96" spans="1:25" ht="15.75" hidden="1" customHeight="1" x14ac:dyDescent="0.25">
      <c r="A96" s="148" t="s">
        <v>76</v>
      </c>
      <c r="B96" s="148" t="s">
        <v>44</v>
      </c>
      <c r="C96" s="148" t="s">
        <v>45</v>
      </c>
      <c r="D96" s="148" t="s">
        <v>29</v>
      </c>
      <c r="E96" s="148" t="s">
        <v>46</v>
      </c>
      <c r="F96" s="148" t="s">
        <v>47</v>
      </c>
      <c r="G96" s="148" t="s">
        <v>48</v>
      </c>
      <c r="H96" s="148">
        <v>2002</v>
      </c>
      <c r="I96" s="148">
        <v>6</v>
      </c>
      <c r="J96" s="148" t="s">
        <v>118</v>
      </c>
      <c r="K96" s="148" t="s">
        <v>81</v>
      </c>
      <c r="M96" s="148" t="s">
        <v>82</v>
      </c>
      <c r="N96" s="148">
        <v>8</v>
      </c>
      <c r="O96" s="148" t="s">
        <v>101</v>
      </c>
      <c r="P96" s="148" t="s">
        <v>140</v>
      </c>
      <c r="Y96" s="150" t="s">
        <v>231</v>
      </c>
    </row>
    <row r="97" spans="1:25" ht="15.75" hidden="1" customHeight="1" x14ac:dyDescent="0.25">
      <c r="A97" s="148" t="s">
        <v>76</v>
      </c>
      <c r="B97" s="148" t="s">
        <v>198</v>
      </c>
      <c r="C97" s="148" t="s">
        <v>45</v>
      </c>
      <c r="D97" s="148" t="s">
        <v>29</v>
      </c>
      <c r="E97" s="148" t="s">
        <v>30</v>
      </c>
      <c r="F97" s="148" t="s">
        <v>199</v>
      </c>
      <c r="G97" s="148" t="s">
        <v>232</v>
      </c>
      <c r="H97" s="148">
        <v>2002</v>
      </c>
      <c r="I97" s="148">
        <v>7</v>
      </c>
      <c r="J97" s="148" t="s">
        <v>118</v>
      </c>
      <c r="K97" s="148" t="s">
        <v>131</v>
      </c>
      <c r="M97" s="148" t="s">
        <v>132</v>
      </c>
      <c r="N97" s="148">
        <v>8</v>
      </c>
      <c r="O97" s="148" t="s">
        <v>101</v>
      </c>
      <c r="P97" s="148" t="s">
        <v>233</v>
      </c>
      <c r="Y97" s="150" t="s">
        <v>234</v>
      </c>
    </row>
    <row r="98" spans="1:25" ht="15.75" hidden="1" customHeight="1" x14ac:dyDescent="0.25">
      <c r="A98" s="148" t="s">
        <v>76</v>
      </c>
      <c r="B98" s="148" t="s">
        <v>198</v>
      </c>
      <c r="C98" s="148" t="s">
        <v>45</v>
      </c>
      <c r="D98" s="148" t="s">
        <v>29</v>
      </c>
      <c r="E98" s="148" t="s">
        <v>30</v>
      </c>
      <c r="F98" s="148" t="s">
        <v>199</v>
      </c>
      <c r="G98" s="148" t="s">
        <v>232</v>
      </c>
      <c r="H98" s="148">
        <v>2002</v>
      </c>
      <c r="I98" s="148">
        <v>7</v>
      </c>
      <c r="J98" s="148" t="s">
        <v>118</v>
      </c>
      <c r="K98" s="148" t="s">
        <v>235</v>
      </c>
      <c r="M98" s="148" t="s">
        <v>236</v>
      </c>
      <c r="N98" s="148">
        <v>6</v>
      </c>
      <c r="O98" s="148" t="s">
        <v>101</v>
      </c>
      <c r="P98" s="148" t="s">
        <v>237</v>
      </c>
      <c r="Y98" s="150" t="s">
        <v>238</v>
      </c>
    </row>
    <row r="99" spans="1:25" ht="15.75" hidden="1" customHeight="1" x14ac:dyDescent="0.25">
      <c r="A99" s="148" t="s">
        <v>76</v>
      </c>
      <c r="B99" s="148" t="s">
        <v>36</v>
      </c>
      <c r="C99" s="148" t="s">
        <v>28</v>
      </c>
      <c r="D99" s="148" t="s">
        <v>29</v>
      </c>
      <c r="E99" s="148" t="s">
        <v>30</v>
      </c>
      <c r="F99" s="148" t="s">
        <v>3183</v>
      </c>
      <c r="G99" s="148" t="s">
        <v>239</v>
      </c>
      <c r="H99" s="148">
        <v>2002</v>
      </c>
      <c r="I99" s="148">
        <v>7</v>
      </c>
      <c r="J99" s="148" t="s">
        <v>118</v>
      </c>
      <c r="K99" s="148" t="s">
        <v>81</v>
      </c>
      <c r="M99" s="148" t="s">
        <v>82</v>
      </c>
      <c r="N99" s="148">
        <v>8</v>
      </c>
      <c r="O99" s="148" t="s">
        <v>101</v>
      </c>
      <c r="P99" s="148" t="s">
        <v>212</v>
      </c>
      <c r="Y99" s="150" t="s">
        <v>240</v>
      </c>
    </row>
    <row r="100" spans="1:25" ht="15.75" hidden="1" customHeight="1" x14ac:dyDescent="0.25">
      <c r="A100" s="148" t="s">
        <v>26</v>
      </c>
      <c r="B100" s="148" t="s">
        <v>198</v>
      </c>
      <c r="C100" s="148" t="s">
        <v>45</v>
      </c>
      <c r="D100" s="148" t="s">
        <v>29</v>
      </c>
      <c r="E100" s="148" t="s">
        <v>30</v>
      </c>
      <c r="F100" s="148" t="s">
        <v>199</v>
      </c>
      <c r="G100" s="148" t="s">
        <v>241</v>
      </c>
      <c r="H100" s="148">
        <v>2002</v>
      </c>
      <c r="I100" s="148">
        <v>7</v>
      </c>
      <c r="J100" s="148" t="s">
        <v>33</v>
      </c>
      <c r="U100" s="149" t="s">
        <v>112</v>
      </c>
      <c r="V100" s="148" t="s">
        <v>3657</v>
      </c>
      <c r="W100" s="148" t="s">
        <v>49</v>
      </c>
      <c r="X100" s="148" t="s">
        <v>97</v>
      </c>
      <c r="Y100" s="150" t="s">
        <v>190</v>
      </c>
    </row>
    <row r="101" spans="1:25" ht="15.75" hidden="1" customHeight="1" x14ac:dyDescent="0.25">
      <c r="A101" s="148" t="s">
        <v>76</v>
      </c>
      <c r="B101" s="148" t="s">
        <v>36</v>
      </c>
      <c r="C101" s="148" t="s">
        <v>28</v>
      </c>
      <c r="D101" s="148" t="s">
        <v>29</v>
      </c>
      <c r="E101" s="148" t="s">
        <v>30</v>
      </c>
      <c r="F101" s="148" t="s">
        <v>3183</v>
      </c>
      <c r="G101" s="148" t="s">
        <v>242</v>
      </c>
      <c r="H101" s="148">
        <v>2002</v>
      </c>
      <c r="I101" s="148">
        <v>7</v>
      </c>
      <c r="J101" s="148" t="s">
        <v>118</v>
      </c>
      <c r="K101" s="148" t="s">
        <v>81</v>
      </c>
      <c r="M101" s="148" t="s">
        <v>82</v>
      </c>
      <c r="N101" s="148">
        <v>8</v>
      </c>
      <c r="O101" s="148" t="s">
        <v>101</v>
      </c>
      <c r="P101" s="148" t="s">
        <v>140</v>
      </c>
      <c r="Y101" s="150" t="s">
        <v>243</v>
      </c>
    </row>
    <row r="102" spans="1:25" ht="15.75" hidden="1" customHeight="1" x14ac:dyDescent="0.25">
      <c r="A102" s="148" t="s">
        <v>76</v>
      </c>
      <c r="B102" s="148" t="s">
        <v>62</v>
      </c>
      <c r="C102" s="148" t="s">
        <v>28</v>
      </c>
      <c r="D102" s="148" t="s">
        <v>29</v>
      </c>
      <c r="E102" s="148" t="s">
        <v>30</v>
      </c>
      <c r="F102" s="148" t="s">
        <v>3183</v>
      </c>
      <c r="G102" s="148" t="s">
        <v>244</v>
      </c>
      <c r="H102" s="148">
        <v>2002</v>
      </c>
      <c r="I102" s="148">
        <v>7</v>
      </c>
      <c r="J102" s="148" t="s">
        <v>150</v>
      </c>
      <c r="K102" s="148" t="s">
        <v>245</v>
      </c>
      <c r="M102" s="148" t="s">
        <v>246</v>
      </c>
      <c r="N102" s="148">
        <v>6</v>
      </c>
      <c r="O102" s="148" t="s">
        <v>83</v>
      </c>
      <c r="P102" s="148" t="s">
        <v>154</v>
      </c>
      <c r="Y102" s="150" t="s">
        <v>247</v>
      </c>
    </row>
    <row r="103" spans="1:25" ht="15.75" hidden="1" customHeight="1" x14ac:dyDescent="0.25">
      <c r="A103" s="148" t="s">
        <v>26</v>
      </c>
      <c r="B103" s="148" t="s">
        <v>198</v>
      </c>
      <c r="C103" s="148" t="s">
        <v>45</v>
      </c>
      <c r="D103" s="148" t="s">
        <v>29</v>
      </c>
      <c r="E103" s="148" t="s">
        <v>30</v>
      </c>
      <c r="F103" s="148" t="s">
        <v>199</v>
      </c>
      <c r="G103" s="148" t="s">
        <v>248</v>
      </c>
      <c r="H103" s="148">
        <v>2002</v>
      </c>
      <c r="I103" s="148">
        <v>7</v>
      </c>
      <c r="J103" s="148" t="s">
        <v>33</v>
      </c>
      <c r="U103" s="149" t="s">
        <v>112</v>
      </c>
      <c r="V103" s="148" t="s">
        <v>3657</v>
      </c>
      <c r="W103" s="148" t="s">
        <v>49</v>
      </c>
      <c r="X103" s="148" t="s">
        <v>97</v>
      </c>
      <c r="Y103" s="150" t="s">
        <v>190</v>
      </c>
    </row>
    <row r="104" spans="1:25" ht="15.75" hidden="1" customHeight="1" x14ac:dyDescent="0.25">
      <c r="A104" s="148" t="s">
        <v>76</v>
      </c>
      <c r="B104" s="148" t="s">
        <v>54</v>
      </c>
      <c r="C104" s="148" t="s">
        <v>55</v>
      </c>
      <c r="D104" s="148" t="s">
        <v>65</v>
      </c>
      <c r="E104" s="148" t="s">
        <v>30</v>
      </c>
      <c r="F104" s="148" t="s">
        <v>56</v>
      </c>
      <c r="G104" s="148" t="s">
        <v>54</v>
      </c>
      <c r="H104" s="148">
        <v>2002</v>
      </c>
      <c r="I104" s="148">
        <v>7</v>
      </c>
      <c r="J104" s="148" t="s">
        <v>118</v>
      </c>
      <c r="K104" s="148" t="s">
        <v>81</v>
      </c>
      <c r="M104" s="148" t="s">
        <v>82</v>
      </c>
      <c r="N104" s="148">
        <v>8</v>
      </c>
      <c r="O104" s="148" t="s">
        <v>101</v>
      </c>
      <c r="P104" s="148" t="s">
        <v>249</v>
      </c>
      <c r="Y104" s="150" t="s">
        <v>250</v>
      </c>
    </row>
    <row r="105" spans="1:25" ht="15.75" hidden="1" customHeight="1" x14ac:dyDescent="0.25">
      <c r="A105" s="148" t="s">
        <v>76</v>
      </c>
      <c r="B105" s="148" t="s">
        <v>62</v>
      </c>
      <c r="C105" s="148" t="s">
        <v>28</v>
      </c>
      <c r="D105" s="148" t="s">
        <v>129</v>
      </c>
      <c r="E105" s="148" t="s">
        <v>51</v>
      </c>
      <c r="F105" s="148" t="s">
        <v>3183</v>
      </c>
      <c r="G105" s="148" t="s">
        <v>130</v>
      </c>
      <c r="H105" s="148">
        <v>2002</v>
      </c>
      <c r="I105" s="148">
        <v>7</v>
      </c>
      <c r="J105" s="148" t="s">
        <v>150</v>
      </c>
      <c r="K105" s="148" t="s">
        <v>245</v>
      </c>
      <c r="M105" s="148" t="s">
        <v>246</v>
      </c>
      <c r="N105" s="148">
        <v>6</v>
      </c>
      <c r="O105" s="148" t="s">
        <v>83</v>
      </c>
      <c r="P105" s="148" t="s">
        <v>146</v>
      </c>
      <c r="Y105" s="150" t="s">
        <v>251</v>
      </c>
    </row>
    <row r="106" spans="1:25" ht="15.75" hidden="1" customHeight="1" x14ac:dyDescent="0.25">
      <c r="A106" s="148" t="s">
        <v>76</v>
      </c>
      <c r="B106" s="148" t="s">
        <v>77</v>
      </c>
      <c r="C106" s="148" t="s">
        <v>55</v>
      </c>
      <c r="D106" s="148" t="s">
        <v>29</v>
      </c>
      <c r="E106" s="148" t="s">
        <v>30</v>
      </c>
      <c r="F106" s="148" t="s">
        <v>41</v>
      </c>
      <c r="G106" s="148" t="s">
        <v>252</v>
      </c>
      <c r="H106" s="148">
        <v>2002</v>
      </c>
      <c r="I106" s="148">
        <v>7</v>
      </c>
      <c r="J106" s="148" t="s">
        <v>118</v>
      </c>
      <c r="K106" s="148" t="s">
        <v>81</v>
      </c>
      <c r="M106" s="148" t="s">
        <v>82</v>
      </c>
      <c r="N106" s="148">
        <v>8</v>
      </c>
      <c r="O106" s="148" t="s">
        <v>101</v>
      </c>
      <c r="P106" s="148" t="s">
        <v>253</v>
      </c>
      <c r="Y106" s="150" t="s">
        <v>254</v>
      </c>
    </row>
    <row r="107" spans="1:25" ht="15.75" hidden="1" customHeight="1" x14ac:dyDescent="0.25">
      <c r="A107" s="148" t="s">
        <v>76</v>
      </c>
      <c r="B107" s="148" t="s">
        <v>44</v>
      </c>
      <c r="C107" s="148" t="s">
        <v>45</v>
      </c>
      <c r="D107" s="148" t="s">
        <v>29</v>
      </c>
      <c r="E107" s="148" t="s">
        <v>46</v>
      </c>
      <c r="F107" s="148" t="s">
        <v>47</v>
      </c>
      <c r="G107" s="148" t="s">
        <v>48</v>
      </c>
      <c r="H107" s="148">
        <v>2002</v>
      </c>
      <c r="I107" s="148">
        <v>7</v>
      </c>
      <c r="J107" s="148" t="s">
        <v>118</v>
      </c>
      <c r="K107" s="148" t="s">
        <v>81</v>
      </c>
      <c r="M107" s="148" t="s">
        <v>82</v>
      </c>
      <c r="N107" s="148">
        <v>8</v>
      </c>
      <c r="O107" s="148" t="s">
        <v>101</v>
      </c>
      <c r="P107" s="148" t="s">
        <v>255</v>
      </c>
      <c r="Y107" s="150" t="s">
        <v>256</v>
      </c>
    </row>
    <row r="108" spans="1:25" ht="15.75" hidden="1" customHeight="1" x14ac:dyDescent="0.25">
      <c r="A108" s="148" t="s">
        <v>76</v>
      </c>
      <c r="B108" s="148" t="s">
        <v>198</v>
      </c>
      <c r="C108" s="148" t="s">
        <v>45</v>
      </c>
      <c r="D108" s="148" t="s">
        <v>257</v>
      </c>
      <c r="E108" s="148" t="s">
        <v>30</v>
      </c>
      <c r="F108" s="148" t="s">
        <v>199</v>
      </c>
      <c r="G108" s="148" t="s">
        <v>258</v>
      </c>
      <c r="H108" s="148">
        <v>2002</v>
      </c>
      <c r="I108" s="148">
        <v>7</v>
      </c>
      <c r="J108" s="148" t="s">
        <v>118</v>
      </c>
      <c r="K108" s="148" t="s">
        <v>119</v>
      </c>
      <c r="M108" s="148" t="s">
        <v>120</v>
      </c>
      <c r="N108" s="148">
        <v>6</v>
      </c>
      <c r="O108" s="148" t="s">
        <v>101</v>
      </c>
      <c r="P108" s="148" t="s">
        <v>121</v>
      </c>
      <c r="Y108" s="150" t="s">
        <v>259</v>
      </c>
    </row>
    <row r="109" spans="1:25" ht="15.75" hidden="1" customHeight="1" x14ac:dyDescent="0.25">
      <c r="A109" s="148" t="s">
        <v>76</v>
      </c>
      <c r="B109" s="148" t="s">
        <v>103</v>
      </c>
      <c r="C109" s="148" t="s">
        <v>55</v>
      </c>
      <c r="D109" s="148" t="s">
        <v>29</v>
      </c>
      <c r="E109" s="148" t="s">
        <v>30</v>
      </c>
      <c r="F109" s="148" t="s">
        <v>56</v>
      </c>
      <c r="G109" s="148" t="s">
        <v>260</v>
      </c>
      <c r="H109" s="148">
        <v>2002</v>
      </c>
      <c r="I109" s="148">
        <v>8</v>
      </c>
      <c r="J109" s="148" t="s">
        <v>150</v>
      </c>
      <c r="K109" s="148" t="s">
        <v>81</v>
      </c>
      <c r="M109" s="148" t="s">
        <v>82</v>
      </c>
      <c r="N109" s="148">
        <v>8</v>
      </c>
      <c r="O109" s="148" t="s">
        <v>83</v>
      </c>
      <c r="P109" s="148" t="s">
        <v>261</v>
      </c>
      <c r="Y109" s="150" t="s">
        <v>262</v>
      </c>
    </row>
    <row r="110" spans="1:25" ht="15.75" hidden="1" customHeight="1" x14ac:dyDescent="0.25">
      <c r="A110" s="148" t="s">
        <v>76</v>
      </c>
      <c r="B110" s="148" t="s">
        <v>27</v>
      </c>
      <c r="C110" s="148" t="s">
        <v>28</v>
      </c>
      <c r="D110" s="148" t="s">
        <v>29</v>
      </c>
      <c r="E110" s="148" t="s">
        <v>30</v>
      </c>
      <c r="F110" s="148" t="s">
        <v>3183</v>
      </c>
      <c r="G110" s="148" t="s">
        <v>32</v>
      </c>
      <c r="H110" s="148">
        <v>2002</v>
      </c>
      <c r="I110" s="148">
        <v>8</v>
      </c>
      <c r="J110" s="148" t="s">
        <v>118</v>
      </c>
      <c r="K110" s="148" t="s">
        <v>131</v>
      </c>
      <c r="M110" s="148" t="s">
        <v>132</v>
      </c>
      <c r="N110" s="148">
        <v>8</v>
      </c>
      <c r="O110" s="148" t="s">
        <v>101</v>
      </c>
      <c r="P110" s="148" t="s">
        <v>263</v>
      </c>
      <c r="Y110" s="150" t="s">
        <v>264</v>
      </c>
    </row>
    <row r="111" spans="1:25" ht="15.75" hidden="1" customHeight="1" x14ac:dyDescent="0.25">
      <c r="A111" s="148" t="s">
        <v>76</v>
      </c>
      <c r="B111" s="148" t="s">
        <v>103</v>
      </c>
      <c r="C111" s="148" t="s">
        <v>55</v>
      </c>
      <c r="D111" s="148" t="s">
        <v>29</v>
      </c>
      <c r="E111" s="148" t="s">
        <v>95</v>
      </c>
      <c r="F111" s="148" t="s">
        <v>56</v>
      </c>
      <c r="G111" s="148" t="s">
        <v>265</v>
      </c>
      <c r="H111" s="148">
        <v>2002</v>
      </c>
      <c r="I111" s="148">
        <v>8</v>
      </c>
      <c r="J111" s="148" t="s">
        <v>150</v>
      </c>
      <c r="K111" s="148" t="s">
        <v>235</v>
      </c>
      <c r="M111" s="148" t="s">
        <v>236</v>
      </c>
      <c r="N111" s="148">
        <v>6</v>
      </c>
      <c r="O111" s="148" t="s">
        <v>83</v>
      </c>
      <c r="P111" s="148" t="s">
        <v>164</v>
      </c>
      <c r="Y111" s="150" t="s">
        <v>266</v>
      </c>
    </row>
    <row r="112" spans="1:25" ht="15.75" hidden="1" customHeight="1" x14ac:dyDescent="0.25">
      <c r="A112" s="148" t="s">
        <v>76</v>
      </c>
      <c r="B112" s="148" t="s">
        <v>77</v>
      </c>
      <c r="C112" s="148" t="s">
        <v>55</v>
      </c>
      <c r="D112" s="148" t="s">
        <v>158</v>
      </c>
      <c r="E112" s="148" t="s">
        <v>30</v>
      </c>
      <c r="F112" s="148" t="s">
        <v>41</v>
      </c>
      <c r="G112" s="148" t="s">
        <v>159</v>
      </c>
      <c r="H112" s="148">
        <v>2002</v>
      </c>
      <c r="I112" s="148">
        <v>8</v>
      </c>
      <c r="J112" s="148" t="s">
        <v>150</v>
      </c>
      <c r="K112" s="148" t="s">
        <v>267</v>
      </c>
      <c r="M112" s="148" t="s">
        <v>268</v>
      </c>
      <c r="N112" s="148">
        <v>6</v>
      </c>
      <c r="O112" s="148" t="s">
        <v>83</v>
      </c>
      <c r="P112" s="148" t="s">
        <v>146</v>
      </c>
      <c r="Y112" s="150" t="s">
        <v>269</v>
      </c>
    </row>
    <row r="113" spans="1:25" ht="15.75" hidden="1" customHeight="1" x14ac:dyDescent="0.25">
      <c r="A113" s="148" t="s">
        <v>76</v>
      </c>
      <c r="B113" s="148" t="s">
        <v>103</v>
      </c>
      <c r="C113" s="148" t="s">
        <v>55</v>
      </c>
      <c r="D113" s="148" t="s">
        <v>29</v>
      </c>
      <c r="E113" s="148" t="s">
        <v>95</v>
      </c>
      <c r="F113" s="148" t="s">
        <v>56</v>
      </c>
      <c r="G113" s="148" t="s">
        <v>270</v>
      </c>
      <c r="H113" s="148">
        <v>2002</v>
      </c>
      <c r="I113" s="148">
        <v>8</v>
      </c>
      <c r="J113" s="148" t="s">
        <v>118</v>
      </c>
      <c r="K113" s="148" t="s">
        <v>81</v>
      </c>
      <c r="M113" s="148" t="s">
        <v>82</v>
      </c>
      <c r="N113" s="148">
        <v>8</v>
      </c>
      <c r="O113" s="148" t="s">
        <v>101</v>
      </c>
      <c r="P113" s="148" t="s">
        <v>164</v>
      </c>
      <c r="Y113" s="150" t="s">
        <v>271</v>
      </c>
    </row>
    <row r="114" spans="1:25" ht="15.75" hidden="1" customHeight="1" x14ac:dyDescent="0.25">
      <c r="A114" s="148" t="s">
        <v>76</v>
      </c>
      <c r="B114" s="148" t="s">
        <v>103</v>
      </c>
      <c r="C114" s="148" t="s">
        <v>55</v>
      </c>
      <c r="D114" s="148" t="s">
        <v>29</v>
      </c>
      <c r="E114" s="148" t="s">
        <v>95</v>
      </c>
      <c r="F114" s="148" t="s">
        <v>56</v>
      </c>
      <c r="G114" s="148" t="s">
        <v>270</v>
      </c>
      <c r="H114" s="148">
        <v>2002</v>
      </c>
      <c r="I114" s="148">
        <v>8</v>
      </c>
      <c r="J114" s="148" t="s">
        <v>150</v>
      </c>
      <c r="K114" s="148" t="s">
        <v>235</v>
      </c>
      <c r="M114" s="148" t="s">
        <v>236</v>
      </c>
      <c r="N114" s="148">
        <v>6</v>
      </c>
      <c r="O114" s="148" t="s">
        <v>83</v>
      </c>
      <c r="P114" s="148" t="s">
        <v>164</v>
      </c>
      <c r="Y114" s="150" t="s">
        <v>272</v>
      </c>
    </row>
    <row r="115" spans="1:25" ht="15.75" hidden="1" customHeight="1" x14ac:dyDescent="0.25">
      <c r="A115" s="148" t="s">
        <v>76</v>
      </c>
      <c r="B115" s="148" t="s">
        <v>62</v>
      </c>
      <c r="C115" s="148" t="s">
        <v>28</v>
      </c>
      <c r="D115" s="148" t="s">
        <v>129</v>
      </c>
      <c r="E115" s="148" t="s">
        <v>51</v>
      </c>
      <c r="F115" s="148" t="s">
        <v>3183</v>
      </c>
      <c r="G115" s="148" t="s">
        <v>130</v>
      </c>
      <c r="H115" s="148">
        <v>2002</v>
      </c>
      <c r="I115" s="148">
        <v>8</v>
      </c>
      <c r="J115" s="148" t="s">
        <v>118</v>
      </c>
      <c r="K115" s="148" t="s">
        <v>81</v>
      </c>
      <c r="M115" s="148" t="s">
        <v>82</v>
      </c>
      <c r="N115" s="148">
        <v>8</v>
      </c>
      <c r="O115" s="148" t="s">
        <v>101</v>
      </c>
      <c r="P115" s="148" t="s">
        <v>273</v>
      </c>
      <c r="Y115" s="150" t="s">
        <v>274</v>
      </c>
    </row>
    <row r="116" spans="1:25" ht="15.75" hidden="1" customHeight="1" x14ac:dyDescent="0.25">
      <c r="A116" s="148" t="s">
        <v>76</v>
      </c>
      <c r="B116" s="148" t="s">
        <v>77</v>
      </c>
      <c r="C116" s="148" t="s">
        <v>55</v>
      </c>
      <c r="D116" s="148" t="s">
        <v>29</v>
      </c>
      <c r="E116" s="148" t="s">
        <v>30</v>
      </c>
      <c r="F116" s="148" t="s">
        <v>41</v>
      </c>
      <c r="G116" s="148" t="s">
        <v>275</v>
      </c>
      <c r="H116" s="148">
        <v>2002</v>
      </c>
      <c r="I116" s="148">
        <v>8</v>
      </c>
      <c r="J116" s="148" t="s">
        <v>150</v>
      </c>
      <c r="K116" s="148" t="s">
        <v>81</v>
      </c>
      <c r="M116" s="148" t="s">
        <v>82</v>
      </c>
      <c r="N116" s="148">
        <v>8</v>
      </c>
      <c r="O116" s="148" t="s">
        <v>83</v>
      </c>
      <c r="P116" s="148" t="s">
        <v>146</v>
      </c>
      <c r="Y116" s="150" t="s">
        <v>276</v>
      </c>
    </row>
    <row r="117" spans="1:25" ht="15.75" hidden="1" customHeight="1" x14ac:dyDescent="0.25">
      <c r="A117" s="148" t="s">
        <v>76</v>
      </c>
      <c r="B117" s="148" t="s">
        <v>89</v>
      </c>
      <c r="C117" s="148" t="s">
        <v>90</v>
      </c>
      <c r="D117" s="148" t="s">
        <v>29</v>
      </c>
      <c r="E117" s="148" t="s">
        <v>30</v>
      </c>
      <c r="F117" s="148" t="s">
        <v>91</v>
      </c>
      <c r="G117" s="148" t="s">
        <v>93</v>
      </c>
      <c r="H117" s="148">
        <v>2002</v>
      </c>
      <c r="I117" s="148">
        <v>8</v>
      </c>
      <c r="J117" s="148" t="s">
        <v>118</v>
      </c>
      <c r="K117" s="148" t="s">
        <v>81</v>
      </c>
      <c r="M117" s="148" t="s">
        <v>82</v>
      </c>
      <c r="N117" s="148">
        <v>8</v>
      </c>
      <c r="O117" s="148" t="s">
        <v>101</v>
      </c>
      <c r="P117" s="148" t="s">
        <v>201</v>
      </c>
      <c r="Y117" s="150" t="s">
        <v>277</v>
      </c>
    </row>
    <row r="118" spans="1:25" ht="15.75" hidden="1" customHeight="1" x14ac:dyDescent="0.25">
      <c r="A118" s="148" t="s">
        <v>76</v>
      </c>
      <c r="B118" s="148" t="s">
        <v>44</v>
      </c>
      <c r="C118" s="148" t="s">
        <v>45</v>
      </c>
      <c r="D118" s="148" t="s">
        <v>29</v>
      </c>
      <c r="E118" s="148" t="s">
        <v>46</v>
      </c>
      <c r="F118" s="148" t="s">
        <v>47</v>
      </c>
      <c r="G118" s="148" t="s">
        <v>48</v>
      </c>
      <c r="H118" s="148">
        <v>2002</v>
      </c>
      <c r="I118" s="148">
        <v>8</v>
      </c>
      <c r="J118" s="148" t="s">
        <v>118</v>
      </c>
      <c r="K118" s="148" t="s">
        <v>81</v>
      </c>
      <c r="M118" s="148" t="s">
        <v>82</v>
      </c>
      <c r="N118" s="148">
        <v>8</v>
      </c>
      <c r="O118" s="148" t="s">
        <v>101</v>
      </c>
      <c r="P118" s="148" t="s">
        <v>278</v>
      </c>
      <c r="Y118" s="150" t="s">
        <v>279</v>
      </c>
    </row>
    <row r="119" spans="1:25" ht="15.75" hidden="1" customHeight="1" x14ac:dyDescent="0.25">
      <c r="A119" s="148" t="s">
        <v>76</v>
      </c>
      <c r="B119" s="148" t="s">
        <v>89</v>
      </c>
      <c r="C119" s="148" t="s">
        <v>90</v>
      </c>
      <c r="D119" s="148" t="s">
        <v>29</v>
      </c>
      <c r="E119" s="148" t="s">
        <v>30</v>
      </c>
      <c r="F119" s="148" t="s">
        <v>91</v>
      </c>
      <c r="G119" s="148" t="s">
        <v>280</v>
      </c>
      <c r="H119" s="148">
        <v>2002</v>
      </c>
      <c r="I119" s="148">
        <v>8</v>
      </c>
      <c r="J119" s="148" t="s">
        <v>118</v>
      </c>
      <c r="K119" s="148" t="s">
        <v>131</v>
      </c>
      <c r="M119" s="148" t="s">
        <v>132</v>
      </c>
      <c r="N119" s="148">
        <v>8</v>
      </c>
      <c r="O119" s="148" t="s">
        <v>101</v>
      </c>
      <c r="P119" s="148" t="s">
        <v>206</v>
      </c>
      <c r="Y119" s="150" t="s">
        <v>281</v>
      </c>
    </row>
    <row r="120" spans="1:25" ht="15.75" hidden="1" customHeight="1" x14ac:dyDescent="0.25">
      <c r="A120" s="148" t="s">
        <v>76</v>
      </c>
      <c r="B120" s="148" t="s">
        <v>198</v>
      </c>
      <c r="C120" s="148" t="s">
        <v>45</v>
      </c>
      <c r="D120" s="148" t="s">
        <v>94</v>
      </c>
      <c r="E120" s="148" t="s">
        <v>40</v>
      </c>
      <c r="F120" s="148" t="s">
        <v>199</v>
      </c>
      <c r="G120" s="148" t="s">
        <v>282</v>
      </c>
      <c r="H120" s="148">
        <v>2002</v>
      </c>
      <c r="I120" s="148">
        <v>9</v>
      </c>
      <c r="J120" s="148" t="s">
        <v>118</v>
      </c>
      <c r="K120" s="148" t="s">
        <v>81</v>
      </c>
      <c r="M120" s="148" t="s">
        <v>82</v>
      </c>
      <c r="N120" s="148">
        <v>8</v>
      </c>
      <c r="O120" s="148" t="s">
        <v>101</v>
      </c>
      <c r="P120" s="148" t="s">
        <v>283</v>
      </c>
      <c r="Y120" s="150" t="s">
        <v>284</v>
      </c>
    </row>
    <row r="121" spans="1:25" ht="13.5" hidden="1" customHeight="1" x14ac:dyDescent="0.25">
      <c r="A121" s="148" t="s">
        <v>76</v>
      </c>
      <c r="B121" s="148" t="s">
        <v>103</v>
      </c>
      <c r="C121" s="148" t="s">
        <v>55</v>
      </c>
      <c r="D121" s="148" t="s">
        <v>29</v>
      </c>
      <c r="E121" s="148" t="s">
        <v>30</v>
      </c>
      <c r="F121" s="148" t="s">
        <v>56</v>
      </c>
      <c r="G121" s="148" t="s">
        <v>285</v>
      </c>
      <c r="H121" s="148">
        <v>2002</v>
      </c>
      <c r="I121" s="148">
        <v>9</v>
      </c>
      <c r="J121" s="148" t="s">
        <v>118</v>
      </c>
      <c r="K121" s="148" t="s">
        <v>125</v>
      </c>
      <c r="M121" s="148" t="s">
        <v>126</v>
      </c>
      <c r="N121" s="148">
        <v>10</v>
      </c>
      <c r="O121" s="148" t="s">
        <v>101</v>
      </c>
      <c r="P121" s="148" t="s">
        <v>286</v>
      </c>
      <c r="Y121" s="150" t="s">
        <v>287</v>
      </c>
    </row>
    <row r="122" spans="1:25" ht="15.75" hidden="1" customHeight="1" x14ac:dyDescent="0.25">
      <c r="A122" s="148" t="s">
        <v>76</v>
      </c>
      <c r="B122" s="148" t="s">
        <v>89</v>
      </c>
      <c r="C122" s="148" t="s">
        <v>90</v>
      </c>
      <c r="D122" s="148" t="s">
        <v>29</v>
      </c>
      <c r="E122" s="148" t="s">
        <v>30</v>
      </c>
      <c r="F122" s="148" t="s">
        <v>91</v>
      </c>
      <c r="G122" s="148" t="s">
        <v>288</v>
      </c>
      <c r="H122" s="148">
        <v>2002</v>
      </c>
      <c r="I122" s="148">
        <v>9</v>
      </c>
      <c r="J122" s="148" t="s">
        <v>150</v>
      </c>
      <c r="K122" s="148" t="s">
        <v>289</v>
      </c>
      <c r="M122" s="148" t="s">
        <v>290</v>
      </c>
      <c r="N122" s="148">
        <v>6</v>
      </c>
      <c r="O122" s="148" t="s">
        <v>83</v>
      </c>
      <c r="P122" s="148" t="s">
        <v>146</v>
      </c>
      <c r="Y122" s="150" t="s">
        <v>291</v>
      </c>
    </row>
    <row r="123" spans="1:25" ht="13.5" hidden="1" customHeight="1" x14ac:dyDescent="0.25">
      <c r="A123" s="148" t="s">
        <v>76</v>
      </c>
      <c r="B123" s="148" t="s">
        <v>89</v>
      </c>
      <c r="C123" s="148" t="s">
        <v>90</v>
      </c>
      <c r="D123" s="148" t="s">
        <v>292</v>
      </c>
      <c r="E123" s="148" t="s">
        <v>30</v>
      </c>
      <c r="F123" s="148" t="s">
        <v>91</v>
      </c>
      <c r="G123" s="148" t="s">
        <v>293</v>
      </c>
      <c r="H123" s="148">
        <v>2002</v>
      </c>
      <c r="I123" s="148">
        <v>9</v>
      </c>
      <c r="J123" s="148" t="s">
        <v>150</v>
      </c>
      <c r="K123" s="148" t="s">
        <v>289</v>
      </c>
      <c r="M123" s="148" t="s">
        <v>290</v>
      </c>
      <c r="N123" s="148">
        <v>6</v>
      </c>
      <c r="O123" s="148" t="s">
        <v>83</v>
      </c>
      <c r="P123" s="148" t="s">
        <v>146</v>
      </c>
      <c r="Y123" s="150" t="s">
        <v>291</v>
      </c>
    </row>
    <row r="124" spans="1:25" ht="15.75" hidden="1" customHeight="1" x14ac:dyDescent="0.25">
      <c r="A124" s="148" t="s">
        <v>76</v>
      </c>
      <c r="B124" s="148" t="s">
        <v>44</v>
      </c>
      <c r="C124" s="148" t="s">
        <v>45</v>
      </c>
      <c r="D124" s="148" t="s">
        <v>94</v>
      </c>
      <c r="E124" s="148" t="s">
        <v>95</v>
      </c>
      <c r="F124" s="148" t="s">
        <v>47</v>
      </c>
      <c r="G124" s="148" t="s">
        <v>96</v>
      </c>
      <c r="H124" s="148">
        <v>2002</v>
      </c>
      <c r="I124" s="148">
        <v>9</v>
      </c>
      <c r="J124" s="148" t="s">
        <v>150</v>
      </c>
      <c r="K124" s="148" t="s">
        <v>81</v>
      </c>
      <c r="M124" s="148" t="s">
        <v>82</v>
      </c>
      <c r="N124" s="148">
        <v>8</v>
      </c>
      <c r="O124" s="148" t="s">
        <v>83</v>
      </c>
      <c r="P124" s="148" t="s">
        <v>294</v>
      </c>
      <c r="Y124" s="150" t="s">
        <v>295</v>
      </c>
    </row>
    <row r="125" spans="1:25" ht="15.75" hidden="1" customHeight="1" x14ac:dyDescent="0.25">
      <c r="A125" s="148" t="s">
        <v>76</v>
      </c>
      <c r="B125" s="148" t="s">
        <v>198</v>
      </c>
      <c r="C125" s="148" t="s">
        <v>45</v>
      </c>
      <c r="D125" s="148" t="s">
        <v>29</v>
      </c>
      <c r="E125" s="148" t="s">
        <v>30</v>
      </c>
      <c r="F125" s="148" t="s">
        <v>199</v>
      </c>
      <c r="G125" s="148" t="s">
        <v>296</v>
      </c>
      <c r="H125" s="148">
        <v>2002</v>
      </c>
      <c r="I125" s="148">
        <v>9</v>
      </c>
      <c r="J125" s="148" t="s">
        <v>118</v>
      </c>
      <c r="K125" s="148" t="s">
        <v>81</v>
      </c>
      <c r="M125" s="148" t="s">
        <v>82</v>
      </c>
      <c r="N125" s="148">
        <v>8</v>
      </c>
      <c r="O125" s="148" t="s">
        <v>101</v>
      </c>
      <c r="P125" s="148" t="s">
        <v>273</v>
      </c>
      <c r="Y125" s="150" t="s">
        <v>297</v>
      </c>
    </row>
    <row r="126" spans="1:25" ht="15.75" hidden="1" customHeight="1" x14ac:dyDescent="0.25">
      <c r="A126" s="148" t="s">
        <v>76</v>
      </c>
      <c r="B126" s="148" t="s">
        <v>89</v>
      </c>
      <c r="C126" s="148" t="s">
        <v>90</v>
      </c>
      <c r="D126" s="148" t="s">
        <v>29</v>
      </c>
      <c r="E126" s="148" t="s">
        <v>30</v>
      </c>
      <c r="F126" s="148" t="s">
        <v>91</v>
      </c>
      <c r="G126" s="148" t="s">
        <v>298</v>
      </c>
      <c r="H126" s="148">
        <v>2002</v>
      </c>
      <c r="I126" s="148">
        <v>9</v>
      </c>
      <c r="J126" s="148" t="s">
        <v>150</v>
      </c>
      <c r="K126" s="148" t="s">
        <v>289</v>
      </c>
      <c r="M126" s="148" t="s">
        <v>290</v>
      </c>
      <c r="N126" s="148">
        <v>6</v>
      </c>
      <c r="O126" s="148" t="s">
        <v>83</v>
      </c>
      <c r="P126" s="148" t="s">
        <v>146</v>
      </c>
      <c r="Y126" s="150" t="s">
        <v>291</v>
      </c>
    </row>
    <row r="127" spans="1:25" ht="15.75" hidden="1" customHeight="1" x14ac:dyDescent="0.25">
      <c r="A127" s="148" t="s">
        <v>76</v>
      </c>
      <c r="B127" s="148" t="s">
        <v>36</v>
      </c>
      <c r="C127" s="148" t="s">
        <v>28</v>
      </c>
      <c r="D127" s="148" t="s">
        <v>29</v>
      </c>
      <c r="E127" s="148" t="s">
        <v>30</v>
      </c>
      <c r="F127" s="148" t="s">
        <v>3183</v>
      </c>
      <c r="G127" s="148" t="s">
        <v>59</v>
      </c>
      <c r="H127" s="148">
        <v>2002</v>
      </c>
      <c r="I127" s="148">
        <v>9</v>
      </c>
      <c r="J127" s="148" t="s">
        <v>150</v>
      </c>
      <c r="K127" s="148" t="s">
        <v>81</v>
      </c>
      <c r="M127" s="148" t="s">
        <v>82</v>
      </c>
      <c r="N127" s="148">
        <v>8</v>
      </c>
      <c r="O127" s="148" t="s">
        <v>83</v>
      </c>
      <c r="P127" s="148" t="s">
        <v>154</v>
      </c>
      <c r="Y127" s="150" t="s">
        <v>299</v>
      </c>
    </row>
    <row r="128" spans="1:25" ht="15.75" hidden="1" customHeight="1" x14ac:dyDescent="0.25">
      <c r="A128" s="148" t="s">
        <v>76</v>
      </c>
      <c r="B128" s="148" t="s">
        <v>36</v>
      </c>
      <c r="C128" s="148" t="s">
        <v>28</v>
      </c>
      <c r="D128" s="148" t="s">
        <v>29</v>
      </c>
      <c r="E128" s="148" t="s">
        <v>51</v>
      </c>
      <c r="F128" s="148" t="s">
        <v>3183</v>
      </c>
      <c r="G128" s="148" t="s">
        <v>69</v>
      </c>
      <c r="H128" s="148">
        <v>2002</v>
      </c>
      <c r="I128" s="148">
        <v>9</v>
      </c>
      <c r="J128" s="148" t="s">
        <v>118</v>
      </c>
      <c r="K128" s="148" t="s">
        <v>81</v>
      </c>
      <c r="M128" s="148" t="s">
        <v>82</v>
      </c>
      <c r="N128" s="148">
        <v>8</v>
      </c>
      <c r="O128" s="148" t="s">
        <v>101</v>
      </c>
      <c r="P128" s="148" t="s">
        <v>154</v>
      </c>
      <c r="Y128" s="150" t="s">
        <v>300</v>
      </c>
    </row>
    <row r="129" spans="1:26" ht="15.75" hidden="1" customHeight="1" x14ac:dyDescent="0.25">
      <c r="A129" s="148" t="s">
        <v>76</v>
      </c>
      <c r="B129" s="148" t="s">
        <v>71</v>
      </c>
      <c r="C129" s="148" t="s">
        <v>45</v>
      </c>
      <c r="D129" s="148" t="s">
        <v>29</v>
      </c>
      <c r="E129" s="148" t="s">
        <v>72</v>
      </c>
      <c r="F129" s="148" t="s">
        <v>3183</v>
      </c>
      <c r="G129" s="148" t="s">
        <v>73</v>
      </c>
      <c r="H129" s="148">
        <v>2002</v>
      </c>
      <c r="I129" s="148">
        <v>10</v>
      </c>
      <c r="J129" s="148" t="s">
        <v>118</v>
      </c>
      <c r="K129" s="148" t="s">
        <v>119</v>
      </c>
      <c r="M129" s="148" t="s">
        <v>120</v>
      </c>
      <c r="N129" s="148">
        <v>6</v>
      </c>
      <c r="O129" s="148" t="s">
        <v>101</v>
      </c>
      <c r="P129" s="148" t="s">
        <v>301</v>
      </c>
      <c r="Y129" s="150" t="s">
        <v>302</v>
      </c>
    </row>
    <row r="130" spans="1:26" ht="15.75" hidden="1" customHeight="1" x14ac:dyDescent="0.25">
      <c r="A130" s="148" t="s">
        <v>76</v>
      </c>
      <c r="B130" s="148" t="s">
        <v>103</v>
      </c>
      <c r="C130" s="148" t="s">
        <v>55</v>
      </c>
      <c r="D130" s="148" t="s">
        <v>29</v>
      </c>
      <c r="E130" s="148" t="s">
        <v>95</v>
      </c>
      <c r="F130" s="148" t="s">
        <v>56</v>
      </c>
      <c r="G130" s="148" t="s">
        <v>303</v>
      </c>
      <c r="H130" s="148">
        <v>2002</v>
      </c>
      <c r="I130" s="148">
        <v>10</v>
      </c>
      <c r="J130" s="148" t="s">
        <v>118</v>
      </c>
      <c r="K130" s="148" t="s">
        <v>81</v>
      </c>
      <c r="M130" s="148" t="s">
        <v>82</v>
      </c>
      <c r="N130" s="148">
        <v>8</v>
      </c>
      <c r="O130" s="148" t="s">
        <v>101</v>
      </c>
      <c r="P130" s="148" t="s">
        <v>146</v>
      </c>
      <c r="Y130" s="150" t="s">
        <v>304</v>
      </c>
    </row>
    <row r="131" spans="1:26" ht="15.75" hidden="1" customHeight="1" x14ac:dyDescent="0.25">
      <c r="A131" s="148" t="s">
        <v>76</v>
      </c>
      <c r="B131" s="148" t="s">
        <v>103</v>
      </c>
      <c r="C131" s="148" t="s">
        <v>55</v>
      </c>
      <c r="D131" s="148" t="s">
        <v>29</v>
      </c>
      <c r="E131" s="148" t="s">
        <v>95</v>
      </c>
      <c r="F131" s="148" t="s">
        <v>56</v>
      </c>
      <c r="G131" s="148" t="s">
        <v>176</v>
      </c>
      <c r="H131" s="148">
        <v>2002</v>
      </c>
      <c r="I131" s="148">
        <v>10</v>
      </c>
      <c r="J131" s="148" t="s">
        <v>118</v>
      </c>
      <c r="K131" s="148" t="s">
        <v>81</v>
      </c>
      <c r="M131" s="148" t="s">
        <v>82</v>
      </c>
      <c r="N131" s="148">
        <v>8</v>
      </c>
      <c r="O131" s="148" t="s">
        <v>101</v>
      </c>
      <c r="P131" s="148" t="s">
        <v>151</v>
      </c>
      <c r="Y131" s="150" t="s">
        <v>305</v>
      </c>
    </row>
    <row r="132" spans="1:26" ht="15.75" hidden="1" customHeight="1" x14ac:dyDescent="0.25">
      <c r="A132" s="148" t="s">
        <v>76</v>
      </c>
      <c r="B132" s="148" t="s">
        <v>103</v>
      </c>
      <c r="C132" s="148" t="s">
        <v>55</v>
      </c>
      <c r="D132" s="148" t="s">
        <v>29</v>
      </c>
      <c r="E132" s="148" t="s">
        <v>95</v>
      </c>
      <c r="F132" s="148" t="s">
        <v>56</v>
      </c>
      <c r="G132" s="148" t="s">
        <v>107</v>
      </c>
      <c r="H132" s="148">
        <v>2002</v>
      </c>
      <c r="I132" s="148">
        <v>10</v>
      </c>
      <c r="J132" s="148" t="s">
        <v>118</v>
      </c>
      <c r="K132" s="148" t="s">
        <v>81</v>
      </c>
      <c r="M132" s="148" t="s">
        <v>82</v>
      </c>
      <c r="N132" s="148">
        <v>8</v>
      </c>
      <c r="O132" s="148" t="s">
        <v>101</v>
      </c>
      <c r="P132" s="148" t="s">
        <v>273</v>
      </c>
      <c r="Y132" s="150" t="s">
        <v>306</v>
      </c>
    </row>
    <row r="133" spans="1:26" ht="15.75" hidden="1" customHeight="1" x14ac:dyDescent="0.25">
      <c r="A133" s="148" t="s">
        <v>307</v>
      </c>
      <c r="B133" s="148" t="s">
        <v>77</v>
      </c>
      <c r="C133" s="148" t="s">
        <v>55</v>
      </c>
      <c r="D133" s="148" t="s">
        <v>29</v>
      </c>
      <c r="E133" s="148" t="s">
        <v>30</v>
      </c>
      <c r="F133" s="148" t="s">
        <v>41</v>
      </c>
      <c r="G133" s="148" t="s">
        <v>161</v>
      </c>
      <c r="H133" s="148">
        <v>2002</v>
      </c>
      <c r="I133" s="148">
        <v>10</v>
      </c>
      <c r="J133" s="148" t="s">
        <v>308</v>
      </c>
      <c r="Q133" s="148" t="s">
        <v>309</v>
      </c>
      <c r="R133" s="148" t="s">
        <v>310</v>
      </c>
      <c r="S133" s="148" t="s">
        <v>311</v>
      </c>
      <c r="Y133" s="150" t="s">
        <v>312</v>
      </c>
      <c r="Z133" s="148" t="s">
        <v>313</v>
      </c>
    </row>
    <row r="134" spans="1:26" ht="15.75" hidden="1" customHeight="1" x14ac:dyDescent="0.25">
      <c r="A134" s="148" t="s">
        <v>76</v>
      </c>
      <c r="B134" s="148" t="s">
        <v>27</v>
      </c>
      <c r="C134" s="148" t="s">
        <v>28</v>
      </c>
      <c r="D134" s="148" t="s">
        <v>99</v>
      </c>
      <c r="E134" s="148" t="s">
        <v>40</v>
      </c>
      <c r="F134" s="148" t="s">
        <v>41</v>
      </c>
      <c r="G134" s="148" t="s">
        <v>42</v>
      </c>
      <c r="H134" s="148">
        <v>2002</v>
      </c>
      <c r="I134" s="148">
        <v>10</v>
      </c>
      <c r="J134" s="148" t="s">
        <v>118</v>
      </c>
      <c r="K134" s="148" t="s">
        <v>131</v>
      </c>
      <c r="M134" s="148" t="s">
        <v>132</v>
      </c>
      <c r="N134" s="148">
        <v>8</v>
      </c>
      <c r="O134" s="148" t="s">
        <v>101</v>
      </c>
      <c r="P134" s="148" t="s">
        <v>253</v>
      </c>
      <c r="Y134" s="150" t="s">
        <v>314</v>
      </c>
    </row>
    <row r="135" spans="1:26" ht="15.75" hidden="1" customHeight="1" x14ac:dyDescent="0.25">
      <c r="A135" s="148" t="s">
        <v>76</v>
      </c>
      <c r="B135" s="148" t="s">
        <v>103</v>
      </c>
      <c r="C135" s="148" t="s">
        <v>55</v>
      </c>
      <c r="D135" s="148" t="s">
        <v>29</v>
      </c>
      <c r="E135" s="148" t="s">
        <v>95</v>
      </c>
      <c r="F135" s="148" t="s">
        <v>56</v>
      </c>
      <c r="G135" s="148" t="s">
        <v>168</v>
      </c>
      <c r="H135" s="148">
        <v>2002</v>
      </c>
      <c r="I135" s="148">
        <v>10</v>
      </c>
      <c r="J135" s="148" t="s">
        <v>118</v>
      </c>
      <c r="K135" s="148" t="s">
        <v>131</v>
      </c>
      <c r="M135" s="148" t="s">
        <v>132</v>
      </c>
      <c r="N135" s="148">
        <v>8</v>
      </c>
      <c r="O135" s="148" t="s">
        <v>101</v>
      </c>
      <c r="P135" s="148" t="s">
        <v>315</v>
      </c>
      <c r="Y135" s="150" t="s">
        <v>316</v>
      </c>
    </row>
    <row r="136" spans="1:26" ht="15.75" hidden="1" customHeight="1" x14ac:dyDescent="0.25">
      <c r="A136" s="148" t="s">
        <v>76</v>
      </c>
      <c r="B136" s="148" t="s">
        <v>62</v>
      </c>
      <c r="C136" s="148" t="s">
        <v>28</v>
      </c>
      <c r="D136" s="148" t="s">
        <v>129</v>
      </c>
      <c r="E136" s="148" t="s">
        <v>51</v>
      </c>
      <c r="F136" s="148" t="s">
        <v>3183</v>
      </c>
      <c r="G136" s="148" t="s">
        <v>130</v>
      </c>
      <c r="H136" s="148">
        <v>2002</v>
      </c>
      <c r="I136" s="148">
        <v>10</v>
      </c>
      <c r="J136" s="148" t="s">
        <v>118</v>
      </c>
      <c r="K136" s="148" t="s">
        <v>131</v>
      </c>
      <c r="M136" s="148" t="s">
        <v>132</v>
      </c>
      <c r="N136" s="148">
        <v>8</v>
      </c>
      <c r="O136" s="148" t="s">
        <v>101</v>
      </c>
      <c r="P136" s="148" t="s">
        <v>146</v>
      </c>
      <c r="Y136" s="150" t="s">
        <v>317</v>
      </c>
    </row>
    <row r="137" spans="1:26" ht="15.75" hidden="1" customHeight="1" x14ac:dyDescent="0.25">
      <c r="A137" s="148" t="s">
        <v>76</v>
      </c>
      <c r="B137" s="148" t="s">
        <v>103</v>
      </c>
      <c r="C137" s="148" t="s">
        <v>55</v>
      </c>
      <c r="D137" s="148" t="s">
        <v>29</v>
      </c>
      <c r="E137" s="148" t="s">
        <v>95</v>
      </c>
      <c r="F137" s="148" t="s">
        <v>56</v>
      </c>
      <c r="G137" s="148" t="s">
        <v>108</v>
      </c>
      <c r="H137" s="148">
        <v>2002</v>
      </c>
      <c r="I137" s="148">
        <v>10</v>
      </c>
      <c r="J137" s="148" t="s">
        <v>118</v>
      </c>
      <c r="K137" s="148" t="s">
        <v>119</v>
      </c>
      <c r="M137" s="148" t="s">
        <v>120</v>
      </c>
      <c r="N137" s="148">
        <v>6</v>
      </c>
      <c r="O137" s="148" t="s">
        <v>101</v>
      </c>
      <c r="P137" s="148" t="s">
        <v>318</v>
      </c>
      <c r="Y137" s="150" t="s">
        <v>319</v>
      </c>
    </row>
    <row r="138" spans="1:26" ht="15.75" hidden="1" customHeight="1" x14ac:dyDescent="0.25">
      <c r="A138" s="148" t="s">
        <v>76</v>
      </c>
      <c r="B138" s="148" t="s">
        <v>44</v>
      </c>
      <c r="C138" s="148" t="s">
        <v>45</v>
      </c>
      <c r="D138" s="148" t="s">
        <v>29</v>
      </c>
      <c r="E138" s="148" t="s">
        <v>46</v>
      </c>
      <c r="F138" s="148" t="s">
        <v>47</v>
      </c>
      <c r="G138" s="148" t="s">
        <v>48</v>
      </c>
      <c r="H138" s="148">
        <v>2002</v>
      </c>
      <c r="I138" s="148">
        <v>10</v>
      </c>
      <c r="J138" s="148" t="s">
        <v>118</v>
      </c>
      <c r="K138" s="148" t="s">
        <v>81</v>
      </c>
      <c r="M138" s="148" t="s">
        <v>82</v>
      </c>
      <c r="N138" s="148">
        <v>8</v>
      </c>
      <c r="O138" s="148" t="s">
        <v>101</v>
      </c>
      <c r="P138" s="148" t="s">
        <v>320</v>
      </c>
      <c r="Y138" s="150" t="s">
        <v>321</v>
      </c>
    </row>
    <row r="139" spans="1:26" ht="15.75" hidden="1" customHeight="1" x14ac:dyDescent="0.25">
      <c r="A139" s="148" t="s">
        <v>76</v>
      </c>
      <c r="B139" s="148" t="s">
        <v>36</v>
      </c>
      <c r="C139" s="148" t="s">
        <v>28</v>
      </c>
      <c r="D139" s="148" t="s">
        <v>29</v>
      </c>
      <c r="E139" s="148" t="s">
        <v>30</v>
      </c>
      <c r="F139" s="148" t="s">
        <v>3183</v>
      </c>
      <c r="G139" s="148" t="s">
        <v>114</v>
      </c>
      <c r="H139" s="148">
        <v>2002</v>
      </c>
      <c r="I139" s="148">
        <v>10</v>
      </c>
      <c r="J139" s="148" t="s">
        <v>118</v>
      </c>
      <c r="K139" s="148" t="s">
        <v>125</v>
      </c>
      <c r="M139" s="148" t="s">
        <v>126</v>
      </c>
      <c r="N139" s="148">
        <v>10</v>
      </c>
      <c r="O139" s="148" t="s">
        <v>101</v>
      </c>
      <c r="P139" s="148" t="s">
        <v>322</v>
      </c>
      <c r="Y139" s="150" t="s">
        <v>323</v>
      </c>
    </row>
    <row r="140" spans="1:26" ht="15.75" hidden="1" customHeight="1" x14ac:dyDescent="0.25">
      <c r="A140" s="148" t="s">
        <v>76</v>
      </c>
      <c r="B140" s="148" t="s">
        <v>198</v>
      </c>
      <c r="C140" s="148" t="s">
        <v>45</v>
      </c>
      <c r="D140" s="148" t="s">
        <v>29</v>
      </c>
      <c r="E140" s="148" t="s">
        <v>30</v>
      </c>
      <c r="F140" s="148" t="s">
        <v>199</v>
      </c>
      <c r="G140" s="148" t="s">
        <v>296</v>
      </c>
      <c r="H140" s="148">
        <v>2002</v>
      </c>
      <c r="I140" s="148">
        <v>11</v>
      </c>
      <c r="J140" s="148" t="s">
        <v>118</v>
      </c>
      <c r="K140" s="148" t="s">
        <v>81</v>
      </c>
      <c r="M140" s="148" t="s">
        <v>82</v>
      </c>
      <c r="N140" s="148">
        <v>8</v>
      </c>
      <c r="O140" s="148" t="s">
        <v>101</v>
      </c>
      <c r="P140" s="148" t="s">
        <v>237</v>
      </c>
      <c r="Y140" s="150" t="s">
        <v>324</v>
      </c>
    </row>
    <row r="141" spans="1:26" ht="15.75" hidden="1" customHeight="1" x14ac:dyDescent="0.25">
      <c r="A141" s="148" t="s">
        <v>76</v>
      </c>
      <c r="B141" s="148" t="s">
        <v>103</v>
      </c>
      <c r="C141" s="148" t="s">
        <v>55</v>
      </c>
      <c r="D141" s="148" t="s">
        <v>29</v>
      </c>
      <c r="E141" s="148" t="s">
        <v>95</v>
      </c>
      <c r="F141" s="148" t="s">
        <v>56</v>
      </c>
      <c r="G141" s="148" t="s">
        <v>176</v>
      </c>
      <c r="H141" s="148">
        <v>2002</v>
      </c>
      <c r="I141" s="148">
        <v>11</v>
      </c>
      <c r="J141" s="148" t="s">
        <v>118</v>
      </c>
      <c r="K141" s="148" t="s">
        <v>119</v>
      </c>
      <c r="M141" s="148" t="s">
        <v>120</v>
      </c>
      <c r="N141" s="148">
        <v>6</v>
      </c>
      <c r="O141" s="148" t="s">
        <v>101</v>
      </c>
      <c r="P141" s="148" t="s">
        <v>325</v>
      </c>
      <c r="Y141" s="150" t="s">
        <v>326</v>
      </c>
    </row>
    <row r="142" spans="1:26" ht="15.75" hidden="1" customHeight="1" x14ac:dyDescent="0.25">
      <c r="A142" s="148" t="s">
        <v>76</v>
      </c>
      <c r="B142" s="148" t="s">
        <v>27</v>
      </c>
      <c r="C142" s="148" t="s">
        <v>28</v>
      </c>
      <c r="D142" s="148" t="s">
        <v>29</v>
      </c>
      <c r="E142" s="148" t="s">
        <v>30</v>
      </c>
      <c r="F142" s="148" t="s">
        <v>3183</v>
      </c>
      <c r="G142" s="148" t="s">
        <v>53</v>
      </c>
      <c r="H142" s="148">
        <v>2002</v>
      </c>
      <c r="I142" s="148">
        <v>11</v>
      </c>
      <c r="J142" s="148" t="s">
        <v>118</v>
      </c>
      <c r="K142" s="148" t="s">
        <v>327</v>
      </c>
      <c r="M142" s="148" t="s">
        <v>132</v>
      </c>
      <c r="N142" s="148">
        <v>8</v>
      </c>
      <c r="O142" s="148" t="s">
        <v>101</v>
      </c>
      <c r="P142" s="148" t="s">
        <v>215</v>
      </c>
      <c r="Y142" s="150" t="s">
        <v>328</v>
      </c>
    </row>
    <row r="143" spans="1:26" ht="15.75" hidden="1" customHeight="1" x14ac:dyDescent="0.25">
      <c r="A143" s="148" t="s">
        <v>76</v>
      </c>
      <c r="B143" s="148" t="s">
        <v>89</v>
      </c>
      <c r="C143" s="148" t="s">
        <v>90</v>
      </c>
      <c r="D143" s="148" t="s">
        <v>29</v>
      </c>
      <c r="E143" s="148" t="s">
        <v>30</v>
      </c>
      <c r="F143" s="148" t="s">
        <v>91</v>
      </c>
      <c r="G143" s="148" t="s">
        <v>329</v>
      </c>
      <c r="H143" s="148">
        <v>2002</v>
      </c>
      <c r="I143" s="148">
        <v>11</v>
      </c>
      <c r="J143" s="148" t="s">
        <v>118</v>
      </c>
      <c r="K143" s="148" t="s">
        <v>327</v>
      </c>
      <c r="M143" s="148" t="s">
        <v>132</v>
      </c>
      <c r="N143" s="148">
        <v>8</v>
      </c>
      <c r="O143" s="148" t="s">
        <v>101</v>
      </c>
      <c r="P143" s="148" t="s">
        <v>164</v>
      </c>
      <c r="Y143" s="150" t="s">
        <v>330</v>
      </c>
    </row>
    <row r="144" spans="1:26" ht="15.75" hidden="1" customHeight="1" x14ac:dyDescent="0.25">
      <c r="A144" s="148" t="s">
        <v>76</v>
      </c>
      <c r="B144" s="148" t="s">
        <v>62</v>
      </c>
      <c r="C144" s="148" t="s">
        <v>28</v>
      </c>
      <c r="D144" s="148" t="s">
        <v>51</v>
      </c>
      <c r="E144" s="148" t="s">
        <v>30</v>
      </c>
      <c r="F144" s="148" t="s">
        <v>3183</v>
      </c>
      <c r="G144" s="148" t="s">
        <v>63</v>
      </c>
      <c r="H144" s="148">
        <v>2002</v>
      </c>
      <c r="I144" s="148">
        <v>11</v>
      </c>
      <c r="J144" s="148" t="s">
        <v>118</v>
      </c>
      <c r="K144" s="148" t="s">
        <v>81</v>
      </c>
      <c r="M144" s="148" t="s">
        <v>82</v>
      </c>
      <c r="N144" s="148">
        <v>8</v>
      </c>
      <c r="O144" s="148" t="s">
        <v>101</v>
      </c>
      <c r="P144" s="148" t="s">
        <v>331</v>
      </c>
      <c r="Y144" s="150" t="s">
        <v>332</v>
      </c>
    </row>
    <row r="145" spans="1:25" ht="15.75" hidden="1" customHeight="1" x14ac:dyDescent="0.25">
      <c r="A145" s="148" t="s">
        <v>76</v>
      </c>
      <c r="B145" s="148" t="s">
        <v>27</v>
      </c>
      <c r="C145" s="148" t="s">
        <v>28</v>
      </c>
      <c r="D145" s="148" t="s">
        <v>99</v>
      </c>
      <c r="E145" s="148" t="s">
        <v>40</v>
      </c>
      <c r="F145" s="148" t="s">
        <v>41</v>
      </c>
      <c r="G145" s="148" t="s">
        <v>42</v>
      </c>
      <c r="H145" s="148">
        <v>2002</v>
      </c>
      <c r="I145" s="148">
        <v>11</v>
      </c>
      <c r="J145" s="148" t="s">
        <v>118</v>
      </c>
      <c r="K145" s="148" t="s">
        <v>327</v>
      </c>
      <c r="M145" s="148" t="s">
        <v>132</v>
      </c>
      <c r="N145" s="148">
        <v>8</v>
      </c>
      <c r="O145" s="148" t="s">
        <v>101</v>
      </c>
      <c r="P145" s="148" t="s">
        <v>164</v>
      </c>
      <c r="Y145" s="150" t="s">
        <v>333</v>
      </c>
    </row>
    <row r="146" spans="1:25" ht="15.75" customHeight="1" x14ac:dyDescent="0.25">
      <c r="A146" s="148" t="s">
        <v>76</v>
      </c>
      <c r="B146" s="148" t="s">
        <v>36</v>
      </c>
      <c r="C146" s="148" t="s">
        <v>28</v>
      </c>
      <c r="D146" s="148" t="s">
        <v>29</v>
      </c>
      <c r="E146" s="148" t="s">
        <v>30</v>
      </c>
      <c r="F146" s="148" t="s">
        <v>3183</v>
      </c>
      <c r="G146" s="148" t="s">
        <v>194</v>
      </c>
      <c r="H146" s="148">
        <v>2002</v>
      </c>
      <c r="I146" s="148">
        <v>11</v>
      </c>
      <c r="J146" s="148" t="s">
        <v>118</v>
      </c>
      <c r="K146" s="148" t="s">
        <v>81</v>
      </c>
      <c r="M146" s="148" t="s">
        <v>82</v>
      </c>
      <c r="N146" s="148">
        <v>8</v>
      </c>
      <c r="O146" s="148" t="s">
        <v>101</v>
      </c>
      <c r="P146" s="148" t="s">
        <v>334</v>
      </c>
      <c r="Y146" s="150" t="s">
        <v>335</v>
      </c>
    </row>
    <row r="147" spans="1:25" ht="15.75" hidden="1" customHeight="1" x14ac:dyDescent="0.25">
      <c r="A147" s="148" t="s">
        <v>76</v>
      </c>
      <c r="B147" s="148" t="s">
        <v>89</v>
      </c>
      <c r="C147" s="148" t="s">
        <v>90</v>
      </c>
      <c r="D147" s="148" t="s">
        <v>29</v>
      </c>
      <c r="E147" s="148" t="s">
        <v>30</v>
      </c>
      <c r="F147" s="148" t="s">
        <v>91</v>
      </c>
      <c r="G147" s="148" t="s">
        <v>92</v>
      </c>
      <c r="H147" s="148">
        <v>2002</v>
      </c>
      <c r="I147" s="148">
        <v>11</v>
      </c>
      <c r="J147" s="148" t="s">
        <v>118</v>
      </c>
      <c r="K147" s="148" t="s">
        <v>119</v>
      </c>
      <c r="M147" s="148" t="s">
        <v>120</v>
      </c>
      <c r="N147" s="148">
        <v>6</v>
      </c>
      <c r="O147" s="148" t="s">
        <v>101</v>
      </c>
      <c r="P147" s="148" t="s">
        <v>336</v>
      </c>
      <c r="Y147" s="150" t="s">
        <v>337</v>
      </c>
    </row>
    <row r="148" spans="1:25" ht="15.75" hidden="1" customHeight="1" x14ac:dyDescent="0.25">
      <c r="A148" s="148" t="s">
        <v>76</v>
      </c>
      <c r="B148" s="148" t="s">
        <v>103</v>
      </c>
      <c r="C148" s="148" t="s">
        <v>55</v>
      </c>
      <c r="D148" s="148" t="s">
        <v>29</v>
      </c>
      <c r="E148" s="148" t="s">
        <v>95</v>
      </c>
      <c r="F148" s="148" t="s">
        <v>56</v>
      </c>
      <c r="G148" s="148" t="s">
        <v>338</v>
      </c>
      <c r="H148" s="148">
        <v>2002</v>
      </c>
      <c r="I148" s="148">
        <v>11</v>
      </c>
      <c r="J148" s="148" t="s">
        <v>118</v>
      </c>
      <c r="K148" s="148" t="s">
        <v>119</v>
      </c>
      <c r="M148" s="148" t="s">
        <v>120</v>
      </c>
      <c r="N148" s="148">
        <v>6</v>
      </c>
      <c r="O148" s="148" t="s">
        <v>101</v>
      </c>
      <c r="P148" s="148" t="s">
        <v>339</v>
      </c>
      <c r="Y148" s="150" t="s">
        <v>326</v>
      </c>
    </row>
    <row r="149" spans="1:25" ht="15.75" hidden="1" customHeight="1" x14ac:dyDescent="0.25">
      <c r="A149" s="148" t="s">
        <v>76</v>
      </c>
      <c r="B149" s="148" t="s">
        <v>44</v>
      </c>
      <c r="C149" s="148" t="s">
        <v>45</v>
      </c>
      <c r="D149" s="148" t="s">
        <v>29</v>
      </c>
      <c r="E149" s="148" t="s">
        <v>46</v>
      </c>
      <c r="F149" s="148" t="s">
        <v>47</v>
      </c>
      <c r="G149" s="148" t="s">
        <v>48</v>
      </c>
      <c r="H149" s="148">
        <v>2002</v>
      </c>
      <c r="I149" s="148">
        <v>11</v>
      </c>
      <c r="J149" s="148" t="s">
        <v>118</v>
      </c>
      <c r="K149" s="148" t="s">
        <v>81</v>
      </c>
      <c r="M149" s="148" t="s">
        <v>82</v>
      </c>
      <c r="N149" s="148">
        <v>8</v>
      </c>
      <c r="O149" s="148" t="s">
        <v>101</v>
      </c>
      <c r="P149" s="148" t="s">
        <v>340</v>
      </c>
      <c r="Y149" s="150" t="s">
        <v>341</v>
      </c>
    </row>
    <row r="150" spans="1:25" ht="15.75" hidden="1" customHeight="1" x14ac:dyDescent="0.25">
      <c r="A150" s="148" t="s">
        <v>76</v>
      </c>
      <c r="B150" s="148" t="s">
        <v>89</v>
      </c>
      <c r="C150" s="148" t="s">
        <v>90</v>
      </c>
      <c r="D150" s="148" t="s">
        <v>342</v>
      </c>
      <c r="E150" s="148" t="s">
        <v>30</v>
      </c>
      <c r="F150" s="148" t="s">
        <v>91</v>
      </c>
      <c r="G150" s="148" t="s">
        <v>343</v>
      </c>
      <c r="H150" s="148">
        <v>2002</v>
      </c>
      <c r="I150" s="148">
        <v>12</v>
      </c>
      <c r="J150" s="148" t="s">
        <v>118</v>
      </c>
      <c r="K150" s="148" t="s">
        <v>81</v>
      </c>
      <c r="M150" s="148" t="s">
        <v>82</v>
      </c>
      <c r="N150" s="148">
        <v>8</v>
      </c>
      <c r="O150" s="148" t="s">
        <v>101</v>
      </c>
      <c r="P150" s="148" t="s">
        <v>146</v>
      </c>
      <c r="Y150" s="150" t="s">
        <v>344</v>
      </c>
    </row>
    <row r="151" spans="1:25" ht="15.75" hidden="1" customHeight="1" x14ac:dyDescent="0.25">
      <c r="A151" s="148" t="s">
        <v>76</v>
      </c>
      <c r="B151" s="148" t="s">
        <v>116</v>
      </c>
      <c r="C151" s="148" t="s">
        <v>90</v>
      </c>
      <c r="D151" s="148" t="s">
        <v>29</v>
      </c>
      <c r="E151" s="148" t="s">
        <v>40</v>
      </c>
      <c r="F151" s="148" t="s">
        <v>41</v>
      </c>
      <c r="G151" s="148" t="s">
        <v>345</v>
      </c>
      <c r="H151" s="148">
        <v>2002</v>
      </c>
      <c r="I151" s="148">
        <v>12</v>
      </c>
      <c r="J151" s="148" t="s">
        <v>118</v>
      </c>
      <c r="K151" s="148" t="s">
        <v>172</v>
      </c>
      <c r="M151" s="148" t="s">
        <v>346</v>
      </c>
      <c r="N151" s="148">
        <v>10</v>
      </c>
      <c r="O151" s="148" t="s">
        <v>101</v>
      </c>
      <c r="P151" s="148" t="s">
        <v>347</v>
      </c>
      <c r="Y151" s="150" t="s">
        <v>348</v>
      </c>
    </row>
    <row r="152" spans="1:25" ht="15.75" hidden="1" customHeight="1" x14ac:dyDescent="0.25">
      <c r="A152" s="148" t="s">
        <v>76</v>
      </c>
      <c r="B152" s="148" t="s">
        <v>36</v>
      </c>
      <c r="C152" s="148" t="s">
        <v>28</v>
      </c>
      <c r="D152" s="148" t="s">
        <v>29</v>
      </c>
      <c r="E152" s="148" t="s">
        <v>30</v>
      </c>
      <c r="F152" s="148" t="s">
        <v>3183</v>
      </c>
      <c r="G152" s="148" t="s">
        <v>242</v>
      </c>
      <c r="H152" s="148">
        <v>2002</v>
      </c>
      <c r="I152" s="148">
        <v>12</v>
      </c>
      <c r="J152" s="148" t="s">
        <v>118</v>
      </c>
      <c r="K152" s="148" t="s">
        <v>81</v>
      </c>
      <c r="M152" s="148" t="s">
        <v>82</v>
      </c>
      <c r="N152" s="148">
        <v>8</v>
      </c>
      <c r="O152" s="148" t="s">
        <v>101</v>
      </c>
      <c r="P152" s="148" t="s">
        <v>146</v>
      </c>
      <c r="Y152" s="150" t="s">
        <v>349</v>
      </c>
    </row>
    <row r="153" spans="1:25" ht="15.75" hidden="1" customHeight="1" x14ac:dyDescent="0.25">
      <c r="A153" s="148" t="s">
        <v>76</v>
      </c>
      <c r="B153" s="148" t="s">
        <v>62</v>
      </c>
      <c r="C153" s="148" t="s">
        <v>28</v>
      </c>
      <c r="D153" s="148" t="s">
        <v>29</v>
      </c>
      <c r="E153" s="148" t="s">
        <v>30</v>
      </c>
      <c r="F153" s="148" t="s">
        <v>3183</v>
      </c>
      <c r="G153" s="148" t="s">
        <v>244</v>
      </c>
      <c r="H153" s="148">
        <v>2002</v>
      </c>
      <c r="I153" s="148">
        <v>12</v>
      </c>
      <c r="J153" s="148" t="s">
        <v>118</v>
      </c>
      <c r="K153" s="148" t="s">
        <v>81</v>
      </c>
      <c r="M153" s="148" t="s">
        <v>82</v>
      </c>
      <c r="N153" s="148">
        <v>8</v>
      </c>
      <c r="O153" s="148" t="s">
        <v>101</v>
      </c>
      <c r="P153" s="148" t="s">
        <v>146</v>
      </c>
      <c r="Y153" s="150" t="s">
        <v>350</v>
      </c>
    </row>
    <row r="154" spans="1:25" ht="15.75" hidden="1" customHeight="1" x14ac:dyDescent="0.25">
      <c r="A154" s="148" t="s">
        <v>76</v>
      </c>
      <c r="B154" s="148" t="s">
        <v>36</v>
      </c>
      <c r="C154" s="148" t="s">
        <v>28</v>
      </c>
      <c r="D154" s="148" t="s">
        <v>29</v>
      </c>
      <c r="E154" s="148" t="s">
        <v>30</v>
      </c>
      <c r="F154" s="148" t="s">
        <v>3183</v>
      </c>
      <c r="G154" s="148" t="s">
        <v>37</v>
      </c>
      <c r="H154" s="148">
        <v>2002</v>
      </c>
      <c r="I154" s="148">
        <v>12</v>
      </c>
      <c r="J154" s="148" t="s">
        <v>118</v>
      </c>
      <c r="K154" s="148" t="s">
        <v>172</v>
      </c>
      <c r="M154" s="148" t="s">
        <v>346</v>
      </c>
      <c r="N154" s="148">
        <v>10</v>
      </c>
      <c r="O154" s="148" t="s">
        <v>101</v>
      </c>
      <c r="P154" s="148" t="s">
        <v>351</v>
      </c>
      <c r="Y154" s="150" t="s">
        <v>352</v>
      </c>
    </row>
    <row r="155" spans="1:25" ht="15.75" hidden="1" customHeight="1" x14ac:dyDescent="0.25">
      <c r="A155" s="148" t="s">
        <v>76</v>
      </c>
      <c r="B155" s="148" t="s">
        <v>89</v>
      </c>
      <c r="C155" s="148" t="s">
        <v>90</v>
      </c>
      <c r="D155" s="148" t="s">
        <v>29</v>
      </c>
      <c r="E155" s="148" t="s">
        <v>30</v>
      </c>
      <c r="F155" s="148" t="s">
        <v>91</v>
      </c>
      <c r="G155" s="148" t="s">
        <v>178</v>
      </c>
      <c r="H155" s="148">
        <v>2002</v>
      </c>
      <c r="I155" s="148">
        <v>12</v>
      </c>
      <c r="J155" s="148" t="s">
        <v>118</v>
      </c>
      <c r="K155" s="148" t="s">
        <v>81</v>
      </c>
      <c r="M155" s="148" t="s">
        <v>82</v>
      </c>
      <c r="N155" s="148">
        <v>8</v>
      </c>
      <c r="O155" s="148" t="s">
        <v>101</v>
      </c>
      <c r="P155" s="148" t="s">
        <v>146</v>
      </c>
      <c r="Y155" s="150" t="s">
        <v>353</v>
      </c>
    </row>
    <row r="156" spans="1:25" ht="15.75" hidden="1" customHeight="1" x14ac:dyDescent="0.25">
      <c r="A156" s="148" t="s">
        <v>76</v>
      </c>
      <c r="B156" s="148" t="s">
        <v>103</v>
      </c>
      <c r="C156" s="148" t="s">
        <v>55</v>
      </c>
      <c r="D156" s="148" t="s">
        <v>29</v>
      </c>
      <c r="E156" s="148" t="s">
        <v>95</v>
      </c>
      <c r="F156" s="148" t="s">
        <v>56</v>
      </c>
      <c r="G156" s="148" t="s">
        <v>168</v>
      </c>
      <c r="H156" s="148">
        <v>2002</v>
      </c>
      <c r="I156" s="148">
        <v>12</v>
      </c>
      <c r="J156" s="148" t="s">
        <v>118</v>
      </c>
      <c r="K156" s="148" t="s">
        <v>172</v>
      </c>
      <c r="M156" s="148" t="s">
        <v>346</v>
      </c>
      <c r="N156" s="148">
        <v>10</v>
      </c>
      <c r="O156" s="148" t="s">
        <v>101</v>
      </c>
      <c r="P156" s="148" t="s">
        <v>354</v>
      </c>
      <c r="Y156" s="150" t="s">
        <v>355</v>
      </c>
    </row>
    <row r="157" spans="1:25" ht="15.75" hidden="1" customHeight="1" x14ac:dyDescent="0.25">
      <c r="A157" s="148" t="s">
        <v>76</v>
      </c>
      <c r="B157" s="148" t="s">
        <v>54</v>
      </c>
      <c r="C157" s="148" t="s">
        <v>55</v>
      </c>
      <c r="D157" s="148" t="s">
        <v>65</v>
      </c>
      <c r="E157" s="148" t="s">
        <v>30</v>
      </c>
      <c r="F157" s="148" t="s">
        <v>56</v>
      </c>
      <c r="G157" s="148" t="s">
        <v>54</v>
      </c>
      <c r="H157" s="148">
        <v>2002</v>
      </c>
      <c r="I157" s="148">
        <v>12</v>
      </c>
      <c r="J157" s="148" t="s">
        <v>118</v>
      </c>
      <c r="K157" s="148" t="s">
        <v>81</v>
      </c>
      <c r="M157" s="148" t="s">
        <v>82</v>
      </c>
      <c r="N157" s="148">
        <v>8</v>
      </c>
      <c r="O157" s="148" t="s">
        <v>101</v>
      </c>
      <c r="P157" s="148" t="s">
        <v>164</v>
      </c>
      <c r="Y157" s="150" t="s">
        <v>356</v>
      </c>
    </row>
    <row r="158" spans="1:25" ht="15.75" hidden="1" customHeight="1" x14ac:dyDescent="0.25">
      <c r="A158" s="148" t="s">
        <v>76</v>
      </c>
      <c r="B158" s="148" t="s">
        <v>77</v>
      </c>
      <c r="C158" s="148" t="s">
        <v>55</v>
      </c>
      <c r="D158" s="148" t="s">
        <v>29</v>
      </c>
      <c r="E158" s="148" t="s">
        <v>30</v>
      </c>
      <c r="F158" s="148" t="s">
        <v>41</v>
      </c>
      <c r="G158" s="148" t="s">
        <v>252</v>
      </c>
      <c r="H158" s="148">
        <v>2002</v>
      </c>
      <c r="I158" s="148">
        <v>12</v>
      </c>
      <c r="J158" s="148" t="s">
        <v>118</v>
      </c>
      <c r="K158" s="148" t="s">
        <v>81</v>
      </c>
      <c r="M158" s="148" t="s">
        <v>82</v>
      </c>
      <c r="N158" s="148">
        <v>8</v>
      </c>
      <c r="O158" s="148" t="s">
        <v>101</v>
      </c>
      <c r="P158" s="148" t="s">
        <v>357</v>
      </c>
      <c r="Y158" s="150" t="s">
        <v>358</v>
      </c>
    </row>
    <row r="159" spans="1:25" ht="15.75" hidden="1" customHeight="1" x14ac:dyDescent="0.25">
      <c r="A159" s="148" t="s">
        <v>76</v>
      </c>
      <c r="B159" s="148" t="s">
        <v>44</v>
      </c>
      <c r="C159" s="148" t="s">
        <v>45</v>
      </c>
      <c r="D159" s="148" t="s">
        <v>29</v>
      </c>
      <c r="E159" s="148" t="s">
        <v>46</v>
      </c>
      <c r="F159" s="148" t="s">
        <v>47</v>
      </c>
      <c r="G159" s="148" t="s">
        <v>48</v>
      </c>
      <c r="H159" s="148">
        <v>2002</v>
      </c>
      <c r="I159" s="148">
        <v>12</v>
      </c>
      <c r="J159" s="148" t="s">
        <v>118</v>
      </c>
      <c r="K159" s="148" t="s">
        <v>327</v>
      </c>
      <c r="M159" s="148" t="s">
        <v>132</v>
      </c>
      <c r="N159" s="148">
        <v>8</v>
      </c>
      <c r="O159" s="148" t="s">
        <v>101</v>
      </c>
      <c r="P159" s="148" t="s">
        <v>359</v>
      </c>
      <c r="Y159" s="150" t="s">
        <v>360</v>
      </c>
    </row>
    <row r="160" spans="1:25" ht="15.75" hidden="1" customHeight="1" x14ac:dyDescent="0.25">
      <c r="A160" s="148" t="s">
        <v>76</v>
      </c>
      <c r="B160" s="148" t="s">
        <v>44</v>
      </c>
      <c r="C160" s="148" t="s">
        <v>45</v>
      </c>
      <c r="D160" s="148" t="s">
        <v>29</v>
      </c>
      <c r="E160" s="148" t="s">
        <v>46</v>
      </c>
      <c r="F160" s="148" t="s">
        <v>47</v>
      </c>
      <c r="G160" s="148" t="s">
        <v>48</v>
      </c>
      <c r="H160" s="148">
        <v>2002</v>
      </c>
      <c r="I160" s="148">
        <v>12</v>
      </c>
      <c r="J160" s="148" t="s">
        <v>150</v>
      </c>
      <c r="K160" s="148" t="s">
        <v>119</v>
      </c>
      <c r="M160" s="148" t="s">
        <v>120</v>
      </c>
      <c r="N160" s="148">
        <v>6</v>
      </c>
      <c r="O160" s="148" t="s">
        <v>83</v>
      </c>
      <c r="P160" s="148" t="s">
        <v>361</v>
      </c>
      <c r="Y160" s="150" t="s">
        <v>362</v>
      </c>
    </row>
    <row r="161" spans="1:26" ht="15.75" hidden="1" customHeight="1" x14ac:dyDescent="0.25">
      <c r="A161" s="148" t="s">
        <v>76</v>
      </c>
      <c r="B161" s="148" t="s">
        <v>77</v>
      </c>
      <c r="C161" s="148" t="s">
        <v>55</v>
      </c>
      <c r="D161" s="148" t="s">
        <v>29</v>
      </c>
      <c r="E161" s="148" t="s">
        <v>30</v>
      </c>
      <c r="F161" s="148" t="s">
        <v>41</v>
      </c>
      <c r="G161" s="148" t="s">
        <v>363</v>
      </c>
      <c r="H161" s="148">
        <v>2002</v>
      </c>
      <c r="I161" s="148">
        <v>12</v>
      </c>
      <c r="J161" s="148" t="s">
        <v>150</v>
      </c>
      <c r="K161" s="148" t="s">
        <v>81</v>
      </c>
      <c r="M161" s="148" t="s">
        <v>82</v>
      </c>
      <c r="N161" s="148">
        <v>8</v>
      </c>
      <c r="O161" s="148" t="s">
        <v>83</v>
      </c>
      <c r="P161" s="148" t="s">
        <v>146</v>
      </c>
      <c r="Y161" s="150" t="s">
        <v>364</v>
      </c>
    </row>
    <row r="162" spans="1:26" ht="15.75" hidden="1" customHeight="1" x14ac:dyDescent="0.25">
      <c r="A162" s="148" t="s">
        <v>26</v>
      </c>
      <c r="B162" s="148" t="s">
        <v>103</v>
      </c>
      <c r="C162" s="148" t="s">
        <v>110</v>
      </c>
      <c r="D162" s="148" t="s">
        <v>29</v>
      </c>
      <c r="E162" s="148" t="s">
        <v>95</v>
      </c>
      <c r="F162" s="148" t="s">
        <v>56</v>
      </c>
      <c r="G162" s="148" t="s">
        <v>111</v>
      </c>
      <c r="H162" s="148">
        <v>2002</v>
      </c>
      <c r="J162" s="148" t="s">
        <v>33</v>
      </c>
      <c r="U162" s="149" t="s">
        <v>112</v>
      </c>
    </row>
    <row r="163" spans="1:26" ht="15.75" hidden="1" customHeight="1" x14ac:dyDescent="0.25">
      <c r="A163" s="148" t="s">
        <v>76</v>
      </c>
      <c r="B163" s="148" t="s">
        <v>103</v>
      </c>
      <c r="C163" s="148" t="s">
        <v>55</v>
      </c>
      <c r="D163" s="148" t="s">
        <v>29</v>
      </c>
      <c r="E163" s="148" t="s">
        <v>95</v>
      </c>
      <c r="F163" s="148" t="s">
        <v>56</v>
      </c>
      <c r="G163" s="148" t="s">
        <v>107</v>
      </c>
      <c r="H163" s="148">
        <v>2003</v>
      </c>
      <c r="I163" s="148">
        <v>1</v>
      </c>
      <c r="J163" s="148" t="s">
        <v>118</v>
      </c>
      <c r="K163" s="148" t="s">
        <v>327</v>
      </c>
      <c r="M163" s="148" t="s">
        <v>132</v>
      </c>
      <c r="N163" s="148">
        <v>8</v>
      </c>
      <c r="O163" s="148" t="s">
        <v>101</v>
      </c>
      <c r="P163" s="148" t="s">
        <v>365</v>
      </c>
      <c r="Y163" s="150" t="s">
        <v>366</v>
      </c>
    </row>
    <row r="164" spans="1:26" ht="15.75" hidden="1" customHeight="1" x14ac:dyDescent="0.25">
      <c r="A164" s="148" t="s">
        <v>76</v>
      </c>
      <c r="B164" s="148" t="s">
        <v>198</v>
      </c>
      <c r="C164" s="148" t="s">
        <v>45</v>
      </c>
      <c r="D164" s="148" t="s">
        <v>94</v>
      </c>
      <c r="E164" s="148" t="s">
        <v>40</v>
      </c>
      <c r="F164" s="148" t="s">
        <v>199</v>
      </c>
      <c r="G164" s="148" t="s">
        <v>282</v>
      </c>
      <c r="H164" s="148">
        <v>2003</v>
      </c>
      <c r="I164" s="148">
        <v>2</v>
      </c>
      <c r="J164" s="148" t="s">
        <v>150</v>
      </c>
      <c r="K164" s="148" t="s">
        <v>119</v>
      </c>
      <c r="M164" s="148" t="s">
        <v>120</v>
      </c>
      <c r="N164" s="148">
        <v>6</v>
      </c>
      <c r="O164" s="148" t="s">
        <v>83</v>
      </c>
      <c r="Y164" s="150" t="s">
        <v>366</v>
      </c>
    </row>
    <row r="165" spans="1:26" ht="13.5" hidden="1" customHeight="1" x14ac:dyDescent="0.25">
      <c r="A165" s="148" t="s">
        <v>76</v>
      </c>
      <c r="B165" s="148" t="s">
        <v>198</v>
      </c>
      <c r="C165" s="148" t="s">
        <v>45</v>
      </c>
      <c r="D165" s="148" t="s">
        <v>99</v>
      </c>
      <c r="E165" s="148" t="s">
        <v>30</v>
      </c>
      <c r="F165" s="148" t="s">
        <v>199</v>
      </c>
      <c r="G165" s="148" t="s">
        <v>208</v>
      </c>
      <c r="H165" s="148">
        <v>2003</v>
      </c>
      <c r="I165" s="148">
        <v>2</v>
      </c>
      <c r="J165" s="148" t="s">
        <v>150</v>
      </c>
      <c r="K165" s="148" t="s">
        <v>119</v>
      </c>
      <c r="M165" s="148" t="s">
        <v>120</v>
      </c>
      <c r="N165" s="148">
        <v>6</v>
      </c>
      <c r="O165" s="148" t="s">
        <v>83</v>
      </c>
      <c r="Y165" s="150" t="s">
        <v>366</v>
      </c>
    </row>
    <row r="166" spans="1:26" ht="15.75" hidden="1" customHeight="1" x14ac:dyDescent="0.25">
      <c r="A166" s="148" t="s">
        <v>76</v>
      </c>
      <c r="B166" s="148" t="s">
        <v>198</v>
      </c>
      <c r="C166" s="148" t="s">
        <v>45</v>
      </c>
      <c r="D166" s="148" t="s">
        <v>29</v>
      </c>
      <c r="E166" s="148" t="s">
        <v>30</v>
      </c>
      <c r="F166" s="148" t="s">
        <v>199</v>
      </c>
      <c r="G166" s="148" t="s">
        <v>296</v>
      </c>
      <c r="H166" s="148">
        <v>2003</v>
      </c>
      <c r="I166" s="148">
        <v>2</v>
      </c>
      <c r="J166" s="148" t="s">
        <v>150</v>
      </c>
      <c r="K166" s="148" t="s">
        <v>119</v>
      </c>
      <c r="M166" s="148" t="s">
        <v>120</v>
      </c>
      <c r="N166" s="148">
        <v>6</v>
      </c>
      <c r="O166" s="148" t="s">
        <v>83</v>
      </c>
      <c r="Y166" s="150" t="s">
        <v>366</v>
      </c>
    </row>
    <row r="167" spans="1:26" ht="15.75" hidden="1" customHeight="1" x14ac:dyDescent="0.25">
      <c r="A167" s="148" t="s">
        <v>76</v>
      </c>
      <c r="B167" s="148" t="s">
        <v>116</v>
      </c>
      <c r="C167" s="148" t="s">
        <v>90</v>
      </c>
      <c r="D167" s="148" t="s">
        <v>86</v>
      </c>
      <c r="E167" s="148" t="s">
        <v>40</v>
      </c>
      <c r="F167" s="148" t="s">
        <v>41</v>
      </c>
      <c r="G167" s="148" t="s">
        <v>117</v>
      </c>
      <c r="H167" s="148">
        <v>2003</v>
      </c>
      <c r="I167" s="148">
        <v>2</v>
      </c>
      <c r="J167" s="148" t="s">
        <v>150</v>
      </c>
      <c r="K167" s="148" t="s">
        <v>367</v>
      </c>
      <c r="M167" s="148" t="s">
        <v>368</v>
      </c>
      <c r="N167" s="148">
        <v>8</v>
      </c>
      <c r="O167" s="148" t="s">
        <v>83</v>
      </c>
      <c r="Y167" s="150" t="s">
        <v>366</v>
      </c>
    </row>
    <row r="168" spans="1:26" ht="15.75" hidden="1" customHeight="1" x14ac:dyDescent="0.25">
      <c r="A168" s="148" t="s">
        <v>76</v>
      </c>
      <c r="B168" s="148" t="s">
        <v>89</v>
      </c>
      <c r="C168" s="148" t="s">
        <v>90</v>
      </c>
      <c r="D168" s="148" t="s">
        <v>29</v>
      </c>
      <c r="E168" s="148" t="s">
        <v>30</v>
      </c>
      <c r="F168" s="148" t="s">
        <v>91</v>
      </c>
      <c r="G168" s="148" t="s">
        <v>369</v>
      </c>
      <c r="H168" s="148">
        <v>2003</v>
      </c>
      <c r="I168" s="148">
        <v>2</v>
      </c>
      <c r="J168" s="148" t="s">
        <v>150</v>
      </c>
      <c r="K168" s="148" t="s">
        <v>367</v>
      </c>
      <c r="M168" s="148" t="s">
        <v>368</v>
      </c>
      <c r="N168" s="148">
        <v>8</v>
      </c>
      <c r="O168" s="148" t="s">
        <v>83</v>
      </c>
      <c r="Y168" s="150" t="s">
        <v>366</v>
      </c>
    </row>
    <row r="169" spans="1:26" ht="15.75" hidden="1" customHeight="1" x14ac:dyDescent="0.25">
      <c r="A169" s="148" t="s">
        <v>76</v>
      </c>
      <c r="B169" s="148" t="s">
        <v>198</v>
      </c>
      <c r="C169" s="148" t="s">
        <v>45</v>
      </c>
      <c r="D169" s="148" t="s">
        <v>29</v>
      </c>
      <c r="E169" s="148" t="s">
        <v>30</v>
      </c>
      <c r="F169" s="148" t="s">
        <v>199</v>
      </c>
      <c r="G169" s="148" t="s">
        <v>232</v>
      </c>
      <c r="H169" s="148">
        <v>2003</v>
      </c>
      <c r="I169" s="148">
        <v>3</v>
      </c>
      <c r="J169" s="148" t="s">
        <v>150</v>
      </c>
      <c r="K169" s="148" t="s">
        <v>119</v>
      </c>
      <c r="M169" s="148" t="s">
        <v>120</v>
      </c>
      <c r="N169" s="148">
        <v>6</v>
      </c>
      <c r="O169" s="148" t="s">
        <v>83</v>
      </c>
      <c r="Y169" s="150" t="s">
        <v>366</v>
      </c>
    </row>
    <row r="170" spans="1:26" ht="15.75" hidden="1" customHeight="1" x14ac:dyDescent="0.25">
      <c r="A170" s="148" t="s">
        <v>76</v>
      </c>
      <c r="B170" s="148" t="s">
        <v>62</v>
      </c>
      <c r="C170" s="148" t="s">
        <v>28</v>
      </c>
      <c r="D170" s="148" t="s">
        <v>158</v>
      </c>
      <c r="E170" s="148" t="s">
        <v>51</v>
      </c>
      <c r="F170" s="148" t="s">
        <v>3183</v>
      </c>
      <c r="G170" s="148" t="s">
        <v>130</v>
      </c>
      <c r="H170" s="148">
        <v>2003</v>
      </c>
      <c r="I170" s="148">
        <v>3</v>
      </c>
      <c r="J170" s="148" t="s">
        <v>150</v>
      </c>
      <c r="K170" s="148" t="s">
        <v>119</v>
      </c>
      <c r="M170" s="148" t="s">
        <v>120</v>
      </c>
      <c r="N170" s="148">
        <v>6</v>
      </c>
      <c r="O170" s="148" t="s">
        <v>83</v>
      </c>
      <c r="Y170" s="150" t="s">
        <v>366</v>
      </c>
    </row>
    <row r="171" spans="1:26" ht="13.5" hidden="1" customHeight="1" x14ac:dyDescent="0.25">
      <c r="A171" s="148" t="s">
        <v>76</v>
      </c>
      <c r="B171" s="148" t="s">
        <v>198</v>
      </c>
      <c r="C171" s="148" t="s">
        <v>45</v>
      </c>
      <c r="D171" s="148" t="s">
        <v>29</v>
      </c>
      <c r="E171" s="148" t="s">
        <v>30</v>
      </c>
      <c r="F171" s="148" t="s">
        <v>199</v>
      </c>
      <c r="G171" s="148" t="s">
        <v>370</v>
      </c>
      <c r="H171" s="148">
        <v>2003</v>
      </c>
      <c r="I171" s="148">
        <v>3</v>
      </c>
      <c r="J171" s="148" t="s">
        <v>150</v>
      </c>
      <c r="K171" s="148" t="s">
        <v>119</v>
      </c>
      <c r="M171" s="148" t="s">
        <v>120</v>
      </c>
      <c r="N171" s="148">
        <v>6</v>
      </c>
      <c r="O171" s="148" t="s">
        <v>83</v>
      </c>
      <c r="Y171" s="150" t="s">
        <v>366</v>
      </c>
    </row>
    <row r="172" spans="1:26" ht="15.75" hidden="1" customHeight="1" x14ac:dyDescent="0.25">
      <c r="A172" s="148" t="s">
        <v>76</v>
      </c>
      <c r="B172" s="148" t="s">
        <v>89</v>
      </c>
      <c r="C172" s="148" t="s">
        <v>90</v>
      </c>
      <c r="D172" s="148" t="s">
        <v>29</v>
      </c>
      <c r="E172" s="148" t="s">
        <v>30</v>
      </c>
      <c r="F172" s="148" t="s">
        <v>91</v>
      </c>
      <c r="G172" s="148" t="s">
        <v>371</v>
      </c>
      <c r="H172" s="148">
        <v>2003</v>
      </c>
      <c r="I172" s="148">
        <v>4</v>
      </c>
      <c r="J172" s="148" t="s">
        <v>150</v>
      </c>
      <c r="K172" s="148" t="s">
        <v>372</v>
      </c>
      <c r="M172" s="148" t="s">
        <v>373</v>
      </c>
      <c r="N172" s="148">
        <v>6</v>
      </c>
      <c r="O172" s="148" t="s">
        <v>83</v>
      </c>
      <c r="Y172" s="150" t="s">
        <v>366</v>
      </c>
    </row>
    <row r="173" spans="1:26" ht="15.75" hidden="1" customHeight="1" x14ac:dyDescent="0.25">
      <c r="A173" s="148" t="s">
        <v>76</v>
      </c>
      <c r="B173" s="148" t="s">
        <v>103</v>
      </c>
      <c r="C173" s="148" t="s">
        <v>55</v>
      </c>
      <c r="D173" s="148" t="s">
        <v>158</v>
      </c>
      <c r="E173" s="148" t="s">
        <v>30</v>
      </c>
      <c r="F173" s="148" t="s">
        <v>56</v>
      </c>
      <c r="G173" s="148" t="s">
        <v>171</v>
      </c>
      <c r="H173" s="148">
        <v>2003</v>
      </c>
      <c r="I173" s="148">
        <v>4</v>
      </c>
      <c r="J173" s="148" t="s">
        <v>118</v>
      </c>
      <c r="K173" s="148" t="s">
        <v>374</v>
      </c>
      <c r="M173" s="148" t="s">
        <v>173</v>
      </c>
      <c r="N173" s="148">
        <v>8</v>
      </c>
      <c r="O173" s="148" t="s">
        <v>101</v>
      </c>
      <c r="P173" s="148" t="s">
        <v>375</v>
      </c>
      <c r="Y173" s="150" t="s">
        <v>366</v>
      </c>
    </row>
    <row r="174" spans="1:26" ht="15.75" hidden="1" customHeight="1" x14ac:dyDescent="0.25">
      <c r="A174" s="148" t="s">
        <v>76</v>
      </c>
      <c r="B174" s="148" t="s">
        <v>27</v>
      </c>
      <c r="C174" s="148" t="s">
        <v>28</v>
      </c>
      <c r="D174" s="148" t="s">
        <v>158</v>
      </c>
      <c r="E174" s="148" t="s">
        <v>30</v>
      </c>
      <c r="F174" s="148" t="s">
        <v>3183</v>
      </c>
      <c r="G174" s="148" t="s">
        <v>53</v>
      </c>
      <c r="H174" s="148">
        <v>2003</v>
      </c>
      <c r="I174" s="148">
        <v>4</v>
      </c>
      <c r="J174" s="148" t="s">
        <v>118</v>
      </c>
      <c r="K174" s="148" t="s">
        <v>172</v>
      </c>
      <c r="M174" s="148" t="s">
        <v>346</v>
      </c>
      <c r="N174" s="148">
        <v>10</v>
      </c>
      <c r="O174" s="148" t="s">
        <v>101</v>
      </c>
      <c r="P174" s="148" t="s">
        <v>146</v>
      </c>
      <c r="Y174" s="150" t="s">
        <v>366</v>
      </c>
      <c r="Z174" s="148" t="s">
        <v>376</v>
      </c>
    </row>
    <row r="175" spans="1:26" ht="15.75" hidden="1" customHeight="1" x14ac:dyDescent="0.25">
      <c r="A175" s="148" t="s">
        <v>76</v>
      </c>
      <c r="B175" s="148" t="s">
        <v>44</v>
      </c>
      <c r="C175" s="148" t="s">
        <v>45</v>
      </c>
      <c r="D175" s="148" t="s">
        <v>86</v>
      </c>
      <c r="E175" s="148" t="s">
        <v>30</v>
      </c>
      <c r="F175" s="148" t="s">
        <v>47</v>
      </c>
      <c r="G175" s="148" t="s">
        <v>377</v>
      </c>
      <c r="H175" s="148">
        <v>2003</v>
      </c>
      <c r="I175" s="148">
        <v>4</v>
      </c>
      <c r="J175" s="148" t="s">
        <v>150</v>
      </c>
      <c r="K175" s="148" t="s">
        <v>372</v>
      </c>
      <c r="M175" s="148" t="s">
        <v>373</v>
      </c>
      <c r="N175" s="148">
        <v>6</v>
      </c>
      <c r="O175" s="148" t="s">
        <v>83</v>
      </c>
      <c r="Y175" s="150" t="s">
        <v>366</v>
      </c>
    </row>
    <row r="176" spans="1:26" ht="15.75" hidden="1" customHeight="1" x14ac:dyDescent="0.25">
      <c r="A176" s="148" t="s">
        <v>76</v>
      </c>
      <c r="B176" s="148" t="s">
        <v>62</v>
      </c>
      <c r="C176" s="148" t="s">
        <v>28</v>
      </c>
      <c r="D176" s="148" t="s">
        <v>29</v>
      </c>
      <c r="E176" s="148" t="s">
        <v>30</v>
      </c>
      <c r="F176" s="148" t="s">
        <v>3183</v>
      </c>
      <c r="G176" s="148" t="s">
        <v>244</v>
      </c>
      <c r="H176" s="148">
        <v>2003</v>
      </c>
      <c r="I176" s="148">
        <v>4</v>
      </c>
      <c r="J176" s="148" t="s">
        <v>118</v>
      </c>
      <c r="K176" s="148" t="s">
        <v>119</v>
      </c>
      <c r="M176" s="148" t="s">
        <v>120</v>
      </c>
      <c r="N176" s="148">
        <v>6</v>
      </c>
      <c r="O176" s="148" t="s">
        <v>101</v>
      </c>
      <c r="P176" s="148" t="s">
        <v>378</v>
      </c>
      <c r="Y176" s="150" t="s">
        <v>366</v>
      </c>
    </row>
    <row r="177" spans="1:25" ht="15.75" hidden="1" customHeight="1" x14ac:dyDescent="0.25">
      <c r="A177" s="148" t="s">
        <v>76</v>
      </c>
      <c r="B177" s="148" t="s">
        <v>62</v>
      </c>
      <c r="C177" s="148" t="s">
        <v>28</v>
      </c>
      <c r="D177" s="148" t="s">
        <v>51</v>
      </c>
      <c r="E177" s="148" t="s">
        <v>30</v>
      </c>
      <c r="F177" s="148" t="s">
        <v>3183</v>
      </c>
      <c r="G177" s="148" t="s">
        <v>63</v>
      </c>
      <c r="H177" s="148">
        <v>2003</v>
      </c>
      <c r="I177" s="148">
        <v>4</v>
      </c>
      <c r="J177" s="148" t="s">
        <v>118</v>
      </c>
      <c r="K177" s="148" t="s">
        <v>379</v>
      </c>
      <c r="M177" s="148" t="s">
        <v>126</v>
      </c>
      <c r="N177" s="148">
        <v>10</v>
      </c>
      <c r="O177" s="148" t="s">
        <v>101</v>
      </c>
      <c r="P177" s="148" t="s">
        <v>380</v>
      </c>
      <c r="Y177" s="150" t="s">
        <v>366</v>
      </c>
    </row>
    <row r="178" spans="1:25" ht="15.75" hidden="1" customHeight="1" x14ac:dyDescent="0.25">
      <c r="A178" s="148" t="s">
        <v>76</v>
      </c>
      <c r="B178" s="148" t="s">
        <v>103</v>
      </c>
      <c r="C178" s="148" t="s">
        <v>55</v>
      </c>
      <c r="D178" s="148" t="s">
        <v>29</v>
      </c>
      <c r="E178" s="148" t="s">
        <v>30</v>
      </c>
      <c r="F178" s="148" t="s">
        <v>56</v>
      </c>
      <c r="G178" s="148" t="s">
        <v>381</v>
      </c>
      <c r="H178" s="148">
        <v>2003</v>
      </c>
      <c r="I178" s="148">
        <v>4</v>
      </c>
      <c r="J178" s="148" t="s">
        <v>118</v>
      </c>
      <c r="K178" s="148" t="s">
        <v>119</v>
      </c>
      <c r="M178" s="148" t="s">
        <v>120</v>
      </c>
      <c r="N178" s="148">
        <v>6</v>
      </c>
      <c r="O178" s="148" t="s">
        <v>101</v>
      </c>
      <c r="P178" s="148" t="s">
        <v>146</v>
      </c>
      <c r="Y178" s="150" t="s">
        <v>366</v>
      </c>
    </row>
    <row r="179" spans="1:25" ht="15.75" hidden="1" customHeight="1" x14ac:dyDescent="0.25">
      <c r="A179" s="148" t="s">
        <v>76</v>
      </c>
      <c r="B179" s="148" t="s">
        <v>103</v>
      </c>
      <c r="C179" s="148" t="s">
        <v>55</v>
      </c>
      <c r="D179" s="148" t="s">
        <v>29</v>
      </c>
      <c r="E179" s="148" t="s">
        <v>95</v>
      </c>
      <c r="F179" s="148" t="s">
        <v>56</v>
      </c>
      <c r="G179" s="148" t="s">
        <v>382</v>
      </c>
      <c r="H179" s="148">
        <v>2003</v>
      </c>
      <c r="I179" s="148">
        <v>5</v>
      </c>
      <c r="J179" s="148" t="s">
        <v>118</v>
      </c>
      <c r="K179" s="148" t="s">
        <v>172</v>
      </c>
      <c r="M179" s="148" t="s">
        <v>346</v>
      </c>
      <c r="N179" s="148">
        <v>10</v>
      </c>
      <c r="O179" s="148" t="s">
        <v>101</v>
      </c>
      <c r="P179" s="148" t="s">
        <v>146</v>
      </c>
      <c r="Y179" s="150" t="s">
        <v>366</v>
      </c>
    </row>
    <row r="180" spans="1:25" ht="15.75" hidden="1" customHeight="1" x14ac:dyDescent="0.25">
      <c r="A180" s="148" t="s">
        <v>76</v>
      </c>
      <c r="B180" s="148" t="s">
        <v>44</v>
      </c>
      <c r="C180" s="148" t="s">
        <v>45</v>
      </c>
      <c r="D180" s="148" t="s">
        <v>94</v>
      </c>
      <c r="E180" s="148" t="s">
        <v>95</v>
      </c>
      <c r="F180" s="148" t="s">
        <v>47</v>
      </c>
      <c r="G180" s="148" t="s">
        <v>96</v>
      </c>
      <c r="H180" s="148">
        <v>2003</v>
      </c>
      <c r="I180" s="148">
        <v>5</v>
      </c>
      <c r="J180" s="148" t="s">
        <v>118</v>
      </c>
      <c r="K180" s="148" t="s">
        <v>172</v>
      </c>
      <c r="M180" s="148" t="s">
        <v>346</v>
      </c>
      <c r="N180" s="148">
        <v>10</v>
      </c>
      <c r="O180" s="148" t="s">
        <v>101</v>
      </c>
      <c r="P180" s="148" t="s">
        <v>146</v>
      </c>
      <c r="Y180" s="150" t="s">
        <v>366</v>
      </c>
    </row>
    <row r="181" spans="1:25" ht="13.5" hidden="1" customHeight="1" x14ac:dyDescent="0.25">
      <c r="A181" s="148" t="s">
        <v>76</v>
      </c>
      <c r="B181" s="148" t="s">
        <v>198</v>
      </c>
      <c r="C181" s="148" t="s">
        <v>45</v>
      </c>
      <c r="D181" s="148" t="s">
        <v>29</v>
      </c>
      <c r="E181" s="148" t="s">
        <v>30</v>
      </c>
      <c r="F181" s="148" t="s">
        <v>199</v>
      </c>
      <c r="G181" s="148" t="s">
        <v>296</v>
      </c>
      <c r="H181" s="148">
        <v>2003</v>
      </c>
      <c r="I181" s="148">
        <v>5</v>
      </c>
      <c r="J181" s="148" t="s">
        <v>118</v>
      </c>
      <c r="K181" s="148" t="s">
        <v>172</v>
      </c>
      <c r="M181" s="148" t="s">
        <v>346</v>
      </c>
      <c r="N181" s="148">
        <v>10</v>
      </c>
      <c r="O181" s="148" t="s">
        <v>101</v>
      </c>
      <c r="P181" s="148" t="s">
        <v>383</v>
      </c>
      <c r="Y181" s="150" t="s">
        <v>366</v>
      </c>
    </row>
    <row r="182" spans="1:25" ht="15.75" hidden="1" customHeight="1" x14ac:dyDescent="0.25">
      <c r="A182" s="148" t="s">
        <v>76</v>
      </c>
      <c r="B182" s="148" t="s">
        <v>89</v>
      </c>
      <c r="C182" s="148" t="s">
        <v>90</v>
      </c>
      <c r="D182" s="148" t="s">
        <v>29</v>
      </c>
      <c r="E182" s="148" t="s">
        <v>30</v>
      </c>
      <c r="F182" s="148" t="s">
        <v>91</v>
      </c>
      <c r="G182" s="148" t="s">
        <v>145</v>
      </c>
      <c r="H182" s="148">
        <v>2003</v>
      </c>
      <c r="I182" s="148">
        <v>5</v>
      </c>
      <c r="J182" s="148" t="s">
        <v>118</v>
      </c>
      <c r="K182" s="148" t="s">
        <v>172</v>
      </c>
      <c r="M182" s="148" t="s">
        <v>346</v>
      </c>
      <c r="N182" s="148">
        <v>10</v>
      </c>
      <c r="O182" s="148" t="s">
        <v>101</v>
      </c>
      <c r="P182" s="148" t="s">
        <v>384</v>
      </c>
      <c r="Y182" s="150" t="s">
        <v>366</v>
      </c>
    </row>
    <row r="183" spans="1:25" ht="13.5" hidden="1" customHeight="1" x14ac:dyDescent="0.25">
      <c r="A183" s="148" t="s">
        <v>76</v>
      </c>
      <c r="B183" s="148" t="s">
        <v>103</v>
      </c>
      <c r="C183" s="148" t="s">
        <v>55</v>
      </c>
      <c r="D183" s="148" t="s">
        <v>94</v>
      </c>
      <c r="E183" s="148" t="s">
        <v>95</v>
      </c>
      <c r="F183" s="148" t="s">
        <v>56</v>
      </c>
      <c r="G183" s="148" t="s">
        <v>111</v>
      </c>
      <c r="H183" s="148">
        <v>2003</v>
      </c>
      <c r="I183" s="148">
        <v>5</v>
      </c>
      <c r="J183" s="148" t="s">
        <v>118</v>
      </c>
      <c r="K183" s="148" t="s">
        <v>172</v>
      </c>
      <c r="M183" s="148" t="s">
        <v>346</v>
      </c>
      <c r="N183" s="148">
        <v>10</v>
      </c>
      <c r="O183" s="148" t="s">
        <v>101</v>
      </c>
      <c r="P183" s="148" t="s">
        <v>146</v>
      </c>
      <c r="Y183" s="150" t="s">
        <v>366</v>
      </c>
    </row>
    <row r="184" spans="1:25" ht="15.75" hidden="1" customHeight="1" x14ac:dyDescent="0.25">
      <c r="A184" s="148" t="s">
        <v>76</v>
      </c>
      <c r="B184" s="148" t="s">
        <v>103</v>
      </c>
      <c r="C184" s="148" t="s">
        <v>55</v>
      </c>
      <c r="D184" s="148" t="s">
        <v>94</v>
      </c>
      <c r="E184" s="148" t="s">
        <v>95</v>
      </c>
      <c r="F184" s="148" t="s">
        <v>56</v>
      </c>
      <c r="G184" s="148" t="s">
        <v>111</v>
      </c>
      <c r="H184" s="148">
        <v>2003</v>
      </c>
      <c r="I184" s="148">
        <v>5</v>
      </c>
      <c r="J184" s="148" t="s">
        <v>150</v>
      </c>
      <c r="K184" s="148" t="s">
        <v>119</v>
      </c>
      <c r="M184" s="148" t="s">
        <v>120</v>
      </c>
      <c r="N184" s="148">
        <v>6</v>
      </c>
      <c r="O184" s="148" t="s">
        <v>83</v>
      </c>
      <c r="Y184" s="150" t="s">
        <v>366</v>
      </c>
    </row>
    <row r="185" spans="1:25" ht="15.75" hidden="1" customHeight="1" x14ac:dyDescent="0.25">
      <c r="A185" s="148" t="s">
        <v>76</v>
      </c>
      <c r="B185" s="148" t="s">
        <v>77</v>
      </c>
      <c r="C185" s="148" t="s">
        <v>55</v>
      </c>
      <c r="D185" s="148" t="s">
        <v>158</v>
      </c>
      <c r="E185" s="148" t="s">
        <v>30</v>
      </c>
      <c r="F185" s="148" t="s">
        <v>41</v>
      </c>
      <c r="G185" s="148" t="s">
        <v>159</v>
      </c>
      <c r="H185" s="148">
        <v>2003</v>
      </c>
      <c r="I185" s="148">
        <v>5</v>
      </c>
      <c r="J185" s="148" t="s">
        <v>118</v>
      </c>
      <c r="K185" s="148" t="s">
        <v>172</v>
      </c>
      <c r="M185" s="148" t="s">
        <v>346</v>
      </c>
      <c r="N185" s="148">
        <v>10</v>
      </c>
      <c r="O185" s="148" t="s">
        <v>101</v>
      </c>
      <c r="Y185" s="150" t="s">
        <v>366</v>
      </c>
    </row>
    <row r="186" spans="1:25" ht="15.75" hidden="1" customHeight="1" x14ac:dyDescent="0.25">
      <c r="A186" s="148" t="s">
        <v>76</v>
      </c>
      <c r="B186" s="148" t="s">
        <v>77</v>
      </c>
      <c r="C186" s="148" t="s">
        <v>55</v>
      </c>
      <c r="D186" s="148" t="s">
        <v>29</v>
      </c>
      <c r="E186" s="148" t="s">
        <v>30</v>
      </c>
      <c r="F186" s="148" t="s">
        <v>41</v>
      </c>
      <c r="G186" s="148" t="s">
        <v>161</v>
      </c>
      <c r="H186" s="148">
        <v>2003</v>
      </c>
      <c r="I186" s="148">
        <v>5</v>
      </c>
      <c r="J186" s="148" t="s">
        <v>118</v>
      </c>
      <c r="K186" s="148" t="s">
        <v>172</v>
      </c>
      <c r="M186" s="148" t="s">
        <v>346</v>
      </c>
      <c r="N186" s="148">
        <v>10</v>
      </c>
      <c r="O186" s="148" t="s">
        <v>101</v>
      </c>
      <c r="Y186" s="150" t="s">
        <v>366</v>
      </c>
    </row>
    <row r="187" spans="1:25" ht="15.75" hidden="1" customHeight="1" x14ac:dyDescent="0.25">
      <c r="A187" s="148" t="s">
        <v>76</v>
      </c>
      <c r="B187" s="148" t="s">
        <v>89</v>
      </c>
      <c r="C187" s="148" t="s">
        <v>90</v>
      </c>
      <c r="D187" s="148" t="s">
        <v>29</v>
      </c>
      <c r="E187" s="148" t="s">
        <v>40</v>
      </c>
      <c r="F187" s="148" t="s">
        <v>91</v>
      </c>
      <c r="G187" s="148" t="s">
        <v>142</v>
      </c>
      <c r="H187" s="148">
        <v>2003</v>
      </c>
      <c r="I187" s="148">
        <v>5</v>
      </c>
      <c r="J187" s="148" t="s">
        <v>150</v>
      </c>
      <c r="K187" s="148" t="s">
        <v>327</v>
      </c>
      <c r="M187" s="148" t="s">
        <v>132</v>
      </c>
      <c r="N187" s="148">
        <v>8</v>
      </c>
      <c r="O187" s="148" t="s">
        <v>83</v>
      </c>
      <c r="Y187" s="150" t="s">
        <v>366</v>
      </c>
    </row>
    <row r="188" spans="1:25" ht="15.75" hidden="1" customHeight="1" x14ac:dyDescent="0.25">
      <c r="A188" s="148" t="s">
        <v>76</v>
      </c>
      <c r="B188" s="148" t="s">
        <v>54</v>
      </c>
      <c r="C188" s="148" t="s">
        <v>55</v>
      </c>
      <c r="D188" s="148" t="s">
        <v>65</v>
      </c>
      <c r="E188" s="148" t="s">
        <v>30</v>
      </c>
      <c r="F188" s="148" t="s">
        <v>56</v>
      </c>
      <c r="G188" s="148" t="s">
        <v>54</v>
      </c>
      <c r="H188" s="148">
        <v>2003</v>
      </c>
      <c r="I188" s="148">
        <v>5</v>
      </c>
      <c r="J188" s="148" t="s">
        <v>118</v>
      </c>
      <c r="K188" s="148" t="s">
        <v>172</v>
      </c>
      <c r="M188" s="148" t="s">
        <v>346</v>
      </c>
      <c r="N188" s="148">
        <v>10</v>
      </c>
      <c r="O188" s="148" t="s">
        <v>101</v>
      </c>
      <c r="P188" s="148" t="s">
        <v>385</v>
      </c>
      <c r="Y188" s="150" t="s">
        <v>366</v>
      </c>
    </row>
    <row r="189" spans="1:25" ht="15.75" hidden="1" customHeight="1" x14ac:dyDescent="0.25">
      <c r="A189" s="148" t="s">
        <v>76</v>
      </c>
      <c r="B189" s="148" t="s">
        <v>54</v>
      </c>
      <c r="C189" s="148" t="s">
        <v>55</v>
      </c>
      <c r="D189" s="148" t="s">
        <v>65</v>
      </c>
      <c r="E189" s="148" t="s">
        <v>30</v>
      </c>
      <c r="F189" s="148" t="s">
        <v>56</v>
      </c>
      <c r="G189" s="148" t="s">
        <v>54</v>
      </c>
      <c r="H189" s="148">
        <v>2003</v>
      </c>
      <c r="I189" s="148">
        <v>5</v>
      </c>
      <c r="J189" s="148" t="s">
        <v>150</v>
      </c>
      <c r="K189" s="148" t="s">
        <v>172</v>
      </c>
      <c r="M189" s="148" t="s">
        <v>346</v>
      </c>
      <c r="N189" s="148">
        <v>8</v>
      </c>
      <c r="O189" s="148" t="s">
        <v>83</v>
      </c>
      <c r="Y189" s="150" t="s">
        <v>366</v>
      </c>
    </row>
    <row r="190" spans="1:25" ht="15.75" hidden="1" customHeight="1" x14ac:dyDescent="0.25">
      <c r="A190" s="148" t="s">
        <v>76</v>
      </c>
      <c r="B190" s="148" t="s">
        <v>77</v>
      </c>
      <c r="C190" s="148" t="s">
        <v>55</v>
      </c>
      <c r="D190" s="148" t="s">
        <v>78</v>
      </c>
      <c r="E190" s="148" t="s">
        <v>30</v>
      </c>
      <c r="F190" s="148" t="s">
        <v>41</v>
      </c>
      <c r="G190" s="148" t="s">
        <v>79</v>
      </c>
      <c r="H190" s="148">
        <v>2003</v>
      </c>
      <c r="I190" s="148">
        <v>5</v>
      </c>
      <c r="J190" s="148" t="s">
        <v>80</v>
      </c>
      <c r="K190" s="148" t="s">
        <v>172</v>
      </c>
      <c r="M190" s="148" t="s">
        <v>346</v>
      </c>
      <c r="N190" s="148">
        <v>8</v>
      </c>
      <c r="O190" s="148" t="s">
        <v>101</v>
      </c>
      <c r="P190" s="148" t="s">
        <v>386</v>
      </c>
      <c r="Y190" s="150" t="s">
        <v>387</v>
      </c>
    </row>
    <row r="191" spans="1:25" ht="13.5" hidden="1" customHeight="1" x14ac:dyDescent="0.25">
      <c r="A191" s="148" t="s">
        <v>76</v>
      </c>
      <c r="B191" s="148" t="s">
        <v>89</v>
      </c>
      <c r="C191" s="148" t="s">
        <v>90</v>
      </c>
      <c r="D191" s="148" t="s">
        <v>29</v>
      </c>
      <c r="E191" s="148" t="s">
        <v>30</v>
      </c>
      <c r="F191" s="148" t="s">
        <v>91</v>
      </c>
      <c r="G191" s="148" t="s">
        <v>92</v>
      </c>
      <c r="H191" s="148">
        <v>2003</v>
      </c>
      <c r="I191" s="148">
        <v>5</v>
      </c>
      <c r="J191" s="148" t="s">
        <v>150</v>
      </c>
      <c r="K191" s="148" t="s">
        <v>327</v>
      </c>
      <c r="M191" s="148" t="s">
        <v>132</v>
      </c>
      <c r="N191" s="148">
        <v>8</v>
      </c>
      <c r="O191" s="148" t="s">
        <v>83</v>
      </c>
      <c r="Y191" s="150" t="s">
        <v>366</v>
      </c>
    </row>
    <row r="192" spans="1:25" ht="15.75" hidden="1" customHeight="1" x14ac:dyDescent="0.25">
      <c r="A192" s="148" t="s">
        <v>76</v>
      </c>
      <c r="B192" s="148" t="s">
        <v>77</v>
      </c>
      <c r="C192" s="148" t="s">
        <v>55</v>
      </c>
      <c r="D192" s="148" t="s">
        <v>29</v>
      </c>
      <c r="E192" s="148" t="s">
        <v>30</v>
      </c>
      <c r="F192" s="148" t="s">
        <v>41</v>
      </c>
      <c r="G192" s="148" t="s">
        <v>275</v>
      </c>
      <c r="H192" s="148">
        <v>2003</v>
      </c>
      <c r="I192" s="148">
        <v>5</v>
      </c>
      <c r="J192" s="148" t="s">
        <v>118</v>
      </c>
      <c r="K192" s="148" t="s">
        <v>172</v>
      </c>
      <c r="M192" s="148" t="s">
        <v>346</v>
      </c>
      <c r="N192" s="148">
        <v>10</v>
      </c>
      <c r="O192" s="148" t="s">
        <v>101</v>
      </c>
      <c r="Y192" s="150" t="s">
        <v>366</v>
      </c>
    </row>
    <row r="193" spans="1:25" ht="15.75" hidden="1" customHeight="1" x14ac:dyDescent="0.25">
      <c r="A193" s="148" t="s">
        <v>76</v>
      </c>
      <c r="B193" s="148" t="s">
        <v>89</v>
      </c>
      <c r="C193" s="148" t="s">
        <v>90</v>
      </c>
      <c r="D193" s="148" t="s">
        <v>29</v>
      </c>
      <c r="E193" s="148" t="s">
        <v>30</v>
      </c>
      <c r="F193" s="148" t="s">
        <v>91</v>
      </c>
      <c r="G193" s="148" t="s">
        <v>93</v>
      </c>
      <c r="H193" s="148">
        <v>2003</v>
      </c>
      <c r="I193" s="148">
        <v>5</v>
      </c>
      <c r="J193" s="148" t="s">
        <v>150</v>
      </c>
      <c r="K193" s="148" t="s">
        <v>327</v>
      </c>
      <c r="M193" s="148" t="s">
        <v>132</v>
      </c>
      <c r="N193" s="148">
        <v>8</v>
      </c>
      <c r="O193" s="148" t="s">
        <v>83</v>
      </c>
      <c r="Y193" s="150" t="s">
        <v>366</v>
      </c>
    </row>
    <row r="194" spans="1:25" ht="15.75" hidden="1" customHeight="1" x14ac:dyDescent="0.25">
      <c r="A194" s="148" t="s">
        <v>76</v>
      </c>
      <c r="B194" s="148" t="s">
        <v>44</v>
      </c>
      <c r="C194" s="148" t="s">
        <v>45</v>
      </c>
      <c r="D194" s="148" t="s">
        <v>29</v>
      </c>
      <c r="E194" s="148" t="s">
        <v>46</v>
      </c>
      <c r="F194" s="148" t="s">
        <v>47</v>
      </c>
      <c r="G194" s="148" t="s">
        <v>48</v>
      </c>
      <c r="H194" s="148">
        <v>2003</v>
      </c>
      <c r="I194" s="148">
        <v>5</v>
      </c>
      <c r="J194" s="148" t="s">
        <v>150</v>
      </c>
      <c r="K194" s="148" t="s">
        <v>388</v>
      </c>
      <c r="M194" s="148" t="s">
        <v>389</v>
      </c>
      <c r="N194" s="148">
        <v>8</v>
      </c>
      <c r="O194" s="148" t="s">
        <v>83</v>
      </c>
      <c r="Y194" s="150" t="s">
        <v>366</v>
      </c>
    </row>
    <row r="195" spans="1:25" ht="15.75" hidden="1" customHeight="1" x14ac:dyDescent="0.25">
      <c r="A195" s="148" t="s">
        <v>76</v>
      </c>
      <c r="B195" s="148" t="s">
        <v>89</v>
      </c>
      <c r="C195" s="148" t="s">
        <v>90</v>
      </c>
      <c r="D195" s="148" t="s">
        <v>29</v>
      </c>
      <c r="E195" s="148" t="s">
        <v>30</v>
      </c>
      <c r="F195" s="148" t="s">
        <v>91</v>
      </c>
      <c r="G195" s="148" t="s">
        <v>280</v>
      </c>
      <c r="H195" s="148">
        <v>2003</v>
      </c>
      <c r="I195" s="148">
        <v>5</v>
      </c>
      <c r="J195" s="148" t="s">
        <v>118</v>
      </c>
      <c r="K195" s="148" t="s">
        <v>172</v>
      </c>
      <c r="M195" s="148" t="s">
        <v>346</v>
      </c>
      <c r="N195" s="148">
        <v>10</v>
      </c>
      <c r="O195" s="148" t="s">
        <v>101</v>
      </c>
      <c r="P195" s="148" t="s">
        <v>390</v>
      </c>
      <c r="Y195" s="150" t="s">
        <v>366</v>
      </c>
    </row>
    <row r="196" spans="1:25" ht="15.75" hidden="1" customHeight="1" x14ac:dyDescent="0.25">
      <c r="A196" s="148" t="s">
        <v>76</v>
      </c>
      <c r="B196" s="148" t="s">
        <v>89</v>
      </c>
      <c r="C196" s="148" t="s">
        <v>90</v>
      </c>
      <c r="D196" s="148" t="s">
        <v>29</v>
      </c>
      <c r="E196" s="148" t="s">
        <v>30</v>
      </c>
      <c r="F196" s="148" t="s">
        <v>91</v>
      </c>
      <c r="G196" s="148" t="s">
        <v>391</v>
      </c>
      <c r="H196" s="148">
        <v>2003</v>
      </c>
      <c r="I196" s="148">
        <v>7</v>
      </c>
      <c r="J196" s="148" t="s">
        <v>118</v>
      </c>
      <c r="K196" s="148" t="s">
        <v>327</v>
      </c>
      <c r="M196" s="148" t="s">
        <v>132</v>
      </c>
      <c r="N196" s="148">
        <v>8</v>
      </c>
      <c r="O196" s="148" t="s">
        <v>101</v>
      </c>
      <c r="P196" s="148" t="s">
        <v>392</v>
      </c>
      <c r="Y196" s="150" t="s">
        <v>366</v>
      </c>
    </row>
    <row r="197" spans="1:25" ht="15.75" hidden="1" customHeight="1" x14ac:dyDescent="0.25">
      <c r="A197" s="148" t="s">
        <v>76</v>
      </c>
      <c r="B197" s="148" t="s">
        <v>103</v>
      </c>
      <c r="C197" s="148" t="s">
        <v>55</v>
      </c>
      <c r="D197" s="148" t="s">
        <v>29</v>
      </c>
      <c r="E197" s="148" t="s">
        <v>95</v>
      </c>
      <c r="F197" s="148" t="s">
        <v>56</v>
      </c>
      <c r="G197" s="148" t="s">
        <v>265</v>
      </c>
      <c r="H197" s="148">
        <v>2003</v>
      </c>
      <c r="I197" s="148">
        <v>8</v>
      </c>
      <c r="J197" s="148" t="s">
        <v>150</v>
      </c>
      <c r="K197" s="148" t="s">
        <v>393</v>
      </c>
      <c r="M197" s="148" t="s">
        <v>394</v>
      </c>
      <c r="N197" s="148">
        <v>6</v>
      </c>
      <c r="O197" s="148" t="s">
        <v>83</v>
      </c>
      <c r="Y197" s="150" t="s">
        <v>366</v>
      </c>
    </row>
    <row r="198" spans="1:25" ht="15.75" hidden="1" customHeight="1" x14ac:dyDescent="0.25">
      <c r="A198" s="148" t="s">
        <v>76</v>
      </c>
      <c r="B198" s="148" t="s">
        <v>116</v>
      </c>
      <c r="C198" s="148" t="s">
        <v>90</v>
      </c>
      <c r="D198" s="148" t="s">
        <v>86</v>
      </c>
      <c r="E198" s="148" t="s">
        <v>40</v>
      </c>
      <c r="F198" s="148" t="s">
        <v>41</v>
      </c>
      <c r="G198" s="148" t="s">
        <v>117</v>
      </c>
      <c r="H198" s="148">
        <v>2003</v>
      </c>
      <c r="I198" s="148">
        <v>8</v>
      </c>
      <c r="J198" s="148" t="s">
        <v>150</v>
      </c>
      <c r="K198" s="148" t="s">
        <v>372</v>
      </c>
      <c r="M198" s="148" t="s">
        <v>395</v>
      </c>
      <c r="N198" s="148">
        <v>6</v>
      </c>
      <c r="O198" s="148" t="s">
        <v>83</v>
      </c>
      <c r="Y198" s="150" t="s">
        <v>366</v>
      </c>
    </row>
    <row r="199" spans="1:25" ht="15.75" hidden="1" customHeight="1" x14ac:dyDescent="0.25">
      <c r="A199" s="148" t="s">
        <v>76</v>
      </c>
      <c r="B199" s="148" t="s">
        <v>36</v>
      </c>
      <c r="C199" s="148" t="s">
        <v>28</v>
      </c>
      <c r="D199" s="148" t="s">
        <v>29</v>
      </c>
      <c r="E199" s="148" t="s">
        <v>30</v>
      </c>
      <c r="F199" s="148" t="s">
        <v>3183</v>
      </c>
      <c r="G199" s="148" t="s">
        <v>37</v>
      </c>
      <c r="H199" s="148">
        <v>2003</v>
      </c>
      <c r="I199" s="148">
        <v>8</v>
      </c>
      <c r="J199" s="148" t="s">
        <v>118</v>
      </c>
      <c r="K199" s="148" t="s">
        <v>172</v>
      </c>
      <c r="M199" s="148" t="s">
        <v>346</v>
      </c>
      <c r="N199" s="148">
        <v>10</v>
      </c>
      <c r="O199" s="148" t="s">
        <v>101</v>
      </c>
      <c r="P199" s="148" t="s">
        <v>396</v>
      </c>
      <c r="Y199" s="150" t="s">
        <v>366</v>
      </c>
    </row>
    <row r="200" spans="1:25" ht="15.75" hidden="1" customHeight="1" x14ac:dyDescent="0.25">
      <c r="A200" s="148" t="s">
        <v>76</v>
      </c>
      <c r="B200" s="148" t="s">
        <v>62</v>
      </c>
      <c r="C200" s="148" t="s">
        <v>28</v>
      </c>
      <c r="D200" s="148" t="s">
        <v>51</v>
      </c>
      <c r="E200" s="148" t="s">
        <v>30</v>
      </c>
      <c r="F200" s="148" t="s">
        <v>3183</v>
      </c>
      <c r="G200" s="148" t="s">
        <v>63</v>
      </c>
      <c r="H200" s="148">
        <v>2003</v>
      </c>
      <c r="I200" s="148">
        <v>8</v>
      </c>
      <c r="J200" s="148" t="s">
        <v>150</v>
      </c>
      <c r="K200" s="148" t="s">
        <v>388</v>
      </c>
      <c r="M200" s="148" t="s">
        <v>389</v>
      </c>
      <c r="N200" s="148">
        <v>8</v>
      </c>
      <c r="O200" s="148" t="s">
        <v>83</v>
      </c>
      <c r="P200" s="148" t="s">
        <v>397</v>
      </c>
      <c r="Y200" s="150" t="s">
        <v>366</v>
      </c>
    </row>
    <row r="201" spans="1:25" ht="15.75" hidden="1" customHeight="1" x14ac:dyDescent="0.25">
      <c r="A201" s="148" t="s">
        <v>76</v>
      </c>
      <c r="B201" s="148" t="s">
        <v>198</v>
      </c>
      <c r="C201" s="148" t="s">
        <v>45</v>
      </c>
      <c r="D201" s="148" t="s">
        <v>29</v>
      </c>
      <c r="E201" s="148" t="s">
        <v>30</v>
      </c>
      <c r="F201" s="148" t="s">
        <v>199</v>
      </c>
      <c r="G201" s="148" t="s">
        <v>248</v>
      </c>
      <c r="H201" s="148">
        <v>2003</v>
      </c>
      <c r="I201" s="148">
        <v>8</v>
      </c>
      <c r="J201" s="148" t="s">
        <v>118</v>
      </c>
      <c r="K201" s="148" t="s">
        <v>327</v>
      </c>
      <c r="M201" s="148" t="s">
        <v>132</v>
      </c>
      <c r="N201" s="148">
        <v>8</v>
      </c>
      <c r="O201" s="148" t="s">
        <v>101</v>
      </c>
      <c r="P201" s="148" t="s">
        <v>398</v>
      </c>
      <c r="Y201" s="150" t="s">
        <v>366</v>
      </c>
    </row>
    <row r="202" spans="1:25" ht="15.75" hidden="1" customHeight="1" x14ac:dyDescent="0.25">
      <c r="A202" s="148" t="s">
        <v>76</v>
      </c>
      <c r="B202" s="148" t="s">
        <v>103</v>
      </c>
      <c r="C202" s="148" t="s">
        <v>55</v>
      </c>
      <c r="D202" s="148" t="s">
        <v>29</v>
      </c>
      <c r="E202" s="148" t="s">
        <v>95</v>
      </c>
      <c r="F202" s="148" t="s">
        <v>56</v>
      </c>
      <c r="G202" s="148" t="s">
        <v>270</v>
      </c>
      <c r="H202" s="148">
        <v>2003</v>
      </c>
      <c r="I202" s="148">
        <v>8</v>
      </c>
      <c r="J202" s="148" t="s">
        <v>150</v>
      </c>
      <c r="K202" s="148" t="s">
        <v>393</v>
      </c>
      <c r="M202" s="148" t="s">
        <v>394</v>
      </c>
      <c r="N202" s="148">
        <v>6</v>
      </c>
      <c r="O202" s="148" t="s">
        <v>83</v>
      </c>
      <c r="Y202" s="150" t="s">
        <v>366</v>
      </c>
    </row>
    <row r="203" spans="1:25" ht="15.75" hidden="1" customHeight="1" x14ac:dyDescent="0.25">
      <c r="A203" s="148" t="s">
        <v>307</v>
      </c>
      <c r="B203" s="148" t="s">
        <v>77</v>
      </c>
      <c r="C203" s="148" t="s">
        <v>55</v>
      </c>
      <c r="D203" s="148" t="s">
        <v>78</v>
      </c>
      <c r="E203" s="148" t="s">
        <v>30</v>
      </c>
      <c r="F203" s="148" t="s">
        <v>41</v>
      </c>
      <c r="G203" s="148" t="s">
        <v>79</v>
      </c>
      <c r="H203" s="148">
        <v>2003</v>
      </c>
      <c r="I203" s="148">
        <v>8</v>
      </c>
      <c r="J203" s="148" t="s">
        <v>399</v>
      </c>
      <c r="Q203" s="148" t="s">
        <v>309</v>
      </c>
      <c r="R203" s="148" t="s">
        <v>400</v>
      </c>
      <c r="S203" s="148" t="s">
        <v>311</v>
      </c>
      <c r="T203" s="148" t="s">
        <v>401</v>
      </c>
      <c r="Y203" s="150" t="s">
        <v>402</v>
      </c>
    </row>
    <row r="204" spans="1:25" ht="15.75" hidden="1" customHeight="1" x14ac:dyDescent="0.25">
      <c r="A204" s="148" t="s">
        <v>76</v>
      </c>
      <c r="B204" s="148" t="s">
        <v>103</v>
      </c>
      <c r="C204" s="148" t="s">
        <v>55</v>
      </c>
      <c r="D204" s="148" t="s">
        <v>29</v>
      </c>
      <c r="E204" s="148" t="s">
        <v>95</v>
      </c>
      <c r="F204" s="148" t="s">
        <v>56</v>
      </c>
      <c r="G204" s="148" t="s">
        <v>195</v>
      </c>
      <c r="H204" s="148">
        <v>2003</v>
      </c>
      <c r="I204" s="148">
        <v>8</v>
      </c>
      <c r="J204" s="148" t="s">
        <v>150</v>
      </c>
      <c r="K204" s="148" t="s">
        <v>393</v>
      </c>
      <c r="M204" s="148" t="s">
        <v>394</v>
      </c>
      <c r="N204" s="148">
        <v>6</v>
      </c>
      <c r="O204" s="148" t="s">
        <v>83</v>
      </c>
      <c r="Y204" s="150" t="s">
        <v>366</v>
      </c>
    </row>
    <row r="205" spans="1:25" ht="15.75" hidden="1" customHeight="1" x14ac:dyDescent="0.25">
      <c r="A205" s="148" t="s">
        <v>76</v>
      </c>
      <c r="B205" s="148" t="s">
        <v>71</v>
      </c>
      <c r="C205" s="148" t="s">
        <v>45</v>
      </c>
      <c r="D205" s="148" t="s">
        <v>29</v>
      </c>
      <c r="E205" s="148" t="s">
        <v>72</v>
      </c>
      <c r="F205" s="148" t="s">
        <v>3183</v>
      </c>
      <c r="G205" s="148" t="s">
        <v>73</v>
      </c>
      <c r="H205" s="148">
        <v>2003</v>
      </c>
      <c r="I205" s="148">
        <v>9</v>
      </c>
      <c r="J205" s="148" t="s">
        <v>118</v>
      </c>
      <c r="K205" s="148" t="s">
        <v>119</v>
      </c>
      <c r="M205" s="148" t="s">
        <v>120</v>
      </c>
      <c r="N205" s="148">
        <v>6</v>
      </c>
      <c r="O205" s="148" t="s">
        <v>101</v>
      </c>
      <c r="P205" s="148" t="s">
        <v>146</v>
      </c>
      <c r="Y205" s="150" t="s">
        <v>403</v>
      </c>
    </row>
    <row r="206" spans="1:25" ht="15.75" hidden="1" customHeight="1" x14ac:dyDescent="0.25">
      <c r="A206" s="148" t="s">
        <v>76</v>
      </c>
      <c r="B206" s="148" t="s">
        <v>103</v>
      </c>
      <c r="C206" s="148" t="s">
        <v>55</v>
      </c>
      <c r="D206" s="148" t="s">
        <v>158</v>
      </c>
      <c r="E206" s="148" t="s">
        <v>30</v>
      </c>
      <c r="F206" s="148" t="s">
        <v>56</v>
      </c>
      <c r="G206" s="148" t="s">
        <v>171</v>
      </c>
      <c r="H206" s="148">
        <v>2003</v>
      </c>
      <c r="I206" s="148">
        <v>9</v>
      </c>
      <c r="J206" s="148" t="s">
        <v>150</v>
      </c>
      <c r="K206" s="148" t="s">
        <v>388</v>
      </c>
      <c r="M206" s="148" t="s">
        <v>389</v>
      </c>
      <c r="N206" s="148">
        <v>8</v>
      </c>
      <c r="O206" s="148" t="s">
        <v>83</v>
      </c>
      <c r="Y206" s="150" t="s">
        <v>366</v>
      </c>
    </row>
    <row r="207" spans="1:25" ht="15.75" hidden="1" customHeight="1" x14ac:dyDescent="0.25">
      <c r="A207" s="148" t="s">
        <v>76</v>
      </c>
      <c r="B207" s="148" t="s">
        <v>36</v>
      </c>
      <c r="C207" s="148" t="s">
        <v>28</v>
      </c>
      <c r="D207" s="148" t="s">
        <v>29</v>
      </c>
      <c r="E207" s="148" t="s">
        <v>30</v>
      </c>
      <c r="F207" s="148" t="s">
        <v>3183</v>
      </c>
      <c r="G207" s="148" t="s">
        <v>211</v>
      </c>
      <c r="H207" s="148">
        <v>2003</v>
      </c>
      <c r="I207" s="148">
        <v>9</v>
      </c>
      <c r="J207" s="148" t="s">
        <v>150</v>
      </c>
      <c r="K207" s="148" t="s">
        <v>327</v>
      </c>
      <c r="M207" s="148" t="s">
        <v>132</v>
      </c>
      <c r="N207" s="148">
        <v>8</v>
      </c>
      <c r="O207" s="148" t="s">
        <v>83</v>
      </c>
      <c r="Y207" s="150" t="s">
        <v>366</v>
      </c>
    </row>
    <row r="208" spans="1:25" ht="15.75" hidden="1" customHeight="1" x14ac:dyDescent="0.25">
      <c r="A208" s="148" t="s">
        <v>76</v>
      </c>
      <c r="B208" s="148" t="s">
        <v>103</v>
      </c>
      <c r="C208" s="148" t="s">
        <v>55</v>
      </c>
      <c r="D208" s="148" t="s">
        <v>29</v>
      </c>
      <c r="E208" s="148" t="s">
        <v>95</v>
      </c>
      <c r="F208" s="148" t="s">
        <v>56</v>
      </c>
      <c r="G208" s="148" t="s">
        <v>176</v>
      </c>
      <c r="H208" s="148">
        <v>2003</v>
      </c>
      <c r="I208" s="148">
        <v>9</v>
      </c>
      <c r="J208" s="148" t="s">
        <v>118</v>
      </c>
      <c r="K208" s="148" t="s">
        <v>172</v>
      </c>
      <c r="M208" s="148" t="s">
        <v>346</v>
      </c>
      <c r="N208" s="148">
        <v>10</v>
      </c>
      <c r="O208" s="148" t="s">
        <v>101</v>
      </c>
      <c r="P208" s="148" t="s">
        <v>404</v>
      </c>
      <c r="Y208" s="150" t="s">
        <v>366</v>
      </c>
    </row>
    <row r="209" spans="1:25" ht="15.75" hidden="1" customHeight="1" x14ac:dyDescent="0.25">
      <c r="A209" s="148" t="s">
        <v>76</v>
      </c>
      <c r="B209" s="148" t="s">
        <v>103</v>
      </c>
      <c r="C209" s="148" t="s">
        <v>55</v>
      </c>
      <c r="D209" s="148" t="s">
        <v>29</v>
      </c>
      <c r="E209" s="148" t="s">
        <v>30</v>
      </c>
      <c r="F209" s="148" t="s">
        <v>56</v>
      </c>
      <c r="G209" s="148" t="s">
        <v>405</v>
      </c>
      <c r="H209" s="148">
        <v>2003</v>
      </c>
      <c r="I209" s="148">
        <v>9</v>
      </c>
      <c r="J209" s="148" t="s">
        <v>150</v>
      </c>
      <c r="K209" s="148" t="s">
        <v>119</v>
      </c>
      <c r="M209" s="148" t="s">
        <v>120</v>
      </c>
      <c r="N209" s="148">
        <v>6</v>
      </c>
      <c r="O209" s="148" t="s">
        <v>83</v>
      </c>
      <c r="Y209" s="150" t="s">
        <v>366</v>
      </c>
    </row>
    <row r="210" spans="1:25" ht="15.75" hidden="1" customHeight="1" x14ac:dyDescent="0.25">
      <c r="A210" s="148" t="s">
        <v>76</v>
      </c>
      <c r="B210" s="148" t="s">
        <v>103</v>
      </c>
      <c r="C210" s="148" t="s">
        <v>55</v>
      </c>
      <c r="D210" s="148" t="s">
        <v>94</v>
      </c>
      <c r="E210" s="148" t="s">
        <v>95</v>
      </c>
      <c r="F210" s="148" t="s">
        <v>56</v>
      </c>
      <c r="G210" s="148" t="s">
        <v>111</v>
      </c>
      <c r="H210" s="148">
        <v>2003</v>
      </c>
      <c r="I210" s="148">
        <v>9</v>
      </c>
      <c r="J210" s="148" t="s">
        <v>118</v>
      </c>
      <c r="K210" s="148" t="s">
        <v>327</v>
      </c>
      <c r="M210" s="148" t="s">
        <v>132</v>
      </c>
      <c r="N210" s="148">
        <v>8</v>
      </c>
      <c r="O210" s="148" t="s">
        <v>101</v>
      </c>
      <c r="P210" s="148" t="s">
        <v>406</v>
      </c>
      <c r="Y210" s="150" t="s">
        <v>366</v>
      </c>
    </row>
    <row r="211" spans="1:25" ht="15.75" hidden="1" customHeight="1" x14ac:dyDescent="0.25">
      <c r="A211" s="148" t="s">
        <v>76</v>
      </c>
      <c r="B211" s="148" t="s">
        <v>103</v>
      </c>
      <c r="C211" s="148" t="s">
        <v>55</v>
      </c>
      <c r="D211" s="148" t="s">
        <v>29</v>
      </c>
      <c r="E211" s="148" t="s">
        <v>95</v>
      </c>
      <c r="F211" s="148" t="s">
        <v>56</v>
      </c>
      <c r="G211" s="148" t="s">
        <v>153</v>
      </c>
      <c r="H211" s="148">
        <v>2003</v>
      </c>
      <c r="I211" s="148">
        <v>9</v>
      </c>
      <c r="J211" s="148" t="s">
        <v>150</v>
      </c>
      <c r="K211" s="148" t="s">
        <v>119</v>
      </c>
      <c r="M211" s="148" t="s">
        <v>120</v>
      </c>
      <c r="N211" s="148">
        <v>6</v>
      </c>
      <c r="O211" s="148" t="s">
        <v>83</v>
      </c>
      <c r="Y211" s="150" t="s">
        <v>366</v>
      </c>
    </row>
    <row r="212" spans="1:25" ht="15.75" hidden="1" customHeight="1" x14ac:dyDescent="0.25">
      <c r="A212" s="148" t="s">
        <v>76</v>
      </c>
      <c r="B212" s="148" t="s">
        <v>103</v>
      </c>
      <c r="C212" s="148" t="s">
        <v>55</v>
      </c>
      <c r="D212" s="148" t="s">
        <v>29</v>
      </c>
      <c r="E212" s="148" t="s">
        <v>95</v>
      </c>
      <c r="F212" s="148" t="s">
        <v>56</v>
      </c>
      <c r="G212" s="148" t="s">
        <v>407</v>
      </c>
      <c r="H212" s="148">
        <v>2003</v>
      </c>
      <c r="I212" s="148">
        <v>9</v>
      </c>
      <c r="J212" s="148" t="s">
        <v>150</v>
      </c>
      <c r="K212" s="148" t="s">
        <v>388</v>
      </c>
      <c r="M212" s="148" t="s">
        <v>389</v>
      </c>
      <c r="N212" s="148">
        <v>8</v>
      </c>
      <c r="O212" s="148" t="s">
        <v>83</v>
      </c>
      <c r="Y212" s="150" t="s">
        <v>366</v>
      </c>
    </row>
    <row r="213" spans="1:25" ht="15.75" hidden="1" customHeight="1" x14ac:dyDescent="0.25">
      <c r="A213" s="148" t="s">
        <v>76</v>
      </c>
      <c r="B213" s="148" t="s">
        <v>103</v>
      </c>
      <c r="C213" s="148" t="s">
        <v>55</v>
      </c>
      <c r="D213" s="148" t="s">
        <v>29</v>
      </c>
      <c r="E213" s="148" t="s">
        <v>95</v>
      </c>
      <c r="F213" s="148" t="s">
        <v>56</v>
      </c>
      <c r="G213" s="148" t="s">
        <v>107</v>
      </c>
      <c r="H213" s="148">
        <v>2003</v>
      </c>
      <c r="I213" s="148">
        <v>9</v>
      </c>
      <c r="J213" s="148" t="s">
        <v>118</v>
      </c>
      <c r="K213" s="148" t="s">
        <v>172</v>
      </c>
      <c r="M213" s="148" t="s">
        <v>346</v>
      </c>
      <c r="N213" s="148">
        <v>10</v>
      </c>
      <c r="O213" s="148" t="s">
        <v>101</v>
      </c>
      <c r="P213" s="148" t="s">
        <v>261</v>
      </c>
      <c r="Y213" s="150" t="s">
        <v>366</v>
      </c>
    </row>
    <row r="214" spans="1:25" ht="15.75" hidden="1" customHeight="1" x14ac:dyDescent="0.25">
      <c r="A214" s="148" t="s">
        <v>76</v>
      </c>
      <c r="B214" s="148" t="s">
        <v>62</v>
      </c>
      <c r="C214" s="148" t="s">
        <v>28</v>
      </c>
      <c r="D214" s="148" t="s">
        <v>408</v>
      </c>
      <c r="E214" s="148" t="s">
        <v>51</v>
      </c>
      <c r="F214" s="148" t="s">
        <v>3183</v>
      </c>
      <c r="G214" s="148" t="s">
        <v>409</v>
      </c>
      <c r="H214" s="148">
        <v>2003</v>
      </c>
      <c r="I214" s="148">
        <v>9</v>
      </c>
      <c r="J214" s="148" t="s">
        <v>118</v>
      </c>
      <c r="K214" s="148" t="s">
        <v>172</v>
      </c>
      <c r="M214" s="148" t="s">
        <v>346</v>
      </c>
      <c r="N214" s="148">
        <v>10</v>
      </c>
      <c r="O214" s="148" t="s">
        <v>101</v>
      </c>
      <c r="P214" s="148" t="s">
        <v>410</v>
      </c>
      <c r="Y214" s="150" t="s">
        <v>366</v>
      </c>
    </row>
    <row r="215" spans="1:25" ht="15.75" hidden="1" customHeight="1" x14ac:dyDescent="0.25">
      <c r="A215" s="148" t="s">
        <v>76</v>
      </c>
      <c r="B215" s="148" t="s">
        <v>36</v>
      </c>
      <c r="C215" s="148" t="s">
        <v>28</v>
      </c>
      <c r="D215" s="148" t="s">
        <v>86</v>
      </c>
      <c r="E215" s="148" t="s">
        <v>30</v>
      </c>
      <c r="F215" s="148" t="s">
        <v>3183</v>
      </c>
      <c r="G215" s="148" t="s">
        <v>67</v>
      </c>
      <c r="H215" s="148">
        <v>2003</v>
      </c>
      <c r="I215" s="148">
        <v>9</v>
      </c>
      <c r="J215" s="148" t="s">
        <v>150</v>
      </c>
      <c r="K215" s="148" t="s">
        <v>327</v>
      </c>
      <c r="M215" s="148" t="s">
        <v>132</v>
      </c>
      <c r="N215" s="148">
        <v>8</v>
      </c>
      <c r="O215" s="148" t="s">
        <v>83</v>
      </c>
      <c r="Y215" s="150" t="s">
        <v>366</v>
      </c>
    </row>
    <row r="216" spans="1:25" ht="15.75" hidden="1" customHeight="1" x14ac:dyDescent="0.25">
      <c r="A216" s="148" t="s">
        <v>76</v>
      </c>
      <c r="B216" s="148" t="s">
        <v>44</v>
      </c>
      <c r="C216" s="148" t="s">
        <v>45</v>
      </c>
      <c r="D216" s="148" t="s">
        <v>86</v>
      </c>
      <c r="E216" s="148" t="s">
        <v>30</v>
      </c>
      <c r="F216" s="148" t="s">
        <v>47</v>
      </c>
      <c r="G216" s="148" t="s">
        <v>377</v>
      </c>
      <c r="H216" s="148">
        <v>2003</v>
      </c>
      <c r="I216" s="148">
        <v>9</v>
      </c>
      <c r="J216" s="148" t="s">
        <v>150</v>
      </c>
      <c r="K216" s="148" t="s">
        <v>388</v>
      </c>
      <c r="M216" s="148" t="s">
        <v>389</v>
      </c>
      <c r="N216" s="148">
        <v>8</v>
      </c>
      <c r="O216" s="148" t="s">
        <v>83</v>
      </c>
      <c r="Y216" s="150" t="s">
        <v>366</v>
      </c>
    </row>
    <row r="217" spans="1:25" ht="15.75" hidden="1" customHeight="1" x14ac:dyDescent="0.25">
      <c r="A217" s="148" t="s">
        <v>76</v>
      </c>
      <c r="B217" s="148" t="s">
        <v>89</v>
      </c>
      <c r="C217" s="148" t="s">
        <v>90</v>
      </c>
      <c r="D217" s="148" t="s">
        <v>29</v>
      </c>
      <c r="E217" s="148" t="s">
        <v>30</v>
      </c>
      <c r="F217" s="148" t="s">
        <v>91</v>
      </c>
      <c r="G217" s="148" t="s">
        <v>411</v>
      </c>
      <c r="H217" s="148">
        <v>2003</v>
      </c>
      <c r="I217" s="148">
        <v>9</v>
      </c>
      <c r="J217" s="148" t="s">
        <v>118</v>
      </c>
      <c r="K217" s="148" t="s">
        <v>172</v>
      </c>
      <c r="M217" s="148" t="s">
        <v>346</v>
      </c>
      <c r="N217" s="148">
        <v>10</v>
      </c>
      <c r="O217" s="148" t="s">
        <v>101</v>
      </c>
      <c r="P217" s="148" t="s">
        <v>412</v>
      </c>
      <c r="Y217" s="150" t="s">
        <v>366</v>
      </c>
    </row>
    <row r="218" spans="1:25" ht="15.75" hidden="1" customHeight="1" x14ac:dyDescent="0.25">
      <c r="A218" s="148" t="s">
        <v>76</v>
      </c>
      <c r="B218" s="148" t="s">
        <v>27</v>
      </c>
      <c r="C218" s="148" t="s">
        <v>28</v>
      </c>
      <c r="D218" s="148" t="s">
        <v>99</v>
      </c>
      <c r="E218" s="148" t="s">
        <v>40</v>
      </c>
      <c r="F218" s="148" t="s">
        <v>41</v>
      </c>
      <c r="G218" s="148" t="s">
        <v>42</v>
      </c>
      <c r="H218" s="148">
        <v>2003</v>
      </c>
      <c r="I218" s="148">
        <v>9</v>
      </c>
      <c r="J218" s="148" t="s">
        <v>150</v>
      </c>
      <c r="K218" s="148" t="s">
        <v>327</v>
      </c>
      <c r="M218" s="148" t="s">
        <v>132</v>
      </c>
      <c r="N218" s="148">
        <v>8</v>
      </c>
      <c r="O218" s="148" t="s">
        <v>83</v>
      </c>
      <c r="Y218" s="150" t="s">
        <v>366</v>
      </c>
    </row>
    <row r="219" spans="1:25" ht="15.75" hidden="1" customHeight="1" x14ac:dyDescent="0.25">
      <c r="A219" s="148" t="s">
        <v>76</v>
      </c>
      <c r="B219" s="148" t="s">
        <v>89</v>
      </c>
      <c r="C219" s="148" t="s">
        <v>90</v>
      </c>
      <c r="D219" s="148" t="s">
        <v>29</v>
      </c>
      <c r="E219" s="148" t="s">
        <v>30</v>
      </c>
      <c r="F219" s="148" t="s">
        <v>91</v>
      </c>
      <c r="G219" s="148" t="s">
        <v>93</v>
      </c>
      <c r="H219" s="148">
        <v>2003</v>
      </c>
      <c r="I219" s="148">
        <v>9</v>
      </c>
      <c r="J219" s="148" t="s">
        <v>118</v>
      </c>
      <c r="K219" s="148" t="s">
        <v>172</v>
      </c>
      <c r="M219" s="148" t="s">
        <v>346</v>
      </c>
      <c r="N219" s="148">
        <v>10</v>
      </c>
      <c r="O219" s="148" t="s">
        <v>101</v>
      </c>
      <c r="P219" s="148" t="s">
        <v>146</v>
      </c>
      <c r="Y219" s="150" t="s">
        <v>366</v>
      </c>
    </row>
    <row r="220" spans="1:25" ht="13.5" hidden="1" customHeight="1" x14ac:dyDescent="0.25">
      <c r="A220" s="148" t="s">
        <v>76</v>
      </c>
      <c r="B220" s="148" t="s">
        <v>89</v>
      </c>
      <c r="C220" s="148" t="s">
        <v>90</v>
      </c>
      <c r="D220" s="148" t="s">
        <v>29</v>
      </c>
      <c r="E220" s="148" t="s">
        <v>40</v>
      </c>
      <c r="F220" s="148" t="s">
        <v>91</v>
      </c>
      <c r="G220" s="148" t="s">
        <v>413</v>
      </c>
      <c r="H220" s="148">
        <v>2003</v>
      </c>
      <c r="I220" s="148">
        <v>9</v>
      </c>
      <c r="J220" s="148" t="s">
        <v>150</v>
      </c>
      <c r="K220" s="148" t="s">
        <v>245</v>
      </c>
      <c r="M220" s="148" t="s">
        <v>246</v>
      </c>
      <c r="N220" s="148">
        <v>6</v>
      </c>
      <c r="O220" s="148" t="s">
        <v>83</v>
      </c>
      <c r="Y220" s="150" t="s">
        <v>366</v>
      </c>
    </row>
    <row r="221" spans="1:25" ht="15.75" hidden="1" customHeight="1" x14ac:dyDescent="0.25">
      <c r="A221" s="148" t="s">
        <v>76</v>
      </c>
      <c r="B221" s="148" t="s">
        <v>89</v>
      </c>
      <c r="C221" s="148" t="s">
        <v>90</v>
      </c>
      <c r="D221" s="148" t="s">
        <v>29</v>
      </c>
      <c r="E221" s="148" t="s">
        <v>30</v>
      </c>
      <c r="F221" s="148" t="s">
        <v>91</v>
      </c>
      <c r="G221" s="148" t="s">
        <v>280</v>
      </c>
      <c r="H221" s="148">
        <v>2003</v>
      </c>
      <c r="I221" s="148">
        <v>9</v>
      </c>
      <c r="J221" s="148" t="s">
        <v>150</v>
      </c>
      <c r="K221" s="148" t="s">
        <v>245</v>
      </c>
      <c r="M221" s="148" t="s">
        <v>246</v>
      </c>
      <c r="N221" s="148">
        <v>6</v>
      </c>
      <c r="O221" s="148" t="s">
        <v>83</v>
      </c>
      <c r="Y221" s="150" t="s">
        <v>366</v>
      </c>
    </row>
    <row r="222" spans="1:25" ht="15.75" hidden="1" customHeight="1" x14ac:dyDescent="0.25">
      <c r="A222" s="148" t="s">
        <v>76</v>
      </c>
      <c r="B222" s="148" t="s">
        <v>89</v>
      </c>
      <c r="C222" s="148" t="s">
        <v>90</v>
      </c>
      <c r="D222" s="148" t="s">
        <v>29</v>
      </c>
      <c r="E222" s="148" t="s">
        <v>30</v>
      </c>
      <c r="F222" s="148" t="s">
        <v>91</v>
      </c>
      <c r="G222" s="148" t="s">
        <v>414</v>
      </c>
      <c r="H222" s="148">
        <v>2003</v>
      </c>
      <c r="I222" s="148">
        <v>9</v>
      </c>
      <c r="J222" s="148" t="s">
        <v>150</v>
      </c>
      <c r="K222" s="148" t="s">
        <v>245</v>
      </c>
      <c r="M222" s="148" t="s">
        <v>246</v>
      </c>
      <c r="N222" s="148">
        <v>6</v>
      </c>
      <c r="O222" s="148" t="s">
        <v>83</v>
      </c>
      <c r="Y222" s="150" t="s">
        <v>366</v>
      </c>
    </row>
    <row r="223" spans="1:25" ht="13.5" hidden="1" customHeight="1" x14ac:dyDescent="0.25">
      <c r="A223" s="148" t="s">
        <v>26</v>
      </c>
      <c r="B223" s="148" t="s">
        <v>36</v>
      </c>
      <c r="C223" s="148" t="s">
        <v>28</v>
      </c>
      <c r="D223" s="148" t="s">
        <v>29</v>
      </c>
      <c r="E223" s="148" t="s">
        <v>30</v>
      </c>
      <c r="F223" s="148" t="s">
        <v>3183</v>
      </c>
      <c r="G223" s="148" t="s">
        <v>211</v>
      </c>
      <c r="H223" s="148">
        <v>2003</v>
      </c>
      <c r="I223" s="148">
        <v>10</v>
      </c>
      <c r="J223" s="148" t="s">
        <v>33</v>
      </c>
      <c r="U223" s="149" t="s">
        <v>112</v>
      </c>
      <c r="V223" s="148" t="s">
        <v>3659</v>
      </c>
      <c r="W223" s="148" t="s">
        <v>87</v>
      </c>
      <c r="X223" s="148" t="s">
        <v>415</v>
      </c>
    </row>
    <row r="224" spans="1:25" ht="15.75" hidden="1" customHeight="1" x14ac:dyDescent="0.25">
      <c r="A224" s="148" t="s">
        <v>76</v>
      </c>
      <c r="B224" s="148" t="s">
        <v>116</v>
      </c>
      <c r="C224" s="148" t="s">
        <v>90</v>
      </c>
      <c r="D224" s="148" t="s">
        <v>86</v>
      </c>
      <c r="E224" s="148" t="s">
        <v>40</v>
      </c>
      <c r="F224" s="148" t="s">
        <v>41</v>
      </c>
      <c r="G224" s="148" t="s">
        <v>117</v>
      </c>
      <c r="H224" s="148">
        <v>2003</v>
      </c>
      <c r="I224" s="148">
        <v>10</v>
      </c>
      <c r="J224" s="148" t="s">
        <v>118</v>
      </c>
      <c r="K224" s="148" t="s">
        <v>327</v>
      </c>
      <c r="M224" s="148" t="s">
        <v>132</v>
      </c>
      <c r="N224" s="148">
        <v>8</v>
      </c>
      <c r="O224" s="148" t="s">
        <v>101</v>
      </c>
      <c r="P224" s="148" t="s">
        <v>416</v>
      </c>
      <c r="Y224" s="150" t="s">
        <v>366</v>
      </c>
    </row>
    <row r="225" spans="1:25" ht="15.75" hidden="1" customHeight="1" x14ac:dyDescent="0.25">
      <c r="A225" s="148" t="s">
        <v>76</v>
      </c>
      <c r="B225" s="148" t="s">
        <v>103</v>
      </c>
      <c r="C225" s="148" t="s">
        <v>55</v>
      </c>
      <c r="D225" s="148" t="s">
        <v>29</v>
      </c>
      <c r="E225" s="148" t="s">
        <v>95</v>
      </c>
      <c r="F225" s="148" t="s">
        <v>56</v>
      </c>
      <c r="G225" s="148" t="s">
        <v>104</v>
      </c>
      <c r="H225" s="148">
        <v>2003</v>
      </c>
      <c r="I225" s="148">
        <v>10</v>
      </c>
      <c r="J225" s="148" t="s">
        <v>118</v>
      </c>
      <c r="K225" s="148" t="s">
        <v>327</v>
      </c>
      <c r="M225" s="148" t="s">
        <v>132</v>
      </c>
      <c r="N225" s="148">
        <v>8</v>
      </c>
      <c r="O225" s="148" t="s">
        <v>101</v>
      </c>
      <c r="P225" s="148" t="s">
        <v>315</v>
      </c>
      <c r="Y225" s="150" t="s">
        <v>366</v>
      </c>
    </row>
    <row r="226" spans="1:25" ht="15.75" hidden="1" customHeight="1" x14ac:dyDescent="0.25">
      <c r="A226" s="148" t="s">
        <v>76</v>
      </c>
      <c r="B226" s="148" t="s">
        <v>89</v>
      </c>
      <c r="C226" s="148" t="s">
        <v>90</v>
      </c>
      <c r="D226" s="148" t="s">
        <v>29</v>
      </c>
      <c r="E226" s="148" t="s">
        <v>30</v>
      </c>
      <c r="F226" s="148" t="s">
        <v>91</v>
      </c>
      <c r="G226" s="148" t="s">
        <v>417</v>
      </c>
      <c r="H226" s="148">
        <v>2003</v>
      </c>
      <c r="I226" s="148">
        <v>10</v>
      </c>
      <c r="J226" s="148" t="s">
        <v>118</v>
      </c>
      <c r="K226" s="148" t="s">
        <v>172</v>
      </c>
      <c r="M226" s="148" t="s">
        <v>346</v>
      </c>
      <c r="N226" s="148">
        <v>10</v>
      </c>
      <c r="O226" s="148" t="s">
        <v>101</v>
      </c>
      <c r="P226" s="148" t="s">
        <v>146</v>
      </c>
      <c r="Y226" s="150" t="s">
        <v>366</v>
      </c>
    </row>
    <row r="227" spans="1:25" ht="15.75" hidden="1" customHeight="1" x14ac:dyDescent="0.25">
      <c r="A227" s="148" t="s">
        <v>76</v>
      </c>
      <c r="B227" s="148" t="s">
        <v>103</v>
      </c>
      <c r="C227" s="148" t="s">
        <v>55</v>
      </c>
      <c r="D227" s="148" t="s">
        <v>29</v>
      </c>
      <c r="E227" s="148" t="s">
        <v>95</v>
      </c>
      <c r="F227" s="148" t="s">
        <v>56</v>
      </c>
      <c r="G227" s="148" t="s">
        <v>153</v>
      </c>
      <c r="H227" s="148">
        <v>2003</v>
      </c>
      <c r="I227" s="148">
        <v>10</v>
      </c>
      <c r="J227" s="148" t="s">
        <v>118</v>
      </c>
      <c r="K227" s="148" t="s">
        <v>327</v>
      </c>
      <c r="M227" s="148" t="s">
        <v>132</v>
      </c>
      <c r="N227" s="148">
        <v>8</v>
      </c>
      <c r="O227" s="148" t="s">
        <v>101</v>
      </c>
      <c r="P227" s="148" t="s">
        <v>418</v>
      </c>
      <c r="Y227" s="150" t="s">
        <v>366</v>
      </c>
    </row>
    <row r="228" spans="1:25" ht="15.75" hidden="1" customHeight="1" x14ac:dyDescent="0.25">
      <c r="A228" s="148" t="s">
        <v>76</v>
      </c>
      <c r="B228" s="148" t="s">
        <v>198</v>
      </c>
      <c r="C228" s="148" t="s">
        <v>45</v>
      </c>
      <c r="D228" s="148" t="s">
        <v>29</v>
      </c>
      <c r="E228" s="148" t="s">
        <v>30</v>
      </c>
      <c r="F228" s="148" t="s">
        <v>199</v>
      </c>
      <c r="G228" s="148" t="s">
        <v>419</v>
      </c>
      <c r="H228" s="148">
        <v>2003</v>
      </c>
      <c r="I228" s="148">
        <v>10</v>
      </c>
      <c r="J228" s="148" t="s">
        <v>118</v>
      </c>
      <c r="K228" s="148" t="s">
        <v>172</v>
      </c>
      <c r="M228" s="148" t="s">
        <v>346</v>
      </c>
      <c r="N228" s="148">
        <v>10</v>
      </c>
      <c r="O228" s="148" t="s">
        <v>101</v>
      </c>
      <c r="P228" s="148" t="s">
        <v>420</v>
      </c>
      <c r="Y228" s="150" t="s">
        <v>366</v>
      </c>
    </row>
    <row r="229" spans="1:25" ht="15.75" hidden="1" customHeight="1" x14ac:dyDescent="0.25">
      <c r="A229" s="148" t="s">
        <v>76</v>
      </c>
      <c r="B229" s="148" t="s">
        <v>116</v>
      </c>
      <c r="C229" s="148" t="s">
        <v>90</v>
      </c>
      <c r="D229" s="148" t="s">
        <v>29</v>
      </c>
      <c r="E229" s="148" t="s">
        <v>30</v>
      </c>
      <c r="F229" s="148" t="s">
        <v>41</v>
      </c>
      <c r="G229" s="148" t="s">
        <v>421</v>
      </c>
      <c r="H229" s="148">
        <v>2003</v>
      </c>
      <c r="I229" s="148">
        <v>10</v>
      </c>
      <c r="J229" s="148" t="s">
        <v>118</v>
      </c>
      <c r="K229" s="148" t="s">
        <v>422</v>
      </c>
      <c r="M229" s="148" t="s">
        <v>120</v>
      </c>
      <c r="N229" s="148">
        <v>8</v>
      </c>
      <c r="O229" s="148" t="s">
        <v>101</v>
      </c>
      <c r="P229" s="148" t="s">
        <v>423</v>
      </c>
      <c r="Y229" s="150" t="s">
        <v>424</v>
      </c>
    </row>
    <row r="230" spans="1:25" ht="15.75" hidden="1" customHeight="1" x14ac:dyDescent="0.25">
      <c r="A230" s="148" t="s">
        <v>76</v>
      </c>
      <c r="B230" s="148" t="s">
        <v>62</v>
      </c>
      <c r="C230" s="148" t="s">
        <v>28</v>
      </c>
      <c r="D230" s="148" t="s">
        <v>29</v>
      </c>
      <c r="E230" s="148" t="s">
        <v>30</v>
      </c>
      <c r="F230" s="148" t="s">
        <v>3183</v>
      </c>
      <c r="G230" s="148" t="s">
        <v>244</v>
      </c>
      <c r="H230" s="148">
        <v>2003</v>
      </c>
      <c r="I230" s="148">
        <v>10</v>
      </c>
      <c r="J230" s="148" t="s">
        <v>118</v>
      </c>
      <c r="K230" s="148" t="s">
        <v>327</v>
      </c>
      <c r="M230" s="148" t="s">
        <v>132</v>
      </c>
      <c r="N230" s="148">
        <v>8</v>
      </c>
      <c r="O230" s="148" t="s">
        <v>101</v>
      </c>
      <c r="P230" s="148" t="s">
        <v>375</v>
      </c>
      <c r="Y230" s="150" t="s">
        <v>366</v>
      </c>
    </row>
    <row r="231" spans="1:25" ht="15.75" hidden="1" customHeight="1" x14ac:dyDescent="0.25">
      <c r="A231" s="148" t="s">
        <v>76</v>
      </c>
      <c r="B231" s="148" t="s">
        <v>27</v>
      </c>
      <c r="C231" s="148" t="s">
        <v>28</v>
      </c>
      <c r="D231" s="148" t="s">
        <v>99</v>
      </c>
      <c r="E231" s="148" t="s">
        <v>40</v>
      </c>
      <c r="F231" s="148" t="s">
        <v>41</v>
      </c>
      <c r="G231" s="148" t="s">
        <v>42</v>
      </c>
      <c r="H231" s="148">
        <v>2003</v>
      </c>
      <c r="I231" s="148">
        <v>10</v>
      </c>
      <c r="J231" s="148" t="s">
        <v>118</v>
      </c>
      <c r="K231" s="148" t="s">
        <v>172</v>
      </c>
      <c r="M231" s="148" t="s">
        <v>346</v>
      </c>
      <c r="N231" s="148">
        <v>10</v>
      </c>
      <c r="O231" s="148" t="s">
        <v>101</v>
      </c>
      <c r="P231" s="148" t="s">
        <v>425</v>
      </c>
      <c r="Y231" s="150" t="s">
        <v>366</v>
      </c>
    </row>
    <row r="232" spans="1:25" ht="15.75" hidden="1" customHeight="1" x14ac:dyDescent="0.25">
      <c r="A232" s="148" t="s">
        <v>307</v>
      </c>
      <c r="B232" s="148" t="s">
        <v>27</v>
      </c>
      <c r="C232" s="148" t="s">
        <v>28</v>
      </c>
      <c r="D232" s="148" t="s">
        <v>99</v>
      </c>
      <c r="E232" s="148" t="s">
        <v>40</v>
      </c>
      <c r="F232" s="148" t="s">
        <v>41</v>
      </c>
      <c r="G232" s="148" t="s">
        <v>42</v>
      </c>
      <c r="H232" s="148">
        <v>2003</v>
      </c>
      <c r="I232" s="148">
        <v>10</v>
      </c>
      <c r="J232" s="148" t="s">
        <v>308</v>
      </c>
      <c r="Q232" s="148" t="s">
        <v>426</v>
      </c>
      <c r="R232" s="148" t="s">
        <v>38</v>
      </c>
      <c r="S232" s="148" t="s">
        <v>427</v>
      </c>
      <c r="T232" s="148" t="s">
        <v>428</v>
      </c>
      <c r="Y232" s="150" t="s">
        <v>366</v>
      </c>
    </row>
    <row r="233" spans="1:25" ht="15.75" hidden="1" customHeight="1" x14ac:dyDescent="0.25">
      <c r="A233" s="148" t="s">
        <v>76</v>
      </c>
      <c r="B233" s="148" t="s">
        <v>103</v>
      </c>
      <c r="C233" s="148" t="s">
        <v>55</v>
      </c>
      <c r="D233" s="148" t="s">
        <v>29</v>
      </c>
      <c r="E233" s="148" t="s">
        <v>95</v>
      </c>
      <c r="F233" s="148" t="s">
        <v>56</v>
      </c>
      <c r="G233" s="148" t="s">
        <v>168</v>
      </c>
      <c r="H233" s="148">
        <v>2003</v>
      </c>
      <c r="I233" s="148">
        <v>10</v>
      </c>
      <c r="J233" s="148" t="s">
        <v>118</v>
      </c>
      <c r="K233" s="148" t="s">
        <v>172</v>
      </c>
      <c r="M233" s="148" t="s">
        <v>346</v>
      </c>
      <c r="N233" s="148">
        <v>10</v>
      </c>
      <c r="O233" s="148" t="s">
        <v>101</v>
      </c>
      <c r="P233" s="148" t="s">
        <v>146</v>
      </c>
      <c r="Y233" s="150" t="s">
        <v>366</v>
      </c>
    </row>
    <row r="234" spans="1:25" ht="15.75" hidden="1" customHeight="1" x14ac:dyDescent="0.25">
      <c r="A234" s="148" t="s">
        <v>76</v>
      </c>
      <c r="B234" s="148" t="s">
        <v>89</v>
      </c>
      <c r="C234" s="148" t="s">
        <v>90</v>
      </c>
      <c r="D234" s="148" t="s">
        <v>29</v>
      </c>
      <c r="E234" s="148" t="s">
        <v>30</v>
      </c>
      <c r="F234" s="148" t="s">
        <v>91</v>
      </c>
      <c r="G234" s="148" t="s">
        <v>429</v>
      </c>
      <c r="H234" s="148">
        <v>2003</v>
      </c>
      <c r="I234" s="148">
        <v>10</v>
      </c>
      <c r="J234" s="148" t="s">
        <v>118</v>
      </c>
      <c r="K234" s="148" t="s">
        <v>379</v>
      </c>
      <c r="M234" s="148" t="s">
        <v>126</v>
      </c>
      <c r="N234" s="148">
        <v>10</v>
      </c>
      <c r="O234" s="148" t="s">
        <v>101</v>
      </c>
      <c r="P234" s="148" t="s">
        <v>261</v>
      </c>
      <c r="Y234" s="150" t="s">
        <v>366</v>
      </c>
    </row>
    <row r="235" spans="1:25" ht="15.75" hidden="1" customHeight="1" x14ac:dyDescent="0.25">
      <c r="A235" s="148" t="s">
        <v>26</v>
      </c>
      <c r="B235" s="148" t="s">
        <v>36</v>
      </c>
      <c r="C235" s="148" t="s">
        <v>28</v>
      </c>
      <c r="D235" s="148" t="s">
        <v>29</v>
      </c>
      <c r="E235" s="148" t="s">
        <v>30</v>
      </c>
      <c r="F235" s="148" t="s">
        <v>3183</v>
      </c>
      <c r="G235" s="148" t="s">
        <v>194</v>
      </c>
      <c r="H235" s="148">
        <v>2003</v>
      </c>
      <c r="I235" s="148">
        <v>10</v>
      </c>
      <c r="J235" s="148" t="s">
        <v>33</v>
      </c>
      <c r="U235" s="149" t="s">
        <v>112</v>
      </c>
      <c r="V235" s="148" t="s">
        <v>3660</v>
      </c>
      <c r="W235" s="148" t="s">
        <v>87</v>
      </c>
      <c r="X235" s="148" t="s">
        <v>415</v>
      </c>
    </row>
    <row r="236" spans="1:25" ht="15.75" hidden="1" customHeight="1" x14ac:dyDescent="0.25">
      <c r="A236" s="148" t="s">
        <v>76</v>
      </c>
      <c r="B236" s="148" t="s">
        <v>198</v>
      </c>
      <c r="C236" s="148" t="s">
        <v>45</v>
      </c>
      <c r="D236" s="148" t="s">
        <v>29</v>
      </c>
      <c r="E236" s="148" t="s">
        <v>30</v>
      </c>
      <c r="F236" s="148" t="s">
        <v>199</v>
      </c>
      <c r="G236" s="148" t="s">
        <v>430</v>
      </c>
      <c r="H236" s="148">
        <v>2003</v>
      </c>
      <c r="I236" s="148">
        <v>10</v>
      </c>
      <c r="J236" s="148" t="s">
        <v>118</v>
      </c>
      <c r="K236" s="148" t="s">
        <v>172</v>
      </c>
      <c r="M236" s="148" t="s">
        <v>346</v>
      </c>
      <c r="N236" s="148">
        <v>10</v>
      </c>
      <c r="O236" s="148" t="s">
        <v>101</v>
      </c>
      <c r="P236" s="148" t="s">
        <v>431</v>
      </c>
      <c r="Y236" s="150" t="s">
        <v>366</v>
      </c>
    </row>
    <row r="237" spans="1:25" ht="15.75" hidden="1" customHeight="1" x14ac:dyDescent="0.25">
      <c r="A237" s="148" t="s">
        <v>76</v>
      </c>
      <c r="B237" s="148" t="s">
        <v>103</v>
      </c>
      <c r="C237" s="148" t="s">
        <v>55</v>
      </c>
      <c r="D237" s="148" t="s">
        <v>29</v>
      </c>
      <c r="E237" s="148" t="s">
        <v>30</v>
      </c>
      <c r="F237" s="148" t="s">
        <v>56</v>
      </c>
      <c r="G237" s="148" t="s">
        <v>432</v>
      </c>
      <c r="H237" s="148">
        <v>2003</v>
      </c>
      <c r="I237" s="148">
        <v>10</v>
      </c>
      <c r="J237" s="148" t="s">
        <v>118</v>
      </c>
      <c r="K237" s="148" t="s">
        <v>327</v>
      </c>
      <c r="M237" s="148" t="s">
        <v>132</v>
      </c>
      <c r="N237" s="148">
        <v>8</v>
      </c>
      <c r="O237" s="148" t="s">
        <v>101</v>
      </c>
      <c r="P237" s="148" t="s">
        <v>433</v>
      </c>
      <c r="Y237" s="150" t="s">
        <v>366</v>
      </c>
    </row>
    <row r="238" spans="1:25" ht="15.75" hidden="1" customHeight="1" x14ac:dyDescent="0.25">
      <c r="A238" s="148" t="s">
        <v>76</v>
      </c>
      <c r="B238" s="148" t="s">
        <v>44</v>
      </c>
      <c r="C238" s="148" t="s">
        <v>45</v>
      </c>
      <c r="D238" s="148" t="s">
        <v>29</v>
      </c>
      <c r="E238" s="148" t="s">
        <v>46</v>
      </c>
      <c r="F238" s="148" t="s">
        <v>47</v>
      </c>
      <c r="G238" s="148" t="s">
        <v>48</v>
      </c>
      <c r="H238" s="148">
        <v>2003</v>
      </c>
      <c r="I238" s="148">
        <v>10</v>
      </c>
      <c r="J238" s="148" t="s">
        <v>150</v>
      </c>
      <c r="K238" s="148" t="s">
        <v>172</v>
      </c>
      <c r="M238" s="148" t="s">
        <v>346</v>
      </c>
      <c r="N238" s="148">
        <v>10</v>
      </c>
      <c r="O238" s="148" t="s">
        <v>83</v>
      </c>
      <c r="P238" s="148" t="s">
        <v>434</v>
      </c>
      <c r="Y238" s="150" t="s">
        <v>366</v>
      </c>
    </row>
    <row r="239" spans="1:25" ht="15.75" hidden="1" customHeight="1" x14ac:dyDescent="0.25">
      <c r="A239" s="148" t="s">
        <v>26</v>
      </c>
      <c r="B239" s="148" t="s">
        <v>44</v>
      </c>
      <c r="C239" s="148" t="s">
        <v>45</v>
      </c>
      <c r="D239" s="148" t="s">
        <v>29</v>
      </c>
      <c r="E239" s="148" t="s">
        <v>30</v>
      </c>
      <c r="F239" s="148" t="s">
        <v>47</v>
      </c>
      <c r="G239" s="148" t="s">
        <v>48</v>
      </c>
      <c r="H239" s="148">
        <v>2003</v>
      </c>
      <c r="I239" s="148">
        <v>10</v>
      </c>
      <c r="J239" s="148" t="s">
        <v>33</v>
      </c>
      <c r="U239" s="149" t="s">
        <v>112</v>
      </c>
      <c r="V239" s="148" t="s">
        <v>3659</v>
      </c>
      <c r="W239" s="148" t="s">
        <v>87</v>
      </c>
      <c r="X239" s="148" t="s">
        <v>415</v>
      </c>
    </row>
    <row r="240" spans="1:25" ht="15.75" hidden="1" customHeight="1" x14ac:dyDescent="0.25">
      <c r="A240" s="148" t="s">
        <v>76</v>
      </c>
      <c r="B240" s="148" t="s">
        <v>36</v>
      </c>
      <c r="C240" s="148" t="s">
        <v>28</v>
      </c>
      <c r="D240" s="148" t="s">
        <v>29</v>
      </c>
      <c r="E240" s="148" t="s">
        <v>30</v>
      </c>
      <c r="F240" s="148" t="s">
        <v>3183</v>
      </c>
      <c r="G240" s="148" t="s">
        <v>114</v>
      </c>
      <c r="H240" s="148">
        <v>2003</v>
      </c>
      <c r="I240" s="148">
        <v>10</v>
      </c>
      <c r="J240" s="148" t="s">
        <v>118</v>
      </c>
      <c r="K240" s="148" t="s">
        <v>327</v>
      </c>
      <c r="M240" s="148" t="s">
        <v>132</v>
      </c>
      <c r="N240" s="148">
        <v>8</v>
      </c>
      <c r="O240" s="148" t="s">
        <v>101</v>
      </c>
      <c r="P240" s="148" t="s">
        <v>435</v>
      </c>
      <c r="Y240" s="150" t="s">
        <v>366</v>
      </c>
    </row>
    <row r="241" spans="1:25" ht="15.75" hidden="1" customHeight="1" x14ac:dyDescent="0.25">
      <c r="A241" s="148" t="s">
        <v>76</v>
      </c>
      <c r="B241" s="148" t="s">
        <v>103</v>
      </c>
      <c r="C241" s="148" t="s">
        <v>55</v>
      </c>
      <c r="D241" s="148" t="s">
        <v>158</v>
      </c>
      <c r="E241" s="148" t="s">
        <v>30</v>
      </c>
      <c r="F241" s="148" t="s">
        <v>56</v>
      </c>
      <c r="G241" s="148" t="s">
        <v>171</v>
      </c>
      <c r="H241" s="148">
        <v>2003</v>
      </c>
      <c r="I241" s="148">
        <v>11</v>
      </c>
      <c r="J241" s="148" t="s">
        <v>118</v>
      </c>
      <c r="K241" s="148" t="s">
        <v>172</v>
      </c>
      <c r="M241" s="148" t="s">
        <v>346</v>
      </c>
      <c r="N241" s="148">
        <v>10</v>
      </c>
      <c r="O241" s="148" t="s">
        <v>101</v>
      </c>
      <c r="P241" s="148" t="s">
        <v>436</v>
      </c>
      <c r="Y241" s="150" t="s">
        <v>366</v>
      </c>
    </row>
    <row r="242" spans="1:25" ht="15.75" hidden="1" customHeight="1" x14ac:dyDescent="0.25">
      <c r="A242" s="148" t="s">
        <v>76</v>
      </c>
      <c r="B242" s="148" t="s">
        <v>89</v>
      </c>
      <c r="C242" s="148" t="s">
        <v>90</v>
      </c>
      <c r="D242" s="148" t="s">
        <v>29</v>
      </c>
      <c r="E242" s="148" t="s">
        <v>30</v>
      </c>
      <c r="F242" s="148" t="s">
        <v>91</v>
      </c>
      <c r="G242" s="148" t="s">
        <v>437</v>
      </c>
      <c r="H242" s="148">
        <v>2003</v>
      </c>
      <c r="I242" s="148">
        <v>11</v>
      </c>
      <c r="J242" s="148" t="s">
        <v>150</v>
      </c>
      <c r="K242" s="148" t="s">
        <v>235</v>
      </c>
      <c r="M242" s="148" t="s">
        <v>236</v>
      </c>
      <c r="N242" s="148">
        <v>6</v>
      </c>
      <c r="O242" s="148" t="s">
        <v>83</v>
      </c>
      <c r="Y242" s="150" t="s">
        <v>366</v>
      </c>
    </row>
    <row r="243" spans="1:25" ht="15.75" hidden="1" customHeight="1" x14ac:dyDescent="0.25">
      <c r="A243" s="148" t="s">
        <v>76</v>
      </c>
      <c r="B243" s="148" t="s">
        <v>198</v>
      </c>
      <c r="C243" s="148" t="s">
        <v>45</v>
      </c>
      <c r="D243" s="148" t="s">
        <v>99</v>
      </c>
      <c r="E243" s="148" t="s">
        <v>30</v>
      </c>
      <c r="F243" s="148" t="s">
        <v>199</v>
      </c>
      <c r="G243" s="148" t="s">
        <v>208</v>
      </c>
      <c r="H243" s="148">
        <v>2003</v>
      </c>
      <c r="I243" s="148">
        <v>11</v>
      </c>
      <c r="J243" s="148" t="s">
        <v>118</v>
      </c>
      <c r="K243" s="148" t="s">
        <v>172</v>
      </c>
      <c r="M243" s="148" t="s">
        <v>346</v>
      </c>
      <c r="N243" s="148">
        <v>10</v>
      </c>
      <c r="O243" s="148" t="s">
        <v>101</v>
      </c>
      <c r="P243" s="148" t="s">
        <v>146</v>
      </c>
      <c r="Y243" s="150" t="s">
        <v>366</v>
      </c>
    </row>
    <row r="244" spans="1:25" ht="15.75" hidden="1" customHeight="1" x14ac:dyDescent="0.25">
      <c r="A244" s="148" t="s">
        <v>76</v>
      </c>
      <c r="B244" s="148" t="s">
        <v>36</v>
      </c>
      <c r="C244" s="148" t="s">
        <v>28</v>
      </c>
      <c r="D244" s="148" t="s">
        <v>29</v>
      </c>
      <c r="E244" s="148" t="s">
        <v>30</v>
      </c>
      <c r="F244" s="148" t="s">
        <v>3183</v>
      </c>
      <c r="G244" s="148" t="s">
        <v>438</v>
      </c>
      <c r="H244" s="148">
        <v>2003</v>
      </c>
      <c r="I244" s="148">
        <v>11</v>
      </c>
      <c r="J244" s="148" t="s">
        <v>118</v>
      </c>
      <c r="K244" s="148" t="s">
        <v>327</v>
      </c>
      <c r="M244" s="148" t="s">
        <v>132</v>
      </c>
      <c r="N244" s="148">
        <v>8</v>
      </c>
      <c r="O244" s="148" t="s">
        <v>101</v>
      </c>
      <c r="P244" s="148" t="s">
        <v>439</v>
      </c>
      <c r="Y244" s="150" t="s">
        <v>366</v>
      </c>
    </row>
    <row r="245" spans="1:25" ht="15.75" hidden="1" customHeight="1" x14ac:dyDescent="0.25">
      <c r="A245" s="148" t="s">
        <v>76</v>
      </c>
      <c r="B245" s="148" t="s">
        <v>44</v>
      </c>
      <c r="C245" s="148" t="s">
        <v>45</v>
      </c>
      <c r="D245" s="148" t="s">
        <v>94</v>
      </c>
      <c r="E245" s="148" t="s">
        <v>95</v>
      </c>
      <c r="F245" s="148" t="s">
        <v>47</v>
      </c>
      <c r="G245" s="148" t="s">
        <v>96</v>
      </c>
      <c r="H245" s="148">
        <v>2003</v>
      </c>
      <c r="I245" s="148">
        <v>11</v>
      </c>
      <c r="J245" s="148" t="s">
        <v>150</v>
      </c>
      <c r="K245" s="148" t="s">
        <v>440</v>
      </c>
      <c r="M245" s="148" t="s">
        <v>441</v>
      </c>
      <c r="N245" s="148">
        <v>6</v>
      </c>
      <c r="O245" s="148" t="s">
        <v>83</v>
      </c>
      <c r="Y245" s="150" t="s">
        <v>366</v>
      </c>
    </row>
    <row r="246" spans="1:25" ht="15.75" hidden="1" customHeight="1" x14ac:dyDescent="0.25">
      <c r="A246" s="148" t="s">
        <v>76</v>
      </c>
      <c r="B246" s="148" t="s">
        <v>103</v>
      </c>
      <c r="C246" s="148" t="s">
        <v>55</v>
      </c>
      <c r="D246" s="148" t="s">
        <v>29</v>
      </c>
      <c r="E246" s="148" t="s">
        <v>95</v>
      </c>
      <c r="F246" s="148" t="s">
        <v>56</v>
      </c>
      <c r="G246" s="148" t="s">
        <v>176</v>
      </c>
      <c r="H246" s="148">
        <v>2003</v>
      </c>
      <c r="I246" s="148">
        <v>11</v>
      </c>
      <c r="J246" s="148" t="s">
        <v>150</v>
      </c>
      <c r="K246" s="148" t="s">
        <v>372</v>
      </c>
      <c r="M246" s="148" t="s">
        <v>442</v>
      </c>
      <c r="N246" s="148">
        <v>6</v>
      </c>
      <c r="O246" s="148" t="s">
        <v>83</v>
      </c>
      <c r="Y246" s="150" t="s">
        <v>366</v>
      </c>
    </row>
    <row r="247" spans="1:25" ht="15.75" hidden="1" customHeight="1" x14ac:dyDescent="0.25">
      <c r="A247" s="148" t="s">
        <v>76</v>
      </c>
      <c r="B247" s="148" t="s">
        <v>116</v>
      </c>
      <c r="C247" s="148" t="s">
        <v>90</v>
      </c>
      <c r="D247" s="148" t="s">
        <v>86</v>
      </c>
      <c r="E247" s="148" t="s">
        <v>40</v>
      </c>
      <c r="F247" s="148" t="s">
        <v>41</v>
      </c>
      <c r="G247" s="148" t="s">
        <v>117</v>
      </c>
      <c r="H247" s="148">
        <v>2003</v>
      </c>
      <c r="I247" s="148">
        <v>11</v>
      </c>
      <c r="J247" s="148" t="s">
        <v>150</v>
      </c>
      <c r="K247" s="148" t="s">
        <v>388</v>
      </c>
      <c r="M247" s="148" t="s">
        <v>389</v>
      </c>
      <c r="N247" s="148">
        <v>8</v>
      </c>
      <c r="O247" s="148" t="s">
        <v>83</v>
      </c>
      <c r="Y247" s="150" t="s">
        <v>366</v>
      </c>
    </row>
    <row r="248" spans="1:25" ht="15.75" hidden="1" customHeight="1" x14ac:dyDescent="0.25">
      <c r="A248" s="148" t="s">
        <v>76</v>
      </c>
      <c r="B248" s="148" t="s">
        <v>89</v>
      </c>
      <c r="C248" s="148" t="s">
        <v>90</v>
      </c>
      <c r="D248" s="148" t="s">
        <v>29</v>
      </c>
      <c r="E248" s="148" t="s">
        <v>30</v>
      </c>
      <c r="F248" s="148" t="s">
        <v>91</v>
      </c>
      <c r="G248" s="148" t="s">
        <v>443</v>
      </c>
      <c r="H248" s="148">
        <v>2003</v>
      </c>
      <c r="I248" s="148">
        <v>11</v>
      </c>
      <c r="J248" s="148" t="s">
        <v>150</v>
      </c>
      <c r="K248" s="148" t="s">
        <v>235</v>
      </c>
      <c r="M248" s="148" t="s">
        <v>236</v>
      </c>
      <c r="N248" s="148">
        <v>6</v>
      </c>
      <c r="O248" s="148" t="s">
        <v>83</v>
      </c>
      <c r="Y248" s="150" t="s">
        <v>366</v>
      </c>
    </row>
    <row r="249" spans="1:25" ht="15.75" hidden="1" customHeight="1" x14ac:dyDescent="0.25">
      <c r="A249" s="148" t="s">
        <v>76</v>
      </c>
      <c r="B249" s="148" t="s">
        <v>103</v>
      </c>
      <c r="C249" s="148" t="s">
        <v>55</v>
      </c>
      <c r="D249" s="148" t="s">
        <v>29</v>
      </c>
      <c r="E249" s="148" t="s">
        <v>95</v>
      </c>
      <c r="F249" s="148" t="s">
        <v>56</v>
      </c>
      <c r="G249" s="148" t="s">
        <v>153</v>
      </c>
      <c r="H249" s="148">
        <v>2003</v>
      </c>
      <c r="I249" s="148">
        <v>11</v>
      </c>
      <c r="J249" s="148" t="s">
        <v>150</v>
      </c>
      <c r="K249" s="148" t="s">
        <v>444</v>
      </c>
      <c r="M249" s="148" t="s">
        <v>445</v>
      </c>
      <c r="N249" s="148">
        <v>6</v>
      </c>
      <c r="O249" s="148" t="s">
        <v>83</v>
      </c>
      <c r="Y249" s="150" t="s">
        <v>366</v>
      </c>
    </row>
    <row r="250" spans="1:25" ht="15.75" hidden="1" customHeight="1" x14ac:dyDescent="0.25">
      <c r="A250" s="148" t="s">
        <v>307</v>
      </c>
      <c r="B250" s="148" t="s">
        <v>27</v>
      </c>
      <c r="C250" s="148" t="s">
        <v>28</v>
      </c>
      <c r="D250" s="148" t="s">
        <v>158</v>
      </c>
      <c r="E250" s="148" t="s">
        <v>30</v>
      </c>
      <c r="F250" s="148" t="s">
        <v>3183</v>
      </c>
      <c r="G250" s="148" t="s">
        <v>53</v>
      </c>
      <c r="H250" s="148">
        <v>2003</v>
      </c>
      <c r="I250" s="148">
        <v>11</v>
      </c>
      <c r="J250" s="148" t="s">
        <v>308</v>
      </c>
      <c r="Q250" s="148" t="s">
        <v>426</v>
      </c>
      <c r="R250" s="148" t="s">
        <v>38</v>
      </c>
      <c r="S250" s="148" t="s">
        <v>427</v>
      </c>
      <c r="T250" s="148" t="s">
        <v>428</v>
      </c>
      <c r="Y250" s="150" t="s">
        <v>366</v>
      </c>
    </row>
    <row r="251" spans="1:25" ht="15.75" hidden="1" customHeight="1" x14ac:dyDescent="0.25">
      <c r="A251" s="148" t="s">
        <v>76</v>
      </c>
      <c r="B251" s="148" t="s">
        <v>103</v>
      </c>
      <c r="C251" s="148" t="s">
        <v>55</v>
      </c>
      <c r="D251" s="148" t="s">
        <v>29</v>
      </c>
      <c r="E251" s="148" t="s">
        <v>95</v>
      </c>
      <c r="F251" s="148" t="s">
        <v>56</v>
      </c>
      <c r="G251" s="148" t="s">
        <v>107</v>
      </c>
      <c r="H251" s="148">
        <v>2003</v>
      </c>
      <c r="I251" s="148">
        <v>11</v>
      </c>
      <c r="J251" s="148" t="s">
        <v>118</v>
      </c>
      <c r="K251" s="148" t="s">
        <v>119</v>
      </c>
      <c r="M251" s="148" t="s">
        <v>120</v>
      </c>
      <c r="N251" s="148">
        <v>6</v>
      </c>
      <c r="O251" s="148" t="s">
        <v>101</v>
      </c>
      <c r="P251" s="148" t="s">
        <v>446</v>
      </c>
      <c r="Y251" s="150" t="s">
        <v>366</v>
      </c>
    </row>
    <row r="252" spans="1:25" ht="15.75" hidden="1" customHeight="1" x14ac:dyDescent="0.25">
      <c r="A252" s="148" t="s">
        <v>76</v>
      </c>
      <c r="B252" s="148" t="s">
        <v>77</v>
      </c>
      <c r="C252" s="148" t="s">
        <v>55</v>
      </c>
      <c r="D252" s="148" t="s">
        <v>29</v>
      </c>
      <c r="E252" s="148" t="s">
        <v>30</v>
      </c>
      <c r="F252" s="148" t="s">
        <v>41</v>
      </c>
      <c r="G252" s="148" t="s">
        <v>161</v>
      </c>
      <c r="H252" s="148">
        <v>2003</v>
      </c>
      <c r="I252" s="148">
        <v>11</v>
      </c>
      <c r="J252" s="148" t="s">
        <v>118</v>
      </c>
      <c r="K252" s="148" t="s">
        <v>172</v>
      </c>
      <c r="M252" s="148" t="s">
        <v>346</v>
      </c>
      <c r="N252" s="148">
        <v>10</v>
      </c>
      <c r="O252" s="148" t="s">
        <v>101</v>
      </c>
      <c r="P252" s="148" t="s">
        <v>146</v>
      </c>
      <c r="Y252" s="150" t="s">
        <v>366</v>
      </c>
    </row>
    <row r="253" spans="1:25" ht="15.75" hidden="1" customHeight="1" x14ac:dyDescent="0.25">
      <c r="A253" s="148" t="s">
        <v>76</v>
      </c>
      <c r="B253" s="148" t="s">
        <v>71</v>
      </c>
      <c r="C253" s="148" t="s">
        <v>45</v>
      </c>
      <c r="D253" s="148" t="s">
        <v>29</v>
      </c>
      <c r="E253" s="148" t="s">
        <v>72</v>
      </c>
      <c r="F253" s="148" t="s">
        <v>3183</v>
      </c>
      <c r="G253" s="148" t="s">
        <v>75</v>
      </c>
      <c r="H253" s="148">
        <v>2003</v>
      </c>
      <c r="I253" s="148">
        <v>11</v>
      </c>
      <c r="J253" s="148" t="s">
        <v>118</v>
      </c>
      <c r="K253" s="148" t="s">
        <v>172</v>
      </c>
      <c r="M253" s="148" t="s">
        <v>346</v>
      </c>
      <c r="N253" s="148">
        <v>10</v>
      </c>
      <c r="O253" s="148" t="s">
        <v>101</v>
      </c>
      <c r="P253" s="148" t="s">
        <v>431</v>
      </c>
      <c r="Y253" s="150" t="s">
        <v>366</v>
      </c>
    </row>
    <row r="254" spans="1:25" ht="15.75" hidden="1" customHeight="1" x14ac:dyDescent="0.25">
      <c r="A254" s="148" t="s">
        <v>26</v>
      </c>
      <c r="B254" s="148" t="s">
        <v>71</v>
      </c>
      <c r="C254" s="148" t="s">
        <v>45</v>
      </c>
      <c r="D254" s="148" t="s">
        <v>29</v>
      </c>
      <c r="E254" s="148" t="s">
        <v>72</v>
      </c>
      <c r="F254" s="148" t="s">
        <v>3183</v>
      </c>
      <c r="G254" s="148" t="s">
        <v>75</v>
      </c>
      <c r="H254" s="148">
        <v>2003</v>
      </c>
      <c r="I254" s="148">
        <v>11</v>
      </c>
      <c r="J254" s="148" t="s">
        <v>33</v>
      </c>
      <c r="U254" s="149" t="s">
        <v>112</v>
      </c>
      <c r="V254" s="148" t="s">
        <v>3661</v>
      </c>
      <c r="W254" s="148" t="s">
        <v>87</v>
      </c>
      <c r="X254" s="148" t="s">
        <v>109</v>
      </c>
    </row>
    <row r="255" spans="1:25" ht="15.75" hidden="1" customHeight="1" x14ac:dyDescent="0.25">
      <c r="A255" s="148" t="s">
        <v>76</v>
      </c>
      <c r="B255" s="148" t="s">
        <v>62</v>
      </c>
      <c r="C255" s="148" t="s">
        <v>28</v>
      </c>
      <c r="D255" s="148" t="s">
        <v>51</v>
      </c>
      <c r="E255" s="148" t="s">
        <v>30</v>
      </c>
      <c r="F255" s="148" t="s">
        <v>3183</v>
      </c>
      <c r="G255" s="148" t="s">
        <v>63</v>
      </c>
      <c r="H255" s="148">
        <v>2003</v>
      </c>
      <c r="I255" s="148">
        <v>11</v>
      </c>
      <c r="J255" s="148" t="s">
        <v>118</v>
      </c>
      <c r="K255" s="148" t="s">
        <v>172</v>
      </c>
      <c r="M255" s="148" t="s">
        <v>346</v>
      </c>
      <c r="N255" s="148">
        <v>10</v>
      </c>
      <c r="O255" s="148" t="s">
        <v>101</v>
      </c>
      <c r="P255" s="148" t="s">
        <v>447</v>
      </c>
      <c r="Y255" s="150" t="s">
        <v>366</v>
      </c>
    </row>
    <row r="256" spans="1:25" ht="15.75" hidden="1" customHeight="1" x14ac:dyDescent="0.25">
      <c r="A256" s="148" t="s">
        <v>76</v>
      </c>
      <c r="B256" s="148" t="s">
        <v>103</v>
      </c>
      <c r="C256" s="148" t="s">
        <v>55</v>
      </c>
      <c r="D256" s="148" t="s">
        <v>29</v>
      </c>
      <c r="E256" s="148" t="s">
        <v>95</v>
      </c>
      <c r="F256" s="148" t="s">
        <v>56</v>
      </c>
      <c r="G256" s="148" t="s">
        <v>225</v>
      </c>
      <c r="H256" s="148">
        <v>2003</v>
      </c>
      <c r="I256" s="148">
        <v>11</v>
      </c>
      <c r="J256" s="148" t="s">
        <v>150</v>
      </c>
      <c r="K256" s="148" t="s">
        <v>388</v>
      </c>
      <c r="M256" s="148" t="s">
        <v>389</v>
      </c>
      <c r="N256" s="148">
        <v>8</v>
      </c>
      <c r="O256" s="148" t="s">
        <v>83</v>
      </c>
      <c r="Y256" s="150" t="s">
        <v>366</v>
      </c>
    </row>
    <row r="257" spans="1:25" ht="15.75" hidden="1" customHeight="1" x14ac:dyDescent="0.25">
      <c r="A257" s="148" t="s">
        <v>76</v>
      </c>
      <c r="B257" s="148" t="s">
        <v>103</v>
      </c>
      <c r="C257" s="148" t="s">
        <v>55</v>
      </c>
      <c r="D257" s="148" t="s">
        <v>29</v>
      </c>
      <c r="E257" s="148" t="s">
        <v>95</v>
      </c>
      <c r="F257" s="148" t="s">
        <v>56</v>
      </c>
      <c r="G257" s="148" t="s">
        <v>168</v>
      </c>
      <c r="H257" s="148">
        <v>2003</v>
      </c>
      <c r="I257" s="148">
        <v>11</v>
      </c>
      <c r="J257" s="148" t="s">
        <v>150</v>
      </c>
      <c r="K257" s="148" t="s">
        <v>372</v>
      </c>
      <c r="M257" s="148" t="s">
        <v>442</v>
      </c>
      <c r="N257" s="148">
        <v>6</v>
      </c>
      <c r="O257" s="148" t="s">
        <v>83</v>
      </c>
      <c r="Y257" s="150" t="s">
        <v>366</v>
      </c>
    </row>
    <row r="258" spans="1:25" ht="13.5" hidden="1" customHeight="1" x14ac:dyDescent="0.25">
      <c r="A258" s="148" t="s">
        <v>76</v>
      </c>
      <c r="B258" s="148" t="s">
        <v>54</v>
      </c>
      <c r="C258" s="148" t="s">
        <v>55</v>
      </c>
      <c r="D258" s="148" t="s">
        <v>65</v>
      </c>
      <c r="E258" s="148" t="s">
        <v>30</v>
      </c>
      <c r="F258" s="148" t="s">
        <v>56</v>
      </c>
      <c r="G258" s="148" t="s">
        <v>54</v>
      </c>
      <c r="H258" s="148">
        <v>2003</v>
      </c>
      <c r="I258" s="148">
        <v>11</v>
      </c>
      <c r="J258" s="148" t="s">
        <v>118</v>
      </c>
      <c r="K258" s="148" t="s">
        <v>172</v>
      </c>
      <c r="M258" s="148" t="s">
        <v>346</v>
      </c>
      <c r="N258" s="148">
        <v>10</v>
      </c>
      <c r="O258" s="148" t="s">
        <v>101</v>
      </c>
      <c r="P258" s="148" t="s">
        <v>448</v>
      </c>
      <c r="Y258" s="150" t="s">
        <v>366</v>
      </c>
    </row>
    <row r="259" spans="1:25" ht="15.75" hidden="1" customHeight="1" x14ac:dyDescent="0.25">
      <c r="A259" s="148" t="s">
        <v>76</v>
      </c>
      <c r="B259" s="148" t="s">
        <v>54</v>
      </c>
      <c r="C259" s="148" t="s">
        <v>55</v>
      </c>
      <c r="D259" s="148" t="s">
        <v>65</v>
      </c>
      <c r="E259" s="148" t="s">
        <v>30</v>
      </c>
      <c r="F259" s="148" t="s">
        <v>56</v>
      </c>
      <c r="G259" s="148" t="s">
        <v>54</v>
      </c>
      <c r="H259" s="148">
        <v>2003</v>
      </c>
      <c r="I259" s="148">
        <v>11</v>
      </c>
      <c r="J259" s="148" t="s">
        <v>150</v>
      </c>
      <c r="K259" s="148" t="s">
        <v>444</v>
      </c>
      <c r="M259" s="148" t="s">
        <v>445</v>
      </c>
      <c r="N259" s="148">
        <v>6</v>
      </c>
      <c r="O259" s="148" t="s">
        <v>83</v>
      </c>
      <c r="Y259" s="150" t="s">
        <v>366</v>
      </c>
    </row>
    <row r="260" spans="1:25" ht="15.75" hidden="1" customHeight="1" x14ac:dyDescent="0.25">
      <c r="A260" s="148" t="s">
        <v>76</v>
      </c>
      <c r="B260" s="148" t="s">
        <v>62</v>
      </c>
      <c r="C260" s="148" t="s">
        <v>28</v>
      </c>
      <c r="D260" s="148" t="s">
        <v>158</v>
      </c>
      <c r="E260" s="148" t="s">
        <v>51</v>
      </c>
      <c r="F260" s="148" t="s">
        <v>3183</v>
      </c>
      <c r="G260" s="148" t="s">
        <v>130</v>
      </c>
      <c r="H260" s="148">
        <v>2003</v>
      </c>
      <c r="I260" s="148">
        <v>11</v>
      </c>
      <c r="J260" s="148" t="s">
        <v>118</v>
      </c>
      <c r="K260" s="148" t="s">
        <v>172</v>
      </c>
      <c r="M260" s="148" t="s">
        <v>346</v>
      </c>
      <c r="N260" s="148">
        <v>10</v>
      </c>
      <c r="O260" s="148" t="s">
        <v>101</v>
      </c>
      <c r="P260" s="148" t="s">
        <v>398</v>
      </c>
      <c r="Y260" s="150" t="s">
        <v>366</v>
      </c>
    </row>
    <row r="261" spans="1:25" ht="15.75" hidden="1" customHeight="1" x14ac:dyDescent="0.25">
      <c r="A261" s="148" t="s">
        <v>76</v>
      </c>
      <c r="B261" s="148" t="s">
        <v>103</v>
      </c>
      <c r="C261" s="148" t="s">
        <v>55</v>
      </c>
      <c r="D261" s="148" t="s">
        <v>29</v>
      </c>
      <c r="E261" s="148" t="s">
        <v>95</v>
      </c>
      <c r="F261" s="148" t="s">
        <v>56</v>
      </c>
      <c r="G261" s="148" t="s">
        <v>338</v>
      </c>
      <c r="H261" s="148">
        <v>2003</v>
      </c>
      <c r="I261" s="148">
        <v>11</v>
      </c>
      <c r="J261" s="148" t="s">
        <v>150</v>
      </c>
      <c r="K261" s="148" t="s">
        <v>388</v>
      </c>
      <c r="M261" s="148" t="s">
        <v>389</v>
      </c>
      <c r="N261" s="148">
        <v>8</v>
      </c>
      <c r="O261" s="148" t="s">
        <v>83</v>
      </c>
      <c r="Y261" s="150" t="s">
        <v>366</v>
      </c>
    </row>
    <row r="262" spans="1:25" ht="15.75" hidden="1" customHeight="1" x14ac:dyDescent="0.25">
      <c r="A262" s="148" t="s">
        <v>76</v>
      </c>
      <c r="B262" s="148" t="s">
        <v>89</v>
      </c>
      <c r="C262" s="148" t="s">
        <v>90</v>
      </c>
      <c r="D262" s="148" t="s">
        <v>29</v>
      </c>
      <c r="E262" s="148" t="s">
        <v>30</v>
      </c>
      <c r="F262" s="148" t="s">
        <v>91</v>
      </c>
      <c r="G262" s="148" t="s">
        <v>93</v>
      </c>
      <c r="H262" s="148">
        <v>2003</v>
      </c>
      <c r="I262" s="148">
        <v>11</v>
      </c>
      <c r="J262" s="148" t="s">
        <v>150</v>
      </c>
      <c r="K262" s="148" t="s">
        <v>388</v>
      </c>
      <c r="M262" s="148" t="s">
        <v>389</v>
      </c>
      <c r="N262" s="148">
        <v>8</v>
      </c>
      <c r="O262" s="148" t="s">
        <v>83</v>
      </c>
      <c r="Y262" s="150" t="s">
        <v>366</v>
      </c>
    </row>
    <row r="263" spans="1:25" ht="15.75" hidden="1" customHeight="1" x14ac:dyDescent="0.25">
      <c r="A263" s="148" t="s">
        <v>76</v>
      </c>
      <c r="B263" s="148" t="s">
        <v>36</v>
      </c>
      <c r="C263" s="148" t="s">
        <v>28</v>
      </c>
      <c r="D263" s="148" t="s">
        <v>29</v>
      </c>
      <c r="E263" s="148" t="s">
        <v>51</v>
      </c>
      <c r="F263" s="148" t="s">
        <v>3183</v>
      </c>
      <c r="G263" s="148" t="s">
        <v>52</v>
      </c>
      <c r="H263" s="148">
        <v>2003</v>
      </c>
      <c r="I263" s="148">
        <v>11</v>
      </c>
      <c r="J263" s="148" t="s">
        <v>118</v>
      </c>
      <c r="K263" s="148" t="s">
        <v>172</v>
      </c>
      <c r="M263" s="148" t="s">
        <v>346</v>
      </c>
      <c r="N263" s="148">
        <v>10</v>
      </c>
      <c r="O263" s="148" t="s">
        <v>101</v>
      </c>
      <c r="P263" s="148" t="s">
        <v>449</v>
      </c>
      <c r="Y263" s="150" t="s">
        <v>366</v>
      </c>
    </row>
    <row r="264" spans="1:25" ht="15.75" hidden="1" customHeight="1" x14ac:dyDescent="0.25">
      <c r="A264" s="148" t="s">
        <v>76</v>
      </c>
      <c r="B264" s="148" t="s">
        <v>89</v>
      </c>
      <c r="C264" s="148" t="s">
        <v>90</v>
      </c>
      <c r="D264" s="148" t="s">
        <v>342</v>
      </c>
      <c r="E264" s="148" t="s">
        <v>30</v>
      </c>
      <c r="F264" s="148" t="s">
        <v>91</v>
      </c>
      <c r="G264" s="148" t="s">
        <v>450</v>
      </c>
      <c r="H264" s="148">
        <v>2003</v>
      </c>
      <c r="I264" s="148">
        <v>11</v>
      </c>
      <c r="J264" s="148" t="s">
        <v>118</v>
      </c>
      <c r="K264" s="148" t="s">
        <v>172</v>
      </c>
      <c r="M264" s="148" t="s">
        <v>346</v>
      </c>
      <c r="N264" s="148">
        <v>10</v>
      </c>
      <c r="O264" s="148" t="s">
        <v>101</v>
      </c>
      <c r="P264" s="148" t="s">
        <v>146</v>
      </c>
      <c r="Y264" s="150" t="s">
        <v>366</v>
      </c>
    </row>
    <row r="265" spans="1:25" ht="15.75" hidden="1" customHeight="1" x14ac:dyDescent="0.25">
      <c r="A265" s="148" t="s">
        <v>76</v>
      </c>
      <c r="B265" s="148" t="s">
        <v>89</v>
      </c>
      <c r="C265" s="148" t="s">
        <v>90</v>
      </c>
      <c r="D265" s="148" t="s">
        <v>29</v>
      </c>
      <c r="E265" s="148" t="s">
        <v>30</v>
      </c>
      <c r="F265" s="148" t="s">
        <v>91</v>
      </c>
      <c r="G265" s="148" t="s">
        <v>451</v>
      </c>
      <c r="H265" s="148">
        <v>2003</v>
      </c>
      <c r="I265" s="148">
        <v>11</v>
      </c>
      <c r="J265" s="148" t="s">
        <v>150</v>
      </c>
      <c r="K265" s="148" t="s">
        <v>235</v>
      </c>
      <c r="M265" s="148" t="s">
        <v>236</v>
      </c>
      <c r="N265" s="148">
        <v>6</v>
      </c>
      <c r="O265" s="148" t="s">
        <v>83</v>
      </c>
      <c r="Y265" s="150" t="s">
        <v>366</v>
      </c>
    </row>
    <row r="266" spans="1:25" ht="15.75" hidden="1" customHeight="1" x14ac:dyDescent="0.25">
      <c r="A266" s="148" t="s">
        <v>76</v>
      </c>
      <c r="B266" s="148" t="s">
        <v>103</v>
      </c>
      <c r="C266" s="148" t="s">
        <v>55</v>
      </c>
      <c r="D266" s="148" t="s">
        <v>29</v>
      </c>
      <c r="E266" s="148" t="s">
        <v>95</v>
      </c>
      <c r="F266" s="148" t="s">
        <v>56</v>
      </c>
      <c r="G266" s="148" t="s">
        <v>108</v>
      </c>
      <c r="H266" s="148">
        <v>2003</v>
      </c>
      <c r="I266" s="148">
        <v>11</v>
      </c>
      <c r="J266" s="148" t="s">
        <v>150</v>
      </c>
      <c r="K266" s="148" t="s">
        <v>388</v>
      </c>
      <c r="M266" s="148" t="s">
        <v>389</v>
      </c>
      <c r="N266" s="148">
        <v>8</v>
      </c>
      <c r="O266" s="148" t="s">
        <v>83</v>
      </c>
      <c r="Y266" s="150" t="s">
        <v>366</v>
      </c>
    </row>
    <row r="267" spans="1:25" ht="13.5" hidden="1" customHeight="1" x14ac:dyDescent="0.25">
      <c r="A267" s="148" t="s">
        <v>76</v>
      </c>
      <c r="B267" s="148" t="s">
        <v>44</v>
      </c>
      <c r="C267" s="148" t="s">
        <v>45</v>
      </c>
      <c r="D267" s="148" t="s">
        <v>29</v>
      </c>
      <c r="E267" s="148" t="s">
        <v>46</v>
      </c>
      <c r="F267" s="148" t="s">
        <v>47</v>
      </c>
      <c r="G267" s="148" t="s">
        <v>48</v>
      </c>
      <c r="H267" s="148">
        <v>2003</v>
      </c>
      <c r="I267" s="148">
        <v>11</v>
      </c>
      <c r="J267" s="148" t="s">
        <v>150</v>
      </c>
      <c r="K267" s="148" t="s">
        <v>440</v>
      </c>
      <c r="M267" s="148" t="s">
        <v>441</v>
      </c>
      <c r="N267" s="148">
        <v>6</v>
      </c>
      <c r="O267" s="148" t="s">
        <v>83</v>
      </c>
      <c r="Y267" s="150" t="s">
        <v>366</v>
      </c>
    </row>
    <row r="268" spans="1:25" ht="15.75" hidden="1" customHeight="1" x14ac:dyDescent="0.25">
      <c r="A268" s="148" t="s">
        <v>76</v>
      </c>
      <c r="B268" s="148" t="s">
        <v>71</v>
      </c>
      <c r="C268" s="148" t="s">
        <v>45</v>
      </c>
      <c r="D268" s="148" t="s">
        <v>29</v>
      </c>
      <c r="E268" s="148" t="s">
        <v>72</v>
      </c>
      <c r="F268" s="148" t="s">
        <v>3183</v>
      </c>
      <c r="G268" s="148" t="s">
        <v>73</v>
      </c>
      <c r="H268" s="148">
        <v>2003</v>
      </c>
      <c r="I268" s="148">
        <v>12</v>
      </c>
      <c r="J268" s="148" t="s">
        <v>150</v>
      </c>
      <c r="K268" s="148" t="s">
        <v>119</v>
      </c>
      <c r="M268" s="148" t="s">
        <v>120</v>
      </c>
      <c r="N268" s="148">
        <v>6</v>
      </c>
      <c r="O268" s="148" t="s">
        <v>83</v>
      </c>
      <c r="Y268" s="150" t="s">
        <v>366</v>
      </c>
    </row>
    <row r="269" spans="1:25" ht="15.75" hidden="1" customHeight="1" x14ac:dyDescent="0.25">
      <c r="A269" s="148" t="s">
        <v>76</v>
      </c>
      <c r="B269" s="148" t="s">
        <v>27</v>
      </c>
      <c r="C269" s="148" t="s">
        <v>28</v>
      </c>
      <c r="D269" s="148" t="s">
        <v>29</v>
      </c>
      <c r="E269" s="148" t="s">
        <v>30</v>
      </c>
      <c r="F269" s="148" t="s">
        <v>3183</v>
      </c>
      <c r="G269" s="148" t="s">
        <v>32</v>
      </c>
      <c r="H269" s="148">
        <v>2003</v>
      </c>
      <c r="I269" s="148">
        <v>12</v>
      </c>
      <c r="J269" s="148" t="s">
        <v>150</v>
      </c>
      <c r="K269" s="148" t="s">
        <v>119</v>
      </c>
      <c r="M269" s="148" t="s">
        <v>120</v>
      </c>
      <c r="N269" s="148">
        <v>6</v>
      </c>
      <c r="O269" s="148" t="s">
        <v>83</v>
      </c>
      <c r="Y269" s="150" t="s">
        <v>366</v>
      </c>
    </row>
    <row r="270" spans="1:25" ht="15.75" hidden="1" customHeight="1" x14ac:dyDescent="0.25">
      <c r="A270" s="148" t="s">
        <v>76</v>
      </c>
      <c r="B270" s="148" t="s">
        <v>198</v>
      </c>
      <c r="C270" s="148" t="s">
        <v>45</v>
      </c>
      <c r="D270" s="148" t="s">
        <v>29</v>
      </c>
      <c r="E270" s="148" t="s">
        <v>30</v>
      </c>
      <c r="F270" s="148" t="s">
        <v>199</v>
      </c>
      <c r="G270" s="148" t="s">
        <v>232</v>
      </c>
      <c r="H270" s="148">
        <v>2003</v>
      </c>
      <c r="I270" s="148">
        <v>12</v>
      </c>
      <c r="J270" s="148" t="s">
        <v>150</v>
      </c>
      <c r="K270" s="148" t="s">
        <v>289</v>
      </c>
      <c r="M270" s="148" t="s">
        <v>290</v>
      </c>
      <c r="N270" s="148">
        <v>6</v>
      </c>
      <c r="O270" s="148" t="s">
        <v>83</v>
      </c>
      <c r="Y270" s="150" t="s">
        <v>366</v>
      </c>
    </row>
    <row r="271" spans="1:25" ht="15.75" hidden="1" customHeight="1" x14ac:dyDescent="0.25">
      <c r="A271" s="148" t="s">
        <v>76</v>
      </c>
      <c r="B271" s="148" t="s">
        <v>103</v>
      </c>
      <c r="C271" s="148" t="s">
        <v>55</v>
      </c>
      <c r="D271" s="148" t="s">
        <v>29</v>
      </c>
      <c r="E271" s="148" t="s">
        <v>30</v>
      </c>
      <c r="F271" s="148" t="s">
        <v>56</v>
      </c>
      <c r="G271" s="148" t="s">
        <v>452</v>
      </c>
      <c r="H271" s="148">
        <v>2003</v>
      </c>
      <c r="I271" s="148">
        <v>12</v>
      </c>
      <c r="J271" s="148" t="s">
        <v>150</v>
      </c>
      <c r="K271" s="148" t="s">
        <v>119</v>
      </c>
      <c r="M271" s="148" t="s">
        <v>120</v>
      </c>
      <c r="N271" s="148">
        <v>6</v>
      </c>
      <c r="O271" s="148" t="s">
        <v>83</v>
      </c>
      <c r="Y271" s="150" t="s">
        <v>366</v>
      </c>
    </row>
    <row r="272" spans="1:25" ht="15.75" hidden="1" customHeight="1" x14ac:dyDescent="0.25">
      <c r="A272" s="148" t="s">
        <v>76</v>
      </c>
      <c r="B272" s="148" t="s">
        <v>116</v>
      </c>
      <c r="C272" s="148" t="s">
        <v>90</v>
      </c>
      <c r="D272" s="148" t="s">
        <v>86</v>
      </c>
      <c r="E272" s="148" t="s">
        <v>40</v>
      </c>
      <c r="F272" s="148" t="s">
        <v>41</v>
      </c>
      <c r="G272" s="148" t="s">
        <v>117</v>
      </c>
      <c r="H272" s="148">
        <v>2003</v>
      </c>
      <c r="I272" s="148">
        <v>12</v>
      </c>
      <c r="J272" s="148" t="s">
        <v>118</v>
      </c>
      <c r="K272" s="148" t="s">
        <v>119</v>
      </c>
      <c r="M272" s="148" t="s">
        <v>120</v>
      </c>
      <c r="N272" s="148">
        <v>8</v>
      </c>
      <c r="O272" s="148" t="s">
        <v>101</v>
      </c>
      <c r="P272" s="148" t="s">
        <v>453</v>
      </c>
      <c r="Y272" s="150" t="s">
        <v>366</v>
      </c>
    </row>
    <row r="273" spans="1:26" ht="15.75" hidden="1" customHeight="1" x14ac:dyDescent="0.25">
      <c r="A273" s="148" t="s">
        <v>76</v>
      </c>
      <c r="B273" s="148" t="s">
        <v>103</v>
      </c>
      <c r="C273" s="148" t="s">
        <v>55</v>
      </c>
      <c r="D273" s="148" t="s">
        <v>29</v>
      </c>
      <c r="E273" s="148" t="s">
        <v>95</v>
      </c>
      <c r="F273" s="148" t="s">
        <v>56</v>
      </c>
      <c r="G273" s="148" t="s">
        <v>407</v>
      </c>
      <c r="H273" s="148">
        <v>2003</v>
      </c>
      <c r="I273" s="148">
        <v>12</v>
      </c>
      <c r="J273" s="148" t="s">
        <v>150</v>
      </c>
      <c r="K273" s="148" t="s">
        <v>372</v>
      </c>
      <c r="M273" s="148" t="s">
        <v>454</v>
      </c>
      <c r="N273" s="148">
        <v>6</v>
      </c>
      <c r="O273" s="148" t="s">
        <v>83</v>
      </c>
      <c r="Y273" s="150" t="s">
        <v>366</v>
      </c>
    </row>
    <row r="274" spans="1:26" ht="15.75" hidden="1" customHeight="1" x14ac:dyDescent="0.25">
      <c r="A274" s="148" t="s">
        <v>76</v>
      </c>
      <c r="B274" s="148" t="s">
        <v>27</v>
      </c>
      <c r="C274" s="148" t="s">
        <v>28</v>
      </c>
      <c r="D274" s="148" t="s">
        <v>158</v>
      </c>
      <c r="E274" s="148" t="s">
        <v>30</v>
      </c>
      <c r="F274" s="148" t="s">
        <v>3183</v>
      </c>
      <c r="G274" s="148" t="s">
        <v>53</v>
      </c>
      <c r="H274" s="148">
        <v>2003</v>
      </c>
      <c r="I274" s="148">
        <v>12</v>
      </c>
      <c r="J274" s="148" t="s">
        <v>150</v>
      </c>
      <c r="K274" s="148" t="s">
        <v>119</v>
      </c>
      <c r="M274" s="148" t="s">
        <v>120</v>
      </c>
      <c r="N274" s="148">
        <v>6</v>
      </c>
      <c r="O274" s="148" t="s">
        <v>83</v>
      </c>
      <c r="Y274" s="150" t="s">
        <v>366</v>
      </c>
    </row>
    <row r="275" spans="1:26" ht="13.5" hidden="1" customHeight="1" x14ac:dyDescent="0.25">
      <c r="A275" s="148" t="s">
        <v>76</v>
      </c>
      <c r="B275" s="148" t="s">
        <v>103</v>
      </c>
      <c r="C275" s="148" t="s">
        <v>55</v>
      </c>
      <c r="D275" s="148" t="s">
        <v>29</v>
      </c>
      <c r="E275" s="148" t="s">
        <v>95</v>
      </c>
      <c r="F275" s="148" t="s">
        <v>56</v>
      </c>
      <c r="G275" s="148" t="s">
        <v>107</v>
      </c>
      <c r="H275" s="148">
        <v>2003</v>
      </c>
      <c r="I275" s="148">
        <v>12</v>
      </c>
      <c r="J275" s="148" t="s">
        <v>150</v>
      </c>
      <c r="K275" s="148" t="s">
        <v>372</v>
      </c>
      <c r="M275" s="148" t="s">
        <v>454</v>
      </c>
      <c r="N275" s="148">
        <v>6</v>
      </c>
      <c r="O275" s="148" t="s">
        <v>83</v>
      </c>
      <c r="Y275" s="150" t="s">
        <v>366</v>
      </c>
    </row>
    <row r="276" spans="1:26" ht="15.75" hidden="1" customHeight="1" x14ac:dyDescent="0.25">
      <c r="A276" s="148" t="s">
        <v>76</v>
      </c>
      <c r="B276" s="148" t="s">
        <v>89</v>
      </c>
      <c r="C276" s="148" t="s">
        <v>90</v>
      </c>
      <c r="D276" s="148" t="s">
        <v>29</v>
      </c>
      <c r="E276" s="148" t="s">
        <v>30</v>
      </c>
      <c r="F276" s="148" t="s">
        <v>91</v>
      </c>
      <c r="G276" s="148" t="s">
        <v>222</v>
      </c>
      <c r="H276" s="148">
        <v>2003</v>
      </c>
      <c r="I276" s="148">
        <v>12</v>
      </c>
      <c r="J276" s="148" t="s">
        <v>150</v>
      </c>
      <c r="K276" s="148" t="s">
        <v>119</v>
      </c>
      <c r="M276" s="148" t="s">
        <v>120</v>
      </c>
      <c r="N276" s="148">
        <v>6</v>
      </c>
      <c r="O276" s="148" t="s">
        <v>83</v>
      </c>
      <c r="Y276" s="150" t="s">
        <v>366</v>
      </c>
    </row>
    <row r="277" spans="1:26" ht="15.75" hidden="1" customHeight="1" x14ac:dyDescent="0.25">
      <c r="A277" s="148" t="s">
        <v>76</v>
      </c>
      <c r="B277" s="148" t="s">
        <v>116</v>
      </c>
      <c r="C277" s="148" t="s">
        <v>90</v>
      </c>
      <c r="D277" s="148" t="s">
        <v>29</v>
      </c>
      <c r="E277" s="148" t="s">
        <v>40</v>
      </c>
      <c r="F277" s="148" t="s">
        <v>41</v>
      </c>
      <c r="G277" s="148" t="s">
        <v>345</v>
      </c>
      <c r="H277" s="148">
        <v>2003</v>
      </c>
      <c r="I277" s="148">
        <v>12</v>
      </c>
      <c r="J277" s="148" t="s">
        <v>118</v>
      </c>
      <c r="K277" s="148" t="s">
        <v>172</v>
      </c>
      <c r="M277" s="148" t="s">
        <v>346</v>
      </c>
      <c r="N277" s="148">
        <v>10</v>
      </c>
      <c r="O277" s="148" t="s">
        <v>101</v>
      </c>
      <c r="P277" s="148" t="s">
        <v>146</v>
      </c>
      <c r="Y277" s="150" t="s">
        <v>366</v>
      </c>
    </row>
    <row r="278" spans="1:26" ht="15.75" hidden="1" customHeight="1" x14ac:dyDescent="0.25">
      <c r="A278" s="148" t="s">
        <v>76</v>
      </c>
      <c r="B278" s="148" t="s">
        <v>36</v>
      </c>
      <c r="C278" s="148" t="s">
        <v>28</v>
      </c>
      <c r="D278" s="148" t="s">
        <v>29</v>
      </c>
      <c r="E278" s="148" t="s">
        <v>30</v>
      </c>
      <c r="F278" s="148" t="s">
        <v>3183</v>
      </c>
      <c r="G278" s="148" t="s">
        <v>37</v>
      </c>
      <c r="H278" s="148">
        <v>2003</v>
      </c>
      <c r="I278" s="148">
        <v>12</v>
      </c>
      <c r="J278" s="148" t="s">
        <v>150</v>
      </c>
      <c r="K278" s="148" t="s">
        <v>119</v>
      </c>
      <c r="M278" s="148" t="s">
        <v>120</v>
      </c>
      <c r="N278" s="148">
        <v>6</v>
      </c>
      <c r="O278" s="148" t="s">
        <v>83</v>
      </c>
      <c r="Y278" s="150" t="s">
        <v>366</v>
      </c>
    </row>
    <row r="279" spans="1:26" ht="15.75" hidden="1" customHeight="1" x14ac:dyDescent="0.25">
      <c r="A279" s="148" t="s">
        <v>76</v>
      </c>
      <c r="B279" s="148" t="s">
        <v>71</v>
      </c>
      <c r="C279" s="148" t="s">
        <v>45</v>
      </c>
      <c r="D279" s="148" t="s">
        <v>29</v>
      </c>
      <c r="E279" s="148" t="s">
        <v>72</v>
      </c>
      <c r="F279" s="148" t="s">
        <v>3183</v>
      </c>
      <c r="G279" s="148" t="s">
        <v>75</v>
      </c>
      <c r="H279" s="148">
        <v>2003</v>
      </c>
      <c r="I279" s="148">
        <v>12</v>
      </c>
      <c r="J279" s="148" t="s">
        <v>150</v>
      </c>
      <c r="K279" s="148" t="s">
        <v>119</v>
      </c>
      <c r="M279" s="148" t="s">
        <v>120</v>
      </c>
      <c r="N279" s="148">
        <v>6</v>
      </c>
      <c r="O279" s="148" t="s">
        <v>83</v>
      </c>
      <c r="Y279" s="150" t="s">
        <v>366</v>
      </c>
    </row>
    <row r="280" spans="1:26" ht="15.75" hidden="1" customHeight="1" x14ac:dyDescent="0.25">
      <c r="A280" s="148" t="s">
        <v>76</v>
      </c>
      <c r="B280" s="148" t="s">
        <v>36</v>
      </c>
      <c r="C280" s="148" t="s">
        <v>28</v>
      </c>
      <c r="D280" s="148" t="s">
        <v>29</v>
      </c>
      <c r="E280" s="148" t="s">
        <v>51</v>
      </c>
      <c r="F280" s="148" t="s">
        <v>3183</v>
      </c>
      <c r="G280" s="148" t="s">
        <v>69</v>
      </c>
      <c r="H280" s="148">
        <v>2003</v>
      </c>
      <c r="I280" s="148">
        <v>12</v>
      </c>
      <c r="J280" s="148" t="s">
        <v>150</v>
      </c>
      <c r="K280" s="148" t="s">
        <v>455</v>
      </c>
      <c r="M280" s="148" t="s">
        <v>456</v>
      </c>
      <c r="N280" s="148">
        <v>6</v>
      </c>
      <c r="O280" s="148" t="s">
        <v>83</v>
      </c>
      <c r="Y280" s="150" t="s">
        <v>366</v>
      </c>
    </row>
    <row r="281" spans="1:26" ht="15.75" hidden="1" customHeight="1" x14ac:dyDescent="0.25">
      <c r="A281" s="148" t="s">
        <v>76</v>
      </c>
      <c r="B281" s="148" t="s">
        <v>54</v>
      </c>
      <c r="C281" s="148" t="s">
        <v>55</v>
      </c>
      <c r="D281" s="148" t="s">
        <v>65</v>
      </c>
      <c r="E281" s="148" t="s">
        <v>30</v>
      </c>
      <c r="F281" s="148" t="s">
        <v>56</v>
      </c>
      <c r="G281" s="148" t="s">
        <v>54</v>
      </c>
      <c r="H281" s="148">
        <v>2003</v>
      </c>
      <c r="I281" s="148">
        <v>12</v>
      </c>
      <c r="J281" s="148" t="s">
        <v>150</v>
      </c>
      <c r="K281" s="148" t="s">
        <v>172</v>
      </c>
      <c r="M281" s="148" t="s">
        <v>346</v>
      </c>
      <c r="N281" s="148">
        <v>10</v>
      </c>
      <c r="O281" s="148" t="s">
        <v>83</v>
      </c>
      <c r="P281" s="148" t="s">
        <v>146</v>
      </c>
      <c r="Y281" s="150" t="s">
        <v>366</v>
      </c>
    </row>
    <row r="282" spans="1:26" ht="15.75" customHeight="1" x14ac:dyDescent="0.25">
      <c r="A282" s="148" t="s">
        <v>76</v>
      </c>
      <c r="B282" s="148" t="s">
        <v>36</v>
      </c>
      <c r="C282" s="148" t="s">
        <v>28</v>
      </c>
      <c r="D282" s="148" t="s">
        <v>29</v>
      </c>
      <c r="E282" s="148" t="s">
        <v>30</v>
      </c>
      <c r="F282" s="148" t="s">
        <v>3183</v>
      </c>
      <c r="G282" s="148" t="s">
        <v>194</v>
      </c>
      <c r="H282" s="148">
        <v>2003</v>
      </c>
      <c r="I282" s="148">
        <v>12</v>
      </c>
      <c r="J282" s="148" t="s">
        <v>150</v>
      </c>
      <c r="K282" s="148" t="s">
        <v>119</v>
      </c>
      <c r="M282" s="148" t="s">
        <v>120</v>
      </c>
      <c r="N282" s="148">
        <v>6</v>
      </c>
      <c r="O282" s="148" t="s">
        <v>83</v>
      </c>
      <c r="Y282" s="150" t="s">
        <v>366</v>
      </c>
    </row>
    <row r="283" spans="1:26" ht="15.75" hidden="1" customHeight="1" x14ac:dyDescent="0.25">
      <c r="A283" s="148" t="s">
        <v>76</v>
      </c>
      <c r="B283" s="148" t="s">
        <v>89</v>
      </c>
      <c r="C283" s="148" t="s">
        <v>90</v>
      </c>
      <c r="D283" s="148" t="s">
        <v>29</v>
      </c>
      <c r="E283" s="148" t="s">
        <v>30</v>
      </c>
      <c r="F283" s="148" t="s">
        <v>91</v>
      </c>
      <c r="G283" s="148" t="s">
        <v>369</v>
      </c>
      <c r="H283" s="148">
        <v>2003</v>
      </c>
      <c r="I283" s="148">
        <v>12</v>
      </c>
      <c r="J283" s="148" t="s">
        <v>118</v>
      </c>
      <c r="K283" s="148" t="s">
        <v>172</v>
      </c>
      <c r="M283" s="148" t="s">
        <v>346</v>
      </c>
      <c r="N283" s="148">
        <v>10</v>
      </c>
      <c r="O283" s="148" t="s">
        <v>101</v>
      </c>
      <c r="P283" s="148" t="s">
        <v>146</v>
      </c>
      <c r="Y283" s="150" t="s">
        <v>366</v>
      </c>
    </row>
    <row r="284" spans="1:26" ht="13.5" hidden="1" customHeight="1" x14ac:dyDescent="0.25">
      <c r="A284" s="148" t="s">
        <v>76</v>
      </c>
      <c r="B284" s="148" t="s">
        <v>36</v>
      </c>
      <c r="C284" s="148" t="s">
        <v>28</v>
      </c>
      <c r="D284" s="148" t="s">
        <v>29</v>
      </c>
      <c r="E284" s="148" t="s">
        <v>51</v>
      </c>
      <c r="F284" s="148" t="s">
        <v>3183</v>
      </c>
      <c r="G284" s="148" t="s">
        <v>52</v>
      </c>
      <c r="H284" s="148">
        <v>2003</v>
      </c>
      <c r="I284" s="148">
        <v>12</v>
      </c>
      <c r="J284" s="148" t="s">
        <v>150</v>
      </c>
      <c r="K284" s="148" t="s">
        <v>455</v>
      </c>
      <c r="M284" s="148" t="s">
        <v>456</v>
      </c>
      <c r="N284" s="148">
        <v>6</v>
      </c>
      <c r="O284" s="148" t="s">
        <v>83</v>
      </c>
      <c r="Y284" s="150" t="s">
        <v>366</v>
      </c>
    </row>
    <row r="285" spans="1:26" ht="15.75" hidden="1" customHeight="1" x14ac:dyDescent="0.25">
      <c r="A285" s="148" t="s">
        <v>76</v>
      </c>
      <c r="B285" s="148" t="s">
        <v>44</v>
      </c>
      <c r="C285" s="148" t="s">
        <v>45</v>
      </c>
      <c r="D285" s="148" t="s">
        <v>29</v>
      </c>
      <c r="E285" s="148" t="s">
        <v>46</v>
      </c>
      <c r="F285" s="148" t="s">
        <v>47</v>
      </c>
      <c r="G285" s="148" t="s">
        <v>48</v>
      </c>
      <c r="H285" s="148">
        <v>2004</v>
      </c>
      <c r="I285" s="148">
        <v>1</v>
      </c>
      <c r="J285" s="148" t="s">
        <v>118</v>
      </c>
      <c r="K285" s="148" t="s">
        <v>379</v>
      </c>
      <c r="M285" s="148" t="s">
        <v>126</v>
      </c>
      <c r="N285" s="148">
        <v>10</v>
      </c>
      <c r="O285" s="148" t="s">
        <v>101</v>
      </c>
      <c r="P285" s="148" t="s">
        <v>398</v>
      </c>
      <c r="Y285" s="150" t="s">
        <v>366</v>
      </c>
    </row>
    <row r="286" spans="1:26" ht="13.5" hidden="1" customHeight="1" x14ac:dyDescent="0.25">
      <c r="A286" s="148" t="s">
        <v>76</v>
      </c>
      <c r="B286" s="148" t="s">
        <v>116</v>
      </c>
      <c r="C286" s="148" t="s">
        <v>90</v>
      </c>
      <c r="D286" s="148" t="s">
        <v>86</v>
      </c>
      <c r="E286" s="148" t="s">
        <v>40</v>
      </c>
      <c r="F286" s="148" t="s">
        <v>41</v>
      </c>
      <c r="G286" s="148" t="s">
        <v>117</v>
      </c>
      <c r="H286" s="148">
        <v>2004</v>
      </c>
      <c r="I286" s="148">
        <v>2</v>
      </c>
      <c r="J286" s="148" t="s">
        <v>150</v>
      </c>
      <c r="K286" s="148" t="s">
        <v>119</v>
      </c>
      <c r="M286" s="148" t="s">
        <v>120</v>
      </c>
      <c r="N286" s="148">
        <v>8</v>
      </c>
      <c r="O286" s="148" t="s">
        <v>83</v>
      </c>
      <c r="Y286" s="150" t="s">
        <v>366</v>
      </c>
      <c r="Z286" s="148" t="s">
        <v>457</v>
      </c>
    </row>
    <row r="287" spans="1:26" ht="15.75" hidden="1" customHeight="1" x14ac:dyDescent="0.25">
      <c r="A287" s="148" t="s">
        <v>76</v>
      </c>
      <c r="B287" s="148" t="s">
        <v>103</v>
      </c>
      <c r="C287" s="148" t="s">
        <v>55</v>
      </c>
      <c r="D287" s="148" t="s">
        <v>29</v>
      </c>
      <c r="E287" s="148" t="s">
        <v>30</v>
      </c>
      <c r="F287" s="148" t="s">
        <v>56</v>
      </c>
      <c r="G287" s="148" t="s">
        <v>458</v>
      </c>
      <c r="H287" s="148">
        <v>2004</v>
      </c>
      <c r="I287" s="148">
        <v>2</v>
      </c>
      <c r="J287" s="148" t="s">
        <v>118</v>
      </c>
      <c r="K287" s="148" t="s">
        <v>172</v>
      </c>
      <c r="M287" s="148" t="s">
        <v>346</v>
      </c>
      <c r="N287" s="148">
        <v>10</v>
      </c>
      <c r="O287" s="148" t="s">
        <v>101</v>
      </c>
      <c r="P287" s="148" t="s">
        <v>146</v>
      </c>
      <c r="Y287" s="150" t="s">
        <v>366</v>
      </c>
    </row>
    <row r="288" spans="1:26" ht="15.75" hidden="1" customHeight="1" x14ac:dyDescent="0.25">
      <c r="A288" s="148" t="s">
        <v>76</v>
      </c>
      <c r="B288" s="148" t="s">
        <v>36</v>
      </c>
      <c r="C288" s="148" t="s">
        <v>28</v>
      </c>
      <c r="D288" s="148" t="s">
        <v>29</v>
      </c>
      <c r="E288" s="148" t="s">
        <v>30</v>
      </c>
      <c r="F288" s="148" t="s">
        <v>3183</v>
      </c>
      <c r="G288" s="148" t="s">
        <v>114</v>
      </c>
      <c r="H288" s="148">
        <v>2004</v>
      </c>
      <c r="I288" s="148">
        <v>2</v>
      </c>
      <c r="J288" s="148" t="s">
        <v>150</v>
      </c>
      <c r="K288" s="148" t="s">
        <v>119</v>
      </c>
      <c r="M288" s="148" t="s">
        <v>120</v>
      </c>
      <c r="N288" s="148">
        <v>8</v>
      </c>
      <c r="O288" s="148" t="s">
        <v>83</v>
      </c>
      <c r="Y288" s="150" t="s">
        <v>366</v>
      </c>
      <c r="Z288" s="148" t="s">
        <v>457</v>
      </c>
    </row>
    <row r="289" spans="1:26" ht="15.75" hidden="1" customHeight="1" x14ac:dyDescent="0.25">
      <c r="A289" s="148" t="s">
        <v>76</v>
      </c>
      <c r="B289" s="148" t="s">
        <v>89</v>
      </c>
      <c r="C289" s="148" t="s">
        <v>90</v>
      </c>
      <c r="D289" s="148" t="s">
        <v>29</v>
      </c>
      <c r="E289" s="148" t="s">
        <v>30</v>
      </c>
      <c r="F289" s="148" t="s">
        <v>91</v>
      </c>
      <c r="G289" s="148" t="s">
        <v>414</v>
      </c>
      <c r="H289" s="148">
        <v>2004</v>
      </c>
      <c r="I289" s="148">
        <v>2</v>
      </c>
      <c r="J289" s="148" t="s">
        <v>150</v>
      </c>
      <c r="K289" s="148" t="s">
        <v>119</v>
      </c>
      <c r="M289" s="148" t="s">
        <v>120</v>
      </c>
      <c r="N289" s="148">
        <v>8</v>
      </c>
      <c r="O289" s="148" t="s">
        <v>83</v>
      </c>
      <c r="Y289" s="150" t="s">
        <v>366</v>
      </c>
      <c r="Z289" s="148" t="s">
        <v>457</v>
      </c>
    </row>
    <row r="290" spans="1:26" ht="15.75" hidden="1" customHeight="1" x14ac:dyDescent="0.25">
      <c r="A290" s="148" t="s">
        <v>76</v>
      </c>
      <c r="B290" s="148" t="s">
        <v>71</v>
      </c>
      <c r="C290" s="148" t="s">
        <v>45</v>
      </c>
      <c r="D290" s="148" t="s">
        <v>29</v>
      </c>
      <c r="E290" s="148" t="s">
        <v>72</v>
      </c>
      <c r="F290" s="148" t="s">
        <v>3183</v>
      </c>
      <c r="G290" s="148" t="s">
        <v>73</v>
      </c>
      <c r="H290" s="148">
        <v>2004</v>
      </c>
      <c r="I290" s="148">
        <v>3</v>
      </c>
      <c r="J290" s="148" t="s">
        <v>118</v>
      </c>
      <c r="K290" s="148" t="s">
        <v>459</v>
      </c>
      <c r="M290" s="148" t="s">
        <v>120</v>
      </c>
      <c r="N290" s="148">
        <v>6</v>
      </c>
      <c r="O290" s="148" t="s">
        <v>101</v>
      </c>
      <c r="P290" s="148" t="s">
        <v>460</v>
      </c>
      <c r="Y290" s="150" t="s">
        <v>366</v>
      </c>
    </row>
    <row r="291" spans="1:26" ht="15.75" hidden="1" customHeight="1" x14ac:dyDescent="0.25">
      <c r="A291" s="148" t="s">
        <v>307</v>
      </c>
      <c r="B291" s="148" t="s">
        <v>103</v>
      </c>
      <c r="C291" s="148" t="s">
        <v>55</v>
      </c>
      <c r="D291" s="148" t="s">
        <v>94</v>
      </c>
      <c r="E291" s="148" t="s">
        <v>95</v>
      </c>
      <c r="F291" s="148" t="s">
        <v>56</v>
      </c>
      <c r="G291" s="148" t="s">
        <v>111</v>
      </c>
      <c r="H291" s="148">
        <v>2004</v>
      </c>
      <c r="I291" s="148">
        <v>3</v>
      </c>
      <c r="J291" s="148" t="s">
        <v>308</v>
      </c>
      <c r="Q291" s="148" t="s">
        <v>426</v>
      </c>
      <c r="R291" s="148" t="s">
        <v>38</v>
      </c>
      <c r="S291" s="148" t="s">
        <v>427</v>
      </c>
      <c r="T291" s="148" t="s">
        <v>428</v>
      </c>
      <c r="Y291" s="150" t="s">
        <v>366</v>
      </c>
    </row>
    <row r="292" spans="1:26" ht="15.75" hidden="1" customHeight="1" x14ac:dyDescent="0.25">
      <c r="A292" s="148" t="s">
        <v>76</v>
      </c>
      <c r="B292" s="148" t="s">
        <v>27</v>
      </c>
      <c r="C292" s="148" t="s">
        <v>28</v>
      </c>
      <c r="D292" s="148" t="s">
        <v>158</v>
      </c>
      <c r="E292" s="148" t="s">
        <v>30</v>
      </c>
      <c r="F292" s="148" t="s">
        <v>3183</v>
      </c>
      <c r="G292" s="148" t="s">
        <v>53</v>
      </c>
      <c r="H292" s="148">
        <v>2004</v>
      </c>
      <c r="I292" s="148">
        <v>3</v>
      </c>
      <c r="J292" s="148" t="s">
        <v>150</v>
      </c>
      <c r="K292" s="148" t="s">
        <v>172</v>
      </c>
      <c r="M292" s="148" t="s">
        <v>346</v>
      </c>
      <c r="N292" s="148">
        <v>10</v>
      </c>
      <c r="O292" s="148" t="s">
        <v>83</v>
      </c>
      <c r="Y292" s="150" t="s">
        <v>366</v>
      </c>
    </row>
    <row r="293" spans="1:26" ht="15.75" hidden="1" customHeight="1" x14ac:dyDescent="0.25">
      <c r="A293" s="148" t="s">
        <v>76</v>
      </c>
      <c r="B293" s="148" t="s">
        <v>62</v>
      </c>
      <c r="C293" s="148" t="s">
        <v>28</v>
      </c>
      <c r="D293" s="148" t="s">
        <v>408</v>
      </c>
      <c r="E293" s="148" t="s">
        <v>51</v>
      </c>
      <c r="F293" s="148" t="s">
        <v>3183</v>
      </c>
      <c r="G293" s="148" t="s">
        <v>409</v>
      </c>
      <c r="H293" s="148">
        <v>2004</v>
      </c>
      <c r="I293" s="148">
        <v>3</v>
      </c>
      <c r="J293" s="148" t="s">
        <v>118</v>
      </c>
      <c r="K293" s="148" t="s">
        <v>172</v>
      </c>
      <c r="M293" s="148" t="s">
        <v>346</v>
      </c>
      <c r="N293" s="148">
        <v>10</v>
      </c>
      <c r="O293" s="148" t="s">
        <v>101</v>
      </c>
      <c r="P293" s="148" t="s">
        <v>461</v>
      </c>
      <c r="Y293" s="150" t="s">
        <v>366</v>
      </c>
    </row>
    <row r="294" spans="1:26" ht="15.75" hidden="1" customHeight="1" x14ac:dyDescent="0.25">
      <c r="A294" s="148" t="s">
        <v>76</v>
      </c>
      <c r="B294" s="148" t="s">
        <v>27</v>
      </c>
      <c r="C294" s="148" t="s">
        <v>28</v>
      </c>
      <c r="D294" s="148" t="s">
        <v>99</v>
      </c>
      <c r="E294" s="148" t="s">
        <v>40</v>
      </c>
      <c r="F294" s="148" t="s">
        <v>41</v>
      </c>
      <c r="G294" s="148" t="s">
        <v>42</v>
      </c>
      <c r="H294" s="148">
        <v>2004</v>
      </c>
      <c r="I294" s="148">
        <v>3</v>
      </c>
      <c r="J294" s="148" t="s">
        <v>150</v>
      </c>
      <c r="K294" s="148" t="s">
        <v>172</v>
      </c>
      <c r="M294" s="148" t="s">
        <v>346</v>
      </c>
      <c r="N294" s="148">
        <v>10</v>
      </c>
      <c r="O294" s="148" t="s">
        <v>83</v>
      </c>
      <c r="P294" s="148" t="s">
        <v>146</v>
      </c>
      <c r="Y294" s="150" t="s">
        <v>366</v>
      </c>
    </row>
    <row r="295" spans="1:26" ht="15.75" hidden="1" customHeight="1" x14ac:dyDescent="0.25">
      <c r="A295" s="148" t="s">
        <v>76</v>
      </c>
      <c r="B295" s="148" t="s">
        <v>54</v>
      </c>
      <c r="C295" s="148" t="s">
        <v>55</v>
      </c>
      <c r="D295" s="148" t="s">
        <v>65</v>
      </c>
      <c r="E295" s="148" t="s">
        <v>30</v>
      </c>
      <c r="F295" s="148" t="s">
        <v>56</v>
      </c>
      <c r="G295" s="148" t="s">
        <v>54</v>
      </c>
      <c r="H295" s="148">
        <v>2004</v>
      </c>
      <c r="I295" s="148">
        <v>3</v>
      </c>
      <c r="J295" s="148" t="s">
        <v>118</v>
      </c>
      <c r="K295" s="148" t="s">
        <v>327</v>
      </c>
      <c r="M295" s="148" t="s">
        <v>132</v>
      </c>
      <c r="N295" s="148">
        <v>8</v>
      </c>
      <c r="O295" s="148" t="s">
        <v>101</v>
      </c>
      <c r="P295" s="148" t="s">
        <v>462</v>
      </c>
      <c r="Y295" s="150" t="s">
        <v>366</v>
      </c>
    </row>
    <row r="296" spans="1:26" ht="15.75" hidden="1" customHeight="1" x14ac:dyDescent="0.25">
      <c r="A296" s="148" t="s">
        <v>76</v>
      </c>
      <c r="B296" s="148" t="s">
        <v>36</v>
      </c>
      <c r="C296" s="148" t="s">
        <v>28</v>
      </c>
      <c r="D296" s="148" t="s">
        <v>29</v>
      </c>
      <c r="E296" s="148" t="s">
        <v>51</v>
      </c>
      <c r="F296" s="148" t="s">
        <v>3183</v>
      </c>
      <c r="G296" s="148" t="s">
        <v>52</v>
      </c>
      <c r="H296" s="148">
        <v>2004</v>
      </c>
      <c r="I296" s="148">
        <v>3</v>
      </c>
      <c r="J296" s="148" t="s">
        <v>150</v>
      </c>
      <c r="K296" s="148" t="s">
        <v>172</v>
      </c>
      <c r="M296" s="148" t="s">
        <v>346</v>
      </c>
      <c r="N296" s="148">
        <v>10</v>
      </c>
      <c r="O296" s="148" t="s">
        <v>83</v>
      </c>
      <c r="Y296" s="150" t="s">
        <v>366</v>
      </c>
    </row>
    <row r="297" spans="1:26" ht="15.75" hidden="1" customHeight="1" x14ac:dyDescent="0.25">
      <c r="A297" s="148" t="s">
        <v>76</v>
      </c>
      <c r="B297" s="148" t="s">
        <v>89</v>
      </c>
      <c r="C297" s="148" t="s">
        <v>90</v>
      </c>
      <c r="D297" s="148" t="s">
        <v>29</v>
      </c>
      <c r="E297" s="148" t="s">
        <v>30</v>
      </c>
      <c r="F297" s="148" t="s">
        <v>91</v>
      </c>
      <c r="G297" s="148" t="s">
        <v>414</v>
      </c>
      <c r="H297" s="148">
        <v>2004</v>
      </c>
      <c r="I297" s="148">
        <v>3</v>
      </c>
      <c r="J297" s="148" t="s">
        <v>118</v>
      </c>
      <c r="K297" s="148" t="s">
        <v>172</v>
      </c>
      <c r="M297" s="148" t="s">
        <v>346</v>
      </c>
      <c r="N297" s="148">
        <v>10</v>
      </c>
      <c r="O297" s="148" t="s">
        <v>101</v>
      </c>
      <c r="P297" s="148" t="s">
        <v>463</v>
      </c>
      <c r="Y297" s="150" t="s">
        <v>366</v>
      </c>
    </row>
    <row r="298" spans="1:26" ht="15.75" hidden="1" customHeight="1" x14ac:dyDescent="0.25">
      <c r="A298" s="148" t="s">
        <v>76</v>
      </c>
      <c r="B298" s="148" t="s">
        <v>103</v>
      </c>
      <c r="C298" s="148" t="s">
        <v>55</v>
      </c>
      <c r="D298" s="148" t="s">
        <v>29</v>
      </c>
      <c r="E298" s="148" t="s">
        <v>95</v>
      </c>
      <c r="F298" s="148" t="s">
        <v>56</v>
      </c>
      <c r="G298" s="148" t="s">
        <v>265</v>
      </c>
      <c r="H298" s="148">
        <v>2004</v>
      </c>
      <c r="I298" s="148">
        <v>4</v>
      </c>
      <c r="J298" s="148" t="s">
        <v>150</v>
      </c>
      <c r="K298" s="148" t="s">
        <v>374</v>
      </c>
      <c r="M298" s="148" t="s">
        <v>464</v>
      </c>
      <c r="N298" s="148">
        <v>8</v>
      </c>
      <c r="O298" s="148" t="s">
        <v>83</v>
      </c>
      <c r="Y298" s="150" t="s">
        <v>366</v>
      </c>
      <c r="Z298" s="148" t="s">
        <v>465</v>
      </c>
    </row>
    <row r="299" spans="1:26" ht="15.75" hidden="1" customHeight="1" x14ac:dyDescent="0.25">
      <c r="A299" s="148" t="s">
        <v>76</v>
      </c>
      <c r="B299" s="148" t="s">
        <v>116</v>
      </c>
      <c r="C299" s="148" t="s">
        <v>90</v>
      </c>
      <c r="D299" s="148" t="s">
        <v>86</v>
      </c>
      <c r="E299" s="148" t="s">
        <v>40</v>
      </c>
      <c r="F299" s="148" t="s">
        <v>41</v>
      </c>
      <c r="G299" s="148" t="s">
        <v>117</v>
      </c>
      <c r="H299" s="148">
        <v>2004</v>
      </c>
      <c r="I299" s="148">
        <v>4</v>
      </c>
      <c r="J299" s="148" t="s">
        <v>150</v>
      </c>
      <c r="K299" s="148" t="s">
        <v>466</v>
      </c>
      <c r="M299" s="148" t="s">
        <v>467</v>
      </c>
      <c r="N299" s="148">
        <v>6</v>
      </c>
      <c r="O299" s="148" t="s">
        <v>83</v>
      </c>
      <c r="Y299" s="150" t="s">
        <v>366</v>
      </c>
    </row>
    <row r="300" spans="1:26" ht="15.75" hidden="1" customHeight="1" x14ac:dyDescent="0.25">
      <c r="A300" s="148" t="s">
        <v>76</v>
      </c>
      <c r="B300" s="148" t="s">
        <v>103</v>
      </c>
      <c r="C300" s="148" t="s">
        <v>55</v>
      </c>
      <c r="D300" s="148" t="s">
        <v>29</v>
      </c>
      <c r="E300" s="148" t="s">
        <v>30</v>
      </c>
      <c r="F300" s="148" t="s">
        <v>56</v>
      </c>
      <c r="G300" s="148" t="s">
        <v>405</v>
      </c>
      <c r="H300" s="148">
        <v>2004</v>
      </c>
      <c r="I300" s="148">
        <v>4</v>
      </c>
      <c r="J300" s="148" t="s">
        <v>118</v>
      </c>
      <c r="K300" s="148" t="s">
        <v>172</v>
      </c>
      <c r="M300" s="148" t="s">
        <v>346</v>
      </c>
      <c r="N300" s="148">
        <v>10</v>
      </c>
      <c r="O300" s="148" t="s">
        <v>101</v>
      </c>
      <c r="P300" s="148" t="s">
        <v>468</v>
      </c>
      <c r="Y300" s="150" t="s">
        <v>366</v>
      </c>
    </row>
    <row r="301" spans="1:26" ht="15.75" hidden="1" customHeight="1" x14ac:dyDescent="0.25">
      <c r="A301" s="148" t="s">
        <v>76</v>
      </c>
      <c r="B301" s="148" t="s">
        <v>116</v>
      </c>
      <c r="C301" s="148" t="s">
        <v>90</v>
      </c>
      <c r="D301" s="148" t="s">
        <v>29</v>
      </c>
      <c r="E301" s="148" t="s">
        <v>40</v>
      </c>
      <c r="F301" s="148" t="s">
        <v>41</v>
      </c>
      <c r="G301" s="148" t="s">
        <v>469</v>
      </c>
      <c r="H301" s="148">
        <v>2004</v>
      </c>
      <c r="I301" s="148">
        <v>4</v>
      </c>
      <c r="J301" s="148" t="s">
        <v>150</v>
      </c>
      <c r="K301" s="148" t="s">
        <v>470</v>
      </c>
      <c r="M301" s="148" t="s">
        <v>471</v>
      </c>
      <c r="N301" s="148">
        <v>6</v>
      </c>
      <c r="O301" s="148" t="s">
        <v>83</v>
      </c>
      <c r="Y301" s="150" t="s">
        <v>366</v>
      </c>
    </row>
    <row r="302" spans="1:26" ht="15.75" hidden="1" customHeight="1" x14ac:dyDescent="0.25">
      <c r="A302" s="148" t="s">
        <v>76</v>
      </c>
      <c r="B302" s="148" t="s">
        <v>62</v>
      </c>
      <c r="C302" s="148" t="s">
        <v>28</v>
      </c>
      <c r="D302" s="148" t="s">
        <v>408</v>
      </c>
      <c r="E302" s="148" t="s">
        <v>51</v>
      </c>
      <c r="F302" s="148" t="s">
        <v>3183</v>
      </c>
      <c r="G302" s="148" t="s">
        <v>409</v>
      </c>
      <c r="H302" s="148">
        <v>2004</v>
      </c>
      <c r="I302" s="148">
        <v>4</v>
      </c>
      <c r="J302" s="148" t="s">
        <v>118</v>
      </c>
      <c r="K302" s="148" t="s">
        <v>172</v>
      </c>
      <c r="M302" s="148" t="s">
        <v>346</v>
      </c>
      <c r="N302" s="148">
        <v>10</v>
      </c>
      <c r="O302" s="148" t="s">
        <v>101</v>
      </c>
      <c r="P302" s="148" t="s">
        <v>472</v>
      </c>
      <c r="Y302" s="150" t="s">
        <v>366</v>
      </c>
    </row>
    <row r="303" spans="1:26" ht="15.75" hidden="1" customHeight="1" x14ac:dyDescent="0.25">
      <c r="A303" s="148" t="s">
        <v>76</v>
      </c>
      <c r="B303" s="148" t="s">
        <v>116</v>
      </c>
      <c r="C303" s="148" t="s">
        <v>90</v>
      </c>
      <c r="D303" s="148" t="s">
        <v>29</v>
      </c>
      <c r="E303" s="148" t="s">
        <v>40</v>
      </c>
      <c r="F303" s="148" t="s">
        <v>41</v>
      </c>
      <c r="G303" s="148" t="s">
        <v>473</v>
      </c>
      <c r="H303" s="148">
        <v>2004</v>
      </c>
      <c r="I303" s="148">
        <v>4</v>
      </c>
      <c r="J303" s="148" t="s">
        <v>150</v>
      </c>
      <c r="K303" s="148" t="s">
        <v>470</v>
      </c>
      <c r="M303" s="148" t="s">
        <v>471</v>
      </c>
      <c r="N303" s="148">
        <v>6</v>
      </c>
      <c r="O303" s="148" t="s">
        <v>83</v>
      </c>
      <c r="Y303" s="150" t="s">
        <v>366</v>
      </c>
    </row>
    <row r="304" spans="1:26" ht="15.75" hidden="1" customHeight="1" x14ac:dyDescent="0.25">
      <c r="A304" s="148" t="s">
        <v>76</v>
      </c>
      <c r="B304" s="148" t="s">
        <v>77</v>
      </c>
      <c r="C304" s="148" t="s">
        <v>55</v>
      </c>
      <c r="D304" s="148" t="s">
        <v>158</v>
      </c>
      <c r="E304" s="148" t="s">
        <v>30</v>
      </c>
      <c r="F304" s="148" t="s">
        <v>41</v>
      </c>
      <c r="G304" s="148" t="s">
        <v>159</v>
      </c>
      <c r="H304" s="148">
        <v>2004</v>
      </c>
      <c r="I304" s="148">
        <v>4</v>
      </c>
      <c r="J304" s="148" t="s">
        <v>118</v>
      </c>
      <c r="K304" s="148" t="s">
        <v>172</v>
      </c>
      <c r="M304" s="148" t="s">
        <v>346</v>
      </c>
      <c r="N304" s="148">
        <v>10</v>
      </c>
      <c r="O304" s="148" t="s">
        <v>101</v>
      </c>
      <c r="P304" s="148" t="s">
        <v>146</v>
      </c>
      <c r="Y304" s="150" t="s">
        <v>366</v>
      </c>
    </row>
    <row r="305" spans="1:25" ht="15.75" hidden="1" customHeight="1" x14ac:dyDescent="0.25">
      <c r="A305" s="148" t="s">
        <v>76</v>
      </c>
      <c r="B305" s="148" t="s">
        <v>103</v>
      </c>
      <c r="C305" s="148" t="s">
        <v>55</v>
      </c>
      <c r="D305" s="148" t="s">
        <v>29</v>
      </c>
      <c r="E305" s="148" t="s">
        <v>95</v>
      </c>
      <c r="F305" s="148" t="s">
        <v>56</v>
      </c>
      <c r="G305" s="148" t="s">
        <v>180</v>
      </c>
      <c r="H305" s="148">
        <v>2004</v>
      </c>
      <c r="I305" s="148">
        <v>4</v>
      </c>
      <c r="J305" s="148" t="s">
        <v>118</v>
      </c>
      <c r="K305" s="148" t="s">
        <v>172</v>
      </c>
      <c r="M305" s="148" t="s">
        <v>346</v>
      </c>
      <c r="N305" s="148">
        <v>10</v>
      </c>
      <c r="O305" s="148" t="s">
        <v>101</v>
      </c>
      <c r="P305" s="148" t="s">
        <v>146</v>
      </c>
      <c r="Y305" s="150" t="s">
        <v>366</v>
      </c>
    </row>
    <row r="306" spans="1:25" ht="15.75" hidden="1" customHeight="1" x14ac:dyDescent="0.25">
      <c r="A306" s="148" t="s">
        <v>76</v>
      </c>
      <c r="B306" s="148" t="s">
        <v>36</v>
      </c>
      <c r="C306" s="148" t="s">
        <v>28</v>
      </c>
      <c r="D306" s="148" t="s">
        <v>29</v>
      </c>
      <c r="E306" s="148" t="s">
        <v>51</v>
      </c>
      <c r="F306" s="148" t="s">
        <v>3183</v>
      </c>
      <c r="G306" s="148" t="s">
        <v>69</v>
      </c>
      <c r="H306" s="148">
        <v>2004</v>
      </c>
      <c r="I306" s="148">
        <v>4</v>
      </c>
      <c r="J306" s="148" t="s">
        <v>118</v>
      </c>
      <c r="K306" s="148" t="s">
        <v>327</v>
      </c>
      <c r="M306" s="148" t="s">
        <v>132</v>
      </c>
      <c r="N306" s="148">
        <v>8</v>
      </c>
      <c r="O306" s="148" t="s">
        <v>101</v>
      </c>
      <c r="P306" s="148" t="s">
        <v>474</v>
      </c>
      <c r="Y306" s="150" t="s">
        <v>366</v>
      </c>
    </row>
    <row r="307" spans="1:25" ht="15.75" hidden="1" customHeight="1" x14ac:dyDescent="0.25">
      <c r="A307" s="148" t="s">
        <v>76</v>
      </c>
      <c r="B307" s="148" t="s">
        <v>54</v>
      </c>
      <c r="C307" s="148" t="s">
        <v>55</v>
      </c>
      <c r="D307" s="148" t="s">
        <v>65</v>
      </c>
      <c r="E307" s="148" t="s">
        <v>30</v>
      </c>
      <c r="F307" s="148" t="s">
        <v>56</v>
      </c>
      <c r="G307" s="148" t="s">
        <v>54</v>
      </c>
      <c r="H307" s="148">
        <v>2004</v>
      </c>
      <c r="I307" s="148">
        <v>4</v>
      </c>
      <c r="J307" s="148" t="s">
        <v>118</v>
      </c>
      <c r="K307" s="148" t="s">
        <v>172</v>
      </c>
      <c r="M307" s="148" t="s">
        <v>346</v>
      </c>
      <c r="N307" s="148">
        <v>10</v>
      </c>
      <c r="O307" s="148" t="s">
        <v>101</v>
      </c>
      <c r="P307" s="148" t="s">
        <v>146</v>
      </c>
      <c r="Y307" s="150" t="s">
        <v>366</v>
      </c>
    </row>
    <row r="308" spans="1:25" ht="15.75" hidden="1" customHeight="1" x14ac:dyDescent="0.25">
      <c r="A308" s="148" t="s">
        <v>76</v>
      </c>
      <c r="B308" s="148" t="s">
        <v>62</v>
      </c>
      <c r="C308" s="148" t="s">
        <v>28</v>
      </c>
      <c r="D308" s="148" t="s">
        <v>158</v>
      </c>
      <c r="E308" s="148" t="s">
        <v>51</v>
      </c>
      <c r="F308" s="148" t="s">
        <v>3183</v>
      </c>
      <c r="G308" s="148" t="s">
        <v>130</v>
      </c>
      <c r="H308" s="148">
        <v>2004</v>
      </c>
      <c r="I308" s="148">
        <v>4</v>
      </c>
      <c r="J308" s="148" t="s">
        <v>118</v>
      </c>
      <c r="K308" s="148" t="s">
        <v>119</v>
      </c>
      <c r="M308" s="148" t="s">
        <v>120</v>
      </c>
      <c r="N308" s="148">
        <v>6</v>
      </c>
      <c r="O308" s="148" t="s">
        <v>101</v>
      </c>
      <c r="P308" s="148" t="s">
        <v>475</v>
      </c>
      <c r="Y308" s="150" t="s">
        <v>366</v>
      </c>
    </row>
    <row r="309" spans="1:25" ht="15.75" hidden="1" customHeight="1" x14ac:dyDescent="0.25">
      <c r="A309" s="148" t="s">
        <v>76</v>
      </c>
      <c r="B309" s="148" t="s">
        <v>116</v>
      </c>
      <c r="C309" s="148" t="s">
        <v>90</v>
      </c>
      <c r="D309" s="148" t="s">
        <v>29</v>
      </c>
      <c r="E309" s="148" t="s">
        <v>30</v>
      </c>
      <c r="F309" s="148" t="s">
        <v>41</v>
      </c>
      <c r="G309" s="148" t="s">
        <v>476</v>
      </c>
      <c r="H309" s="148">
        <v>2004</v>
      </c>
      <c r="I309" s="148">
        <v>4</v>
      </c>
      <c r="J309" s="148" t="s">
        <v>150</v>
      </c>
      <c r="K309" s="148" t="s">
        <v>466</v>
      </c>
      <c r="M309" s="148" t="s">
        <v>467</v>
      </c>
      <c r="N309" s="148">
        <v>6</v>
      </c>
      <c r="O309" s="148" t="s">
        <v>83</v>
      </c>
      <c r="Y309" s="150" t="s">
        <v>366</v>
      </c>
    </row>
    <row r="310" spans="1:25" ht="15.75" hidden="1" customHeight="1" x14ac:dyDescent="0.25">
      <c r="A310" s="148" t="s">
        <v>76</v>
      </c>
      <c r="B310" s="148" t="s">
        <v>103</v>
      </c>
      <c r="C310" s="148" t="s">
        <v>55</v>
      </c>
      <c r="D310" s="148" t="s">
        <v>29</v>
      </c>
      <c r="E310" s="148" t="s">
        <v>30</v>
      </c>
      <c r="F310" s="148" t="s">
        <v>56</v>
      </c>
      <c r="G310" s="148" t="s">
        <v>137</v>
      </c>
      <c r="H310" s="148">
        <v>2004</v>
      </c>
      <c r="I310" s="148">
        <v>4</v>
      </c>
      <c r="J310" s="148" t="s">
        <v>150</v>
      </c>
      <c r="K310" s="148" t="s">
        <v>470</v>
      </c>
      <c r="M310" s="148" t="s">
        <v>471</v>
      </c>
      <c r="N310" s="148">
        <v>6</v>
      </c>
      <c r="O310" s="148" t="s">
        <v>83</v>
      </c>
      <c r="Y310" s="150" t="s">
        <v>366</v>
      </c>
    </row>
    <row r="311" spans="1:25" ht="15.75" hidden="1" customHeight="1" x14ac:dyDescent="0.25">
      <c r="A311" s="148" t="s">
        <v>76</v>
      </c>
      <c r="B311" s="148" t="s">
        <v>198</v>
      </c>
      <c r="C311" s="148" t="s">
        <v>45</v>
      </c>
      <c r="D311" s="148" t="s">
        <v>29</v>
      </c>
      <c r="E311" s="148" t="s">
        <v>30</v>
      </c>
      <c r="F311" s="148" t="s">
        <v>199</v>
      </c>
      <c r="G311" s="148" t="s">
        <v>477</v>
      </c>
      <c r="H311" s="148">
        <v>2004</v>
      </c>
      <c r="I311" s="148">
        <v>5</v>
      </c>
      <c r="J311" s="148" t="s">
        <v>118</v>
      </c>
      <c r="K311" s="148" t="s">
        <v>172</v>
      </c>
      <c r="M311" s="148" t="s">
        <v>346</v>
      </c>
      <c r="N311" s="148">
        <v>10</v>
      </c>
      <c r="O311" s="148" t="s">
        <v>101</v>
      </c>
      <c r="P311" s="148" t="s">
        <v>420</v>
      </c>
      <c r="Y311" s="150" t="s">
        <v>366</v>
      </c>
    </row>
    <row r="312" spans="1:25" ht="15.75" hidden="1" customHeight="1" x14ac:dyDescent="0.25">
      <c r="A312" s="148" t="s">
        <v>76</v>
      </c>
      <c r="B312" s="148" t="s">
        <v>198</v>
      </c>
      <c r="C312" s="148" t="s">
        <v>45</v>
      </c>
      <c r="D312" s="148" t="s">
        <v>478</v>
      </c>
      <c r="E312" s="148" t="s">
        <v>30</v>
      </c>
      <c r="F312" s="148" t="s">
        <v>199</v>
      </c>
      <c r="G312" s="148" t="s">
        <v>208</v>
      </c>
      <c r="H312" s="148">
        <v>2004</v>
      </c>
      <c r="I312" s="148">
        <v>5</v>
      </c>
      <c r="J312" s="148" t="s">
        <v>118</v>
      </c>
      <c r="K312" s="148" t="s">
        <v>172</v>
      </c>
      <c r="M312" s="148" t="s">
        <v>346</v>
      </c>
      <c r="N312" s="148">
        <v>10</v>
      </c>
      <c r="O312" s="148" t="s">
        <v>101</v>
      </c>
      <c r="P312" s="148" t="s">
        <v>479</v>
      </c>
      <c r="Y312" s="150" t="s">
        <v>366</v>
      </c>
    </row>
    <row r="313" spans="1:25" ht="15.75" hidden="1" customHeight="1" x14ac:dyDescent="0.25">
      <c r="A313" s="148" t="s">
        <v>76</v>
      </c>
      <c r="B313" s="148" t="s">
        <v>36</v>
      </c>
      <c r="C313" s="148" t="s">
        <v>28</v>
      </c>
      <c r="D313" s="148" t="s">
        <v>29</v>
      </c>
      <c r="E313" s="148" t="s">
        <v>30</v>
      </c>
      <c r="F313" s="148" t="s">
        <v>3183</v>
      </c>
      <c r="G313" s="148" t="s">
        <v>438</v>
      </c>
      <c r="H313" s="148">
        <v>2004</v>
      </c>
      <c r="I313" s="148">
        <v>5</v>
      </c>
      <c r="J313" s="148" t="s">
        <v>118</v>
      </c>
      <c r="K313" s="148" t="s">
        <v>172</v>
      </c>
      <c r="M313" s="148" t="s">
        <v>346</v>
      </c>
      <c r="N313" s="148">
        <v>10</v>
      </c>
      <c r="O313" s="148" t="s">
        <v>101</v>
      </c>
      <c r="P313" s="148" t="s">
        <v>480</v>
      </c>
      <c r="Y313" s="150" t="s">
        <v>366</v>
      </c>
    </row>
    <row r="314" spans="1:25" ht="15.75" hidden="1" customHeight="1" x14ac:dyDescent="0.25">
      <c r="A314" s="148" t="s">
        <v>76</v>
      </c>
      <c r="B314" s="148" t="s">
        <v>44</v>
      </c>
      <c r="C314" s="148" t="s">
        <v>45</v>
      </c>
      <c r="D314" s="148" t="s">
        <v>94</v>
      </c>
      <c r="E314" s="148" t="s">
        <v>95</v>
      </c>
      <c r="F314" s="148" t="s">
        <v>47</v>
      </c>
      <c r="G314" s="148" t="s">
        <v>96</v>
      </c>
      <c r="H314" s="148">
        <v>2004</v>
      </c>
      <c r="I314" s="148">
        <v>5</v>
      </c>
      <c r="J314" s="148" t="s">
        <v>150</v>
      </c>
      <c r="K314" s="148" t="s">
        <v>481</v>
      </c>
      <c r="M314" s="148" t="s">
        <v>395</v>
      </c>
      <c r="N314" s="148">
        <v>6</v>
      </c>
      <c r="O314" s="148" t="s">
        <v>83</v>
      </c>
      <c r="Y314" s="150" t="s">
        <v>366</v>
      </c>
    </row>
    <row r="315" spans="1:25" ht="15.75" hidden="1" customHeight="1" x14ac:dyDescent="0.25">
      <c r="A315" s="148" t="s">
        <v>76</v>
      </c>
      <c r="B315" s="148" t="s">
        <v>198</v>
      </c>
      <c r="C315" s="148" t="s">
        <v>45</v>
      </c>
      <c r="D315" s="148" t="s">
        <v>94</v>
      </c>
      <c r="E315" s="148" t="s">
        <v>30</v>
      </c>
      <c r="F315" s="148" t="s">
        <v>199</v>
      </c>
      <c r="G315" s="148" t="s">
        <v>296</v>
      </c>
      <c r="H315" s="148">
        <v>2004</v>
      </c>
      <c r="I315" s="148">
        <v>5</v>
      </c>
      <c r="J315" s="148" t="s">
        <v>118</v>
      </c>
      <c r="K315" s="148" t="s">
        <v>172</v>
      </c>
      <c r="M315" s="148" t="s">
        <v>346</v>
      </c>
      <c r="N315" s="148">
        <v>10</v>
      </c>
      <c r="O315" s="148" t="s">
        <v>101</v>
      </c>
      <c r="P315" s="148" t="s">
        <v>146</v>
      </c>
      <c r="Y315" s="150" t="s">
        <v>366</v>
      </c>
    </row>
    <row r="316" spans="1:25" ht="15.75" hidden="1" customHeight="1" x14ac:dyDescent="0.25">
      <c r="A316" s="148" t="s">
        <v>76</v>
      </c>
      <c r="B316" s="148" t="s">
        <v>198</v>
      </c>
      <c r="C316" s="148" t="s">
        <v>45</v>
      </c>
      <c r="D316" s="148" t="s">
        <v>29</v>
      </c>
      <c r="E316" s="148" t="s">
        <v>30</v>
      </c>
      <c r="F316" s="148" t="s">
        <v>199</v>
      </c>
      <c r="G316" s="148" t="s">
        <v>232</v>
      </c>
      <c r="H316" s="148">
        <v>2004</v>
      </c>
      <c r="I316" s="148">
        <v>5</v>
      </c>
      <c r="J316" s="148" t="s">
        <v>150</v>
      </c>
      <c r="K316" s="148" t="s">
        <v>393</v>
      </c>
      <c r="M316" s="148" t="s">
        <v>394</v>
      </c>
      <c r="N316" s="148">
        <v>6</v>
      </c>
      <c r="O316" s="148" t="s">
        <v>83</v>
      </c>
      <c r="Y316" s="150" t="s">
        <v>366</v>
      </c>
    </row>
    <row r="317" spans="1:25" ht="15.75" hidden="1" customHeight="1" x14ac:dyDescent="0.25">
      <c r="A317" s="148" t="s">
        <v>76</v>
      </c>
      <c r="B317" s="148" t="s">
        <v>103</v>
      </c>
      <c r="C317" s="148" t="s">
        <v>55</v>
      </c>
      <c r="D317" s="148" t="s">
        <v>94</v>
      </c>
      <c r="E317" s="148" t="s">
        <v>95</v>
      </c>
      <c r="F317" s="148" t="s">
        <v>56</v>
      </c>
      <c r="G317" s="148" t="s">
        <v>111</v>
      </c>
      <c r="H317" s="148">
        <v>2004</v>
      </c>
      <c r="I317" s="148">
        <v>5</v>
      </c>
      <c r="J317" s="148" t="s">
        <v>150</v>
      </c>
      <c r="K317" s="148" t="s">
        <v>327</v>
      </c>
      <c r="M317" s="148" t="s">
        <v>132</v>
      </c>
      <c r="N317" s="148">
        <v>8</v>
      </c>
      <c r="O317" s="148" t="s">
        <v>83</v>
      </c>
      <c r="Y317" s="150" t="s">
        <v>366</v>
      </c>
    </row>
    <row r="318" spans="1:25" ht="15.75" hidden="1" customHeight="1" x14ac:dyDescent="0.25">
      <c r="A318" s="148" t="s">
        <v>76</v>
      </c>
      <c r="B318" s="148" t="s">
        <v>103</v>
      </c>
      <c r="C318" s="148" t="s">
        <v>55</v>
      </c>
      <c r="D318" s="148" t="s">
        <v>29</v>
      </c>
      <c r="E318" s="148" t="s">
        <v>95</v>
      </c>
      <c r="F318" s="148" t="s">
        <v>56</v>
      </c>
      <c r="G318" s="148" t="s">
        <v>153</v>
      </c>
      <c r="H318" s="148">
        <v>2004</v>
      </c>
      <c r="I318" s="148">
        <v>5</v>
      </c>
      <c r="J318" s="148" t="s">
        <v>118</v>
      </c>
      <c r="K318" s="148" t="s">
        <v>172</v>
      </c>
      <c r="M318" s="148" t="s">
        <v>346</v>
      </c>
      <c r="N318" s="148">
        <v>10</v>
      </c>
      <c r="O318" s="148" t="s">
        <v>101</v>
      </c>
      <c r="P318" s="148" t="s">
        <v>482</v>
      </c>
      <c r="Y318" s="150" t="s">
        <v>366</v>
      </c>
    </row>
    <row r="319" spans="1:25" ht="15.75" hidden="1" customHeight="1" x14ac:dyDescent="0.25">
      <c r="A319" s="148" t="s">
        <v>26</v>
      </c>
      <c r="B319" s="148" t="s">
        <v>62</v>
      </c>
      <c r="C319" s="148" t="s">
        <v>28</v>
      </c>
      <c r="D319" s="148" t="s">
        <v>46</v>
      </c>
      <c r="E319" s="148" t="s">
        <v>30</v>
      </c>
      <c r="F319" s="148" t="s">
        <v>3183</v>
      </c>
      <c r="G319" s="148" t="s">
        <v>106</v>
      </c>
      <c r="H319" s="148">
        <v>2004</v>
      </c>
      <c r="I319" s="148">
        <v>5</v>
      </c>
      <c r="J319" s="148" t="s">
        <v>33</v>
      </c>
      <c r="U319" s="149" t="s">
        <v>112</v>
      </c>
      <c r="V319" s="148" t="s">
        <v>3662</v>
      </c>
      <c r="W319" s="148" t="s">
        <v>38</v>
      </c>
      <c r="X319" s="148" t="s">
        <v>483</v>
      </c>
    </row>
    <row r="320" spans="1:25" ht="15.75" hidden="1" customHeight="1" x14ac:dyDescent="0.25">
      <c r="A320" s="148" t="s">
        <v>76</v>
      </c>
      <c r="B320" s="148" t="s">
        <v>103</v>
      </c>
      <c r="C320" s="148" t="s">
        <v>55</v>
      </c>
      <c r="D320" s="148" t="s">
        <v>29</v>
      </c>
      <c r="E320" s="148" t="s">
        <v>95</v>
      </c>
      <c r="F320" s="148" t="s">
        <v>56</v>
      </c>
      <c r="G320" s="148" t="s">
        <v>407</v>
      </c>
      <c r="H320" s="148">
        <v>2004</v>
      </c>
      <c r="I320" s="148">
        <v>5</v>
      </c>
      <c r="J320" s="148" t="s">
        <v>118</v>
      </c>
      <c r="K320" s="148" t="s">
        <v>172</v>
      </c>
      <c r="M320" s="148" t="s">
        <v>346</v>
      </c>
      <c r="N320" s="148">
        <v>10</v>
      </c>
      <c r="O320" s="148" t="s">
        <v>101</v>
      </c>
      <c r="P320" s="148" t="s">
        <v>484</v>
      </c>
      <c r="Y320" s="150" t="s">
        <v>366</v>
      </c>
    </row>
    <row r="321" spans="1:26" ht="15.75" hidden="1" customHeight="1" x14ac:dyDescent="0.25">
      <c r="A321" s="148" t="s">
        <v>76</v>
      </c>
      <c r="B321" s="148" t="s">
        <v>62</v>
      </c>
      <c r="C321" s="148" t="s">
        <v>28</v>
      </c>
      <c r="D321" s="148" t="s">
        <v>408</v>
      </c>
      <c r="E321" s="148" t="s">
        <v>51</v>
      </c>
      <c r="F321" s="148" t="s">
        <v>3183</v>
      </c>
      <c r="G321" s="148" t="s">
        <v>409</v>
      </c>
      <c r="H321" s="148">
        <v>2004</v>
      </c>
      <c r="I321" s="148">
        <v>5</v>
      </c>
      <c r="J321" s="148" t="s">
        <v>118</v>
      </c>
      <c r="K321" s="148" t="s">
        <v>172</v>
      </c>
      <c r="M321" s="148" t="s">
        <v>346</v>
      </c>
      <c r="N321" s="148">
        <v>10</v>
      </c>
      <c r="O321" s="148" t="s">
        <v>101</v>
      </c>
      <c r="P321" s="148" t="s">
        <v>485</v>
      </c>
      <c r="Y321" s="150" t="s">
        <v>366</v>
      </c>
    </row>
    <row r="322" spans="1:26" ht="15.75" hidden="1" customHeight="1" x14ac:dyDescent="0.25">
      <c r="A322" s="148" t="s">
        <v>76</v>
      </c>
      <c r="B322" s="148" t="s">
        <v>36</v>
      </c>
      <c r="C322" s="148" t="s">
        <v>28</v>
      </c>
      <c r="D322" s="148" t="s">
        <v>29</v>
      </c>
      <c r="E322" s="148" t="s">
        <v>30</v>
      </c>
      <c r="F322" s="148" t="s">
        <v>3183</v>
      </c>
      <c r="G322" s="148" t="s">
        <v>242</v>
      </c>
      <c r="H322" s="148">
        <v>2004</v>
      </c>
      <c r="I322" s="148">
        <v>5</v>
      </c>
      <c r="J322" s="148" t="s">
        <v>118</v>
      </c>
      <c r="K322" s="148" t="s">
        <v>172</v>
      </c>
      <c r="M322" s="148" t="s">
        <v>346</v>
      </c>
      <c r="N322" s="148">
        <v>10</v>
      </c>
      <c r="O322" s="148" t="s">
        <v>101</v>
      </c>
      <c r="P322" s="148" t="s">
        <v>486</v>
      </c>
      <c r="Y322" s="150" t="s">
        <v>366</v>
      </c>
    </row>
    <row r="323" spans="1:26" ht="15.75" hidden="1" customHeight="1" x14ac:dyDescent="0.25">
      <c r="A323" s="148" t="s">
        <v>76</v>
      </c>
      <c r="B323" s="148" t="s">
        <v>89</v>
      </c>
      <c r="C323" s="148" t="s">
        <v>90</v>
      </c>
      <c r="D323" s="148" t="s">
        <v>29</v>
      </c>
      <c r="E323" s="148" t="s">
        <v>30</v>
      </c>
      <c r="F323" s="148" t="s">
        <v>91</v>
      </c>
      <c r="G323" s="148" t="s">
        <v>329</v>
      </c>
      <c r="H323" s="148">
        <v>2004</v>
      </c>
      <c r="I323" s="148">
        <v>5</v>
      </c>
      <c r="J323" s="148" t="s">
        <v>118</v>
      </c>
      <c r="K323" s="148" t="s">
        <v>172</v>
      </c>
      <c r="M323" s="148" t="s">
        <v>346</v>
      </c>
      <c r="N323" s="148">
        <v>10</v>
      </c>
      <c r="O323" s="148" t="s">
        <v>101</v>
      </c>
      <c r="P323" s="148" t="s">
        <v>146</v>
      </c>
      <c r="Y323" s="150" t="s">
        <v>366</v>
      </c>
    </row>
    <row r="324" spans="1:26" ht="15.75" hidden="1" customHeight="1" x14ac:dyDescent="0.25">
      <c r="A324" s="148" t="s">
        <v>76</v>
      </c>
      <c r="B324" s="148" t="s">
        <v>89</v>
      </c>
      <c r="C324" s="148" t="s">
        <v>90</v>
      </c>
      <c r="D324" s="148" t="s">
        <v>29</v>
      </c>
      <c r="E324" s="148" t="s">
        <v>30</v>
      </c>
      <c r="F324" s="148" t="s">
        <v>91</v>
      </c>
      <c r="G324" s="148" t="s">
        <v>329</v>
      </c>
      <c r="H324" s="148">
        <v>2004</v>
      </c>
      <c r="I324" s="148">
        <v>5</v>
      </c>
      <c r="J324" s="148" t="s">
        <v>150</v>
      </c>
      <c r="K324" s="148" t="s">
        <v>119</v>
      </c>
      <c r="M324" s="148" t="s">
        <v>120</v>
      </c>
      <c r="N324" s="148">
        <v>6</v>
      </c>
      <c r="O324" s="148" t="s">
        <v>83</v>
      </c>
      <c r="Y324" s="150" t="s">
        <v>366</v>
      </c>
    </row>
    <row r="325" spans="1:26" ht="15.75" hidden="1" customHeight="1" x14ac:dyDescent="0.25">
      <c r="A325" s="148" t="s">
        <v>76</v>
      </c>
      <c r="B325" s="148" t="s">
        <v>89</v>
      </c>
      <c r="C325" s="148" t="s">
        <v>90</v>
      </c>
      <c r="D325" s="148" t="s">
        <v>29</v>
      </c>
      <c r="E325" s="148" t="s">
        <v>30</v>
      </c>
      <c r="F325" s="148" t="s">
        <v>91</v>
      </c>
      <c r="G325" s="148" t="s">
        <v>487</v>
      </c>
      <c r="H325" s="148">
        <v>2004</v>
      </c>
      <c r="I325" s="148">
        <v>5</v>
      </c>
      <c r="J325" s="148" t="s">
        <v>118</v>
      </c>
      <c r="K325" s="148" t="s">
        <v>172</v>
      </c>
      <c r="M325" s="148" t="s">
        <v>346</v>
      </c>
      <c r="N325" s="148">
        <v>10</v>
      </c>
      <c r="O325" s="148" t="s">
        <v>101</v>
      </c>
      <c r="P325" s="148" t="s">
        <v>435</v>
      </c>
      <c r="Y325" s="150" t="s">
        <v>366</v>
      </c>
    </row>
    <row r="326" spans="1:26" ht="15.75" hidden="1" customHeight="1" x14ac:dyDescent="0.25">
      <c r="A326" s="148" t="s">
        <v>76</v>
      </c>
      <c r="B326" s="148" t="s">
        <v>89</v>
      </c>
      <c r="C326" s="148" t="s">
        <v>90</v>
      </c>
      <c r="D326" s="148" t="s">
        <v>29</v>
      </c>
      <c r="E326" s="148" t="s">
        <v>30</v>
      </c>
      <c r="F326" s="148" t="s">
        <v>91</v>
      </c>
      <c r="G326" s="148" t="s">
        <v>178</v>
      </c>
      <c r="H326" s="148">
        <v>2004</v>
      </c>
      <c r="I326" s="148">
        <v>5</v>
      </c>
      <c r="J326" s="148" t="s">
        <v>118</v>
      </c>
      <c r="K326" s="148" t="s">
        <v>172</v>
      </c>
      <c r="M326" s="148" t="s">
        <v>346</v>
      </c>
      <c r="N326" s="148">
        <v>10</v>
      </c>
      <c r="O326" s="148" t="s">
        <v>101</v>
      </c>
      <c r="P326" s="148" t="s">
        <v>146</v>
      </c>
      <c r="Y326" s="150" t="s">
        <v>366</v>
      </c>
    </row>
    <row r="327" spans="1:26" ht="15.75" hidden="1" customHeight="1" x14ac:dyDescent="0.25">
      <c r="A327" s="148" t="s">
        <v>76</v>
      </c>
      <c r="B327" s="148" t="s">
        <v>62</v>
      </c>
      <c r="C327" s="148" t="s">
        <v>28</v>
      </c>
      <c r="D327" s="148" t="s">
        <v>51</v>
      </c>
      <c r="E327" s="148" t="s">
        <v>30</v>
      </c>
      <c r="F327" s="148" t="s">
        <v>3183</v>
      </c>
      <c r="G327" s="148" t="s">
        <v>63</v>
      </c>
      <c r="H327" s="148">
        <v>2004</v>
      </c>
      <c r="I327" s="148">
        <v>5</v>
      </c>
      <c r="J327" s="148" t="s">
        <v>118</v>
      </c>
      <c r="K327" s="148" t="s">
        <v>172</v>
      </c>
      <c r="M327" s="148" t="s">
        <v>346</v>
      </c>
      <c r="N327" s="148">
        <v>10</v>
      </c>
      <c r="O327" s="148" t="s">
        <v>101</v>
      </c>
      <c r="P327" s="148" t="s">
        <v>146</v>
      </c>
      <c r="Y327" s="150" t="s">
        <v>366</v>
      </c>
    </row>
    <row r="328" spans="1:26" ht="15.75" hidden="1" customHeight="1" x14ac:dyDescent="0.25">
      <c r="A328" s="148" t="s">
        <v>76</v>
      </c>
      <c r="B328" s="148" t="s">
        <v>27</v>
      </c>
      <c r="C328" s="148" t="s">
        <v>28</v>
      </c>
      <c r="D328" s="148" t="s">
        <v>99</v>
      </c>
      <c r="E328" s="148" t="s">
        <v>40</v>
      </c>
      <c r="F328" s="148" t="s">
        <v>41</v>
      </c>
      <c r="G328" s="148" t="s">
        <v>42</v>
      </c>
      <c r="H328" s="148">
        <v>2004</v>
      </c>
      <c r="I328" s="148">
        <v>5</v>
      </c>
      <c r="J328" s="148" t="s">
        <v>118</v>
      </c>
      <c r="K328" s="148" t="s">
        <v>172</v>
      </c>
      <c r="M328" s="148" t="s">
        <v>346</v>
      </c>
      <c r="N328" s="148">
        <v>10</v>
      </c>
      <c r="O328" s="148" t="s">
        <v>101</v>
      </c>
      <c r="P328" s="148" t="s">
        <v>488</v>
      </c>
      <c r="Y328" s="150" t="s">
        <v>366</v>
      </c>
    </row>
    <row r="329" spans="1:26" ht="15.75" hidden="1" customHeight="1" x14ac:dyDescent="0.25">
      <c r="A329" s="148" t="s">
        <v>76</v>
      </c>
      <c r="B329" s="148" t="s">
        <v>27</v>
      </c>
      <c r="C329" s="148" t="s">
        <v>28</v>
      </c>
      <c r="D329" s="148" t="s">
        <v>99</v>
      </c>
      <c r="E329" s="148" t="s">
        <v>40</v>
      </c>
      <c r="F329" s="148" t="s">
        <v>41</v>
      </c>
      <c r="G329" s="148" t="s">
        <v>42</v>
      </c>
      <c r="H329" s="148">
        <v>2004</v>
      </c>
      <c r="I329" s="148">
        <v>5</v>
      </c>
      <c r="J329" s="148" t="s">
        <v>118</v>
      </c>
      <c r="K329" s="148" t="s">
        <v>172</v>
      </c>
      <c r="M329" s="148" t="s">
        <v>346</v>
      </c>
      <c r="N329" s="148">
        <v>10</v>
      </c>
      <c r="O329" s="148" t="s">
        <v>101</v>
      </c>
      <c r="P329" s="148" t="s">
        <v>489</v>
      </c>
      <c r="Y329" s="150" t="s">
        <v>366</v>
      </c>
    </row>
    <row r="330" spans="1:26" ht="15.75" hidden="1" customHeight="1" x14ac:dyDescent="0.25">
      <c r="A330" s="148" t="s">
        <v>76</v>
      </c>
      <c r="B330" s="148" t="s">
        <v>103</v>
      </c>
      <c r="C330" s="148" t="s">
        <v>55</v>
      </c>
      <c r="D330" s="148" t="s">
        <v>29</v>
      </c>
      <c r="E330" s="148" t="s">
        <v>95</v>
      </c>
      <c r="F330" s="148" t="s">
        <v>56</v>
      </c>
      <c r="G330" s="148" t="s">
        <v>270</v>
      </c>
      <c r="H330" s="148">
        <v>2004</v>
      </c>
      <c r="I330" s="148">
        <v>5</v>
      </c>
      <c r="J330" s="148" t="s">
        <v>150</v>
      </c>
      <c r="K330" s="148" t="s">
        <v>374</v>
      </c>
      <c r="M330" s="148" t="s">
        <v>464</v>
      </c>
      <c r="N330" s="148">
        <v>8</v>
      </c>
      <c r="O330" s="148" t="s">
        <v>83</v>
      </c>
      <c r="Y330" s="150" t="s">
        <v>366</v>
      </c>
      <c r="Z330" s="148" t="s">
        <v>465</v>
      </c>
    </row>
    <row r="331" spans="1:26" ht="15.75" hidden="1" customHeight="1" x14ac:dyDescent="0.25">
      <c r="A331" s="148" t="s">
        <v>76</v>
      </c>
      <c r="B331" s="148" t="s">
        <v>103</v>
      </c>
      <c r="C331" s="148" t="s">
        <v>55</v>
      </c>
      <c r="D331" s="148" t="s">
        <v>490</v>
      </c>
      <c r="E331" s="148" t="s">
        <v>95</v>
      </c>
      <c r="F331" s="148" t="s">
        <v>56</v>
      </c>
      <c r="G331" s="148" t="s">
        <v>168</v>
      </c>
      <c r="H331" s="148">
        <v>2004</v>
      </c>
      <c r="I331" s="148">
        <v>5</v>
      </c>
      <c r="J331" s="148" t="s">
        <v>150</v>
      </c>
      <c r="K331" s="148" t="s">
        <v>327</v>
      </c>
      <c r="M331" s="148" t="s">
        <v>132</v>
      </c>
      <c r="N331" s="148">
        <v>8</v>
      </c>
      <c r="O331" s="148" t="s">
        <v>83</v>
      </c>
      <c r="Y331" s="150" t="s">
        <v>366</v>
      </c>
    </row>
    <row r="332" spans="1:26" ht="15.75" hidden="1" customHeight="1" x14ac:dyDescent="0.25">
      <c r="A332" s="148" t="s">
        <v>76</v>
      </c>
      <c r="B332" s="148" t="s">
        <v>54</v>
      </c>
      <c r="C332" s="148" t="s">
        <v>55</v>
      </c>
      <c r="D332" s="148" t="s">
        <v>65</v>
      </c>
      <c r="E332" s="148" t="s">
        <v>30</v>
      </c>
      <c r="F332" s="148" t="s">
        <v>56</v>
      </c>
      <c r="G332" s="148" t="s">
        <v>54</v>
      </c>
      <c r="H332" s="148">
        <v>2004</v>
      </c>
      <c r="I332" s="148">
        <v>5</v>
      </c>
      <c r="J332" s="148" t="s">
        <v>150</v>
      </c>
      <c r="K332" s="148" t="s">
        <v>327</v>
      </c>
      <c r="M332" s="148" t="s">
        <v>132</v>
      </c>
      <c r="N332" s="148">
        <v>8</v>
      </c>
      <c r="O332" s="148" t="s">
        <v>83</v>
      </c>
      <c r="Y332" s="150" t="s">
        <v>366</v>
      </c>
    </row>
    <row r="333" spans="1:26" ht="15.75" hidden="1" customHeight="1" x14ac:dyDescent="0.25">
      <c r="A333" s="148" t="s">
        <v>76</v>
      </c>
      <c r="B333" s="148" t="s">
        <v>103</v>
      </c>
      <c r="C333" s="148" t="s">
        <v>55</v>
      </c>
      <c r="D333" s="148" t="s">
        <v>29</v>
      </c>
      <c r="E333" s="148" t="s">
        <v>95</v>
      </c>
      <c r="F333" s="148" t="s">
        <v>56</v>
      </c>
      <c r="G333" s="148" t="s">
        <v>195</v>
      </c>
      <c r="H333" s="148">
        <v>2004</v>
      </c>
      <c r="I333" s="148">
        <v>5</v>
      </c>
      <c r="J333" s="148" t="s">
        <v>150</v>
      </c>
      <c r="K333" s="148" t="s">
        <v>374</v>
      </c>
      <c r="M333" s="148" t="s">
        <v>464</v>
      </c>
      <c r="N333" s="148">
        <v>8</v>
      </c>
      <c r="O333" s="148" t="s">
        <v>83</v>
      </c>
      <c r="Y333" s="150" t="s">
        <v>366</v>
      </c>
      <c r="Z333" s="148" t="s">
        <v>465</v>
      </c>
    </row>
    <row r="334" spans="1:26" ht="15.75" hidden="1" customHeight="1" x14ac:dyDescent="0.25">
      <c r="A334" s="148" t="s">
        <v>76</v>
      </c>
      <c r="B334" s="148" t="s">
        <v>89</v>
      </c>
      <c r="C334" s="148" t="s">
        <v>90</v>
      </c>
      <c r="D334" s="148" t="s">
        <v>29</v>
      </c>
      <c r="E334" s="148" t="s">
        <v>30</v>
      </c>
      <c r="F334" s="148" t="s">
        <v>91</v>
      </c>
      <c r="G334" s="148" t="s">
        <v>93</v>
      </c>
      <c r="H334" s="148">
        <v>2004</v>
      </c>
      <c r="I334" s="148">
        <v>5</v>
      </c>
      <c r="J334" s="148" t="s">
        <v>150</v>
      </c>
      <c r="K334" s="148" t="s">
        <v>119</v>
      </c>
      <c r="M334" s="148" t="s">
        <v>120</v>
      </c>
      <c r="N334" s="148">
        <v>6</v>
      </c>
      <c r="O334" s="148" t="s">
        <v>83</v>
      </c>
      <c r="Y334" s="150" t="s">
        <v>366</v>
      </c>
    </row>
    <row r="335" spans="1:26" ht="15.75" hidden="1" customHeight="1" x14ac:dyDescent="0.25">
      <c r="A335" s="148" t="s">
        <v>76</v>
      </c>
      <c r="B335" s="148" t="s">
        <v>103</v>
      </c>
      <c r="C335" s="148" t="s">
        <v>55</v>
      </c>
      <c r="D335" s="148" t="s">
        <v>478</v>
      </c>
      <c r="E335" s="148" t="s">
        <v>95</v>
      </c>
      <c r="F335" s="148" t="s">
        <v>56</v>
      </c>
      <c r="G335" s="148" t="s">
        <v>108</v>
      </c>
      <c r="H335" s="148">
        <v>2004</v>
      </c>
      <c r="I335" s="148">
        <v>5</v>
      </c>
      <c r="J335" s="148" t="s">
        <v>150</v>
      </c>
      <c r="K335" s="148" t="s">
        <v>327</v>
      </c>
      <c r="M335" s="148" t="s">
        <v>132</v>
      </c>
      <c r="N335" s="148">
        <v>8</v>
      </c>
      <c r="O335" s="148" t="s">
        <v>83</v>
      </c>
      <c r="Y335" s="150" t="s">
        <v>366</v>
      </c>
    </row>
    <row r="336" spans="1:26" ht="15.75" hidden="1" customHeight="1" x14ac:dyDescent="0.25">
      <c r="A336" s="148" t="s">
        <v>76</v>
      </c>
      <c r="B336" s="148" t="s">
        <v>27</v>
      </c>
      <c r="C336" s="148" t="s">
        <v>28</v>
      </c>
      <c r="D336" s="148" t="s">
        <v>3320</v>
      </c>
      <c r="E336" s="148" t="s">
        <v>30</v>
      </c>
      <c r="F336" s="148" t="s">
        <v>3183</v>
      </c>
      <c r="G336" s="148" t="s">
        <v>163</v>
      </c>
      <c r="H336" s="148">
        <v>2004</v>
      </c>
      <c r="I336" s="148">
        <v>6</v>
      </c>
      <c r="J336" s="148" t="s">
        <v>118</v>
      </c>
      <c r="K336" s="148" t="s">
        <v>327</v>
      </c>
      <c r="M336" s="148" t="s">
        <v>132</v>
      </c>
      <c r="N336" s="148">
        <v>8</v>
      </c>
      <c r="O336" s="148" t="s">
        <v>101</v>
      </c>
      <c r="P336" s="148" t="s">
        <v>365</v>
      </c>
      <c r="Y336" s="150" t="s">
        <v>366</v>
      </c>
      <c r="Z336" s="148" t="s">
        <v>166</v>
      </c>
    </row>
    <row r="337" spans="1:25" ht="15.75" hidden="1" customHeight="1" x14ac:dyDescent="0.25">
      <c r="A337" s="148" t="s">
        <v>76</v>
      </c>
      <c r="B337" s="148" t="s">
        <v>62</v>
      </c>
      <c r="C337" s="148" t="s">
        <v>28</v>
      </c>
      <c r="D337" s="148" t="s">
        <v>51</v>
      </c>
      <c r="E337" s="148" t="s">
        <v>30</v>
      </c>
      <c r="F337" s="148" t="s">
        <v>3183</v>
      </c>
      <c r="G337" s="148" t="s">
        <v>63</v>
      </c>
      <c r="H337" s="148">
        <v>2004</v>
      </c>
      <c r="I337" s="148">
        <v>6</v>
      </c>
      <c r="J337" s="148" t="s">
        <v>150</v>
      </c>
      <c r="K337" s="148" t="s">
        <v>491</v>
      </c>
      <c r="M337" s="148" t="s">
        <v>492</v>
      </c>
      <c r="N337" s="148">
        <v>5</v>
      </c>
      <c r="O337" s="148" t="s">
        <v>83</v>
      </c>
      <c r="Y337" s="150" t="s">
        <v>366</v>
      </c>
    </row>
    <row r="338" spans="1:25" ht="15.75" hidden="1" customHeight="1" x14ac:dyDescent="0.25">
      <c r="A338" s="148" t="s">
        <v>76</v>
      </c>
      <c r="B338" s="148" t="s">
        <v>103</v>
      </c>
      <c r="C338" s="148" t="s">
        <v>55</v>
      </c>
      <c r="D338" s="148" t="s">
        <v>490</v>
      </c>
      <c r="E338" s="148" t="s">
        <v>95</v>
      </c>
      <c r="F338" s="148" t="s">
        <v>56</v>
      </c>
      <c r="G338" s="148" t="s">
        <v>168</v>
      </c>
      <c r="H338" s="148">
        <v>2004</v>
      </c>
      <c r="I338" s="148">
        <v>6</v>
      </c>
      <c r="J338" s="148" t="s">
        <v>118</v>
      </c>
      <c r="K338" s="148" t="s">
        <v>327</v>
      </c>
      <c r="M338" s="148" t="s">
        <v>132</v>
      </c>
      <c r="N338" s="148">
        <v>8</v>
      </c>
      <c r="O338" s="148" t="s">
        <v>101</v>
      </c>
      <c r="P338" s="148" t="s">
        <v>493</v>
      </c>
      <c r="Y338" s="150" t="s">
        <v>366</v>
      </c>
    </row>
    <row r="339" spans="1:25" ht="15.75" hidden="1" customHeight="1" x14ac:dyDescent="0.25">
      <c r="A339" s="148" t="s">
        <v>307</v>
      </c>
      <c r="B339" s="148" t="s">
        <v>103</v>
      </c>
      <c r="C339" s="148" t="s">
        <v>55</v>
      </c>
      <c r="D339" s="148" t="s">
        <v>478</v>
      </c>
      <c r="E339" s="148" t="s">
        <v>95</v>
      </c>
      <c r="F339" s="148" t="s">
        <v>56</v>
      </c>
      <c r="G339" s="148" t="s">
        <v>108</v>
      </c>
      <c r="H339" s="148">
        <v>2004</v>
      </c>
      <c r="I339" s="148">
        <v>6</v>
      </c>
      <c r="J339" s="148" t="s">
        <v>308</v>
      </c>
      <c r="Q339" s="148" t="s">
        <v>426</v>
      </c>
      <c r="R339" s="148" t="s">
        <v>38</v>
      </c>
      <c r="S339" s="148" t="s">
        <v>427</v>
      </c>
      <c r="T339" s="148" t="s">
        <v>428</v>
      </c>
      <c r="Y339" s="150" t="s">
        <v>366</v>
      </c>
    </row>
    <row r="340" spans="1:25" ht="15.75" hidden="1" customHeight="1" x14ac:dyDescent="0.25">
      <c r="A340" s="148" t="s">
        <v>76</v>
      </c>
      <c r="B340" s="148" t="s">
        <v>198</v>
      </c>
      <c r="C340" s="148" t="s">
        <v>45</v>
      </c>
      <c r="D340" s="148" t="s">
        <v>29</v>
      </c>
      <c r="E340" s="148" t="s">
        <v>30</v>
      </c>
      <c r="F340" s="148" t="s">
        <v>199</v>
      </c>
      <c r="G340" s="148" t="s">
        <v>232</v>
      </c>
      <c r="H340" s="148">
        <v>2004</v>
      </c>
      <c r="I340" s="148">
        <v>7</v>
      </c>
      <c r="J340" s="148" t="s">
        <v>150</v>
      </c>
      <c r="K340" s="148" t="s">
        <v>245</v>
      </c>
      <c r="M340" s="148" t="s">
        <v>246</v>
      </c>
      <c r="N340" s="148">
        <v>6</v>
      </c>
      <c r="O340" s="148" t="s">
        <v>83</v>
      </c>
      <c r="Y340" s="150" t="s">
        <v>366</v>
      </c>
    </row>
    <row r="341" spans="1:25" ht="15.75" hidden="1" customHeight="1" x14ac:dyDescent="0.25">
      <c r="A341" s="148" t="s">
        <v>76</v>
      </c>
      <c r="B341" s="148" t="s">
        <v>116</v>
      </c>
      <c r="C341" s="148" t="s">
        <v>90</v>
      </c>
      <c r="D341" s="148" t="s">
        <v>86</v>
      </c>
      <c r="E341" s="148" t="s">
        <v>40</v>
      </c>
      <c r="F341" s="148" t="s">
        <v>41</v>
      </c>
      <c r="G341" s="148" t="s">
        <v>117</v>
      </c>
      <c r="H341" s="148">
        <v>2004</v>
      </c>
      <c r="I341" s="148">
        <v>7</v>
      </c>
      <c r="J341" s="148" t="s">
        <v>150</v>
      </c>
      <c r="K341" s="148" t="s">
        <v>379</v>
      </c>
      <c r="M341" s="148" t="s">
        <v>126</v>
      </c>
      <c r="N341" s="148">
        <v>10</v>
      </c>
      <c r="O341" s="148" t="s">
        <v>83</v>
      </c>
      <c r="P341" s="148" t="s">
        <v>146</v>
      </c>
      <c r="Y341" s="150" t="s">
        <v>366</v>
      </c>
    </row>
    <row r="342" spans="1:25" ht="15.75" hidden="1" customHeight="1" x14ac:dyDescent="0.25">
      <c r="A342" s="148" t="s">
        <v>76</v>
      </c>
      <c r="B342" s="148" t="s">
        <v>103</v>
      </c>
      <c r="C342" s="148" t="s">
        <v>55</v>
      </c>
      <c r="D342" s="148" t="s">
        <v>29</v>
      </c>
      <c r="E342" s="148" t="s">
        <v>95</v>
      </c>
      <c r="F342" s="148" t="s">
        <v>56</v>
      </c>
      <c r="G342" s="148" t="s">
        <v>104</v>
      </c>
      <c r="H342" s="148">
        <v>2004</v>
      </c>
      <c r="I342" s="148">
        <v>7</v>
      </c>
      <c r="J342" s="148" t="s">
        <v>118</v>
      </c>
      <c r="K342" s="148" t="s">
        <v>327</v>
      </c>
      <c r="M342" s="148" t="s">
        <v>132</v>
      </c>
      <c r="N342" s="148">
        <v>8</v>
      </c>
      <c r="O342" s="148" t="s">
        <v>101</v>
      </c>
      <c r="P342" s="148" t="s">
        <v>494</v>
      </c>
      <c r="Y342" s="150" t="s">
        <v>366</v>
      </c>
    </row>
    <row r="343" spans="1:25" ht="13.5" hidden="1" customHeight="1" x14ac:dyDescent="0.25">
      <c r="A343" s="148" t="s">
        <v>76</v>
      </c>
      <c r="B343" s="148" t="s">
        <v>103</v>
      </c>
      <c r="C343" s="148" t="s">
        <v>55</v>
      </c>
      <c r="D343" s="148" t="s">
        <v>29</v>
      </c>
      <c r="E343" s="148" t="s">
        <v>95</v>
      </c>
      <c r="F343" s="148" t="s">
        <v>56</v>
      </c>
      <c r="G343" s="148" t="s">
        <v>180</v>
      </c>
      <c r="H343" s="148">
        <v>2004</v>
      </c>
      <c r="I343" s="148">
        <v>7</v>
      </c>
      <c r="J343" s="148" t="s">
        <v>150</v>
      </c>
      <c r="K343" s="148" t="s">
        <v>119</v>
      </c>
      <c r="M343" s="148" t="s">
        <v>120</v>
      </c>
      <c r="N343" s="148">
        <v>6</v>
      </c>
      <c r="O343" s="148" t="s">
        <v>83</v>
      </c>
      <c r="Y343" s="150" t="s">
        <v>366</v>
      </c>
    </row>
    <row r="344" spans="1:25" ht="15.75" hidden="1" customHeight="1" x14ac:dyDescent="0.25">
      <c r="A344" s="148" t="s">
        <v>76</v>
      </c>
      <c r="B344" s="148" t="s">
        <v>103</v>
      </c>
      <c r="C344" s="148" t="s">
        <v>55</v>
      </c>
      <c r="D344" s="148" t="s">
        <v>29</v>
      </c>
      <c r="E344" s="148" t="s">
        <v>95</v>
      </c>
      <c r="F344" s="148" t="s">
        <v>56</v>
      </c>
      <c r="G344" s="148" t="s">
        <v>270</v>
      </c>
      <c r="H344" s="148">
        <v>2004</v>
      </c>
      <c r="I344" s="148">
        <v>7</v>
      </c>
      <c r="J344" s="148" t="s">
        <v>150</v>
      </c>
      <c r="K344" s="148" t="s">
        <v>495</v>
      </c>
      <c r="M344" s="148" t="s">
        <v>454</v>
      </c>
      <c r="N344" s="148">
        <v>6</v>
      </c>
      <c r="O344" s="148" t="s">
        <v>83</v>
      </c>
      <c r="Y344" s="150" t="s">
        <v>366</v>
      </c>
    </row>
    <row r="345" spans="1:25" ht="15.75" hidden="1" customHeight="1" x14ac:dyDescent="0.25">
      <c r="A345" s="148" t="s">
        <v>76</v>
      </c>
      <c r="B345" s="148" t="s">
        <v>54</v>
      </c>
      <c r="C345" s="148" t="s">
        <v>55</v>
      </c>
      <c r="D345" s="148" t="s">
        <v>65</v>
      </c>
      <c r="E345" s="148" t="s">
        <v>30</v>
      </c>
      <c r="F345" s="148" t="s">
        <v>56</v>
      </c>
      <c r="G345" s="148" t="s">
        <v>54</v>
      </c>
      <c r="H345" s="148">
        <v>2004</v>
      </c>
      <c r="I345" s="148">
        <v>7</v>
      </c>
      <c r="J345" s="148" t="s">
        <v>150</v>
      </c>
      <c r="K345" s="148" t="s">
        <v>379</v>
      </c>
      <c r="M345" s="148" t="s">
        <v>126</v>
      </c>
      <c r="N345" s="148">
        <v>10</v>
      </c>
      <c r="O345" s="148" t="s">
        <v>83</v>
      </c>
      <c r="P345" s="148" t="s">
        <v>146</v>
      </c>
      <c r="Y345" s="150" t="s">
        <v>366</v>
      </c>
    </row>
    <row r="346" spans="1:25" ht="15.75" hidden="1" customHeight="1" x14ac:dyDescent="0.25">
      <c r="A346" s="148" t="s">
        <v>76</v>
      </c>
      <c r="B346" s="148" t="s">
        <v>77</v>
      </c>
      <c r="C346" s="148" t="s">
        <v>55</v>
      </c>
      <c r="D346" s="148" t="s">
        <v>78</v>
      </c>
      <c r="E346" s="148" t="s">
        <v>30</v>
      </c>
      <c r="F346" s="148" t="s">
        <v>41</v>
      </c>
      <c r="G346" s="148" t="s">
        <v>79</v>
      </c>
      <c r="H346" s="148">
        <v>2004</v>
      </c>
      <c r="I346" s="148">
        <v>7</v>
      </c>
      <c r="J346" s="148" t="s">
        <v>100</v>
      </c>
      <c r="K346" s="148" t="s">
        <v>119</v>
      </c>
      <c r="M346" s="148" t="s">
        <v>120</v>
      </c>
      <c r="N346" s="148">
        <v>8</v>
      </c>
      <c r="O346" s="148" t="s">
        <v>101</v>
      </c>
      <c r="P346" s="148" t="s">
        <v>496</v>
      </c>
      <c r="Y346" s="150" t="s">
        <v>497</v>
      </c>
    </row>
    <row r="347" spans="1:25" ht="15.75" hidden="1" customHeight="1" x14ac:dyDescent="0.25">
      <c r="A347" s="148" t="s">
        <v>76</v>
      </c>
      <c r="B347" s="148" t="s">
        <v>89</v>
      </c>
      <c r="C347" s="148" t="s">
        <v>90</v>
      </c>
      <c r="D347" s="148" t="s">
        <v>99</v>
      </c>
      <c r="E347" s="148" t="s">
        <v>30</v>
      </c>
      <c r="F347" s="148" t="s">
        <v>91</v>
      </c>
      <c r="G347" s="148" t="s">
        <v>92</v>
      </c>
      <c r="H347" s="148">
        <v>2004</v>
      </c>
      <c r="I347" s="148">
        <v>7</v>
      </c>
      <c r="J347" s="148" t="s">
        <v>150</v>
      </c>
      <c r="K347" s="148" t="s">
        <v>379</v>
      </c>
      <c r="M347" s="148" t="s">
        <v>126</v>
      </c>
      <c r="N347" s="148">
        <v>10</v>
      </c>
      <c r="O347" s="148" t="s">
        <v>83</v>
      </c>
      <c r="Y347" s="150" t="s">
        <v>366</v>
      </c>
    </row>
    <row r="348" spans="1:25" ht="15.75" hidden="1" customHeight="1" x14ac:dyDescent="0.25">
      <c r="A348" s="148" t="s">
        <v>76</v>
      </c>
      <c r="B348" s="148" t="s">
        <v>44</v>
      </c>
      <c r="C348" s="148" t="s">
        <v>45</v>
      </c>
      <c r="D348" s="148" t="s">
        <v>29</v>
      </c>
      <c r="E348" s="148" t="s">
        <v>46</v>
      </c>
      <c r="F348" s="148" t="s">
        <v>47</v>
      </c>
      <c r="G348" s="148" t="s">
        <v>48</v>
      </c>
      <c r="H348" s="148">
        <v>2004</v>
      </c>
      <c r="I348" s="148">
        <v>7</v>
      </c>
      <c r="J348" s="148" t="s">
        <v>118</v>
      </c>
      <c r="K348" s="148" t="s">
        <v>327</v>
      </c>
      <c r="M348" s="148" t="s">
        <v>132</v>
      </c>
      <c r="N348" s="148">
        <v>8</v>
      </c>
      <c r="O348" s="148" t="s">
        <v>101</v>
      </c>
      <c r="P348" s="148" t="s">
        <v>498</v>
      </c>
      <c r="Y348" s="150" t="s">
        <v>366</v>
      </c>
    </row>
    <row r="349" spans="1:25" ht="15.75" hidden="1" customHeight="1" x14ac:dyDescent="0.25">
      <c r="A349" s="148" t="s">
        <v>76</v>
      </c>
      <c r="B349" s="148" t="s">
        <v>89</v>
      </c>
      <c r="C349" s="148" t="s">
        <v>90</v>
      </c>
      <c r="D349" s="148" t="s">
        <v>29</v>
      </c>
      <c r="E349" s="148" t="s">
        <v>30</v>
      </c>
      <c r="F349" s="148" t="s">
        <v>91</v>
      </c>
      <c r="G349" s="148" t="s">
        <v>499</v>
      </c>
      <c r="H349" s="148">
        <v>2004</v>
      </c>
      <c r="I349" s="148">
        <v>8</v>
      </c>
      <c r="J349" s="148" t="s">
        <v>150</v>
      </c>
      <c r="K349" s="148" t="s">
        <v>500</v>
      </c>
      <c r="M349" s="148" t="s">
        <v>501</v>
      </c>
      <c r="N349" s="148">
        <v>6</v>
      </c>
      <c r="O349" s="148" t="s">
        <v>83</v>
      </c>
      <c r="Y349" s="150" t="s">
        <v>366</v>
      </c>
    </row>
    <row r="350" spans="1:25" ht="15.75" hidden="1" customHeight="1" x14ac:dyDescent="0.25">
      <c r="A350" s="148" t="s">
        <v>76</v>
      </c>
      <c r="B350" s="148" t="s">
        <v>71</v>
      </c>
      <c r="C350" s="148" t="s">
        <v>45</v>
      </c>
      <c r="D350" s="148" t="s">
        <v>29</v>
      </c>
      <c r="E350" s="148" t="s">
        <v>72</v>
      </c>
      <c r="F350" s="148" t="s">
        <v>3183</v>
      </c>
      <c r="G350" s="148" t="s">
        <v>73</v>
      </c>
      <c r="H350" s="148">
        <v>2004</v>
      </c>
      <c r="I350" s="148">
        <v>8</v>
      </c>
      <c r="J350" s="148" t="s">
        <v>118</v>
      </c>
      <c r="K350" s="148" t="s">
        <v>327</v>
      </c>
      <c r="M350" s="148" t="s">
        <v>132</v>
      </c>
      <c r="N350" s="148">
        <v>8</v>
      </c>
      <c r="O350" s="148" t="s">
        <v>101</v>
      </c>
      <c r="P350" s="148" t="s">
        <v>431</v>
      </c>
      <c r="Y350" s="150" t="s">
        <v>366</v>
      </c>
    </row>
    <row r="351" spans="1:25" ht="15.75" hidden="1" customHeight="1" x14ac:dyDescent="0.25">
      <c r="A351" s="148" t="s">
        <v>76</v>
      </c>
      <c r="B351" s="148" t="s">
        <v>198</v>
      </c>
      <c r="C351" s="148" t="s">
        <v>45</v>
      </c>
      <c r="D351" s="148" t="s">
        <v>94</v>
      </c>
      <c r="E351" s="148" t="s">
        <v>30</v>
      </c>
      <c r="F351" s="148" t="s">
        <v>199</v>
      </c>
      <c r="G351" s="148" t="s">
        <v>296</v>
      </c>
      <c r="H351" s="148">
        <v>2004</v>
      </c>
      <c r="I351" s="148">
        <v>8</v>
      </c>
      <c r="J351" s="148" t="s">
        <v>150</v>
      </c>
      <c r="K351" s="148" t="s">
        <v>502</v>
      </c>
      <c r="M351" s="148" t="s">
        <v>456</v>
      </c>
      <c r="N351" s="148">
        <v>6</v>
      </c>
      <c r="O351" s="148" t="s">
        <v>83</v>
      </c>
      <c r="Y351" s="150" t="s">
        <v>366</v>
      </c>
    </row>
    <row r="352" spans="1:25" ht="15.75" hidden="1" customHeight="1" x14ac:dyDescent="0.25">
      <c r="A352" s="148" t="s">
        <v>76</v>
      </c>
      <c r="B352" s="148" t="s">
        <v>198</v>
      </c>
      <c r="C352" s="148" t="s">
        <v>45</v>
      </c>
      <c r="D352" s="148" t="s">
        <v>29</v>
      </c>
      <c r="E352" s="148" t="s">
        <v>30</v>
      </c>
      <c r="F352" s="148" t="s">
        <v>199</v>
      </c>
      <c r="G352" s="148" t="s">
        <v>232</v>
      </c>
      <c r="H352" s="148">
        <v>2004</v>
      </c>
      <c r="I352" s="148">
        <v>8</v>
      </c>
      <c r="J352" s="148" t="s">
        <v>150</v>
      </c>
      <c r="K352" s="148" t="s">
        <v>491</v>
      </c>
      <c r="M352" s="148" t="s">
        <v>492</v>
      </c>
      <c r="N352" s="148">
        <v>5</v>
      </c>
      <c r="O352" s="148" t="s">
        <v>83</v>
      </c>
      <c r="Y352" s="150" t="s">
        <v>366</v>
      </c>
    </row>
    <row r="353" spans="1:25" ht="15.75" hidden="1" customHeight="1" x14ac:dyDescent="0.25">
      <c r="A353" s="148" t="s">
        <v>76</v>
      </c>
      <c r="B353" s="148" t="s">
        <v>44</v>
      </c>
      <c r="C353" s="148" t="s">
        <v>45</v>
      </c>
      <c r="D353" s="148" t="s">
        <v>86</v>
      </c>
      <c r="E353" s="148" t="s">
        <v>30</v>
      </c>
      <c r="F353" s="148" t="s">
        <v>47</v>
      </c>
      <c r="G353" s="148" t="s">
        <v>377</v>
      </c>
      <c r="H353" s="148">
        <v>2004</v>
      </c>
      <c r="I353" s="148">
        <v>8</v>
      </c>
      <c r="J353" s="148" t="s">
        <v>150</v>
      </c>
      <c r="K353" s="148" t="s">
        <v>491</v>
      </c>
      <c r="M353" s="148" t="s">
        <v>492</v>
      </c>
      <c r="N353" s="148">
        <v>5</v>
      </c>
      <c r="O353" s="148" t="s">
        <v>83</v>
      </c>
      <c r="Y353" s="150" t="s">
        <v>366</v>
      </c>
    </row>
    <row r="354" spans="1:25" ht="15.75" hidden="1" customHeight="1" x14ac:dyDescent="0.25">
      <c r="A354" s="148" t="s">
        <v>307</v>
      </c>
      <c r="B354" s="148" t="s">
        <v>27</v>
      </c>
      <c r="C354" s="148" t="s">
        <v>28</v>
      </c>
      <c r="D354" s="148" t="s">
        <v>99</v>
      </c>
      <c r="E354" s="148" t="s">
        <v>40</v>
      </c>
      <c r="F354" s="148" t="s">
        <v>41</v>
      </c>
      <c r="G354" s="148" t="s">
        <v>42</v>
      </c>
      <c r="H354" s="148">
        <v>2004</v>
      </c>
      <c r="I354" s="148">
        <v>8</v>
      </c>
      <c r="J354" s="148" t="s">
        <v>308</v>
      </c>
      <c r="Q354" s="148" t="s">
        <v>309</v>
      </c>
      <c r="R354" s="148" t="s">
        <v>38</v>
      </c>
      <c r="S354" s="148" t="s">
        <v>311</v>
      </c>
      <c r="T354" s="148" t="s">
        <v>309</v>
      </c>
      <c r="Y354" s="150" t="s">
        <v>366</v>
      </c>
    </row>
    <row r="355" spans="1:25" ht="15.75" hidden="1" customHeight="1" x14ac:dyDescent="0.25">
      <c r="A355" s="148" t="s">
        <v>76</v>
      </c>
      <c r="B355" s="148" t="s">
        <v>89</v>
      </c>
      <c r="C355" s="148" t="s">
        <v>90</v>
      </c>
      <c r="D355" s="148" t="s">
        <v>29</v>
      </c>
      <c r="E355" s="148" t="s">
        <v>30</v>
      </c>
      <c r="F355" s="148" t="s">
        <v>91</v>
      </c>
      <c r="G355" s="148" t="s">
        <v>93</v>
      </c>
      <c r="H355" s="148">
        <v>2004</v>
      </c>
      <c r="I355" s="148">
        <v>8</v>
      </c>
      <c r="J355" s="148" t="s">
        <v>150</v>
      </c>
      <c r="K355" s="148" t="s">
        <v>444</v>
      </c>
      <c r="M355" s="148" t="s">
        <v>445</v>
      </c>
      <c r="N355" s="148">
        <v>6</v>
      </c>
      <c r="O355" s="148" t="s">
        <v>83</v>
      </c>
      <c r="Y355" s="150" t="s">
        <v>366</v>
      </c>
    </row>
    <row r="356" spans="1:25" ht="15.75" hidden="1" customHeight="1" x14ac:dyDescent="0.25">
      <c r="A356" s="148" t="s">
        <v>76</v>
      </c>
      <c r="B356" s="148" t="s">
        <v>198</v>
      </c>
      <c r="C356" s="148" t="s">
        <v>45</v>
      </c>
      <c r="D356" s="148" t="s">
        <v>29</v>
      </c>
      <c r="E356" s="148" t="s">
        <v>30</v>
      </c>
      <c r="F356" s="148" t="s">
        <v>199</v>
      </c>
      <c r="G356" s="148" t="s">
        <v>370</v>
      </c>
      <c r="H356" s="148">
        <v>2004</v>
      </c>
      <c r="I356" s="148">
        <v>8</v>
      </c>
      <c r="J356" s="148" t="s">
        <v>150</v>
      </c>
      <c r="K356" s="148" t="s">
        <v>491</v>
      </c>
      <c r="M356" s="148" t="s">
        <v>492</v>
      </c>
      <c r="N356" s="148">
        <v>5</v>
      </c>
      <c r="O356" s="148" t="s">
        <v>83</v>
      </c>
      <c r="Y356" s="150" t="s">
        <v>366</v>
      </c>
    </row>
    <row r="357" spans="1:25" ht="15.75" hidden="1" customHeight="1" x14ac:dyDescent="0.25">
      <c r="A357" s="148" t="s">
        <v>76</v>
      </c>
      <c r="B357" s="148" t="s">
        <v>116</v>
      </c>
      <c r="C357" s="148" t="s">
        <v>90</v>
      </c>
      <c r="D357" s="148" t="s">
        <v>29</v>
      </c>
      <c r="E357" s="148" t="s">
        <v>30</v>
      </c>
      <c r="F357" s="148" t="s">
        <v>41</v>
      </c>
      <c r="G357" s="148" t="s">
        <v>503</v>
      </c>
      <c r="H357" s="148">
        <v>2004</v>
      </c>
      <c r="I357" s="148">
        <v>8</v>
      </c>
      <c r="J357" s="148" t="s">
        <v>118</v>
      </c>
      <c r="K357" s="148" t="s">
        <v>327</v>
      </c>
      <c r="M357" s="148" t="s">
        <v>132</v>
      </c>
      <c r="N357" s="148">
        <v>8</v>
      </c>
      <c r="O357" s="148" t="s">
        <v>101</v>
      </c>
      <c r="P357" s="148" t="s">
        <v>206</v>
      </c>
      <c r="Y357" s="150" t="s">
        <v>504</v>
      </c>
    </row>
    <row r="358" spans="1:25" ht="15.75" hidden="1" customHeight="1" x14ac:dyDescent="0.25">
      <c r="A358" s="148" t="s">
        <v>76</v>
      </c>
      <c r="B358" s="148" t="s">
        <v>198</v>
      </c>
      <c r="C358" s="148" t="s">
        <v>45</v>
      </c>
      <c r="D358" s="148" t="s">
        <v>29</v>
      </c>
      <c r="E358" s="148" t="s">
        <v>30</v>
      </c>
      <c r="F358" s="148" t="s">
        <v>199</v>
      </c>
      <c r="G358" s="148" t="s">
        <v>505</v>
      </c>
      <c r="H358" s="148">
        <v>2004</v>
      </c>
      <c r="I358" s="148">
        <v>8</v>
      </c>
      <c r="J358" s="148" t="s">
        <v>150</v>
      </c>
      <c r="K358" s="148" t="s">
        <v>502</v>
      </c>
      <c r="M358" s="148" t="s">
        <v>456</v>
      </c>
      <c r="N358" s="148">
        <v>6</v>
      </c>
      <c r="O358" s="148" t="s">
        <v>83</v>
      </c>
      <c r="Y358" s="150" t="s">
        <v>366</v>
      </c>
    </row>
    <row r="359" spans="1:25" ht="15.75" hidden="1" customHeight="1" x14ac:dyDescent="0.25">
      <c r="A359" s="148" t="s">
        <v>76</v>
      </c>
      <c r="B359" s="148" t="s">
        <v>89</v>
      </c>
      <c r="C359" s="148" t="s">
        <v>90</v>
      </c>
      <c r="D359" s="148" t="s">
        <v>29</v>
      </c>
      <c r="E359" s="148" t="s">
        <v>30</v>
      </c>
      <c r="F359" s="148" t="s">
        <v>91</v>
      </c>
      <c r="G359" s="148" t="s">
        <v>280</v>
      </c>
      <c r="H359" s="148">
        <v>2004</v>
      </c>
      <c r="I359" s="148">
        <v>8</v>
      </c>
      <c r="J359" s="148" t="s">
        <v>150</v>
      </c>
      <c r="K359" s="148" t="s">
        <v>500</v>
      </c>
      <c r="M359" s="148" t="s">
        <v>501</v>
      </c>
      <c r="N359" s="148">
        <v>6</v>
      </c>
      <c r="O359" s="148" t="s">
        <v>83</v>
      </c>
      <c r="Y359" s="150" t="s">
        <v>366</v>
      </c>
    </row>
    <row r="360" spans="1:25" ht="15.75" hidden="1" customHeight="1" x14ac:dyDescent="0.25">
      <c r="A360" s="148" t="s">
        <v>76</v>
      </c>
      <c r="B360" s="148" t="s">
        <v>103</v>
      </c>
      <c r="C360" s="148" t="s">
        <v>55</v>
      </c>
      <c r="D360" s="148" t="s">
        <v>29</v>
      </c>
      <c r="E360" s="148" t="s">
        <v>95</v>
      </c>
      <c r="F360" s="148" t="s">
        <v>56</v>
      </c>
      <c r="G360" s="148" t="s">
        <v>506</v>
      </c>
      <c r="H360" s="148">
        <v>2004</v>
      </c>
      <c r="I360" s="148">
        <v>9</v>
      </c>
      <c r="J360" s="148" t="s">
        <v>118</v>
      </c>
      <c r="K360" s="148" t="s">
        <v>327</v>
      </c>
      <c r="M360" s="148" t="s">
        <v>132</v>
      </c>
      <c r="N360" s="148">
        <v>8</v>
      </c>
      <c r="O360" s="148" t="s">
        <v>101</v>
      </c>
      <c r="P360" s="148" t="s">
        <v>507</v>
      </c>
      <c r="Y360" s="150" t="s">
        <v>366</v>
      </c>
    </row>
    <row r="361" spans="1:25" ht="15.75" hidden="1" customHeight="1" x14ac:dyDescent="0.25">
      <c r="A361" s="148" t="s">
        <v>76</v>
      </c>
      <c r="B361" s="148" t="s">
        <v>27</v>
      </c>
      <c r="C361" s="148" t="s">
        <v>28</v>
      </c>
      <c r="D361" s="148" t="s">
        <v>29</v>
      </c>
      <c r="E361" s="148" t="s">
        <v>30</v>
      </c>
      <c r="F361" s="148" t="s">
        <v>3183</v>
      </c>
      <c r="G361" s="148" t="s">
        <v>32</v>
      </c>
      <c r="H361" s="148">
        <v>2004</v>
      </c>
      <c r="I361" s="148">
        <v>9</v>
      </c>
      <c r="J361" s="148" t="s">
        <v>118</v>
      </c>
      <c r="K361" s="148" t="s">
        <v>119</v>
      </c>
      <c r="M361" s="148" t="s">
        <v>132</v>
      </c>
      <c r="N361" s="148">
        <v>8</v>
      </c>
      <c r="O361" s="148" t="s">
        <v>101</v>
      </c>
      <c r="P361" s="148" t="s">
        <v>365</v>
      </c>
      <c r="Y361" s="150" t="s">
        <v>366</v>
      </c>
    </row>
    <row r="362" spans="1:25" ht="15.75" hidden="1" customHeight="1" x14ac:dyDescent="0.25">
      <c r="A362" s="148" t="s">
        <v>76</v>
      </c>
      <c r="B362" s="148" t="s">
        <v>36</v>
      </c>
      <c r="C362" s="148" t="s">
        <v>28</v>
      </c>
      <c r="D362" s="148" t="s">
        <v>29</v>
      </c>
      <c r="E362" s="148" t="s">
        <v>30</v>
      </c>
      <c r="F362" s="148" t="s">
        <v>3183</v>
      </c>
      <c r="G362" s="148" t="s">
        <v>211</v>
      </c>
      <c r="H362" s="148">
        <v>2004</v>
      </c>
      <c r="I362" s="148">
        <v>9</v>
      </c>
      <c r="J362" s="148" t="s">
        <v>118</v>
      </c>
      <c r="K362" s="148" t="s">
        <v>172</v>
      </c>
      <c r="M362" s="148" t="s">
        <v>346</v>
      </c>
      <c r="N362" s="148">
        <v>10</v>
      </c>
      <c r="O362" s="148" t="s">
        <v>101</v>
      </c>
      <c r="P362" s="148" t="s">
        <v>508</v>
      </c>
      <c r="Y362" s="150" t="s">
        <v>366</v>
      </c>
    </row>
    <row r="363" spans="1:25" ht="15.75" hidden="1" customHeight="1" x14ac:dyDescent="0.25">
      <c r="A363" s="148" t="s">
        <v>76</v>
      </c>
      <c r="B363" s="148" t="s">
        <v>103</v>
      </c>
      <c r="C363" s="148" t="s">
        <v>55</v>
      </c>
      <c r="D363" s="148" t="s">
        <v>29</v>
      </c>
      <c r="E363" s="148" t="s">
        <v>95</v>
      </c>
      <c r="F363" s="148" t="s">
        <v>56</v>
      </c>
      <c r="G363" s="148" t="s">
        <v>176</v>
      </c>
      <c r="H363" s="148">
        <v>2004</v>
      </c>
      <c r="I363" s="148">
        <v>9</v>
      </c>
      <c r="J363" s="148" t="s">
        <v>150</v>
      </c>
      <c r="K363" s="148" t="s">
        <v>235</v>
      </c>
      <c r="M363" s="148" t="s">
        <v>236</v>
      </c>
      <c r="N363" s="148">
        <v>6</v>
      </c>
      <c r="O363" s="148" t="s">
        <v>83</v>
      </c>
      <c r="Y363" s="150" t="s">
        <v>366</v>
      </c>
    </row>
    <row r="364" spans="1:25" ht="15.75" hidden="1" customHeight="1" x14ac:dyDescent="0.25">
      <c r="A364" s="148" t="s">
        <v>76</v>
      </c>
      <c r="B364" s="148" t="s">
        <v>198</v>
      </c>
      <c r="C364" s="148" t="s">
        <v>45</v>
      </c>
      <c r="D364" s="148" t="s">
        <v>29</v>
      </c>
      <c r="E364" s="148" t="s">
        <v>30</v>
      </c>
      <c r="F364" s="148" t="s">
        <v>199</v>
      </c>
      <c r="G364" s="148" t="s">
        <v>232</v>
      </c>
      <c r="H364" s="148">
        <v>2004</v>
      </c>
      <c r="I364" s="148">
        <v>9</v>
      </c>
      <c r="J364" s="148" t="s">
        <v>118</v>
      </c>
      <c r="K364" s="148" t="s">
        <v>172</v>
      </c>
      <c r="M364" s="148" t="s">
        <v>346</v>
      </c>
      <c r="N364" s="148">
        <v>10</v>
      </c>
      <c r="O364" s="148" t="s">
        <v>101</v>
      </c>
      <c r="P364" s="148" t="s">
        <v>509</v>
      </c>
      <c r="Y364" s="150" t="s">
        <v>366</v>
      </c>
    </row>
    <row r="365" spans="1:25" ht="15.75" hidden="1" customHeight="1" x14ac:dyDescent="0.25">
      <c r="A365" s="148" t="s">
        <v>76</v>
      </c>
      <c r="B365" s="148" t="s">
        <v>116</v>
      </c>
      <c r="C365" s="148" t="s">
        <v>90</v>
      </c>
      <c r="D365" s="148" t="s">
        <v>86</v>
      </c>
      <c r="E365" s="148" t="s">
        <v>40</v>
      </c>
      <c r="F365" s="148" t="s">
        <v>41</v>
      </c>
      <c r="G365" s="148" t="s">
        <v>117</v>
      </c>
      <c r="H365" s="148">
        <v>2004</v>
      </c>
      <c r="I365" s="148">
        <v>9</v>
      </c>
      <c r="J365" s="148" t="s">
        <v>118</v>
      </c>
      <c r="K365" s="148" t="s">
        <v>172</v>
      </c>
      <c r="M365" s="148" t="s">
        <v>346</v>
      </c>
      <c r="N365" s="148">
        <v>10</v>
      </c>
      <c r="O365" s="148" t="s">
        <v>101</v>
      </c>
      <c r="P365" s="148" t="s">
        <v>146</v>
      </c>
      <c r="Y365" s="150" t="s">
        <v>366</v>
      </c>
    </row>
    <row r="366" spans="1:25" ht="15.75" hidden="1" customHeight="1" x14ac:dyDescent="0.25">
      <c r="A366" s="148" t="s">
        <v>76</v>
      </c>
      <c r="B366" s="148" t="s">
        <v>103</v>
      </c>
      <c r="C366" s="148" t="s">
        <v>55</v>
      </c>
      <c r="D366" s="148" t="s">
        <v>29</v>
      </c>
      <c r="E366" s="148" t="s">
        <v>95</v>
      </c>
      <c r="F366" s="148" t="s">
        <v>56</v>
      </c>
      <c r="G366" s="148" t="s">
        <v>104</v>
      </c>
      <c r="H366" s="148">
        <v>2004</v>
      </c>
      <c r="I366" s="148">
        <v>9</v>
      </c>
      <c r="J366" s="148" t="s">
        <v>150</v>
      </c>
      <c r="K366" s="148" t="s">
        <v>491</v>
      </c>
      <c r="M366" s="148" t="s">
        <v>492</v>
      </c>
      <c r="N366" s="148">
        <v>5</v>
      </c>
      <c r="O366" s="148" t="s">
        <v>83</v>
      </c>
      <c r="Y366" s="150" t="s">
        <v>366</v>
      </c>
    </row>
    <row r="367" spans="1:25" ht="15.75" hidden="1" customHeight="1" x14ac:dyDescent="0.25">
      <c r="A367" s="148" t="s">
        <v>76</v>
      </c>
      <c r="B367" s="148" t="s">
        <v>89</v>
      </c>
      <c r="C367" s="148" t="s">
        <v>90</v>
      </c>
      <c r="D367" s="148" t="s">
        <v>29</v>
      </c>
      <c r="E367" s="148" t="s">
        <v>30</v>
      </c>
      <c r="F367" s="148" t="s">
        <v>91</v>
      </c>
      <c r="G367" s="148" t="s">
        <v>510</v>
      </c>
      <c r="H367" s="148">
        <v>2004</v>
      </c>
      <c r="I367" s="148">
        <v>9</v>
      </c>
      <c r="J367" s="148" t="s">
        <v>118</v>
      </c>
      <c r="K367" s="148" t="s">
        <v>172</v>
      </c>
      <c r="M367" s="148" t="s">
        <v>346</v>
      </c>
      <c r="N367" s="148">
        <v>10</v>
      </c>
      <c r="O367" s="148" t="s">
        <v>101</v>
      </c>
      <c r="P367" s="148" t="s">
        <v>146</v>
      </c>
      <c r="Y367" s="150" t="s">
        <v>366</v>
      </c>
    </row>
    <row r="368" spans="1:25" ht="15.75" hidden="1" customHeight="1" x14ac:dyDescent="0.25">
      <c r="A368" s="148" t="s">
        <v>76</v>
      </c>
      <c r="B368" s="148" t="s">
        <v>103</v>
      </c>
      <c r="C368" s="148" t="s">
        <v>55</v>
      </c>
      <c r="D368" s="148" t="s">
        <v>29</v>
      </c>
      <c r="E368" s="148" t="s">
        <v>95</v>
      </c>
      <c r="F368" s="148" t="s">
        <v>56</v>
      </c>
      <c r="G368" s="148" t="s">
        <v>407</v>
      </c>
      <c r="H368" s="148">
        <v>2004</v>
      </c>
      <c r="I368" s="148">
        <v>9</v>
      </c>
      <c r="J368" s="148" t="s">
        <v>150</v>
      </c>
      <c r="K368" s="148" t="s">
        <v>372</v>
      </c>
      <c r="M368" s="148" t="s">
        <v>442</v>
      </c>
      <c r="N368" s="148">
        <v>6</v>
      </c>
      <c r="O368" s="148" t="s">
        <v>83</v>
      </c>
      <c r="Y368" s="150" t="s">
        <v>366</v>
      </c>
    </row>
    <row r="369" spans="1:25" ht="15.75" hidden="1" customHeight="1" x14ac:dyDescent="0.25">
      <c r="A369" s="148" t="s">
        <v>76</v>
      </c>
      <c r="B369" s="148" t="s">
        <v>103</v>
      </c>
      <c r="C369" s="148" t="s">
        <v>55</v>
      </c>
      <c r="D369" s="148" t="s">
        <v>478</v>
      </c>
      <c r="E369" s="148" t="s">
        <v>95</v>
      </c>
      <c r="F369" s="148" t="s">
        <v>56</v>
      </c>
      <c r="G369" s="148" t="s">
        <v>107</v>
      </c>
      <c r="H369" s="148">
        <v>2004</v>
      </c>
      <c r="I369" s="148">
        <v>9</v>
      </c>
      <c r="J369" s="148" t="s">
        <v>150</v>
      </c>
      <c r="K369" s="148" t="s">
        <v>491</v>
      </c>
      <c r="M369" s="148" t="s">
        <v>492</v>
      </c>
      <c r="N369" s="148">
        <v>5</v>
      </c>
      <c r="O369" s="148" t="s">
        <v>83</v>
      </c>
      <c r="Y369" s="150" t="s">
        <v>366</v>
      </c>
    </row>
    <row r="370" spans="1:25" ht="15.75" hidden="1" customHeight="1" x14ac:dyDescent="0.25">
      <c r="A370" s="148" t="s">
        <v>76</v>
      </c>
      <c r="B370" s="148" t="s">
        <v>116</v>
      </c>
      <c r="C370" s="148" t="s">
        <v>90</v>
      </c>
      <c r="D370" s="148" t="s">
        <v>29</v>
      </c>
      <c r="E370" s="148" t="s">
        <v>40</v>
      </c>
      <c r="F370" s="148" t="s">
        <v>41</v>
      </c>
      <c r="G370" s="148" t="s">
        <v>473</v>
      </c>
      <c r="H370" s="148">
        <v>2004</v>
      </c>
      <c r="I370" s="148">
        <v>9</v>
      </c>
      <c r="J370" s="148" t="s">
        <v>118</v>
      </c>
      <c r="K370" s="148" t="s">
        <v>172</v>
      </c>
      <c r="M370" s="148" t="s">
        <v>346</v>
      </c>
      <c r="N370" s="148">
        <v>10</v>
      </c>
      <c r="O370" s="148" t="s">
        <v>101</v>
      </c>
      <c r="P370" s="148" t="s">
        <v>398</v>
      </c>
      <c r="Y370" s="150" t="s">
        <v>366</v>
      </c>
    </row>
    <row r="371" spans="1:25" ht="15.75" hidden="1" customHeight="1" x14ac:dyDescent="0.25">
      <c r="A371" s="148" t="s">
        <v>76</v>
      </c>
      <c r="B371" s="148" t="s">
        <v>77</v>
      </c>
      <c r="C371" s="148" t="s">
        <v>55</v>
      </c>
      <c r="D371" s="148" t="s">
        <v>158</v>
      </c>
      <c r="E371" s="148" t="s">
        <v>30</v>
      </c>
      <c r="F371" s="148" t="s">
        <v>41</v>
      </c>
      <c r="G371" s="148" t="s">
        <v>159</v>
      </c>
      <c r="H371" s="148">
        <v>2004</v>
      </c>
      <c r="I371" s="148">
        <v>9</v>
      </c>
      <c r="J371" s="148" t="s">
        <v>118</v>
      </c>
      <c r="K371" s="148" t="s">
        <v>172</v>
      </c>
      <c r="M371" s="148" t="s">
        <v>346</v>
      </c>
      <c r="N371" s="148">
        <v>10</v>
      </c>
      <c r="O371" s="148" t="s">
        <v>101</v>
      </c>
      <c r="P371" s="148" t="s">
        <v>511</v>
      </c>
      <c r="Y371" s="150" t="s">
        <v>366</v>
      </c>
    </row>
    <row r="372" spans="1:25" ht="15.75" hidden="1" customHeight="1" x14ac:dyDescent="0.25">
      <c r="A372" s="148" t="s">
        <v>76</v>
      </c>
      <c r="B372" s="148" t="s">
        <v>77</v>
      </c>
      <c r="C372" s="148" t="s">
        <v>55</v>
      </c>
      <c r="D372" s="148" t="s">
        <v>29</v>
      </c>
      <c r="E372" s="148" t="s">
        <v>30</v>
      </c>
      <c r="F372" s="148" t="s">
        <v>41</v>
      </c>
      <c r="G372" s="148" t="s">
        <v>161</v>
      </c>
      <c r="H372" s="148">
        <v>2004</v>
      </c>
      <c r="I372" s="148">
        <v>9</v>
      </c>
      <c r="J372" s="148" t="s">
        <v>118</v>
      </c>
      <c r="K372" s="148" t="s">
        <v>172</v>
      </c>
      <c r="M372" s="148" t="s">
        <v>346</v>
      </c>
      <c r="N372" s="148">
        <v>10</v>
      </c>
      <c r="O372" s="148" t="s">
        <v>101</v>
      </c>
      <c r="P372" s="148" t="s">
        <v>512</v>
      </c>
      <c r="Y372" s="150" t="s">
        <v>366</v>
      </c>
    </row>
    <row r="373" spans="1:25" ht="15.75" hidden="1" customHeight="1" x14ac:dyDescent="0.25">
      <c r="A373" s="148" t="s">
        <v>76</v>
      </c>
      <c r="B373" s="148" t="s">
        <v>116</v>
      </c>
      <c r="C373" s="148" t="s">
        <v>90</v>
      </c>
      <c r="D373" s="148" t="s">
        <v>29</v>
      </c>
      <c r="E373" s="148" t="s">
        <v>30</v>
      </c>
      <c r="F373" s="148" t="s">
        <v>41</v>
      </c>
      <c r="G373" s="148" t="s">
        <v>513</v>
      </c>
      <c r="H373" s="148">
        <v>2004</v>
      </c>
      <c r="I373" s="148">
        <v>9</v>
      </c>
      <c r="J373" s="148" t="s">
        <v>150</v>
      </c>
      <c r="K373" s="148" t="s">
        <v>514</v>
      </c>
      <c r="M373" s="148" t="s">
        <v>515</v>
      </c>
      <c r="N373" s="148">
        <v>6</v>
      </c>
      <c r="O373" s="148" t="s">
        <v>83</v>
      </c>
      <c r="Y373" s="150" t="s">
        <v>366</v>
      </c>
    </row>
    <row r="374" spans="1:25" ht="15.75" hidden="1" customHeight="1" x14ac:dyDescent="0.25">
      <c r="A374" s="148" t="s">
        <v>76</v>
      </c>
      <c r="B374" s="148" t="s">
        <v>103</v>
      </c>
      <c r="C374" s="148" t="s">
        <v>55</v>
      </c>
      <c r="D374" s="148" t="s">
        <v>516</v>
      </c>
      <c r="E374" s="148" t="s">
        <v>95</v>
      </c>
      <c r="F374" s="148" t="s">
        <v>56</v>
      </c>
      <c r="G374" s="148" t="s">
        <v>517</v>
      </c>
      <c r="H374" s="148">
        <v>2004</v>
      </c>
      <c r="I374" s="148">
        <v>9</v>
      </c>
      <c r="J374" s="148" t="s">
        <v>118</v>
      </c>
      <c r="K374" s="148" t="s">
        <v>172</v>
      </c>
      <c r="M374" s="148" t="s">
        <v>346</v>
      </c>
      <c r="N374" s="148">
        <v>8</v>
      </c>
      <c r="O374" s="148" t="s">
        <v>101</v>
      </c>
      <c r="P374" s="148" t="s">
        <v>146</v>
      </c>
      <c r="Y374" s="150" t="s">
        <v>518</v>
      </c>
    </row>
    <row r="375" spans="1:25" ht="15.75" hidden="1" customHeight="1" x14ac:dyDescent="0.25">
      <c r="A375" s="148" t="s">
        <v>76</v>
      </c>
      <c r="B375" s="148" t="s">
        <v>36</v>
      </c>
      <c r="C375" s="148" t="s">
        <v>28</v>
      </c>
      <c r="D375" s="148" t="s">
        <v>29</v>
      </c>
      <c r="E375" s="148" t="s">
        <v>51</v>
      </c>
      <c r="F375" s="148" t="s">
        <v>3183</v>
      </c>
      <c r="G375" s="148" t="s">
        <v>69</v>
      </c>
      <c r="H375" s="148">
        <v>2004</v>
      </c>
      <c r="I375" s="148">
        <v>9</v>
      </c>
      <c r="J375" s="148" t="s">
        <v>118</v>
      </c>
      <c r="K375" s="148" t="s">
        <v>172</v>
      </c>
      <c r="M375" s="148" t="s">
        <v>346</v>
      </c>
      <c r="N375" s="148">
        <v>10</v>
      </c>
      <c r="O375" s="148" t="s">
        <v>101</v>
      </c>
      <c r="P375" s="148" t="s">
        <v>435</v>
      </c>
      <c r="Y375" s="150" t="s">
        <v>366</v>
      </c>
    </row>
    <row r="376" spans="1:25" ht="15.75" hidden="1" customHeight="1" x14ac:dyDescent="0.25">
      <c r="A376" s="148" t="s">
        <v>76</v>
      </c>
      <c r="B376" s="148" t="s">
        <v>103</v>
      </c>
      <c r="C376" s="148" t="s">
        <v>55</v>
      </c>
      <c r="D376" s="148" t="s">
        <v>490</v>
      </c>
      <c r="E376" s="148" t="s">
        <v>95</v>
      </c>
      <c r="F376" s="148" t="s">
        <v>56</v>
      </c>
      <c r="G376" s="148" t="s">
        <v>168</v>
      </c>
      <c r="H376" s="148">
        <v>2004</v>
      </c>
      <c r="I376" s="148">
        <v>9</v>
      </c>
      <c r="J376" s="148" t="s">
        <v>150</v>
      </c>
      <c r="K376" s="148" t="s">
        <v>235</v>
      </c>
      <c r="M376" s="148" t="s">
        <v>236</v>
      </c>
      <c r="N376" s="148">
        <v>6</v>
      </c>
      <c r="O376" s="148" t="s">
        <v>83</v>
      </c>
      <c r="Y376" s="150" t="s">
        <v>366</v>
      </c>
    </row>
    <row r="377" spans="1:25" ht="15.75" hidden="1" customHeight="1" x14ac:dyDescent="0.25">
      <c r="A377" s="148" t="s">
        <v>76</v>
      </c>
      <c r="B377" s="148" t="s">
        <v>54</v>
      </c>
      <c r="C377" s="148" t="s">
        <v>55</v>
      </c>
      <c r="D377" s="148" t="s">
        <v>65</v>
      </c>
      <c r="E377" s="148" t="s">
        <v>30</v>
      </c>
      <c r="F377" s="148" t="s">
        <v>56</v>
      </c>
      <c r="G377" s="148" t="s">
        <v>54</v>
      </c>
      <c r="H377" s="148">
        <v>2004</v>
      </c>
      <c r="I377" s="148">
        <v>9</v>
      </c>
      <c r="J377" s="148" t="s">
        <v>150</v>
      </c>
      <c r="K377" s="148" t="s">
        <v>372</v>
      </c>
      <c r="M377" s="148" t="s">
        <v>442</v>
      </c>
      <c r="N377" s="148">
        <v>6</v>
      </c>
      <c r="O377" s="148" t="s">
        <v>83</v>
      </c>
      <c r="Y377" s="150" t="s">
        <v>366</v>
      </c>
    </row>
    <row r="378" spans="1:25" ht="15.75" hidden="1" customHeight="1" x14ac:dyDescent="0.25">
      <c r="A378" s="148" t="s">
        <v>76</v>
      </c>
      <c r="B378" s="148" t="s">
        <v>103</v>
      </c>
      <c r="C378" s="148" t="s">
        <v>55</v>
      </c>
      <c r="D378" s="148" t="s">
        <v>29</v>
      </c>
      <c r="E378" s="148" t="s">
        <v>30</v>
      </c>
      <c r="F378" s="148" t="s">
        <v>56</v>
      </c>
      <c r="G378" s="148" t="s">
        <v>519</v>
      </c>
      <c r="H378" s="148">
        <v>2004</v>
      </c>
      <c r="I378" s="148">
        <v>9</v>
      </c>
      <c r="J378" s="148" t="s">
        <v>118</v>
      </c>
      <c r="K378" s="148" t="s">
        <v>172</v>
      </c>
      <c r="M378" s="148" t="s">
        <v>346</v>
      </c>
      <c r="N378" s="148">
        <v>10</v>
      </c>
      <c r="O378" s="148" t="s">
        <v>101</v>
      </c>
      <c r="P378" s="148" t="s">
        <v>146</v>
      </c>
      <c r="Y378" s="150" t="s">
        <v>366</v>
      </c>
    </row>
    <row r="379" spans="1:25" ht="15.75" hidden="1" customHeight="1" x14ac:dyDescent="0.25">
      <c r="A379" s="148" t="s">
        <v>76</v>
      </c>
      <c r="B379" s="148" t="s">
        <v>103</v>
      </c>
      <c r="C379" s="148" t="s">
        <v>55</v>
      </c>
      <c r="D379" s="148" t="s">
        <v>29</v>
      </c>
      <c r="E379" s="148" t="s">
        <v>95</v>
      </c>
      <c r="F379" s="148" t="s">
        <v>56</v>
      </c>
      <c r="G379" s="148" t="s">
        <v>338</v>
      </c>
      <c r="H379" s="148">
        <v>2004</v>
      </c>
      <c r="I379" s="148">
        <v>9</v>
      </c>
      <c r="J379" s="148" t="s">
        <v>118</v>
      </c>
      <c r="K379" s="148" t="s">
        <v>520</v>
      </c>
      <c r="M379" s="148" t="s">
        <v>521</v>
      </c>
      <c r="N379" s="148">
        <v>8</v>
      </c>
      <c r="O379" s="148" t="s">
        <v>101</v>
      </c>
      <c r="P379" s="148" t="s">
        <v>365</v>
      </c>
      <c r="Y379" s="150" t="s">
        <v>522</v>
      </c>
    </row>
    <row r="380" spans="1:25" ht="15.75" hidden="1" customHeight="1" x14ac:dyDescent="0.25">
      <c r="A380" s="148" t="s">
        <v>76</v>
      </c>
      <c r="B380" s="148" t="s">
        <v>89</v>
      </c>
      <c r="C380" s="148" t="s">
        <v>90</v>
      </c>
      <c r="D380" s="148" t="s">
        <v>29</v>
      </c>
      <c r="E380" s="148" t="s">
        <v>40</v>
      </c>
      <c r="F380" s="148" t="s">
        <v>91</v>
      </c>
      <c r="G380" s="148" t="s">
        <v>413</v>
      </c>
      <c r="H380" s="148">
        <v>2004</v>
      </c>
      <c r="I380" s="148">
        <v>9</v>
      </c>
      <c r="J380" s="148" t="s">
        <v>118</v>
      </c>
      <c r="K380" s="148" t="s">
        <v>327</v>
      </c>
      <c r="M380" s="148" t="s">
        <v>132</v>
      </c>
      <c r="N380" s="148">
        <v>8</v>
      </c>
      <c r="O380" s="148" t="s">
        <v>101</v>
      </c>
      <c r="P380" s="148" t="s">
        <v>365</v>
      </c>
      <c r="Y380" s="150" t="s">
        <v>523</v>
      </c>
    </row>
    <row r="381" spans="1:25" ht="15.75" hidden="1" customHeight="1" x14ac:dyDescent="0.25">
      <c r="A381" s="148" t="s">
        <v>76</v>
      </c>
      <c r="B381" s="148" t="s">
        <v>103</v>
      </c>
      <c r="C381" s="148" t="s">
        <v>55</v>
      </c>
      <c r="D381" s="148" t="s">
        <v>478</v>
      </c>
      <c r="E381" s="148" t="s">
        <v>95</v>
      </c>
      <c r="F381" s="148" t="s">
        <v>56</v>
      </c>
      <c r="G381" s="148" t="s">
        <v>108</v>
      </c>
      <c r="H381" s="148">
        <v>2004</v>
      </c>
      <c r="I381" s="148">
        <v>9</v>
      </c>
      <c r="J381" s="148" t="s">
        <v>118</v>
      </c>
      <c r="K381" s="148" t="s">
        <v>172</v>
      </c>
      <c r="M381" s="148" t="s">
        <v>346</v>
      </c>
      <c r="N381" s="148">
        <v>10</v>
      </c>
      <c r="O381" s="148" t="s">
        <v>101</v>
      </c>
      <c r="P381" s="148" t="s">
        <v>524</v>
      </c>
      <c r="Y381" s="150" t="s">
        <v>366</v>
      </c>
    </row>
    <row r="382" spans="1:25" ht="15.75" hidden="1" customHeight="1" x14ac:dyDescent="0.25">
      <c r="A382" s="148" t="s">
        <v>76</v>
      </c>
      <c r="B382" s="148" t="s">
        <v>198</v>
      </c>
      <c r="C382" s="148" t="s">
        <v>45</v>
      </c>
      <c r="D382" s="148" t="s">
        <v>29</v>
      </c>
      <c r="E382" s="148" t="s">
        <v>30</v>
      </c>
      <c r="F382" s="148" t="s">
        <v>199</v>
      </c>
      <c r="G382" s="148" t="s">
        <v>505</v>
      </c>
      <c r="H382" s="148">
        <v>2004</v>
      </c>
      <c r="I382" s="148">
        <v>9</v>
      </c>
      <c r="J382" s="148" t="s">
        <v>118</v>
      </c>
      <c r="K382" s="148" t="s">
        <v>525</v>
      </c>
      <c r="M382" s="148" t="s">
        <v>368</v>
      </c>
      <c r="N382" s="148">
        <v>8</v>
      </c>
      <c r="O382" s="148" t="s">
        <v>101</v>
      </c>
      <c r="P382" s="148" t="s">
        <v>474</v>
      </c>
      <c r="Y382" s="150" t="s">
        <v>366</v>
      </c>
    </row>
    <row r="383" spans="1:25" ht="15.75" hidden="1" customHeight="1" x14ac:dyDescent="0.25">
      <c r="A383" s="148" t="s">
        <v>76</v>
      </c>
      <c r="B383" s="148" t="s">
        <v>71</v>
      </c>
      <c r="C383" s="148" t="s">
        <v>45</v>
      </c>
      <c r="D383" s="148" t="s">
        <v>29</v>
      </c>
      <c r="E383" s="148" t="s">
        <v>72</v>
      </c>
      <c r="F383" s="148" t="s">
        <v>3183</v>
      </c>
      <c r="G383" s="148" t="s">
        <v>73</v>
      </c>
      <c r="H383" s="148">
        <v>2004</v>
      </c>
      <c r="I383" s="148">
        <v>10</v>
      </c>
      <c r="J383" s="148" t="s">
        <v>150</v>
      </c>
      <c r="K383" s="148" t="s">
        <v>327</v>
      </c>
      <c r="M383" s="148" t="s">
        <v>132</v>
      </c>
      <c r="N383" s="148">
        <v>8</v>
      </c>
      <c r="O383" s="148" t="s">
        <v>83</v>
      </c>
      <c r="Y383" s="150" t="s">
        <v>366</v>
      </c>
    </row>
    <row r="384" spans="1:25" ht="15.75" hidden="1" customHeight="1" x14ac:dyDescent="0.25">
      <c r="A384" s="148" t="s">
        <v>307</v>
      </c>
      <c r="B384" s="148" t="s">
        <v>71</v>
      </c>
      <c r="C384" s="148" t="s">
        <v>45</v>
      </c>
      <c r="D384" s="148" t="s">
        <v>29</v>
      </c>
      <c r="E384" s="148" t="s">
        <v>72</v>
      </c>
      <c r="F384" s="148" t="s">
        <v>3183</v>
      </c>
      <c r="G384" s="148" t="s">
        <v>73</v>
      </c>
      <c r="H384" s="148">
        <v>2004</v>
      </c>
      <c r="I384" s="148">
        <v>10</v>
      </c>
      <c r="J384" s="148" t="s">
        <v>308</v>
      </c>
      <c r="Q384" s="148" t="s">
        <v>426</v>
      </c>
      <c r="R384" s="148" t="s">
        <v>38</v>
      </c>
      <c r="S384" s="148" t="s">
        <v>427</v>
      </c>
      <c r="T384" s="148" t="s">
        <v>428</v>
      </c>
      <c r="Y384" s="150" t="s">
        <v>366</v>
      </c>
    </row>
    <row r="385" spans="1:26" ht="15.75" hidden="1" customHeight="1" x14ac:dyDescent="0.25">
      <c r="A385" s="148" t="s">
        <v>76</v>
      </c>
      <c r="B385" s="148" t="s">
        <v>103</v>
      </c>
      <c r="C385" s="148" t="s">
        <v>55</v>
      </c>
      <c r="D385" s="148" t="s">
        <v>29</v>
      </c>
      <c r="E385" s="148" t="s">
        <v>95</v>
      </c>
      <c r="F385" s="148" t="s">
        <v>56</v>
      </c>
      <c r="G385" s="148" t="s">
        <v>303</v>
      </c>
      <c r="H385" s="148">
        <v>2004</v>
      </c>
      <c r="I385" s="148">
        <v>10</v>
      </c>
      <c r="J385" s="148" t="s">
        <v>150</v>
      </c>
      <c r="K385" s="148" t="s">
        <v>172</v>
      </c>
      <c r="M385" s="148" t="s">
        <v>346</v>
      </c>
      <c r="N385" s="148">
        <v>10</v>
      </c>
      <c r="O385" s="148" t="s">
        <v>83</v>
      </c>
      <c r="Y385" s="150" t="s">
        <v>366</v>
      </c>
    </row>
    <row r="386" spans="1:26" ht="15.75" hidden="1" customHeight="1" x14ac:dyDescent="0.25">
      <c r="A386" s="148" t="s">
        <v>76</v>
      </c>
      <c r="B386" s="148" t="s">
        <v>198</v>
      </c>
      <c r="C386" s="148" t="s">
        <v>45</v>
      </c>
      <c r="D386" s="148" t="s">
        <v>478</v>
      </c>
      <c r="E386" s="148" t="s">
        <v>30</v>
      </c>
      <c r="F386" s="148" t="s">
        <v>199</v>
      </c>
      <c r="G386" s="148" t="s">
        <v>208</v>
      </c>
      <c r="H386" s="148">
        <v>2004</v>
      </c>
      <c r="I386" s="148">
        <v>10</v>
      </c>
      <c r="J386" s="148" t="s">
        <v>150</v>
      </c>
      <c r="K386" s="148" t="s">
        <v>172</v>
      </c>
      <c r="M386" s="148" t="s">
        <v>346</v>
      </c>
      <c r="N386" s="148">
        <v>10</v>
      </c>
      <c r="O386" s="148" t="s">
        <v>83</v>
      </c>
      <c r="Y386" s="150" t="s">
        <v>366</v>
      </c>
    </row>
    <row r="387" spans="1:26" ht="15.75" hidden="1" customHeight="1" x14ac:dyDescent="0.25">
      <c r="A387" s="148" t="s">
        <v>76</v>
      </c>
      <c r="B387" s="148" t="s">
        <v>36</v>
      </c>
      <c r="C387" s="148" t="s">
        <v>28</v>
      </c>
      <c r="D387" s="148" t="s">
        <v>29</v>
      </c>
      <c r="E387" s="148" t="s">
        <v>30</v>
      </c>
      <c r="F387" s="148" t="s">
        <v>3183</v>
      </c>
      <c r="G387" s="148" t="s">
        <v>438</v>
      </c>
      <c r="H387" s="148">
        <v>2004</v>
      </c>
      <c r="I387" s="148">
        <v>10</v>
      </c>
      <c r="J387" s="148" t="s">
        <v>118</v>
      </c>
      <c r="K387" s="148" t="s">
        <v>388</v>
      </c>
      <c r="M387" s="148" t="s">
        <v>126</v>
      </c>
      <c r="N387" s="148">
        <v>10</v>
      </c>
      <c r="O387" s="148" t="s">
        <v>101</v>
      </c>
      <c r="P387" s="148" t="s">
        <v>526</v>
      </c>
      <c r="Y387" s="150" t="s">
        <v>527</v>
      </c>
    </row>
    <row r="388" spans="1:26" ht="15.75" hidden="1" customHeight="1" x14ac:dyDescent="0.25">
      <c r="A388" s="148" t="s">
        <v>76</v>
      </c>
      <c r="B388" s="148" t="s">
        <v>198</v>
      </c>
      <c r="C388" s="148" t="s">
        <v>45</v>
      </c>
      <c r="D388" s="148" t="s">
        <v>94</v>
      </c>
      <c r="E388" s="148" t="s">
        <v>30</v>
      </c>
      <c r="F388" s="148" t="s">
        <v>199</v>
      </c>
      <c r="G388" s="148" t="s">
        <v>296</v>
      </c>
      <c r="H388" s="148">
        <v>2004</v>
      </c>
      <c r="I388" s="148">
        <v>10</v>
      </c>
      <c r="J388" s="148" t="s">
        <v>118</v>
      </c>
      <c r="K388" s="148" t="s">
        <v>327</v>
      </c>
      <c r="M388" s="148" t="s">
        <v>132</v>
      </c>
      <c r="N388" s="148">
        <v>8</v>
      </c>
      <c r="O388" s="148" t="s">
        <v>101</v>
      </c>
      <c r="P388" s="148" t="s">
        <v>449</v>
      </c>
      <c r="Y388" s="150" t="s">
        <v>366</v>
      </c>
    </row>
    <row r="389" spans="1:26" ht="15.75" hidden="1" customHeight="1" x14ac:dyDescent="0.25">
      <c r="A389" s="148" t="s">
        <v>76</v>
      </c>
      <c r="B389" s="148" t="s">
        <v>103</v>
      </c>
      <c r="C389" s="148" t="s">
        <v>55</v>
      </c>
      <c r="D389" s="148" t="s">
        <v>29</v>
      </c>
      <c r="E389" s="148" t="s">
        <v>30</v>
      </c>
      <c r="F389" s="148" t="s">
        <v>56</v>
      </c>
      <c r="G389" s="148" t="s">
        <v>405</v>
      </c>
      <c r="H389" s="148">
        <v>2004</v>
      </c>
      <c r="I389" s="148">
        <v>10</v>
      </c>
      <c r="J389" s="148" t="s">
        <v>150</v>
      </c>
      <c r="K389" s="148" t="s">
        <v>440</v>
      </c>
      <c r="M389" s="148" t="s">
        <v>441</v>
      </c>
      <c r="N389" s="148">
        <v>6</v>
      </c>
      <c r="O389" s="148" t="s">
        <v>83</v>
      </c>
      <c r="Y389" s="150" t="s">
        <v>366</v>
      </c>
    </row>
    <row r="390" spans="1:26" ht="15.75" hidden="1" customHeight="1" x14ac:dyDescent="0.25">
      <c r="A390" s="148" t="s">
        <v>76</v>
      </c>
      <c r="B390" s="148" t="s">
        <v>103</v>
      </c>
      <c r="C390" s="148" t="s">
        <v>55</v>
      </c>
      <c r="D390" s="148" t="s">
        <v>94</v>
      </c>
      <c r="E390" s="148" t="s">
        <v>95</v>
      </c>
      <c r="F390" s="148" t="s">
        <v>56</v>
      </c>
      <c r="G390" s="148" t="s">
        <v>111</v>
      </c>
      <c r="H390" s="148">
        <v>2004</v>
      </c>
      <c r="I390" s="148">
        <v>10</v>
      </c>
      <c r="J390" s="148" t="s">
        <v>150</v>
      </c>
      <c r="K390" s="148" t="s">
        <v>172</v>
      </c>
      <c r="M390" s="148" t="s">
        <v>346</v>
      </c>
      <c r="N390" s="148">
        <v>10</v>
      </c>
      <c r="O390" s="148" t="s">
        <v>83</v>
      </c>
      <c r="P390" s="148" t="s">
        <v>146</v>
      </c>
      <c r="Y390" s="150" t="s">
        <v>366</v>
      </c>
    </row>
    <row r="391" spans="1:26" ht="15.75" hidden="1" customHeight="1" x14ac:dyDescent="0.25">
      <c r="A391" s="148" t="s">
        <v>76</v>
      </c>
      <c r="B391" s="148" t="s">
        <v>103</v>
      </c>
      <c r="C391" s="148" t="s">
        <v>55</v>
      </c>
      <c r="D391" s="148" t="s">
        <v>478</v>
      </c>
      <c r="E391" s="148" t="s">
        <v>95</v>
      </c>
      <c r="F391" s="148" t="s">
        <v>56</v>
      </c>
      <c r="G391" s="148" t="s">
        <v>107</v>
      </c>
      <c r="H391" s="148">
        <v>2004</v>
      </c>
      <c r="I391" s="148">
        <v>10</v>
      </c>
      <c r="J391" s="148" t="s">
        <v>118</v>
      </c>
      <c r="K391" s="148" t="s">
        <v>172</v>
      </c>
      <c r="M391" s="148" t="s">
        <v>346</v>
      </c>
      <c r="N391" s="148">
        <v>8</v>
      </c>
      <c r="O391" s="148" t="s">
        <v>101</v>
      </c>
      <c r="P391" s="148" t="s">
        <v>261</v>
      </c>
      <c r="Y391" s="150" t="s">
        <v>366</v>
      </c>
      <c r="Z391" s="148" t="s">
        <v>528</v>
      </c>
    </row>
    <row r="392" spans="1:26" ht="15.75" hidden="1" customHeight="1" x14ac:dyDescent="0.25">
      <c r="A392" s="148" t="s">
        <v>76</v>
      </c>
      <c r="B392" s="148" t="s">
        <v>103</v>
      </c>
      <c r="C392" s="148" t="s">
        <v>55</v>
      </c>
      <c r="D392" s="148" t="s">
        <v>478</v>
      </c>
      <c r="E392" s="148" t="s">
        <v>95</v>
      </c>
      <c r="F392" s="148" t="s">
        <v>56</v>
      </c>
      <c r="G392" s="148" t="s">
        <v>107</v>
      </c>
      <c r="H392" s="148">
        <v>2004</v>
      </c>
      <c r="I392" s="148">
        <v>10</v>
      </c>
      <c r="J392" s="148" t="s">
        <v>118</v>
      </c>
      <c r="K392" s="148" t="s">
        <v>327</v>
      </c>
      <c r="M392" s="148" t="s">
        <v>132</v>
      </c>
      <c r="N392" s="148">
        <v>8</v>
      </c>
      <c r="O392" s="148" t="s">
        <v>101</v>
      </c>
      <c r="P392" s="148" t="s">
        <v>425</v>
      </c>
      <c r="Y392" s="150" t="s">
        <v>366</v>
      </c>
    </row>
    <row r="393" spans="1:26" ht="15.75" hidden="1" customHeight="1" x14ac:dyDescent="0.25">
      <c r="A393" s="148" t="s">
        <v>76</v>
      </c>
      <c r="B393" s="148" t="s">
        <v>62</v>
      </c>
      <c r="C393" s="148" t="s">
        <v>28</v>
      </c>
      <c r="D393" s="148" t="s">
        <v>408</v>
      </c>
      <c r="E393" s="148" t="s">
        <v>51</v>
      </c>
      <c r="F393" s="148" t="s">
        <v>3183</v>
      </c>
      <c r="G393" s="148" t="s">
        <v>409</v>
      </c>
      <c r="H393" s="148">
        <v>2004</v>
      </c>
      <c r="I393" s="148">
        <v>10</v>
      </c>
      <c r="J393" s="148" t="s">
        <v>150</v>
      </c>
      <c r="K393" s="148" t="s">
        <v>119</v>
      </c>
      <c r="M393" s="148" t="s">
        <v>120</v>
      </c>
      <c r="N393" s="148">
        <v>6</v>
      </c>
      <c r="O393" s="148" t="s">
        <v>83</v>
      </c>
      <c r="Y393" s="150" t="s">
        <v>366</v>
      </c>
    </row>
    <row r="394" spans="1:26" ht="15.75" hidden="1" customHeight="1" x14ac:dyDescent="0.25">
      <c r="A394" s="148" t="s">
        <v>76</v>
      </c>
      <c r="B394" s="148" t="s">
        <v>116</v>
      </c>
      <c r="C394" s="148" t="s">
        <v>90</v>
      </c>
      <c r="D394" s="148" t="s">
        <v>29</v>
      </c>
      <c r="E394" s="148" t="s">
        <v>30</v>
      </c>
      <c r="F394" s="148" t="s">
        <v>41</v>
      </c>
      <c r="G394" s="148" t="s">
        <v>513</v>
      </c>
      <c r="H394" s="148">
        <v>2004</v>
      </c>
      <c r="I394" s="148">
        <v>10</v>
      </c>
      <c r="J394" s="148" t="s">
        <v>118</v>
      </c>
      <c r="K394" s="148" t="s">
        <v>388</v>
      </c>
      <c r="M394" s="148" t="s">
        <v>126</v>
      </c>
      <c r="N394" s="148">
        <v>10</v>
      </c>
      <c r="O394" s="148" t="s">
        <v>101</v>
      </c>
      <c r="P394" s="148" t="s">
        <v>365</v>
      </c>
      <c r="Y394" s="150" t="s">
        <v>366</v>
      </c>
    </row>
    <row r="395" spans="1:26" ht="15.75" hidden="1" customHeight="1" x14ac:dyDescent="0.25">
      <c r="A395" s="148" t="s">
        <v>76</v>
      </c>
      <c r="B395" s="148" t="s">
        <v>71</v>
      </c>
      <c r="C395" s="148" t="s">
        <v>45</v>
      </c>
      <c r="D395" s="148" t="s">
        <v>29</v>
      </c>
      <c r="E395" s="148" t="s">
        <v>72</v>
      </c>
      <c r="F395" s="148" t="s">
        <v>3183</v>
      </c>
      <c r="G395" s="148" t="s">
        <v>75</v>
      </c>
      <c r="H395" s="148">
        <v>2004</v>
      </c>
      <c r="I395" s="148">
        <v>10</v>
      </c>
      <c r="J395" s="148" t="s">
        <v>150</v>
      </c>
      <c r="K395" s="148" t="s">
        <v>327</v>
      </c>
      <c r="M395" s="148" t="s">
        <v>132</v>
      </c>
      <c r="N395" s="148">
        <v>8</v>
      </c>
      <c r="O395" s="148" t="s">
        <v>83</v>
      </c>
      <c r="Y395" s="150" t="s">
        <v>366</v>
      </c>
    </row>
    <row r="396" spans="1:26" ht="15.75" hidden="1" customHeight="1" x14ac:dyDescent="0.25">
      <c r="A396" s="148" t="s">
        <v>76</v>
      </c>
      <c r="B396" s="148" t="s">
        <v>103</v>
      </c>
      <c r="C396" s="148" t="s">
        <v>55</v>
      </c>
      <c r="D396" s="148" t="s">
        <v>29</v>
      </c>
      <c r="E396" s="148" t="s">
        <v>30</v>
      </c>
      <c r="F396" s="148" t="s">
        <v>56</v>
      </c>
      <c r="G396" s="148" t="s">
        <v>432</v>
      </c>
      <c r="H396" s="148">
        <v>2004</v>
      </c>
      <c r="I396" s="148">
        <v>10</v>
      </c>
      <c r="J396" s="148" t="s">
        <v>150</v>
      </c>
      <c r="K396" s="148" t="s">
        <v>440</v>
      </c>
      <c r="M396" s="148" t="s">
        <v>441</v>
      </c>
      <c r="N396" s="148">
        <v>6</v>
      </c>
      <c r="O396" s="148" t="s">
        <v>83</v>
      </c>
      <c r="Y396" s="150" t="s">
        <v>366</v>
      </c>
    </row>
    <row r="397" spans="1:26" ht="15.75" hidden="1" customHeight="1" x14ac:dyDescent="0.25">
      <c r="A397" s="148" t="s">
        <v>76</v>
      </c>
      <c r="B397" s="148" t="s">
        <v>103</v>
      </c>
      <c r="C397" s="148" t="s">
        <v>55</v>
      </c>
      <c r="D397" s="148" t="s">
        <v>29</v>
      </c>
      <c r="E397" s="148" t="s">
        <v>30</v>
      </c>
      <c r="F397" s="148" t="s">
        <v>56</v>
      </c>
      <c r="G397" s="148" t="s">
        <v>381</v>
      </c>
      <c r="H397" s="148">
        <v>2004</v>
      </c>
      <c r="I397" s="148">
        <v>10</v>
      </c>
      <c r="J397" s="148" t="s">
        <v>150</v>
      </c>
      <c r="K397" s="148" t="s">
        <v>172</v>
      </c>
      <c r="M397" s="148" t="s">
        <v>346</v>
      </c>
      <c r="N397" s="148">
        <v>10</v>
      </c>
      <c r="O397" s="148" t="s">
        <v>83</v>
      </c>
      <c r="P397" s="148" t="s">
        <v>529</v>
      </c>
      <c r="Y397" s="150" t="s">
        <v>366</v>
      </c>
    </row>
    <row r="398" spans="1:26" ht="15.75" hidden="1" customHeight="1" x14ac:dyDescent="0.25">
      <c r="A398" s="148" t="s">
        <v>76</v>
      </c>
      <c r="B398" s="148" t="s">
        <v>36</v>
      </c>
      <c r="C398" s="148" t="s">
        <v>28</v>
      </c>
      <c r="D398" s="148" t="s">
        <v>29</v>
      </c>
      <c r="E398" s="148" t="s">
        <v>51</v>
      </c>
      <c r="F398" s="148" t="s">
        <v>3183</v>
      </c>
      <c r="G398" s="148" t="s">
        <v>52</v>
      </c>
      <c r="H398" s="148">
        <v>2004</v>
      </c>
      <c r="I398" s="148">
        <v>10</v>
      </c>
      <c r="J398" s="148" t="s">
        <v>150</v>
      </c>
      <c r="K398" s="148" t="s">
        <v>119</v>
      </c>
      <c r="M398" s="148" t="s">
        <v>120</v>
      </c>
      <c r="N398" s="148">
        <v>6</v>
      </c>
      <c r="O398" s="148" t="s">
        <v>83</v>
      </c>
      <c r="Y398" s="150" t="s">
        <v>366</v>
      </c>
    </row>
    <row r="399" spans="1:26" ht="15.75" hidden="1" customHeight="1" x14ac:dyDescent="0.25">
      <c r="A399" s="148" t="s">
        <v>76</v>
      </c>
      <c r="B399" s="148" t="s">
        <v>44</v>
      </c>
      <c r="C399" s="148" t="s">
        <v>45</v>
      </c>
      <c r="D399" s="148" t="s">
        <v>29</v>
      </c>
      <c r="E399" s="148" t="s">
        <v>46</v>
      </c>
      <c r="F399" s="148" t="s">
        <v>47</v>
      </c>
      <c r="G399" s="148" t="s">
        <v>48</v>
      </c>
      <c r="H399" s="148">
        <v>2004</v>
      </c>
      <c r="I399" s="148">
        <v>10</v>
      </c>
      <c r="J399" s="148" t="s">
        <v>150</v>
      </c>
      <c r="K399" s="148" t="s">
        <v>327</v>
      </c>
      <c r="M399" s="148" t="s">
        <v>132</v>
      </c>
      <c r="N399" s="148">
        <v>8</v>
      </c>
      <c r="O399" s="148" t="s">
        <v>83</v>
      </c>
      <c r="P399" s="148" t="s">
        <v>398</v>
      </c>
      <c r="Y399" s="150" t="s">
        <v>366</v>
      </c>
    </row>
    <row r="400" spans="1:26" ht="15.75" hidden="1" customHeight="1" x14ac:dyDescent="0.25">
      <c r="A400" s="148" t="s">
        <v>76</v>
      </c>
      <c r="B400" s="148" t="s">
        <v>103</v>
      </c>
      <c r="C400" s="148" t="s">
        <v>55</v>
      </c>
      <c r="D400" s="148" t="s">
        <v>29</v>
      </c>
      <c r="E400" s="148" t="s">
        <v>95</v>
      </c>
      <c r="F400" s="148" t="s">
        <v>56</v>
      </c>
      <c r="G400" s="148" t="s">
        <v>530</v>
      </c>
      <c r="H400" s="148">
        <v>2004</v>
      </c>
      <c r="I400" s="148">
        <v>11</v>
      </c>
      <c r="J400" s="148" t="s">
        <v>118</v>
      </c>
      <c r="K400" s="148" t="s">
        <v>172</v>
      </c>
      <c r="M400" s="148" t="s">
        <v>346</v>
      </c>
      <c r="N400" s="148">
        <v>10</v>
      </c>
      <c r="O400" s="148" t="s">
        <v>101</v>
      </c>
      <c r="P400" s="148" t="s">
        <v>146</v>
      </c>
      <c r="Y400" s="150" t="s">
        <v>366</v>
      </c>
    </row>
    <row r="401" spans="1:26" ht="15.75" hidden="1" customHeight="1" x14ac:dyDescent="0.25">
      <c r="A401" s="148" t="s">
        <v>76</v>
      </c>
      <c r="B401" s="148" t="s">
        <v>71</v>
      </c>
      <c r="C401" s="148" t="s">
        <v>45</v>
      </c>
      <c r="D401" s="148" t="s">
        <v>29</v>
      </c>
      <c r="E401" s="148" t="s">
        <v>72</v>
      </c>
      <c r="F401" s="148" t="s">
        <v>3183</v>
      </c>
      <c r="G401" s="148" t="s">
        <v>73</v>
      </c>
      <c r="H401" s="148">
        <v>2004</v>
      </c>
      <c r="I401" s="148">
        <v>11</v>
      </c>
      <c r="J401" s="148" t="s">
        <v>118</v>
      </c>
      <c r="K401" s="148" t="s">
        <v>327</v>
      </c>
      <c r="M401" s="148" t="s">
        <v>132</v>
      </c>
      <c r="N401" s="148">
        <v>8</v>
      </c>
      <c r="O401" s="148" t="s">
        <v>101</v>
      </c>
      <c r="P401" s="148" t="s">
        <v>531</v>
      </c>
      <c r="Y401" s="150" t="s">
        <v>366</v>
      </c>
    </row>
    <row r="402" spans="1:26" ht="15.75" hidden="1" customHeight="1" x14ac:dyDescent="0.25">
      <c r="A402" s="148" t="s">
        <v>76</v>
      </c>
      <c r="B402" s="148" t="s">
        <v>103</v>
      </c>
      <c r="C402" s="148" t="s">
        <v>55</v>
      </c>
      <c r="D402" s="148" t="s">
        <v>158</v>
      </c>
      <c r="E402" s="148" t="s">
        <v>30</v>
      </c>
      <c r="F402" s="148" t="s">
        <v>56</v>
      </c>
      <c r="G402" s="148" t="s">
        <v>171</v>
      </c>
      <c r="H402" s="148">
        <v>2004</v>
      </c>
      <c r="I402" s="148">
        <v>11</v>
      </c>
      <c r="J402" s="148" t="s">
        <v>118</v>
      </c>
      <c r="K402" s="148" t="s">
        <v>172</v>
      </c>
      <c r="M402" s="148" t="s">
        <v>346</v>
      </c>
      <c r="N402" s="148">
        <v>10</v>
      </c>
      <c r="O402" s="148" t="s">
        <v>101</v>
      </c>
      <c r="P402" s="148" t="s">
        <v>261</v>
      </c>
      <c r="Y402" s="150" t="s">
        <v>366</v>
      </c>
    </row>
    <row r="403" spans="1:26" ht="13.5" hidden="1" customHeight="1" x14ac:dyDescent="0.25">
      <c r="A403" s="148" t="s">
        <v>76</v>
      </c>
      <c r="B403" s="148" t="s">
        <v>198</v>
      </c>
      <c r="C403" s="148" t="s">
        <v>45</v>
      </c>
      <c r="D403" s="148" t="s">
        <v>29</v>
      </c>
      <c r="E403" s="148" t="s">
        <v>30</v>
      </c>
      <c r="F403" s="148" t="s">
        <v>199</v>
      </c>
      <c r="G403" s="148" t="s">
        <v>205</v>
      </c>
      <c r="H403" s="148">
        <v>2004</v>
      </c>
      <c r="I403" s="148">
        <v>11</v>
      </c>
      <c r="J403" s="148" t="s">
        <v>118</v>
      </c>
      <c r="K403" s="148" t="s">
        <v>172</v>
      </c>
      <c r="M403" s="148" t="s">
        <v>346</v>
      </c>
      <c r="N403" s="148">
        <v>10</v>
      </c>
      <c r="O403" s="148" t="s">
        <v>101</v>
      </c>
      <c r="P403" s="148" t="s">
        <v>146</v>
      </c>
      <c r="Y403" s="150" t="s">
        <v>366</v>
      </c>
    </row>
    <row r="404" spans="1:26" ht="15.75" hidden="1" customHeight="1" x14ac:dyDescent="0.25">
      <c r="A404" s="148" t="s">
        <v>76</v>
      </c>
      <c r="B404" s="148" t="s">
        <v>36</v>
      </c>
      <c r="C404" s="148" t="s">
        <v>28</v>
      </c>
      <c r="D404" s="148" t="s">
        <v>29</v>
      </c>
      <c r="E404" s="148" t="s">
        <v>30</v>
      </c>
      <c r="F404" s="148" t="s">
        <v>3183</v>
      </c>
      <c r="G404" s="148" t="s">
        <v>211</v>
      </c>
      <c r="H404" s="148">
        <v>2004</v>
      </c>
      <c r="I404" s="148">
        <v>11</v>
      </c>
      <c r="J404" s="148" t="s">
        <v>150</v>
      </c>
      <c r="K404" s="148" t="s">
        <v>532</v>
      </c>
      <c r="M404" s="148" t="s">
        <v>533</v>
      </c>
      <c r="N404" s="148">
        <v>6</v>
      </c>
      <c r="O404" s="148" t="s">
        <v>83</v>
      </c>
      <c r="Y404" s="150" t="s">
        <v>366</v>
      </c>
    </row>
    <row r="405" spans="1:26" ht="15.75" hidden="1" customHeight="1" x14ac:dyDescent="0.25">
      <c r="A405" s="148" t="s">
        <v>76</v>
      </c>
      <c r="B405" s="148" t="s">
        <v>44</v>
      </c>
      <c r="C405" s="148" t="s">
        <v>45</v>
      </c>
      <c r="D405" s="148" t="s">
        <v>94</v>
      </c>
      <c r="E405" s="148" t="s">
        <v>95</v>
      </c>
      <c r="F405" s="148" t="s">
        <v>47</v>
      </c>
      <c r="G405" s="148" t="s">
        <v>96</v>
      </c>
      <c r="H405" s="148">
        <v>2004</v>
      </c>
      <c r="I405" s="148">
        <v>11</v>
      </c>
      <c r="J405" s="148" t="s">
        <v>118</v>
      </c>
      <c r="K405" s="148" t="s">
        <v>327</v>
      </c>
      <c r="M405" s="148" t="s">
        <v>132</v>
      </c>
      <c r="N405" s="148">
        <v>8</v>
      </c>
      <c r="O405" s="148" t="s">
        <v>101</v>
      </c>
      <c r="P405" s="148" t="s">
        <v>534</v>
      </c>
      <c r="Y405" s="150" t="s">
        <v>366</v>
      </c>
    </row>
    <row r="406" spans="1:26" ht="15.75" hidden="1" customHeight="1" x14ac:dyDescent="0.25">
      <c r="A406" s="148" t="s">
        <v>76</v>
      </c>
      <c r="B406" s="148" t="s">
        <v>198</v>
      </c>
      <c r="C406" s="148" t="s">
        <v>45</v>
      </c>
      <c r="D406" s="148" t="s">
        <v>29</v>
      </c>
      <c r="E406" s="148" t="s">
        <v>30</v>
      </c>
      <c r="F406" s="148" t="s">
        <v>199</v>
      </c>
      <c r="G406" s="148" t="s">
        <v>214</v>
      </c>
      <c r="H406" s="148">
        <v>2004</v>
      </c>
      <c r="I406" s="148">
        <v>11</v>
      </c>
      <c r="J406" s="148" t="s">
        <v>118</v>
      </c>
      <c r="K406" s="148" t="s">
        <v>172</v>
      </c>
      <c r="M406" s="148" t="s">
        <v>346</v>
      </c>
      <c r="N406" s="148">
        <v>8</v>
      </c>
      <c r="O406" s="148" t="s">
        <v>101</v>
      </c>
      <c r="P406" s="148" t="s">
        <v>535</v>
      </c>
      <c r="Y406" s="150" t="s">
        <v>366</v>
      </c>
      <c r="Z406" s="148" t="s">
        <v>528</v>
      </c>
    </row>
    <row r="407" spans="1:26" ht="15.75" hidden="1" customHeight="1" x14ac:dyDescent="0.25">
      <c r="A407" s="148" t="s">
        <v>76</v>
      </c>
      <c r="B407" s="148" t="s">
        <v>71</v>
      </c>
      <c r="C407" s="148" t="s">
        <v>45</v>
      </c>
      <c r="D407" s="148" t="s">
        <v>29</v>
      </c>
      <c r="E407" s="148" t="s">
        <v>72</v>
      </c>
      <c r="F407" s="148" t="s">
        <v>3183</v>
      </c>
      <c r="G407" s="148" t="s">
        <v>75</v>
      </c>
      <c r="H407" s="148">
        <v>2004</v>
      </c>
      <c r="I407" s="148">
        <v>11</v>
      </c>
      <c r="J407" s="148" t="s">
        <v>118</v>
      </c>
      <c r="K407" s="148" t="s">
        <v>172</v>
      </c>
      <c r="M407" s="148" t="s">
        <v>346</v>
      </c>
      <c r="N407" s="148">
        <v>10</v>
      </c>
      <c r="O407" s="148" t="s">
        <v>101</v>
      </c>
      <c r="P407" s="148" t="s">
        <v>383</v>
      </c>
      <c r="Y407" s="150" t="s">
        <v>366</v>
      </c>
      <c r="Z407" s="148" t="s">
        <v>465</v>
      </c>
    </row>
    <row r="408" spans="1:26" ht="15.75" hidden="1" customHeight="1" x14ac:dyDescent="0.25">
      <c r="A408" s="148" t="s">
        <v>76</v>
      </c>
      <c r="B408" s="148" t="s">
        <v>36</v>
      </c>
      <c r="C408" s="148" t="s">
        <v>28</v>
      </c>
      <c r="D408" s="148" t="s">
        <v>29</v>
      </c>
      <c r="E408" s="148" t="s">
        <v>51</v>
      </c>
      <c r="F408" s="148" t="s">
        <v>3183</v>
      </c>
      <c r="G408" s="148" t="s">
        <v>69</v>
      </c>
      <c r="H408" s="148">
        <v>2004</v>
      </c>
      <c r="I408" s="148">
        <v>11</v>
      </c>
      <c r="J408" s="148" t="s">
        <v>118</v>
      </c>
      <c r="K408" s="148" t="s">
        <v>172</v>
      </c>
      <c r="M408" s="148" t="s">
        <v>346</v>
      </c>
      <c r="N408" s="148">
        <v>10</v>
      </c>
      <c r="O408" s="148" t="s">
        <v>101</v>
      </c>
      <c r="P408" s="148" t="s">
        <v>146</v>
      </c>
      <c r="Y408" s="150" t="s">
        <v>366</v>
      </c>
      <c r="Z408" s="148" t="s">
        <v>465</v>
      </c>
    </row>
    <row r="409" spans="1:26" ht="15.75" hidden="1" customHeight="1" x14ac:dyDescent="0.25">
      <c r="A409" s="148" t="s">
        <v>76</v>
      </c>
      <c r="B409" s="148" t="s">
        <v>62</v>
      </c>
      <c r="C409" s="148" t="s">
        <v>28</v>
      </c>
      <c r="D409" s="148" t="s">
        <v>158</v>
      </c>
      <c r="E409" s="148" t="s">
        <v>51</v>
      </c>
      <c r="F409" s="148" t="s">
        <v>3183</v>
      </c>
      <c r="G409" s="148" t="s">
        <v>130</v>
      </c>
      <c r="H409" s="148">
        <v>2004</v>
      </c>
      <c r="I409" s="148">
        <v>11</v>
      </c>
      <c r="J409" s="148" t="s">
        <v>150</v>
      </c>
      <c r="K409" s="148" t="s">
        <v>532</v>
      </c>
      <c r="M409" s="148" t="s">
        <v>533</v>
      </c>
      <c r="N409" s="148">
        <v>6</v>
      </c>
      <c r="O409" s="148" t="s">
        <v>83</v>
      </c>
      <c r="Y409" s="150" t="s">
        <v>366</v>
      </c>
    </row>
    <row r="410" spans="1:26" ht="15.75" hidden="1" customHeight="1" x14ac:dyDescent="0.25">
      <c r="A410" s="148" t="s">
        <v>76</v>
      </c>
      <c r="B410" s="148" t="s">
        <v>89</v>
      </c>
      <c r="C410" s="148" t="s">
        <v>90</v>
      </c>
      <c r="D410" s="148" t="s">
        <v>29</v>
      </c>
      <c r="E410" s="148" t="s">
        <v>30</v>
      </c>
      <c r="F410" s="148" t="s">
        <v>91</v>
      </c>
      <c r="G410" s="148" t="s">
        <v>451</v>
      </c>
      <c r="H410" s="148">
        <v>2004</v>
      </c>
      <c r="I410" s="148">
        <v>11</v>
      </c>
      <c r="J410" s="148" t="s">
        <v>150</v>
      </c>
      <c r="K410" s="148" t="s">
        <v>374</v>
      </c>
      <c r="M410" s="148" t="s">
        <v>464</v>
      </c>
      <c r="N410" s="148">
        <v>8</v>
      </c>
      <c r="O410" s="148" t="s">
        <v>83</v>
      </c>
      <c r="Y410" s="150" t="s">
        <v>366</v>
      </c>
      <c r="Z410" s="148" t="s">
        <v>465</v>
      </c>
    </row>
    <row r="411" spans="1:26" ht="15.75" hidden="1" customHeight="1" x14ac:dyDescent="0.25">
      <c r="A411" s="148" t="s">
        <v>76</v>
      </c>
      <c r="B411" s="148" t="s">
        <v>103</v>
      </c>
      <c r="C411" s="148" t="s">
        <v>55</v>
      </c>
      <c r="D411" s="148" t="s">
        <v>478</v>
      </c>
      <c r="E411" s="148" t="s">
        <v>95</v>
      </c>
      <c r="F411" s="148" t="s">
        <v>56</v>
      </c>
      <c r="G411" s="148" t="s">
        <v>108</v>
      </c>
      <c r="H411" s="148">
        <v>2004</v>
      </c>
      <c r="I411" s="148">
        <v>11</v>
      </c>
      <c r="J411" s="148" t="s">
        <v>118</v>
      </c>
      <c r="K411" s="148" t="s">
        <v>172</v>
      </c>
      <c r="M411" s="148" t="s">
        <v>346</v>
      </c>
      <c r="N411" s="148">
        <v>10</v>
      </c>
      <c r="O411" s="148" t="s">
        <v>101</v>
      </c>
      <c r="P411" s="148" t="s">
        <v>536</v>
      </c>
      <c r="Y411" s="150" t="s">
        <v>366</v>
      </c>
    </row>
    <row r="412" spans="1:26" ht="13.5" hidden="1" customHeight="1" x14ac:dyDescent="0.25">
      <c r="A412" s="148" t="s">
        <v>76</v>
      </c>
      <c r="B412" s="148" t="s">
        <v>89</v>
      </c>
      <c r="C412" s="148" t="s">
        <v>90</v>
      </c>
      <c r="D412" s="148" t="s">
        <v>29</v>
      </c>
      <c r="E412" s="148" t="s">
        <v>30</v>
      </c>
      <c r="F412" s="148" t="s">
        <v>91</v>
      </c>
      <c r="G412" s="148" t="s">
        <v>280</v>
      </c>
      <c r="H412" s="148">
        <v>2004</v>
      </c>
      <c r="I412" s="148">
        <v>11</v>
      </c>
      <c r="J412" s="148" t="s">
        <v>150</v>
      </c>
      <c r="K412" s="148" t="s">
        <v>374</v>
      </c>
      <c r="M412" s="148" t="s">
        <v>464</v>
      </c>
      <c r="N412" s="148">
        <v>8</v>
      </c>
      <c r="O412" s="148" t="s">
        <v>83</v>
      </c>
      <c r="Y412" s="150" t="s">
        <v>366</v>
      </c>
      <c r="Z412" s="148" t="s">
        <v>465</v>
      </c>
    </row>
    <row r="413" spans="1:26" ht="15.75" hidden="1" customHeight="1" x14ac:dyDescent="0.25">
      <c r="A413" s="148" t="s">
        <v>76</v>
      </c>
      <c r="B413" s="148" t="s">
        <v>71</v>
      </c>
      <c r="C413" s="148" t="s">
        <v>45</v>
      </c>
      <c r="D413" s="148" t="s">
        <v>29</v>
      </c>
      <c r="E413" s="148" t="s">
        <v>72</v>
      </c>
      <c r="F413" s="148" t="s">
        <v>3183</v>
      </c>
      <c r="G413" s="148" t="s">
        <v>73</v>
      </c>
      <c r="H413" s="148">
        <v>2004</v>
      </c>
      <c r="I413" s="148">
        <v>12</v>
      </c>
      <c r="J413" s="148" t="s">
        <v>118</v>
      </c>
      <c r="K413" s="148" t="s">
        <v>525</v>
      </c>
      <c r="M413" s="148" t="s">
        <v>368</v>
      </c>
      <c r="N413" s="148">
        <v>8</v>
      </c>
      <c r="O413" s="148" t="s">
        <v>101</v>
      </c>
      <c r="P413" s="148" t="s">
        <v>537</v>
      </c>
      <c r="Y413" s="150" t="s">
        <v>538</v>
      </c>
    </row>
    <row r="414" spans="1:26" ht="13.5" hidden="1" customHeight="1" x14ac:dyDescent="0.25">
      <c r="A414" s="148" t="s">
        <v>76</v>
      </c>
      <c r="B414" s="148" t="s">
        <v>198</v>
      </c>
      <c r="C414" s="148" t="s">
        <v>45</v>
      </c>
      <c r="D414" s="148" t="s">
        <v>29</v>
      </c>
      <c r="E414" s="148" t="s">
        <v>30</v>
      </c>
      <c r="F414" s="148" t="s">
        <v>199</v>
      </c>
      <c r="G414" s="148" t="s">
        <v>241</v>
      </c>
      <c r="H414" s="148">
        <v>2004</v>
      </c>
      <c r="I414" s="148">
        <v>12</v>
      </c>
      <c r="J414" s="148" t="s">
        <v>118</v>
      </c>
      <c r="K414" s="148" t="s">
        <v>388</v>
      </c>
      <c r="M414" s="148" t="s">
        <v>126</v>
      </c>
      <c r="N414" s="148">
        <v>10</v>
      </c>
      <c r="O414" s="148" t="s">
        <v>101</v>
      </c>
      <c r="P414" s="148" t="s">
        <v>539</v>
      </c>
      <c r="Y414" s="150" t="s">
        <v>366</v>
      </c>
    </row>
    <row r="415" spans="1:26" ht="15.75" hidden="1" customHeight="1" x14ac:dyDescent="0.25">
      <c r="A415" s="148" t="s">
        <v>76</v>
      </c>
      <c r="B415" s="148" t="s">
        <v>27</v>
      </c>
      <c r="C415" s="148" t="s">
        <v>28</v>
      </c>
      <c r="D415" s="148" t="s">
        <v>158</v>
      </c>
      <c r="E415" s="148" t="s">
        <v>30</v>
      </c>
      <c r="F415" s="148" t="s">
        <v>3183</v>
      </c>
      <c r="G415" s="148" t="s">
        <v>53</v>
      </c>
      <c r="H415" s="148">
        <v>2004</v>
      </c>
      <c r="I415" s="148">
        <v>12</v>
      </c>
      <c r="J415" s="148" t="s">
        <v>118</v>
      </c>
      <c r="K415" s="148" t="s">
        <v>172</v>
      </c>
      <c r="M415" s="148" t="s">
        <v>346</v>
      </c>
      <c r="N415" s="148">
        <v>10</v>
      </c>
      <c r="O415" s="148" t="s">
        <v>101</v>
      </c>
      <c r="P415" s="148" t="s">
        <v>540</v>
      </c>
      <c r="Y415" s="150" t="s">
        <v>366</v>
      </c>
    </row>
    <row r="416" spans="1:26" ht="15.75" hidden="1" customHeight="1" x14ac:dyDescent="0.25">
      <c r="A416" s="148" t="s">
        <v>76</v>
      </c>
      <c r="B416" s="148" t="s">
        <v>36</v>
      </c>
      <c r="C416" s="148" t="s">
        <v>28</v>
      </c>
      <c r="D416" s="148" t="s">
        <v>29</v>
      </c>
      <c r="E416" s="148" t="s">
        <v>30</v>
      </c>
      <c r="F416" s="148" t="s">
        <v>3183</v>
      </c>
      <c r="G416" s="148" t="s">
        <v>242</v>
      </c>
      <c r="H416" s="148">
        <v>2004</v>
      </c>
      <c r="I416" s="148">
        <v>12</v>
      </c>
      <c r="J416" s="148" t="s">
        <v>150</v>
      </c>
      <c r="K416" s="148" t="s">
        <v>374</v>
      </c>
      <c r="M416" s="148" t="s">
        <v>464</v>
      </c>
      <c r="N416" s="148">
        <v>8</v>
      </c>
      <c r="O416" s="148" t="s">
        <v>83</v>
      </c>
      <c r="Y416" s="150" t="s">
        <v>366</v>
      </c>
      <c r="Z416" s="148" t="s">
        <v>465</v>
      </c>
    </row>
    <row r="417" spans="1:26" ht="15.75" hidden="1" customHeight="1" x14ac:dyDescent="0.25">
      <c r="A417" s="148" t="s">
        <v>76</v>
      </c>
      <c r="B417" s="148" t="s">
        <v>36</v>
      </c>
      <c r="C417" s="148" t="s">
        <v>28</v>
      </c>
      <c r="D417" s="148" t="s">
        <v>29</v>
      </c>
      <c r="E417" s="148" t="s">
        <v>30</v>
      </c>
      <c r="F417" s="148" t="s">
        <v>3183</v>
      </c>
      <c r="G417" s="148" t="s">
        <v>37</v>
      </c>
      <c r="H417" s="148">
        <v>2004</v>
      </c>
      <c r="I417" s="148">
        <v>12</v>
      </c>
      <c r="J417" s="148" t="s">
        <v>150</v>
      </c>
      <c r="K417" s="148" t="s">
        <v>119</v>
      </c>
      <c r="M417" s="148" t="s">
        <v>120</v>
      </c>
      <c r="N417" s="148">
        <v>6</v>
      </c>
      <c r="O417" s="148" t="s">
        <v>83</v>
      </c>
      <c r="Y417" s="150" t="s">
        <v>366</v>
      </c>
    </row>
    <row r="418" spans="1:26" ht="15.75" hidden="1" customHeight="1" x14ac:dyDescent="0.25">
      <c r="A418" s="148" t="s">
        <v>76</v>
      </c>
      <c r="B418" s="148" t="s">
        <v>54</v>
      </c>
      <c r="C418" s="148" t="s">
        <v>55</v>
      </c>
      <c r="D418" s="148" t="s">
        <v>65</v>
      </c>
      <c r="E418" s="148" t="s">
        <v>30</v>
      </c>
      <c r="F418" s="148" t="s">
        <v>56</v>
      </c>
      <c r="G418" s="148" t="s">
        <v>54</v>
      </c>
      <c r="H418" s="148">
        <v>2004</v>
      </c>
      <c r="I418" s="148">
        <v>12</v>
      </c>
      <c r="J418" s="148" t="s">
        <v>118</v>
      </c>
      <c r="K418" s="148" t="s">
        <v>172</v>
      </c>
      <c r="M418" s="148" t="s">
        <v>346</v>
      </c>
      <c r="N418" s="148">
        <v>10</v>
      </c>
      <c r="O418" s="148" t="s">
        <v>101</v>
      </c>
      <c r="P418" s="148" t="s">
        <v>146</v>
      </c>
      <c r="Y418" s="150" t="s">
        <v>366</v>
      </c>
    </row>
    <row r="419" spans="1:26" ht="15.75" hidden="1" customHeight="1" x14ac:dyDescent="0.25">
      <c r="A419" s="148" t="s">
        <v>76</v>
      </c>
      <c r="B419" s="148" t="s">
        <v>36</v>
      </c>
      <c r="C419" s="148" t="s">
        <v>28</v>
      </c>
      <c r="D419" s="148" t="s">
        <v>29</v>
      </c>
      <c r="E419" s="148" t="s">
        <v>51</v>
      </c>
      <c r="F419" s="148" t="s">
        <v>3183</v>
      </c>
      <c r="G419" s="148" t="s">
        <v>52</v>
      </c>
      <c r="H419" s="148">
        <v>2004</v>
      </c>
      <c r="I419" s="148">
        <v>12</v>
      </c>
      <c r="J419" s="148" t="s">
        <v>150</v>
      </c>
      <c r="K419" s="148" t="s">
        <v>374</v>
      </c>
      <c r="M419" s="148" t="s">
        <v>464</v>
      </c>
      <c r="N419" s="148">
        <v>8</v>
      </c>
      <c r="O419" s="148" t="s">
        <v>83</v>
      </c>
      <c r="Y419" s="150" t="s">
        <v>366</v>
      </c>
      <c r="Z419" s="148" t="s">
        <v>465</v>
      </c>
    </row>
    <row r="420" spans="1:26" ht="13.5" hidden="1" customHeight="1" x14ac:dyDescent="0.25">
      <c r="A420" s="148" t="s">
        <v>76</v>
      </c>
      <c r="B420" s="148" t="s">
        <v>103</v>
      </c>
      <c r="C420" s="148" t="s">
        <v>55</v>
      </c>
      <c r="D420" s="148" t="s">
        <v>29</v>
      </c>
      <c r="E420" s="148" t="s">
        <v>95</v>
      </c>
      <c r="F420" s="148" t="s">
        <v>56</v>
      </c>
      <c r="G420" s="148" t="s">
        <v>186</v>
      </c>
      <c r="H420" s="148">
        <v>2004</v>
      </c>
      <c r="I420" s="148">
        <v>12</v>
      </c>
      <c r="J420" s="148" t="s">
        <v>118</v>
      </c>
      <c r="K420" s="148" t="s">
        <v>541</v>
      </c>
      <c r="M420" s="148" t="s">
        <v>120</v>
      </c>
      <c r="N420" s="148">
        <v>8</v>
      </c>
      <c r="O420" s="148" t="s">
        <v>101</v>
      </c>
      <c r="P420" s="148" t="s">
        <v>146</v>
      </c>
      <c r="Y420" s="150" t="s">
        <v>366</v>
      </c>
      <c r="Z420" s="148" t="s">
        <v>542</v>
      </c>
    </row>
    <row r="421" spans="1:26" ht="15.75" hidden="1" customHeight="1" x14ac:dyDescent="0.25">
      <c r="A421" s="148" t="s">
        <v>76</v>
      </c>
      <c r="B421" s="148" t="s">
        <v>36</v>
      </c>
      <c r="C421" s="148" t="s">
        <v>28</v>
      </c>
      <c r="D421" s="148" t="s">
        <v>29</v>
      </c>
      <c r="E421" s="148" t="s">
        <v>30</v>
      </c>
      <c r="F421" s="148" t="s">
        <v>3183</v>
      </c>
      <c r="G421" s="148" t="s">
        <v>114</v>
      </c>
      <c r="H421" s="148">
        <v>2004</v>
      </c>
      <c r="I421" s="148">
        <v>12</v>
      </c>
      <c r="J421" s="148" t="s">
        <v>150</v>
      </c>
      <c r="K421" s="148" t="s">
        <v>374</v>
      </c>
      <c r="M421" s="148" t="s">
        <v>464</v>
      </c>
      <c r="N421" s="148">
        <v>8</v>
      </c>
      <c r="O421" s="148" t="s">
        <v>83</v>
      </c>
      <c r="Y421" s="150" t="s">
        <v>366</v>
      </c>
      <c r="Z421" s="148" t="s">
        <v>543</v>
      </c>
    </row>
    <row r="422" spans="1:26" ht="15.75" hidden="1" customHeight="1" x14ac:dyDescent="0.25">
      <c r="A422" s="148" t="s">
        <v>76</v>
      </c>
      <c r="B422" s="148" t="s">
        <v>198</v>
      </c>
      <c r="C422" s="148" t="s">
        <v>45</v>
      </c>
      <c r="D422" s="148" t="s">
        <v>29</v>
      </c>
      <c r="E422" s="148" t="s">
        <v>30</v>
      </c>
      <c r="F422" s="148" t="s">
        <v>199</v>
      </c>
      <c r="G422" s="148" t="s">
        <v>214</v>
      </c>
      <c r="H422" s="148">
        <v>2005</v>
      </c>
      <c r="I422" s="148">
        <v>1</v>
      </c>
      <c r="J422" s="148" t="s">
        <v>118</v>
      </c>
      <c r="K422" s="148" t="s">
        <v>172</v>
      </c>
      <c r="M422" s="148" t="s">
        <v>346</v>
      </c>
      <c r="N422" s="148">
        <v>10</v>
      </c>
      <c r="O422" s="148" t="s">
        <v>101</v>
      </c>
      <c r="P422" s="148" t="s">
        <v>535</v>
      </c>
      <c r="Y422" s="150" t="s">
        <v>366</v>
      </c>
    </row>
    <row r="423" spans="1:26" ht="15.75" hidden="1" customHeight="1" x14ac:dyDescent="0.25">
      <c r="A423" s="148" t="s">
        <v>76</v>
      </c>
      <c r="B423" s="148" t="s">
        <v>27</v>
      </c>
      <c r="C423" s="148" t="s">
        <v>28</v>
      </c>
      <c r="D423" s="148" t="s">
        <v>99</v>
      </c>
      <c r="E423" s="148" t="s">
        <v>40</v>
      </c>
      <c r="F423" s="148" t="s">
        <v>41</v>
      </c>
      <c r="G423" s="148" t="s">
        <v>42</v>
      </c>
      <c r="H423" s="148">
        <v>2005</v>
      </c>
      <c r="I423" s="148">
        <v>1</v>
      </c>
      <c r="J423" s="148" t="s">
        <v>118</v>
      </c>
      <c r="K423" s="148" t="s">
        <v>172</v>
      </c>
      <c r="M423" s="148" t="s">
        <v>346</v>
      </c>
      <c r="N423" s="148">
        <v>10</v>
      </c>
      <c r="O423" s="148" t="s">
        <v>101</v>
      </c>
      <c r="P423" s="148" t="s">
        <v>146</v>
      </c>
      <c r="Y423" s="150" t="s">
        <v>366</v>
      </c>
    </row>
    <row r="424" spans="1:26" ht="15.75" hidden="1" customHeight="1" x14ac:dyDescent="0.25">
      <c r="A424" s="148" t="s">
        <v>76</v>
      </c>
      <c r="B424" s="148" t="s">
        <v>44</v>
      </c>
      <c r="C424" s="148" t="s">
        <v>45</v>
      </c>
      <c r="D424" s="148" t="s">
        <v>29</v>
      </c>
      <c r="E424" s="148" t="s">
        <v>46</v>
      </c>
      <c r="F424" s="148" t="s">
        <v>47</v>
      </c>
      <c r="G424" s="148" t="s">
        <v>48</v>
      </c>
      <c r="H424" s="148">
        <v>2005</v>
      </c>
      <c r="I424" s="148">
        <v>1</v>
      </c>
      <c r="J424" s="148" t="s">
        <v>118</v>
      </c>
      <c r="K424" s="148" t="s">
        <v>172</v>
      </c>
      <c r="M424" s="148" t="s">
        <v>346</v>
      </c>
      <c r="N424" s="148">
        <v>10</v>
      </c>
      <c r="O424" s="148" t="s">
        <v>101</v>
      </c>
      <c r="P424" s="148" t="s">
        <v>544</v>
      </c>
      <c r="Y424" s="150" t="s">
        <v>366</v>
      </c>
    </row>
    <row r="425" spans="1:26" ht="15.75" hidden="1" customHeight="1" x14ac:dyDescent="0.25">
      <c r="A425" s="148" t="s">
        <v>76</v>
      </c>
      <c r="B425" s="148" t="s">
        <v>103</v>
      </c>
      <c r="C425" s="148" t="s">
        <v>55</v>
      </c>
      <c r="D425" s="148" t="s">
        <v>478</v>
      </c>
      <c r="E425" s="148" t="s">
        <v>95</v>
      </c>
      <c r="F425" s="148" t="s">
        <v>56</v>
      </c>
      <c r="G425" s="148" t="s">
        <v>107</v>
      </c>
      <c r="H425" s="148">
        <v>2005</v>
      </c>
      <c r="I425" s="148">
        <v>2</v>
      </c>
      <c r="J425" s="148" t="s">
        <v>118</v>
      </c>
      <c r="K425" s="148" t="s">
        <v>172</v>
      </c>
      <c r="M425" s="148" t="s">
        <v>346</v>
      </c>
      <c r="N425" s="148">
        <v>10</v>
      </c>
      <c r="O425" s="148" t="s">
        <v>101</v>
      </c>
      <c r="P425" s="148" t="s">
        <v>545</v>
      </c>
      <c r="Y425" s="150" t="s">
        <v>366</v>
      </c>
    </row>
    <row r="426" spans="1:26" ht="15.75" hidden="1" customHeight="1" x14ac:dyDescent="0.25">
      <c r="A426" s="148" t="s">
        <v>76</v>
      </c>
      <c r="B426" s="148" t="s">
        <v>103</v>
      </c>
      <c r="C426" s="148" t="s">
        <v>55</v>
      </c>
      <c r="D426" s="148" t="s">
        <v>99</v>
      </c>
      <c r="E426" s="148" t="s">
        <v>30</v>
      </c>
      <c r="F426" s="148" t="s">
        <v>56</v>
      </c>
      <c r="G426" s="148" t="s">
        <v>171</v>
      </c>
      <c r="H426" s="148">
        <v>2005</v>
      </c>
      <c r="I426" s="148">
        <v>3</v>
      </c>
      <c r="J426" s="148" t="s">
        <v>118</v>
      </c>
      <c r="K426" s="148" t="s">
        <v>172</v>
      </c>
      <c r="M426" s="148" t="s">
        <v>346</v>
      </c>
      <c r="N426" s="148">
        <v>10</v>
      </c>
      <c r="O426" s="148" t="s">
        <v>101</v>
      </c>
      <c r="P426" s="148" t="s">
        <v>537</v>
      </c>
      <c r="Y426" s="150" t="s">
        <v>366</v>
      </c>
    </row>
    <row r="427" spans="1:26" ht="15.75" hidden="1" customHeight="1" x14ac:dyDescent="0.25">
      <c r="A427" s="148" t="s">
        <v>76</v>
      </c>
      <c r="B427" s="148" t="s">
        <v>198</v>
      </c>
      <c r="C427" s="148" t="s">
        <v>45</v>
      </c>
      <c r="D427" s="148" t="s">
        <v>478</v>
      </c>
      <c r="E427" s="148" t="s">
        <v>30</v>
      </c>
      <c r="F427" s="148" t="s">
        <v>199</v>
      </c>
      <c r="G427" s="148" t="s">
        <v>208</v>
      </c>
      <c r="H427" s="148">
        <v>2005</v>
      </c>
      <c r="I427" s="148">
        <v>3</v>
      </c>
      <c r="J427" s="148" t="s">
        <v>150</v>
      </c>
      <c r="K427" s="148" t="s">
        <v>525</v>
      </c>
      <c r="M427" s="148" t="s">
        <v>368</v>
      </c>
      <c r="N427" s="148">
        <v>6</v>
      </c>
      <c r="O427" s="148" t="s">
        <v>83</v>
      </c>
      <c r="Y427" s="150" t="s">
        <v>366</v>
      </c>
    </row>
    <row r="428" spans="1:26" ht="15.75" hidden="1" customHeight="1" x14ac:dyDescent="0.25">
      <c r="A428" s="148" t="s">
        <v>76</v>
      </c>
      <c r="B428" s="148" t="s">
        <v>198</v>
      </c>
      <c r="C428" s="148" t="s">
        <v>45</v>
      </c>
      <c r="D428" s="148" t="s">
        <v>29</v>
      </c>
      <c r="E428" s="148" t="s">
        <v>30</v>
      </c>
      <c r="F428" s="148" t="s">
        <v>199</v>
      </c>
      <c r="G428" s="148" t="s">
        <v>232</v>
      </c>
      <c r="H428" s="148">
        <v>2005</v>
      </c>
      <c r="I428" s="148">
        <v>3</v>
      </c>
      <c r="J428" s="148" t="s">
        <v>150</v>
      </c>
      <c r="K428" s="148" t="s">
        <v>546</v>
      </c>
      <c r="M428" s="148" t="s">
        <v>547</v>
      </c>
      <c r="N428" s="148">
        <v>6</v>
      </c>
      <c r="O428" s="148" t="s">
        <v>83</v>
      </c>
      <c r="Y428" s="150" t="s">
        <v>366</v>
      </c>
    </row>
    <row r="429" spans="1:26" ht="15.75" hidden="1" customHeight="1" x14ac:dyDescent="0.25">
      <c r="A429" s="148" t="s">
        <v>76</v>
      </c>
      <c r="B429" s="148" t="s">
        <v>103</v>
      </c>
      <c r="C429" s="148" t="s">
        <v>55</v>
      </c>
      <c r="D429" s="148" t="s">
        <v>478</v>
      </c>
      <c r="E429" s="148" t="s">
        <v>95</v>
      </c>
      <c r="F429" s="148" t="s">
        <v>56</v>
      </c>
      <c r="G429" s="148" t="s">
        <v>107</v>
      </c>
      <c r="H429" s="148">
        <v>2005</v>
      </c>
      <c r="I429" s="148">
        <v>3</v>
      </c>
      <c r="J429" s="148" t="s">
        <v>118</v>
      </c>
      <c r="K429" s="148" t="s">
        <v>172</v>
      </c>
      <c r="M429" s="148" t="s">
        <v>346</v>
      </c>
      <c r="N429" s="148">
        <v>10</v>
      </c>
      <c r="O429" s="148" t="s">
        <v>101</v>
      </c>
      <c r="P429" s="148" t="s">
        <v>548</v>
      </c>
      <c r="Y429" s="150" t="s">
        <v>366</v>
      </c>
    </row>
    <row r="430" spans="1:26" ht="15.75" hidden="1" customHeight="1" x14ac:dyDescent="0.25">
      <c r="A430" s="148" t="s">
        <v>76</v>
      </c>
      <c r="B430" s="148" t="s">
        <v>62</v>
      </c>
      <c r="C430" s="148" t="s">
        <v>28</v>
      </c>
      <c r="D430" s="148" t="s">
        <v>408</v>
      </c>
      <c r="E430" s="148" t="s">
        <v>51</v>
      </c>
      <c r="F430" s="148" t="s">
        <v>3183</v>
      </c>
      <c r="G430" s="148" t="s">
        <v>409</v>
      </c>
      <c r="H430" s="148">
        <v>2005</v>
      </c>
      <c r="I430" s="148">
        <v>3</v>
      </c>
      <c r="J430" s="148" t="s">
        <v>118</v>
      </c>
      <c r="K430" s="148" t="s">
        <v>119</v>
      </c>
      <c r="M430" s="148" t="s">
        <v>120</v>
      </c>
      <c r="N430" s="148">
        <v>6</v>
      </c>
      <c r="O430" s="148" t="s">
        <v>101</v>
      </c>
      <c r="P430" s="148" t="s">
        <v>549</v>
      </c>
      <c r="Y430" s="150" t="s">
        <v>366</v>
      </c>
    </row>
    <row r="431" spans="1:26" ht="15.75" hidden="1" customHeight="1" x14ac:dyDescent="0.25">
      <c r="A431" s="148" t="s">
        <v>76</v>
      </c>
      <c r="B431" s="148" t="s">
        <v>77</v>
      </c>
      <c r="C431" s="148" t="s">
        <v>55</v>
      </c>
      <c r="D431" s="148" t="s">
        <v>29</v>
      </c>
      <c r="E431" s="148" t="s">
        <v>30</v>
      </c>
      <c r="F431" s="148" t="s">
        <v>41</v>
      </c>
      <c r="G431" s="148" t="s">
        <v>161</v>
      </c>
      <c r="H431" s="148">
        <v>2005</v>
      </c>
      <c r="I431" s="148">
        <v>3</v>
      </c>
      <c r="J431" s="148" t="s">
        <v>118</v>
      </c>
      <c r="K431" s="148" t="s">
        <v>119</v>
      </c>
      <c r="M431" s="148" t="s">
        <v>120</v>
      </c>
      <c r="N431" s="148">
        <v>6</v>
      </c>
      <c r="O431" s="148" t="s">
        <v>101</v>
      </c>
      <c r="P431" s="148" t="s">
        <v>146</v>
      </c>
      <c r="Y431" s="150" t="s">
        <v>366</v>
      </c>
    </row>
    <row r="432" spans="1:26" ht="15.75" hidden="1" customHeight="1" x14ac:dyDescent="0.25">
      <c r="A432" s="148" t="s">
        <v>76</v>
      </c>
      <c r="B432" s="148" t="s">
        <v>89</v>
      </c>
      <c r="C432" s="148" t="s">
        <v>90</v>
      </c>
      <c r="D432" s="148" t="s">
        <v>29</v>
      </c>
      <c r="E432" s="148" t="s">
        <v>30</v>
      </c>
      <c r="F432" s="148" t="s">
        <v>91</v>
      </c>
      <c r="G432" s="148" t="s">
        <v>550</v>
      </c>
      <c r="H432" s="148">
        <v>2005</v>
      </c>
      <c r="I432" s="148">
        <v>3</v>
      </c>
      <c r="J432" s="148" t="s">
        <v>118</v>
      </c>
      <c r="K432" s="148" t="s">
        <v>172</v>
      </c>
      <c r="M432" s="148" t="s">
        <v>346</v>
      </c>
      <c r="N432" s="148">
        <v>10</v>
      </c>
      <c r="O432" s="148" t="s">
        <v>101</v>
      </c>
      <c r="P432" s="148" t="s">
        <v>551</v>
      </c>
      <c r="Y432" s="150" t="s">
        <v>366</v>
      </c>
    </row>
    <row r="433" spans="1:26" ht="15.75" hidden="1" customHeight="1" x14ac:dyDescent="0.25">
      <c r="A433" s="148" t="s">
        <v>76</v>
      </c>
      <c r="B433" s="148" t="s">
        <v>89</v>
      </c>
      <c r="C433" s="148" t="s">
        <v>90</v>
      </c>
      <c r="D433" s="148" t="s">
        <v>29</v>
      </c>
      <c r="E433" s="148" t="s">
        <v>30</v>
      </c>
      <c r="F433" s="148" t="s">
        <v>91</v>
      </c>
      <c r="G433" s="148" t="s">
        <v>552</v>
      </c>
      <c r="H433" s="148">
        <v>2005</v>
      </c>
      <c r="I433" s="148">
        <v>3</v>
      </c>
      <c r="J433" s="148" t="s">
        <v>118</v>
      </c>
      <c r="K433" s="148" t="s">
        <v>172</v>
      </c>
      <c r="M433" s="148" t="s">
        <v>346</v>
      </c>
      <c r="N433" s="148">
        <v>8</v>
      </c>
      <c r="O433" s="148" t="s">
        <v>101</v>
      </c>
      <c r="P433" s="148" t="s">
        <v>146</v>
      </c>
      <c r="Y433" s="150" t="s">
        <v>553</v>
      </c>
    </row>
    <row r="434" spans="1:26" ht="15.75" hidden="1" customHeight="1" x14ac:dyDescent="0.25">
      <c r="A434" s="148" t="s">
        <v>76</v>
      </c>
      <c r="B434" s="148" t="s">
        <v>54</v>
      </c>
      <c r="C434" s="148" t="s">
        <v>55</v>
      </c>
      <c r="D434" s="148" t="s">
        <v>65</v>
      </c>
      <c r="E434" s="148" t="s">
        <v>30</v>
      </c>
      <c r="F434" s="148" t="s">
        <v>56</v>
      </c>
      <c r="G434" s="148" t="s">
        <v>54</v>
      </c>
      <c r="H434" s="148">
        <v>2005</v>
      </c>
      <c r="I434" s="148">
        <v>3</v>
      </c>
      <c r="J434" s="148" t="s">
        <v>118</v>
      </c>
      <c r="K434" s="148" t="s">
        <v>172</v>
      </c>
      <c r="M434" s="148" t="s">
        <v>346</v>
      </c>
      <c r="N434" s="148">
        <v>10</v>
      </c>
      <c r="O434" s="148" t="s">
        <v>101</v>
      </c>
      <c r="P434" s="148" t="s">
        <v>435</v>
      </c>
      <c r="Y434" s="150" t="s">
        <v>366</v>
      </c>
    </row>
    <row r="435" spans="1:26" ht="15.75" hidden="1" customHeight="1" x14ac:dyDescent="0.25">
      <c r="A435" s="148" t="s">
        <v>76</v>
      </c>
      <c r="B435" s="148" t="s">
        <v>62</v>
      </c>
      <c r="C435" s="148" t="s">
        <v>28</v>
      </c>
      <c r="D435" s="148" t="s">
        <v>158</v>
      </c>
      <c r="E435" s="148" t="s">
        <v>51</v>
      </c>
      <c r="F435" s="148" t="s">
        <v>3183</v>
      </c>
      <c r="G435" s="148" t="s">
        <v>130</v>
      </c>
      <c r="H435" s="148">
        <v>2005</v>
      </c>
      <c r="I435" s="148">
        <v>3</v>
      </c>
      <c r="J435" s="148" t="s">
        <v>118</v>
      </c>
      <c r="K435" s="148" t="s">
        <v>172</v>
      </c>
      <c r="M435" s="148" t="s">
        <v>346</v>
      </c>
      <c r="N435" s="148">
        <v>10</v>
      </c>
      <c r="O435" s="148" t="s">
        <v>101</v>
      </c>
      <c r="P435" s="148" t="s">
        <v>146</v>
      </c>
      <c r="Y435" s="150" t="s">
        <v>366</v>
      </c>
    </row>
    <row r="436" spans="1:26" ht="15.75" hidden="1" customHeight="1" x14ac:dyDescent="0.25">
      <c r="A436" s="148" t="s">
        <v>76</v>
      </c>
      <c r="B436" s="148" t="s">
        <v>103</v>
      </c>
      <c r="C436" s="148" t="s">
        <v>55</v>
      </c>
      <c r="D436" s="148" t="s">
        <v>478</v>
      </c>
      <c r="E436" s="148" t="s">
        <v>95</v>
      </c>
      <c r="F436" s="148" t="s">
        <v>56</v>
      </c>
      <c r="G436" s="148" t="s">
        <v>338</v>
      </c>
      <c r="H436" s="148">
        <v>2005</v>
      </c>
      <c r="I436" s="148">
        <v>3</v>
      </c>
      <c r="J436" s="148" t="s">
        <v>150</v>
      </c>
      <c r="K436" s="148" t="s">
        <v>525</v>
      </c>
      <c r="M436" s="148" t="s">
        <v>368</v>
      </c>
      <c r="N436" s="148">
        <v>6</v>
      </c>
      <c r="O436" s="148" t="s">
        <v>83</v>
      </c>
      <c r="Y436" s="150" t="s">
        <v>366</v>
      </c>
    </row>
    <row r="437" spans="1:26" ht="15.75" hidden="1" customHeight="1" x14ac:dyDescent="0.25">
      <c r="A437" s="148" t="s">
        <v>76</v>
      </c>
      <c r="B437" s="148" t="s">
        <v>103</v>
      </c>
      <c r="C437" s="148" t="s">
        <v>55</v>
      </c>
      <c r="D437" s="148" t="s">
        <v>29</v>
      </c>
      <c r="E437" s="148" t="s">
        <v>30</v>
      </c>
      <c r="F437" s="148" t="s">
        <v>56</v>
      </c>
      <c r="G437" s="148" t="s">
        <v>432</v>
      </c>
      <c r="H437" s="148">
        <v>2005</v>
      </c>
      <c r="I437" s="148">
        <v>3</v>
      </c>
      <c r="J437" s="148" t="s">
        <v>150</v>
      </c>
      <c r="K437" s="148" t="s">
        <v>525</v>
      </c>
      <c r="M437" s="148" t="s">
        <v>554</v>
      </c>
      <c r="N437" s="148">
        <v>8</v>
      </c>
      <c r="O437" s="148" t="s">
        <v>83</v>
      </c>
      <c r="Y437" s="150" t="s">
        <v>366</v>
      </c>
    </row>
    <row r="438" spans="1:26" ht="15.75" hidden="1" customHeight="1" x14ac:dyDescent="0.25">
      <c r="A438" s="148" t="s">
        <v>76</v>
      </c>
      <c r="B438" s="148" t="s">
        <v>198</v>
      </c>
      <c r="C438" s="148" t="s">
        <v>45</v>
      </c>
      <c r="D438" s="148" t="s">
        <v>29</v>
      </c>
      <c r="E438" s="148" t="s">
        <v>30</v>
      </c>
      <c r="F438" s="148" t="s">
        <v>199</v>
      </c>
      <c r="G438" s="148" t="s">
        <v>205</v>
      </c>
      <c r="H438" s="148">
        <v>2005</v>
      </c>
      <c r="I438" s="148">
        <v>4</v>
      </c>
      <c r="J438" s="148" t="s">
        <v>150</v>
      </c>
      <c r="K438" s="148" t="s">
        <v>555</v>
      </c>
      <c r="M438" s="148" t="s">
        <v>246</v>
      </c>
      <c r="N438" s="148">
        <v>6</v>
      </c>
      <c r="O438" s="148" t="s">
        <v>83</v>
      </c>
      <c r="Y438" s="150" t="s">
        <v>366</v>
      </c>
    </row>
    <row r="439" spans="1:26" ht="15.75" hidden="1" customHeight="1" x14ac:dyDescent="0.25">
      <c r="A439" s="148" t="s">
        <v>76</v>
      </c>
      <c r="B439" s="148" t="s">
        <v>198</v>
      </c>
      <c r="C439" s="148" t="s">
        <v>45</v>
      </c>
      <c r="D439" s="148" t="s">
        <v>478</v>
      </c>
      <c r="E439" s="148" t="s">
        <v>30</v>
      </c>
      <c r="F439" s="148" t="s">
        <v>199</v>
      </c>
      <c r="G439" s="148" t="s">
        <v>208</v>
      </c>
      <c r="H439" s="148">
        <v>2005</v>
      </c>
      <c r="I439" s="148">
        <v>4</v>
      </c>
      <c r="J439" s="148" t="s">
        <v>118</v>
      </c>
      <c r="K439" s="148" t="s">
        <v>172</v>
      </c>
      <c r="M439" s="148" t="s">
        <v>346</v>
      </c>
      <c r="N439" s="148">
        <v>10</v>
      </c>
      <c r="O439" s="148" t="s">
        <v>101</v>
      </c>
      <c r="P439" s="148" t="s">
        <v>206</v>
      </c>
      <c r="Y439" s="150" t="s">
        <v>366</v>
      </c>
    </row>
    <row r="440" spans="1:26" ht="15.75" hidden="1" customHeight="1" x14ac:dyDescent="0.25">
      <c r="A440" s="148" t="s">
        <v>76</v>
      </c>
      <c r="B440" s="148" t="s">
        <v>198</v>
      </c>
      <c r="C440" s="148" t="s">
        <v>45</v>
      </c>
      <c r="D440" s="148" t="s">
        <v>29</v>
      </c>
      <c r="E440" s="148" t="s">
        <v>30</v>
      </c>
      <c r="F440" s="148" t="s">
        <v>199</v>
      </c>
      <c r="G440" s="148" t="s">
        <v>232</v>
      </c>
      <c r="H440" s="148">
        <v>2005</v>
      </c>
      <c r="I440" s="148">
        <v>4</v>
      </c>
      <c r="J440" s="148" t="s">
        <v>118</v>
      </c>
      <c r="K440" s="148" t="s">
        <v>119</v>
      </c>
      <c r="M440" s="148" t="s">
        <v>120</v>
      </c>
      <c r="N440" s="148">
        <v>8</v>
      </c>
      <c r="O440" s="148" t="s">
        <v>101</v>
      </c>
      <c r="P440" s="148" t="s">
        <v>556</v>
      </c>
      <c r="Y440" s="150" t="s">
        <v>366</v>
      </c>
      <c r="Z440" s="148" t="s">
        <v>557</v>
      </c>
    </row>
    <row r="441" spans="1:26" ht="15.75" hidden="1" customHeight="1" x14ac:dyDescent="0.25">
      <c r="A441" s="148" t="s">
        <v>76</v>
      </c>
      <c r="B441" s="148" t="s">
        <v>103</v>
      </c>
      <c r="C441" s="148" t="s">
        <v>55</v>
      </c>
      <c r="D441" s="148" t="s">
        <v>29</v>
      </c>
      <c r="E441" s="148" t="s">
        <v>95</v>
      </c>
      <c r="F441" s="148" t="s">
        <v>56</v>
      </c>
      <c r="G441" s="148" t="s">
        <v>558</v>
      </c>
      <c r="H441" s="148">
        <v>2005</v>
      </c>
      <c r="I441" s="148">
        <v>4</v>
      </c>
      <c r="J441" s="148" t="s">
        <v>150</v>
      </c>
      <c r="K441" s="148" t="s">
        <v>172</v>
      </c>
      <c r="M441" s="148" t="s">
        <v>346</v>
      </c>
      <c r="N441" s="148">
        <v>10</v>
      </c>
      <c r="O441" s="148" t="s">
        <v>83</v>
      </c>
      <c r="Y441" s="150" t="s">
        <v>366</v>
      </c>
    </row>
    <row r="442" spans="1:26" ht="15.75" hidden="1" customHeight="1" x14ac:dyDescent="0.25">
      <c r="A442" s="148" t="s">
        <v>76</v>
      </c>
      <c r="B442" s="148" t="s">
        <v>116</v>
      </c>
      <c r="C442" s="148" t="s">
        <v>90</v>
      </c>
      <c r="D442" s="148" t="s">
        <v>86</v>
      </c>
      <c r="E442" s="148" t="s">
        <v>40</v>
      </c>
      <c r="F442" s="148" t="s">
        <v>41</v>
      </c>
      <c r="G442" s="148" t="s">
        <v>117</v>
      </c>
      <c r="H442" s="148">
        <v>2005</v>
      </c>
      <c r="I442" s="148">
        <v>4</v>
      </c>
      <c r="J442" s="148" t="s">
        <v>150</v>
      </c>
      <c r="K442" s="148" t="s">
        <v>172</v>
      </c>
      <c r="M442" s="148" t="s">
        <v>346</v>
      </c>
      <c r="N442" s="148">
        <v>10</v>
      </c>
      <c r="O442" s="148" t="s">
        <v>83</v>
      </c>
      <c r="P442" s="148" t="s">
        <v>146</v>
      </c>
      <c r="Y442" s="150" t="s">
        <v>366</v>
      </c>
    </row>
    <row r="443" spans="1:26" ht="15.75" hidden="1" customHeight="1" x14ac:dyDescent="0.25">
      <c r="A443" s="148" t="s">
        <v>76</v>
      </c>
      <c r="B443" s="148" t="s">
        <v>103</v>
      </c>
      <c r="C443" s="148" t="s">
        <v>55</v>
      </c>
      <c r="D443" s="148" t="s">
        <v>29</v>
      </c>
      <c r="E443" s="148" t="s">
        <v>95</v>
      </c>
      <c r="F443" s="148" t="s">
        <v>56</v>
      </c>
      <c r="G443" s="148" t="s">
        <v>153</v>
      </c>
      <c r="H443" s="148">
        <v>2005</v>
      </c>
      <c r="I443" s="148">
        <v>4</v>
      </c>
      <c r="J443" s="148" t="s">
        <v>150</v>
      </c>
      <c r="K443" s="148" t="s">
        <v>289</v>
      </c>
      <c r="M443" s="148" t="s">
        <v>290</v>
      </c>
      <c r="N443" s="148">
        <v>6</v>
      </c>
      <c r="O443" s="148" t="s">
        <v>83</v>
      </c>
      <c r="Y443" s="150" t="s">
        <v>366</v>
      </c>
    </row>
    <row r="444" spans="1:26" ht="15.75" hidden="1" customHeight="1" x14ac:dyDescent="0.25">
      <c r="A444" s="148" t="s">
        <v>76</v>
      </c>
      <c r="B444" s="148" t="s">
        <v>103</v>
      </c>
      <c r="C444" s="148" t="s">
        <v>55</v>
      </c>
      <c r="D444" s="148" t="s">
        <v>478</v>
      </c>
      <c r="E444" s="148" t="s">
        <v>95</v>
      </c>
      <c r="F444" s="148" t="s">
        <v>56</v>
      </c>
      <c r="G444" s="148" t="s">
        <v>107</v>
      </c>
      <c r="H444" s="148">
        <v>2005</v>
      </c>
      <c r="I444" s="148">
        <v>4</v>
      </c>
      <c r="J444" s="148" t="s">
        <v>118</v>
      </c>
      <c r="K444" s="148" t="s">
        <v>388</v>
      </c>
      <c r="M444" s="148" t="s">
        <v>126</v>
      </c>
      <c r="N444" s="148">
        <v>10</v>
      </c>
      <c r="O444" s="148" t="s">
        <v>101</v>
      </c>
      <c r="P444" s="148" t="s">
        <v>156</v>
      </c>
      <c r="Y444" s="150" t="s">
        <v>366</v>
      </c>
    </row>
    <row r="445" spans="1:26" ht="15.75" hidden="1" customHeight="1" x14ac:dyDescent="0.25">
      <c r="A445" s="148" t="s">
        <v>76</v>
      </c>
      <c r="B445" s="148" t="s">
        <v>103</v>
      </c>
      <c r="C445" s="148" t="s">
        <v>55</v>
      </c>
      <c r="D445" s="148" t="s">
        <v>29</v>
      </c>
      <c r="E445" s="148" t="s">
        <v>95</v>
      </c>
      <c r="F445" s="148" t="s">
        <v>56</v>
      </c>
      <c r="G445" s="148" t="s">
        <v>559</v>
      </c>
      <c r="H445" s="148">
        <v>2005</v>
      </c>
      <c r="I445" s="148">
        <v>4</v>
      </c>
      <c r="J445" s="148" t="s">
        <v>150</v>
      </c>
      <c r="K445" s="148" t="s">
        <v>172</v>
      </c>
      <c r="M445" s="148" t="s">
        <v>346</v>
      </c>
      <c r="N445" s="148">
        <v>10</v>
      </c>
      <c r="O445" s="148" t="s">
        <v>83</v>
      </c>
      <c r="P445" s="148" t="s">
        <v>146</v>
      </c>
      <c r="Y445" s="150" t="s">
        <v>366</v>
      </c>
    </row>
    <row r="446" spans="1:26" ht="15.75" hidden="1" customHeight="1" x14ac:dyDescent="0.25">
      <c r="A446" s="148" t="s">
        <v>76</v>
      </c>
      <c r="B446" s="148" t="s">
        <v>62</v>
      </c>
      <c r="C446" s="148" t="s">
        <v>28</v>
      </c>
      <c r="D446" s="148" t="s">
        <v>51</v>
      </c>
      <c r="E446" s="148" t="s">
        <v>30</v>
      </c>
      <c r="F446" s="148" t="s">
        <v>3183</v>
      </c>
      <c r="G446" s="148" t="s">
        <v>63</v>
      </c>
      <c r="H446" s="148">
        <v>2005</v>
      </c>
      <c r="I446" s="148">
        <v>4</v>
      </c>
      <c r="J446" s="148" t="s">
        <v>118</v>
      </c>
      <c r="K446" s="148" t="s">
        <v>379</v>
      </c>
      <c r="M446" s="148" t="s">
        <v>126</v>
      </c>
      <c r="N446" s="148">
        <v>10</v>
      </c>
      <c r="O446" s="148" t="s">
        <v>101</v>
      </c>
      <c r="P446" s="148" t="s">
        <v>560</v>
      </c>
      <c r="Y446" s="150" t="s">
        <v>366</v>
      </c>
    </row>
    <row r="447" spans="1:26" ht="15.75" hidden="1" customHeight="1" x14ac:dyDescent="0.25">
      <c r="A447" s="148" t="s">
        <v>76</v>
      </c>
      <c r="B447" s="148" t="s">
        <v>27</v>
      </c>
      <c r="C447" s="148" t="s">
        <v>28</v>
      </c>
      <c r="D447" s="148" t="s">
        <v>99</v>
      </c>
      <c r="E447" s="148" t="s">
        <v>40</v>
      </c>
      <c r="F447" s="148" t="s">
        <v>41</v>
      </c>
      <c r="G447" s="148" t="s">
        <v>42</v>
      </c>
      <c r="H447" s="148">
        <v>2005</v>
      </c>
      <c r="I447" s="148">
        <v>4</v>
      </c>
      <c r="J447" s="148" t="s">
        <v>118</v>
      </c>
      <c r="K447" s="148" t="s">
        <v>172</v>
      </c>
      <c r="M447" s="148" t="s">
        <v>346</v>
      </c>
      <c r="N447" s="148">
        <v>10</v>
      </c>
      <c r="O447" s="148" t="s">
        <v>101</v>
      </c>
      <c r="P447" s="148" t="s">
        <v>561</v>
      </c>
      <c r="Y447" s="150" t="s">
        <v>366</v>
      </c>
    </row>
    <row r="448" spans="1:26" ht="15.75" hidden="1" customHeight="1" x14ac:dyDescent="0.25">
      <c r="A448" s="148" t="s">
        <v>76</v>
      </c>
      <c r="B448" s="148" t="s">
        <v>103</v>
      </c>
      <c r="C448" s="148" t="s">
        <v>55</v>
      </c>
      <c r="D448" s="148" t="s">
        <v>29</v>
      </c>
      <c r="E448" s="148" t="s">
        <v>95</v>
      </c>
      <c r="F448" s="148" t="s">
        <v>56</v>
      </c>
      <c r="G448" s="148" t="s">
        <v>195</v>
      </c>
      <c r="H448" s="148">
        <v>2005</v>
      </c>
      <c r="I448" s="148">
        <v>4</v>
      </c>
      <c r="J448" s="148" t="s">
        <v>150</v>
      </c>
      <c r="K448" s="148" t="s">
        <v>289</v>
      </c>
      <c r="M448" s="148" t="s">
        <v>290</v>
      </c>
      <c r="N448" s="148">
        <v>6</v>
      </c>
      <c r="O448" s="148" t="s">
        <v>83</v>
      </c>
      <c r="Y448" s="150" t="s">
        <v>366</v>
      </c>
    </row>
    <row r="449" spans="1:25" ht="15.75" hidden="1" customHeight="1" x14ac:dyDescent="0.25">
      <c r="A449" s="148" t="s">
        <v>76</v>
      </c>
      <c r="B449" s="148" t="s">
        <v>89</v>
      </c>
      <c r="C449" s="148" t="s">
        <v>90</v>
      </c>
      <c r="D449" s="148" t="s">
        <v>29</v>
      </c>
      <c r="E449" s="148" t="s">
        <v>30</v>
      </c>
      <c r="F449" s="148" t="s">
        <v>91</v>
      </c>
      <c r="G449" s="148" t="s">
        <v>93</v>
      </c>
      <c r="H449" s="148">
        <v>2005</v>
      </c>
      <c r="I449" s="148">
        <v>4</v>
      </c>
      <c r="J449" s="148" t="s">
        <v>150</v>
      </c>
      <c r="K449" s="148" t="s">
        <v>172</v>
      </c>
      <c r="M449" s="148" t="s">
        <v>346</v>
      </c>
      <c r="N449" s="148">
        <v>10</v>
      </c>
      <c r="O449" s="148" t="s">
        <v>83</v>
      </c>
      <c r="P449" s="148" t="s">
        <v>146</v>
      </c>
      <c r="Y449" s="150" t="s">
        <v>366</v>
      </c>
    </row>
    <row r="450" spans="1:25" ht="15.75" hidden="1" customHeight="1" x14ac:dyDescent="0.25">
      <c r="A450" s="148" t="s">
        <v>76</v>
      </c>
      <c r="B450" s="148" t="s">
        <v>103</v>
      </c>
      <c r="C450" s="148" t="s">
        <v>55</v>
      </c>
      <c r="D450" s="148" t="s">
        <v>29</v>
      </c>
      <c r="E450" s="148" t="s">
        <v>95</v>
      </c>
      <c r="F450" s="148" t="s">
        <v>56</v>
      </c>
      <c r="G450" s="148" t="s">
        <v>186</v>
      </c>
      <c r="H450" s="148">
        <v>2005</v>
      </c>
      <c r="I450" s="148">
        <v>4</v>
      </c>
      <c r="J450" s="148" t="s">
        <v>118</v>
      </c>
      <c r="K450" s="148" t="s">
        <v>327</v>
      </c>
      <c r="M450" s="148" t="s">
        <v>132</v>
      </c>
      <c r="N450" s="148">
        <v>8</v>
      </c>
      <c r="O450" s="148" t="s">
        <v>101</v>
      </c>
      <c r="P450" s="148" t="s">
        <v>537</v>
      </c>
      <c r="Y450" s="150" t="s">
        <v>366</v>
      </c>
    </row>
    <row r="451" spans="1:25" ht="15.75" hidden="1" customHeight="1" x14ac:dyDescent="0.25">
      <c r="A451" s="148" t="s">
        <v>76</v>
      </c>
      <c r="B451" s="148" t="s">
        <v>44</v>
      </c>
      <c r="C451" s="148" t="s">
        <v>45</v>
      </c>
      <c r="D451" s="148" t="s">
        <v>29</v>
      </c>
      <c r="E451" s="148" t="s">
        <v>46</v>
      </c>
      <c r="F451" s="148" t="s">
        <v>47</v>
      </c>
      <c r="G451" s="148" t="s">
        <v>48</v>
      </c>
      <c r="H451" s="148">
        <v>2005</v>
      </c>
      <c r="I451" s="148">
        <v>4</v>
      </c>
      <c r="J451" s="148" t="s">
        <v>150</v>
      </c>
      <c r="K451" s="148" t="s">
        <v>119</v>
      </c>
      <c r="M451" s="148" t="s">
        <v>120</v>
      </c>
      <c r="N451" s="148">
        <v>6</v>
      </c>
      <c r="O451" s="148" t="s">
        <v>83</v>
      </c>
      <c r="Y451" s="150" t="s">
        <v>366</v>
      </c>
    </row>
    <row r="452" spans="1:25" ht="15.75" hidden="1" customHeight="1" x14ac:dyDescent="0.25">
      <c r="A452" s="148" t="s">
        <v>76</v>
      </c>
      <c r="B452" s="148" t="s">
        <v>198</v>
      </c>
      <c r="C452" s="148" t="s">
        <v>45</v>
      </c>
      <c r="D452" s="148" t="s">
        <v>29</v>
      </c>
      <c r="E452" s="148" t="s">
        <v>30</v>
      </c>
      <c r="F452" s="148" t="s">
        <v>199</v>
      </c>
      <c r="G452" s="148" t="s">
        <v>505</v>
      </c>
      <c r="H452" s="148">
        <v>2005</v>
      </c>
      <c r="I452" s="148">
        <v>4</v>
      </c>
      <c r="J452" s="148" t="s">
        <v>150</v>
      </c>
      <c r="K452" s="148" t="s">
        <v>555</v>
      </c>
      <c r="M452" s="148" t="s">
        <v>246</v>
      </c>
      <c r="N452" s="148">
        <v>6</v>
      </c>
      <c r="O452" s="148" t="s">
        <v>83</v>
      </c>
      <c r="Y452" s="150" t="s">
        <v>366</v>
      </c>
    </row>
    <row r="453" spans="1:25" ht="15.75" hidden="1" customHeight="1" x14ac:dyDescent="0.25">
      <c r="A453" s="148" t="s">
        <v>76</v>
      </c>
      <c r="B453" s="148" t="s">
        <v>89</v>
      </c>
      <c r="C453" s="148" t="s">
        <v>90</v>
      </c>
      <c r="D453" s="148" t="s">
        <v>29</v>
      </c>
      <c r="E453" s="148" t="s">
        <v>30</v>
      </c>
      <c r="F453" s="148" t="s">
        <v>91</v>
      </c>
      <c r="G453" s="148" t="s">
        <v>371</v>
      </c>
      <c r="H453" s="148">
        <v>2005</v>
      </c>
      <c r="I453" s="148">
        <v>5</v>
      </c>
      <c r="J453" s="148" t="s">
        <v>118</v>
      </c>
      <c r="K453" s="148" t="s">
        <v>172</v>
      </c>
      <c r="M453" s="148" t="s">
        <v>346</v>
      </c>
      <c r="N453" s="148">
        <v>10</v>
      </c>
      <c r="O453" s="148" t="s">
        <v>101</v>
      </c>
      <c r="P453" s="148" t="s">
        <v>562</v>
      </c>
      <c r="Y453" s="150" t="s">
        <v>366</v>
      </c>
    </row>
    <row r="454" spans="1:25" ht="15.75" hidden="1" customHeight="1" x14ac:dyDescent="0.25">
      <c r="A454" s="148" t="s">
        <v>76</v>
      </c>
      <c r="B454" s="148" t="s">
        <v>89</v>
      </c>
      <c r="C454" s="148" t="s">
        <v>90</v>
      </c>
      <c r="D454" s="148" t="s">
        <v>29</v>
      </c>
      <c r="E454" s="148" t="s">
        <v>30</v>
      </c>
      <c r="F454" s="148" t="s">
        <v>91</v>
      </c>
      <c r="G454" s="148" t="s">
        <v>499</v>
      </c>
      <c r="H454" s="148">
        <v>2005</v>
      </c>
      <c r="I454" s="148">
        <v>5</v>
      </c>
      <c r="J454" s="148" t="s">
        <v>118</v>
      </c>
      <c r="K454" s="148" t="s">
        <v>172</v>
      </c>
      <c r="M454" s="148" t="s">
        <v>346</v>
      </c>
      <c r="N454" s="148">
        <v>10</v>
      </c>
      <c r="O454" s="148" t="s">
        <v>101</v>
      </c>
      <c r="P454" s="148" t="s">
        <v>435</v>
      </c>
      <c r="Y454" s="150" t="s">
        <v>366</v>
      </c>
    </row>
    <row r="455" spans="1:25" ht="15.75" hidden="1" customHeight="1" x14ac:dyDescent="0.25">
      <c r="A455" s="148" t="s">
        <v>76</v>
      </c>
      <c r="B455" s="148" t="s">
        <v>71</v>
      </c>
      <c r="C455" s="148" t="s">
        <v>45</v>
      </c>
      <c r="D455" s="148" t="s">
        <v>29</v>
      </c>
      <c r="E455" s="148" t="s">
        <v>72</v>
      </c>
      <c r="F455" s="148" t="s">
        <v>3183</v>
      </c>
      <c r="G455" s="148" t="s">
        <v>73</v>
      </c>
      <c r="H455" s="148">
        <v>2005</v>
      </c>
      <c r="I455" s="148">
        <v>5</v>
      </c>
      <c r="J455" s="148" t="s">
        <v>118</v>
      </c>
      <c r="K455" s="148" t="s">
        <v>172</v>
      </c>
      <c r="M455" s="148" t="s">
        <v>346</v>
      </c>
      <c r="N455" s="148">
        <v>10</v>
      </c>
      <c r="O455" s="148" t="s">
        <v>101</v>
      </c>
      <c r="P455" s="148" t="s">
        <v>146</v>
      </c>
      <c r="Y455" s="150" t="s">
        <v>366</v>
      </c>
    </row>
    <row r="456" spans="1:25" ht="15.75" hidden="1" customHeight="1" x14ac:dyDescent="0.25">
      <c r="A456" s="148" t="s">
        <v>76</v>
      </c>
      <c r="B456" s="148" t="s">
        <v>27</v>
      </c>
      <c r="C456" s="148" t="s">
        <v>28</v>
      </c>
      <c r="D456" s="148" t="s">
        <v>158</v>
      </c>
      <c r="E456" s="148" t="s">
        <v>30</v>
      </c>
      <c r="F456" s="148" t="s">
        <v>3183</v>
      </c>
      <c r="G456" s="148" t="s">
        <v>32</v>
      </c>
      <c r="H456" s="148">
        <v>2005</v>
      </c>
      <c r="I456" s="148">
        <v>5</v>
      </c>
      <c r="J456" s="148" t="s">
        <v>150</v>
      </c>
      <c r="K456" s="148" t="s">
        <v>327</v>
      </c>
      <c r="M456" s="148" t="s">
        <v>132</v>
      </c>
      <c r="N456" s="148">
        <v>8</v>
      </c>
      <c r="O456" s="148" t="s">
        <v>83</v>
      </c>
      <c r="Y456" s="150" t="s">
        <v>366</v>
      </c>
    </row>
    <row r="457" spans="1:25" ht="15.75" hidden="1" customHeight="1" x14ac:dyDescent="0.25">
      <c r="A457" s="148" t="s">
        <v>76</v>
      </c>
      <c r="B457" s="148" t="s">
        <v>103</v>
      </c>
      <c r="C457" s="148" t="s">
        <v>55</v>
      </c>
      <c r="D457" s="148" t="s">
        <v>99</v>
      </c>
      <c r="E457" s="148" t="s">
        <v>30</v>
      </c>
      <c r="F457" s="148" t="s">
        <v>56</v>
      </c>
      <c r="G457" s="148" t="s">
        <v>171</v>
      </c>
      <c r="H457" s="148">
        <v>2005</v>
      </c>
      <c r="I457" s="148">
        <v>5</v>
      </c>
      <c r="J457" s="148" t="s">
        <v>118</v>
      </c>
      <c r="K457" s="148" t="s">
        <v>172</v>
      </c>
      <c r="M457" s="148" t="s">
        <v>346</v>
      </c>
      <c r="N457" s="148">
        <v>10</v>
      </c>
      <c r="O457" s="148" t="s">
        <v>101</v>
      </c>
      <c r="P457" s="148" t="s">
        <v>146</v>
      </c>
      <c r="Y457" s="150" t="s">
        <v>366</v>
      </c>
    </row>
    <row r="458" spans="1:25" ht="15.75" hidden="1" customHeight="1" x14ac:dyDescent="0.25">
      <c r="A458" s="148" t="s">
        <v>76</v>
      </c>
      <c r="B458" s="148" t="s">
        <v>103</v>
      </c>
      <c r="C458" s="148" t="s">
        <v>55</v>
      </c>
      <c r="D458" s="148" t="s">
        <v>29</v>
      </c>
      <c r="E458" s="148" t="s">
        <v>95</v>
      </c>
      <c r="F458" s="148" t="s">
        <v>56</v>
      </c>
      <c r="G458" s="148" t="s">
        <v>303</v>
      </c>
      <c r="H458" s="148">
        <v>2005</v>
      </c>
      <c r="I458" s="148">
        <v>5</v>
      </c>
      <c r="J458" s="148" t="s">
        <v>118</v>
      </c>
      <c r="K458" s="148" t="s">
        <v>172</v>
      </c>
      <c r="M458" s="148" t="s">
        <v>346</v>
      </c>
      <c r="N458" s="148">
        <v>10</v>
      </c>
      <c r="O458" s="148" t="s">
        <v>101</v>
      </c>
      <c r="P458" s="148" t="s">
        <v>545</v>
      </c>
      <c r="Y458" s="150" t="s">
        <v>366</v>
      </c>
    </row>
    <row r="459" spans="1:25" ht="15.75" hidden="1" customHeight="1" x14ac:dyDescent="0.25">
      <c r="A459" s="148" t="s">
        <v>76</v>
      </c>
      <c r="B459" s="148" t="s">
        <v>89</v>
      </c>
      <c r="C459" s="148" t="s">
        <v>90</v>
      </c>
      <c r="D459" s="148" t="s">
        <v>516</v>
      </c>
      <c r="E459" s="148" t="s">
        <v>30</v>
      </c>
      <c r="F459" s="148" t="s">
        <v>91</v>
      </c>
      <c r="G459" s="148" t="s">
        <v>563</v>
      </c>
      <c r="H459" s="148">
        <v>2005</v>
      </c>
      <c r="I459" s="148">
        <v>5</v>
      </c>
      <c r="J459" s="148" t="s">
        <v>118</v>
      </c>
      <c r="K459" s="148" t="s">
        <v>172</v>
      </c>
      <c r="M459" s="148" t="s">
        <v>346</v>
      </c>
      <c r="N459" s="148">
        <v>10</v>
      </c>
      <c r="O459" s="148" t="s">
        <v>101</v>
      </c>
      <c r="P459" s="148" t="s">
        <v>406</v>
      </c>
      <c r="Y459" s="150" t="s">
        <v>366</v>
      </c>
    </row>
    <row r="460" spans="1:25" ht="15.75" hidden="1" customHeight="1" x14ac:dyDescent="0.25">
      <c r="A460" s="148" t="s">
        <v>76</v>
      </c>
      <c r="B460" s="148" t="s">
        <v>103</v>
      </c>
      <c r="C460" s="148" t="s">
        <v>55</v>
      </c>
      <c r="D460" s="148" t="s">
        <v>158</v>
      </c>
      <c r="E460" s="148" t="s">
        <v>95</v>
      </c>
      <c r="F460" s="148" t="s">
        <v>56</v>
      </c>
      <c r="G460" s="148" t="s">
        <v>176</v>
      </c>
      <c r="H460" s="148">
        <v>2005</v>
      </c>
      <c r="I460" s="148">
        <v>5</v>
      </c>
      <c r="J460" s="148" t="s">
        <v>150</v>
      </c>
      <c r="K460" s="148" t="s">
        <v>502</v>
      </c>
      <c r="M460" s="148" t="s">
        <v>456</v>
      </c>
      <c r="N460" s="148">
        <v>6</v>
      </c>
      <c r="O460" s="148" t="s">
        <v>83</v>
      </c>
      <c r="Y460" s="150" t="s">
        <v>366</v>
      </c>
    </row>
    <row r="461" spans="1:25" ht="15.75" hidden="1" customHeight="1" x14ac:dyDescent="0.25">
      <c r="A461" s="148" t="s">
        <v>76</v>
      </c>
      <c r="B461" s="148" t="s">
        <v>116</v>
      </c>
      <c r="C461" s="148" t="s">
        <v>90</v>
      </c>
      <c r="D461" s="148" t="s">
        <v>29</v>
      </c>
      <c r="E461" s="148" t="s">
        <v>30</v>
      </c>
      <c r="F461" s="148" t="s">
        <v>41</v>
      </c>
      <c r="G461" s="148" t="s">
        <v>564</v>
      </c>
      <c r="H461" s="148">
        <v>2005</v>
      </c>
      <c r="I461" s="148">
        <v>5</v>
      </c>
      <c r="J461" s="148" t="s">
        <v>118</v>
      </c>
      <c r="K461" s="148" t="s">
        <v>172</v>
      </c>
      <c r="M461" s="148" t="s">
        <v>346</v>
      </c>
      <c r="N461" s="148">
        <v>10</v>
      </c>
      <c r="O461" s="148" t="s">
        <v>101</v>
      </c>
      <c r="P461" s="148" t="s">
        <v>406</v>
      </c>
      <c r="Y461" s="150" t="s">
        <v>366</v>
      </c>
    </row>
    <row r="462" spans="1:25" ht="15.75" hidden="1" customHeight="1" x14ac:dyDescent="0.25">
      <c r="A462" s="148" t="s">
        <v>76</v>
      </c>
      <c r="B462" s="148" t="s">
        <v>103</v>
      </c>
      <c r="C462" s="148" t="s">
        <v>55</v>
      </c>
      <c r="D462" s="148" t="s">
        <v>29</v>
      </c>
      <c r="E462" s="148" t="s">
        <v>30</v>
      </c>
      <c r="F462" s="148" t="s">
        <v>56</v>
      </c>
      <c r="G462" s="148" t="s">
        <v>405</v>
      </c>
      <c r="H462" s="148">
        <v>2005</v>
      </c>
      <c r="I462" s="148">
        <v>5</v>
      </c>
      <c r="J462" s="148" t="s">
        <v>118</v>
      </c>
      <c r="K462" s="148" t="s">
        <v>172</v>
      </c>
      <c r="M462" s="148" t="s">
        <v>346</v>
      </c>
      <c r="N462" s="148">
        <v>10</v>
      </c>
      <c r="O462" s="148" t="s">
        <v>101</v>
      </c>
      <c r="P462" s="148" t="s">
        <v>435</v>
      </c>
      <c r="Y462" s="150" t="s">
        <v>366</v>
      </c>
    </row>
    <row r="463" spans="1:25" ht="15.75" hidden="1" customHeight="1" x14ac:dyDescent="0.25">
      <c r="A463" s="148" t="s">
        <v>76</v>
      </c>
      <c r="B463" s="148" t="s">
        <v>103</v>
      </c>
      <c r="C463" s="148" t="s">
        <v>55</v>
      </c>
      <c r="D463" s="148" t="s">
        <v>29</v>
      </c>
      <c r="E463" s="148" t="s">
        <v>30</v>
      </c>
      <c r="F463" s="148" t="s">
        <v>56</v>
      </c>
      <c r="G463" s="148" t="s">
        <v>405</v>
      </c>
      <c r="H463" s="148">
        <v>2005</v>
      </c>
      <c r="I463" s="148">
        <v>5</v>
      </c>
      <c r="J463" s="148" t="s">
        <v>150</v>
      </c>
      <c r="K463" s="148" t="s">
        <v>119</v>
      </c>
      <c r="M463" s="148" t="s">
        <v>120</v>
      </c>
      <c r="N463" s="148">
        <v>6</v>
      </c>
      <c r="O463" s="148" t="s">
        <v>83</v>
      </c>
      <c r="Y463" s="150" t="s">
        <v>366</v>
      </c>
    </row>
    <row r="464" spans="1:25" ht="15.75" hidden="1" customHeight="1" x14ac:dyDescent="0.25">
      <c r="A464" s="148" t="s">
        <v>76</v>
      </c>
      <c r="B464" s="148" t="s">
        <v>103</v>
      </c>
      <c r="C464" s="148" t="s">
        <v>55</v>
      </c>
      <c r="D464" s="148" t="s">
        <v>94</v>
      </c>
      <c r="E464" s="148" t="s">
        <v>95</v>
      </c>
      <c r="F464" s="148" t="s">
        <v>56</v>
      </c>
      <c r="G464" s="148" t="s">
        <v>111</v>
      </c>
      <c r="H464" s="148">
        <v>2005</v>
      </c>
      <c r="I464" s="148">
        <v>5</v>
      </c>
      <c r="J464" s="148" t="s">
        <v>150</v>
      </c>
      <c r="K464" s="148" t="s">
        <v>119</v>
      </c>
      <c r="M464" s="148" t="s">
        <v>120</v>
      </c>
      <c r="N464" s="148">
        <v>6</v>
      </c>
      <c r="O464" s="148" t="s">
        <v>83</v>
      </c>
      <c r="Y464" s="150" t="s">
        <v>366</v>
      </c>
    </row>
    <row r="465" spans="1:25" ht="15.75" hidden="1" customHeight="1" x14ac:dyDescent="0.25">
      <c r="A465" s="148" t="s">
        <v>76</v>
      </c>
      <c r="B465" s="148" t="s">
        <v>89</v>
      </c>
      <c r="C465" s="148" t="s">
        <v>90</v>
      </c>
      <c r="D465" s="148" t="s">
        <v>29</v>
      </c>
      <c r="E465" s="148" t="s">
        <v>30</v>
      </c>
      <c r="F465" s="148" t="s">
        <v>91</v>
      </c>
      <c r="G465" s="148" t="s">
        <v>298</v>
      </c>
      <c r="H465" s="148">
        <v>2005</v>
      </c>
      <c r="I465" s="148">
        <v>5</v>
      </c>
      <c r="J465" s="148" t="s">
        <v>118</v>
      </c>
      <c r="K465" s="148" t="s">
        <v>172</v>
      </c>
      <c r="M465" s="148" t="s">
        <v>346</v>
      </c>
      <c r="N465" s="148">
        <v>10</v>
      </c>
      <c r="O465" s="148" t="s">
        <v>101</v>
      </c>
      <c r="P465" s="148" t="s">
        <v>565</v>
      </c>
      <c r="Y465" s="150" t="s">
        <v>366</v>
      </c>
    </row>
    <row r="466" spans="1:25" ht="15.75" hidden="1" customHeight="1" x14ac:dyDescent="0.25">
      <c r="A466" s="148" t="s">
        <v>76</v>
      </c>
      <c r="B466" s="148" t="s">
        <v>103</v>
      </c>
      <c r="C466" s="148" t="s">
        <v>55</v>
      </c>
      <c r="D466" s="148" t="s">
        <v>29</v>
      </c>
      <c r="E466" s="148" t="s">
        <v>95</v>
      </c>
      <c r="F466" s="148" t="s">
        <v>56</v>
      </c>
      <c r="G466" s="148" t="s">
        <v>104</v>
      </c>
      <c r="H466" s="148">
        <v>2005</v>
      </c>
      <c r="I466" s="148">
        <v>5</v>
      </c>
      <c r="J466" s="148" t="s">
        <v>150</v>
      </c>
      <c r="K466" s="148" t="s">
        <v>327</v>
      </c>
      <c r="M466" s="148" t="s">
        <v>132</v>
      </c>
      <c r="N466" s="148">
        <v>8</v>
      </c>
      <c r="O466" s="148" t="s">
        <v>83</v>
      </c>
      <c r="Y466" s="150" t="s">
        <v>366</v>
      </c>
    </row>
    <row r="467" spans="1:25" ht="15.75" hidden="1" customHeight="1" x14ac:dyDescent="0.25">
      <c r="A467" s="148" t="s">
        <v>76</v>
      </c>
      <c r="B467" s="148" t="s">
        <v>103</v>
      </c>
      <c r="C467" s="148" t="s">
        <v>55</v>
      </c>
      <c r="D467" s="148" t="s">
        <v>29</v>
      </c>
      <c r="E467" s="148" t="s">
        <v>95</v>
      </c>
      <c r="F467" s="148" t="s">
        <v>56</v>
      </c>
      <c r="G467" s="148" t="s">
        <v>153</v>
      </c>
      <c r="H467" s="148">
        <v>2005</v>
      </c>
      <c r="I467" s="148">
        <v>5</v>
      </c>
      <c r="J467" s="148" t="s">
        <v>118</v>
      </c>
      <c r="K467" s="148" t="s">
        <v>172</v>
      </c>
      <c r="M467" s="148" t="s">
        <v>346</v>
      </c>
      <c r="N467" s="148">
        <v>10</v>
      </c>
      <c r="O467" s="148" t="s">
        <v>101</v>
      </c>
      <c r="P467" s="148" t="s">
        <v>146</v>
      </c>
      <c r="Y467" s="150" t="s">
        <v>366</v>
      </c>
    </row>
    <row r="468" spans="1:25" ht="15.75" hidden="1" customHeight="1" x14ac:dyDescent="0.25">
      <c r="A468" s="148" t="s">
        <v>76</v>
      </c>
      <c r="B468" s="148" t="s">
        <v>198</v>
      </c>
      <c r="C468" s="148" t="s">
        <v>45</v>
      </c>
      <c r="D468" s="148" t="s">
        <v>29</v>
      </c>
      <c r="E468" s="148" t="s">
        <v>30</v>
      </c>
      <c r="F468" s="148" t="s">
        <v>199</v>
      </c>
      <c r="G468" s="148" t="s">
        <v>419</v>
      </c>
      <c r="H468" s="148">
        <v>2005</v>
      </c>
      <c r="I468" s="148">
        <v>5</v>
      </c>
      <c r="J468" s="148" t="s">
        <v>118</v>
      </c>
      <c r="K468" s="148" t="s">
        <v>388</v>
      </c>
      <c r="M468" s="148" t="s">
        <v>126</v>
      </c>
      <c r="N468" s="148">
        <v>10</v>
      </c>
      <c r="O468" s="148" t="s">
        <v>101</v>
      </c>
      <c r="P468" s="148" t="s">
        <v>534</v>
      </c>
      <c r="Y468" s="150" t="s">
        <v>366</v>
      </c>
    </row>
    <row r="469" spans="1:25" ht="15.75" hidden="1" customHeight="1" x14ac:dyDescent="0.25">
      <c r="A469" s="148" t="s">
        <v>76</v>
      </c>
      <c r="B469" s="148" t="s">
        <v>103</v>
      </c>
      <c r="C469" s="148" t="s">
        <v>55</v>
      </c>
      <c r="D469" s="148" t="s">
        <v>29</v>
      </c>
      <c r="E469" s="148" t="s">
        <v>95</v>
      </c>
      <c r="F469" s="148" t="s">
        <v>56</v>
      </c>
      <c r="G469" s="148" t="s">
        <v>407</v>
      </c>
      <c r="H469" s="148">
        <v>2005</v>
      </c>
      <c r="I469" s="148">
        <v>5</v>
      </c>
      <c r="J469" s="148" t="s">
        <v>118</v>
      </c>
      <c r="K469" s="148" t="s">
        <v>172</v>
      </c>
      <c r="M469" s="148" t="s">
        <v>346</v>
      </c>
      <c r="N469" s="148">
        <v>10</v>
      </c>
      <c r="O469" s="148" t="s">
        <v>101</v>
      </c>
      <c r="P469" s="148" t="s">
        <v>146</v>
      </c>
      <c r="Y469" s="150" t="s">
        <v>366</v>
      </c>
    </row>
    <row r="470" spans="1:25" ht="15.75" hidden="1" customHeight="1" x14ac:dyDescent="0.25">
      <c r="A470" s="148" t="s">
        <v>76</v>
      </c>
      <c r="B470" s="148" t="s">
        <v>27</v>
      </c>
      <c r="C470" s="148" t="s">
        <v>28</v>
      </c>
      <c r="D470" s="148" t="s">
        <v>566</v>
      </c>
      <c r="E470" s="148" t="s">
        <v>30</v>
      </c>
      <c r="F470" s="148" t="s">
        <v>3183</v>
      </c>
      <c r="G470" s="148" t="s">
        <v>53</v>
      </c>
      <c r="H470" s="148">
        <v>2005</v>
      </c>
      <c r="I470" s="148">
        <v>5</v>
      </c>
      <c r="J470" s="148" t="s">
        <v>150</v>
      </c>
      <c r="K470" s="148" t="s">
        <v>327</v>
      </c>
      <c r="M470" s="148" t="s">
        <v>132</v>
      </c>
      <c r="N470" s="148">
        <v>8</v>
      </c>
      <c r="O470" s="148" t="s">
        <v>83</v>
      </c>
      <c r="P470" s="148" t="s">
        <v>146</v>
      </c>
      <c r="Y470" s="150" t="s">
        <v>366</v>
      </c>
    </row>
    <row r="471" spans="1:25" ht="15.75" hidden="1" customHeight="1" x14ac:dyDescent="0.25">
      <c r="A471" s="148" t="s">
        <v>76</v>
      </c>
      <c r="B471" s="148" t="s">
        <v>103</v>
      </c>
      <c r="C471" s="148" t="s">
        <v>55</v>
      </c>
      <c r="D471" s="148" t="s">
        <v>478</v>
      </c>
      <c r="E471" s="148" t="s">
        <v>95</v>
      </c>
      <c r="F471" s="148" t="s">
        <v>56</v>
      </c>
      <c r="G471" s="148" t="s">
        <v>107</v>
      </c>
      <c r="H471" s="148">
        <v>2005</v>
      </c>
      <c r="I471" s="148">
        <v>5</v>
      </c>
      <c r="J471" s="148" t="s">
        <v>118</v>
      </c>
      <c r="K471" s="148" t="s">
        <v>172</v>
      </c>
      <c r="M471" s="148" t="s">
        <v>346</v>
      </c>
      <c r="N471" s="148">
        <v>10</v>
      </c>
      <c r="O471" s="148" t="s">
        <v>101</v>
      </c>
      <c r="P471" s="148" t="s">
        <v>567</v>
      </c>
      <c r="Y471" s="150" t="s">
        <v>366</v>
      </c>
    </row>
    <row r="472" spans="1:25" ht="15.75" hidden="1" customHeight="1" x14ac:dyDescent="0.25">
      <c r="A472" s="148" t="s">
        <v>76</v>
      </c>
      <c r="B472" s="148" t="s">
        <v>103</v>
      </c>
      <c r="C472" s="148" t="s">
        <v>55</v>
      </c>
      <c r="D472" s="148" t="s">
        <v>478</v>
      </c>
      <c r="E472" s="148" t="s">
        <v>95</v>
      </c>
      <c r="F472" s="148" t="s">
        <v>56</v>
      </c>
      <c r="G472" s="148" t="s">
        <v>107</v>
      </c>
      <c r="H472" s="148">
        <v>2005</v>
      </c>
      <c r="I472" s="148">
        <v>5</v>
      </c>
      <c r="J472" s="148" t="s">
        <v>150</v>
      </c>
      <c r="K472" s="148" t="s">
        <v>455</v>
      </c>
      <c r="M472" s="148" t="s">
        <v>173</v>
      </c>
      <c r="N472" s="148">
        <v>8</v>
      </c>
      <c r="O472" s="148" t="s">
        <v>83</v>
      </c>
      <c r="Y472" s="150" t="s">
        <v>366</v>
      </c>
    </row>
    <row r="473" spans="1:25" ht="15.75" hidden="1" customHeight="1" x14ac:dyDescent="0.25">
      <c r="A473" s="148" t="s">
        <v>76</v>
      </c>
      <c r="B473" s="148" t="s">
        <v>77</v>
      </c>
      <c r="C473" s="148" t="s">
        <v>55</v>
      </c>
      <c r="D473" s="148" t="s">
        <v>99</v>
      </c>
      <c r="E473" s="148" t="s">
        <v>30</v>
      </c>
      <c r="F473" s="148" t="s">
        <v>41</v>
      </c>
      <c r="G473" s="148" t="s">
        <v>159</v>
      </c>
      <c r="H473" s="148">
        <v>2005</v>
      </c>
      <c r="I473" s="148">
        <v>5</v>
      </c>
      <c r="J473" s="148" t="s">
        <v>118</v>
      </c>
      <c r="K473" s="148" t="s">
        <v>172</v>
      </c>
      <c r="M473" s="148" t="s">
        <v>346</v>
      </c>
      <c r="N473" s="148">
        <v>10</v>
      </c>
      <c r="O473" s="148" t="s">
        <v>101</v>
      </c>
      <c r="P473" s="148" t="s">
        <v>512</v>
      </c>
      <c r="Y473" s="150" t="s">
        <v>366</v>
      </c>
    </row>
    <row r="474" spans="1:25" ht="15.75" hidden="1" customHeight="1" x14ac:dyDescent="0.25">
      <c r="A474" s="148" t="s">
        <v>76</v>
      </c>
      <c r="B474" s="148" t="s">
        <v>77</v>
      </c>
      <c r="C474" s="148" t="s">
        <v>55</v>
      </c>
      <c r="D474" s="148" t="s">
        <v>29</v>
      </c>
      <c r="E474" s="148" t="s">
        <v>30</v>
      </c>
      <c r="F474" s="148" t="s">
        <v>41</v>
      </c>
      <c r="G474" s="148" t="s">
        <v>161</v>
      </c>
      <c r="H474" s="148">
        <v>2005</v>
      </c>
      <c r="I474" s="148">
        <v>5</v>
      </c>
      <c r="J474" s="148" t="s">
        <v>118</v>
      </c>
      <c r="K474" s="148" t="s">
        <v>172</v>
      </c>
      <c r="M474" s="148" t="s">
        <v>346</v>
      </c>
      <c r="N474" s="148">
        <v>10</v>
      </c>
      <c r="O474" s="148" t="s">
        <v>101</v>
      </c>
      <c r="P474" s="148" t="s">
        <v>146</v>
      </c>
      <c r="Y474" s="150" t="s">
        <v>366</v>
      </c>
    </row>
    <row r="475" spans="1:25" ht="15.75" hidden="1" customHeight="1" x14ac:dyDescent="0.25">
      <c r="A475" s="148" t="s">
        <v>76</v>
      </c>
      <c r="B475" s="148" t="s">
        <v>89</v>
      </c>
      <c r="C475" s="148" t="s">
        <v>90</v>
      </c>
      <c r="D475" s="148" t="s">
        <v>29</v>
      </c>
      <c r="E475" s="148" t="s">
        <v>30</v>
      </c>
      <c r="F475" s="148" t="s">
        <v>91</v>
      </c>
      <c r="G475" s="148" t="s">
        <v>411</v>
      </c>
      <c r="H475" s="148">
        <v>2005</v>
      </c>
      <c r="I475" s="148">
        <v>5</v>
      </c>
      <c r="J475" s="148" t="s">
        <v>118</v>
      </c>
      <c r="K475" s="148" t="s">
        <v>172</v>
      </c>
      <c r="M475" s="148" t="s">
        <v>346</v>
      </c>
      <c r="N475" s="148">
        <v>10</v>
      </c>
      <c r="O475" s="148" t="s">
        <v>101</v>
      </c>
      <c r="P475" s="148" t="s">
        <v>146</v>
      </c>
      <c r="Y475" s="150" t="s">
        <v>366</v>
      </c>
    </row>
    <row r="476" spans="1:25" ht="15.75" hidden="1" customHeight="1" x14ac:dyDescent="0.25">
      <c r="A476" s="148" t="s">
        <v>76</v>
      </c>
      <c r="B476" s="148" t="s">
        <v>198</v>
      </c>
      <c r="C476" s="148" t="s">
        <v>45</v>
      </c>
      <c r="D476" s="148" t="s">
        <v>94</v>
      </c>
      <c r="E476" s="148" t="s">
        <v>30</v>
      </c>
      <c r="F476" s="148" t="s">
        <v>199</v>
      </c>
      <c r="G476" s="148" t="s">
        <v>248</v>
      </c>
      <c r="H476" s="148">
        <v>2005</v>
      </c>
      <c r="I476" s="148">
        <v>5</v>
      </c>
      <c r="J476" s="148" t="s">
        <v>118</v>
      </c>
      <c r="K476" s="148" t="s">
        <v>172</v>
      </c>
      <c r="M476" s="148" t="s">
        <v>346</v>
      </c>
      <c r="N476" s="148">
        <v>10</v>
      </c>
      <c r="O476" s="148" t="s">
        <v>101</v>
      </c>
      <c r="P476" s="148" t="s">
        <v>146</v>
      </c>
      <c r="Y476" s="150" t="s">
        <v>366</v>
      </c>
    </row>
    <row r="477" spans="1:25" ht="15.75" hidden="1" customHeight="1" x14ac:dyDescent="0.25">
      <c r="A477" s="148" t="s">
        <v>76</v>
      </c>
      <c r="B477" s="148" t="s">
        <v>103</v>
      </c>
      <c r="C477" s="148" t="s">
        <v>55</v>
      </c>
      <c r="D477" s="148" t="s">
        <v>490</v>
      </c>
      <c r="E477" s="148" t="s">
        <v>95</v>
      </c>
      <c r="F477" s="148" t="s">
        <v>56</v>
      </c>
      <c r="G477" s="148" t="s">
        <v>168</v>
      </c>
      <c r="H477" s="148">
        <v>2005</v>
      </c>
      <c r="I477" s="148">
        <v>5</v>
      </c>
      <c r="J477" s="148" t="s">
        <v>118</v>
      </c>
      <c r="K477" s="148" t="s">
        <v>388</v>
      </c>
      <c r="M477" s="148" t="s">
        <v>126</v>
      </c>
      <c r="N477" s="148">
        <v>10</v>
      </c>
      <c r="O477" s="148" t="s">
        <v>101</v>
      </c>
      <c r="P477" s="148" t="s">
        <v>568</v>
      </c>
      <c r="Y477" s="150" t="s">
        <v>366</v>
      </c>
    </row>
    <row r="478" spans="1:25" ht="15.75" hidden="1" customHeight="1" x14ac:dyDescent="0.25">
      <c r="A478" s="148" t="s">
        <v>76</v>
      </c>
      <c r="B478" s="148" t="s">
        <v>54</v>
      </c>
      <c r="C478" s="148" t="s">
        <v>55</v>
      </c>
      <c r="D478" s="148" t="s">
        <v>65</v>
      </c>
      <c r="E478" s="148" t="s">
        <v>30</v>
      </c>
      <c r="F478" s="148" t="s">
        <v>56</v>
      </c>
      <c r="G478" s="148" t="s">
        <v>54</v>
      </c>
      <c r="H478" s="148">
        <v>2005</v>
      </c>
      <c r="I478" s="148">
        <v>5</v>
      </c>
      <c r="J478" s="148" t="s">
        <v>118</v>
      </c>
      <c r="K478" s="148" t="s">
        <v>172</v>
      </c>
      <c r="M478" s="148" t="s">
        <v>346</v>
      </c>
      <c r="N478" s="148">
        <v>10</v>
      </c>
      <c r="O478" s="148" t="s">
        <v>101</v>
      </c>
      <c r="P478" s="148" t="s">
        <v>146</v>
      </c>
      <c r="Y478" s="150" t="s">
        <v>366</v>
      </c>
    </row>
    <row r="479" spans="1:25" ht="15.75" hidden="1" customHeight="1" x14ac:dyDescent="0.25">
      <c r="A479" s="148" t="s">
        <v>76</v>
      </c>
      <c r="B479" s="148" t="s">
        <v>54</v>
      </c>
      <c r="C479" s="148" t="s">
        <v>55</v>
      </c>
      <c r="D479" s="148" t="s">
        <v>65</v>
      </c>
      <c r="E479" s="148" t="s">
        <v>30</v>
      </c>
      <c r="F479" s="148" t="s">
        <v>56</v>
      </c>
      <c r="G479" s="148" t="s">
        <v>54</v>
      </c>
      <c r="H479" s="148">
        <v>2005</v>
      </c>
      <c r="I479" s="148">
        <v>5</v>
      </c>
      <c r="J479" s="148" t="s">
        <v>150</v>
      </c>
      <c r="K479" s="148" t="s">
        <v>502</v>
      </c>
      <c r="M479" s="148" t="s">
        <v>456</v>
      </c>
      <c r="N479" s="148">
        <v>6</v>
      </c>
      <c r="O479" s="148" t="s">
        <v>83</v>
      </c>
      <c r="Y479" s="150" t="s">
        <v>366</v>
      </c>
    </row>
    <row r="480" spans="1:25" ht="15.75" hidden="1" customHeight="1" x14ac:dyDescent="0.25">
      <c r="A480" s="148" t="s">
        <v>76</v>
      </c>
      <c r="B480" s="148" t="s">
        <v>89</v>
      </c>
      <c r="C480" s="148" t="s">
        <v>90</v>
      </c>
      <c r="D480" s="148" t="s">
        <v>99</v>
      </c>
      <c r="E480" s="148" t="s">
        <v>30</v>
      </c>
      <c r="F480" s="148" t="s">
        <v>91</v>
      </c>
      <c r="G480" s="148" t="s">
        <v>92</v>
      </c>
      <c r="H480" s="148">
        <v>2005</v>
      </c>
      <c r="I480" s="148">
        <v>5</v>
      </c>
      <c r="J480" s="148" t="s">
        <v>118</v>
      </c>
      <c r="K480" s="148" t="s">
        <v>172</v>
      </c>
      <c r="M480" s="148" t="s">
        <v>346</v>
      </c>
      <c r="N480" s="148">
        <v>10</v>
      </c>
      <c r="O480" s="148" t="s">
        <v>101</v>
      </c>
      <c r="P480" s="148" t="s">
        <v>183</v>
      </c>
      <c r="Y480" s="150" t="s">
        <v>366</v>
      </c>
    </row>
    <row r="481" spans="1:26" ht="15.75" hidden="1" customHeight="1" x14ac:dyDescent="0.25">
      <c r="A481" s="148" t="s">
        <v>76</v>
      </c>
      <c r="B481" s="148" t="s">
        <v>62</v>
      </c>
      <c r="C481" s="148" t="s">
        <v>28</v>
      </c>
      <c r="D481" s="148" t="s">
        <v>158</v>
      </c>
      <c r="E481" s="148" t="s">
        <v>51</v>
      </c>
      <c r="F481" s="148" t="s">
        <v>3183</v>
      </c>
      <c r="G481" s="148" t="s">
        <v>130</v>
      </c>
      <c r="H481" s="148">
        <v>2005</v>
      </c>
      <c r="I481" s="148">
        <v>5</v>
      </c>
      <c r="J481" s="148" t="s">
        <v>118</v>
      </c>
      <c r="K481" s="148" t="s">
        <v>172</v>
      </c>
      <c r="M481" s="148" t="s">
        <v>346</v>
      </c>
      <c r="N481" s="148">
        <v>10</v>
      </c>
      <c r="O481" s="148" t="s">
        <v>101</v>
      </c>
      <c r="P481" s="148" t="s">
        <v>569</v>
      </c>
      <c r="Y481" s="150" t="s">
        <v>366</v>
      </c>
    </row>
    <row r="482" spans="1:26" ht="15.75" hidden="1" customHeight="1" x14ac:dyDescent="0.25">
      <c r="A482" s="148" t="s">
        <v>76</v>
      </c>
      <c r="B482" s="148" t="s">
        <v>89</v>
      </c>
      <c r="C482" s="148" t="s">
        <v>90</v>
      </c>
      <c r="D482" s="148" t="s">
        <v>29</v>
      </c>
      <c r="E482" s="148" t="s">
        <v>30</v>
      </c>
      <c r="F482" s="148" t="s">
        <v>91</v>
      </c>
      <c r="G482" s="148" t="s">
        <v>369</v>
      </c>
      <c r="H482" s="148">
        <v>2005</v>
      </c>
      <c r="I482" s="148">
        <v>5</v>
      </c>
      <c r="J482" s="148" t="s">
        <v>118</v>
      </c>
      <c r="K482" s="148" t="s">
        <v>172</v>
      </c>
      <c r="M482" s="148" t="s">
        <v>346</v>
      </c>
      <c r="N482" s="148">
        <v>10</v>
      </c>
      <c r="O482" s="148" t="s">
        <v>101</v>
      </c>
      <c r="P482" s="148" t="s">
        <v>375</v>
      </c>
      <c r="Y482" s="150" t="s">
        <v>366</v>
      </c>
    </row>
    <row r="483" spans="1:26" ht="15.75" hidden="1" customHeight="1" x14ac:dyDescent="0.25">
      <c r="A483" s="148" t="s">
        <v>76</v>
      </c>
      <c r="B483" s="148" t="s">
        <v>77</v>
      </c>
      <c r="C483" s="148" t="s">
        <v>55</v>
      </c>
      <c r="D483" s="148" t="s">
        <v>29</v>
      </c>
      <c r="E483" s="148" t="s">
        <v>30</v>
      </c>
      <c r="F483" s="148" t="s">
        <v>41</v>
      </c>
      <c r="G483" s="148" t="s">
        <v>275</v>
      </c>
      <c r="H483" s="148">
        <v>2005</v>
      </c>
      <c r="I483" s="148">
        <v>5</v>
      </c>
      <c r="J483" s="148" t="s">
        <v>118</v>
      </c>
      <c r="K483" s="148" t="s">
        <v>172</v>
      </c>
      <c r="M483" s="148" t="s">
        <v>346</v>
      </c>
      <c r="N483" s="148">
        <v>10</v>
      </c>
      <c r="O483" s="148" t="s">
        <v>101</v>
      </c>
      <c r="P483" s="148" t="s">
        <v>146</v>
      </c>
      <c r="Y483" s="150" t="s">
        <v>366</v>
      </c>
    </row>
    <row r="484" spans="1:26" ht="15.75" hidden="1" customHeight="1" x14ac:dyDescent="0.25">
      <c r="A484" s="148" t="s">
        <v>76</v>
      </c>
      <c r="B484" s="148" t="s">
        <v>36</v>
      </c>
      <c r="C484" s="148" t="s">
        <v>28</v>
      </c>
      <c r="D484" s="148" t="s">
        <v>29</v>
      </c>
      <c r="E484" s="148" t="s">
        <v>51</v>
      </c>
      <c r="F484" s="148" t="s">
        <v>3183</v>
      </c>
      <c r="G484" s="148" t="s">
        <v>52</v>
      </c>
      <c r="H484" s="148">
        <v>2005</v>
      </c>
      <c r="I484" s="148">
        <v>5</v>
      </c>
      <c r="J484" s="148" t="s">
        <v>118</v>
      </c>
      <c r="K484" s="148" t="s">
        <v>172</v>
      </c>
      <c r="M484" s="148" t="s">
        <v>346</v>
      </c>
      <c r="N484" s="148">
        <v>10</v>
      </c>
      <c r="O484" s="148" t="s">
        <v>101</v>
      </c>
      <c r="P484" s="148" t="s">
        <v>449</v>
      </c>
      <c r="Y484" s="150" t="s">
        <v>366</v>
      </c>
    </row>
    <row r="485" spans="1:26" ht="15.75" hidden="1" customHeight="1" x14ac:dyDescent="0.25">
      <c r="A485" s="148" t="s">
        <v>76</v>
      </c>
      <c r="B485" s="148" t="s">
        <v>103</v>
      </c>
      <c r="C485" s="148" t="s">
        <v>55</v>
      </c>
      <c r="D485" s="148" t="s">
        <v>29</v>
      </c>
      <c r="E485" s="148" t="s">
        <v>95</v>
      </c>
      <c r="F485" s="148" t="s">
        <v>56</v>
      </c>
      <c r="G485" s="148" t="s">
        <v>186</v>
      </c>
      <c r="H485" s="148">
        <v>2005</v>
      </c>
      <c r="I485" s="148">
        <v>5</v>
      </c>
      <c r="J485" s="148" t="s">
        <v>118</v>
      </c>
      <c r="K485" s="148" t="s">
        <v>172</v>
      </c>
      <c r="M485" s="148" t="s">
        <v>346</v>
      </c>
      <c r="N485" s="148">
        <v>10</v>
      </c>
      <c r="O485" s="148" t="s">
        <v>101</v>
      </c>
      <c r="P485" s="148" t="s">
        <v>570</v>
      </c>
      <c r="Y485" s="150" t="s">
        <v>366</v>
      </c>
    </row>
    <row r="486" spans="1:26" ht="15.75" hidden="1" customHeight="1" x14ac:dyDescent="0.25">
      <c r="A486" s="148" t="s">
        <v>76</v>
      </c>
      <c r="B486" s="148" t="s">
        <v>103</v>
      </c>
      <c r="C486" s="148" t="s">
        <v>55</v>
      </c>
      <c r="D486" s="148" t="s">
        <v>29</v>
      </c>
      <c r="E486" s="148" t="s">
        <v>95</v>
      </c>
      <c r="F486" s="148" t="s">
        <v>56</v>
      </c>
      <c r="G486" s="148" t="s">
        <v>186</v>
      </c>
      <c r="H486" s="148">
        <v>2005</v>
      </c>
      <c r="I486" s="148">
        <v>5</v>
      </c>
      <c r="J486" s="148" t="s">
        <v>150</v>
      </c>
      <c r="K486" s="148" t="s">
        <v>327</v>
      </c>
      <c r="M486" s="148" t="s">
        <v>132</v>
      </c>
      <c r="N486" s="148">
        <v>8</v>
      </c>
      <c r="O486" s="148" t="s">
        <v>83</v>
      </c>
      <c r="P486" s="148" t="s">
        <v>146</v>
      </c>
      <c r="Y486" s="150" t="s">
        <v>366</v>
      </c>
    </row>
    <row r="487" spans="1:26" ht="15.75" hidden="1" customHeight="1" x14ac:dyDescent="0.25">
      <c r="A487" s="148" t="s">
        <v>76</v>
      </c>
      <c r="B487" s="148" t="s">
        <v>103</v>
      </c>
      <c r="C487" s="148" t="s">
        <v>55</v>
      </c>
      <c r="D487" s="148" t="s">
        <v>478</v>
      </c>
      <c r="E487" s="148" t="s">
        <v>95</v>
      </c>
      <c r="F487" s="148" t="s">
        <v>56</v>
      </c>
      <c r="G487" s="148" t="s">
        <v>108</v>
      </c>
      <c r="H487" s="148">
        <v>2005</v>
      </c>
      <c r="I487" s="148">
        <v>5</v>
      </c>
      <c r="J487" s="148" t="s">
        <v>150</v>
      </c>
      <c r="K487" s="148" t="s">
        <v>455</v>
      </c>
      <c r="M487" s="148" t="s">
        <v>173</v>
      </c>
      <c r="N487" s="148">
        <v>8</v>
      </c>
      <c r="O487" s="148" t="s">
        <v>83</v>
      </c>
      <c r="Y487" s="150" t="s">
        <v>366</v>
      </c>
    </row>
    <row r="488" spans="1:26" ht="15.75" hidden="1" customHeight="1" x14ac:dyDescent="0.25">
      <c r="A488" s="148" t="s">
        <v>76</v>
      </c>
      <c r="B488" s="148" t="s">
        <v>77</v>
      </c>
      <c r="C488" s="148" t="s">
        <v>55</v>
      </c>
      <c r="D488" s="148" t="s">
        <v>29</v>
      </c>
      <c r="E488" s="148" t="s">
        <v>30</v>
      </c>
      <c r="F488" s="148" t="s">
        <v>41</v>
      </c>
      <c r="G488" s="148" t="s">
        <v>363</v>
      </c>
      <c r="H488" s="148">
        <v>2005</v>
      </c>
      <c r="I488" s="148">
        <v>5</v>
      </c>
      <c r="J488" s="148" t="s">
        <v>118</v>
      </c>
      <c r="K488" s="148" t="s">
        <v>172</v>
      </c>
      <c r="M488" s="148" t="s">
        <v>346</v>
      </c>
      <c r="N488" s="148">
        <v>10</v>
      </c>
      <c r="O488" s="148" t="s">
        <v>101</v>
      </c>
      <c r="P488" s="148" t="s">
        <v>512</v>
      </c>
      <c r="Y488" s="150" t="s">
        <v>366</v>
      </c>
    </row>
    <row r="489" spans="1:26" ht="15.75" hidden="1" customHeight="1" x14ac:dyDescent="0.25">
      <c r="A489" s="148" t="s">
        <v>76</v>
      </c>
      <c r="B489" s="148" t="s">
        <v>198</v>
      </c>
      <c r="C489" s="148" t="s">
        <v>45</v>
      </c>
      <c r="D489" s="148" t="s">
        <v>29</v>
      </c>
      <c r="E489" s="148" t="s">
        <v>30</v>
      </c>
      <c r="F489" s="148" t="s">
        <v>199</v>
      </c>
      <c r="G489" s="148" t="s">
        <v>232</v>
      </c>
      <c r="H489" s="148">
        <v>2005</v>
      </c>
      <c r="I489" s="148">
        <v>6</v>
      </c>
      <c r="J489" s="148" t="s">
        <v>150</v>
      </c>
      <c r="K489" s="148" t="s">
        <v>374</v>
      </c>
      <c r="M489" s="148" t="s">
        <v>464</v>
      </c>
      <c r="N489" s="148">
        <v>8</v>
      </c>
      <c r="O489" s="148" t="s">
        <v>83</v>
      </c>
      <c r="Y489" s="150" t="s">
        <v>366</v>
      </c>
      <c r="Z489" s="148" t="s">
        <v>465</v>
      </c>
    </row>
    <row r="490" spans="1:26" ht="15.75" hidden="1" customHeight="1" x14ac:dyDescent="0.25">
      <c r="A490" s="148" t="s">
        <v>76</v>
      </c>
      <c r="B490" s="148" t="s">
        <v>116</v>
      </c>
      <c r="C490" s="148" t="s">
        <v>90</v>
      </c>
      <c r="D490" s="148" t="s">
        <v>86</v>
      </c>
      <c r="E490" s="148" t="s">
        <v>40</v>
      </c>
      <c r="F490" s="148" t="s">
        <v>41</v>
      </c>
      <c r="G490" s="148" t="s">
        <v>117</v>
      </c>
      <c r="H490" s="148">
        <v>2005</v>
      </c>
      <c r="I490" s="148">
        <v>6</v>
      </c>
      <c r="J490" s="148" t="s">
        <v>150</v>
      </c>
      <c r="K490" s="148" t="s">
        <v>571</v>
      </c>
      <c r="M490" s="148" t="s">
        <v>572</v>
      </c>
      <c r="N490" s="148">
        <v>6</v>
      </c>
      <c r="O490" s="148" t="s">
        <v>83</v>
      </c>
      <c r="Y490" s="150" t="s">
        <v>366</v>
      </c>
    </row>
    <row r="491" spans="1:26" ht="15.75" hidden="1" customHeight="1" x14ac:dyDescent="0.25">
      <c r="A491" s="148" t="s">
        <v>76</v>
      </c>
      <c r="B491" s="148" t="s">
        <v>103</v>
      </c>
      <c r="C491" s="148" t="s">
        <v>55</v>
      </c>
      <c r="D491" s="148" t="s">
        <v>94</v>
      </c>
      <c r="E491" s="148" t="s">
        <v>95</v>
      </c>
      <c r="F491" s="148" t="s">
        <v>56</v>
      </c>
      <c r="G491" s="148" t="s">
        <v>111</v>
      </c>
      <c r="H491" s="148">
        <v>2005</v>
      </c>
      <c r="I491" s="148">
        <v>6</v>
      </c>
      <c r="J491" s="148" t="s">
        <v>150</v>
      </c>
      <c r="K491" s="148" t="s">
        <v>119</v>
      </c>
      <c r="M491" s="148" t="s">
        <v>120</v>
      </c>
      <c r="N491" s="148">
        <v>6</v>
      </c>
      <c r="O491" s="148" t="s">
        <v>83</v>
      </c>
      <c r="Y491" s="150" t="s">
        <v>366</v>
      </c>
    </row>
    <row r="492" spans="1:26" ht="15.75" hidden="1" customHeight="1" x14ac:dyDescent="0.25">
      <c r="A492" s="148" t="s">
        <v>76</v>
      </c>
      <c r="B492" s="148" t="s">
        <v>103</v>
      </c>
      <c r="C492" s="148" t="s">
        <v>55</v>
      </c>
      <c r="D492" s="148" t="s">
        <v>29</v>
      </c>
      <c r="E492" s="148" t="s">
        <v>95</v>
      </c>
      <c r="F492" s="148" t="s">
        <v>56</v>
      </c>
      <c r="G492" s="148" t="s">
        <v>104</v>
      </c>
      <c r="H492" s="148">
        <v>2005</v>
      </c>
      <c r="I492" s="148">
        <v>6</v>
      </c>
      <c r="J492" s="148" t="s">
        <v>150</v>
      </c>
      <c r="K492" s="148" t="s">
        <v>573</v>
      </c>
      <c r="M492" s="148" t="s">
        <v>574</v>
      </c>
      <c r="N492" s="148">
        <v>6</v>
      </c>
      <c r="O492" s="148" t="s">
        <v>83</v>
      </c>
      <c r="Y492" s="150" t="s">
        <v>366</v>
      </c>
    </row>
    <row r="493" spans="1:26" ht="15.75" hidden="1" customHeight="1" x14ac:dyDescent="0.25">
      <c r="A493" s="148" t="s">
        <v>76</v>
      </c>
      <c r="B493" s="148" t="s">
        <v>89</v>
      </c>
      <c r="C493" s="148" t="s">
        <v>90</v>
      </c>
      <c r="D493" s="148" t="s">
        <v>29</v>
      </c>
      <c r="E493" s="148" t="s">
        <v>30</v>
      </c>
      <c r="F493" s="148" t="s">
        <v>91</v>
      </c>
      <c r="G493" s="148" t="s">
        <v>222</v>
      </c>
      <c r="H493" s="148">
        <v>2005</v>
      </c>
      <c r="I493" s="148">
        <v>6</v>
      </c>
      <c r="J493" s="148" t="s">
        <v>150</v>
      </c>
      <c r="M493" s="148" t="s">
        <v>575</v>
      </c>
      <c r="N493" s="148">
        <v>8</v>
      </c>
      <c r="O493" s="148" t="s">
        <v>83</v>
      </c>
      <c r="Y493" s="150" t="s">
        <v>366</v>
      </c>
      <c r="Z493" s="148" t="s">
        <v>465</v>
      </c>
    </row>
    <row r="494" spans="1:26" ht="15.75" hidden="1" customHeight="1" x14ac:dyDescent="0.25">
      <c r="A494" s="148" t="s">
        <v>76</v>
      </c>
      <c r="B494" s="148" t="s">
        <v>44</v>
      </c>
      <c r="C494" s="148" t="s">
        <v>45</v>
      </c>
      <c r="D494" s="148" t="s">
        <v>86</v>
      </c>
      <c r="E494" s="148" t="s">
        <v>30</v>
      </c>
      <c r="F494" s="148" t="s">
        <v>47</v>
      </c>
      <c r="G494" s="148" t="s">
        <v>377</v>
      </c>
      <c r="H494" s="148">
        <v>2005</v>
      </c>
      <c r="I494" s="148">
        <v>6</v>
      </c>
      <c r="J494" s="148" t="s">
        <v>150</v>
      </c>
      <c r="K494" s="148" t="s">
        <v>374</v>
      </c>
      <c r="M494" s="148" t="s">
        <v>464</v>
      </c>
      <c r="N494" s="148">
        <v>8</v>
      </c>
      <c r="O494" s="148" t="s">
        <v>83</v>
      </c>
      <c r="Y494" s="150" t="s">
        <v>366</v>
      </c>
      <c r="Z494" s="148" t="s">
        <v>465</v>
      </c>
    </row>
    <row r="495" spans="1:26" ht="15.75" hidden="1" customHeight="1" x14ac:dyDescent="0.25">
      <c r="A495" s="148" t="s">
        <v>76</v>
      </c>
      <c r="B495" s="148" t="s">
        <v>36</v>
      </c>
      <c r="C495" s="148" t="s">
        <v>28</v>
      </c>
      <c r="D495" s="148" t="s">
        <v>86</v>
      </c>
      <c r="E495" s="148" t="s">
        <v>51</v>
      </c>
      <c r="F495" s="148" t="s">
        <v>3183</v>
      </c>
      <c r="G495" s="148" t="s">
        <v>69</v>
      </c>
      <c r="H495" s="148">
        <v>2005</v>
      </c>
      <c r="I495" s="148">
        <v>6</v>
      </c>
      <c r="J495" s="148" t="s">
        <v>150</v>
      </c>
      <c r="M495" s="148" t="s">
        <v>575</v>
      </c>
      <c r="N495" s="148">
        <v>8</v>
      </c>
      <c r="O495" s="148" t="s">
        <v>83</v>
      </c>
      <c r="Y495" s="150" t="s">
        <v>366</v>
      </c>
      <c r="Z495" s="148" t="s">
        <v>465</v>
      </c>
    </row>
    <row r="496" spans="1:26" ht="15.75" hidden="1" customHeight="1" x14ac:dyDescent="0.25">
      <c r="A496" s="148" t="s">
        <v>76</v>
      </c>
      <c r="B496" s="148" t="s">
        <v>54</v>
      </c>
      <c r="C496" s="148" t="s">
        <v>55</v>
      </c>
      <c r="D496" s="148" t="s">
        <v>65</v>
      </c>
      <c r="E496" s="148" t="s">
        <v>30</v>
      </c>
      <c r="F496" s="148" t="s">
        <v>56</v>
      </c>
      <c r="G496" s="148" t="s">
        <v>54</v>
      </c>
      <c r="H496" s="148">
        <v>2005</v>
      </c>
      <c r="I496" s="148">
        <v>6</v>
      </c>
      <c r="J496" s="148" t="s">
        <v>150</v>
      </c>
      <c r="K496" s="148" t="s">
        <v>119</v>
      </c>
      <c r="M496" s="148" t="s">
        <v>120</v>
      </c>
      <c r="N496" s="148">
        <v>8</v>
      </c>
      <c r="O496" s="148" t="s">
        <v>83</v>
      </c>
      <c r="Y496" s="150" t="s">
        <v>366</v>
      </c>
      <c r="Z496" s="148" t="s">
        <v>465</v>
      </c>
    </row>
    <row r="497" spans="1:26" ht="15.75" hidden="1" customHeight="1" x14ac:dyDescent="0.25">
      <c r="A497" s="148" t="s">
        <v>76</v>
      </c>
      <c r="B497" s="148" t="s">
        <v>116</v>
      </c>
      <c r="C497" s="148" t="s">
        <v>90</v>
      </c>
      <c r="D497" s="148" t="s">
        <v>29</v>
      </c>
      <c r="E497" s="148" t="s">
        <v>30</v>
      </c>
      <c r="F497" s="148" t="s">
        <v>41</v>
      </c>
      <c r="G497" s="148" t="s">
        <v>476</v>
      </c>
      <c r="H497" s="148">
        <v>2005</v>
      </c>
      <c r="I497" s="148">
        <v>6</v>
      </c>
      <c r="J497" s="148" t="s">
        <v>150</v>
      </c>
      <c r="K497" s="148" t="s">
        <v>571</v>
      </c>
      <c r="M497" s="148" t="s">
        <v>572</v>
      </c>
      <c r="N497" s="148">
        <v>6</v>
      </c>
      <c r="O497" s="148" t="s">
        <v>83</v>
      </c>
      <c r="Y497" s="150" t="s">
        <v>366</v>
      </c>
    </row>
    <row r="498" spans="1:26" ht="15.75" hidden="1" customHeight="1" x14ac:dyDescent="0.25">
      <c r="A498" s="148" t="s">
        <v>76</v>
      </c>
      <c r="B498" s="148" t="s">
        <v>77</v>
      </c>
      <c r="C498" s="148" t="s">
        <v>55</v>
      </c>
      <c r="D498" s="148" t="s">
        <v>29</v>
      </c>
      <c r="E498" s="148" t="s">
        <v>30</v>
      </c>
      <c r="F498" s="148" t="s">
        <v>41</v>
      </c>
      <c r="G498" s="148" t="s">
        <v>275</v>
      </c>
      <c r="H498" s="148">
        <v>2005</v>
      </c>
      <c r="I498" s="148">
        <v>6</v>
      </c>
      <c r="J498" s="148" t="s">
        <v>118</v>
      </c>
      <c r="K498" s="148" t="s">
        <v>576</v>
      </c>
      <c r="M498" s="148" t="s">
        <v>577</v>
      </c>
      <c r="N498" s="148">
        <v>6</v>
      </c>
      <c r="O498" s="148" t="s">
        <v>101</v>
      </c>
      <c r="P498" s="148" t="s">
        <v>578</v>
      </c>
      <c r="Y498" s="150" t="s">
        <v>366</v>
      </c>
    </row>
    <row r="499" spans="1:26" ht="15.75" hidden="1" customHeight="1" x14ac:dyDescent="0.25">
      <c r="A499" s="148" t="s">
        <v>76</v>
      </c>
      <c r="B499" s="148" t="s">
        <v>89</v>
      </c>
      <c r="C499" s="148" t="s">
        <v>90</v>
      </c>
      <c r="D499" s="148" t="s">
        <v>29</v>
      </c>
      <c r="E499" s="148" t="s">
        <v>30</v>
      </c>
      <c r="F499" s="148" t="s">
        <v>91</v>
      </c>
      <c r="G499" s="148" t="s">
        <v>93</v>
      </c>
      <c r="H499" s="148">
        <v>2005</v>
      </c>
      <c r="I499" s="148">
        <v>6</v>
      </c>
      <c r="J499" s="148" t="s">
        <v>150</v>
      </c>
      <c r="M499" s="148" t="s">
        <v>575</v>
      </c>
      <c r="N499" s="148">
        <v>8</v>
      </c>
      <c r="O499" s="148" t="s">
        <v>83</v>
      </c>
      <c r="Y499" s="150" t="s">
        <v>366</v>
      </c>
      <c r="Z499" s="148" t="s">
        <v>465</v>
      </c>
    </row>
    <row r="500" spans="1:26" ht="15.75" hidden="1" customHeight="1" x14ac:dyDescent="0.25">
      <c r="A500" s="148" t="s">
        <v>76</v>
      </c>
      <c r="B500" s="148" t="s">
        <v>103</v>
      </c>
      <c r="C500" s="148" t="s">
        <v>55</v>
      </c>
      <c r="D500" s="148" t="s">
        <v>29</v>
      </c>
      <c r="E500" s="148" t="s">
        <v>30</v>
      </c>
      <c r="F500" s="148" t="s">
        <v>56</v>
      </c>
      <c r="G500" s="148" t="s">
        <v>137</v>
      </c>
      <c r="H500" s="148">
        <v>2005</v>
      </c>
      <c r="I500" s="148">
        <v>6</v>
      </c>
      <c r="J500" s="148" t="s">
        <v>150</v>
      </c>
      <c r="K500" s="148" t="s">
        <v>573</v>
      </c>
      <c r="M500" s="148" t="s">
        <v>574</v>
      </c>
      <c r="N500" s="148">
        <v>6</v>
      </c>
      <c r="O500" s="148" t="s">
        <v>83</v>
      </c>
      <c r="Y500" s="150" t="s">
        <v>366</v>
      </c>
    </row>
    <row r="501" spans="1:26" ht="15.75" hidden="1" customHeight="1" x14ac:dyDescent="0.25">
      <c r="A501" s="148" t="s">
        <v>76</v>
      </c>
      <c r="B501" s="148" t="s">
        <v>103</v>
      </c>
      <c r="C501" s="148" t="s">
        <v>55</v>
      </c>
      <c r="D501" s="148" t="s">
        <v>478</v>
      </c>
      <c r="E501" s="148" t="s">
        <v>95</v>
      </c>
      <c r="F501" s="148" t="s">
        <v>56</v>
      </c>
      <c r="G501" s="148" t="s">
        <v>108</v>
      </c>
      <c r="H501" s="148">
        <v>2005</v>
      </c>
      <c r="I501" s="148">
        <v>6</v>
      </c>
      <c r="J501" s="148" t="s">
        <v>118</v>
      </c>
      <c r="K501" s="148" t="s">
        <v>579</v>
      </c>
      <c r="M501" s="148" t="s">
        <v>120</v>
      </c>
      <c r="N501" s="148">
        <v>6</v>
      </c>
      <c r="O501" s="148" t="s">
        <v>101</v>
      </c>
      <c r="P501" s="148" t="s">
        <v>580</v>
      </c>
      <c r="Y501" s="150" t="s">
        <v>581</v>
      </c>
    </row>
    <row r="502" spans="1:26" ht="15.75" hidden="1" customHeight="1" x14ac:dyDescent="0.25">
      <c r="A502" s="148" t="s">
        <v>76</v>
      </c>
      <c r="B502" s="148" t="s">
        <v>44</v>
      </c>
      <c r="C502" s="148" t="s">
        <v>45</v>
      </c>
      <c r="D502" s="148" t="s">
        <v>29</v>
      </c>
      <c r="E502" s="148" t="s">
        <v>46</v>
      </c>
      <c r="F502" s="148" t="s">
        <v>47</v>
      </c>
      <c r="G502" s="148" t="s">
        <v>48</v>
      </c>
      <c r="H502" s="148">
        <v>2005</v>
      </c>
      <c r="I502" s="148">
        <v>6</v>
      </c>
      <c r="J502" s="148" t="s">
        <v>118</v>
      </c>
      <c r="K502" s="148" t="s">
        <v>579</v>
      </c>
      <c r="M502" s="148" t="s">
        <v>120</v>
      </c>
      <c r="N502" s="148">
        <v>6</v>
      </c>
      <c r="O502" s="148" t="s">
        <v>101</v>
      </c>
      <c r="P502" s="148" t="s">
        <v>582</v>
      </c>
      <c r="Y502" s="150" t="s">
        <v>583</v>
      </c>
    </row>
    <row r="503" spans="1:26" ht="15.75" hidden="1" customHeight="1" x14ac:dyDescent="0.25">
      <c r="A503" s="148" t="s">
        <v>76</v>
      </c>
      <c r="B503" s="148" t="s">
        <v>27</v>
      </c>
      <c r="C503" s="148" t="s">
        <v>28</v>
      </c>
      <c r="D503" s="148" t="s">
        <v>158</v>
      </c>
      <c r="E503" s="148" t="s">
        <v>30</v>
      </c>
      <c r="F503" s="148" t="s">
        <v>3183</v>
      </c>
      <c r="G503" s="148" t="s">
        <v>32</v>
      </c>
      <c r="H503" s="148">
        <v>2005</v>
      </c>
      <c r="I503" s="148">
        <v>7</v>
      </c>
      <c r="J503" s="148" t="s">
        <v>118</v>
      </c>
      <c r="K503" s="148" t="s">
        <v>584</v>
      </c>
      <c r="M503" s="148" t="s">
        <v>521</v>
      </c>
      <c r="N503" s="148">
        <v>8</v>
      </c>
      <c r="O503" s="148" t="s">
        <v>101</v>
      </c>
      <c r="P503" s="148" t="s">
        <v>156</v>
      </c>
      <c r="Y503" s="150" t="s">
        <v>366</v>
      </c>
      <c r="Z503" s="148" t="s">
        <v>585</v>
      </c>
    </row>
    <row r="504" spans="1:26" ht="15.75" hidden="1" customHeight="1" x14ac:dyDescent="0.25">
      <c r="A504" s="148" t="s">
        <v>76</v>
      </c>
      <c r="B504" s="148" t="s">
        <v>103</v>
      </c>
      <c r="C504" s="148" t="s">
        <v>55</v>
      </c>
      <c r="D504" s="148" t="s">
        <v>29</v>
      </c>
      <c r="E504" s="148" t="s">
        <v>95</v>
      </c>
      <c r="F504" s="148" t="s">
        <v>56</v>
      </c>
      <c r="G504" s="148" t="s">
        <v>382</v>
      </c>
      <c r="H504" s="148">
        <v>2005</v>
      </c>
      <c r="I504" s="148">
        <v>7</v>
      </c>
      <c r="J504" s="148" t="s">
        <v>150</v>
      </c>
      <c r="K504" s="148" t="s">
        <v>374</v>
      </c>
      <c r="M504" s="148" t="s">
        <v>464</v>
      </c>
      <c r="N504" s="148">
        <v>8</v>
      </c>
      <c r="O504" s="148" t="s">
        <v>83</v>
      </c>
      <c r="Y504" s="150" t="s">
        <v>366</v>
      </c>
      <c r="Z504" s="148" t="s">
        <v>465</v>
      </c>
    </row>
    <row r="505" spans="1:26" ht="15.75" hidden="1" customHeight="1" x14ac:dyDescent="0.25">
      <c r="A505" s="148" t="s">
        <v>76</v>
      </c>
      <c r="B505" s="148" t="s">
        <v>103</v>
      </c>
      <c r="C505" s="148" t="s">
        <v>55</v>
      </c>
      <c r="D505" s="148" t="s">
        <v>490</v>
      </c>
      <c r="E505" s="148" t="s">
        <v>95</v>
      </c>
      <c r="F505" s="148" t="s">
        <v>56</v>
      </c>
      <c r="G505" s="148" t="s">
        <v>168</v>
      </c>
      <c r="H505" s="148">
        <v>2005</v>
      </c>
      <c r="I505" s="148">
        <v>7</v>
      </c>
      <c r="J505" s="148" t="s">
        <v>118</v>
      </c>
      <c r="K505" s="148" t="s">
        <v>327</v>
      </c>
      <c r="M505" s="148" t="s">
        <v>132</v>
      </c>
      <c r="N505" s="148">
        <v>8</v>
      </c>
      <c r="O505" s="148" t="s">
        <v>101</v>
      </c>
      <c r="P505" s="148" t="s">
        <v>435</v>
      </c>
      <c r="Y505" s="150" t="s">
        <v>366</v>
      </c>
    </row>
    <row r="506" spans="1:26" ht="15.75" hidden="1" customHeight="1" x14ac:dyDescent="0.25">
      <c r="A506" s="148" t="s">
        <v>76</v>
      </c>
      <c r="B506" s="148" t="s">
        <v>103</v>
      </c>
      <c r="C506" s="148" t="s">
        <v>55</v>
      </c>
      <c r="D506" s="148" t="s">
        <v>29</v>
      </c>
      <c r="E506" s="148" t="s">
        <v>30</v>
      </c>
      <c r="F506" s="148" t="s">
        <v>56</v>
      </c>
      <c r="G506" s="148" t="s">
        <v>381</v>
      </c>
      <c r="H506" s="148">
        <v>2005</v>
      </c>
      <c r="I506" s="148">
        <v>7</v>
      </c>
      <c r="J506" s="148" t="s">
        <v>150</v>
      </c>
      <c r="K506" s="148" t="s">
        <v>374</v>
      </c>
      <c r="M506" s="148" t="s">
        <v>464</v>
      </c>
      <c r="N506" s="148">
        <v>8</v>
      </c>
      <c r="O506" s="148" t="s">
        <v>83</v>
      </c>
      <c r="Y506" s="150" t="s">
        <v>366</v>
      </c>
      <c r="Z506" s="148" t="s">
        <v>465</v>
      </c>
    </row>
    <row r="507" spans="1:26" ht="15.75" hidden="1" customHeight="1" x14ac:dyDescent="0.25">
      <c r="A507" s="148" t="s">
        <v>76</v>
      </c>
      <c r="B507" s="148" t="s">
        <v>36</v>
      </c>
      <c r="C507" s="148" t="s">
        <v>28</v>
      </c>
      <c r="D507" s="148" t="s">
        <v>29</v>
      </c>
      <c r="E507" s="148" t="s">
        <v>51</v>
      </c>
      <c r="F507" s="148" t="s">
        <v>3183</v>
      </c>
      <c r="G507" s="148" t="s">
        <v>52</v>
      </c>
      <c r="H507" s="148">
        <v>2005</v>
      </c>
      <c r="I507" s="148">
        <v>7</v>
      </c>
      <c r="J507" s="148" t="s">
        <v>118</v>
      </c>
      <c r="K507" s="148" t="s">
        <v>172</v>
      </c>
      <c r="M507" s="148" t="s">
        <v>346</v>
      </c>
      <c r="N507" s="148">
        <v>8</v>
      </c>
      <c r="O507" s="148" t="s">
        <v>101</v>
      </c>
      <c r="P507" s="148" t="s">
        <v>586</v>
      </c>
      <c r="Y507" s="150" t="s">
        <v>587</v>
      </c>
    </row>
    <row r="508" spans="1:26" ht="15.75" hidden="1" customHeight="1" x14ac:dyDescent="0.25">
      <c r="A508" s="148" t="s">
        <v>76</v>
      </c>
      <c r="B508" s="148" t="s">
        <v>44</v>
      </c>
      <c r="C508" s="148" t="s">
        <v>45</v>
      </c>
      <c r="D508" s="148" t="s">
        <v>29</v>
      </c>
      <c r="E508" s="148" t="s">
        <v>46</v>
      </c>
      <c r="F508" s="148" t="s">
        <v>47</v>
      </c>
      <c r="G508" s="148" t="s">
        <v>48</v>
      </c>
      <c r="H508" s="148">
        <v>2005</v>
      </c>
      <c r="I508" s="148">
        <v>7</v>
      </c>
      <c r="J508" s="148" t="s">
        <v>150</v>
      </c>
      <c r="K508" s="148" t="s">
        <v>514</v>
      </c>
      <c r="M508" s="148" t="s">
        <v>515</v>
      </c>
      <c r="N508" s="148">
        <v>6</v>
      </c>
      <c r="O508" s="148" t="s">
        <v>83</v>
      </c>
      <c r="Y508" s="150" t="s">
        <v>366</v>
      </c>
    </row>
    <row r="509" spans="1:26" ht="15.75" hidden="1" customHeight="1" x14ac:dyDescent="0.25">
      <c r="A509" s="148" t="s">
        <v>76</v>
      </c>
      <c r="B509" s="148" t="s">
        <v>71</v>
      </c>
      <c r="C509" s="148" t="s">
        <v>45</v>
      </c>
      <c r="D509" s="148" t="s">
        <v>29</v>
      </c>
      <c r="E509" s="148" t="s">
        <v>30</v>
      </c>
      <c r="F509" s="148" t="s">
        <v>3183</v>
      </c>
      <c r="G509" s="148" t="s">
        <v>588</v>
      </c>
      <c r="H509" s="148">
        <v>2005</v>
      </c>
      <c r="I509" s="148">
        <v>7</v>
      </c>
      <c r="J509" s="148" t="s">
        <v>118</v>
      </c>
      <c r="K509" s="148" t="s">
        <v>172</v>
      </c>
      <c r="M509" s="148" t="s">
        <v>346</v>
      </c>
      <c r="N509" s="148">
        <v>10</v>
      </c>
      <c r="O509" s="148" t="s">
        <v>101</v>
      </c>
      <c r="P509" s="148" t="s">
        <v>589</v>
      </c>
      <c r="Y509" s="150" t="s">
        <v>366</v>
      </c>
    </row>
    <row r="510" spans="1:26" ht="15.75" hidden="1" customHeight="1" x14ac:dyDescent="0.25">
      <c r="A510" s="148" t="s">
        <v>76</v>
      </c>
      <c r="B510" s="148" t="s">
        <v>36</v>
      </c>
      <c r="C510" s="148" t="s">
        <v>28</v>
      </c>
      <c r="D510" s="148" t="s">
        <v>29</v>
      </c>
      <c r="E510" s="148" t="s">
        <v>30</v>
      </c>
      <c r="F510" s="148" t="s">
        <v>3183</v>
      </c>
      <c r="G510" s="148" t="s">
        <v>114</v>
      </c>
      <c r="H510" s="148">
        <v>2005</v>
      </c>
      <c r="I510" s="148">
        <v>7</v>
      </c>
      <c r="J510" s="148" t="s">
        <v>118</v>
      </c>
      <c r="K510" s="148" t="s">
        <v>327</v>
      </c>
      <c r="M510" s="148" t="s">
        <v>132</v>
      </c>
      <c r="N510" s="148">
        <v>8</v>
      </c>
      <c r="O510" s="148" t="s">
        <v>101</v>
      </c>
      <c r="P510" s="148" t="s">
        <v>512</v>
      </c>
      <c r="Y510" s="150" t="s">
        <v>590</v>
      </c>
    </row>
    <row r="511" spans="1:26" ht="15.75" hidden="1" customHeight="1" x14ac:dyDescent="0.25">
      <c r="A511" s="148" t="s">
        <v>76</v>
      </c>
      <c r="B511" s="148" t="s">
        <v>89</v>
      </c>
      <c r="C511" s="148" t="s">
        <v>90</v>
      </c>
      <c r="D511" s="148" t="s">
        <v>29</v>
      </c>
      <c r="E511" s="148" t="s">
        <v>30</v>
      </c>
      <c r="F511" s="148" t="s">
        <v>91</v>
      </c>
      <c r="G511" s="148" t="s">
        <v>280</v>
      </c>
      <c r="H511" s="148">
        <v>2005</v>
      </c>
      <c r="I511" s="148">
        <v>7</v>
      </c>
      <c r="J511" s="148" t="s">
        <v>118</v>
      </c>
      <c r="K511" s="148" t="s">
        <v>172</v>
      </c>
      <c r="M511" s="148" t="s">
        <v>346</v>
      </c>
      <c r="N511" s="148">
        <v>8</v>
      </c>
      <c r="O511" s="148" t="s">
        <v>101</v>
      </c>
      <c r="P511" s="148" t="s">
        <v>146</v>
      </c>
      <c r="Y511" s="150" t="s">
        <v>591</v>
      </c>
    </row>
    <row r="512" spans="1:26" ht="15.75" hidden="1" customHeight="1" x14ac:dyDescent="0.25">
      <c r="A512" s="148" t="s">
        <v>76</v>
      </c>
      <c r="B512" s="148" t="s">
        <v>89</v>
      </c>
      <c r="C512" s="148" t="s">
        <v>90</v>
      </c>
      <c r="D512" s="148" t="s">
        <v>342</v>
      </c>
      <c r="E512" s="148" t="s">
        <v>30</v>
      </c>
      <c r="F512" s="148" t="s">
        <v>91</v>
      </c>
      <c r="G512" s="148" t="s">
        <v>343</v>
      </c>
      <c r="H512" s="148">
        <v>2005</v>
      </c>
      <c r="I512" s="148">
        <v>8</v>
      </c>
      <c r="J512" s="148" t="s">
        <v>150</v>
      </c>
      <c r="K512" s="148" t="s">
        <v>440</v>
      </c>
      <c r="M512" s="148" t="s">
        <v>441</v>
      </c>
      <c r="N512" s="148">
        <v>6</v>
      </c>
      <c r="O512" s="148" t="s">
        <v>83</v>
      </c>
      <c r="Y512" s="150" t="s">
        <v>366</v>
      </c>
    </row>
    <row r="513" spans="1:26" ht="15.75" hidden="1" customHeight="1" x14ac:dyDescent="0.25">
      <c r="A513" s="148" t="s">
        <v>76</v>
      </c>
      <c r="B513" s="148" t="s">
        <v>89</v>
      </c>
      <c r="C513" s="148" t="s">
        <v>90</v>
      </c>
      <c r="D513" s="148" t="s">
        <v>29</v>
      </c>
      <c r="E513" s="148" t="s">
        <v>30</v>
      </c>
      <c r="F513" s="148" t="s">
        <v>91</v>
      </c>
      <c r="G513" s="148" t="s">
        <v>443</v>
      </c>
      <c r="H513" s="148">
        <v>2005</v>
      </c>
      <c r="I513" s="148">
        <v>8</v>
      </c>
      <c r="J513" s="148" t="s">
        <v>150</v>
      </c>
      <c r="K513" s="148" t="s">
        <v>440</v>
      </c>
      <c r="M513" s="148" t="s">
        <v>441</v>
      </c>
      <c r="N513" s="148">
        <v>6</v>
      </c>
      <c r="O513" s="148" t="s">
        <v>83</v>
      </c>
      <c r="Y513" s="150" t="s">
        <v>366</v>
      </c>
    </row>
    <row r="514" spans="1:26" ht="15.75" hidden="1" customHeight="1" x14ac:dyDescent="0.25">
      <c r="A514" s="148" t="s">
        <v>76</v>
      </c>
      <c r="B514" s="148" t="s">
        <v>116</v>
      </c>
      <c r="C514" s="148" t="s">
        <v>90</v>
      </c>
      <c r="D514" s="148" t="s">
        <v>29</v>
      </c>
      <c r="E514" s="148" t="s">
        <v>30</v>
      </c>
      <c r="F514" s="148" t="s">
        <v>41</v>
      </c>
      <c r="G514" s="148" t="s">
        <v>421</v>
      </c>
      <c r="H514" s="148">
        <v>2005</v>
      </c>
      <c r="I514" s="148">
        <v>8</v>
      </c>
      <c r="J514" s="148" t="s">
        <v>150</v>
      </c>
      <c r="K514" s="148" t="s">
        <v>440</v>
      </c>
      <c r="M514" s="148" t="s">
        <v>441</v>
      </c>
      <c r="N514" s="148">
        <v>6</v>
      </c>
      <c r="O514" s="148" t="s">
        <v>83</v>
      </c>
      <c r="Y514" s="150" t="s">
        <v>366</v>
      </c>
    </row>
    <row r="515" spans="1:26" ht="15.75" hidden="1" customHeight="1" x14ac:dyDescent="0.25">
      <c r="A515" s="148" t="s">
        <v>76</v>
      </c>
      <c r="B515" s="148" t="s">
        <v>89</v>
      </c>
      <c r="C515" s="148" t="s">
        <v>90</v>
      </c>
      <c r="D515" s="148" t="s">
        <v>29</v>
      </c>
      <c r="E515" s="148" t="s">
        <v>30</v>
      </c>
      <c r="F515" s="148" t="s">
        <v>91</v>
      </c>
      <c r="G515" s="148" t="s">
        <v>592</v>
      </c>
      <c r="H515" s="148">
        <v>2005</v>
      </c>
      <c r="I515" s="148">
        <v>8</v>
      </c>
      <c r="J515" s="148" t="s">
        <v>118</v>
      </c>
      <c r="K515" s="148" t="s">
        <v>172</v>
      </c>
      <c r="M515" s="148" t="s">
        <v>346</v>
      </c>
      <c r="N515" s="148">
        <v>10</v>
      </c>
      <c r="O515" s="148" t="s">
        <v>101</v>
      </c>
      <c r="P515" s="148" t="s">
        <v>593</v>
      </c>
      <c r="Y515" s="150" t="s">
        <v>366</v>
      </c>
    </row>
    <row r="516" spans="1:26" ht="15.75" hidden="1" customHeight="1" x14ac:dyDescent="0.25">
      <c r="A516" s="148" t="s">
        <v>307</v>
      </c>
      <c r="B516" s="148" t="s">
        <v>54</v>
      </c>
      <c r="C516" s="148" t="s">
        <v>55</v>
      </c>
      <c r="D516" s="148" t="s">
        <v>65</v>
      </c>
      <c r="E516" s="148" t="s">
        <v>30</v>
      </c>
      <c r="F516" s="148" t="s">
        <v>56</v>
      </c>
      <c r="G516" s="148" t="s">
        <v>54</v>
      </c>
      <c r="H516" s="148">
        <v>2005</v>
      </c>
      <c r="I516" s="148">
        <v>8</v>
      </c>
      <c r="J516" s="148" t="s">
        <v>308</v>
      </c>
      <c r="Q516" s="148" t="s">
        <v>594</v>
      </c>
      <c r="R516" s="148" t="s">
        <v>595</v>
      </c>
      <c r="S516" s="148" t="s">
        <v>596</v>
      </c>
      <c r="T516" s="148" t="s">
        <v>597</v>
      </c>
      <c r="Y516" s="150" t="s">
        <v>366</v>
      </c>
      <c r="Z516" s="148" t="s">
        <v>598</v>
      </c>
    </row>
    <row r="517" spans="1:26" ht="15.75" hidden="1" customHeight="1" x14ac:dyDescent="0.25">
      <c r="A517" s="148" t="s">
        <v>76</v>
      </c>
      <c r="B517" s="148" t="s">
        <v>198</v>
      </c>
      <c r="C517" s="148" t="s">
        <v>45</v>
      </c>
      <c r="D517" s="148" t="s">
        <v>99</v>
      </c>
      <c r="E517" s="148" t="s">
        <v>40</v>
      </c>
      <c r="F517" s="148" t="s">
        <v>199</v>
      </c>
      <c r="G517" s="148" t="s">
        <v>282</v>
      </c>
      <c r="H517" s="148">
        <v>2005</v>
      </c>
      <c r="I517" s="148">
        <v>9</v>
      </c>
      <c r="J517" s="148" t="s">
        <v>150</v>
      </c>
      <c r="K517" s="148" t="s">
        <v>374</v>
      </c>
      <c r="M517" s="148" t="s">
        <v>389</v>
      </c>
      <c r="N517" s="148">
        <v>8</v>
      </c>
      <c r="O517" s="148" t="s">
        <v>83</v>
      </c>
      <c r="Y517" s="150" t="s">
        <v>366</v>
      </c>
    </row>
    <row r="518" spans="1:26" ht="15.75" hidden="1" customHeight="1" x14ac:dyDescent="0.25">
      <c r="A518" s="148" t="s">
        <v>76</v>
      </c>
      <c r="B518" s="148" t="s">
        <v>71</v>
      </c>
      <c r="C518" s="148" t="s">
        <v>45</v>
      </c>
      <c r="D518" s="148" t="s">
        <v>29</v>
      </c>
      <c r="E518" s="148" t="s">
        <v>72</v>
      </c>
      <c r="F518" s="148" t="s">
        <v>3183</v>
      </c>
      <c r="G518" s="148" t="s">
        <v>73</v>
      </c>
      <c r="H518" s="148">
        <v>2005</v>
      </c>
      <c r="I518" s="148">
        <v>9</v>
      </c>
      <c r="J518" s="148" t="s">
        <v>118</v>
      </c>
      <c r="K518" s="148" t="s">
        <v>172</v>
      </c>
      <c r="M518" s="148" t="s">
        <v>346</v>
      </c>
      <c r="N518" s="148">
        <v>10</v>
      </c>
      <c r="O518" s="148" t="s">
        <v>101</v>
      </c>
      <c r="P518" s="148" t="s">
        <v>562</v>
      </c>
      <c r="Y518" s="150" t="s">
        <v>366</v>
      </c>
    </row>
    <row r="519" spans="1:26" ht="15.75" hidden="1" customHeight="1" x14ac:dyDescent="0.25">
      <c r="A519" s="148" t="s">
        <v>76</v>
      </c>
      <c r="B519" s="148" t="s">
        <v>103</v>
      </c>
      <c r="C519" s="148" t="s">
        <v>55</v>
      </c>
      <c r="D519" s="148" t="s">
        <v>29</v>
      </c>
      <c r="E519" s="148" t="s">
        <v>95</v>
      </c>
      <c r="F519" s="148" t="s">
        <v>56</v>
      </c>
      <c r="G519" s="148" t="s">
        <v>382</v>
      </c>
      <c r="H519" s="148">
        <v>2005</v>
      </c>
      <c r="I519" s="148">
        <v>9</v>
      </c>
      <c r="J519" s="148" t="s">
        <v>150</v>
      </c>
      <c r="M519" s="148" t="s">
        <v>575</v>
      </c>
      <c r="N519" s="148">
        <v>8</v>
      </c>
      <c r="O519" s="148" t="s">
        <v>83</v>
      </c>
      <c r="Y519" s="150" t="s">
        <v>366</v>
      </c>
      <c r="Z519" s="148" t="s">
        <v>465</v>
      </c>
    </row>
    <row r="520" spans="1:26" ht="15.75" hidden="1" customHeight="1" x14ac:dyDescent="0.25">
      <c r="A520" s="148" t="s">
        <v>76</v>
      </c>
      <c r="B520" s="148" t="s">
        <v>198</v>
      </c>
      <c r="C520" s="148" t="s">
        <v>45</v>
      </c>
      <c r="D520" s="148" t="s">
        <v>94</v>
      </c>
      <c r="E520" s="148" t="s">
        <v>30</v>
      </c>
      <c r="F520" s="148" t="s">
        <v>199</v>
      </c>
      <c r="G520" s="148" t="s">
        <v>296</v>
      </c>
      <c r="H520" s="148">
        <v>2005</v>
      </c>
      <c r="I520" s="148">
        <v>9</v>
      </c>
      <c r="J520" s="148" t="s">
        <v>150</v>
      </c>
      <c r="K520" s="148" t="s">
        <v>119</v>
      </c>
      <c r="M520" s="148" t="s">
        <v>120</v>
      </c>
      <c r="N520" s="148">
        <v>6</v>
      </c>
      <c r="O520" s="148" t="s">
        <v>83</v>
      </c>
      <c r="Y520" s="150" t="s">
        <v>366</v>
      </c>
    </row>
    <row r="521" spans="1:26" ht="15.75" hidden="1" customHeight="1" x14ac:dyDescent="0.25">
      <c r="A521" s="148" t="s">
        <v>76</v>
      </c>
      <c r="B521" s="148" t="s">
        <v>198</v>
      </c>
      <c r="C521" s="148" t="s">
        <v>45</v>
      </c>
      <c r="D521" s="148" t="s">
        <v>29</v>
      </c>
      <c r="E521" s="148" t="s">
        <v>30</v>
      </c>
      <c r="F521" s="148" t="s">
        <v>199</v>
      </c>
      <c r="G521" s="148" t="s">
        <v>214</v>
      </c>
      <c r="H521" s="148">
        <v>2005</v>
      </c>
      <c r="I521" s="148">
        <v>9</v>
      </c>
      <c r="J521" s="148" t="s">
        <v>150</v>
      </c>
      <c r="K521" s="148" t="s">
        <v>119</v>
      </c>
      <c r="M521" s="148" t="s">
        <v>120</v>
      </c>
      <c r="N521" s="148">
        <v>6</v>
      </c>
      <c r="O521" s="148" t="s">
        <v>83</v>
      </c>
      <c r="Y521" s="150" t="s">
        <v>366</v>
      </c>
    </row>
    <row r="522" spans="1:26" ht="15.75" hidden="1" customHeight="1" x14ac:dyDescent="0.25">
      <c r="A522" s="148" t="s">
        <v>76</v>
      </c>
      <c r="B522" s="148" t="s">
        <v>103</v>
      </c>
      <c r="C522" s="148" t="s">
        <v>55</v>
      </c>
      <c r="D522" s="148" t="s">
        <v>29</v>
      </c>
      <c r="E522" s="148" t="s">
        <v>95</v>
      </c>
      <c r="F522" s="148" t="s">
        <v>56</v>
      </c>
      <c r="G522" s="148" t="s">
        <v>265</v>
      </c>
      <c r="H522" s="148">
        <v>2005</v>
      </c>
      <c r="I522" s="148">
        <v>9</v>
      </c>
      <c r="J522" s="148" t="s">
        <v>150</v>
      </c>
      <c r="M522" s="148" t="s">
        <v>575</v>
      </c>
      <c r="N522" s="148">
        <v>8</v>
      </c>
      <c r="O522" s="148" t="s">
        <v>83</v>
      </c>
      <c r="Y522" s="150" t="s">
        <v>366</v>
      </c>
      <c r="Z522" s="148" t="s">
        <v>465</v>
      </c>
    </row>
    <row r="523" spans="1:26" ht="15.75" hidden="1" customHeight="1" x14ac:dyDescent="0.25">
      <c r="A523" s="148" t="s">
        <v>76</v>
      </c>
      <c r="B523" s="148" t="s">
        <v>103</v>
      </c>
      <c r="C523" s="148" t="s">
        <v>55</v>
      </c>
      <c r="D523" s="148" t="s">
        <v>29</v>
      </c>
      <c r="E523" s="148" t="s">
        <v>95</v>
      </c>
      <c r="F523" s="148" t="s">
        <v>56</v>
      </c>
      <c r="G523" s="148" t="s">
        <v>558</v>
      </c>
      <c r="H523" s="148">
        <v>2005</v>
      </c>
      <c r="I523" s="148">
        <v>9</v>
      </c>
      <c r="J523" s="148" t="s">
        <v>150</v>
      </c>
      <c r="K523" s="148" t="s">
        <v>119</v>
      </c>
      <c r="M523" s="148" t="s">
        <v>120</v>
      </c>
      <c r="N523" s="148">
        <v>6</v>
      </c>
      <c r="O523" s="148" t="s">
        <v>83</v>
      </c>
      <c r="Y523" s="150" t="s">
        <v>366</v>
      </c>
    </row>
    <row r="524" spans="1:26" ht="15.75" hidden="1" customHeight="1" x14ac:dyDescent="0.25">
      <c r="A524" s="148" t="s">
        <v>76</v>
      </c>
      <c r="B524" s="148" t="s">
        <v>103</v>
      </c>
      <c r="C524" s="148" t="s">
        <v>55</v>
      </c>
      <c r="D524" s="148" t="s">
        <v>29</v>
      </c>
      <c r="E524" s="148" t="s">
        <v>95</v>
      </c>
      <c r="F524" s="148" t="s">
        <v>56</v>
      </c>
      <c r="G524" s="148" t="s">
        <v>407</v>
      </c>
      <c r="H524" s="148">
        <v>2005</v>
      </c>
      <c r="I524" s="148">
        <v>9</v>
      </c>
      <c r="J524" s="148" t="s">
        <v>150</v>
      </c>
      <c r="K524" s="148" t="s">
        <v>119</v>
      </c>
      <c r="M524" s="148" t="s">
        <v>120</v>
      </c>
      <c r="N524" s="148">
        <v>6</v>
      </c>
      <c r="O524" s="148" t="s">
        <v>83</v>
      </c>
      <c r="Y524" s="150" t="s">
        <v>366</v>
      </c>
    </row>
    <row r="525" spans="1:26" ht="15.75" hidden="1" customHeight="1" x14ac:dyDescent="0.25">
      <c r="A525" s="148" t="s">
        <v>76</v>
      </c>
      <c r="B525" s="148" t="s">
        <v>103</v>
      </c>
      <c r="C525" s="148" t="s">
        <v>55</v>
      </c>
      <c r="D525" s="148" t="s">
        <v>478</v>
      </c>
      <c r="E525" s="148" t="s">
        <v>95</v>
      </c>
      <c r="F525" s="148" t="s">
        <v>56</v>
      </c>
      <c r="G525" s="148" t="s">
        <v>107</v>
      </c>
      <c r="H525" s="148">
        <v>2005</v>
      </c>
      <c r="I525" s="148">
        <v>9</v>
      </c>
      <c r="J525" s="148" t="s">
        <v>118</v>
      </c>
      <c r="K525" s="148" t="s">
        <v>172</v>
      </c>
      <c r="M525" s="148" t="s">
        <v>346</v>
      </c>
      <c r="N525" s="148">
        <v>10</v>
      </c>
      <c r="O525" s="148" t="s">
        <v>101</v>
      </c>
      <c r="P525" s="148" t="s">
        <v>512</v>
      </c>
      <c r="Y525" s="150" t="s">
        <v>366</v>
      </c>
    </row>
    <row r="526" spans="1:26" ht="13.5" hidden="1" customHeight="1" x14ac:dyDescent="0.25">
      <c r="A526" s="148" t="s">
        <v>76</v>
      </c>
      <c r="B526" s="148" t="s">
        <v>77</v>
      </c>
      <c r="C526" s="148" t="s">
        <v>55</v>
      </c>
      <c r="D526" s="148" t="s">
        <v>99</v>
      </c>
      <c r="E526" s="148" t="s">
        <v>30</v>
      </c>
      <c r="F526" s="148" t="s">
        <v>41</v>
      </c>
      <c r="G526" s="148" t="s">
        <v>159</v>
      </c>
      <c r="H526" s="148">
        <v>2005</v>
      </c>
      <c r="I526" s="148">
        <v>9</v>
      </c>
      <c r="J526" s="148" t="s">
        <v>150</v>
      </c>
      <c r="K526" s="148" t="s">
        <v>172</v>
      </c>
      <c r="M526" s="148" t="s">
        <v>346</v>
      </c>
      <c r="N526" s="148">
        <v>10</v>
      </c>
      <c r="O526" s="148" t="s">
        <v>83</v>
      </c>
      <c r="P526" s="148" t="s">
        <v>146</v>
      </c>
      <c r="Y526" s="150" t="s">
        <v>366</v>
      </c>
    </row>
    <row r="527" spans="1:26" ht="15.75" hidden="1" customHeight="1" x14ac:dyDescent="0.25">
      <c r="A527" s="148" t="s">
        <v>76</v>
      </c>
      <c r="B527" s="148" t="s">
        <v>36</v>
      </c>
      <c r="C527" s="148" t="s">
        <v>28</v>
      </c>
      <c r="D527" s="148" t="s">
        <v>86</v>
      </c>
      <c r="E527" s="148" t="s">
        <v>30</v>
      </c>
      <c r="F527" s="148" t="s">
        <v>3183</v>
      </c>
      <c r="G527" s="148" t="s">
        <v>67</v>
      </c>
      <c r="H527" s="148">
        <v>2005</v>
      </c>
      <c r="I527" s="148">
        <v>9</v>
      </c>
      <c r="J527" s="148" t="s">
        <v>118</v>
      </c>
      <c r="K527" s="148" t="s">
        <v>172</v>
      </c>
      <c r="M527" s="148" t="s">
        <v>346</v>
      </c>
      <c r="N527" s="148">
        <v>10</v>
      </c>
      <c r="O527" s="148" t="s">
        <v>101</v>
      </c>
      <c r="P527" s="148" t="s">
        <v>599</v>
      </c>
      <c r="Y527" s="150" t="s">
        <v>366</v>
      </c>
    </row>
    <row r="528" spans="1:26" ht="15.75" hidden="1" customHeight="1" x14ac:dyDescent="0.25">
      <c r="A528" s="148" t="s">
        <v>76</v>
      </c>
      <c r="B528" s="148" t="s">
        <v>71</v>
      </c>
      <c r="C528" s="148" t="s">
        <v>45</v>
      </c>
      <c r="D528" s="148" t="s">
        <v>29</v>
      </c>
      <c r="E528" s="148" t="s">
        <v>72</v>
      </c>
      <c r="F528" s="148" t="s">
        <v>3183</v>
      </c>
      <c r="G528" s="148" t="s">
        <v>75</v>
      </c>
      <c r="H528" s="148">
        <v>2005</v>
      </c>
      <c r="I528" s="148">
        <v>9</v>
      </c>
      <c r="J528" s="148" t="s">
        <v>150</v>
      </c>
      <c r="K528" s="148" t="s">
        <v>119</v>
      </c>
      <c r="M528" s="148" t="s">
        <v>120</v>
      </c>
      <c r="N528" s="148">
        <v>6</v>
      </c>
      <c r="O528" s="148" t="s">
        <v>83</v>
      </c>
      <c r="Y528" s="150" t="s">
        <v>366</v>
      </c>
    </row>
    <row r="529" spans="1:26" ht="13.5" hidden="1" customHeight="1" x14ac:dyDescent="0.25">
      <c r="A529" s="148" t="s">
        <v>76</v>
      </c>
      <c r="B529" s="148" t="s">
        <v>27</v>
      </c>
      <c r="C529" s="148" t="s">
        <v>28</v>
      </c>
      <c r="D529" s="148" t="s">
        <v>99</v>
      </c>
      <c r="E529" s="148" t="s">
        <v>40</v>
      </c>
      <c r="F529" s="148" t="s">
        <v>41</v>
      </c>
      <c r="G529" s="148" t="s">
        <v>42</v>
      </c>
      <c r="H529" s="148">
        <v>2005</v>
      </c>
      <c r="I529" s="148">
        <v>9</v>
      </c>
      <c r="J529" s="148" t="s">
        <v>118</v>
      </c>
      <c r="K529" s="148" t="s">
        <v>379</v>
      </c>
      <c r="M529" s="148" t="s">
        <v>126</v>
      </c>
      <c r="N529" s="148">
        <v>10</v>
      </c>
      <c r="O529" s="148" t="s">
        <v>101</v>
      </c>
      <c r="P529" s="148" t="s">
        <v>398</v>
      </c>
      <c r="Y529" s="150" t="s">
        <v>366</v>
      </c>
    </row>
    <row r="530" spans="1:26" ht="15.75" hidden="1" customHeight="1" x14ac:dyDescent="0.25">
      <c r="A530" s="148" t="s">
        <v>76</v>
      </c>
      <c r="B530" s="148" t="s">
        <v>36</v>
      </c>
      <c r="C530" s="148" t="s">
        <v>45</v>
      </c>
      <c r="D530" s="148" t="s">
        <v>29</v>
      </c>
      <c r="E530" s="148" t="s">
        <v>30</v>
      </c>
      <c r="F530" s="148" t="s">
        <v>3183</v>
      </c>
      <c r="G530" s="148" t="s">
        <v>600</v>
      </c>
      <c r="H530" s="148">
        <v>2005</v>
      </c>
      <c r="I530" s="148">
        <v>9</v>
      </c>
      <c r="J530" s="148" t="s">
        <v>118</v>
      </c>
      <c r="K530" s="148" t="s">
        <v>172</v>
      </c>
      <c r="M530" s="148" t="s">
        <v>346</v>
      </c>
      <c r="N530" s="148">
        <v>10</v>
      </c>
      <c r="O530" s="148" t="s">
        <v>101</v>
      </c>
      <c r="P530" s="148" t="s">
        <v>146</v>
      </c>
      <c r="Y530" s="150" t="s">
        <v>366</v>
      </c>
    </row>
    <row r="531" spans="1:26" ht="15.75" hidden="1" customHeight="1" x14ac:dyDescent="0.25">
      <c r="A531" s="148" t="s">
        <v>76</v>
      </c>
      <c r="B531" s="148" t="s">
        <v>103</v>
      </c>
      <c r="C531" s="148" t="s">
        <v>55</v>
      </c>
      <c r="D531" s="148" t="s">
        <v>29</v>
      </c>
      <c r="E531" s="148" t="s">
        <v>95</v>
      </c>
      <c r="F531" s="148" t="s">
        <v>56</v>
      </c>
      <c r="G531" s="148" t="s">
        <v>270</v>
      </c>
      <c r="H531" s="148">
        <v>2005</v>
      </c>
      <c r="I531" s="148">
        <v>9</v>
      </c>
      <c r="J531" s="148" t="s">
        <v>150</v>
      </c>
      <c r="M531" s="148" t="s">
        <v>575</v>
      </c>
      <c r="N531" s="148">
        <v>8</v>
      </c>
      <c r="O531" s="148" t="s">
        <v>83</v>
      </c>
      <c r="Y531" s="150" t="s">
        <v>366</v>
      </c>
      <c r="Z531" s="148" t="s">
        <v>465</v>
      </c>
    </row>
    <row r="532" spans="1:26" ht="15.75" hidden="1" customHeight="1" x14ac:dyDescent="0.25">
      <c r="A532" s="148" t="s">
        <v>76</v>
      </c>
      <c r="B532" s="148" t="s">
        <v>103</v>
      </c>
      <c r="C532" s="148" t="s">
        <v>55</v>
      </c>
      <c r="D532" s="148" t="s">
        <v>490</v>
      </c>
      <c r="E532" s="148" t="s">
        <v>95</v>
      </c>
      <c r="F532" s="148" t="s">
        <v>56</v>
      </c>
      <c r="G532" s="148" t="s">
        <v>168</v>
      </c>
      <c r="H532" s="148">
        <v>2005</v>
      </c>
      <c r="I532" s="148">
        <v>9</v>
      </c>
      <c r="J532" s="148" t="s">
        <v>118</v>
      </c>
      <c r="K532" s="148" t="s">
        <v>172</v>
      </c>
      <c r="M532" s="148" t="s">
        <v>346</v>
      </c>
      <c r="N532" s="148">
        <v>10</v>
      </c>
      <c r="O532" s="148" t="s">
        <v>101</v>
      </c>
      <c r="P532" s="148" t="s">
        <v>601</v>
      </c>
      <c r="Y532" s="150" t="s">
        <v>366</v>
      </c>
    </row>
    <row r="533" spans="1:26" ht="15.75" hidden="1" customHeight="1" x14ac:dyDescent="0.25">
      <c r="A533" s="148" t="s">
        <v>76</v>
      </c>
      <c r="B533" s="148" t="s">
        <v>54</v>
      </c>
      <c r="C533" s="148" t="s">
        <v>55</v>
      </c>
      <c r="D533" s="148" t="s">
        <v>65</v>
      </c>
      <c r="E533" s="148" t="s">
        <v>30</v>
      </c>
      <c r="F533" s="148" t="s">
        <v>56</v>
      </c>
      <c r="G533" s="148" t="s">
        <v>54</v>
      </c>
      <c r="H533" s="148">
        <v>2005</v>
      </c>
      <c r="I533" s="148">
        <v>9</v>
      </c>
      <c r="J533" s="148" t="s">
        <v>150</v>
      </c>
      <c r="K533" s="148" t="s">
        <v>172</v>
      </c>
      <c r="M533" s="148" t="s">
        <v>346</v>
      </c>
      <c r="N533" s="148">
        <v>10</v>
      </c>
      <c r="O533" s="148" t="s">
        <v>83</v>
      </c>
      <c r="P533" s="148" t="s">
        <v>146</v>
      </c>
      <c r="Y533" s="150" t="s">
        <v>366</v>
      </c>
    </row>
    <row r="534" spans="1:26" ht="15.75" hidden="1" customHeight="1" x14ac:dyDescent="0.25">
      <c r="A534" s="148" t="s">
        <v>76</v>
      </c>
      <c r="B534" s="148" t="s">
        <v>27</v>
      </c>
      <c r="C534" s="148" t="s">
        <v>28</v>
      </c>
      <c r="D534" s="148" t="s">
        <v>158</v>
      </c>
      <c r="E534" s="148" t="s">
        <v>30</v>
      </c>
      <c r="F534" s="148" t="s">
        <v>3183</v>
      </c>
      <c r="G534" s="148" t="s">
        <v>43</v>
      </c>
      <c r="H534" s="148">
        <v>2005</v>
      </c>
      <c r="I534" s="148">
        <v>9</v>
      </c>
      <c r="J534" s="148" t="s">
        <v>118</v>
      </c>
      <c r="K534" s="148" t="s">
        <v>172</v>
      </c>
      <c r="M534" s="148" t="s">
        <v>346</v>
      </c>
      <c r="N534" s="148">
        <v>10</v>
      </c>
      <c r="O534" s="148" t="s">
        <v>101</v>
      </c>
      <c r="P534" s="148" t="s">
        <v>602</v>
      </c>
      <c r="Y534" s="150" t="s">
        <v>366</v>
      </c>
    </row>
    <row r="535" spans="1:26" ht="15.75" hidden="1" customHeight="1" x14ac:dyDescent="0.25">
      <c r="A535" s="148" t="s">
        <v>76</v>
      </c>
      <c r="B535" s="148" t="s">
        <v>77</v>
      </c>
      <c r="C535" s="148" t="s">
        <v>55</v>
      </c>
      <c r="D535" s="148" t="s">
        <v>29</v>
      </c>
      <c r="E535" s="148" t="s">
        <v>30</v>
      </c>
      <c r="F535" s="148" t="s">
        <v>41</v>
      </c>
      <c r="G535" s="148" t="s">
        <v>275</v>
      </c>
      <c r="H535" s="148">
        <v>2005</v>
      </c>
      <c r="I535" s="148">
        <v>9</v>
      </c>
      <c r="J535" s="148" t="s">
        <v>150</v>
      </c>
      <c r="K535" s="148" t="s">
        <v>172</v>
      </c>
      <c r="M535" s="148" t="s">
        <v>346</v>
      </c>
      <c r="N535" s="148">
        <v>10</v>
      </c>
      <c r="O535" s="148" t="s">
        <v>83</v>
      </c>
      <c r="P535" s="148" t="s">
        <v>146</v>
      </c>
      <c r="Y535" s="150" t="s">
        <v>366</v>
      </c>
    </row>
    <row r="536" spans="1:26" ht="15.75" hidden="1" customHeight="1" x14ac:dyDescent="0.25">
      <c r="A536" s="148" t="s">
        <v>76</v>
      </c>
      <c r="B536" s="148" t="s">
        <v>89</v>
      </c>
      <c r="C536" s="148" t="s">
        <v>90</v>
      </c>
      <c r="D536" s="148" t="s">
        <v>29</v>
      </c>
      <c r="E536" s="148" t="s">
        <v>30</v>
      </c>
      <c r="F536" s="148" t="s">
        <v>91</v>
      </c>
      <c r="G536" s="148" t="s">
        <v>93</v>
      </c>
      <c r="H536" s="148">
        <v>2005</v>
      </c>
      <c r="I536" s="148">
        <v>9</v>
      </c>
      <c r="J536" s="148" t="s">
        <v>118</v>
      </c>
      <c r="K536" s="148" t="s">
        <v>172</v>
      </c>
      <c r="M536" s="148" t="s">
        <v>346</v>
      </c>
      <c r="N536" s="148">
        <v>10</v>
      </c>
      <c r="O536" s="148" t="s">
        <v>101</v>
      </c>
      <c r="P536" s="148" t="s">
        <v>603</v>
      </c>
      <c r="Y536" s="150" t="s">
        <v>366</v>
      </c>
    </row>
    <row r="537" spans="1:26" ht="15.75" hidden="1" customHeight="1" x14ac:dyDescent="0.25">
      <c r="A537" s="148" t="s">
        <v>76</v>
      </c>
      <c r="B537" s="148" t="s">
        <v>44</v>
      </c>
      <c r="C537" s="148" t="s">
        <v>45</v>
      </c>
      <c r="D537" s="148" t="s">
        <v>29</v>
      </c>
      <c r="E537" s="148" t="s">
        <v>46</v>
      </c>
      <c r="F537" s="148" t="s">
        <v>47</v>
      </c>
      <c r="G537" s="148" t="s">
        <v>48</v>
      </c>
      <c r="H537" s="148">
        <v>2005</v>
      </c>
      <c r="I537" s="148">
        <v>9</v>
      </c>
      <c r="J537" s="148" t="s">
        <v>118</v>
      </c>
      <c r="K537" s="148" t="s">
        <v>379</v>
      </c>
      <c r="M537" s="148" t="s">
        <v>126</v>
      </c>
      <c r="N537" s="148">
        <v>10</v>
      </c>
      <c r="O537" s="148" t="s">
        <v>101</v>
      </c>
      <c r="P537" s="148" t="s">
        <v>498</v>
      </c>
      <c r="Y537" s="150" t="s">
        <v>366</v>
      </c>
    </row>
    <row r="538" spans="1:26" ht="15.75" hidden="1" customHeight="1" x14ac:dyDescent="0.25">
      <c r="A538" s="148" t="s">
        <v>307</v>
      </c>
      <c r="B538" s="148" t="s">
        <v>44</v>
      </c>
      <c r="C538" s="148" t="s">
        <v>45</v>
      </c>
      <c r="D538" s="148" t="s">
        <v>29</v>
      </c>
      <c r="E538" s="148" t="s">
        <v>46</v>
      </c>
      <c r="F538" s="148" t="s">
        <v>47</v>
      </c>
      <c r="G538" s="148" t="s">
        <v>48</v>
      </c>
      <c r="H538" s="148">
        <v>2005</v>
      </c>
      <c r="I538" s="148">
        <v>9</v>
      </c>
      <c r="J538" s="148" t="s">
        <v>308</v>
      </c>
      <c r="Q538" s="148" t="s">
        <v>426</v>
      </c>
      <c r="R538" s="148" t="s">
        <v>38</v>
      </c>
      <c r="S538" s="148" t="s">
        <v>427</v>
      </c>
      <c r="T538" s="148" t="s">
        <v>428</v>
      </c>
      <c r="Y538" s="150" t="s">
        <v>366</v>
      </c>
    </row>
    <row r="539" spans="1:26" ht="15.75" hidden="1" customHeight="1" x14ac:dyDescent="0.25">
      <c r="A539" s="148" t="s">
        <v>76</v>
      </c>
      <c r="B539" s="148" t="s">
        <v>198</v>
      </c>
      <c r="C539" s="148" t="s">
        <v>45</v>
      </c>
      <c r="D539" s="148" t="s">
        <v>257</v>
      </c>
      <c r="E539" s="148" t="s">
        <v>30</v>
      </c>
      <c r="F539" s="148" t="s">
        <v>199</v>
      </c>
      <c r="G539" s="148" t="s">
        <v>258</v>
      </c>
      <c r="H539" s="148">
        <v>2005</v>
      </c>
      <c r="I539" s="148">
        <v>9</v>
      </c>
      <c r="J539" s="148" t="s">
        <v>150</v>
      </c>
      <c r="K539" s="148" t="s">
        <v>374</v>
      </c>
      <c r="M539" s="148" t="s">
        <v>389</v>
      </c>
      <c r="N539" s="148">
        <v>8</v>
      </c>
      <c r="O539" s="148" t="s">
        <v>83</v>
      </c>
      <c r="Y539" s="150" t="s">
        <v>366</v>
      </c>
    </row>
    <row r="540" spans="1:26" ht="15.75" hidden="1" customHeight="1" x14ac:dyDescent="0.25">
      <c r="A540" s="148" t="s">
        <v>76</v>
      </c>
      <c r="B540" s="148" t="s">
        <v>27</v>
      </c>
      <c r="C540" s="148" t="s">
        <v>55</v>
      </c>
      <c r="D540" s="148" t="s">
        <v>158</v>
      </c>
      <c r="E540" s="148" t="s">
        <v>40</v>
      </c>
      <c r="F540" s="148" t="s">
        <v>41</v>
      </c>
      <c r="G540" s="148" t="s">
        <v>604</v>
      </c>
      <c r="H540" s="148">
        <v>2005</v>
      </c>
      <c r="I540" s="148">
        <v>10</v>
      </c>
      <c r="J540" s="148" t="s">
        <v>118</v>
      </c>
      <c r="K540" s="148" t="s">
        <v>172</v>
      </c>
      <c r="M540" s="148" t="s">
        <v>346</v>
      </c>
      <c r="N540" s="148">
        <v>10</v>
      </c>
      <c r="O540" s="148" t="s">
        <v>101</v>
      </c>
      <c r="P540" s="148" t="s">
        <v>512</v>
      </c>
      <c r="Y540" s="150" t="s">
        <v>366</v>
      </c>
    </row>
    <row r="541" spans="1:26" ht="15.75" hidden="1" customHeight="1" x14ac:dyDescent="0.25">
      <c r="A541" s="148" t="s">
        <v>76</v>
      </c>
      <c r="B541" s="148" t="s">
        <v>198</v>
      </c>
      <c r="C541" s="148" t="s">
        <v>45</v>
      </c>
      <c r="D541" s="148" t="s">
        <v>99</v>
      </c>
      <c r="E541" s="148" t="s">
        <v>40</v>
      </c>
      <c r="F541" s="148" t="s">
        <v>199</v>
      </c>
      <c r="G541" s="148" t="s">
        <v>282</v>
      </c>
      <c r="H541" s="148">
        <v>2005</v>
      </c>
      <c r="I541" s="148">
        <v>10</v>
      </c>
      <c r="J541" s="148" t="s">
        <v>150</v>
      </c>
      <c r="K541" s="148" t="s">
        <v>327</v>
      </c>
      <c r="M541" s="148" t="s">
        <v>132</v>
      </c>
      <c r="N541" s="148">
        <v>8</v>
      </c>
      <c r="O541" s="148" t="s">
        <v>83</v>
      </c>
      <c r="Y541" s="150" t="s">
        <v>366</v>
      </c>
    </row>
    <row r="542" spans="1:26" ht="15.75" hidden="1" customHeight="1" x14ac:dyDescent="0.25">
      <c r="A542" s="148" t="s">
        <v>76</v>
      </c>
      <c r="B542" s="148" t="s">
        <v>71</v>
      </c>
      <c r="C542" s="148" t="s">
        <v>45</v>
      </c>
      <c r="D542" s="148" t="s">
        <v>29</v>
      </c>
      <c r="E542" s="148" t="s">
        <v>72</v>
      </c>
      <c r="F542" s="148" t="s">
        <v>3183</v>
      </c>
      <c r="G542" s="148" t="s">
        <v>73</v>
      </c>
      <c r="H542" s="148">
        <v>2005</v>
      </c>
      <c r="I542" s="148">
        <v>10</v>
      </c>
      <c r="J542" s="148" t="s">
        <v>118</v>
      </c>
      <c r="K542" s="148" t="s">
        <v>327</v>
      </c>
      <c r="M542" s="148" t="s">
        <v>132</v>
      </c>
      <c r="N542" s="148">
        <v>8</v>
      </c>
      <c r="O542" s="148" t="s">
        <v>101</v>
      </c>
      <c r="P542" s="148" t="s">
        <v>605</v>
      </c>
      <c r="Y542" s="150" t="s">
        <v>606</v>
      </c>
    </row>
    <row r="543" spans="1:26" ht="15.75" hidden="1" customHeight="1" x14ac:dyDescent="0.25">
      <c r="A543" s="148" t="s">
        <v>76</v>
      </c>
      <c r="B543" s="148" t="s">
        <v>103</v>
      </c>
      <c r="C543" s="148" t="s">
        <v>55</v>
      </c>
      <c r="D543" s="148" t="s">
        <v>29</v>
      </c>
      <c r="E543" s="148" t="s">
        <v>95</v>
      </c>
      <c r="F543" s="148" t="s">
        <v>56</v>
      </c>
      <c r="G543" s="148" t="s">
        <v>303</v>
      </c>
      <c r="H543" s="148">
        <v>2005</v>
      </c>
      <c r="I543" s="148">
        <v>10</v>
      </c>
      <c r="J543" s="148" t="s">
        <v>118</v>
      </c>
      <c r="K543" s="148" t="s">
        <v>172</v>
      </c>
      <c r="M543" s="148" t="s">
        <v>346</v>
      </c>
      <c r="N543" s="148">
        <v>10</v>
      </c>
      <c r="O543" s="148" t="s">
        <v>101</v>
      </c>
      <c r="P543" s="148" t="s">
        <v>146</v>
      </c>
      <c r="Y543" s="150" t="s">
        <v>366</v>
      </c>
    </row>
    <row r="544" spans="1:26" ht="15.75" hidden="1" customHeight="1" x14ac:dyDescent="0.25">
      <c r="A544" s="148" t="s">
        <v>76</v>
      </c>
      <c r="B544" s="148" t="s">
        <v>198</v>
      </c>
      <c r="C544" s="148" t="s">
        <v>45</v>
      </c>
      <c r="D544" s="148" t="s">
        <v>29</v>
      </c>
      <c r="E544" s="148" t="s">
        <v>30</v>
      </c>
      <c r="F544" s="148" t="s">
        <v>199</v>
      </c>
      <c r="G544" s="148" t="s">
        <v>205</v>
      </c>
      <c r="H544" s="148">
        <v>2005</v>
      </c>
      <c r="I544" s="148">
        <v>10</v>
      </c>
      <c r="J544" s="148" t="s">
        <v>118</v>
      </c>
      <c r="K544" s="148" t="s">
        <v>172</v>
      </c>
      <c r="M544" s="148" t="s">
        <v>346</v>
      </c>
      <c r="N544" s="148">
        <v>10</v>
      </c>
      <c r="O544" s="148" t="s">
        <v>101</v>
      </c>
      <c r="P544" s="148" t="s">
        <v>535</v>
      </c>
      <c r="Y544" s="150" t="s">
        <v>366</v>
      </c>
    </row>
    <row r="545" spans="1:26" ht="15.75" hidden="1" customHeight="1" x14ac:dyDescent="0.25">
      <c r="A545" s="148" t="s">
        <v>76</v>
      </c>
      <c r="B545" s="148" t="s">
        <v>36</v>
      </c>
      <c r="C545" s="148" t="s">
        <v>28</v>
      </c>
      <c r="D545" s="148" t="s">
        <v>29</v>
      </c>
      <c r="E545" s="148" t="s">
        <v>30</v>
      </c>
      <c r="F545" s="148" t="s">
        <v>3183</v>
      </c>
      <c r="G545" s="148" t="s">
        <v>211</v>
      </c>
      <c r="H545" s="148">
        <v>2005</v>
      </c>
      <c r="I545" s="148">
        <v>10</v>
      </c>
      <c r="J545" s="148" t="s">
        <v>118</v>
      </c>
      <c r="K545" s="148" t="s">
        <v>172</v>
      </c>
      <c r="M545" s="148" t="s">
        <v>346</v>
      </c>
      <c r="N545" s="148">
        <v>10</v>
      </c>
      <c r="O545" s="148" t="s">
        <v>101</v>
      </c>
      <c r="P545" s="148" t="s">
        <v>512</v>
      </c>
      <c r="Y545" s="150" t="s">
        <v>366</v>
      </c>
    </row>
    <row r="546" spans="1:26" ht="15.75" hidden="1" customHeight="1" x14ac:dyDescent="0.25">
      <c r="A546" s="148" t="s">
        <v>76</v>
      </c>
      <c r="B546" s="148" t="s">
        <v>198</v>
      </c>
      <c r="C546" s="148" t="s">
        <v>45</v>
      </c>
      <c r="D546" s="148" t="s">
        <v>94</v>
      </c>
      <c r="E546" s="148" t="s">
        <v>30</v>
      </c>
      <c r="F546" s="148" t="s">
        <v>199</v>
      </c>
      <c r="G546" s="148" t="s">
        <v>296</v>
      </c>
      <c r="H546" s="148">
        <v>2005</v>
      </c>
      <c r="I546" s="148">
        <v>10</v>
      </c>
      <c r="J546" s="148" t="s">
        <v>118</v>
      </c>
      <c r="K546" s="148" t="s">
        <v>172</v>
      </c>
      <c r="M546" s="148" t="s">
        <v>346</v>
      </c>
      <c r="N546" s="148">
        <v>10</v>
      </c>
      <c r="O546" s="148" t="s">
        <v>101</v>
      </c>
      <c r="P546" s="148" t="s">
        <v>453</v>
      </c>
      <c r="Y546" s="150" t="s">
        <v>366</v>
      </c>
    </row>
    <row r="547" spans="1:26" ht="15.75" hidden="1" customHeight="1" x14ac:dyDescent="0.25">
      <c r="A547" s="148" t="s">
        <v>76</v>
      </c>
      <c r="B547" s="148" t="s">
        <v>198</v>
      </c>
      <c r="C547" s="148" t="s">
        <v>45</v>
      </c>
      <c r="D547" s="148" t="s">
        <v>29</v>
      </c>
      <c r="E547" s="148" t="s">
        <v>30</v>
      </c>
      <c r="F547" s="148" t="s">
        <v>199</v>
      </c>
      <c r="G547" s="148" t="s">
        <v>232</v>
      </c>
      <c r="H547" s="148">
        <v>2005</v>
      </c>
      <c r="I547" s="148">
        <v>10</v>
      </c>
      <c r="J547" s="148" t="s">
        <v>150</v>
      </c>
      <c r="K547" s="148" t="s">
        <v>327</v>
      </c>
      <c r="M547" s="148" t="s">
        <v>132</v>
      </c>
      <c r="N547" s="148">
        <v>8</v>
      </c>
      <c r="O547" s="148" t="s">
        <v>83</v>
      </c>
      <c r="Y547" s="150" t="s">
        <v>366</v>
      </c>
    </row>
    <row r="548" spans="1:26" ht="15.75" hidden="1" customHeight="1" x14ac:dyDescent="0.25">
      <c r="A548" s="148" t="s">
        <v>76</v>
      </c>
      <c r="B548" s="148" t="s">
        <v>103</v>
      </c>
      <c r="C548" s="148" t="s">
        <v>55</v>
      </c>
      <c r="D548" s="148" t="s">
        <v>29</v>
      </c>
      <c r="E548" s="148" t="s">
        <v>95</v>
      </c>
      <c r="F548" s="148" t="s">
        <v>56</v>
      </c>
      <c r="G548" s="148" t="s">
        <v>558</v>
      </c>
      <c r="H548" s="148">
        <v>2005</v>
      </c>
      <c r="I548" s="148">
        <v>10</v>
      </c>
      <c r="J548" s="148" t="s">
        <v>118</v>
      </c>
      <c r="K548" s="148" t="s">
        <v>172</v>
      </c>
      <c r="M548" s="148" t="s">
        <v>346</v>
      </c>
      <c r="N548" s="148">
        <v>10</v>
      </c>
      <c r="O548" s="148" t="s">
        <v>101</v>
      </c>
      <c r="P548" s="148" t="s">
        <v>607</v>
      </c>
      <c r="Y548" s="150" t="s">
        <v>366</v>
      </c>
    </row>
    <row r="549" spans="1:26" ht="15.75" hidden="1" customHeight="1" x14ac:dyDescent="0.25">
      <c r="A549" s="148" t="s">
        <v>76</v>
      </c>
      <c r="B549" s="148" t="s">
        <v>103</v>
      </c>
      <c r="C549" s="148" t="s">
        <v>55</v>
      </c>
      <c r="D549" s="148" t="s">
        <v>29</v>
      </c>
      <c r="E549" s="148" t="s">
        <v>30</v>
      </c>
      <c r="F549" s="148" t="s">
        <v>56</v>
      </c>
      <c r="G549" s="148" t="s">
        <v>405</v>
      </c>
      <c r="H549" s="148">
        <v>2005</v>
      </c>
      <c r="I549" s="148">
        <v>10</v>
      </c>
      <c r="J549" s="148" t="s">
        <v>118</v>
      </c>
      <c r="K549" s="148" t="s">
        <v>172</v>
      </c>
      <c r="M549" s="148" t="s">
        <v>346</v>
      </c>
      <c r="N549" s="148">
        <v>10</v>
      </c>
      <c r="O549" s="148" t="s">
        <v>101</v>
      </c>
      <c r="P549" s="148" t="s">
        <v>146</v>
      </c>
      <c r="Y549" s="150" t="s">
        <v>366</v>
      </c>
    </row>
    <row r="550" spans="1:26" ht="15.75" hidden="1" customHeight="1" x14ac:dyDescent="0.25">
      <c r="A550" s="148" t="s">
        <v>76</v>
      </c>
      <c r="B550" s="148" t="s">
        <v>27</v>
      </c>
      <c r="C550" s="148" t="s">
        <v>28</v>
      </c>
      <c r="D550" s="148" t="s">
        <v>3320</v>
      </c>
      <c r="E550" s="148" t="s">
        <v>30</v>
      </c>
      <c r="F550" s="148" t="s">
        <v>3183</v>
      </c>
      <c r="G550" s="148" t="s">
        <v>163</v>
      </c>
      <c r="H550" s="148">
        <v>2005</v>
      </c>
      <c r="I550" s="148">
        <v>10</v>
      </c>
      <c r="J550" s="148" t="s">
        <v>118</v>
      </c>
      <c r="K550" s="148" t="s">
        <v>327</v>
      </c>
      <c r="M550" s="148" t="s">
        <v>132</v>
      </c>
      <c r="N550" s="148">
        <v>8</v>
      </c>
      <c r="O550" s="148" t="s">
        <v>101</v>
      </c>
      <c r="P550" s="148" t="s">
        <v>435</v>
      </c>
      <c r="Y550" s="150" t="s">
        <v>608</v>
      </c>
      <c r="Z550" s="148" t="s">
        <v>166</v>
      </c>
    </row>
    <row r="551" spans="1:26" ht="15.75" hidden="1" customHeight="1" x14ac:dyDescent="0.25">
      <c r="A551" s="148" t="s">
        <v>76</v>
      </c>
      <c r="B551" s="148" t="s">
        <v>89</v>
      </c>
      <c r="C551" s="148" t="s">
        <v>90</v>
      </c>
      <c r="D551" s="148" t="s">
        <v>29</v>
      </c>
      <c r="E551" s="148" t="s">
        <v>30</v>
      </c>
      <c r="F551" s="148" t="s">
        <v>91</v>
      </c>
      <c r="G551" s="148" t="s">
        <v>369</v>
      </c>
      <c r="H551" s="148">
        <v>2005</v>
      </c>
      <c r="I551" s="148">
        <v>10</v>
      </c>
      <c r="J551" s="148" t="s">
        <v>150</v>
      </c>
      <c r="K551" s="148" t="s">
        <v>388</v>
      </c>
      <c r="M551" s="148" t="s">
        <v>126</v>
      </c>
      <c r="N551" s="148">
        <v>10</v>
      </c>
      <c r="O551" s="148" t="s">
        <v>83</v>
      </c>
      <c r="Y551" s="150" t="s">
        <v>366</v>
      </c>
    </row>
    <row r="552" spans="1:26" ht="15.75" hidden="1" customHeight="1" x14ac:dyDescent="0.25">
      <c r="A552" s="148" t="s">
        <v>76</v>
      </c>
      <c r="B552" s="148" t="s">
        <v>77</v>
      </c>
      <c r="C552" s="148" t="s">
        <v>55</v>
      </c>
      <c r="D552" s="148" t="s">
        <v>29</v>
      </c>
      <c r="E552" s="148" t="s">
        <v>30</v>
      </c>
      <c r="F552" s="148" t="s">
        <v>41</v>
      </c>
      <c r="G552" s="148" t="s">
        <v>275</v>
      </c>
      <c r="H552" s="148">
        <v>2005</v>
      </c>
      <c r="I552" s="148">
        <v>10</v>
      </c>
      <c r="J552" s="148" t="s">
        <v>118</v>
      </c>
      <c r="K552" s="148" t="s">
        <v>455</v>
      </c>
      <c r="M552" s="148" t="s">
        <v>173</v>
      </c>
      <c r="N552" s="148">
        <v>8</v>
      </c>
      <c r="O552" s="148" t="s">
        <v>101</v>
      </c>
      <c r="P552" s="148" t="s">
        <v>609</v>
      </c>
      <c r="Y552" s="150" t="s">
        <v>366</v>
      </c>
    </row>
    <row r="553" spans="1:26" ht="15.75" hidden="1" customHeight="1" x14ac:dyDescent="0.25">
      <c r="A553" s="148" t="s">
        <v>76</v>
      </c>
      <c r="B553" s="148" t="s">
        <v>103</v>
      </c>
      <c r="C553" s="148" t="s">
        <v>55</v>
      </c>
      <c r="D553" s="148" t="s">
        <v>29</v>
      </c>
      <c r="E553" s="148" t="s">
        <v>95</v>
      </c>
      <c r="F553" s="148" t="s">
        <v>56</v>
      </c>
      <c r="G553" s="148" t="s">
        <v>186</v>
      </c>
      <c r="H553" s="148">
        <v>2005</v>
      </c>
      <c r="I553" s="148">
        <v>10</v>
      </c>
      <c r="J553" s="148" t="s">
        <v>150</v>
      </c>
      <c r="K553" s="148" t="s">
        <v>388</v>
      </c>
      <c r="M553" s="148" t="s">
        <v>126</v>
      </c>
      <c r="N553" s="148">
        <v>10</v>
      </c>
      <c r="O553" s="148" t="s">
        <v>83</v>
      </c>
      <c r="Y553" s="150" t="s">
        <v>366</v>
      </c>
    </row>
    <row r="554" spans="1:26" ht="15.75" hidden="1" customHeight="1" x14ac:dyDescent="0.25">
      <c r="A554" s="148" t="s">
        <v>76</v>
      </c>
      <c r="B554" s="148" t="s">
        <v>44</v>
      </c>
      <c r="C554" s="148" t="s">
        <v>45</v>
      </c>
      <c r="D554" s="148" t="s">
        <v>29</v>
      </c>
      <c r="E554" s="148" t="s">
        <v>46</v>
      </c>
      <c r="F554" s="148" t="s">
        <v>47</v>
      </c>
      <c r="G554" s="148" t="s">
        <v>48</v>
      </c>
      <c r="H554" s="148">
        <v>2005</v>
      </c>
      <c r="I554" s="148">
        <v>10</v>
      </c>
      <c r="J554" s="148" t="s">
        <v>118</v>
      </c>
      <c r="K554" s="148" t="s">
        <v>172</v>
      </c>
      <c r="M554" s="148" t="s">
        <v>346</v>
      </c>
      <c r="N554" s="148">
        <v>10</v>
      </c>
      <c r="O554" s="148" t="s">
        <v>101</v>
      </c>
      <c r="P554" s="148" t="s">
        <v>183</v>
      </c>
      <c r="Y554" s="150" t="s">
        <v>366</v>
      </c>
    </row>
    <row r="555" spans="1:26" ht="15.75" hidden="1" customHeight="1" x14ac:dyDescent="0.25">
      <c r="A555" s="148" t="s">
        <v>76</v>
      </c>
      <c r="B555" s="148" t="s">
        <v>198</v>
      </c>
      <c r="C555" s="148" t="s">
        <v>45</v>
      </c>
      <c r="D555" s="148" t="s">
        <v>29</v>
      </c>
      <c r="E555" s="148" t="s">
        <v>30</v>
      </c>
      <c r="F555" s="148" t="s">
        <v>199</v>
      </c>
      <c r="G555" s="148" t="s">
        <v>505</v>
      </c>
      <c r="H555" s="148">
        <v>2005</v>
      </c>
      <c r="I555" s="148">
        <v>10</v>
      </c>
      <c r="J555" s="148" t="s">
        <v>150</v>
      </c>
      <c r="K555" s="148" t="s">
        <v>327</v>
      </c>
      <c r="M555" s="148" t="s">
        <v>132</v>
      </c>
      <c r="N555" s="148">
        <v>8</v>
      </c>
      <c r="O555" s="148" t="s">
        <v>83</v>
      </c>
      <c r="Y555" s="150" t="s">
        <v>366</v>
      </c>
    </row>
    <row r="556" spans="1:26" ht="15.75" hidden="1" customHeight="1" x14ac:dyDescent="0.25">
      <c r="A556" s="148" t="s">
        <v>76</v>
      </c>
      <c r="B556" s="148" t="s">
        <v>36</v>
      </c>
      <c r="C556" s="148" t="s">
        <v>28</v>
      </c>
      <c r="D556" s="148" t="s">
        <v>29</v>
      </c>
      <c r="E556" s="148" t="s">
        <v>30</v>
      </c>
      <c r="F556" s="148" t="s">
        <v>3183</v>
      </c>
      <c r="G556" s="148" t="s">
        <v>114</v>
      </c>
      <c r="H556" s="148">
        <v>2005</v>
      </c>
      <c r="I556" s="148">
        <v>10</v>
      </c>
      <c r="J556" s="148" t="s">
        <v>150</v>
      </c>
      <c r="K556" s="148" t="s">
        <v>470</v>
      </c>
      <c r="M556" s="148" t="s">
        <v>471</v>
      </c>
      <c r="N556" s="148">
        <v>6</v>
      </c>
      <c r="O556" s="148" t="s">
        <v>83</v>
      </c>
      <c r="Y556" s="150" t="s">
        <v>366</v>
      </c>
    </row>
    <row r="557" spans="1:26" ht="15.75" hidden="1" customHeight="1" x14ac:dyDescent="0.25">
      <c r="A557" s="148" t="s">
        <v>76</v>
      </c>
      <c r="B557" s="148" t="s">
        <v>89</v>
      </c>
      <c r="C557" s="148" t="s">
        <v>90</v>
      </c>
      <c r="D557" s="148" t="s">
        <v>29</v>
      </c>
      <c r="E557" s="148" t="s">
        <v>30</v>
      </c>
      <c r="F557" s="148" t="s">
        <v>91</v>
      </c>
      <c r="G557" s="148" t="s">
        <v>371</v>
      </c>
      <c r="H557" s="148">
        <v>2005</v>
      </c>
      <c r="I557" s="148">
        <v>11</v>
      </c>
      <c r="J557" s="148" t="s">
        <v>150</v>
      </c>
      <c r="K557" s="148" t="s">
        <v>610</v>
      </c>
      <c r="M557" s="148" t="s">
        <v>611</v>
      </c>
      <c r="N557" s="148">
        <v>8</v>
      </c>
      <c r="O557" s="148" t="s">
        <v>83</v>
      </c>
      <c r="Y557" s="150" t="s">
        <v>366</v>
      </c>
    </row>
    <row r="558" spans="1:26" ht="15.75" hidden="1" customHeight="1" x14ac:dyDescent="0.25">
      <c r="A558" s="148" t="s">
        <v>76</v>
      </c>
      <c r="B558" s="148" t="s">
        <v>71</v>
      </c>
      <c r="C558" s="148" t="s">
        <v>45</v>
      </c>
      <c r="D558" s="148" t="s">
        <v>29</v>
      </c>
      <c r="E558" s="148" t="s">
        <v>72</v>
      </c>
      <c r="F558" s="148" t="s">
        <v>3183</v>
      </c>
      <c r="G558" s="148" t="s">
        <v>73</v>
      </c>
      <c r="H558" s="148">
        <v>2005</v>
      </c>
      <c r="I558" s="148">
        <v>11</v>
      </c>
      <c r="J558" s="148" t="s">
        <v>150</v>
      </c>
      <c r="K558" s="148" t="s">
        <v>119</v>
      </c>
      <c r="M558" s="148" t="s">
        <v>120</v>
      </c>
      <c r="N558" s="148">
        <v>6</v>
      </c>
      <c r="O558" s="148" t="s">
        <v>83</v>
      </c>
      <c r="Y558" s="150" t="s">
        <v>366</v>
      </c>
    </row>
    <row r="559" spans="1:26" ht="15.75" hidden="1" customHeight="1" x14ac:dyDescent="0.25">
      <c r="A559" s="148" t="s">
        <v>76</v>
      </c>
      <c r="B559" s="148" t="s">
        <v>103</v>
      </c>
      <c r="C559" s="148" t="s">
        <v>55</v>
      </c>
      <c r="D559" s="148" t="s">
        <v>29</v>
      </c>
      <c r="E559" s="148" t="s">
        <v>95</v>
      </c>
      <c r="F559" s="148" t="s">
        <v>56</v>
      </c>
      <c r="G559" s="148" t="s">
        <v>506</v>
      </c>
      <c r="H559" s="148">
        <v>2005</v>
      </c>
      <c r="I559" s="148">
        <v>11</v>
      </c>
      <c r="J559" s="148" t="s">
        <v>118</v>
      </c>
      <c r="K559" s="148" t="s">
        <v>172</v>
      </c>
      <c r="M559" s="148" t="s">
        <v>346</v>
      </c>
      <c r="N559" s="148">
        <v>10</v>
      </c>
      <c r="O559" s="148" t="s">
        <v>101</v>
      </c>
      <c r="P559" s="148" t="s">
        <v>146</v>
      </c>
      <c r="Y559" s="150" t="s">
        <v>366</v>
      </c>
    </row>
    <row r="560" spans="1:26" ht="15.75" hidden="1" customHeight="1" x14ac:dyDescent="0.25">
      <c r="A560" s="148" t="s">
        <v>76</v>
      </c>
      <c r="B560" s="148" t="s">
        <v>103</v>
      </c>
      <c r="C560" s="148" t="s">
        <v>55</v>
      </c>
      <c r="D560" s="148" t="s">
        <v>99</v>
      </c>
      <c r="E560" s="148" t="s">
        <v>30</v>
      </c>
      <c r="F560" s="148" t="s">
        <v>56</v>
      </c>
      <c r="G560" s="148" t="s">
        <v>171</v>
      </c>
      <c r="H560" s="148">
        <v>2005</v>
      </c>
      <c r="I560" s="148">
        <v>11</v>
      </c>
      <c r="J560" s="148" t="s">
        <v>150</v>
      </c>
      <c r="K560" s="148" t="s">
        <v>500</v>
      </c>
      <c r="M560" s="148" t="s">
        <v>501</v>
      </c>
      <c r="N560" s="148">
        <v>6</v>
      </c>
      <c r="O560" s="148" t="s">
        <v>83</v>
      </c>
      <c r="Y560" s="150" t="s">
        <v>366</v>
      </c>
    </row>
    <row r="561" spans="1:26" ht="15.75" hidden="1" customHeight="1" x14ac:dyDescent="0.25">
      <c r="A561" s="148" t="s">
        <v>76</v>
      </c>
      <c r="B561" s="148" t="s">
        <v>103</v>
      </c>
      <c r="C561" s="148" t="s">
        <v>55</v>
      </c>
      <c r="D561" s="148" t="s">
        <v>29</v>
      </c>
      <c r="E561" s="148" t="s">
        <v>30</v>
      </c>
      <c r="F561" s="148" t="s">
        <v>56</v>
      </c>
      <c r="G561" s="148" t="s">
        <v>612</v>
      </c>
      <c r="H561" s="148">
        <v>2005</v>
      </c>
      <c r="I561" s="148">
        <v>11</v>
      </c>
      <c r="J561" s="148" t="s">
        <v>118</v>
      </c>
      <c r="K561" s="148" t="s">
        <v>172</v>
      </c>
      <c r="M561" s="148" t="s">
        <v>346</v>
      </c>
      <c r="N561" s="148">
        <v>10</v>
      </c>
      <c r="O561" s="148" t="s">
        <v>101</v>
      </c>
      <c r="P561" s="148" t="s">
        <v>609</v>
      </c>
      <c r="Y561" s="150" t="s">
        <v>366</v>
      </c>
    </row>
    <row r="562" spans="1:26" ht="15.75" hidden="1" customHeight="1" x14ac:dyDescent="0.25">
      <c r="A562" s="148" t="s">
        <v>76</v>
      </c>
      <c r="B562" s="148" t="s">
        <v>103</v>
      </c>
      <c r="C562" s="148" t="s">
        <v>55</v>
      </c>
      <c r="D562" s="148" t="s">
        <v>29</v>
      </c>
      <c r="E562" s="148" t="s">
        <v>95</v>
      </c>
      <c r="F562" s="148" t="s">
        <v>56</v>
      </c>
      <c r="G562" s="148" t="s">
        <v>382</v>
      </c>
      <c r="H562" s="148">
        <v>2005</v>
      </c>
      <c r="I562" s="148">
        <v>11</v>
      </c>
      <c r="J562" s="148" t="s">
        <v>118</v>
      </c>
      <c r="K562" s="148" t="s">
        <v>172</v>
      </c>
      <c r="M562" s="148" t="s">
        <v>346</v>
      </c>
      <c r="N562" s="148">
        <v>10</v>
      </c>
      <c r="O562" s="148" t="s">
        <v>101</v>
      </c>
      <c r="P562" s="148" t="s">
        <v>435</v>
      </c>
      <c r="Y562" s="150" t="s">
        <v>366</v>
      </c>
    </row>
    <row r="563" spans="1:26" ht="15.75" hidden="1" customHeight="1" x14ac:dyDescent="0.25">
      <c r="A563" s="148" t="s">
        <v>76</v>
      </c>
      <c r="B563" s="148" t="s">
        <v>89</v>
      </c>
      <c r="C563" s="148" t="s">
        <v>90</v>
      </c>
      <c r="D563" s="148" t="s">
        <v>29</v>
      </c>
      <c r="E563" s="148" t="s">
        <v>30</v>
      </c>
      <c r="F563" s="148" t="s">
        <v>91</v>
      </c>
      <c r="G563" s="148" t="s">
        <v>613</v>
      </c>
      <c r="H563" s="148">
        <v>2005</v>
      </c>
      <c r="I563" s="148">
        <v>11</v>
      </c>
      <c r="J563" s="148" t="s">
        <v>118</v>
      </c>
      <c r="K563" s="148" t="s">
        <v>172</v>
      </c>
      <c r="M563" s="148" t="s">
        <v>346</v>
      </c>
      <c r="N563" s="148">
        <v>10</v>
      </c>
      <c r="O563" s="148" t="s">
        <v>101</v>
      </c>
      <c r="P563" s="148" t="s">
        <v>435</v>
      </c>
      <c r="Y563" s="150" t="s">
        <v>366</v>
      </c>
    </row>
    <row r="564" spans="1:26" ht="15.75" hidden="1" customHeight="1" x14ac:dyDescent="0.25">
      <c r="A564" s="148" t="s">
        <v>76</v>
      </c>
      <c r="B564" s="148" t="s">
        <v>103</v>
      </c>
      <c r="C564" s="148" t="s">
        <v>55</v>
      </c>
      <c r="D564" s="148" t="s">
        <v>158</v>
      </c>
      <c r="E564" s="148" t="s">
        <v>95</v>
      </c>
      <c r="F564" s="148" t="s">
        <v>56</v>
      </c>
      <c r="G564" s="148" t="s">
        <v>176</v>
      </c>
      <c r="H564" s="148">
        <v>2005</v>
      </c>
      <c r="I564" s="148">
        <v>11</v>
      </c>
      <c r="J564" s="148" t="s">
        <v>118</v>
      </c>
      <c r="K564" s="148" t="s">
        <v>172</v>
      </c>
      <c r="M564" s="148" t="s">
        <v>346</v>
      </c>
      <c r="N564" s="148">
        <v>10</v>
      </c>
      <c r="O564" s="148" t="s">
        <v>101</v>
      </c>
      <c r="P564" s="148" t="s">
        <v>435</v>
      </c>
      <c r="Y564" s="150" t="s">
        <v>366</v>
      </c>
    </row>
    <row r="565" spans="1:26" ht="13.5" hidden="1" customHeight="1" x14ac:dyDescent="0.25">
      <c r="A565" s="148" t="s">
        <v>76</v>
      </c>
      <c r="B565" s="148" t="s">
        <v>103</v>
      </c>
      <c r="C565" s="148" t="s">
        <v>55</v>
      </c>
      <c r="D565" s="148" t="s">
        <v>29</v>
      </c>
      <c r="E565" s="148" t="s">
        <v>95</v>
      </c>
      <c r="F565" s="148" t="s">
        <v>56</v>
      </c>
      <c r="G565" s="148" t="s">
        <v>153</v>
      </c>
      <c r="H565" s="148">
        <v>2005</v>
      </c>
      <c r="I565" s="148">
        <v>11</v>
      </c>
      <c r="J565" s="148" t="s">
        <v>150</v>
      </c>
      <c r="K565" s="148" t="s">
        <v>119</v>
      </c>
      <c r="M565" s="148" t="s">
        <v>120</v>
      </c>
      <c r="N565" s="148">
        <v>6</v>
      </c>
      <c r="O565" s="148" t="s">
        <v>83</v>
      </c>
      <c r="Y565" s="150" t="s">
        <v>366</v>
      </c>
    </row>
    <row r="566" spans="1:26" ht="15.75" hidden="1" customHeight="1" x14ac:dyDescent="0.25">
      <c r="A566" s="148" t="s">
        <v>76</v>
      </c>
      <c r="B566" s="148" t="s">
        <v>103</v>
      </c>
      <c r="C566" s="148" t="s">
        <v>55</v>
      </c>
      <c r="D566" s="148" t="s">
        <v>29</v>
      </c>
      <c r="E566" s="148" t="s">
        <v>95</v>
      </c>
      <c r="F566" s="148" t="s">
        <v>56</v>
      </c>
      <c r="G566" s="148" t="s">
        <v>407</v>
      </c>
      <c r="H566" s="148">
        <v>2005</v>
      </c>
      <c r="I566" s="148">
        <v>11</v>
      </c>
      <c r="J566" s="148" t="s">
        <v>150</v>
      </c>
      <c r="K566" s="148" t="s">
        <v>500</v>
      </c>
      <c r="M566" s="148" t="s">
        <v>501</v>
      </c>
      <c r="N566" s="148">
        <v>6</v>
      </c>
      <c r="O566" s="148" t="s">
        <v>83</v>
      </c>
      <c r="Y566" s="150" t="s">
        <v>366</v>
      </c>
    </row>
    <row r="567" spans="1:26" ht="15.75" hidden="1" customHeight="1" x14ac:dyDescent="0.25">
      <c r="A567" s="148" t="s">
        <v>26</v>
      </c>
      <c r="B567" s="148" t="s">
        <v>27</v>
      </c>
      <c r="C567" s="148" t="s">
        <v>28</v>
      </c>
      <c r="D567" s="148" t="s">
        <v>566</v>
      </c>
      <c r="E567" s="148" t="s">
        <v>30</v>
      </c>
      <c r="F567" s="148" t="s">
        <v>3183</v>
      </c>
      <c r="G567" s="148" t="s">
        <v>53</v>
      </c>
      <c r="H567" s="148">
        <v>2005</v>
      </c>
      <c r="I567" s="148">
        <v>11</v>
      </c>
      <c r="J567" s="148" t="s">
        <v>33</v>
      </c>
      <c r="U567" s="149" t="s">
        <v>112</v>
      </c>
      <c r="V567" s="148" t="s">
        <v>3663</v>
      </c>
      <c r="W567" s="148" t="s">
        <v>87</v>
      </c>
      <c r="X567" s="148" t="s">
        <v>614</v>
      </c>
    </row>
    <row r="568" spans="1:26" ht="15.75" hidden="1" customHeight="1" x14ac:dyDescent="0.25">
      <c r="A568" s="148" t="s">
        <v>76</v>
      </c>
      <c r="B568" s="148" t="s">
        <v>77</v>
      </c>
      <c r="C568" s="148" t="s">
        <v>55</v>
      </c>
      <c r="D568" s="148" t="s">
        <v>29</v>
      </c>
      <c r="E568" s="148" t="s">
        <v>30</v>
      </c>
      <c r="F568" s="148" t="s">
        <v>41</v>
      </c>
      <c r="G568" s="148" t="s">
        <v>161</v>
      </c>
      <c r="H568" s="148">
        <v>2005</v>
      </c>
      <c r="I568" s="148">
        <v>11</v>
      </c>
      <c r="J568" s="148" t="s">
        <v>118</v>
      </c>
      <c r="K568" s="148" t="s">
        <v>119</v>
      </c>
      <c r="M568" s="148" t="s">
        <v>120</v>
      </c>
      <c r="N568" s="148">
        <v>6</v>
      </c>
      <c r="O568" s="148" t="s">
        <v>101</v>
      </c>
      <c r="P568" s="148" t="s">
        <v>615</v>
      </c>
      <c r="Y568" s="150" t="s">
        <v>366</v>
      </c>
    </row>
    <row r="569" spans="1:26" ht="15.75" hidden="1" customHeight="1" x14ac:dyDescent="0.25">
      <c r="A569" s="148" t="s">
        <v>76</v>
      </c>
      <c r="B569" s="148" t="s">
        <v>103</v>
      </c>
      <c r="C569" s="148" t="s">
        <v>55</v>
      </c>
      <c r="D569" s="148" t="s">
        <v>516</v>
      </c>
      <c r="E569" s="148" t="s">
        <v>30</v>
      </c>
      <c r="F569" s="148" t="s">
        <v>56</v>
      </c>
      <c r="G569" s="148" t="s">
        <v>616</v>
      </c>
      <c r="H569" s="148">
        <v>2005</v>
      </c>
      <c r="I569" s="148">
        <v>11</v>
      </c>
      <c r="J569" s="148" t="s">
        <v>118</v>
      </c>
      <c r="K569" s="148" t="s">
        <v>172</v>
      </c>
      <c r="M569" s="148" t="s">
        <v>346</v>
      </c>
      <c r="N569" s="148">
        <v>10</v>
      </c>
      <c r="O569" s="148" t="s">
        <v>101</v>
      </c>
      <c r="P569" s="148" t="s">
        <v>146</v>
      </c>
      <c r="Y569" s="150" t="s">
        <v>366</v>
      </c>
    </row>
    <row r="570" spans="1:26" ht="15.75" hidden="1" customHeight="1" x14ac:dyDescent="0.25">
      <c r="A570" s="148" t="s">
        <v>26</v>
      </c>
      <c r="B570" s="148" t="s">
        <v>27</v>
      </c>
      <c r="C570" s="148" t="s">
        <v>28</v>
      </c>
      <c r="D570" s="148" t="s">
        <v>99</v>
      </c>
      <c r="E570" s="148" t="s">
        <v>40</v>
      </c>
      <c r="F570" s="148" t="s">
        <v>41</v>
      </c>
      <c r="G570" s="148" t="s">
        <v>42</v>
      </c>
      <c r="H570" s="148">
        <v>2005</v>
      </c>
      <c r="I570" s="148">
        <v>11</v>
      </c>
      <c r="J570" s="148" t="s">
        <v>33</v>
      </c>
      <c r="U570" s="149" t="s">
        <v>112</v>
      </c>
      <c r="V570" s="148" t="s">
        <v>112</v>
      </c>
    </row>
    <row r="571" spans="1:26" ht="15.75" hidden="1" customHeight="1" x14ac:dyDescent="0.25">
      <c r="A571" s="148" t="s">
        <v>26</v>
      </c>
      <c r="B571" s="148" t="s">
        <v>27</v>
      </c>
      <c r="C571" s="148" t="s">
        <v>28</v>
      </c>
      <c r="D571" s="148" t="s">
        <v>99</v>
      </c>
      <c r="E571" s="148" t="s">
        <v>40</v>
      </c>
      <c r="F571" s="148" t="s">
        <v>41</v>
      </c>
      <c r="G571" s="148" t="s">
        <v>42</v>
      </c>
      <c r="H571" s="148">
        <v>2005</v>
      </c>
      <c r="I571" s="148">
        <v>11</v>
      </c>
      <c r="J571" s="148" t="s">
        <v>33</v>
      </c>
      <c r="U571" s="149" t="s">
        <v>112</v>
      </c>
      <c r="V571" s="148" t="s">
        <v>3663</v>
      </c>
      <c r="W571" s="148" t="s">
        <v>87</v>
      </c>
      <c r="X571" s="148" t="s">
        <v>614</v>
      </c>
    </row>
    <row r="572" spans="1:26" ht="15.75" hidden="1" customHeight="1" x14ac:dyDescent="0.25">
      <c r="A572" s="148" t="s">
        <v>307</v>
      </c>
      <c r="B572" s="148" t="s">
        <v>27</v>
      </c>
      <c r="C572" s="148" t="s">
        <v>28</v>
      </c>
      <c r="D572" s="148" t="s">
        <v>99</v>
      </c>
      <c r="E572" s="148" t="s">
        <v>40</v>
      </c>
      <c r="F572" s="148" t="s">
        <v>41</v>
      </c>
      <c r="G572" s="148" t="s">
        <v>42</v>
      </c>
      <c r="H572" s="148">
        <v>2005</v>
      </c>
      <c r="I572" s="148">
        <v>11</v>
      </c>
      <c r="J572" s="148" t="s">
        <v>308</v>
      </c>
      <c r="Q572" s="148" t="s">
        <v>426</v>
      </c>
      <c r="R572" s="148" t="s">
        <v>38</v>
      </c>
      <c r="S572" s="148" t="s">
        <v>427</v>
      </c>
      <c r="T572" s="148" t="s">
        <v>428</v>
      </c>
      <c r="Y572" s="150" t="s">
        <v>366</v>
      </c>
    </row>
    <row r="573" spans="1:26" ht="15.75" customHeight="1" x14ac:dyDescent="0.25">
      <c r="A573" s="148" t="s">
        <v>76</v>
      </c>
      <c r="B573" s="148" t="s">
        <v>36</v>
      </c>
      <c r="C573" s="148" t="s">
        <v>28</v>
      </c>
      <c r="D573" s="148" t="s">
        <v>29</v>
      </c>
      <c r="E573" s="148" t="s">
        <v>30</v>
      </c>
      <c r="F573" s="148" t="s">
        <v>3183</v>
      </c>
      <c r="G573" s="148" t="s">
        <v>194</v>
      </c>
      <c r="H573" s="148">
        <v>2005</v>
      </c>
      <c r="I573" s="148">
        <v>11</v>
      </c>
      <c r="J573" s="148" t="s">
        <v>118</v>
      </c>
      <c r="K573" s="148" t="s">
        <v>172</v>
      </c>
      <c r="M573" s="148" t="s">
        <v>346</v>
      </c>
      <c r="N573" s="148">
        <v>10</v>
      </c>
      <c r="O573" s="148" t="s">
        <v>101</v>
      </c>
      <c r="P573" s="148" t="s">
        <v>146</v>
      </c>
      <c r="Y573" s="150" t="s">
        <v>366</v>
      </c>
    </row>
    <row r="574" spans="1:26" ht="15.75" hidden="1" customHeight="1" x14ac:dyDescent="0.25">
      <c r="A574" s="148" t="s">
        <v>76</v>
      </c>
      <c r="B574" s="148" t="s">
        <v>89</v>
      </c>
      <c r="C574" s="148" t="s">
        <v>90</v>
      </c>
      <c r="D574" s="148" t="s">
        <v>29</v>
      </c>
      <c r="E574" s="148" t="s">
        <v>30</v>
      </c>
      <c r="F574" s="148" t="s">
        <v>91</v>
      </c>
      <c r="G574" s="148" t="s">
        <v>369</v>
      </c>
      <c r="H574" s="148">
        <v>2005</v>
      </c>
      <c r="I574" s="148">
        <v>11</v>
      </c>
      <c r="J574" s="148" t="s">
        <v>118</v>
      </c>
      <c r="K574" s="148" t="s">
        <v>388</v>
      </c>
      <c r="M574" s="148" t="s">
        <v>126</v>
      </c>
      <c r="N574" s="148">
        <v>10</v>
      </c>
      <c r="O574" s="148" t="s">
        <v>101</v>
      </c>
      <c r="P574" s="148" t="s">
        <v>556</v>
      </c>
      <c r="Y574" s="150" t="s">
        <v>366</v>
      </c>
    </row>
    <row r="575" spans="1:26" ht="15.75" hidden="1" customHeight="1" x14ac:dyDescent="0.25">
      <c r="A575" s="148" t="s">
        <v>76</v>
      </c>
      <c r="B575" s="148" t="s">
        <v>116</v>
      </c>
      <c r="C575" s="148" t="s">
        <v>90</v>
      </c>
      <c r="D575" s="148" t="s">
        <v>29</v>
      </c>
      <c r="E575" s="148" t="s">
        <v>30</v>
      </c>
      <c r="F575" s="148" t="s">
        <v>41</v>
      </c>
      <c r="G575" s="148" t="s">
        <v>476</v>
      </c>
      <c r="H575" s="148">
        <v>2005</v>
      </c>
      <c r="I575" s="148">
        <v>11</v>
      </c>
      <c r="J575" s="148" t="s">
        <v>118</v>
      </c>
      <c r="K575" s="148" t="s">
        <v>172</v>
      </c>
      <c r="M575" s="148" t="s">
        <v>346</v>
      </c>
      <c r="N575" s="148">
        <v>8</v>
      </c>
      <c r="O575" s="148" t="s">
        <v>101</v>
      </c>
      <c r="P575" s="148" t="s">
        <v>617</v>
      </c>
      <c r="Y575" s="150" t="s">
        <v>366</v>
      </c>
      <c r="Z575" s="148" t="s">
        <v>528</v>
      </c>
    </row>
    <row r="576" spans="1:26" ht="15.75" hidden="1" customHeight="1" x14ac:dyDescent="0.25">
      <c r="A576" s="148" t="s">
        <v>26</v>
      </c>
      <c r="B576" s="148" t="s">
        <v>36</v>
      </c>
      <c r="C576" s="148" t="s">
        <v>28</v>
      </c>
      <c r="D576" s="148" t="s">
        <v>29</v>
      </c>
      <c r="E576" s="148" t="s">
        <v>51</v>
      </c>
      <c r="F576" s="148" t="s">
        <v>3183</v>
      </c>
      <c r="G576" s="148" t="s">
        <v>52</v>
      </c>
      <c r="H576" s="148">
        <v>2005</v>
      </c>
      <c r="I576" s="148">
        <v>11</v>
      </c>
      <c r="J576" s="148" t="s">
        <v>33</v>
      </c>
      <c r="U576" s="149" t="s">
        <v>112</v>
      </c>
      <c r="V576" s="148" t="s">
        <v>3663</v>
      </c>
      <c r="W576" s="148" t="s">
        <v>87</v>
      </c>
      <c r="X576" s="148" t="s">
        <v>614</v>
      </c>
    </row>
    <row r="577" spans="1:26" ht="15.75" hidden="1" customHeight="1" x14ac:dyDescent="0.25">
      <c r="A577" s="148" t="s">
        <v>76</v>
      </c>
      <c r="B577" s="148" t="s">
        <v>89</v>
      </c>
      <c r="C577" s="148" t="s">
        <v>90</v>
      </c>
      <c r="D577" s="148" t="s">
        <v>342</v>
      </c>
      <c r="E577" s="148" t="s">
        <v>30</v>
      </c>
      <c r="F577" s="148" t="s">
        <v>91</v>
      </c>
      <c r="G577" s="148" t="s">
        <v>450</v>
      </c>
      <c r="H577" s="148">
        <v>2005</v>
      </c>
      <c r="I577" s="148">
        <v>11</v>
      </c>
      <c r="J577" s="148" t="s">
        <v>118</v>
      </c>
      <c r="K577" s="148" t="s">
        <v>172</v>
      </c>
      <c r="M577" s="148" t="s">
        <v>346</v>
      </c>
      <c r="N577" s="148">
        <v>10</v>
      </c>
      <c r="O577" s="148" t="s">
        <v>101</v>
      </c>
      <c r="P577" s="148" t="s">
        <v>618</v>
      </c>
      <c r="Y577" s="150" t="s">
        <v>366</v>
      </c>
    </row>
    <row r="578" spans="1:26" ht="15.75" hidden="1" customHeight="1" x14ac:dyDescent="0.25">
      <c r="A578" s="148" t="s">
        <v>76</v>
      </c>
      <c r="B578" s="148" t="s">
        <v>89</v>
      </c>
      <c r="C578" s="148" t="s">
        <v>90</v>
      </c>
      <c r="D578" s="148" t="s">
        <v>29</v>
      </c>
      <c r="E578" s="148" t="s">
        <v>40</v>
      </c>
      <c r="F578" s="148" t="s">
        <v>91</v>
      </c>
      <c r="G578" s="148" t="s">
        <v>413</v>
      </c>
      <c r="H578" s="148">
        <v>2005</v>
      </c>
      <c r="I578" s="148">
        <v>11</v>
      </c>
      <c r="J578" s="148" t="s">
        <v>150</v>
      </c>
      <c r="K578" s="148" t="s">
        <v>610</v>
      </c>
      <c r="M578" s="148" t="s">
        <v>611</v>
      </c>
      <c r="N578" s="148">
        <v>8</v>
      </c>
      <c r="O578" s="148" t="s">
        <v>83</v>
      </c>
      <c r="Y578" s="150" t="s">
        <v>366</v>
      </c>
    </row>
    <row r="579" spans="1:26" ht="15.75" hidden="1" customHeight="1" x14ac:dyDescent="0.25">
      <c r="A579" s="148" t="s">
        <v>76</v>
      </c>
      <c r="B579" s="148" t="s">
        <v>198</v>
      </c>
      <c r="C579" s="148" t="s">
        <v>45</v>
      </c>
      <c r="D579" s="148" t="s">
        <v>29</v>
      </c>
      <c r="E579" s="148" t="s">
        <v>30</v>
      </c>
      <c r="F579" s="148" t="s">
        <v>199</v>
      </c>
      <c r="G579" s="148" t="s">
        <v>200</v>
      </c>
      <c r="H579" s="148">
        <v>2005</v>
      </c>
      <c r="I579" s="148">
        <v>12</v>
      </c>
      <c r="J579" s="148" t="s">
        <v>118</v>
      </c>
      <c r="K579" s="148" t="s">
        <v>119</v>
      </c>
      <c r="M579" s="148" t="s">
        <v>120</v>
      </c>
      <c r="N579" s="148">
        <v>6</v>
      </c>
      <c r="O579" s="148" t="s">
        <v>101</v>
      </c>
      <c r="P579" s="148" t="s">
        <v>619</v>
      </c>
      <c r="Y579" s="150" t="s">
        <v>366</v>
      </c>
    </row>
    <row r="580" spans="1:26" ht="15.75" hidden="1" customHeight="1" x14ac:dyDescent="0.25">
      <c r="A580" s="148" t="s">
        <v>76</v>
      </c>
      <c r="B580" s="148" t="s">
        <v>89</v>
      </c>
      <c r="C580" s="148" t="s">
        <v>90</v>
      </c>
      <c r="D580" s="148" t="s">
        <v>29</v>
      </c>
      <c r="E580" s="148" t="s">
        <v>30</v>
      </c>
      <c r="F580" s="148" t="s">
        <v>91</v>
      </c>
      <c r="G580" s="148" t="s">
        <v>145</v>
      </c>
      <c r="H580" s="148">
        <v>2005</v>
      </c>
      <c r="I580" s="148">
        <v>12</v>
      </c>
      <c r="J580" s="148" t="s">
        <v>118</v>
      </c>
      <c r="K580" s="148" t="s">
        <v>327</v>
      </c>
      <c r="M580" s="148" t="s">
        <v>132</v>
      </c>
      <c r="N580" s="148">
        <v>8</v>
      </c>
      <c r="O580" s="148" t="s">
        <v>101</v>
      </c>
      <c r="P580" s="148" t="s">
        <v>435</v>
      </c>
      <c r="Y580" s="150" t="s">
        <v>366</v>
      </c>
    </row>
    <row r="581" spans="1:26" ht="15.75" hidden="1" customHeight="1" x14ac:dyDescent="0.25">
      <c r="A581" s="148" t="s">
        <v>76</v>
      </c>
      <c r="B581" s="148" t="s">
        <v>89</v>
      </c>
      <c r="C581" s="148" t="s">
        <v>90</v>
      </c>
      <c r="D581" s="148" t="s">
        <v>478</v>
      </c>
      <c r="E581" s="148" t="s">
        <v>30</v>
      </c>
      <c r="F581" s="148" t="s">
        <v>91</v>
      </c>
      <c r="G581" s="148" t="s">
        <v>620</v>
      </c>
      <c r="H581" s="148">
        <v>2005</v>
      </c>
      <c r="I581" s="148">
        <v>12</v>
      </c>
      <c r="J581" s="148" t="s">
        <v>118</v>
      </c>
      <c r="K581" s="148" t="s">
        <v>327</v>
      </c>
      <c r="M581" s="148" t="s">
        <v>132</v>
      </c>
      <c r="N581" s="148">
        <v>8</v>
      </c>
      <c r="O581" s="148" t="s">
        <v>101</v>
      </c>
      <c r="P581" s="148" t="s">
        <v>435</v>
      </c>
      <c r="Y581" s="150" t="s">
        <v>366</v>
      </c>
    </row>
    <row r="582" spans="1:26" ht="15.75" hidden="1" customHeight="1" x14ac:dyDescent="0.25">
      <c r="A582" s="148" t="s">
        <v>76</v>
      </c>
      <c r="B582" s="148" t="s">
        <v>71</v>
      </c>
      <c r="C582" s="148" t="s">
        <v>45</v>
      </c>
      <c r="D582" s="148" t="s">
        <v>29</v>
      </c>
      <c r="E582" s="148" t="s">
        <v>30</v>
      </c>
      <c r="F582" s="148" t="s">
        <v>3183</v>
      </c>
      <c r="G582" s="148" t="s">
        <v>621</v>
      </c>
      <c r="H582" s="148">
        <v>2005</v>
      </c>
      <c r="I582" s="148">
        <v>12</v>
      </c>
      <c r="J582" s="148" t="s">
        <v>118</v>
      </c>
      <c r="K582" s="148" t="s">
        <v>172</v>
      </c>
      <c r="M582" s="148" t="s">
        <v>346</v>
      </c>
      <c r="N582" s="148">
        <v>10</v>
      </c>
      <c r="O582" s="148" t="s">
        <v>101</v>
      </c>
      <c r="P582" s="148" t="s">
        <v>622</v>
      </c>
      <c r="Y582" s="150" t="s">
        <v>366</v>
      </c>
      <c r="Z582" s="148" t="s">
        <v>623</v>
      </c>
    </row>
    <row r="583" spans="1:26" ht="15.75" hidden="1" customHeight="1" x14ac:dyDescent="0.25">
      <c r="A583" s="148" t="s">
        <v>307</v>
      </c>
      <c r="B583" s="148" t="s">
        <v>27</v>
      </c>
      <c r="C583" s="148" t="s">
        <v>28</v>
      </c>
      <c r="D583" s="148" t="s">
        <v>566</v>
      </c>
      <c r="E583" s="148" t="s">
        <v>30</v>
      </c>
      <c r="F583" s="148" t="s">
        <v>3183</v>
      </c>
      <c r="G583" s="148" t="s">
        <v>53</v>
      </c>
      <c r="H583" s="148">
        <v>2005</v>
      </c>
      <c r="I583" s="148">
        <v>12</v>
      </c>
      <c r="J583" s="148" t="s">
        <v>308</v>
      </c>
      <c r="Q583" s="148" t="s">
        <v>426</v>
      </c>
      <c r="R583" s="148" t="s">
        <v>38</v>
      </c>
      <c r="S583" s="148" t="s">
        <v>427</v>
      </c>
      <c r="T583" s="148" t="s">
        <v>428</v>
      </c>
      <c r="Y583" s="150" t="s">
        <v>366</v>
      </c>
    </row>
    <row r="584" spans="1:26" ht="15.75" hidden="1" customHeight="1" x14ac:dyDescent="0.25">
      <c r="A584" s="148" t="s">
        <v>76</v>
      </c>
      <c r="B584" s="148" t="s">
        <v>89</v>
      </c>
      <c r="C584" s="148" t="s">
        <v>90</v>
      </c>
      <c r="D584" s="148" t="s">
        <v>29</v>
      </c>
      <c r="E584" s="148" t="s">
        <v>30</v>
      </c>
      <c r="F584" s="148" t="s">
        <v>91</v>
      </c>
      <c r="G584" s="148" t="s">
        <v>329</v>
      </c>
      <c r="H584" s="148">
        <v>2005</v>
      </c>
      <c r="I584" s="148">
        <v>12</v>
      </c>
      <c r="J584" s="148" t="s">
        <v>118</v>
      </c>
      <c r="K584" s="148" t="s">
        <v>172</v>
      </c>
      <c r="M584" s="148" t="s">
        <v>346</v>
      </c>
      <c r="N584" s="148">
        <v>10</v>
      </c>
      <c r="O584" s="148" t="s">
        <v>101</v>
      </c>
      <c r="P584" s="148" t="s">
        <v>146</v>
      </c>
      <c r="Y584" s="150" t="s">
        <v>366</v>
      </c>
    </row>
    <row r="585" spans="1:26" ht="15.75" hidden="1" customHeight="1" x14ac:dyDescent="0.25">
      <c r="A585" s="148" t="s">
        <v>76</v>
      </c>
      <c r="B585" s="148" t="s">
        <v>89</v>
      </c>
      <c r="C585" s="148" t="s">
        <v>90</v>
      </c>
      <c r="D585" s="148" t="s">
        <v>29</v>
      </c>
      <c r="E585" s="148" t="s">
        <v>30</v>
      </c>
      <c r="F585" s="148" t="s">
        <v>91</v>
      </c>
      <c r="G585" s="148" t="s">
        <v>369</v>
      </c>
      <c r="H585" s="148">
        <v>2005</v>
      </c>
      <c r="I585" s="148">
        <v>12</v>
      </c>
      <c r="J585" s="148" t="s">
        <v>118</v>
      </c>
      <c r="K585" s="148" t="s">
        <v>327</v>
      </c>
      <c r="M585" s="148" t="s">
        <v>132</v>
      </c>
      <c r="N585" s="148">
        <v>8</v>
      </c>
      <c r="O585" s="148" t="s">
        <v>101</v>
      </c>
      <c r="P585" s="148" t="s">
        <v>537</v>
      </c>
      <c r="Y585" s="150" t="s">
        <v>366</v>
      </c>
    </row>
    <row r="586" spans="1:26" ht="15.75" hidden="1" customHeight="1" x14ac:dyDescent="0.25">
      <c r="A586" s="148" t="s">
        <v>307</v>
      </c>
      <c r="B586" s="148" t="s">
        <v>36</v>
      </c>
      <c r="C586" s="148" t="s">
        <v>28</v>
      </c>
      <c r="D586" s="148" t="s">
        <v>29</v>
      </c>
      <c r="E586" s="148" t="s">
        <v>51</v>
      </c>
      <c r="F586" s="148" t="s">
        <v>3183</v>
      </c>
      <c r="G586" s="148" t="s">
        <v>52</v>
      </c>
      <c r="H586" s="148">
        <v>2005</v>
      </c>
      <c r="I586" s="148">
        <v>12</v>
      </c>
      <c r="J586" s="148" t="s">
        <v>308</v>
      </c>
      <c r="Q586" s="148" t="s">
        <v>426</v>
      </c>
      <c r="R586" s="148" t="s">
        <v>38</v>
      </c>
      <c r="S586" s="148" t="s">
        <v>427</v>
      </c>
      <c r="T586" s="148" t="s">
        <v>428</v>
      </c>
      <c r="Y586" s="150" t="s">
        <v>366</v>
      </c>
    </row>
    <row r="587" spans="1:26" ht="15.75" hidden="1" customHeight="1" x14ac:dyDescent="0.25">
      <c r="A587" s="148" t="s">
        <v>76</v>
      </c>
      <c r="B587" s="148" t="s">
        <v>77</v>
      </c>
      <c r="C587" s="148" t="s">
        <v>55</v>
      </c>
      <c r="D587" s="148" t="s">
        <v>29</v>
      </c>
      <c r="E587" s="148" t="s">
        <v>30</v>
      </c>
      <c r="F587" s="148" t="s">
        <v>41</v>
      </c>
      <c r="G587" s="148" t="s">
        <v>363</v>
      </c>
      <c r="H587" s="148">
        <v>2005</v>
      </c>
      <c r="I587" s="148">
        <v>12</v>
      </c>
      <c r="J587" s="148" t="s">
        <v>118</v>
      </c>
      <c r="K587" s="148" t="s">
        <v>172</v>
      </c>
      <c r="M587" s="148" t="s">
        <v>346</v>
      </c>
      <c r="N587" s="148">
        <v>10</v>
      </c>
      <c r="O587" s="148" t="s">
        <v>101</v>
      </c>
      <c r="P587" s="148" t="s">
        <v>146</v>
      </c>
      <c r="Y587" s="150" t="s">
        <v>366</v>
      </c>
    </row>
    <row r="588" spans="1:26" ht="15.75" hidden="1" customHeight="1" x14ac:dyDescent="0.25">
      <c r="A588" s="148" t="s">
        <v>76</v>
      </c>
      <c r="B588" s="148" t="s">
        <v>103</v>
      </c>
      <c r="C588" s="148" t="s">
        <v>55</v>
      </c>
      <c r="D588" s="148" t="s">
        <v>478</v>
      </c>
      <c r="E588" s="148" t="s">
        <v>95</v>
      </c>
      <c r="F588" s="148" t="s">
        <v>56</v>
      </c>
      <c r="G588" s="148" t="s">
        <v>225</v>
      </c>
      <c r="H588" s="148">
        <v>2006</v>
      </c>
      <c r="I588" s="148">
        <v>1</v>
      </c>
      <c r="J588" s="148" t="s">
        <v>118</v>
      </c>
      <c r="K588" s="148" t="s">
        <v>172</v>
      </c>
      <c r="M588" s="148" t="s">
        <v>346</v>
      </c>
      <c r="N588" s="148">
        <v>8</v>
      </c>
      <c r="O588" s="148" t="s">
        <v>101</v>
      </c>
      <c r="P588" s="148" t="s">
        <v>146</v>
      </c>
      <c r="Y588" s="150" t="s">
        <v>624</v>
      </c>
      <c r="Z588" s="148" t="s">
        <v>625</v>
      </c>
    </row>
    <row r="589" spans="1:26" ht="15.75" hidden="1" customHeight="1" x14ac:dyDescent="0.25">
      <c r="A589" s="148" t="s">
        <v>76</v>
      </c>
      <c r="B589" s="148" t="s">
        <v>36</v>
      </c>
      <c r="C589" s="148" t="s">
        <v>28</v>
      </c>
      <c r="D589" s="148" t="s">
        <v>29</v>
      </c>
      <c r="E589" s="148" t="s">
        <v>30</v>
      </c>
      <c r="F589" s="148" t="s">
        <v>3183</v>
      </c>
      <c r="G589" s="148" t="s">
        <v>239</v>
      </c>
      <c r="H589" s="148">
        <v>2006</v>
      </c>
      <c r="I589" s="148">
        <v>2</v>
      </c>
      <c r="J589" s="148" t="s">
        <v>118</v>
      </c>
      <c r="K589" s="148" t="s">
        <v>172</v>
      </c>
      <c r="M589" s="148" t="s">
        <v>346</v>
      </c>
      <c r="N589" s="148">
        <v>8</v>
      </c>
      <c r="O589" s="148" t="s">
        <v>101</v>
      </c>
      <c r="P589" s="148" t="s">
        <v>626</v>
      </c>
      <c r="Y589" s="150" t="s">
        <v>627</v>
      </c>
    </row>
    <row r="590" spans="1:26" ht="15.75" hidden="1" customHeight="1" x14ac:dyDescent="0.25">
      <c r="A590" s="148" t="s">
        <v>76</v>
      </c>
      <c r="B590" s="148" t="s">
        <v>103</v>
      </c>
      <c r="C590" s="148" t="s">
        <v>55</v>
      </c>
      <c r="D590" s="148" t="s">
        <v>29</v>
      </c>
      <c r="E590" s="148" t="s">
        <v>30</v>
      </c>
      <c r="F590" s="148" t="s">
        <v>56</v>
      </c>
      <c r="G590" s="148" t="s">
        <v>381</v>
      </c>
      <c r="H590" s="148">
        <v>2006</v>
      </c>
      <c r="I590" s="148">
        <v>2</v>
      </c>
      <c r="J590" s="148" t="s">
        <v>118</v>
      </c>
      <c r="K590" s="148" t="s">
        <v>172</v>
      </c>
      <c r="M590" s="148" t="s">
        <v>346</v>
      </c>
      <c r="N590" s="148">
        <v>8</v>
      </c>
      <c r="O590" s="148" t="s">
        <v>101</v>
      </c>
      <c r="P590" s="148" t="s">
        <v>626</v>
      </c>
      <c r="Y590" s="150" t="s">
        <v>628</v>
      </c>
    </row>
    <row r="591" spans="1:26" ht="15.75" hidden="1" customHeight="1" x14ac:dyDescent="0.25">
      <c r="A591" s="148" t="s">
        <v>76</v>
      </c>
      <c r="B591" s="148" t="s">
        <v>198</v>
      </c>
      <c r="C591" s="148" t="s">
        <v>45</v>
      </c>
      <c r="D591" s="148" t="s">
        <v>99</v>
      </c>
      <c r="E591" s="148" t="s">
        <v>40</v>
      </c>
      <c r="F591" s="148" t="s">
        <v>199</v>
      </c>
      <c r="G591" s="148" t="s">
        <v>282</v>
      </c>
      <c r="H591" s="148">
        <v>2006</v>
      </c>
      <c r="I591" s="148">
        <v>3</v>
      </c>
      <c r="J591" s="148" t="s">
        <v>150</v>
      </c>
      <c r="K591" s="148" t="s">
        <v>629</v>
      </c>
      <c r="M591" s="148" t="s">
        <v>120</v>
      </c>
      <c r="N591" s="148">
        <v>6</v>
      </c>
      <c r="O591" s="148" t="s">
        <v>83</v>
      </c>
      <c r="Y591" s="150" t="s">
        <v>366</v>
      </c>
    </row>
    <row r="592" spans="1:26" ht="15.75" hidden="1" customHeight="1" x14ac:dyDescent="0.25">
      <c r="A592" s="148" t="s">
        <v>76</v>
      </c>
      <c r="B592" s="148" t="s">
        <v>198</v>
      </c>
      <c r="C592" s="148" t="s">
        <v>45</v>
      </c>
      <c r="D592" s="148" t="s">
        <v>29</v>
      </c>
      <c r="E592" s="148" t="s">
        <v>30</v>
      </c>
      <c r="F592" s="148" t="s">
        <v>199</v>
      </c>
      <c r="G592" s="148" t="s">
        <v>232</v>
      </c>
      <c r="H592" s="148">
        <v>2006</v>
      </c>
      <c r="I592" s="148">
        <v>3</v>
      </c>
      <c r="J592" s="148" t="s">
        <v>150</v>
      </c>
      <c r="K592" s="148" t="s">
        <v>630</v>
      </c>
      <c r="M592" s="148" t="s">
        <v>631</v>
      </c>
      <c r="N592" s="148">
        <v>6</v>
      </c>
      <c r="O592" s="148" t="s">
        <v>83</v>
      </c>
      <c r="Y592" s="150" t="s">
        <v>366</v>
      </c>
    </row>
    <row r="593" spans="1:26" ht="15.75" hidden="1" customHeight="1" x14ac:dyDescent="0.25">
      <c r="A593" s="148" t="s">
        <v>76</v>
      </c>
      <c r="B593" s="148" t="s">
        <v>198</v>
      </c>
      <c r="C593" s="148" t="s">
        <v>45</v>
      </c>
      <c r="D593" s="148" t="s">
        <v>29</v>
      </c>
      <c r="E593" s="148" t="s">
        <v>30</v>
      </c>
      <c r="F593" s="148" t="s">
        <v>199</v>
      </c>
      <c r="G593" s="148" t="s">
        <v>241</v>
      </c>
      <c r="H593" s="148">
        <v>2006</v>
      </c>
      <c r="I593" s="148">
        <v>3</v>
      </c>
      <c r="J593" s="148" t="s">
        <v>118</v>
      </c>
      <c r="K593" s="148" t="s">
        <v>172</v>
      </c>
      <c r="M593" s="148" t="s">
        <v>346</v>
      </c>
      <c r="N593" s="148">
        <v>10</v>
      </c>
      <c r="O593" s="148" t="s">
        <v>101</v>
      </c>
      <c r="P593" s="148" t="s">
        <v>241</v>
      </c>
      <c r="Y593" s="150" t="s">
        <v>366</v>
      </c>
    </row>
    <row r="594" spans="1:26" ht="15.75" hidden="1" customHeight="1" x14ac:dyDescent="0.25">
      <c r="A594" s="148" t="s">
        <v>76</v>
      </c>
      <c r="B594" s="148" t="s">
        <v>77</v>
      </c>
      <c r="C594" s="148" t="s">
        <v>55</v>
      </c>
      <c r="D594" s="148" t="s">
        <v>29</v>
      </c>
      <c r="E594" s="148" t="s">
        <v>30</v>
      </c>
      <c r="F594" s="148" t="s">
        <v>41</v>
      </c>
      <c r="G594" s="148" t="s">
        <v>161</v>
      </c>
      <c r="H594" s="148">
        <v>2006</v>
      </c>
      <c r="I594" s="148">
        <v>3</v>
      </c>
      <c r="J594" s="148" t="s">
        <v>118</v>
      </c>
      <c r="K594" s="148" t="s">
        <v>172</v>
      </c>
      <c r="M594" s="148" t="s">
        <v>346</v>
      </c>
      <c r="N594" s="148">
        <v>10</v>
      </c>
      <c r="O594" s="148" t="s">
        <v>101</v>
      </c>
      <c r="P594" s="148" t="s">
        <v>632</v>
      </c>
      <c r="Y594" s="150" t="s">
        <v>366</v>
      </c>
    </row>
    <row r="595" spans="1:26" ht="15.75" hidden="1" customHeight="1" x14ac:dyDescent="0.25">
      <c r="A595" s="148" t="s">
        <v>76</v>
      </c>
      <c r="B595" s="148" t="s">
        <v>44</v>
      </c>
      <c r="C595" s="148" t="s">
        <v>45</v>
      </c>
      <c r="D595" s="148" t="s">
        <v>86</v>
      </c>
      <c r="E595" s="148" t="s">
        <v>30</v>
      </c>
      <c r="F595" s="148" t="s">
        <v>47</v>
      </c>
      <c r="G595" s="148" t="s">
        <v>377</v>
      </c>
      <c r="H595" s="148">
        <v>2006</v>
      </c>
      <c r="I595" s="148">
        <v>3</v>
      </c>
      <c r="J595" s="148" t="s">
        <v>150</v>
      </c>
      <c r="K595" s="148" t="s">
        <v>629</v>
      </c>
      <c r="M595" s="148" t="s">
        <v>120</v>
      </c>
      <c r="N595" s="148">
        <v>6</v>
      </c>
      <c r="O595" s="148" t="s">
        <v>83</v>
      </c>
      <c r="Y595" s="150" t="s">
        <v>366</v>
      </c>
    </row>
    <row r="596" spans="1:26" ht="15.75" hidden="1" customHeight="1" x14ac:dyDescent="0.25">
      <c r="A596" s="148" t="s">
        <v>76</v>
      </c>
      <c r="B596" s="148" t="s">
        <v>54</v>
      </c>
      <c r="C596" s="148" t="s">
        <v>55</v>
      </c>
      <c r="D596" s="148" t="s">
        <v>65</v>
      </c>
      <c r="E596" s="148" t="s">
        <v>30</v>
      </c>
      <c r="F596" s="148" t="s">
        <v>56</v>
      </c>
      <c r="G596" s="148" t="s">
        <v>54</v>
      </c>
      <c r="H596" s="148">
        <v>2006</v>
      </c>
      <c r="I596" s="148">
        <v>3</v>
      </c>
      <c r="J596" s="148" t="s">
        <v>118</v>
      </c>
      <c r="K596" s="148" t="s">
        <v>459</v>
      </c>
      <c r="M596" s="148" t="s">
        <v>120</v>
      </c>
      <c r="N596" s="148">
        <v>8</v>
      </c>
      <c r="O596" s="148" t="s">
        <v>101</v>
      </c>
      <c r="P596" s="148" t="s">
        <v>206</v>
      </c>
      <c r="Y596" s="150" t="s">
        <v>633</v>
      </c>
    </row>
    <row r="597" spans="1:26" ht="15.75" hidden="1" customHeight="1" x14ac:dyDescent="0.25">
      <c r="A597" s="148" t="s">
        <v>76</v>
      </c>
      <c r="B597" s="148" t="s">
        <v>89</v>
      </c>
      <c r="C597" s="148" t="s">
        <v>90</v>
      </c>
      <c r="D597" s="148" t="s">
        <v>29</v>
      </c>
      <c r="E597" s="148" t="s">
        <v>30</v>
      </c>
      <c r="F597" s="148" t="s">
        <v>91</v>
      </c>
      <c r="G597" s="148" t="s">
        <v>634</v>
      </c>
      <c r="H597" s="148">
        <v>2006</v>
      </c>
      <c r="I597" s="148">
        <v>3</v>
      </c>
      <c r="J597" s="148" t="s">
        <v>118</v>
      </c>
      <c r="K597" s="148" t="s">
        <v>172</v>
      </c>
      <c r="M597" s="148" t="s">
        <v>346</v>
      </c>
      <c r="N597" s="148">
        <v>10</v>
      </c>
      <c r="O597" s="148" t="s">
        <v>101</v>
      </c>
      <c r="P597" s="148" t="s">
        <v>146</v>
      </c>
      <c r="Y597" s="150" t="s">
        <v>366</v>
      </c>
    </row>
    <row r="598" spans="1:26" ht="15.75" hidden="1" customHeight="1" x14ac:dyDescent="0.25">
      <c r="A598" s="148" t="s">
        <v>307</v>
      </c>
      <c r="B598" s="148" t="s">
        <v>77</v>
      </c>
      <c r="C598" s="148" t="s">
        <v>55</v>
      </c>
      <c r="D598" s="148" t="s">
        <v>78</v>
      </c>
      <c r="E598" s="148" t="s">
        <v>30</v>
      </c>
      <c r="F598" s="148" t="s">
        <v>41</v>
      </c>
      <c r="G598" s="148" t="s">
        <v>79</v>
      </c>
      <c r="H598" s="148">
        <v>2006</v>
      </c>
      <c r="I598" s="148">
        <v>3</v>
      </c>
      <c r="J598" s="148" t="s">
        <v>399</v>
      </c>
      <c r="Q598" s="148" t="s">
        <v>309</v>
      </c>
      <c r="R598" s="148" t="s">
        <v>635</v>
      </c>
      <c r="S598" s="148" t="s">
        <v>311</v>
      </c>
      <c r="T598" s="148" t="s">
        <v>636</v>
      </c>
      <c r="Y598" s="150" t="s">
        <v>637</v>
      </c>
    </row>
    <row r="599" spans="1:26" ht="15.75" hidden="1" customHeight="1" x14ac:dyDescent="0.25">
      <c r="A599" s="148" t="s">
        <v>76</v>
      </c>
      <c r="B599" s="148" t="s">
        <v>89</v>
      </c>
      <c r="C599" s="148" t="s">
        <v>90</v>
      </c>
      <c r="D599" s="148" t="s">
        <v>29</v>
      </c>
      <c r="E599" s="148" t="s">
        <v>30</v>
      </c>
      <c r="F599" s="148" t="s">
        <v>91</v>
      </c>
      <c r="G599" s="148" t="s">
        <v>369</v>
      </c>
      <c r="H599" s="148">
        <v>2006</v>
      </c>
      <c r="I599" s="148">
        <v>3</v>
      </c>
      <c r="J599" s="148" t="s">
        <v>118</v>
      </c>
      <c r="K599" s="148" t="s">
        <v>172</v>
      </c>
      <c r="M599" s="148" t="s">
        <v>346</v>
      </c>
      <c r="N599" s="148">
        <v>10</v>
      </c>
      <c r="O599" s="148" t="s">
        <v>101</v>
      </c>
      <c r="P599" s="148" t="s">
        <v>146</v>
      </c>
      <c r="Y599" s="150" t="s">
        <v>366</v>
      </c>
    </row>
    <row r="600" spans="1:26" ht="13.5" hidden="1" customHeight="1" x14ac:dyDescent="0.25">
      <c r="A600" s="148" t="s">
        <v>76</v>
      </c>
      <c r="B600" s="148" t="s">
        <v>198</v>
      </c>
      <c r="C600" s="148" t="s">
        <v>45</v>
      </c>
      <c r="D600" s="148" t="s">
        <v>99</v>
      </c>
      <c r="E600" s="148" t="s">
        <v>40</v>
      </c>
      <c r="F600" s="148" t="s">
        <v>199</v>
      </c>
      <c r="G600" s="148" t="s">
        <v>282</v>
      </c>
      <c r="H600" s="148">
        <v>2006</v>
      </c>
      <c r="I600" s="148">
        <v>4</v>
      </c>
      <c r="J600" s="148" t="s">
        <v>150</v>
      </c>
      <c r="K600" s="148" t="s">
        <v>444</v>
      </c>
      <c r="M600" s="148" t="s">
        <v>445</v>
      </c>
      <c r="N600" s="148">
        <v>6</v>
      </c>
      <c r="O600" s="148" t="s">
        <v>83</v>
      </c>
      <c r="Y600" s="150" t="s">
        <v>366</v>
      </c>
    </row>
    <row r="601" spans="1:26" ht="15.75" hidden="1" customHeight="1" x14ac:dyDescent="0.25">
      <c r="A601" s="148" t="s">
        <v>76</v>
      </c>
      <c r="B601" s="148" t="s">
        <v>103</v>
      </c>
      <c r="C601" s="148" t="s">
        <v>55</v>
      </c>
      <c r="D601" s="148" t="s">
        <v>99</v>
      </c>
      <c r="E601" s="148" t="s">
        <v>30</v>
      </c>
      <c r="F601" s="148" t="s">
        <v>56</v>
      </c>
      <c r="G601" s="148" t="s">
        <v>171</v>
      </c>
      <c r="H601" s="148">
        <v>2006</v>
      </c>
      <c r="I601" s="148">
        <v>4</v>
      </c>
      <c r="J601" s="148" t="s">
        <v>118</v>
      </c>
      <c r="K601" s="148" t="s">
        <v>491</v>
      </c>
      <c r="M601" s="148" t="s">
        <v>492</v>
      </c>
      <c r="N601" s="148">
        <v>5</v>
      </c>
      <c r="O601" s="148" t="s">
        <v>101</v>
      </c>
      <c r="P601" s="148" t="s">
        <v>435</v>
      </c>
      <c r="Y601" s="150" t="s">
        <v>366</v>
      </c>
    </row>
    <row r="602" spans="1:26" ht="15.75" hidden="1" customHeight="1" x14ac:dyDescent="0.25">
      <c r="A602" s="148" t="s">
        <v>76</v>
      </c>
      <c r="B602" s="148" t="s">
        <v>89</v>
      </c>
      <c r="C602" s="148" t="s">
        <v>90</v>
      </c>
      <c r="D602" s="148" t="s">
        <v>292</v>
      </c>
      <c r="E602" s="148" t="s">
        <v>30</v>
      </c>
      <c r="F602" s="148" t="s">
        <v>91</v>
      </c>
      <c r="G602" s="148" t="s">
        <v>293</v>
      </c>
      <c r="H602" s="148">
        <v>2006</v>
      </c>
      <c r="I602" s="148">
        <v>4</v>
      </c>
      <c r="J602" s="148" t="s">
        <v>150</v>
      </c>
      <c r="K602" s="148" t="s">
        <v>629</v>
      </c>
      <c r="M602" s="148" t="s">
        <v>120</v>
      </c>
      <c r="N602" s="148">
        <v>6</v>
      </c>
      <c r="O602" s="148" t="s">
        <v>83</v>
      </c>
      <c r="Y602" s="150" t="s">
        <v>366</v>
      </c>
    </row>
    <row r="603" spans="1:26" ht="15.75" hidden="1" customHeight="1" x14ac:dyDescent="0.25">
      <c r="A603" s="148" t="s">
        <v>76</v>
      </c>
      <c r="B603" s="148" t="s">
        <v>198</v>
      </c>
      <c r="C603" s="148" t="s">
        <v>45</v>
      </c>
      <c r="D603" s="148" t="s">
        <v>94</v>
      </c>
      <c r="E603" s="148" t="s">
        <v>30</v>
      </c>
      <c r="F603" s="148" t="s">
        <v>199</v>
      </c>
      <c r="G603" s="148" t="s">
        <v>296</v>
      </c>
      <c r="H603" s="148">
        <v>2006</v>
      </c>
      <c r="I603" s="148">
        <v>4</v>
      </c>
      <c r="J603" s="148" t="s">
        <v>150</v>
      </c>
      <c r="K603" s="148" t="s">
        <v>491</v>
      </c>
      <c r="M603" s="148" t="s">
        <v>492</v>
      </c>
      <c r="N603" s="148">
        <v>5</v>
      </c>
      <c r="O603" s="148" t="s">
        <v>83</v>
      </c>
      <c r="Y603" s="150" t="s">
        <v>366</v>
      </c>
    </row>
    <row r="604" spans="1:26" ht="15.75" hidden="1" customHeight="1" x14ac:dyDescent="0.25">
      <c r="A604" s="148" t="s">
        <v>76</v>
      </c>
      <c r="B604" s="148" t="s">
        <v>103</v>
      </c>
      <c r="C604" s="148" t="s">
        <v>55</v>
      </c>
      <c r="D604" s="148" t="s">
        <v>29</v>
      </c>
      <c r="E604" s="148" t="s">
        <v>95</v>
      </c>
      <c r="F604" s="148" t="s">
        <v>56</v>
      </c>
      <c r="G604" s="148" t="s">
        <v>407</v>
      </c>
      <c r="H604" s="148">
        <v>2006</v>
      </c>
      <c r="I604" s="148">
        <v>4</v>
      </c>
      <c r="J604" s="148" t="s">
        <v>150</v>
      </c>
      <c r="K604" s="148" t="s">
        <v>638</v>
      </c>
      <c r="M604" s="148" t="s">
        <v>639</v>
      </c>
      <c r="N604" s="148">
        <v>6</v>
      </c>
      <c r="O604" s="148" t="s">
        <v>83</v>
      </c>
      <c r="Y604" s="150" t="s">
        <v>366</v>
      </c>
    </row>
    <row r="605" spans="1:26" ht="15.75" hidden="1" customHeight="1" x14ac:dyDescent="0.25">
      <c r="A605" s="148" t="s">
        <v>76</v>
      </c>
      <c r="B605" s="148" t="s">
        <v>77</v>
      </c>
      <c r="C605" s="148" t="s">
        <v>55</v>
      </c>
      <c r="D605" s="148" t="s">
        <v>99</v>
      </c>
      <c r="E605" s="148" t="s">
        <v>30</v>
      </c>
      <c r="F605" s="148" t="s">
        <v>41</v>
      </c>
      <c r="G605" s="148" t="s">
        <v>159</v>
      </c>
      <c r="H605" s="148">
        <v>2006</v>
      </c>
      <c r="I605" s="148">
        <v>4</v>
      </c>
      <c r="J605" s="148" t="s">
        <v>640</v>
      </c>
      <c r="K605" s="148" t="s">
        <v>172</v>
      </c>
      <c r="M605" s="148" t="s">
        <v>346</v>
      </c>
      <c r="N605" s="148">
        <v>10</v>
      </c>
      <c r="O605" s="148" t="s">
        <v>101</v>
      </c>
      <c r="P605" s="148" t="s">
        <v>512</v>
      </c>
      <c r="Y605" s="150" t="s">
        <v>366</v>
      </c>
      <c r="Z605" s="148" t="s">
        <v>641</v>
      </c>
    </row>
    <row r="606" spans="1:26" ht="15.75" hidden="1" customHeight="1" x14ac:dyDescent="0.25">
      <c r="A606" s="148" t="s">
        <v>76</v>
      </c>
      <c r="B606" s="148" t="s">
        <v>77</v>
      </c>
      <c r="C606" s="148" t="s">
        <v>55</v>
      </c>
      <c r="D606" s="148" t="s">
        <v>29</v>
      </c>
      <c r="E606" s="148" t="s">
        <v>30</v>
      </c>
      <c r="F606" s="148" t="s">
        <v>41</v>
      </c>
      <c r="G606" s="148" t="s">
        <v>161</v>
      </c>
      <c r="H606" s="148">
        <v>2006</v>
      </c>
      <c r="I606" s="148">
        <v>4</v>
      </c>
      <c r="J606" s="148" t="s">
        <v>640</v>
      </c>
      <c r="K606" s="148" t="s">
        <v>172</v>
      </c>
      <c r="M606" s="148" t="s">
        <v>346</v>
      </c>
      <c r="N606" s="148">
        <v>10</v>
      </c>
      <c r="O606" s="148" t="s">
        <v>101</v>
      </c>
      <c r="P606" s="148" t="s">
        <v>146</v>
      </c>
      <c r="Y606" s="150" t="s">
        <v>366</v>
      </c>
      <c r="Z606" s="148" t="s">
        <v>641</v>
      </c>
    </row>
    <row r="607" spans="1:26" ht="15.75" hidden="1" customHeight="1" x14ac:dyDescent="0.25">
      <c r="A607" s="148" t="s">
        <v>76</v>
      </c>
      <c r="B607" s="148" t="s">
        <v>36</v>
      </c>
      <c r="C607" s="148" t="s">
        <v>28</v>
      </c>
      <c r="D607" s="148" t="s">
        <v>86</v>
      </c>
      <c r="E607" s="148" t="s">
        <v>30</v>
      </c>
      <c r="F607" s="148" t="s">
        <v>3183</v>
      </c>
      <c r="G607" s="148" t="s">
        <v>67</v>
      </c>
      <c r="H607" s="148">
        <v>2006</v>
      </c>
      <c r="I607" s="148">
        <v>4</v>
      </c>
      <c r="J607" s="148" t="s">
        <v>150</v>
      </c>
      <c r="K607" s="148" t="s">
        <v>172</v>
      </c>
      <c r="M607" s="148" t="s">
        <v>346</v>
      </c>
      <c r="N607" s="148">
        <v>10</v>
      </c>
      <c r="O607" s="148" t="s">
        <v>83</v>
      </c>
      <c r="Y607" s="150" t="s">
        <v>366</v>
      </c>
    </row>
    <row r="608" spans="1:26" ht="15.75" hidden="1" customHeight="1" x14ac:dyDescent="0.25">
      <c r="A608" s="148" t="s">
        <v>76</v>
      </c>
      <c r="B608" s="148" t="s">
        <v>44</v>
      </c>
      <c r="C608" s="148" t="s">
        <v>45</v>
      </c>
      <c r="D608" s="148" t="s">
        <v>86</v>
      </c>
      <c r="E608" s="148" t="s">
        <v>30</v>
      </c>
      <c r="F608" s="148" t="s">
        <v>47</v>
      </c>
      <c r="G608" s="148" t="s">
        <v>377</v>
      </c>
      <c r="H608" s="148">
        <v>2006</v>
      </c>
      <c r="I608" s="148">
        <v>4</v>
      </c>
      <c r="J608" s="148" t="s">
        <v>150</v>
      </c>
      <c r="K608" s="148" t="s">
        <v>491</v>
      </c>
      <c r="M608" s="148" t="s">
        <v>492</v>
      </c>
      <c r="N608" s="148">
        <v>5</v>
      </c>
      <c r="O608" s="148" t="s">
        <v>83</v>
      </c>
      <c r="Y608" s="150" t="s">
        <v>366</v>
      </c>
    </row>
    <row r="609" spans="1:25" ht="13.5" hidden="1" customHeight="1" x14ac:dyDescent="0.25">
      <c r="A609" s="148" t="s">
        <v>76</v>
      </c>
      <c r="B609" s="148" t="s">
        <v>62</v>
      </c>
      <c r="C609" s="148" t="s">
        <v>28</v>
      </c>
      <c r="D609" s="148" t="s">
        <v>51</v>
      </c>
      <c r="E609" s="148" t="s">
        <v>30</v>
      </c>
      <c r="F609" s="148" t="s">
        <v>3183</v>
      </c>
      <c r="G609" s="148" t="s">
        <v>63</v>
      </c>
      <c r="H609" s="148">
        <v>2006</v>
      </c>
      <c r="I609" s="148">
        <v>4</v>
      </c>
      <c r="J609" s="148" t="s">
        <v>150</v>
      </c>
      <c r="K609" s="148" t="s">
        <v>172</v>
      </c>
      <c r="M609" s="148" t="s">
        <v>346</v>
      </c>
      <c r="N609" s="148">
        <v>10</v>
      </c>
      <c r="O609" s="148" t="s">
        <v>83</v>
      </c>
      <c r="Y609" s="150" t="s">
        <v>366</v>
      </c>
    </row>
    <row r="610" spans="1:25" ht="15.75" hidden="1" customHeight="1" x14ac:dyDescent="0.25">
      <c r="A610" s="148" t="s">
        <v>76</v>
      </c>
      <c r="B610" s="148" t="s">
        <v>198</v>
      </c>
      <c r="C610" s="148" t="s">
        <v>45</v>
      </c>
      <c r="D610" s="148" t="s">
        <v>94</v>
      </c>
      <c r="E610" s="148" t="s">
        <v>30</v>
      </c>
      <c r="F610" s="148" t="s">
        <v>199</v>
      </c>
      <c r="G610" s="148" t="s">
        <v>248</v>
      </c>
      <c r="H610" s="148">
        <v>2006</v>
      </c>
      <c r="I610" s="148">
        <v>4</v>
      </c>
      <c r="J610" s="148" t="s">
        <v>150</v>
      </c>
      <c r="K610" s="148" t="s">
        <v>444</v>
      </c>
      <c r="M610" s="148" t="s">
        <v>445</v>
      </c>
      <c r="N610" s="148">
        <v>6</v>
      </c>
      <c r="O610" s="148" t="s">
        <v>83</v>
      </c>
      <c r="Y610" s="150" t="s">
        <v>366</v>
      </c>
    </row>
    <row r="611" spans="1:25" ht="15.75" hidden="1" customHeight="1" x14ac:dyDescent="0.25">
      <c r="A611" s="148" t="s">
        <v>76</v>
      </c>
      <c r="B611" s="148" t="s">
        <v>103</v>
      </c>
      <c r="C611" s="148" t="s">
        <v>55</v>
      </c>
      <c r="D611" s="148" t="s">
        <v>490</v>
      </c>
      <c r="E611" s="148" t="s">
        <v>95</v>
      </c>
      <c r="F611" s="148" t="s">
        <v>56</v>
      </c>
      <c r="G611" s="148" t="s">
        <v>168</v>
      </c>
      <c r="H611" s="148">
        <v>2006</v>
      </c>
      <c r="I611" s="148">
        <v>4</v>
      </c>
      <c r="J611" s="148" t="s">
        <v>150</v>
      </c>
      <c r="K611" s="148" t="s">
        <v>638</v>
      </c>
      <c r="M611" s="148" t="s">
        <v>639</v>
      </c>
      <c r="N611" s="148">
        <v>6</v>
      </c>
      <c r="O611" s="148" t="s">
        <v>83</v>
      </c>
      <c r="Y611" s="150" t="s">
        <v>366</v>
      </c>
    </row>
    <row r="612" spans="1:25" ht="15.75" hidden="1" customHeight="1" x14ac:dyDescent="0.25">
      <c r="A612" s="148" t="s">
        <v>76</v>
      </c>
      <c r="B612" s="148" t="s">
        <v>54</v>
      </c>
      <c r="C612" s="148" t="s">
        <v>55</v>
      </c>
      <c r="D612" s="148" t="s">
        <v>65</v>
      </c>
      <c r="E612" s="148" t="s">
        <v>30</v>
      </c>
      <c r="F612" s="148" t="s">
        <v>56</v>
      </c>
      <c r="G612" s="148" t="s">
        <v>54</v>
      </c>
      <c r="H612" s="148">
        <v>2006</v>
      </c>
      <c r="I612" s="148">
        <v>4</v>
      </c>
      <c r="J612" s="148" t="s">
        <v>640</v>
      </c>
      <c r="K612" s="148" t="s">
        <v>172</v>
      </c>
      <c r="M612" s="148" t="s">
        <v>346</v>
      </c>
      <c r="N612" s="148">
        <v>10</v>
      </c>
      <c r="O612" s="148" t="s">
        <v>101</v>
      </c>
      <c r="P612" s="148" t="s">
        <v>146</v>
      </c>
      <c r="Y612" s="150" t="s">
        <v>366</v>
      </c>
    </row>
    <row r="613" spans="1:25" ht="15.75" hidden="1" customHeight="1" x14ac:dyDescent="0.25">
      <c r="A613" s="148" t="s">
        <v>76</v>
      </c>
      <c r="B613" s="148" t="s">
        <v>77</v>
      </c>
      <c r="C613" s="148" t="s">
        <v>55</v>
      </c>
      <c r="D613" s="148" t="s">
        <v>78</v>
      </c>
      <c r="E613" s="148" t="s">
        <v>30</v>
      </c>
      <c r="F613" s="148" t="s">
        <v>41</v>
      </c>
      <c r="G613" s="148" t="s">
        <v>79</v>
      </c>
      <c r="H613" s="148">
        <v>2006</v>
      </c>
      <c r="I613" s="148">
        <v>4</v>
      </c>
      <c r="J613" s="148" t="s">
        <v>100</v>
      </c>
      <c r="K613" s="148" t="s">
        <v>172</v>
      </c>
      <c r="M613" s="148" t="s">
        <v>346</v>
      </c>
      <c r="N613" s="148">
        <v>10</v>
      </c>
      <c r="O613" s="148" t="s">
        <v>101</v>
      </c>
      <c r="P613" s="148" t="s">
        <v>642</v>
      </c>
      <c r="Y613" s="150" t="s">
        <v>643</v>
      </c>
    </row>
    <row r="614" spans="1:25" ht="15.75" customHeight="1" x14ac:dyDescent="0.25">
      <c r="A614" s="148" t="s">
        <v>76</v>
      </c>
      <c r="B614" s="148" t="s">
        <v>36</v>
      </c>
      <c r="C614" s="148" t="s">
        <v>28</v>
      </c>
      <c r="D614" s="148" t="s">
        <v>29</v>
      </c>
      <c r="E614" s="148" t="s">
        <v>30</v>
      </c>
      <c r="F614" s="148" t="s">
        <v>3183</v>
      </c>
      <c r="G614" s="148" t="s">
        <v>194</v>
      </c>
      <c r="H614" s="148">
        <v>2006</v>
      </c>
      <c r="I614" s="148">
        <v>4</v>
      </c>
      <c r="J614" s="148" t="s">
        <v>150</v>
      </c>
      <c r="K614" s="148" t="s">
        <v>172</v>
      </c>
      <c r="M614" s="148" t="s">
        <v>346</v>
      </c>
      <c r="N614" s="148">
        <v>10</v>
      </c>
      <c r="O614" s="148" t="s">
        <v>83</v>
      </c>
      <c r="Y614" s="150" t="s">
        <v>366</v>
      </c>
    </row>
    <row r="615" spans="1:25" ht="15.75" hidden="1" customHeight="1" x14ac:dyDescent="0.25">
      <c r="A615" s="148" t="s">
        <v>76</v>
      </c>
      <c r="B615" s="148" t="s">
        <v>62</v>
      </c>
      <c r="C615" s="148" t="s">
        <v>28</v>
      </c>
      <c r="D615" s="148" t="s">
        <v>158</v>
      </c>
      <c r="E615" s="148" t="s">
        <v>51</v>
      </c>
      <c r="F615" s="148" t="s">
        <v>3183</v>
      </c>
      <c r="G615" s="148" t="s">
        <v>130</v>
      </c>
      <c r="H615" s="148">
        <v>2006</v>
      </c>
      <c r="I615" s="148">
        <v>4</v>
      </c>
      <c r="J615" s="148" t="s">
        <v>150</v>
      </c>
      <c r="K615" s="148" t="s">
        <v>172</v>
      </c>
      <c r="M615" s="148" t="s">
        <v>346</v>
      </c>
      <c r="N615" s="148">
        <v>10</v>
      </c>
      <c r="O615" s="148" t="s">
        <v>83</v>
      </c>
      <c r="Y615" s="150" t="s">
        <v>366</v>
      </c>
    </row>
    <row r="616" spans="1:25" ht="15.75" hidden="1" customHeight="1" x14ac:dyDescent="0.25">
      <c r="A616" s="148" t="s">
        <v>76</v>
      </c>
      <c r="B616" s="148" t="s">
        <v>116</v>
      </c>
      <c r="C616" s="148" t="s">
        <v>90</v>
      </c>
      <c r="D616" s="148" t="s">
        <v>29</v>
      </c>
      <c r="E616" s="148" t="s">
        <v>30</v>
      </c>
      <c r="F616" s="148" t="s">
        <v>41</v>
      </c>
      <c r="G616" s="148" t="s">
        <v>476</v>
      </c>
      <c r="H616" s="148">
        <v>2006</v>
      </c>
      <c r="I616" s="148">
        <v>4</v>
      </c>
      <c r="J616" s="148" t="s">
        <v>150</v>
      </c>
      <c r="K616" s="148" t="s">
        <v>629</v>
      </c>
      <c r="M616" s="148" t="s">
        <v>120</v>
      </c>
      <c r="N616" s="148">
        <v>6</v>
      </c>
      <c r="O616" s="148" t="s">
        <v>83</v>
      </c>
      <c r="Y616" s="150" t="s">
        <v>366</v>
      </c>
    </row>
    <row r="617" spans="1:25" ht="15.75" hidden="1" customHeight="1" x14ac:dyDescent="0.25">
      <c r="A617" s="148" t="s">
        <v>76</v>
      </c>
      <c r="B617" s="148" t="s">
        <v>77</v>
      </c>
      <c r="C617" s="148" t="s">
        <v>55</v>
      </c>
      <c r="D617" s="148" t="s">
        <v>29</v>
      </c>
      <c r="E617" s="148" t="s">
        <v>30</v>
      </c>
      <c r="F617" s="148" t="s">
        <v>41</v>
      </c>
      <c r="G617" s="148" t="s">
        <v>275</v>
      </c>
      <c r="H617" s="148">
        <v>2006</v>
      </c>
      <c r="I617" s="148">
        <v>4</v>
      </c>
      <c r="J617" s="148" t="s">
        <v>640</v>
      </c>
      <c r="K617" s="148" t="s">
        <v>172</v>
      </c>
      <c r="M617" s="148" t="s">
        <v>346</v>
      </c>
      <c r="N617" s="148">
        <v>10</v>
      </c>
      <c r="O617" s="148" t="s">
        <v>101</v>
      </c>
      <c r="P617" s="148" t="s">
        <v>146</v>
      </c>
      <c r="Y617" s="150" t="s">
        <v>366</v>
      </c>
    </row>
    <row r="618" spans="1:25" ht="15.75" hidden="1" customHeight="1" x14ac:dyDescent="0.25">
      <c r="A618" s="148" t="s">
        <v>76</v>
      </c>
      <c r="B618" s="148" t="s">
        <v>44</v>
      </c>
      <c r="C618" s="148" t="s">
        <v>45</v>
      </c>
      <c r="D618" s="148" t="s">
        <v>29</v>
      </c>
      <c r="E618" s="148" t="s">
        <v>46</v>
      </c>
      <c r="F618" s="148" t="s">
        <v>47</v>
      </c>
      <c r="G618" s="148" t="s">
        <v>48</v>
      </c>
      <c r="H618" s="148">
        <v>2006</v>
      </c>
      <c r="I618" s="148">
        <v>4</v>
      </c>
      <c r="J618" s="148" t="s">
        <v>118</v>
      </c>
      <c r="K618" s="148" t="s">
        <v>327</v>
      </c>
      <c r="M618" s="148" t="s">
        <v>132</v>
      </c>
      <c r="N618" s="148">
        <v>8</v>
      </c>
      <c r="O618" s="148" t="s">
        <v>101</v>
      </c>
      <c r="P618" s="148" t="s">
        <v>644</v>
      </c>
      <c r="Y618" s="150" t="s">
        <v>645</v>
      </c>
    </row>
    <row r="619" spans="1:25" ht="15.75" hidden="1" customHeight="1" x14ac:dyDescent="0.25">
      <c r="A619" s="148" t="s">
        <v>76</v>
      </c>
      <c r="B619" s="148" t="s">
        <v>77</v>
      </c>
      <c r="C619" s="148" t="s">
        <v>55</v>
      </c>
      <c r="D619" s="148" t="s">
        <v>29</v>
      </c>
      <c r="E619" s="148" t="s">
        <v>30</v>
      </c>
      <c r="F619" s="148" t="s">
        <v>41</v>
      </c>
      <c r="G619" s="148" t="s">
        <v>363</v>
      </c>
      <c r="H619" s="148">
        <v>2006</v>
      </c>
      <c r="I619" s="148">
        <v>4</v>
      </c>
      <c r="J619" s="148" t="s">
        <v>640</v>
      </c>
      <c r="K619" s="148" t="s">
        <v>172</v>
      </c>
      <c r="M619" s="148" t="s">
        <v>346</v>
      </c>
      <c r="N619" s="148">
        <v>10</v>
      </c>
      <c r="O619" s="148" t="s">
        <v>101</v>
      </c>
      <c r="P619" s="148" t="s">
        <v>146</v>
      </c>
      <c r="Y619" s="150" t="s">
        <v>366</v>
      </c>
    </row>
    <row r="620" spans="1:25" ht="13.5" hidden="1" customHeight="1" x14ac:dyDescent="0.25">
      <c r="A620" s="148" t="s">
        <v>76</v>
      </c>
      <c r="B620" s="148" t="s">
        <v>36</v>
      </c>
      <c r="C620" s="148" t="s">
        <v>28</v>
      </c>
      <c r="D620" s="148" t="s">
        <v>29</v>
      </c>
      <c r="E620" s="148" t="s">
        <v>30</v>
      </c>
      <c r="F620" s="148" t="s">
        <v>3183</v>
      </c>
      <c r="G620" s="148" t="s">
        <v>114</v>
      </c>
      <c r="H620" s="148">
        <v>2006</v>
      </c>
      <c r="I620" s="148">
        <v>4</v>
      </c>
      <c r="J620" s="148" t="s">
        <v>150</v>
      </c>
      <c r="K620" s="148" t="s">
        <v>172</v>
      </c>
      <c r="M620" s="148" t="s">
        <v>346</v>
      </c>
      <c r="N620" s="148">
        <v>10</v>
      </c>
      <c r="O620" s="148" t="s">
        <v>83</v>
      </c>
      <c r="Y620" s="150" t="s">
        <v>366</v>
      </c>
    </row>
    <row r="621" spans="1:25" ht="15.75" hidden="1" customHeight="1" x14ac:dyDescent="0.25">
      <c r="A621" s="148" t="s">
        <v>76</v>
      </c>
      <c r="B621" s="148" t="s">
        <v>27</v>
      </c>
      <c r="C621" s="148" t="s">
        <v>55</v>
      </c>
      <c r="D621" s="148" t="s">
        <v>158</v>
      </c>
      <c r="E621" s="148" t="s">
        <v>40</v>
      </c>
      <c r="F621" s="148" t="s">
        <v>41</v>
      </c>
      <c r="G621" s="148" t="s">
        <v>604</v>
      </c>
      <c r="H621" s="148">
        <v>2006</v>
      </c>
      <c r="I621" s="148">
        <v>5</v>
      </c>
      <c r="J621" s="148" t="s">
        <v>118</v>
      </c>
      <c r="K621" s="148" t="s">
        <v>172</v>
      </c>
      <c r="M621" s="148" t="s">
        <v>346</v>
      </c>
      <c r="N621" s="148">
        <v>10</v>
      </c>
      <c r="O621" s="148" t="s">
        <v>101</v>
      </c>
      <c r="P621" s="148" t="s">
        <v>146</v>
      </c>
      <c r="Y621" s="150" t="s">
        <v>366</v>
      </c>
    </row>
    <row r="622" spans="1:25" ht="15.75" hidden="1" customHeight="1" x14ac:dyDescent="0.25">
      <c r="A622" s="148" t="s">
        <v>76</v>
      </c>
      <c r="B622" s="148" t="s">
        <v>27</v>
      </c>
      <c r="C622" s="148" t="s">
        <v>28</v>
      </c>
      <c r="D622" s="148" t="s">
        <v>158</v>
      </c>
      <c r="E622" s="148" t="s">
        <v>30</v>
      </c>
      <c r="F622" s="148" t="s">
        <v>3183</v>
      </c>
      <c r="G622" s="148" t="s">
        <v>32</v>
      </c>
      <c r="H622" s="148">
        <v>2006</v>
      </c>
      <c r="I622" s="148">
        <v>5</v>
      </c>
      <c r="J622" s="148" t="s">
        <v>118</v>
      </c>
      <c r="K622" s="148" t="s">
        <v>172</v>
      </c>
      <c r="M622" s="148" t="s">
        <v>346</v>
      </c>
      <c r="N622" s="148">
        <v>10</v>
      </c>
      <c r="O622" s="148" t="s">
        <v>101</v>
      </c>
      <c r="P622" s="148" t="s">
        <v>365</v>
      </c>
      <c r="Y622" s="150" t="s">
        <v>366</v>
      </c>
    </row>
    <row r="623" spans="1:25" ht="15.75" hidden="1" customHeight="1" x14ac:dyDescent="0.25">
      <c r="A623" s="148" t="s">
        <v>76</v>
      </c>
      <c r="B623" s="148" t="s">
        <v>89</v>
      </c>
      <c r="C623" s="148" t="s">
        <v>90</v>
      </c>
      <c r="D623" s="148" t="s">
        <v>29</v>
      </c>
      <c r="E623" s="148" t="s">
        <v>30</v>
      </c>
      <c r="F623" s="148" t="s">
        <v>91</v>
      </c>
      <c r="G623" s="148" t="s">
        <v>646</v>
      </c>
      <c r="H623" s="148">
        <v>2006</v>
      </c>
      <c r="I623" s="148">
        <v>5</v>
      </c>
      <c r="J623" s="148" t="s">
        <v>118</v>
      </c>
      <c r="K623" s="148" t="s">
        <v>172</v>
      </c>
      <c r="M623" s="148" t="s">
        <v>346</v>
      </c>
      <c r="N623" s="148">
        <v>10</v>
      </c>
      <c r="O623" s="148" t="s">
        <v>101</v>
      </c>
      <c r="P623" s="148" t="s">
        <v>146</v>
      </c>
      <c r="Y623" s="150" t="s">
        <v>366</v>
      </c>
    </row>
    <row r="624" spans="1:25" ht="15.75" hidden="1" customHeight="1" x14ac:dyDescent="0.25">
      <c r="A624" s="148" t="s">
        <v>76</v>
      </c>
      <c r="B624" s="148" t="s">
        <v>103</v>
      </c>
      <c r="C624" s="148" t="s">
        <v>55</v>
      </c>
      <c r="D624" s="148" t="s">
        <v>29</v>
      </c>
      <c r="E624" s="148" t="s">
        <v>95</v>
      </c>
      <c r="F624" s="148" t="s">
        <v>56</v>
      </c>
      <c r="G624" s="148" t="s">
        <v>558</v>
      </c>
      <c r="H624" s="148">
        <v>2006</v>
      </c>
      <c r="I624" s="148">
        <v>5</v>
      </c>
      <c r="J624" s="148" t="s">
        <v>150</v>
      </c>
      <c r="K624" s="148" t="s">
        <v>327</v>
      </c>
      <c r="M624" s="148" t="s">
        <v>132</v>
      </c>
      <c r="N624" s="148">
        <v>8</v>
      </c>
      <c r="O624" s="148" t="s">
        <v>83</v>
      </c>
      <c r="Y624" s="150" t="s">
        <v>366</v>
      </c>
    </row>
    <row r="625" spans="1:25" ht="13.5" hidden="1" customHeight="1" x14ac:dyDescent="0.25">
      <c r="A625" s="148" t="s">
        <v>76</v>
      </c>
      <c r="B625" s="148" t="s">
        <v>89</v>
      </c>
      <c r="C625" s="148" t="s">
        <v>90</v>
      </c>
      <c r="D625" s="148" t="s">
        <v>342</v>
      </c>
      <c r="E625" s="148" t="s">
        <v>30</v>
      </c>
      <c r="F625" s="148" t="s">
        <v>91</v>
      </c>
      <c r="G625" s="148" t="s">
        <v>343</v>
      </c>
      <c r="H625" s="148">
        <v>2006</v>
      </c>
      <c r="I625" s="148">
        <v>5</v>
      </c>
      <c r="J625" s="148" t="s">
        <v>118</v>
      </c>
      <c r="K625" s="148" t="s">
        <v>172</v>
      </c>
      <c r="M625" s="148" t="s">
        <v>346</v>
      </c>
      <c r="N625" s="148">
        <v>10</v>
      </c>
      <c r="O625" s="148" t="s">
        <v>101</v>
      </c>
      <c r="P625" s="148" t="s">
        <v>146</v>
      </c>
      <c r="Y625" s="150" t="s">
        <v>366</v>
      </c>
    </row>
    <row r="626" spans="1:25" ht="15.75" hidden="1" customHeight="1" x14ac:dyDescent="0.25">
      <c r="A626" s="148" t="s">
        <v>76</v>
      </c>
      <c r="B626" s="148" t="s">
        <v>27</v>
      </c>
      <c r="C626" s="148" t="s">
        <v>28</v>
      </c>
      <c r="D626" s="148" t="s">
        <v>566</v>
      </c>
      <c r="E626" s="148" t="s">
        <v>30</v>
      </c>
      <c r="F626" s="148" t="s">
        <v>3183</v>
      </c>
      <c r="G626" s="148" t="s">
        <v>53</v>
      </c>
      <c r="H626" s="148">
        <v>2006</v>
      </c>
      <c r="I626" s="148">
        <v>5</v>
      </c>
      <c r="J626" s="148" t="s">
        <v>118</v>
      </c>
      <c r="K626" s="148" t="s">
        <v>172</v>
      </c>
      <c r="M626" s="148" t="s">
        <v>346</v>
      </c>
      <c r="N626" s="148">
        <v>10</v>
      </c>
      <c r="O626" s="148" t="s">
        <v>101</v>
      </c>
      <c r="P626" s="148" t="s">
        <v>146</v>
      </c>
      <c r="Y626" s="150" t="s">
        <v>366</v>
      </c>
    </row>
    <row r="627" spans="1:25" ht="15.75" hidden="1" customHeight="1" x14ac:dyDescent="0.25">
      <c r="A627" s="148" t="s">
        <v>76</v>
      </c>
      <c r="B627" s="148" t="s">
        <v>36</v>
      </c>
      <c r="C627" s="148" t="s">
        <v>28</v>
      </c>
      <c r="D627" s="148" t="s">
        <v>99</v>
      </c>
      <c r="E627" s="148" t="s">
        <v>30</v>
      </c>
      <c r="F627" s="148" t="s">
        <v>3183</v>
      </c>
      <c r="G627" s="148" t="s">
        <v>59</v>
      </c>
      <c r="H627" s="148">
        <v>2006</v>
      </c>
      <c r="I627" s="148">
        <v>5</v>
      </c>
      <c r="J627" s="148" t="s">
        <v>150</v>
      </c>
      <c r="K627" s="148" t="s">
        <v>491</v>
      </c>
      <c r="M627" s="148" t="s">
        <v>492</v>
      </c>
      <c r="N627" s="148">
        <v>5</v>
      </c>
      <c r="O627" s="148" t="s">
        <v>83</v>
      </c>
      <c r="Y627" s="150" t="s">
        <v>366</v>
      </c>
    </row>
    <row r="628" spans="1:25" ht="15.75" hidden="1" customHeight="1" x14ac:dyDescent="0.25">
      <c r="A628" s="148" t="s">
        <v>76</v>
      </c>
      <c r="B628" s="148" t="s">
        <v>89</v>
      </c>
      <c r="C628" s="148" t="s">
        <v>90</v>
      </c>
      <c r="D628" s="148" t="s">
        <v>29</v>
      </c>
      <c r="E628" s="148" t="s">
        <v>30</v>
      </c>
      <c r="F628" s="148" t="s">
        <v>91</v>
      </c>
      <c r="G628" s="148" t="s">
        <v>222</v>
      </c>
      <c r="H628" s="148">
        <v>2006</v>
      </c>
      <c r="I628" s="148">
        <v>5</v>
      </c>
      <c r="J628" s="148" t="s">
        <v>118</v>
      </c>
      <c r="K628" s="148" t="s">
        <v>172</v>
      </c>
      <c r="M628" s="148" t="s">
        <v>346</v>
      </c>
      <c r="N628" s="148">
        <v>10</v>
      </c>
      <c r="O628" s="148" t="s">
        <v>101</v>
      </c>
      <c r="P628" s="148" t="s">
        <v>647</v>
      </c>
      <c r="Y628" s="150" t="s">
        <v>366</v>
      </c>
    </row>
    <row r="629" spans="1:25" ht="15.75" hidden="1" customHeight="1" x14ac:dyDescent="0.25">
      <c r="A629" s="148" t="s">
        <v>76</v>
      </c>
      <c r="B629" s="148" t="s">
        <v>36</v>
      </c>
      <c r="C629" s="148" t="s">
        <v>28</v>
      </c>
      <c r="D629" s="148" t="s">
        <v>86</v>
      </c>
      <c r="E629" s="148" t="s">
        <v>30</v>
      </c>
      <c r="F629" s="148" t="s">
        <v>3183</v>
      </c>
      <c r="G629" s="148" t="s">
        <v>67</v>
      </c>
      <c r="H629" s="148">
        <v>2006</v>
      </c>
      <c r="I629" s="148">
        <v>5</v>
      </c>
      <c r="J629" s="148" t="s">
        <v>118</v>
      </c>
      <c r="K629" s="148" t="s">
        <v>327</v>
      </c>
      <c r="M629" s="148" t="s">
        <v>132</v>
      </c>
      <c r="N629" s="148">
        <v>8</v>
      </c>
      <c r="O629" s="148" t="s">
        <v>101</v>
      </c>
      <c r="P629" s="148" t="s">
        <v>622</v>
      </c>
      <c r="Y629" s="150" t="s">
        <v>366</v>
      </c>
    </row>
    <row r="630" spans="1:25" ht="15.75" hidden="1" customHeight="1" x14ac:dyDescent="0.25">
      <c r="A630" s="148" t="s">
        <v>76</v>
      </c>
      <c r="B630" s="148" t="s">
        <v>103</v>
      </c>
      <c r="C630" s="148" t="s">
        <v>55</v>
      </c>
      <c r="D630" s="148" t="s">
        <v>29</v>
      </c>
      <c r="E630" s="148" t="s">
        <v>95</v>
      </c>
      <c r="F630" s="148" t="s">
        <v>56</v>
      </c>
      <c r="G630" s="148" t="s">
        <v>180</v>
      </c>
      <c r="H630" s="148">
        <v>2006</v>
      </c>
      <c r="I630" s="148">
        <v>5</v>
      </c>
      <c r="J630" s="148" t="s">
        <v>150</v>
      </c>
      <c r="K630" s="148" t="s">
        <v>327</v>
      </c>
      <c r="M630" s="148" t="s">
        <v>132</v>
      </c>
      <c r="N630" s="148">
        <v>8</v>
      </c>
      <c r="O630" s="148" t="s">
        <v>83</v>
      </c>
      <c r="Y630" s="150" t="s">
        <v>366</v>
      </c>
    </row>
    <row r="631" spans="1:25" ht="15.75" hidden="1" customHeight="1" x14ac:dyDescent="0.25">
      <c r="A631" s="148" t="s">
        <v>76</v>
      </c>
      <c r="B631" s="148" t="s">
        <v>27</v>
      </c>
      <c r="C631" s="148" t="s">
        <v>28</v>
      </c>
      <c r="D631" s="148" t="s">
        <v>99</v>
      </c>
      <c r="E631" s="148" t="s">
        <v>40</v>
      </c>
      <c r="F631" s="148" t="s">
        <v>41</v>
      </c>
      <c r="G631" s="148" t="s">
        <v>42</v>
      </c>
      <c r="H631" s="148">
        <v>2006</v>
      </c>
      <c r="I631" s="148">
        <v>5</v>
      </c>
      <c r="J631" s="148" t="s">
        <v>118</v>
      </c>
      <c r="K631" s="148" t="s">
        <v>172</v>
      </c>
      <c r="M631" s="148" t="s">
        <v>346</v>
      </c>
      <c r="N631" s="148">
        <v>10</v>
      </c>
      <c r="O631" s="148" t="s">
        <v>101</v>
      </c>
      <c r="P631" s="148" t="s">
        <v>123</v>
      </c>
      <c r="Y631" s="150" t="s">
        <v>366</v>
      </c>
    </row>
    <row r="632" spans="1:25" ht="15.75" hidden="1" customHeight="1" x14ac:dyDescent="0.25">
      <c r="A632" s="148" t="s">
        <v>76</v>
      </c>
      <c r="B632" s="148" t="s">
        <v>36</v>
      </c>
      <c r="C632" s="148" t="s">
        <v>28</v>
      </c>
      <c r="D632" s="148" t="s">
        <v>86</v>
      </c>
      <c r="E632" s="148" t="s">
        <v>51</v>
      </c>
      <c r="F632" s="148" t="s">
        <v>3183</v>
      </c>
      <c r="G632" s="148" t="s">
        <v>69</v>
      </c>
      <c r="H632" s="148">
        <v>2006</v>
      </c>
      <c r="I632" s="148">
        <v>5</v>
      </c>
      <c r="J632" s="148" t="s">
        <v>118</v>
      </c>
      <c r="K632" s="148" t="s">
        <v>172</v>
      </c>
      <c r="M632" s="148" t="s">
        <v>346</v>
      </c>
      <c r="N632" s="148">
        <v>10</v>
      </c>
      <c r="O632" s="148" t="s">
        <v>101</v>
      </c>
      <c r="P632" s="148" t="s">
        <v>435</v>
      </c>
      <c r="Y632" s="150" t="s">
        <v>366</v>
      </c>
    </row>
    <row r="633" spans="1:25" ht="15.75" hidden="1" customHeight="1" x14ac:dyDescent="0.25">
      <c r="A633" s="148" t="s">
        <v>76</v>
      </c>
      <c r="B633" s="148" t="s">
        <v>54</v>
      </c>
      <c r="C633" s="148" t="s">
        <v>55</v>
      </c>
      <c r="D633" s="148" t="s">
        <v>65</v>
      </c>
      <c r="E633" s="148" t="s">
        <v>30</v>
      </c>
      <c r="F633" s="148" t="s">
        <v>56</v>
      </c>
      <c r="G633" s="148" t="s">
        <v>54</v>
      </c>
      <c r="H633" s="148">
        <v>2006</v>
      </c>
      <c r="I633" s="148">
        <v>5</v>
      </c>
      <c r="J633" s="148" t="s">
        <v>150</v>
      </c>
      <c r="K633" s="148" t="s">
        <v>327</v>
      </c>
      <c r="M633" s="148" t="s">
        <v>132</v>
      </c>
      <c r="N633" s="148">
        <v>8</v>
      </c>
      <c r="O633" s="148" t="s">
        <v>83</v>
      </c>
      <c r="Y633" s="150" t="s">
        <v>366</v>
      </c>
    </row>
    <row r="634" spans="1:25" ht="15.75" customHeight="1" x14ac:dyDescent="0.25">
      <c r="A634" s="148" t="s">
        <v>76</v>
      </c>
      <c r="B634" s="148" t="s">
        <v>36</v>
      </c>
      <c r="C634" s="148" t="s">
        <v>28</v>
      </c>
      <c r="D634" s="148" t="s">
        <v>29</v>
      </c>
      <c r="E634" s="148" t="s">
        <v>30</v>
      </c>
      <c r="F634" s="148" t="s">
        <v>3183</v>
      </c>
      <c r="G634" s="148" t="s">
        <v>194</v>
      </c>
      <c r="H634" s="148">
        <v>2006</v>
      </c>
      <c r="I634" s="148">
        <v>5</v>
      </c>
      <c r="J634" s="148" t="s">
        <v>118</v>
      </c>
      <c r="K634" s="148" t="s">
        <v>172</v>
      </c>
      <c r="M634" s="148" t="s">
        <v>346</v>
      </c>
      <c r="N634" s="148">
        <v>10</v>
      </c>
      <c r="O634" s="148" t="s">
        <v>101</v>
      </c>
      <c r="P634" s="148" t="s">
        <v>435</v>
      </c>
      <c r="Y634" s="150" t="s">
        <v>366</v>
      </c>
    </row>
    <row r="635" spans="1:25" ht="15.75" hidden="1" customHeight="1" x14ac:dyDescent="0.25">
      <c r="A635" s="148" t="s">
        <v>76</v>
      </c>
      <c r="B635" s="148" t="s">
        <v>103</v>
      </c>
      <c r="C635" s="148" t="s">
        <v>55</v>
      </c>
      <c r="D635" s="148" t="s">
        <v>29</v>
      </c>
      <c r="E635" s="148" t="s">
        <v>95</v>
      </c>
      <c r="F635" s="148" t="s">
        <v>56</v>
      </c>
      <c r="G635" s="148" t="s">
        <v>195</v>
      </c>
      <c r="H635" s="148">
        <v>2006</v>
      </c>
      <c r="I635" s="148">
        <v>5</v>
      </c>
      <c r="J635" s="148" t="s">
        <v>150</v>
      </c>
      <c r="K635" s="148" t="s">
        <v>648</v>
      </c>
      <c r="M635" s="148" t="s">
        <v>442</v>
      </c>
      <c r="N635" s="148">
        <v>6</v>
      </c>
      <c r="O635" s="148" t="s">
        <v>83</v>
      </c>
      <c r="Y635" s="150" t="s">
        <v>366</v>
      </c>
    </row>
    <row r="636" spans="1:25" ht="15.75" hidden="1" customHeight="1" x14ac:dyDescent="0.25">
      <c r="A636" s="148" t="s">
        <v>76</v>
      </c>
      <c r="B636" s="148" t="s">
        <v>62</v>
      </c>
      <c r="C636" s="148" t="s">
        <v>28</v>
      </c>
      <c r="D636" s="148" t="s">
        <v>158</v>
      </c>
      <c r="E636" s="148" t="s">
        <v>51</v>
      </c>
      <c r="F636" s="148" t="s">
        <v>3183</v>
      </c>
      <c r="G636" s="148" t="s">
        <v>130</v>
      </c>
      <c r="H636" s="148">
        <v>2006</v>
      </c>
      <c r="I636" s="148">
        <v>5</v>
      </c>
      <c r="J636" s="148" t="s">
        <v>118</v>
      </c>
      <c r="K636" s="148" t="s">
        <v>172</v>
      </c>
      <c r="M636" s="148" t="s">
        <v>346</v>
      </c>
      <c r="N636" s="148">
        <v>10</v>
      </c>
      <c r="O636" s="148" t="s">
        <v>101</v>
      </c>
      <c r="P636" s="148" t="s">
        <v>123</v>
      </c>
      <c r="Y636" s="150" t="s">
        <v>366</v>
      </c>
    </row>
    <row r="637" spans="1:25" ht="15.75" hidden="1" customHeight="1" x14ac:dyDescent="0.25">
      <c r="A637" s="148" t="s">
        <v>76</v>
      </c>
      <c r="B637" s="148" t="s">
        <v>103</v>
      </c>
      <c r="C637" s="148" t="s">
        <v>55</v>
      </c>
      <c r="D637" s="148" t="s">
        <v>478</v>
      </c>
      <c r="E637" s="148" t="s">
        <v>95</v>
      </c>
      <c r="F637" s="148" t="s">
        <v>56</v>
      </c>
      <c r="G637" s="148" t="s">
        <v>338</v>
      </c>
      <c r="H637" s="148">
        <v>2006</v>
      </c>
      <c r="I637" s="148">
        <v>5</v>
      </c>
      <c r="J637" s="148" t="s">
        <v>118</v>
      </c>
      <c r="K637" s="148" t="s">
        <v>629</v>
      </c>
      <c r="M637" s="148" t="s">
        <v>120</v>
      </c>
      <c r="N637" s="148">
        <v>6</v>
      </c>
      <c r="O637" s="148" t="s">
        <v>101</v>
      </c>
      <c r="P637" s="148" t="s">
        <v>263</v>
      </c>
      <c r="Y637" s="150" t="s">
        <v>366</v>
      </c>
    </row>
    <row r="638" spans="1:25" ht="15.75" hidden="1" customHeight="1" x14ac:dyDescent="0.25">
      <c r="A638" s="148" t="s">
        <v>76</v>
      </c>
      <c r="B638" s="148" t="s">
        <v>36</v>
      </c>
      <c r="C638" s="148" t="s">
        <v>28</v>
      </c>
      <c r="D638" s="148" t="s">
        <v>29</v>
      </c>
      <c r="E638" s="148" t="s">
        <v>51</v>
      </c>
      <c r="F638" s="148" t="s">
        <v>3183</v>
      </c>
      <c r="G638" s="148" t="s">
        <v>52</v>
      </c>
      <c r="H638" s="148">
        <v>2006</v>
      </c>
      <c r="I638" s="148">
        <v>5</v>
      </c>
      <c r="J638" s="148" t="s">
        <v>118</v>
      </c>
      <c r="K638" s="148" t="s">
        <v>172</v>
      </c>
      <c r="M638" s="148" t="s">
        <v>346</v>
      </c>
      <c r="N638" s="148">
        <v>10</v>
      </c>
      <c r="O638" s="148" t="s">
        <v>101</v>
      </c>
      <c r="P638" s="148" t="s">
        <v>649</v>
      </c>
      <c r="Y638" s="150" t="s">
        <v>366</v>
      </c>
    </row>
    <row r="639" spans="1:25" ht="15.75" hidden="1" customHeight="1" x14ac:dyDescent="0.25">
      <c r="A639" s="148" t="s">
        <v>76</v>
      </c>
      <c r="B639" s="148" t="s">
        <v>44</v>
      </c>
      <c r="C639" s="148" t="s">
        <v>45</v>
      </c>
      <c r="D639" s="148" t="s">
        <v>29</v>
      </c>
      <c r="E639" s="148" t="s">
        <v>46</v>
      </c>
      <c r="F639" s="148" t="s">
        <v>47</v>
      </c>
      <c r="G639" s="148" t="s">
        <v>48</v>
      </c>
      <c r="H639" s="148">
        <v>2006</v>
      </c>
      <c r="I639" s="148">
        <v>5</v>
      </c>
      <c r="J639" s="148" t="s">
        <v>118</v>
      </c>
      <c r="K639" s="148" t="s">
        <v>172</v>
      </c>
      <c r="M639" s="148" t="s">
        <v>346</v>
      </c>
      <c r="N639" s="148">
        <v>10</v>
      </c>
      <c r="O639" s="148" t="s">
        <v>101</v>
      </c>
      <c r="P639" s="148" t="s">
        <v>498</v>
      </c>
      <c r="Y639" s="150" t="s">
        <v>366</v>
      </c>
    </row>
    <row r="640" spans="1:25" ht="15.75" hidden="1" customHeight="1" x14ac:dyDescent="0.25">
      <c r="A640" s="148" t="s">
        <v>76</v>
      </c>
      <c r="B640" s="148" t="s">
        <v>103</v>
      </c>
      <c r="C640" s="148" t="s">
        <v>55</v>
      </c>
      <c r="D640" s="148" t="s">
        <v>29</v>
      </c>
      <c r="E640" s="148" t="s">
        <v>95</v>
      </c>
      <c r="F640" s="148" t="s">
        <v>56</v>
      </c>
      <c r="G640" s="148" t="s">
        <v>506</v>
      </c>
      <c r="H640" s="148">
        <v>2006</v>
      </c>
      <c r="I640" s="148">
        <v>6</v>
      </c>
      <c r="J640" s="148" t="s">
        <v>150</v>
      </c>
      <c r="K640" s="148" t="s">
        <v>455</v>
      </c>
      <c r="M640" s="148" t="s">
        <v>173</v>
      </c>
      <c r="N640" s="148">
        <v>8</v>
      </c>
      <c r="O640" s="148" t="s">
        <v>83</v>
      </c>
      <c r="Y640" s="150" t="s">
        <v>366</v>
      </c>
    </row>
    <row r="641" spans="1:26" ht="15.75" hidden="1" customHeight="1" x14ac:dyDescent="0.25">
      <c r="A641" s="148" t="s">
        <v>76</v>
      </c>
      <c r="B641" s="148" t="s">
        <v>198</v>
      </c>
      <c r="C641" s="148" t="s">
        <v>45</v>
      </c>
      <c r="D641" s="148" t="s">
        <v>94</v>
      </c>
      <c r="E641" s="148" t="s">
        <v>30</v>
      </c>
      <c r="F641" s="148" t="s">
        <v>199</v>
      </c>
      <c r="G641" s="148" t="s">
        <v>296</v>
      </c>
      <c r="H641" s="148">
        <v>2006</v>
      </c>
      <c r="I641" s="148">
        <v>6</v>
      </c>
      <c r="J641" s="148" t="s">
        <v>118</v>
      </c>
      <c r="K641" s="148" t="s">
        <v>327</v>
      </c>
      <c r="M641" s="148" t="s">
        <v>82</v>
      </c>
      <c r="N641" s="148">
        <v>8</v>
      </c>
      <c r="O641" s="148" t="s">
        <v>101</v>
      </c>
      <c r="P641" s="148" t="s">
        <v>650</v>
      </c>
      <c r="Y641" s="150" t="s">
        <v>366</v>
      </c>
    </row>
    <row r="642" spans="1:26" ht="15.75" hidden="1" customHeight="1" x14ac:dyDescent="0.25">
      <c r="A642" s="148" t="s">
        <v>76</v>
      </c>
      <c r="B642" s="148" t="s">
        <v>116</v>
      </c>
      <c r="C642" s="148" t="s">
        <v>90</v>
      </c>
      <c r="D642" s="148" t="s">
        <v>86</v>
      </c>
      <c r="E642" s="148" t="s">
        <v>40</v>
      </c>
      <c r="F642" s="148" t="s">
        <v>41</v>
      </c>
      <c r="G642" s="148" t="s">
        <v>117</v>
      </c>
      <c r="H642" s="148">
        <v>2006</v>
      </c>
      <c r="I642" s="148">
        <v>6</v>
      </c>
      <c r="J642" s="148" t="s">
        <v>150</v>
      </c>
      <c r="K642" s="148" t="s">
        <v>495</v>
      </c>
      <c r="M642" s="148" t="s">
        <v>454</v>
      </c>
      <c r="N642" s="148">
        <v>6</v>
      </c>
      <c r="O642" s="148" t="s">
        <v>83</v>
      </c>
      <c r="Y642" s="150" t="s">
        <v>366</v>
      </c>
    </row>
    <row r="643" spans="1:26" ht="15.75" hidden="1" customHeight="1" x14ac:dyDescent="0.25">
      <c r="A643" s="148" t="s">
        <v>76</v>
      </c>
      <c r="B643" s="148" t="s">
        <v>89</v>
      </c>
      <c r="C643" s="148" t="s">
        <v>90</v>
      </c>
      <c r="D643" s="148" t="s">
        <v>29</v>
      </c>
      <c r="E643" s="148" t="s">
        <v>30</v>
      </c>
      <c r="F643" s="148" t="s">
        <v>91</v>
      </c>
      <c r="G643" s="148" t="s">
        <v>391</v>
      </c>
      <c r="H643" s="148">
        <v>2006</v>
      </c>
      <c r="I643" s="148">
        <v>6</v>
      </c>
      <c r="J643" s="148" t="s">
        <v>118</v>
      </c>
      <c r="K643" s="148" t="s">
        <v>172</v>
      </c>
      <c r="M643" s="148" t="s">
        <v>346</v>
      </c>
      <c r="N643" s="148">
        <v>10</v>
      </c>
      <c r="O643" s="148" t="s">
        <v>101</v>
      </c>
      <c r="P643" s="148" t="s">
        <v>651</v>
      </c>
      <c r="Y643" s="150" t="s">
        <v>366</v>
      </c>
    </row>
    <row r="644" spans="1:26" ht="15.75" hidden="1" customHeight="1" x14ac:dyDescent="0.25">
      <c r="A644" s="148" t="s">
        <v>76</v>
      </c>
      <c r="B644" s="148" t="s">
        <v>89</v>
      </c>
      <c r="C644" s="148" t="s">
        <v>90</v>
      </c>
      <c r="D644" s="148" t="s">
        <v>29</v>
      </c>
      <c r="E644" s="148" t="s">
        <v>30</v>
      </c>
      <c r="F644" s="148" t="s">
        <v>91</v>
      </c>
      <c r="G644" s="148" t="s">
        <v>510</v>
      </c>
      <c r="H644" s="148">
        <v>2006</v>
      </c>
      <c r="I644" s="148">
        <v>6</v>
      </c>
      <c r="J644" s="148" t="s">
        <v>118</v>
      </c>
      <c r="K644" s="148" t="s">
        <v>172</v>
      </c>
      <c r="M644" s="148" t="s">
        <v>346</v>
      </c>
      <c r="N644" s="148">
        <v>10</v>
      </c>
      <c r="O644" s="148" t="s">
        <v>101</v>
      </c>
      <c r="P644" s="148" t="s">
        <v>406</v>
      </c>
      <c r="Y644" s="150" t="s">
        <v>366</v>
      </c>
    </row>
    <row r="645" spans="1:26" ht="15.75" hidden="1" customHeight="1" x14ac:dyDescent="0.25">
      <c r="A645" s="148" t="s">
        <v>76</v>
      </c>
      <c r="B645" s="148" t="s">
        <v>36</v>
      </c>
      <c r="C645" s="148" t="s">
        <v>28</v>
      </c>
      <c r="D645" s="148" t="s">
        <v>86</v>
      </c>
      <c r="E645" s="148" t="s">
        <v>30</v>
      </c>
      <c r="F645" s="148" t="s">
        <v>3183</v>
      </c>
      <c r="G645" s="148" t="s">
        <v>67</v>
      </c>
      <c r="H645" s="148">
        <v>2006</v>
      </c>
      <c r="I645" s="148">
        <v>6</v>
      </c>
      <c r="J645" s="148" t="s">
        <v>118</v>
      </c>
      <c r="K645" s="148" t="s">
        <v>629</v>
      </c>
      <c r="M645" s="148" t="s">
        <v>120</v>
      </c>
      <c r="N645" s="148">
        <v>6</v>
      </c>
      <c r="O645" s="148" t="s">
        <v>101</v>
      </c>
      <c r="P645" s="148" t="s">
        <v>562</v>
      </c>
      <c r="Y645" s="150" t="s">
        <v>366</v>
      </c>
    </row>
    <row r="646" spans="1:26" ht="15.75" hidden="1" customHeight="1" x14ac:dyDescent="0.25">
      <c r="A646" s="148" t="s">
        <v>76</v>
      </c>
      <c r="B646" s="148" t="s">
        <v>62</v>
      </c>
      <c r="C646" s="148" t="s">
        <v>28</v>
      </c>
      <c r="D646" s="148" t="s">
        <v>51</v>
      </c>
      <c r="E646" s="148" t="s">
        <v>30</v>
      </c>
      <c r="F646" s="148" t="s">
        <v>3183</v>
      </c>
      <c r="G646" s="148" t="s">
        <v>63</v>
      </c>
      <c r="H646" s="148">
        <v>2006</v>
      </c>
      <c r="I646" s="148">
        <v>6</v>
      </c>
      <c r="J646" s="148" t="s">
        <v>118</v>
      </c>
      <c r="K646" s="148" t="s">
        <v>327</v>
      </c>
      <c r="M646" s="148" t="s">
        <v>132</v>
      </c>
      <c r="N646" s="148">
        <v>8</v>
      </c>
      <c r="O646" s="148" t="s">
        <v>101</v>
      </c>
      <c r="P646" s="148" t="s">
        <v>652</v>
      </c>
      <c r="Y646" s="150" t="s">
        <v>366</v>
      </c>
    </row>
    <row r="647" spans="1:26" ht="15.75" hidden="1" customHeight="1" x14ac:dyDescent="0.25">
      <c r="A647" s="148" t="s">
        <v>76</v>
      </c>
      <c r="B647" s="148" t="s">
        <v>116</v>
      </c>
      <c r="C647" s="148" t="s">
        <v>90</v>
      </c>
      <c r="D647" s="148" t="s">
        <v>29</v>
      </c>
      <c r="E647" s="148" t="s">
        <v>30</v>
      </c>
      <c r="F647" s="148" t="s">
        <v>41</v>
      </c>
      <c r="G647" s="148" t="s">
        <v>653</v>
      </c>
      <c r="H647" s="148">
        <v>2006</v>
      </c>
      <c r="I647" s="148">
        <v>6</v>
      </c>
      <c r="J647" s="148" t="s">
        <v>118</v>
      </c>
      <c r="K647" s="148" t="s">
        <v>327</v>
      </c>
      <c r="M647" s="148" t="s">
        <v>132</v>
      </c>
      <c r="N647" s="148">
        <v>8</v>
      </c>
      <c r="O647" s="148" t="s">
        <v>101</v>
      </c>
      <c r="P647" s="148" t="s">
        <v>435</v>
      </c>
      <c r="Y647" s="150" t="s">
        <v>366</v>
      </c>
    </row>
    <row r="648" spans="1:26" ht="15.75" hidden="1" customHeight="1" x14ac:dyDescent="0.25">
      <c r="A648" s="148" t="s">
        <v>76</v>
      </c>
      <c r="B648" s="148" t="s">
        <v>89</v>
      </c>
      <c r="C648" s="148" t="s">
        <v>90</v>
      </c>
      <c r="D648" s="148" t="s">
        <v>99</v>
      </c>
      <c r="E648" s="148" t="s">
        <v>30</v>
      </c>
      <c r="F648" s="148" t="s">
        <v>91</v>
      </c>
      <c r="G648" s="148" t="s">
        <v>92</v>
      </c>
      <c r="H648" s="148">
        <v>2006</v>
      </c>
      <c r="I648" s="148">
        <v>6</v>
      </c>
      <c r="J648" s="148" t="s">
        <v>150</v>
      </c>
      <c r="K648" s="148" t="s">
        <v>455</v>
      </c>
      <c r="M648" s="148" t="s">
        <v>173</v>
      </c>
      <c r="N648" s="148">
        <v>8</v>
      </c>
      <c r="O648" s="148" t="s">
        <v>83</v>
      </c>
      <c r="Y648" s="150" t="s">
        <v>366</v>
      </c>
    </row>
    <row r="649" spans="1:26" ht="15.75" hidden="1" customHeight="1" x14ac:dyDescent="0.25">
      <c r="A649" s="148" t="s">
        <v>76</v>
      </c>
      <c r="B649" s="148" t="s">
        <v>89</v>
      </c>
      <c r="C649" s="148" t="s">
        <v>90</v>
      </c>
      <c r="D649" s="148" t="s">
        <v>29</v>
      </c>
      <c r="E649" s="148" t="s">
        <v>30</v>
      </c>
      <c r="F649" s="148" t="s">
        <v>91</v>
      </c>
      <c r="G649" s="148" t="s">
        <v>93</v>
      </c>
      <c r="H649" s="148">
        <v>2006</v>
      </c>
      <c r="I649" s="148">
        <v>6</v>
      </c>
      <c r="J649" s="148" t="s">
        <v>150</v>
      </c>
      <c r="M649" s="148" t="s">
        <v>575</v>
      </c>
      <c r="N649" s="148">
        <v>8</v>
      </c>
      <c r="O649" s="148" t="s">
        <v>83</v>
      </c>
      <c r="Y649" s="150" t="s">
        <v>366</v>
      </c>
      <c r="Z649" s="148" t="s">
        <v>465</v>
      </c>
    </row>
    <row r="650" spans="1:26" ht="15.75" hidden="1" customHeight="1" x14ac:dyDescent="0.25">
      <c r="A650" s="148" t="s">
        <v>76</v>
      </c>
      <c r="B650" s="148" t="s">
        <v>103</v>
      </c>
      <c r="C650" s="148" t="s">
        <v>55</v>
      </c>
      <c r="D650" s="148" t="s">
        <v>29</v>
      </c>
      <c r="E650" s="148" t="s">
        <v>95</v>
      </c>
      <c r="F650" s="148" t="s">
        <v>56</v>
      </c>
      <c r="G650" s="148" t="s">
        <v>186</v>
      </c>
      <c r="H650" s="148">
        <v>2006</v>
      </c>
      <c r="I650" s="148">
        <v>6</v>
      </c>
      <c r="J650" s="148" t="s">
        <v>150</v>
      </c>
      <c r="K650" s="148" t="s">
        <v>495</v>
      </c>
      <c r="M650" s="148" t="s">
        <v>454</v>
      </c>
      <c r="N650" s="148">
        <v>6</v>
      </c>
      <c r="O650" s="148" t="s">
        <v>83</v>
      </c>
      <c r="Y650" s="150" t="s">
        <v>366</v>
      </c>
    </row>
    <row r="651" spans="1:26" ht="15.75" hidden="1" customHeight="1" x14ac:dyDescent="0.25">
      <c r="A651" s="148" t="s">
        <v>76</v>
      </c>
      <c r="B651" s="148" t="s">
        <v>77</v>
      </c>
      <c r="C651" s="148" t="s">
        <v>55</v>
      </c>
      <c r="D651" s="148" t="s">
        <v>29</v>
      </c>
      <c r="E651" s="148" t="s">
        <v>30</v>
      </c>
      <c r="F651" s="148" t="s">
        <v>41</v>
      </c>
      <c r="G651" s="148" t="s">
        <v>252</v>
      </c>
      <c r="H651" s="148">
        <v>2006</v>
      </c>
      <c r="I651" s="148">
        <v>6</v>
      </c>
      <c r="J651" s="148" t="s">
        <v>118</v>
      </c>
      <c r="K651" s="148" t="s">
        <v>629</v>
      </c>
      <c r="M651" s="148" t="s">
        <v>120</v>
      </c>
      <c r="N651" s="148">
        <v>6</v>
      </c>
      <c r="O651" s="148" t="s">
        <v>101</v>
      </c>
      <c r="P651" s="148" t="s">
        <v>609</v>
      </c>
      <c r="Y651" s="150" t="s">
        <v>366</v>
      </c>
    </row>
    <row r="652" spans="1:26" ht="15.75" hidden="1" customHeight="1" x14ac:dyDescent="0.25">
      <c r="A652" s="148" t="s">
        <v>76</v>
      </c>
      <c r="B652" s="148" t="s">
        <v>89</v>
      </c>
      <c r="C652" s="148" t="s">
        <v>90</v>
      </c>
      <c r="D652" s="148" t="s">
        <v>29</v>
      </c>
      <c r="E652" s="148" t="s">
        <v>30</v>
      </c>
      <c r="F652" s="148" t="s">
        <v>91</v>
      </c>
      <c r="G652" s="148" t="s">
        <v>280</v>
      </c>
      <c r="H652" s="148">
        <v>2006</v>
      </c>
      <c r="I652" s="148">
        <v>6</v>
      </c>
      <c r="J652" s="148" t="s">
        <v>150</v>
      </c>
      <c r="M652" s="148" t="s">
        <v>575</v>
      </c>
      <c r="N652" s="148">
        <v>8</v>
      </c>
      <c r="O652" s="148" t="s">
        <v>83</v>
      </c>
      <c r="Y652" s="150" t="s">
        <v>366</v>
      </c>
      <c r="Z652" s="148" t="s">
        <v>465</v>
      </c>
    </row>
    <row r="653" spans="1:26" ht="15.75" hidden="1" customHeight="1" x14ac:dyDescent="0.25">
      <c r="A653" s="148" t="s">
        <v>76</v>
      </c>
      <c r="B653" s="148" t="s">
        <v>71</v>
      </c>
      <c r="C653" s="148" t="s">
        <v>45</v>
      </c>
      <c r="D653" s="148" t="s">
        <v>29</v>
      </c>
      <c r="E653" s="148" t="s">
        <v>72</v>
      </c>
      <c r="F653" s="148" t="s">
        <v>3183</v>
      </c>
      <c r="G653" s="148" t="s">
        <v>73</v>
      </c>
      <c r="H653" s="148">
        <v>2006</v>
      </c>
      <c r="I653" s="148">
        <v>7</v>
      </c>
      <c r="J653" s="148" t="s">
        <v>118</v>
      </c>
      <c r="K653" s="148" t="s">
        <v>459</v>
      </c>
      <c r="M653" s="148" t="s">
        <v>120</v>
      </c>
      <c r="N653" s="148">
        <v>6</v>
      </c>
      <c r="O653" s="148" t="s">
        <v>101</v>
      </c>
      <c r="P653" s="148" t="s">
        <v>654</v>
      </c>
      <c r="Y653" s="150" t="s">
        <v>655</v>
      </c>
    </row>
    <row r="654" spans="1:26" ht="15.75" hidden="1" customHeight="1" x14ac:dyDescent="0.25">
      <c r="A654" s="148" t="s">
        <v>76</v>
      </c>
      <c r="B654" s="148" t="s">
        <v>103</v>
      </c>
      <c r="C654" s="148" t="s">
        <v>55</v>
      </c>
      <c r="D654" s="148" t="s">
        <v>94</v>
      </c>
      <c r="E654" s="148" t="s">
        <v>95</v>
      </c>
      <c r="F654" s="148" t="s">
        <v>56</v>
      </c>
      <c r="G654" s="148" t="s">
        <v>111</v>
      </c>
      <c r="H654" s="148">
        <v>2006</v>
      </c>
      <c r="I654" s="148">
        <v>7</v>
      </c>
      <c r="J654" s="148" t="s">
        <v>150</v>
      </c>
      <c r="K654" s="148" t="s">
        <v>379</v>
      </c>
      <c r="M654" s="148" t="s">
        <v>126</v>
      </c>
      <c r="N654" s="148">
        <v>10</v>
      </c>
      <c r="O654" s="148" t="s">
        <v>83</v>
      </c>
      <c r="Y654" s="150" t="s">
        <v>366</v>
      </c>
    </row>
    <row r="655" spans="1:26" ht="13.5" hidden="1" customHeight="1" x14ac:dyDescent="0.25">
      <c r="A655" s="148" t="s">
        <v>76</v>
      </c>
      <c r="B655" s="148" t="s">
        <v>36</v>
      </c>
      <c r="C655" s="148" t="s">
        <v>28</v>
      </c>
      <c r="D655" s="148" t="s">
        <v>99</v>
      </c>
      <c r="E655" s="148" t="s">
        <v>30</v>
      </c>
      <c r="F655" s="148" t="s">
        <v>3183</v>
      </c>
      <c r="G655" s="148" t="s">
        <v>59</v>
      </c>
      <c r="H655" s="148">
        <v>2006</v>
      </c>
      <c r="I655" s="148">
        <v>7</v>
      </c>
      <c r="J655" s="148" t="s">
        <v>118</v>
      </c>
      <c r="K655" s="148" t="s">
        <v>629</v>
      </c>
      <c r="M655" s="148" t="s">
        <v>120</v>
      </c>
      <c r="N655" s="148">
        <v>6</v>
      </c>
      <c r="O655" s="148" t="s">
        <v>101</v>
      </c>
      <c r="P655" s="148" t="s">
        <v>203</v>
      </c>
      <c r="Y655" s="150" t="s">
        <v>366</v>
      </c>
    </row>
    <row r="656" spans="1:26" ht="15.75" hidden="1" customHeight="1" x14ac:dyDescent="0.25">
      <c r="A656" s="148" t="s">
        <v>76</v>
      </c>
      <c r="B656" s="148" t="s">
        <v>103</v>
      </c>
      <c r="C656" s="148" t="s">
        <v>55</v>
      </c>
      <c r="D656" s="148" t="s">
        <v>29</v>
      </c>
      <c r="E656" s="148" t="s">
        <v>30</v>
      </c>
      <c r="F656" s="148" t="s">
        <v>56</v>
      </c>
      <c r="G656" s="148" t="s">
        <v>381</v>
      </c>
      <c r="H656" s="148">
        <v>2006</v>
      </c>
      <c r="I656" s="148">
        <v>7</v>
      </c>
      <c r="J656" s="148" t="s">
        <v>118</v>
      </c>
      <c r="K656" s="148" t="s">
        <v>327</v>
      </c>
      <c r="M656" s="148" t="s">
        <v>132</v>
      </c>
      <c r="N656" s="148">
        <v>8</v>
      </c>
      <c r="O656" s="148" t="s">
        <v>101</v>
      </c>
      <c r="P656" s="148" t="s">
        <v>656</v>
      </c>
      <c r="Y656" s="150" t="s">
        <v>366</v>
      </c>
    </row>
    <row r="657" spans="1:26" ht="15.75" hidden="1" customHeight="1" x14ac:dyDescent="0.25">
      <c r="A657" s="148" t="s">
        <v>76</v>
      </c>
      <c r="B657" s="148" t="s">
        <v>36</v>
      </c>
      <c r="C657" s="148" t="s">
        <v>28</v>
      </c>
      <c r="D657" s="148" t="s">
        <v>29</v>
      </c>
      <c r="E657" s="148" t="s">
        <v>51</v>
      </c>
      <c r="F657" s="148" t="s">
        <v>3183</v>
      </c>
      <c r="G657" s="148" t="s">
        <v>52</v>
      </c>
      <c r="H657" s="148">
        <v>2006</v>
      </c>
      <c r="I657" s="148">
        <v>7</v>
      </c>
      <c r="J657" s="148" t="s">
        <v>118</v>
      </c>
      <c r="K657" s="148" t="s">
        <v>629</v>
      </c>
      <c r="M657" s="148" t="s">
        <v>120</v>
      </c>
      <c r="N657" s="148">
        <v>6</v>
      </c>
      <c r="O657" s="148" t="s">
        <v>101</v>
      </c>
      <c r="P657" s="148" t="s">
        <v>537</v>
      </c>
      <c r="Y657" s="150" t="s">
        <v>366</v>
      </c>
    </row>
    <row r="658" spans="1:26" ht="15.75" hidden="1" customHeight="1" x14ac:dyDescent="0.25">
      <c r="A658" s="148" t="s">
        <v>76</v>
      </c>
      <c r="B658" s="148" t="s">
        <v>89</v>
      </c>
      <c r="C658" s="148" t="s">
        <v>90</v>
      </c>
      <c r="D658" s="148" t="s">
        <v>99</v>
      </c>
      <c r="E658" s="148" t="s">
        <v>30</v>
      </c>
      <c r="F658" s="148" t="s">
        <v>91</v>
      </c>
      <c r="G658" s="148" t="s">
        <v>371</v>
      </c>
      <c r="H658" s="148">
        <v>2006</v>
      </c>
      <c r="I658" s="148">
        <v>8</v>
      </c>
      <c r="J658" s="148" t="s">
        <v>118</v>
      </c>
      <c r="K658" s="148" t="s">
        <v>388</v>
      </c>
      <c r="M658" s="148" t="s">
        <v>126</v>
      </c>
      <c r="N658" s="148">
        <v>10</v>
      </c>
      <c r="O658" s="148" t="s">
        <v>101</v>
      </c>
      <c r="P658" s="148" t="s">
        <v>283</v>
      </c>
      <c r="Y658" s="150" t="s">
        <v>366</v>
      </c>
    </row>
    <row r="659" spans="1:26" ht="15.75" hidden="1" customHeight="1" x14ac:dyDescent="0.25">
      <c r="A659" s="148" t="s">
        <v>76</v>
      </c>
      <c r="B659" s="148" t="s">
        <v>89</v>
      </c>
      <c r="C659" s="148" t="s">
        <v>90</v>
      </c>
      <c r="D659" s="148" t="s">
        <v>292</v>
      </c>
      <c r="E659" s="148" t="s">
        <v>30</v>
      </c>
      <c r="F659" s="148" t="s">
        <v>91</v>
      </c>
      <c r="G659" s="148" t="s">
        <v>288</v>
      </c>
      <c r="H659" s="148">
        <v>2006</v>
      </c>
      <c r="I659" s="148">
        <v>8</v>
      </c>
      <c r="J659" s="148" t="s">
        <v>150</v>
      </c>
      <c r="K659" s="148" t="s">
        <v>657</v>
      </c>
      <c r="M659" s="148" t="s">
        <v>467</v>
      </c>
      <c r="N659" s="148">
        <v>6</v>
      </c>
      <c r="O659" s="148" t="s">
        <v>83</v>
      </c>
      <c r="Y659" s="150" t="s">
        <v>366</v>
      </c>
    </row>
    <row r="660" spans="1:26" ht="15.75" hidden="1" customHeight="1" x14ac:dyDescent="0.25">
      <c r="A660" s="148" t="s">
        <v>26</v>
      </c>
      <c r="B660" s="148" t="s">
        <v>44</v>
      </c>
      <c r="C660" s="148" t="s">
        <v>45</v>
      </c>
      <c r="D660" s="148" t="s">
        <v>99</v>
      </c>
      <c r="E660" s="148" t="s">
        <v>95</v>
      </c>
      <c r="F660" s="148" t="s">
        <v>47</v>
      </c>
      <c r="G660" s="148" t="s">
        <v>96</v>
      </c>
      <c r="H660" s="148">
        <v>2006</v>
      </c>
      <c r="I660" s="148">
        <v>8</v>
      </c>
      <c r="J660" s="148" t="s">
        <v>33</v>
      </c>
      <c r="U660" s="149" t="s">
        <v>112</v>
      </c>
      <c r="V660" s="148" t="s">
        <v>3664</v>
      </c>
      <c r="W660" s="148" t="s">
        <v>49</v>
      </c>
      <c r="X660" s="148" t="s">
        <v>658</v>
      </c>
    </row>
    <row r="661" spans="1:26" ht="15.75" hidden="1" customHeight="1" x14ac:dyDescent="0.25">
      <c r="A661" s="148" t="s">
        <v>76</v>
      </c>
      <c r="B661" s="148" t="s">
        <v>198</v>
      </c>
      <c r="C661" s="148" t="s">
        <v>45</v>
      </c>
      <c r="D661" s="148" t="s">
        <v>94</v>
      </c>
      <c r="E661" s="148" t="s">
        <v>30</v>
      </c>
      <c r="F661" s="148" t="s">
        <v>199</v>
      </c>
      <c r="G661" s="148" t="s">
        <v>296</v>
      </c>
      <c r="H661" s="148">
        <v>2006</v>
      </c>
      <c r="I661" s="148">
        <v>8</v>
      </c>
      <c r="J661" s="148" t="s">
        <v>118</v>
      </c>
      <c r="K661" s="148" t="s">
        <v>388</v>
      </c>
      <c r="M661" s="148" t="s">
        <v>126</v>
      </c>
      <c r="N661" s="148">
        <v>10</v>
      </c>
      <c r="O661" s="148" t="s">
        <v>101</v>
      </c>
      <c r="P661" s="148" t="s">
        <v>545</v>
      </c>
      <c r="Y661" s="150" t="s">
        <v>366</v>
      </c>
    </row>
    <row r="662" spans="1:26" ht="15.75" hidden="1" customHeight="1" x14ac:dyDescent="0.25">
      <c r="A662" s="148" t="s">
        <v>76</v>
      </c>
      <c r="B662" s="148" t="s">
        <v>116</v>
      </c>
      <c r="C662" s="148" t="s">
        <v>90</v>
      </c>
      <c r="D662" s="148" t="s">
        <v>86</v>
      </c>
      <c r="E662" s="148" t="s">
        <v>40</v>
      </c>
      <c r="F662" s="148" t="s">
        <v>41</v>
      </c>
      <c r="G662" s="148" t="s">
        <v>117</v>
      </c>
      <c r="H662" s="148">
        <v>2006</v>
      </c>
      <c r="I662" s="148">
        <v>8</v>
      </c>
      <c r="J662" s="148" t="s">
        <v>150</v>
      </c>
      <c r="K662" s="148" t="s">
        <v>629</v>
      </c>
      <c r="M662" s="148" t="s">
        <v>120</v>
      </c>
      <c r="N662" s="148">
        <v>6</v>
      </c>
      <c r="O662" s="148" t="s">
        <v>83</v>
      </c>
      <c r="Y662" s="150" t="s">
        <v>366</v>
      </c>
    </row>
    <row r="663" spans="1:26" ht="15.75" hidden="1" customHeight="1" x14ac:dyDescent="0.25">
      <c r="A663" s="148" t="s">
        <v>76</v>
      </c>
      <c r="B663" s="148" t="s">
        <v>103</v>
      </c>
      <c r="C663" s="148" t="s">
        <v>55</v>
      </c>
      <c r="D663" s="148" t="s">
        <v>29</v>
      </c>
      <c r="E663" s="148" t="s">
        <v>30</v>
      </c>
      <c r="F663" s="148" t="s">
        <v>56</v>
      </c>
      <c r="G663" s="148" t="s">
        <v>405</v>
      </c>
      <c r="H663" s="148">
        <v>2006</v>
      </c>
      <c r="I663" s="148">
        <v>8</v>
      </c>
      <c r="J663" s="148" t="s">
        <v>150</v>
      </c>
      <c r="M663" s="148" t="s">
        <v>575</v>
      </c>
      <c r="N663" s="148">
        <v>8</v>
      </c>
      <c r="O663" s="148" t="s">
        <v>83</v>
      </c>
      <c r="Y663" s="150" t="s">
        <v>366</v>
      </c>
    </row>
    <row r="664" spans="1:26" ht="15.75" hidden="1" customHeight="1" x14ac:dyDescent="0.25">
      <c r="A664" s="148" t="s">
        <v>76</v>
      </c>
      <c r="B664" s="148" t="s">
        <v>103</v>
      </c>
      <c r="C664" s="148" t="s">
        <v>55</v>
      </c>
      <c r="D664" s="148" t="s">
        <v>29</v>
      </c>
      <c r="E664" s="148" t="s">
        <v>95</v>
      </c>
      <c r="F664" s="148" t="s">
        <v>56</v>
      </c>
      <c r="G664" s="148" t="s">
        <v>104</v>
      </c>
      <c r="H664" s="148">
        <v>2006</v>
      </c>
      <c r="I664" s="148">
        <v>8</v>
      </c>
      <c r="J664" s="148" t="s">
        <v>150</v>
      </c>
      <c r="K664" s="148" t="s">
        <v>629</v>
      </c>
      <c r="M664" s="148" t="s">
        <v>120</v>
      </c>
      <c r="N664" s="148">
        <v>6</v>
      </c>
      <c r="O664" s="148" t="s">
        <v>83</v>
      </c>
      <c r="Y664" s="150" t="s">
        <v>366</v>
      </c>
    </row>
    <row r="665" spans="1:26" ht="15.75" hidden="1" customHeight="1" x14ac:dyDescent="0.25">
      <c r="A665" s="148" t="s">
        <v>307</v>
      </c>
      <c r="B665" s="148" t="s">
        <v>77</v>
      </c>
      <c r="C665" s="148" t="s">
        <v>55</v>
      </c>
      <c r="D665" s="148" t="s">
        <v>99</v>
      </c>
      <c r="E665" s="148" t="s">
        <v>30</v>
      </c>
      <c r="F665" s="148" t="s">
        <v>41</v>
      </c>
      <c r="G665" s="148" t="s">
        <v>159</v>
      </c>
      <c r="H665" s="148">
        <v>2006</v>
      </c>
      <c r="I665" s="148">
        <v>8</v>
      </c>
      <c r="J665" s="148" t="s">
        <v>308</v>
      </c>
      <c r="Q665" s="148" t="s">
        <v>309</v>
      </c>
      <c r="R665" s="148" t="s">
        <v>659</v>
      </c>
      <c r="S665" s="148" t="s">
        <v>660</v>
      </c>
      <c r="T665" s="148" t="s">
        <v>661</v>
      </c>
      <c r="Y665" s="150" t="s">
        <v>662</v>
      </c>
    </row>
    <row r="666" spans="1:26" ht="15.75" hidden="1" customHeight="1" x14ac:dyDescent="0.25">
      <c r="A666" s="148" t="s">
        <v>76</v>
      </c>
      <c r="B666" s="148" t="s">
        <v>27</v>
      </c>
      <c r="C666" s="148" t="s">
        <v>28</v>
      </c>
      <c r="D666" s="148" t="s">
        <v>99</v>
      </c>
      <c r="E666" s="148" t="s">
        <v>40</v>
      </c>
      <c r="F666" s="148" t="s">
        <v>41</v>
      </c>
      <c r="G666" s="148" t="s">
        <v>42</v>
      </c>
      <c r="H666" s="148">
        <v>2006</v>
      </c>
      <c r="I666" s="148">
        <v>8</v>
      </c>
      <c r="J666" s="148" t="s">
        <v>150</v>
      </c>
      <c r="K666" s="148" t="s">
        <v>491</v>
      </c>
      <c r="M666" s="148" t="s">
        <v>492</v>
      </c>
      <c r="N666" s="148">
        <v>5</v>
      </c>
      <c r="O666" s="148" t="s">
        <v>83</v>
      </c>
      <c r="Y666" s="150" t="s">
        <v>366</v>
      </c>
    </row>
    <row r="667" spans="1:26" ht="15.75" hidden="1" customHeight="1" x14ac:dyDescent="0.25">
      <c r="A667" s="148" t="s">
        <v>26</v>
      </c>
      <c r="B667" s="148" t="s">
        <v>36</v>
      </c>
      <c r="C667" s="148" t="s">
        <v>28</v>
      </c>
      <c r="D667" s="148" t="s">
        <v>86</v>
      </c>
      <c r="E667" s="148" t="s">
        <v>51</v>
      </c>
      <c r="F667" s="148" t="s">
        <v>3183</v>
      </c>
      <c r="G667" s="148" t="s">
        <v>69</v>
      </c>
      <c r="H667" s="148">
        <v>2006</v>
      </c>
      <c r="I667" s="148">
        <v>8</v>
      </c>
      <c r="J667" s="148" t="s">
        <v>33</v>
      </c>
      <c r="U667" s="149" t="s">
        <v>112</v>
      </c>
      <c r="V667" s="148" t="s">
        <v>3664</v>
      </c>
      <c r="W667" s="148" t="s">
        <v>49</v>
      </c>
      <c r="X667" s="148" t="s">
        <v>658</v>
      </c>
    </row>
    <row r="668" spans="1:26" ht="15.75" hidden="1" customHeight="1" x14ac:dyDescent="0.25">
      <c r="A668" s="148" t="s">
        <v>76</v>
      </c>
      <c r="B668" s="148" t="s">
        <v>103</v>
      </c>
      <c r="C668" s="148" t="s">
        <v>55</v>
      </c>
      <c r="D668" s="148" t="s">
        <v>29</v>
      </c>
      <c r="E668" s="148" t="s">
        <v>30</v>
      </c>
      <c r="F668" s="148" t="s">
        <v>56</v>
      </c>
      <c r="G668" s="148" t="s">
        <v>432</v>
      </c>
      <c r="H668" s="148">
        <v>2006</v>
      </c>
      <c r="I668" s="148">
        <v>8</v>
      </c>
      <c r="J668" s="148" t="s">
        <v>150</v>
      </c>
      <c r="M668" s="148" t="s">
        <v>575</v>
      </c>
      <c r="N668" s="148">
        <v>8</v>
      </c>
      <c r="O668" s="148" t="s">
        <v>83</v>
      </c>
      <c r="Y668" s="150" t="s">
        <v>366</v>
      </c>
    </row>
    <row r="669" spans="1:26" ht="15.75" hidden="1" customHeight="1" x14ac:dyDescent="0.25">
      <c r="A669" s="148" t="s">
        <v>76</v>
      </c>
      <c r="B669" s="148" t="s">
        <v>89</v>
      </c>
      <c r="C669" s="148" t="s">
        <v>90</v>
      </c>
      <c r="D669" s="148" t="s">
        <v>29</v>
      </c>
      <c r="E669" s="148" t="s">
        <v>30</v>
      </c>
      <c r="F669" s="148" t="s">
        <v>91</v>
      </c>
      <c r="G669" s="148" t="s">
        <v>93</v>
      </c>
      <c r="H669" s="148">
        <v>2006</v>
      </c>
      <c r="I669" s="148">
        <v>8</v>
      </c>
      <c r="J669" s="148" t="s">
        <v>150</v>
      </c>
      <c r="K669" s="148" t="s">
        <v>657</v>
      </c>
      <c r="M669" s="148" t="s">
        <v>467</v>
      </c>
      <c r="N669" s="148">
        <v>6</v>
      </c>
      <c r="O669" s="148" t="s">
        <v>83</v>
      </c>
      <c r="Y669" s="150" t="s">
        <v>366</v>
      </c>
    </row>
    <row r="670" spans="1:26" ht="15.75" hidden="1" customHeight="1" x14ac:dyDescent="0.25">
      <c r="A670" s="148" t="s">
        <v>76</v>
      </c>
      <c r="B670" s="148" t="s">
        <v>36</v>
      </c>
      <c r="C670" s="148" t="s">
        <v>28</v>
      </c>
      <c r="D670" s="148" t="s">
        <v>29</v>
      </c>
      <c r="E670" s="148" t="s">
        <v>51</v>
      </c>
      <c r="F670" s="148" t="s">
        <v>3183</v>
      </c>
      <c r="G670" s="148" t="s">
        <v>52</v>
      </c>
      <c r="H670" s="148">
        <v>2006</v>
      </c>
      <c r="I670" s="148">
        <v>8</v>
      </c>
      <c r="J670" s="148" t="s">
        <v>150</v>
      </c>
      <c r="K670" s="148" t="s">
        <v>491</v>
      </c>
      <c r="M670" s="148" t="s">
        <v>492</v>
      </c>
      <c r="N670" s="148">
        <v>5</v>
      </c>
      <c r="O670" s="148" t="s">
        <v>83</v>
      </c>
      <c r="Y670" s="150" t="s">
        <v>366</v>
      </c>
    </row>
    <row r="671" spans="1:26" ht="15.75" hidden="1" customHeight="1" x14ac:dyDescent="0.25">
      <c r="A671" s="148" t="s">
        <v>76</v>
      </c>
      <c r="B671" s="148" t="s">
        <v>89</v>
      </c>
      <c r="C671" s="148" t="s">
        <v>90</v>
      </c>
      <c r="D671" s="148" t="s">
        <v>342</v>
      </c>
      <c r="E671" s="148" t="s">
        <v>30</v>
      </c>
      <c r="F671" s="148" t="s">
        <v>91</v>
      </c>
      <c r="G671" s="148" t="s">
        <v>450</v>
      </c>
      <c r="H671" s="148">
        <v>2006</v>
      </c>
      <c r="I671" s="148">
        <v>8</v>
      </c>
      <c r="J671" s="148" t="s">
        <v>150</v>
      </c>
      <c r="K671" s="148" t="s">
        <v>657</v>
      </c>
      <c r="M671" s="148" t="s">
        <v>467</v>
      </c>
      <c r="N671" s="148">
        <v>6</v>
      </c>
      <c r="O671" s="148" t="s">
        <v>83</v>
      </c>
      <c r="Y671" s="150" t="s">
        <v>366</v>
      </c>
    </row>
    <row r="672" spans="1:26" ht="15.75" hidden="1" customHeight="1" x14ac:dyDescent="0.25">
      <c r="A672" s="148" t="s">
        <v>76</v>
      </c>
      <c r="B672" s="148" t="s">
        <v>44</v>
      </c>
      <c r="C672" s="148" t="s">
        <v>45</v>
      </c>
      <c r="D672" s="148" t="s">
        <v>29</v>
      </c>
      <c r="E672" s="148" t="s">
        <v>46</v>
      </c>
      <c r="F672" s="148" t="s">
        <v>47</v>
      </c>
      <c r="G672" s="148" t="s">
        <v>48</v>
      </c>
      <c r="H672" s="148">
        <v>2006</v>
      </c>
      <c r="I672" s="148">
        <v>8</v>
      </c>
      <c r="J672" s="148" t="s">
        <v>118</v>
      </c>
      <c r="K672" s="148" t="s">
        <v>663</v>
      </c>
      <c r="M672" s="148" t="s">
        <v>664</v>
      </c>
      <c r="N672" s="148">
        <v>6</v>
      </c>
      <c r="O672" s="148" t="s">
        <v>101</v>
      </c>
      <c r="P672" s="148" t="s">
        <v>665</v>
      </c>
      <c r="Y672" s="150" t="s">
        <v>666</v>
      </c>
      <c r="Z672" s="148" t="s">
        <v>667</v>
      </c>
    </row>
    <row r="673" spans="1:25" ht="15.75" hidden="1" customHeight="1" x14ac:dyDescent="0.25">
      <c r="A673" s="148" t="s">
        <v>26</v>
      </c>
      <c r="B673" s="148" t="s">
        <v>44</v>
      </c>
      <c r="C673" s="148" t="s">
        <v>45</v>
      </c>
      <c r="D673" s="148" t="s">
        <v>29</v>
      </c>
      <c r="E673" s="148" t="s">
        <v>46</v>
      </c>
      <c r="F673" s="148" t="s">
        <v>47</v>
      </c>
      <c r="G673" s="148" t="s">
        <v>48</v>
      </c>
      <c r="H673" s="148">
        <v>2006</v>
      </c>
      <c r="I673" s="148">
        <v>8</v>
      </c>
      <c r="J673" s="148" t="s">
        <v>33</v>
      </c>
      <c r="U673" s="149" t="s">
        <v>112</v>
      </c>
      <c r="V673" s="148" t="s">
        <v>3664</v>
      </c>
      <c r="W673" s="148" t="s">
        <v>49</v>
      </c>
      <c r="X673" s="148" t="s">
        <v>658</v>
      </c>
    </row>
    <row r="674" spans="1:25" ht="15.75" hidden="1" customHeight="1" x14ac:dyDescent="0.25">
      <c r="A674" s="148" t="s">
        <v>76</v>
      </c>
      <c r="B674" s="148" t="s">
        <v>71</v>
      </c>
      <c r="C674" s="148" t="s">
        <v>45</v>
      </c>
      <c r="D674" s="148" t="s">
        <v>29</v>
      </c>
      <c r="E674" s="148" t="s">
        <v>72</v>
      </c>
      <c r="F674" s="148" t="s">
        <v>3183</v>
      </c>
      <c r="G674" s="148" t="s">
        <v>73</v>
      </c>
      <c r="H674" s="148">
        <v>2006</v>
      </c>
      <c r="I674" s="148">
        <v>9</v>
      </c>
      <c r="J674" s="148" t="s">
        <v>150</v>
      </c>
      <c r="K674" s="148" t="s">
        <v>388</v>
      </c>
      <c r="M674" s="148" t="s">
        <v>126</v>
      </c>
      <c r="N674" s="148">
        <v>10</v>
      </c>
      <c r="O674" s="148" t="s">
        <v>83</v>
      </c>
      <c r="Y674" s="150" t="s">
        <v>366</v>
      </c>
    </row>
    <row r="675" spans="1:25" ht="15.75" hidden="1" customHeight="1" x14ac:dyDescent="0.25">
      <c r="A675" s="148" t="s">
        <v>76</v>
      </c>
      <c r="B675" s="148" t="s">
        <v>103</v>
      </c>
      <c r="C675" s="148" t="s">
        <v>55</v>
      </c>
      <c r="D675" s="148" t="s">
        <v>99</v>
      </c>
      <c r="E675" s="148" t="s">
        <v>30</v>
      </c>
      <c r="F675" s="148" t="s">
        <v>56</v>
      </c>
      <c r="G675" s="148" t="s">
        <v>171</v>
      </c>
      <c r="H675" s="148">
        <v>2006</v>
      </c>
      <c r="I675" s="148">
        <v>9</v>
      </c>
      <c r="J675" s="148" t="s">
        <v>150</v>
      </c>
      <c r="K675" s="148" t="s">
        <v>172</v>
      </c>
      <c r="M675" s="148" t="s">
        <v>346</v>
      </c>
      <c r="N675" s="148">
        <v>10</v>
      </c>
      <c r="O675" s="148" t="s">
        <v>83</v>
      </c>
      <c r="Y675" s="150" t="s">
        <v>366</v>
      </c>
    </row>
    <row r="676" spans="1:25" ht="15.75" hidden="1" customHeight="1" x14ac:dyDescent="0.25">
      <c r="A676" s="148" t="s">
        <v>76</v>
      </c>
      <c r="B676" s="148" t="s">
        <v>198</v>
      </c>
      <c r="C676" s="148" t="s">
        <v>45</v>
      </c>
      <c r="D676" s="148" t="s">
        <v>29</v>
      </c>
      <c r="E676" s="148" t="s">
        <v>30</v>
      </c>
      <c r="F676" s="148" t="s">
        <v>199</v>
      </c>
      <c r="G676" s="148" t="s">
        <v>205</v>
      </c>
      <c r="H676" s="148">
        <v>2006</v>
      </c>
      <c r="I676" s="148">
        <v>9</v>
      </c>
      <c r="J676" s="148" t="s">
        <v>118</v>
      </c>
      <c r="K676" s="148" t="s">
        <v>172</v>
      </c>
      <c r="M676" s="148" t="s">
        <v>346</v>
      </c>
      <c r="N676" s="148">
        <v>10</v>
      </c>
      <c r="O676" s="148" t="s">
        <v>101</v>
      </c>
      <c r="P676" s="148" t="s">
        <v>146</v>
      </c>
      <c r="Y676" s="150" t="s">
        <v>366</v>
      </c>
    </row>
    <row r="677" spans="1:25" ht="15.75" hidden="1" customHeight="1" x14ac:dyDescent="0.25">
      <c r="A677" s="148" t="s">
        <v>76</v>
      </c>
      <c r="B677" s="148" t="s">
        <v>198</v>
      </c>
      <c r="C677" s="148" t="s">
        <v>45</v>
      </c>
      <c r="D677" s="148" t="s">
        <v>478</v>
      </c>
      <c r="E677" s="148" t="s">
        <v>30</v>
      </c>
      <c r="F677" s="148" t="s">
        <v>199</v>
      </c>
      <c r="G677" s="148" t="s">
        <v>208</v>
      </c>
      <c r="H677" s="148">
        <v>2006</v>
      </c>
      <c r="I677" s="148">
        <v>9</v>
      </c>
      <c r="J677" s="148" t="s">
        <v>150</v>
      </c>
      <c r="K677" s="148" t="s">
        <v>555</v>
      </c>
      <c r="M677" s="148" t="s">
        <v>246</v>
      </c>
      <c r="N677" s="148">
        <v>6</v>
      </c>
      <c r="O677" s="148" t="s">
        <v>83</v>
      </c>
      <c r="Y677" s="150" t="s">
        <v>366</v>
      </c>
    </row>
    <row r="678" spans="1:25" ht="15.75" hidden="1" customHeight="1" x14ac:dyDescent="0.25">
      <c r="A678" s="148" t="s">
        <v>76</v>
      </c>
      <c r="B678" s="148" t="s">
        <v>103</v>
      </c>
      <c r="C678" s="148" t="s">
        <v>55</v>
      </c>
      <c r="D678" s="148" t="s">
        <v>29</v>
      </c>
      <c r="E678" s="148" t="s">
        <v>95</v>
      </c>
      <c r="F678" s="148" t="s">
        <v>56</v>
      </c>
      <c r="G678" s="148" t="s">
        <v>382</v>
      </c>
      <c r="H678" s="148">
        <v>2006</v>
      </c>
      <c r="I678" s="148">
        <v>9</v>
      </c>
      <c r="J678" s="148" t="s">
        <v>150</v>
      </c>
      <c r="K678" s="148" t="s">
        <v>172</v>
      </c>
      <c r="M678" s="148" t="s">
        <v>346</v>
      </c>
      <c r="N678" s="148">
        <v>10</v>
      </c>
      <c r="O678" s="148" t="s">
        <v>83</v>
      </c>
      <c r="Y678" s="150" t="s">
        <v>366</v>
      </c>
    </row>
    <row r="679" spans="1:25" ht="15.75" hidden="1" customHeight="1" x14ac:dyDescent="0.25">
      <c r="A679" s="148" t="s">
        <v>76</v>
      </c>
      <c r="B679" s="148" t="s">
        <v>89</v>
      </c>
      <c r="C679" s="148" t="s">
        <v>90</v>
      </c>
      <c r="D679" s="148" t="s">
        <v>29</v>
      </c>
      <c r="E679" s="148" t="s">
        <v>30</v>
      </c>
      <c r="F679" s="148" t="s">
        <v>91</v>
      </c>
      <c r="G679" s="148" t="s">
        <v>668</v>
      </c>
      <c r="H679" s="148">
        <v>2006</v>
      </c>
      <c r="I679" s="148">
        <v>9</v>
      </c>
      <c r="J679" s="148" t="s">
        <v>118</v>
      </c>
      <c r="K679" s="148" t="s">
        <v>379</v>
      </c>
      <c r="M679" s="148" t="s">
        <v>126</v>
      </c>
      <c r="N679" s="148">
        <v>10</v>
      </c>
      <c r="O679" s="148" t="s">
        <v>101</v>
      </c>
      <c r="P679" s="148" t="s">
        <v>406</v>
      </c>
      <c r="Y679" s="150" t="s">
        <v>366</v>
      </c>
    </row>
    <row r="680" spans="1:25" ht="15.75" hidden="1" customHeight="1" x14ac:dyDescent="0.25">
      <c r="A680" s="148" t="s">
        <v>76</v>
      </c>
      <c r="B680" s="148" t="s">
        <v>198</v>
      </c>
      <c r="C680" s="148" t="s">
        <v>45</v>
      </c>
      <c r="D680" s="148" t="s">
        <v>94</v>
      </c>
      <c r="E680" s="148" t="s">
        <v>30</v>
      </c>
      <c r="F680" s="148" t="s">
        <v>199</v>
      </c>
      <c r="G680" s="148" t="s">
        <v>296</v>
      </c>
      <c r="H680" s="148">
        <v>2006</v>
      </c>
      <c r="I680" s="148">
        <v>9</v>
      </c>
      <c r="J680" s="148" t="s">
        <v>150</v>
      </c>
      <c r="K680" s="148" t="s">
        <v>555</v>
      </c>
      <c r="M680" s="148" t="s">
        <v>246</v>
      </c>
      <c r="N680" s="148">
        <v>6</v>
      </c>
      <c r="O680" s="148" t="s">
        <v>83</v>
      </c>
      <c r="Y680" s="150" t="s">
        <v>366</v>
      </c>
    </row>
    <row r="681" spans="1:25" ht="15.75" hidden="1" customHeight="1" x14ac:dyDescent="0.25">
      <c r="A681" s="148" t="s">
        <v>76</v>
      </c>
      <c r="B681" s="148" t="s">
        <v>198</v>
      </c>
      <c r="C681" s="148" t="s">
        <v>45</v>
      </c>
      <c r="D681" s="148" t="s">
        <v>29</v>
      </c>
      <c r="E681" s="148" t="s">
        <v>30</v>
      </c>
      <c r="F681" s="148" t="s">
        <v>199</v>
      </c>
      <c r="G681" s="148" t="s">
        <v>214</v>
      </c>
      <c r="H681" s="148">
        <v>2006</v>
      </c>
      <c r="I681" s="148">
        <v>9</v>
      </c>
      <c r="J681" s="148" t="s">
        <v>150</v>
      </c>
      <c r="K681" s="148" t="s">
        <v>500</v>
      </c>
      <c r="M681" s="148" t="s">
        <v>501</v>
      </c>
      <c r="N681" s="148">
        <v>6</v>
      </c>
      <c r="O681" s="148" t="s">
        <v>83</v>
      </c>
      <c r="Y681" s="150" t="s">
        <v>366</v>
      </c>
    </row>
    <row r="682" spans="1:25" ht="15.75" hidden="1" customHeight="1" x14ac:dyDescent="0.25">
      <c r="A682" s="148" t="s">
        <v>76</v>
      </c>
      <c r="B682" s="148" t="s">
        <v>116</v>
      </c>
      <c r="C682" s="148" t="s">
        <v>90</v>
      </c>
      <c r="D682" s="148" t="s">
        <v>86</v>
      </c>
      <c r="E682" s="148" t="s">
        <v>40</v>
      </c>
      <c r="F682" s="148" t="s">
        <v>41</v>
      </c>
      <c r="G682" s="148" t="s">
        <v>117</v>
      </c>
      <c r="H682" s="148">
        <v>2006</v>
      </c>
      <c r="I682" s="148">
        <v>9</v>
      </c>
      <c r="J682" s="148" t="s">
        <v>150</v>
      </c>
      <c r="K682" s="148" t="s">
        <v>573</v>
      </c>
      <c r="M682" s="148" t="s">
        <v>574</v>
      </c>
      <c r="N682" s="148">
        <v>6</v>
      </c>
      <c r="O682" s="148" t="s">
        <v>83</v>
      </c>
      <c r="Y682" s="150" t="s">
        <v>366</v>
      </c>
    </row>
    <row r="683" spans="1:25" ht="15.75" hidden="1" customHeight="1" x14ac:dyDescent="0.25">
      <c r="A683" s="148" t="s">
        <v>76</v>
      </c>
      <c r="B683" s="148" t="s">
        <v>103</v>
      </c>
      <c r="C683" s="148" t="s">
        <v>55</v>
      </c>
      <c r="D683" s="148" t="s">
        <v>29</v>
      </c>
      <c r="E683" s="148" t="s">
        <v>30</v>
      </c>
      <c r="F683" s="148" t="s">
        <v>56</v>
      </c>
      <c r="G683" s="148" t="s">
        <v>405</v>
      </c>
      <c r="H683" s="148">
        <v>2006</v>
      </c>
      <c r="I683" s="148">
        <v>9</v>
      </c>
      <c r="J683" s="148" t="s">
        <v>150</v>
      </c>
      <c r="K683" s="148" t="s">
        <v>374</v>
      </c>
      <c r="M683" s="148" t="s">
        <v>389</v>
      </c>
      <c r="N683" s="148">
        <v>8</v>
      </c>
      <c r="O683" s="148" t="s">
        <v>83</v>
      </c>
      <c r="Y683" s="150" t="s">
        <v>366</v>
      </c>
    </row>
    <row r="684" spans="1:25" ht="15.75" hidden="1" customHeight="1" x14ac:dyDescent="0.25">
      <c r="A684" s="148" t="s">
        <v>76</v>
      </c>
      <c r="B684" s="148" t="s">
        <v>89</v>
      </c>
      <c r="C684" s="148" t="s">
        <v>90</v>
      </c>
      <c r="D684" s="148" t="s">
        <v>29</v>
      </c>
      <c r="E684" s="148" t="s">
        <v>30</v>
      </c>
      <c r="F684" s="148" t="s">
        <v>91</v>
      </c>
      <c r="G684" s="148" t="s">
        <v>298</v>
      </c>
      <c r="H684" s="148">
        <v>2006</v>
      </c>
      <c r="I684" s="148">
        <v>9</v>
      </c>
      <c r="J684" s="148" t="s">
        <v>118</v>
      </c>
      <c r="K684" s="148" t="s">
        <v>172</v>
      </c>
      <c r="M684" s="148" t="s">
        <v>346</v>
      </c>
      <c r="N684" s="148">
        <v>10</v>
      </c>
      <c r="O684" s="148" t="s">
        <v>101</v>
      </c>
      <c r="P684" s="148" t="s">
        <v>647</v>
      </c>
      <c r="Y684" s="150" t="s">
        <v>366</v>
      </c>
    </row>
    <row r="685" spans="1:25" ht="15.75" hidden="1" customHeight="1" x14ac:dyDescent="0.25">
      <c r="A685" s="148" t="s">
        <v>76</v>
      </c>
      <c r="B685" s="148" t="s">
        <v>103</v>
      </c>
      <c r="C685" s="148" t="s">
        <v>55</v>
      </c>
      <c r="D685" s="148" t="s">
        <v>478</v>
      </c>
      <c r="E685" s="148" t="s">
        <v>95</v>
      </c>
      <c r="F685" s="148" t="s">
        <v>56</v>
      </c>
      <c r="G685" s="148" t="s">
        <v>153</v>
      </c>
      <c r="H685" s="148">
        <v>2006</v>
      </c>
      <c r="I685" s="148">
        <v>9</v>
      </c>
      <c r="J685" s="148" t="s">
        <v>150</v>
      </c>
      <c r="K685" s="148" t="s">
        <v>374</v>
      </c>
      <c r="M685" s="148" t="s">
        <v>389</v>
      </c>
      <c r="N685" s="148">
        <v>8</v>
      </c>
      <c r="O685" s="148" t="s">
        <v>83</v>
      </c>
      <c r="Y685" s="150" t="s">
        <v>366</v>
      </c>
    </row>
    <row r="686" spans="1:25" ht="15.75" hidden="1" customHeight="1" x14ac:dyDescent="0.25">
      <c r="A686" s="148" t="s">
        <v>76</v>
      </c>
      <c r="B686" s="148" t="s">
        <v>103</v>
      </c>
      <c r="C686" s="148" t="s">
        <v>55</v>
      </c>
      <c r="D686" s="148" t="s">
        <v>29</v>
      </c>
      <c r="E686" s="148" t="s">
        <v>95</v>
      </c>
      <c r="F686" s="148" t="s">
        <v>56</v>
      </c>
      <c r="G686" s="148" t="s">
        <v>407</v>
      </c>
      <c r="H686" s="148">
        <v>2006</v>
      </c>
      <c r="I686" s="148">
        <v>9</v>
      </c>
      <c r="J686" s="148" t="s">
        <v>150</v>
      </c>
      <c r="K686" s="148" t="s">
        <v>172</v>
      </c>
      <c r="M686" s="148" t="s">
        <v>346</v>
      </c>
      <c r="N686" s="148">
        <v>10</v>
      </c>
      <c r="O686" s="148" t="s">
        <v>83</v>
      </c>
      <c r="Y686" s="150" t="s">
        <v>366</v>
      </c>
    </row>
    <row r="687" spans="1:25" ht="15.75" hidden="1" customHeight="1" x14ac:dyDescent="0.25">
      <c r="A687" s="148" t="s">
        <v>76</v>
      </c>
      <c r="B687" s="148" t="s">
        <v>89</v>
      </c>
      <c r="C687" s="148" t="s">
        <v>90</v>
      </c>
      <c r="D687" s="148" t="s">
        <v>29</v>
      </c>
      <c r="E687" s="148" t="s">
        <v>30</v>
      </c>
      <c r="F687" s="148" t="s">
        <v>91</v>
      </c>
      <c r="G687" s="148" t="s">
        <v>552</v>
      </c>
      <c r="H687" s="148">
        <v>2006</v>
      </c>
      <c r="I687" s="148">
        <v>9</v>
      </c>
      <c r="J687" s="148" t="s">
        <v>118</v>
      </c>
      <c r="K687" s="148" t="s">
        <v>172</v>
      </c>
      <c r="M687" s="148" t="s">
        <v>346</v>
      </c>
      <c r="N687" s="148">
        <v>6</v>
      </c>
      <c r="O687" s="148" t="s">
        <v>101</v>
      </c>
      <c r="P687" s="148" t="s">
        <v>146</v>
      </c>
      <c r="Y687" s="150" t="s">
        <v>669</v>
      </c>
    </row>
    <row r="688" spans="1:25" ht="15.75" hidden="1" customHeight="1" x14ac:dyDescent="0.25">
      <c r="A688" s="148" t="s">
        <v>76</v>
      </c>
      <c r="B688" s="148" t="s">
        <v>44</v>
      </c>
      <c r="C688" s="148" t="s">
        <v>45</v>
      </c>
      <c r="D688" s="148" t="s">
        <v>86</v>
      </c>
      <c r="E688" s="148" t="s">
        <v>30</v>
      </c>
      <c r="F688" s="148" t="s">
        <v>47</v>
      </c>
      <c r="G688" s="148" t="s">
        <v>377</v>
      </c>
      <c r="H688" s="148">
        <v>2006</v>
      </c>
      <c r="I688" s="148">
        <v>9</v>
      </c>
      <c r="J688" s="148" t="s">
        <v>150</v>
      </c>
      <c r="K688" s="148" t="s">
        <v>670</v>
      </c>
      <c r="M688" s="148" t="s">
        <v>290</v>
      </c>
      <c r="N688" s="148">
        <v>6</v>
      </c>
      <c r="O688" s="148" t="s">
        <v>83</v>
      </c>
      <c r="Y688" s="150" t="s">
        <v>366</v>
      </c>
    </row>
    <row r="689" spans="1:26" ht="15.75" hidden="1" customHeight="1" x14ac:dyDescent="0.25">
      <c r="A689" s="148" t="s">
        <v>76</v>
      </c>
      <c r="B689" s="148" t="s">
        <v>71</v>
      </c>
      <c r="C689" s="148" t="s">
        <v>45</v>
      </c>
      <c r="D689" s="148" t="s">
        <v>29</v>
      </c>
      <c r="E689" s="148" t="s">
        <v>72</v>
      </c>
      <c r="F689" s="148" t="s">
        <v>3183</v>
      </c>
      <c r="G689" s="148" t="s">
        <v>75</v>
      </c>
      <c r="H689" s="148">
        <v>2006</v>
      </c>
      <c r="I689" s="148">
        <v>9</v>
      </c>
      <c r="J689" s="148" t="s">
        <v>150</v>
      </c>
      <c r="K689" s="148" t="s">
        <v>388</v>
      </c>
      <c r="M689" s="148" t="s">
        <v>126</v>
      </c>
      <c r="N689" s="148">
        <v>10</v>
      </c>
      <c r="O689" s="148" t="s">
        <v>83</v>
      </c>
      <c r="Y689" s="150" t="s">
        <v>366</v>
      </c>
    </row>
    <row r="690" spans="1:26" ht="15.75" hidden="1" customHeight="1" x14ac:dyDescent="0.25">
      <c r="A690" s="148" t="s">
        <v>76</v>
      </c>
      <c r="B690" s="148" t="s">
        <v>198</v>
      </c>
      <c r="C690" s="148" t="s">
        <v>45</v>
      </c>
      <c r="D690" s="148" t="s">
        <v>94</v>
      </c>
      <c r="E690" s="148" t="s">
        <v>30</v>
      </c>
      <c r="F690" s="148" t="s">
        <v>199</v>
      </c>
      <c r="G690" s="148" t="s">
        <v>248</v>
      </c>
      <c r="H690" s="148">
        <v>2006</v>
      </c>
      <c r="I690" s="148">
        <v>9</v>
      </c>
      <c r="J690" s="148" t="s">
        <v>118</v>
      </c>
      <c r="K690" s="148" t="s">
        <v>327</v>
      </c>
      <c r="M690" s="148" t="s">
        <v>132</v>
      </c>
      <c r="N690" s="148">
        <v>8</v>
      </c>
      <c r="O690" s="148" t="s">
        <v>101</v>
      </c>
      <c r="P690" s="148" t="s">
        <v>537</v>
      </c>
      <c r="Y690" s="150" t="s">
        <v>366</v>
      </c>
    </row>
    <row r="691" spans="1:26" ht="15.75" hidden="1" customHeight="1" x14ac:dyDescent="0.25">
      <c r="A691" s="148" t="s">
        <v>76</v>
      </c>
      <c r="B691" s="148" t="s">
        <v>103</v>
      </c>
      <c r="C691" s="148" t="s">
        <v>55</v>
      </c>
      <c r="D691" s="148" t="s">
        <v>490</v>
      </c>
      <c r="E691" s="148" t="s">
        <v>95</v>
      </c>
      <c r="F691" s="148" t="s">
        <v>56</v>
      </c>
      <c r="G691" s="148" t="s">
        <v>168</v>
      </c>
      <c r="H691" s="148">
        <v>2006</v>
      </c>
      <c r="I691" s="148">
        <v>9</v>
      </c>
      <c r="J691" s="148" t="s">
        <v>150</v>
      </c>
      <c r="K691" s="148" t="s">
        <v>172</v>
      </c>
      <c r="M691" s="148" t="s">
        <v>346</v>
      </c>
      <c r="N691" s="148">
        <v>10</v>
      </c>
      <c r="O691" s="148" t="s">
        <v>83</v>
      </c>
      <c r="Y691" s="150" t="s">
        <v>366</v>
      </c>
    </row>
    <row r="692" spans="1:26" ht="15.75" hidden="1" customHeight="1" x14ac:dyDescent="0.25">
      <c r="A692" s="148" t="s">
        <v>76</v>
      </c>
      <c r="B692" s="148" t="s">
        <v>89</v>
      </c>
      <c r="C692" s="148" t="s">
        <v>90</v>
      </c>
      <c r="D692" s="148" t="s">
        <v>99</v>
      </c>
      <c r="E692" s="148" t="s">
        <v>30</v>
      </c>
      <c r="F692" s="148" t="s">
        <v>91</v>
      </c>
      <c r="G692" s="148" t="s">
        <v>92</v>
      </c>
      <c r="H692" s="148">
        <v>2006</v>
      </c>
      <c r="I692" s="148">
        <v>9</v>
      </c>
      <c r="J692" s="148" t="s">
        <v>150</v>
      </c>
      <c r="K692" s="148" t="s">
        <v>573</v>
      </c>
      <c r="M692" s="148" t="s">
        <v>574</v>
      </c>
      <c r="N692" s="148">
        <v>6</v>
      </c>
      <c r="O692" s="148" t="s">
        <v>83</v>
      </c>
      <c r="Y692" s="150" t="s">
        <v>366</v>
      </c>
    </row>
    <row r="693" spans="1:26" ht="15.75" hidden="1" customHeight="1" x14ac:dyDescent="0.25">
      <c r="A693" s="148" t="s">
        <v>307</v>
      </c>
      <c r="B693" s="148" t="s">
        <v>77</v>
      </c>
      <c r="C693" s="148" t="s">
        <v>55</v>
      </c>
      <c r="D693" s="148" t="s">
        <v>29</v>
      </c>
      <c r="E693" s="148" t="s">
        <v>30</v>
      </c>
      <c r="F693" s="148" t="s">
        <v>41</v>
      </c>
      <c r="G693" s="148" t="s">
        <v>275</v>
      </c>
      <c r="H693" s="148">
        <v>2006</v>
      </c>
      <c r="I693" s="148">
        <v>9</v>
      </c>
      <c r="J693" s="148" t="s">
        <v>308</v>
      </c>
      <c r="Q693" s="148" t="s">
        <v>309</v>
      </c>
      <c r="R693" s="148" t="s">
        <v>671</v>
      </c>
      <c r="S693" s="148" t="s">
        <v>311</v>
      </c>
      <c r="T693" s="148" t="s">
        <v>672</v>
      </c>
      <c r="Y693" s="150" t="s">
        <v>673</v>
      </c>
      <c r="Z693" s="148" t="s">
        <v>674</v>
      </c>
    </row>
    <row r="694" spans="1:26" ht="15.75" hidden="1" customHeight="1" x14ac:dyDescent="0.25">
      <c r="A694" s="148" t="s">
        <v>76</v>
      </c>
      <c r="B694" s="148" t="s">
        <v>77</v>
      </c>
      <c r="C694" s="148" t="s">
        <v>55</v>
      </c>
      <c r="D694" s="148" t="s">
        <v>29</v>
      </c>
      <c r="E694" s="148" t="s">
        <v>30</v>
      </c>
      <c r="F694" s="148" t="s">
        <v>41</v>
      </c>
      <c r="G694" s="148" t="s">
        <v>275</v>
      </c>
      <c r="H694" s="148">
        <v>2006</v>
      </c>
      <c r="I694" s="148">
        <v>9</v>
      </c>
      <c r="J694" s="148" t="s">
        <v>150</v>
      </c>
      <c r="K694" s="148" t="s">
        <v>629</v>
      </c>
      <c r="M694" s="148" t="s">
        <v>120</v>
      </c>
      <c r="N694" s="148">
        <v>6</v>
      </c>
      <c r="O694" s="148" t="s">
        <v>83</v>
      </c>
      <c r="Y694" s="150" t="s">
        <v>366</v>
      </c>
    </row>
    <row r="695" spans="1:26" ht="15.75" hidden="1" customHeight="1" x14ac:dyDescent="0.25">
      <c r="A695" s="148" t="s">
        <v>76</v>
      </c>
      <c r="B695" s="148" t="s">
        <v>198</v>
      </c>
      <c r="C695" s="148" t="s">
        <v>45</v>
      </c>
      <c r="D695" s="148" t="s">
        <v>29</v>
      </c>
      <c r="E695" s="148" t="s">
        <v>30</v>
      </c>
      <c r="F695" s="148" t="s">
        <v>199</v>
      </c>
      <c r="G695" s="148" t="s">
        <v>505</v>
      </c>
      <c r="H695" s="148">
        <v>2006</v>
      </c>
      <c r="I695" s="148">
        <v>9</v>
      </c>
      <c r="J695" s="148" t="s">
        <v>118</v>
      </c>
      <c r="K695" s="148" t="s">
        <v>327</v>
      </c>
      <c r="M695" s="148" t="s">
        <v>82</v>
      </c>
      <c r="N695" s="148">
        <v>8</v>
      </c>
      <c r="O695" s="148" t="s">
        <v>101</v>
      </c>
      <c r="P695" s="148" t="s">
        <v>675</v>
      </c>
      <c r="Y695" s="150" t="s">
        <v>366</v>
      </c>
    </row>
    <row r="696" spans="1:26" ht="15.75" hidden="1" customHeight="1" x14ac:dyDescent="0.25">
      <c r="A696" s="148" t="s">
        <v>76</v>
      </c>
      <c r="B696" s="148" t="s">
        <v>27</v>
      </c>
      <c r="C696" s="148" t="s">
        <v>55</v>
      </c>
      <c r="D696" s="148" t="s">
        <v>158</v>
      </c>
      <c r="E696" s="148" t="s">
        <v>40</v>
      </c>
      <c r="F696" s="148" t="s">
        <v>41</v>
      </c>
      <c r="G696" s="148" t="s">
        <v>604</v>
      </c>
      <c r="H696" s="148">
        <v>2006</v>
      </c>
      <c r="I696" s="148">
        <v>10</v>
      </c>
      <c r="J696" s="148" t="s">
        <v>118</v>
      </c>
      <c r="K696" s="148" t="s">
        <v>172</v>
      </c>
      <c r="M696" s="148" t="s">
        <v>346</v>
      </c>
      <c r="N696" s="148">
        <v>10</v>
      </c>
      <c r="O696" s="148" t="s">
        <v>101</v>
      </c>
      <c r="P696" s="148" t="s">
        <v>146</v>
      </c>
      <c r="Y696" s="150" t="s">
        <v>366</v>
      </c>
    </row>
    <row r="697" spans="1:26" ht="15.75" hidden="1" customHeight="1" x14ac:dyDescent="0.25">
      <c r="A697" s="148" t="s">
        <v>76</v>
      </c>
      <c r="B697" s="148" t="s">
        <v>89</v>
      </c>
      <c r="C697" s="148" t="s">
        <v>90</v>
      </c>
      <c r="D697" s="148" t="s">
        <v>99</v>
      </c>
      <c r="E697" s="148" t="s">
        <v>30</v>
      </c>
      <c r="F697" s="148" t="s">
        <v>91</v>
      </c>
      <c r="G697" s="148" t="s">
        <v>371</v>
      </c>
      <c r="H697" s="148">
        <v>2006</v>
      </c>
      <c r="I697" s="148">
        <v>10</v>
      </c>
      <c r="J697" s="148" t="s">
        <v>150</v>
      </c>
      <c r="K697" s="148" t="s">
        <v>393</v>
      </c>
      <c r="M697" s="148" t="s">
        <v>394</v>
      </c>
      <c r="N697" s="148">
        <v>6</v>
      </c>
      <c r="O697" s="148" t="s">
        <v>83</v>
      </c>
      <c r="Y697" s="150" t="s">
        <v>366</v>
      </c>
    </row>
    <row r="698" spans="1:26" ht="15.75" hidden="1" customHeight="1" x14ac:dyDescent="0.25">
      <c r="A698" s="148" t="s">
        <v>76</v>
      </c>
      <c r="B698" s="148" t="s">
        <v>71</v>
      </c>
      <c r="C698" s="148" t="s">
        <v>45</v>
      </c>
      <c r="D698" s="148" t="s">
        <v>29</v>
      </c>
      <c r="E698" s="148" t="s">
        <v>72</v>
      </c>
      <c r="F698" s="148" t="s">
        <v>3183</v>
      </c>
      <c r="G698" s="148" t="s">
        <v>73</v>
      </c>
      <c r="H698" s="148">
        <v>2006</v>
      </c>
      <c r="I698" s="148">
        <v>10</v>
      </c>
      <c r="J698" s="148" t="s">
        <v>118</v>
      </c>
      <c r="K698" s="148" t="s">
        <v>172</v>
      </c>
      <c r="M698" s="148" t="s">
        <v>346</v>
      </c>
      <c r="N698" s="148">
        <v>10</v>
      </c>
      <c r="O698" s="148" t="s">
        <v>101</v>
      </c>
      <c r="P698" s="148" t="s">
        <v>191</v>
      </c>
      <c r="Y698" s="150" t="s">
        <v>366</v>
      </c>
    </row>
    <row r="699" spans="1:26" ht="15.75" hidden="1" customHeight="1" x14ac:dyDescent="0.25">
      <c r="A699" s="148" t="s">
        <v>76</v>
      </c>
      <c r="B699" s="148" t="s">
        <v>36</v>
      </c>
      <c r="C699" s="148" t="s">
        <v>28</v>
      </c>
      <c r="D699" s="148" t="s">
        <v>158</v>
      </c>
      <c r="E699" s="148" t="s">
        <v>30</v>
      </c>
      <c r="F699" s="148" t="s">
        <v>3183</v>
      </c>
      <c r="G699" s="148" t="s">
        <v>438</v>
      </c>
      <c r="H699" s="148">
        <v>2006</v>
      </c>
      <c r="I699" s="148">
        <v>10</v>
      </c>
      <c r="J699" s="148" t="s">
        <v>150</v>
      </c>
      <c r="K699" s="148" t="s">
        <v>327</v>
      </c>
      <c r="M699" s="148" t="s">
        <v>132</v>
      </c>
      <c r="N699" s="148">
        <v>8</v>
      </c>
      <c r="O699" s="148" t="s">
        <v>83</v>
      </c>
      <c r="Y699" s="150" t="s">
        <v>366</v>
      </c>
    </row>
    <row r="700" spans="1:26" ht="15.75" hidden="1" customHeight="1" x14ac:dyDescent="0.25">
      <c r="A700" s="148" t="s">
        <v>76</v>
      </c>
      <c r="B700" s="148" t="s">
        <v>89</v>
      </c>
      <c r="C700" s="148" t="s">
        <v>90</v>
      </c>
      <c r="D700" s="148" t="s">
        <v>29</v>
      </c>
      <c r="E700" s="148" t="s">
        <v>30</v>
      </c>
      <c r="F700" s="148" t="s">
        <v>91</v>
      </c>
      <c r="G700" s="148" t="s">
        <v>676</v>
      </c>
      <c r="H700" s="148">
        <v>2006</v>
      </c>
      <c r="I700" s="148">
        <v>10</v>
      </c>
      <c r="J700" s="148" t="s">
        <v>118</v>
      </c>
      <c r="K700" s="148" t="s">
        <v>172</v>
      </c>
      <c r="M700" s="148" t="s">
        <v>346</v>
      </c>
      <c r="N700" s="148">
        <v>10</v>
      </c>
      <c r="O700" s="148" t="s">
        <v>101</v>
      </c>
      <c r="P700" s="148" t="s">
        <v>146</v>
      </c>
      <c r="Y700" s="150" t="s">
        <v>366</v>
      </c>
    </row>
    <row r="701" spans="1:26" ht="15.75" hidden="1" customHeight="1" x14ac:dyDescent="0.25">
      <c r="A701" s="148" t="s">
        <v>76</v>
      </c>
      <c r="B701" s="148" t="s">
        <v>103</v>
      </c>
      <c r="C701" s="148" t="s">
        <v>55</v>
      </c>
      <c r="D701" s="148" t="s">
        <v>29</v>
      </c>
      <c r="E701" s="148" t="s">
        <v>95</v>
      </c>
      <c r="F701" s="148" t="s">
        <v>56</v>
      </c>
      <c r="G701" s="148" t="s">
        <v>677</v>
      </c>
      <c r="H701" s="148">
        <v>2006</v>
      </c>
      <c r="I701" s="148">
        <v>10</v>
      </c>
      <c r="J701" s="148" t="s">
        <v>118</v>
      </c>
      <c r="K701" s="148" t="s">
        <v>541</v>
      </c>
      <c r="M701" s="148" t="s">
        <v>120</v>
      </c>
      <c r="N701" s="148">
        <v>8</v>
      </c>
      <c r="O701" s="148" t="s">
        <v>101</v>
      </c>
      <c r="P701" s="148" t="s">
        <v>146</v>
      </c>
      <c r="Y701" s="150" t="s">
        <v>678</v>
      </c>
    </row>
    <row r="702" spans="1:26" ht="15.75" hidden="1" customHeight="1" x14ac:dyDescent="0.25">
      <c r="A702" s="148" t="s">
        <v>76</v>
      </c>
      <c r="B702" s="148" t="s">
        <v>103</v>
      </c>
      <c r="C702" s="148" t="s">
        <v>55</v>
      </c>
      <c r="D702" s="148" t="s">
        <v>29</v>
      </c>
      <c r="E702" s="148" t="s">
        <v>95</v>
      </c>
      <c r="F702" s="148" t="s">
        <v>56</v>
      </c>
      <c r="G702" s="148" t="s">
        <v>104</v>
      </c>
      <c r="H702" s="148">
        <v>2006</v>
      </c>
      <c r="I702" s="148">
        <v>10</v>
      </c>
      <c r="J702" s="148" t="s">
        <v>118</v>
      </c>
      <c r="K702" s="148" t="s">
        <v>172</v>
      </c>
      <c r="M702" s="148" t="s">
        <v>346</v>
      </c>
      <c r="N702" s="148">
        <v>10</v>
      </c>
      <c r="O702" s="148" t="s">
        <v>101</v>
      </c>
      <c r="P702" s="148" t="s">
        <v>679</v>
      </c>
      <c r="Y702" s="150" t="s">
        <v>366</v>
      </c>
    </row>
    <row r="703" spans="1:26" ht="15.75" hidden="1" customHeight="1" x14ac:dyDescent="0.25">
      <c r="A703" s="148" t="s">
        <v>76</v>
      </c>
      <c r="B703" s="148" t="s">
        <v>27</v>
      </c>
      <c r="C703" s="148" t="s">
        <v>28</v>
      </c>
      <c r="D703" s="148" t="s">
        <v>566</v>
      </c>
      <c r="E703" s="148" t="s">
        <v>30</v>
      </c>
      <c r="F703" s="148" t="s">
        <v>3183</v>
      </c>
      <c r="G703" s="148" t="s">
        <v>53</v>
      </c>
      <c r="H703" s="148">
        <v>2006</v>
      </c>
      <c r="I703" s="148">
        <v>10</v>
      </c>
      <c r="J703" s="148" t="s">
        <v>150</v>
      </c>
      <c r="K703" s="148" t="s">
        <v>525</v>
      </c>
      <c r="M703" s="148" t="s">
        <v>554</v>
      </c>
      <c r="N703" s="148">
        <v>8</v>
      </c>
      <c r="O703" s="148" t="s">
        <v>83</v>
      </c>
      <c r="Y703" s="150" t="s">
        <v>366</v>
      </c>
    </row>
    <row r="704" spans="1:26" ht="15.75" hidden="1" customHeight="1" x14ac:dyDescent="0.25">
      <c r="A704" s="148" t="s">
        <v>76</v>
      </c>
      <c r="B704" s="148" t="s">
        <v>89</v>
      </c>
      <c r="C704" s="148" t="s">
        <v>90</v>
      </c>
      <c r="D704" s="148" t="s">
        <v>29</v>
      </c>
      <c r="E704" s="148" t="s">
        <v>30</v>
      </c>
      <c r="F704" s="148" t="s">
        <v>91</v>
      </c>
      <c r="G704" s="148" t="s">
        <v>222</v>
      </c>
      <c r="H704" s="148">
        <v>2006</v>
      </c>
      <c r="I704" s="148">
        <v>10</v>
      </c>
      <c r="J704" s="148" t="s">
        <v>118</v>
      </c>
      <c r="K704" s="148" t="s">
        <v>172</v>
      </c>
      <c r="M704" s="148" t="s">
        <v>346</v>
      </c>
      <c r="N704" s="148">
        <v>8</v>
      </c>
      <c r="O704" s="148" t="s">
        <v>101</v>
      </c>
      <c r="P704" s="148" t="s">
        <v>435</v>
      </c>
      <c r="Y704" s="150" t="s">
        <v>680</v>
      </c>
    </row>
    <row r="705" spans="1:25" ht="15.75" hidden="1" customHeight="1" x14ac:dyDescent="0.25">
      <c r="A705" s="148" t="s">
        <v>76</v>
      </c>
      <c r="B705" s="148" t="s">
        <v>36</v>
      </c>
      <c r="C705" s="148" t="s">
        <v>28</v>
      </c>
      <c r="D705" s="148" t="s">
        <v>158</v>
      </c>
      <c r="E705" s="148" t="s">
        <v>30</v>
      </c>
      <c r="F705" s="148" t="s">
        <v>3183</v>
      </c>
      <c r="G705" s="148" t="s">
        <v>242</v>
      </c>
      <c r="H705" s="148">
        <v>2006</v>
      </c>
      <c r="I705" s="148">
        <v>10</v>
      </c>
      <c r="J705" s="148" t="s">
        <v>150</v>
      </c>
      <c r="K705" s="148" t="s">
        <v>327</v>
      </c>
      <c r="M705" s="148" t="s">
        <v>132</v>
      </c>
      <c r="N705" s="148">
        <v>8</v>
      </c>
      <c r="O705" s="148" t="s">
        <v>83</v>
      </c>
      <c r="Y705" s="150" t="s">
        <v>366</v>
      </c>
    </row>
    <row r="706" spans="1:25" ht="15.75" hidden="1" customHeight="1" x14ac:dyDescent="0.25">
      <c r="A706" s="148" t="s">
        <v>76</v>
      </c>
      <c r="B706" s="148" t="s">
        <v>36</v>
      </c>
      <c r="C706" s="148" t="s">
        <v>28</v>
      </c>
      <c r="D706" s="148" t="s">
        <v>29</v>
      </c>
      <c r="E706" s="148" t="s">
        <v>30</v>
      </c>
      <c r="F706" s="148" t="s">
        <v>3183</v>
      </c>
      <c r="G706" s="148" t="s">
        <v>37</v>
      </c>
      <c r="H706" s="148">
        <v>2006</v>
      </c>
      <c r="I706" s="148">
        <v>10</v>
      </c>
      <c r="J706" s="148" t="s">
        <v>150</v>
      </c>
      <c r="K706" s="148" t="s">
        <v>327</v>
      </c>
      <c r="M706" s="148" t="s">
        <v>132</v>
      </c>
      <c r="N706" s="148">
        <v>8</v>
      </c>
      <c r="O706" s="148" t="s">
        <v>83</v>
      </c>
      <c r="Y706" s="150" t="s">
        <v>366</v>
      </c>
    </row>
    <row r="707" spans="1:25" ht="15.75" hidden="1" customHeight="1" x14ac:dyDescent="0.25">
      <c r="A707" s="148" t="s">
        <v>76</v>
      </c>
      <c r="B707" s="148" t="s">
        <v>89</v>
      </c>
      <c r="C707" s="148" t="s">
        <v>90</v>
      </c>
      <c r="D707" s="148" t="s">
        <v>29</v>
      </c>
      <c r="E707" s="148" t="s">
        <v>30</v>
      </c>
      <c r="F707" s="148" t="s">
        <v>91</v>
      </c>
      <c r="G707" s="148" t="s">
        <v>329</v>
      </c>
      <c r="H707" s="148">
        <v>2006</v>
      </c>
      <c r="I707" s="148">
        <v>10</v>
      </c>
      <c r="J707" s="148" t="s">
        <v>150</v>
      </c>
      <c r="K707" s="148" t="s">
        <v>393</v>
      </c>
      <c r="M707" s="148" t="s">
        <v>394</v>
      </c>
      <c r="N707" s="148">
        <v>6</v>
      </c>
      <c r="O707" s="148" t="s">
        <v>83</v>
      </c>
      <c r="Y707" s="150" t="s">
        <v>366</v>
      </c>
    </row>
    <row r="708" spans="1:25" ht="15.75" hidden="1" customHeight="1" x14ac:dyDescent="0.25">
      <c r="A708" s="148" t="s">
        <v>76</v>
      </c>
      <c r="B708" s="148" t="s">
        <v>71</v>
      </c>
      <c r="C708" s="148" t="s">
        <v>45</v>
      </c>
      <c r="D708" s="148" t="s">
        <v>29</v>
      </c>
      <c r="E708" s="148" t="s">
        <v>72</v>
      </c>
      <c r="F708" s="148" t="s">
        <v>3183</v>
      </c>
      <c r="G708" s="148" t="s">
        <v>75</v>
      </c>
      <c r="H708" s="148">
        <v>2006</v>
      </c>
      <c r="I708" s="148">
        <v>10</v>
      </c>
      <c r="J708" s="148" t="s">
        <v>118</v>
      </c>
      <c r="K708" s="148" t="s">
        <v>172</v>
      </c>
      <c r="M708" s="148" t="s">
        <v>346</v>
      </c>
      <c r="N708" s="148">
        <v>6</v>
      </c>
      <c r="O708" s="148" t="s">
        <v>101</v>
      </c>
      <c r="P708" s="148" t="s">
        <v>551</v>
      </c>
      <c r="Y708" s="150" t="s">
        <v>681</v>
      </c>
    </row>
    <row r="709" spans="1:25" ht="15.75" hidden="1" customHeight="1" x14ac:dyDescent="0.25">
      <c r="A709" s="148" t="s">
        <v>76</v>
      </c>
      <c r="B709" s="148" t="s">
        <v>27</v>
      </c>
      <c r="C709" s="148" t="s">
        <v>28</v>
      </c>
      <c r="D709" s="148" t="s">
        <v>99</v>
      </c>
      <c r="E709" s="148" t="s">
        <v>40</v>
      </c>
      <c r="F709" s="148" t="s">
        <v>41</v>
      </c>
      <c r="G709" s="148" t="s">
        <v>42</v>
      </c>
      <c r="H709" s="148">
        <v>2006</v>
      </c>
      <c r="I709" s="148">
        <v>10</v>
      </c>
      <c r="J709" s="148" t="s">
        <v>150</v>
      </c>
      <c r="K709" s="148" t="s">
        <v>525</v>
      </c>
      <c r="M709" s="148" t="s">
        <v>554</v>
      </c>
      <c r="N709" s="148">
        <v>8</v>
      </c>
      <c r="O709" s="148" t="s">
        <v>83</v>
      </c>
      <c r="Y709" s="150" t="s">
        <v>366</v>
      </c>
    </row>
    <row r="710" spans="1:25" ht="13.5" hidden="1" customHeight="1" x14ac:dyDescent="0.25">
      <c r="A710" s="148" t="s">
        <v>76</v>
      </c>
      <c r="B710" s="148" t="s">
        <v>54</v>
      </c>
      <c r="C710" s="148" t="s">
        <v>55</v>
      </c>
      <c r="D710" s="148" t="s">
        <v>65</v>
      </c>
      <c r="E710" s="148" t="s">
        <v>30</v>
      </c>
      <c r="F710" s="148" t="s">
        <v>56</v>
      </c>
      <c r="G710" s="148" t="s">
        <v>54</v>
      </c>
      <c r="H710" s="148">
        <v>2006</v>
      </c>
      <c r="I710" s="148">
        <v>10</v>
      </c>
      <c r="J710" s="148" t="s">
        <v>150</v>
      </c>
      <c r="K710" s="148" t="s">
        <v>491</v>
      </c>
      <c r="M710" s="148" t="s">
        <v>492</v>
      </c>
      <c r="N710" s="148">
        <v>5</v>
      </c>
      <c r="O710" s="148" t="s">
        <v>83</v>
      </c>
      <c r="Y710" s="150" t="s">
        <v>366</v>
      </c>
    </row>
    <row r="711" spans="1:25" ht="15.75" hidden="1" customHeight="1" x14ac:dyDescent="0.25">
      <c r="A711" s="148" t="s">
        <v>76</v>
      </c>
      <c r="B711" s="148" t="s">
        <v>36</v>
      </c>
      <c r="C711" s="148" t="s">
        <v>28</v>
      </c>
      <c r="D711" s="148" t="s">
        <v>29</v>
      </c>
      <c r="E711" s="148" t="s">
        <v>51</v>
      </c>
      <c r="F711" s="148" t="s">
        <v>3183</v>
      </c>
      <c r="G711" s="148" t="s">
        <v>52</v>
      </c>
      <c r="H711" s="148">
        <v>2006</v>
      </c>
      <c r="I711" s="148">
        <v>10</v>
      </c>
      <c r="J711" s="148" t="s">
        <v>150</v>
      </c>
      <c r="K711" s="148" t="s">
        <v>327</v>
      </c>
      <c r="M711" s="148" t="s">
        <v>132</v>
      </c>
      <c r="N711" s="148">
        <v>8</v>
      </c>
      <c r="O711" s="148" t="s">
        <v>83</v>
      </c>
      <c r="Y711" s="150" t="s">
        <v>366</v>
      </c>
    </row>
    <row r="712" spans="1:25" ht="15.75" hidden="1" customHeight="1" x14ac:dyDescent="0.25">
      <c r="A712" s="148" t="s">
        <v>76</v>
      </c>
      <c r="B712" s="148" t="s">
        <v>103</v>
      </c>
      <c r="C712" s="148" t="s">
        <v>55</v>
      </c>
      <c r="D712" s="148" t="s">
        <v>29</v>
      </c>
      <c r="E712" s="148" t="s">
        <v>95</v>
      </c>
      <c r="F712" s="148" t="s">
        <v>56</v>
      </c>
      <c r="G712" s="148" t="s">
        <v>186</v>
      </c>
      <c r="H712" s="148">
        <v>2006</v>
      </c>
      <c r="I712" s="148">
        <v>10</v>
      </c>
      <c r="J712" s="148" t="s">
        <v>150</v>
      </c>
      <c r="K712" s="148" t="s">
        <v>525</v>
      </c>
      <c r="M712" s="148" t="s">
        <v>554</v>
      </c>
      <c r="N712" s="148">
        <v>8</v>
      </c>
      <c r="O712" s="148" t="s">
        <v>83</v>
      </c>
      <c r="Y712" s="150" t="s">
        <v>366</v>
      </c>
    </row>
    <row r="713" spans="1:25" ht="15.75" hidden="1" customHeight="1" x14ac:dyDescent="0.25">
      <c r="A713" s="148" t="s">
        <v>76</v>
      </c>
      <c r="B713" s="148" t="s">
        <v>36</v>
      </c>
      <c r="C713" s="148" t="s">
        <v>28</v>
      </c>
      <c r="D713" s="148" t="s">
        <v>29</v>
      </c>
      <c r="E713" s="148" t="s">
        <v>30</v>
      </c>
      <c r="F713" s="148" t="s">
        <v>3183</v>
      </c>
      <c r="G713" s="148" t="s">
        <v>114</v>
      </c>
      <c r="H713" s="148">
        <v>2006</v>
      </c>
      <c r="I713" s="148">
        <v>10</v>
      </c>
      <c r="J713" s="148" t="s">
        <v>118</v>
      </c>
      <c r="K713" s="148" t="s">
        <v>172</v>
      </c>
      <c r="M713" s="148" t="s">
        <v>346</v>
      </c>
      <c r="N713" s="148">
        <v>10</v>
      </c>
      <c r="O713" s="148" t="s">
        <v>101</v>
      </c>
      <c r="P713" s="148" t="s">
        <v>682</v>
      </c>
      <c r="Y713" s="150" t="s">
        <v>366</v>
      </c>
    </row>
    <row r="714" spans="1:25" ht="15.75" hidden="1" customHeight="1" x14ac:dyDescent="0.25">
      <c r="A714" s="148" t="s">
        <v>76</v>
      </c>
      <c r="B714" s="148" t="s">
        <v>116</v>
      </c>
      <c r="C714" s="148" t="s">
        <v>90</v>
      </c>
      <c r="D714" s="148" t="s">
        <v>86</v>
      </c>
      <c r="E714" s="148" t="s">
        <v>40</v>
      </c>
      <c r="F714" s="148" t="s">
        <v>41</v>
      </c>
      <c r="G714" s="148" t="s">
        <v>117</v>
      </c>
      <c r="H714" s="148">
        <v>2006</v>
      </c>
      <c r="I714" s="148">
        <v>11</v>
      </c>
      <c r="J714" s="148" t="s">
        <v>150</v>
      </c>
      <c r="K714" s="148" t="s">
        <v>374</v>
      </c>
      <c r="M714" s="148" t="s">
        <v>464</v>
      </c>
      <c r="N714" s="148">
        <v>8</v>
      </c>
      <c r="O714" s="148" t="s">
        <v>83</v>
      </c>
      <c r="Y714" s="150" t="s">
        <v>366</v>
      </c>
    </row>
    <row r="715" spans="1:25" ht="15.75" hidden="1" customHeight="1" x14ac:dyDescent="0.25">
      <c r="A715" s="148" t="s">
        <v>76</v>
      </c>
      <c r="B715" s="148" t="s">
        <v>71</v>
      </c>
      <c r="C715" s="148" t="s">
        <v>45</v>
      </c>
      <c r="D715" s="148" t="s">
        <v>29</v>
      </c>
      <c r="E715" s="148" t="s">
        <v>72</v>
      </c>
      <c r="F715" s="148" t="s">
        <v>3183</v>
      </c>
      <c r="G715" s="148" t="s">
        <v>75</v>
      </c>
      <c r="H715" s="148">
        <v>2006</v>
      </c>
      <c r="I715" s="148">
        <v>11</v>
      </c>
      <c r="J715" s="148" t="s">
        <v>118</v>
      </c>
      <c r="K715" s="148" t="s">
        <v>172</v>
      </c>
      <c r="M715" s="148" t="s">
        <v>346</v>
      </c>
      <c r="N715" s="148">
        <v>10</v>
      </c>
      <c r="O715" s="148" t="s">
        <v>101</v>
      </c>
      <c r="P715" s="148" t="s">
        <v>146</v>
      </c>
      <c r="Y715" s="150" t="s">
        <v>366</v>
      </c>
    </row>
    <row r="716" spans="1:25" ht="15.75" hidden="1" customHeight="1" x14ac:dyDescent="0.25">
      <c r="A716" s="148" t="s">
        <v>76</v>
      </c>
      <c r="B716" s="148" t="s">
        <v>103</v>
      </c>
      <c r="C716" s="148" t="s">
        <v>55</v>
      </c>
      <c r="D716" s="148" t="s">
        <v>490</v>
      </c>
      <c r="E716" s="148" t="s">
        <v>95</v>
      </c>
      <c r="F716" s="148" t="s">
        <v>56</v>
      </c>
      <c r="G716" s="148" t="s">
        <v>168</v>
      </c>
      <c r="H716" s="148">
        <v>2006</v>
      </c>
      <c r="I716" s="148">
        <v>11</v>
      </c>
      <c r="J716" s="148" t="s">
        <v>118</v>
      </c>
      <c r="K716" s="148" t="s">
        <v>388</v>
      </c>
      <c r="M716" s="148" t="s">
        <v>126</v>
      </c>
      <c r="N716" s="148">
        <v>10</v>
      </c>
      <c r="O716" s="148" t="s">
        <v>101</v>
      </c>
      <c r="P716" s="148" t="s">
        <v>556</v>
      </c>
      <c r="Y716" s="150" t="s">
        <v>366</v>
      </c>
    </row>
    <row r="717" spans="1:25" ht="15.75" hidden="1" customHeight="1" x14ac:dyDescent="0.25">
      <c r="A717" s="148" t="s">
        <v>76</v>
      </c>
      <c r="B717" s="148" t="s">
        <v>103</v>
      </c>
      <c r="C717" s="148" t="s">
        <v>55</v>
      </c>
      <c r="D717" s="148" t="s">
        <v>29</v>
      </c>
      <c r="E717" s="148" t="s">
        <v>95</v>
      </c>
      <c r="F717" s="148" t="s">
        <v>56</v>
      </c>
      <c r="G717" s="148" t="s">
        <v>195</v>
      </c>
      <c r="H717" s="148">
        <v>2006</v>
      </c>
      <c r="I717" s="148">
        <v>11</v>
      </c>
      <c r="J717" s="148" t="s">
        <v>118</v>
      </c>
      <c r="K717" s="148" t="s">
        <v>172</v>
      </c>
      <c r="M717" s="148" t="s">
        <v>346</v>
      </c>
      <c r="N717" s="148">
        <v>10</v>
      </c>
      <c r="O717" s="148" t="s">
        <v>101</v>
      </c>
      <c r="P717" s="148" t="s">
        <v>435</v>
      </c>
      <c r="Y717" s="150" t="s">
        <v>366</v>
      </c>
    </row>
    <row r="718" spans="1:25" ht="15.75" hidden="1" customHeight="1" x14ac:dyDescent="0.25">
      <c r="A718" s="148" t="s">
        <v>76</v>
      </c>
      <c r="B718" s="148" t="s">
        <v>89</v>
      </c>
      <c r="C718" s="148" t="s">
        <v>90</v>
      </c>
      <c r="D718" s="148" t="s">
        <v>29</v>
      </c>
      <c r="E718" s="148" t="s">
        <v>40</v>
      </c>
      <c r="F718" s="148" t="s">
        <v>91</v>
      </c>
      <c r="G718" s="148" t="s">
        <v>413</v>
      </c>
      <c r="H718" s="148">
        <v>2006</v>
      </c>
      <c r="I718" s="148">
        <v>11</v>
      </c>
      <c r="J718" s="148" t="s">
        <v>150</v>
      </c>
      <c r="K718" s="148" t="s">
        <v>629</v>
      </c>
      <c r="M718" s="148" t="s">
        <v>120</v>
      </c>
      <c r="N718" s="148">
        <v>6</v>
      </c>
      <c r="O718" s="148" t="s">
        <v>83</v>
      </c>
      <c r="Y718" s="150" t="s">
        <v>366</v>
      </c>
    </row>
    <row r="719" spans="1:25" ht="15.75" hidden="1" customHeight="1" x14ac:dyDescent="0.25">
      <c r="A719" s="148" t="s">
        <v>76</v>
      </c>
      <c r="B719" s="148" t="s">
        <v>89</v>
      </c>
      <c r="C719" s="148" t="s">
        <v>90</v>
      </c>
      <c r="D719" s="148" t="s">
        <v>29</v>
      </c>
      <c r="E719" s="148" t="s">
        <v>30</v>
      </c>
      <c r="F719" s="148" t="s">
        <v>91</v>
      </c>
      <c r="G719" s="148" t="s">
        <v>451</v>
      </c>
      <c r="H719" s="148">
        <v>2006</v>
      </c>
      <c r="I719" s="148">
        <v>11</v>
      </c>
      <c r="J719" s="148" t="s">
        <v>150</v>
      </c>
      <c r="K719" s="148" t="s">
        <v>374</v>
      </c>
      <c r="M719" s="148" t="s">
        <v>464</v>
      </c>
      <c r="N719" s="148">
        <v>8</v>
      </c>
      <c r="O719" s="148" t="s">
        <v>83</v>
      </c>
      <c r="Y719" s="150" t="s">
        <v>366</v>
      </c>
    </row>
    <row r="720" spans="1:25" ht="15.75" hidden="1" customHeight="1" x14ac:dyDescent="0.25">
      <c r="A720" s="148" t="s">
        <v>307</v>
      </c>
      <c r="B720" s="148" t="s">
        <v>44</v>
      </c>
      <c r="C720" s="148" t="s">
        <v>45</v>
      </c>
      <c r="D720" s="148" t="s">
        <v>29</v>
      </c>
      <c r="E720" s="148" t="s">
        <v>46</v>
      </c>
      <c r="F720" s="148" t="s">
        <v>47</v>
      </c>
      <c r="G720" s="148" t="s">
        <v>48</v>
      </c>
      <c r="H720" s="148">
        <v>2006</v>
      </c>
      <c r="I720" s="148">
        <v>11</v>
      </c>
      <c r="J720" s="148" t="s">
        <v>308</v>
      </c>
      <c r="Q720" s="148" t="s">
        <v>426</v>
      </c>
      <c r="R720" s="148" t="s">
        <v>38</v>
      </c>
      <c r="S720" s="148" t="s">
        <v>427</v>
      </c>
      <c r="T720" s="148" t="s">
        <v>428</v>
      </c>
      <c r="Y720" s="150" t="s">
        <v>366</v>
      </c>
    </row>
    <row r="721" spans="1:25" ht="13.5" hidden="1" customHeight="1" x14ac:dyDescent="0.25">
      <c r="A721" s="148" t="s">
        <v>76</v>
      </c>
      <c r="B721" s="148" t="s">
        <v>116</v>
      </c>
      <c r="C721" s="148" t="s">
        <v>90</v>
      </c>
      <c r="D721" s="148" t="s">
        <v>29</v>
      </c>
      <c r="E721" s="148" t="s">
        <v>30</v>
      </c>
      <c r="F721" s="148" t="s">
        <v>41</v>
      </c>
      <c r="G721" s="148" t="s">
        <v>683</v>
      </c>
      <c r="H721" s="148">
        <v>2006</v>
      </c>
      <c r="I721" s="148">
        <v>11</v>
      </c>
      <c r="J721" s="148" t="s">
        <v>150</v>
      </c>
      <c r="K721" s="148" t="s">
        <v>629</v>
      </c>
      <c r="M721" s="148" t="s">
        <v>120</v>
      </c>
      <c r="N721" s="148">
        <v>6</v>
      </c>
      <c r="O721" s="148" t="s">
        <v>83</v>
      </c>
      <c r="Y721" s="150" t="s">
        <v>366</v>
      </c>
    </row>
    <row r="722" spans="1:25" ht="15.75" hidden="1" customHeight="1" x14ac:dyDescent="0.25">
      <c r="A722" s="148" t="s">
        <v>76</v>
      </c>
      <c r="B722" s="148" t="s">
        <v>198</v>
      </c>
      <c r="C722" s="148" t="s">
        <v>45</v>
      </c>
      <c r="D722" s="148" t="s">
        <v>99</v>
      </c>
      <c r="E722" s="148" t="s">
        <v>40</v>
      </c>
      <c r="F722" s="148" t="s">
        <v>199</v>
      </c>
      <c r="G722" s="148" t="s">
        <v>282</v>
      </c>
      <c r="H722" s="148">
        <v>2006</v>
      </c>
      <c r="I722" s="148">
        <v>12</v>
      </c>
      <c r="J722" s="148" t="s">
        <v>150</v>
      </c>
      <c r="K722" s="148" t="s">
        <v>610</v>
      </c>
      <c r="M722" s="148" t="s">
        <v>611</v>
      </c>
      <c r="N722" s="148">
        <v>8</v>
      </c>
      <c r="O722" s="148" t="s">
        <v>83</v>
      </c>
      <c r="Y722" s="150" t="s">
        <v>366</v>
      </c>
    </row>
    <row r="723" spans="1:25" ht="15.75" hidden="1" customHeight="1" x14ac:dyDescent="0.25">
      <c r="A723" s="148" t="s">
        <v>76</v>
      </c>
      <c r="B723" s="148" t="s">
        <v>103</v>
      </c>
      <c r="C723" s="148" t="s">
        <v>55</v>
      </c>
      <c r="D723" s="148" t="s">
        <v>99</v>
      </c>
      <c r="E723" s="148" t="s">
        <v>30</v>
      </c>
      <c r="F723" s="148" t="s">
        <v>56</v>
      </c>
      <c r="G723" s="148" t="s">
        <v>171</v>
      </c>
      <c r="H723" s="148">
        <v>2006</v>
      </c>
      <c r="I723" s="148">
        <v>12</v>
      </c>
      <c r="J723" s="148" t="s">
        <v>150</v>
      </c>
      <c r="K723" s="148" t="s">
        <v>571</v>
      </c>
      <c r="M723" s="148" t="s">
        <v>572</v>
      </c>
      <c r="N723" s="148">
        <v>6</v>
      </c>
      <c r="O723" s="148" t="s">
        <v>83</v>
      </c>
      <c r="Y723" s="150" t="s">
        <v>366</v>
      </c>
    </row>
    <row r="724" spans="1:25" ht="13.5" hidden="1" customHeight="1" x14ac:dyDescent="0.25">
      <c r="A724" s="148" t="s">
        <v>76</v>
      </c>
      <c r="B724" s="148" t="s">
        <v>89</v>
      </c>
      <c r="C724" s="148" t="s">
        <v>90</v>
      </c>
      <c r="D724" s="148" t="s">
        <v>292</v>
      </c>
      <c r="E724" s="148" t="s">
        <v>30</v>
      </c>
      <c r="F724" s="148" t="s">
        <v>91</v>
      </c>
      <c r="G724" s="148" t="s">
        <v>288</v>
      </c>
      <c r="H724" s="148">
        <v>2006</v>
      </c>
      <c r="I724" s="148">
        <v>12</v>
      </c>
      <c r="J724" s="148" t="s">
        <v>118</v>
      </c>
      <c r="K724" s="148" t="s">
        <v>172</v>
      </c>
      <c r="M724" s="148" t="s">
        <v>346</v>
      </c>
      <c r="N724" s="148">
        <v>8</v>
      </c>
      <c r="O724" s="148" t="s">
        <v>101</v>
      </c>
      <c r="P724" s="148" t="s">
        <v>435</v>
      </c>
      <c r="Y724" s="150" t="s">
        <v>684</v>
      </c>
    </row>
    <row r="725" spans="1:25" ht="15.75" hidden="1" customHeight="1" x14ac:dyDescent="0.25">
      <c r="A725" s="148" t="s">
        <v>76</v>
      </c>
      <c r="B725" s="148" t="s">
        <v>198</v>
      </c>
      <c r="C725" s="148" t="s">
        <v>45</v>
      </c>
      <c r="D725" s="148" t="s">
        <v>94</v>
      </c>
      <c r="E725" s="148" t="s">
        <v>30</v>
      </c>
      <c r="F725" s="148" t="s">
        <v>199</v>
      </c>
      <c r="G725" s="148" t="s">
        <v>296</v>
      </c>
      <c r="H725" s="148">
        <v>2006</v>
      </c>
      <c r="I725" s="148">
        <v>12</v>
      </c>
      <c r="J725" s="148" t="s">
        <v>150</v>
      </c>
      <c r="K725" s="148" t="s">
        <v>610</v>
      </c>
      <c r="M725" s="148" t="s">
        <v>611</v>
      </c>
      <c r="N725" s="148">
        <v>8</v>
      </c>
      <c r="O725" s="148" t="s">
        <v>83</v>
      </c>
      <c r="Y725" s="150" t="s">
        <v>366</v>
      </c>
    </row>
    <row r="726" spans="1:25" ht="15.75" hidden="1" customHeight="1" x14ac:dyDescent="0.25">
      <c r="A726" s="148" t="s">
        <v>76</v>
      </c>
      <c r="B726" s="148" t="s">
        <v>198</v>
      </c>
      <c r="C726" s="148" t="s">
        <v>45</v>
      </c>
      <c r="D726" s="148" t="s">
        <v>29</v>
      </c>
      <c r="E726" s="148" t="s">
        <v>30</v>
      </c>
      <c r="F726" s="148" t="s">
        <v>199</v>
      </c>
      <c r="G726" s="148" t="s">
        <v>232</v>
      </c>
      <c r="H726" s="148">
        <v>2006</v>
      </c>
      <c r="I726" s="148">
        <v>12</v>
      </c>
      <c r="J726" s="148" t="s">
        <v>150</v>
      </c>
      <c r="K726" s="148" t="s">
        <v>495</v>
      </c>
      <c r="M726" s="148" t="s">
        <v>454</v>
      </c>
      <c r="N726" s="148">
        <v>6</v>
      </c>
      <c r="O726" s="148" t="s">
        <v>83</v>
      </c>
      <c r="Y726" s="150" t="s">
        <v>366</v>
      </c>
    </row>
    <row r="727" spans="1:25" ht="15.75" hidden="1" customHeight="1" x14ac:dyDescent="0.25">
      <c r="A727" s="148" t="s">
        <v>76</v>
      </c>
      <c r="B727" s="148" t="s">
        <v>27</v>
      </c>
      <c r="C727" s="148" t="s">
        <v>28</v>
      </c>
      <c r="D727" s="148" t="s">
        <v>566</v>
      </c>
      <c r="E727" s="148" t="s">
        <v>30</v>
      </c>
      <c r="F727" s="148" t="s">
        <v>3183</v>
      </c>
      <c r="G727" s="148" t="s">
        <v>53</v>
      </c>
      <c r="H727" s="148">
        <v>2006</v>
      </c>
      <c r="I727" s="148">
        <v>12</v>
      </c>
      <c r="J727" s="148" t="s">
        <v>150</v>
      </c>
      <c r="K727" s="148" t="s">
        <v>685</v>
      </c>
      <c r="M727" s="148" t="s">
        <v>686</v>
      </c>
      <c r="N727" s="148">
        <v>6</v>
      </c>
      <c r="O727" s="148" t="s">
        <v>83</v>
      </c>
      <c r="Y727" s="150" t="s">
        <v>366</v>
      </c>
    </row>
    <row r="728" spans="1:25" ht="15.75" hidden="1" customHeight="1" x14ac:dyDescent="0.25">
      <c r="A728" s="148" t="s">
        <v>76</v>
      </c>
      <c r="B728" s="148" t="s">
        <v>62</v>
      </c>
      <c r="C728" s="148" t="s">
        <v>28</v>
      </c>
      <c r="D728" s="148" t="s">
        <v>408</v>
      </c>
      <c r="E728" s="148" t="s">
        <v>51</v>
      </c>
      <c r="F728" s="148" t="s">
        <v>3183</v>
      </c>
      <c r="G728" s="148" t="s">
        <v>409</v>
      </c>
      <c r="H728" s="148">
        <v>2006</v>
      </c>
      <c r="I728" s="148">
        <v>12</v>
      </c>
      <c r="J728" s="148" t="s">
        <v>150</v>
      </c>
      <c r="K728" s="148" t="s">
        <v>491</v>
      </c>
      <c r="M728" s="148" t="s">
        <v>492</v>
      </c>
      <c r="N728" s="148">
        <v>5</v>
      </c>
      <c r="O728" s="148" t="s">
        <v>83</v>
      </c>
      <c r="Y728" s="150" t="s">
        <v>687</v>
      </c>
    </row>
    <row r="729" spans="1:25" ht="15.75" hidden="1" customHeight="1" x14ac:dyDescent="0.25">
      <c r="A729" s="148" t="s">
        <v>307</v>
      </c>
      <c r="B729" s="148" t="s">
        <v>27</v>
      </c>
      <c r="C729" s="148" t="s">
        <v>28</v>
      </c>
      <c r="D729" s="148" t="s">
        <v>99</v>
      </c>
      <c r="E729" s="148" t="s">
        <v>40</v>
      </c>
      <c r="F729" s="148" t="s">
        <v>41</v>
      </c>
      <c r="G729" s="148" t="s">
        <v>42</v>
      </c>
      <c r="H729" s="148">
        <v>2006</v>
      </c>
      <c r="I729" s="148">
        <v>12</v>
      </c>
      <c r="J729" s="148" t="s">
        <v>308</v>
      </c>
      <c r="Q729" s="148" t="s">
        <v>309</v>
      </c>
      <c r="R729" s="148" t="s">
        <v>38</v>
      </c>
      <c r="S729" s="148" t="s">
        <v>311</v>
      </c>
      <c r="T729" s="148" t="s">
        <v>309</v>
      </c>
      <c r="Y729" s="150" t="s">
        <v>366</v>
      </c>
    </row>
    <row r="730" spans="1:25" ht="15.75" hidden="1" customHeight="1" x14ac:dyDescent="0.25">
      <c r="A730" s="148" t="s">
        <v>76</v>
      </c>
      <c r="B730" s="148" t="s">
        <v>103</v>
      </c>
      <c r="C730" s="148" t="s">
        <v>55</v>
      </c>
      <c r="D730" s="148" t="s">
        <v>29</v>
      </c>
      <c r="E730" s="148" t="s">
        <v>95</v>
      </c>
      <c r="F730" s="148" t="s">
        <v>56</v>
      </c>
      <c r="G730" s="148" t="s">
        <v>270</v>
      </c>
      <c r="H730" s="148">
        <v>2006</v>
      </c>
      <c r="I730" s="148">
        <v>12</v>
      </c>
      <c r="J730" s="148" t="s">
        <v>150</v>
      </c>
      <c r="K730" s="148" t="s">
        <v>571</v>
      </c>
      <c r="M730" s="148" t="s">
        <v>572</v>
      </c>
      <c r="N730" s="148">
        <v>6</v>
      </c>
      <c r="O730" s="148" t="s">
        <v>83</v>
      </c>
      <c r="Y730" s="150" t="s">
        <v>366</v>
      </c>
    </row>
    <row r="731" spans="1:25" ht="15.75" hidden="1" customHeight="1" x14ac:dyDescent="0.25">
      <c r="A731" s="148" t="s">
        <v>76</v>
      </c>
      <c r="B731" s="148" t="s">
        <v>89</v>
      </c>
      <c r="C731" s="148" t="s">
        <v>90</v>
      </c>
      <c r="D731" s="148" t="s">
        <v>99</v>
      </c>
      <c r="E731" s="148" t="s">
        <v>30</v>
      </c>
      <c r="F731" s="148" t="s">
        <v>91</v>
      </c>
      <c r="G731" s="148" t="s">
        <v>92</v>
      </c>
      <c r="H731" s="148">
        <v>2006</v>
      </c>
      <c r="I731" s="148">
        <v>12</v>
      </c>
      <c r="J731" s="148" t="s">
        <v>150</v>
      </c>
      <c r="K731" s="148" t="s">
        <v>491</v>
      </c>
      <c r="M731" s="148" t="s">
        <v>492</v>
      </c>
      <c r="N731" s="148">
        <v>5</v>
      </c>
      <c r="O731" s="148" t="s">
        <v>83</v>
      </c>
      <c r="Y731" s="150" t="s">
        <v>366</v>
      </c>
    </row>
    <row r="732" spans="1:25" ht="15.75" hidden="1" customHeight="1" x14ac:dyDescent="0.25">
      <c r="A732" s="148" t="s">
        <v>76</v>
      </c>
      <c r="B732" s="148" t="s">
        <v>103</v>
      </c>
      <c r="C732" s="148" t="s">
        <v>55</v>
      </c>
      <c r="D732" s="148" t="s">
        <v>29</v>
      </c>
      <c r="E732" s="148" t="s">
        <v>30</v>
      </c>
      <c r="F732" s="148" t="s">
        <v>56</v>
      </c>
      <c r="G732" s="148" t="s">
        <v>432</v>
      </c>
      <c r="H732" s="148">
        <v>2006</v>
      </c>
      <c r="I732" s="148">
        <v>12</v>
      </c>
      <c r="J732" s="148" t="s">
        <v>118</v>
      </c>
      <c r="K732" s="148" t="s">
        <v>172</v>
      </c>
      <c r="M732" s="148" t="s">
        <v>346</v>
      </c>
      <c r="N732" s="148">
        <v>8</v>
      </c>
      <c r="O732" s="148" t="s">
        <v>101</v>
      </c>
      <c r="P732" s="148" t="s">
        <v>263</v>
      </c>
      <c r="Y732" s="150" t="s">
        <v>688</v>
      </c>
    </row>
    <row r="733" spans="1:25" ht="15.75" hidden="1" customHeight="1" x14ac:dyDescent="0.25">
      <c r="A733" s="148" t="s">
        <v>76</v>
      </c>
      <c r="B733" s="148" t="s">
        <v>36</v>
      </c>
      <c r="C733" s="148" t="s">
        <v>28</v>
      </c>
      <c r="D733" s="148" t="s">
        <v>29</v>
      </c>
      <c r="E733" s="148" t="s">
        <v>51</v>
      </c>
      <c r="F733" s="148" t="s">
        <v>3183</v>
      </c>
      <c r="G733" s="148" t="s">
        <v>52</v>
      </c>
      <c r="H733" s="148">
        <v>2006</v>
      </c>
      <c r="I733" s="148">
        <v>12</v>
      </c>
      <c r="J733" s="148" t="s">
        <v>150</v>
      </c>
      <c r="K733" s="148" t="s">
        <v>491</v>
      </c>
      <c r="M733" s="148" t="s">
        <v>492</v>
      </c>
      <c r="N733" s="148">
        <v>5</v>
      </c>
      <c r="O733" s="148" t="s">
        <v>83</v>
      </c>
      <c r="Y733" s="150" t="s">
        <v>366</v>
      </c>
    </row>
    <row r="734" spans="1:25" ht="15.75" hidden="1" customHeight="1" x14ac:dyDescent="0.25">
      <c r="A734" s="148" t="s">
        <v>76</v>
      </c>
      <c r="B734" s="148" t="s">
        <v>36</v>
      </c>
      <c r="C734" s="148" t="s">
        <v>28</v>
      </c>
      <c r="D734" s="148" t="s">
        <v>29</v>
      </c>
      <c r="E734" s="148" t="s">
        <v>30</v>
      </c>
      <c r="F734" s="148" t="s">
        <v>3183</v>
      </c>
      <c r="G734" s="148" t="s">
        <v>114</v>
      </c>
      <c r="H734" s="148">
        <v>2006</v>
      </c>
      <c r="I734" s="148">
        <v>12</v>
      </c>
      <c r="J734" s="148" t="s">
        <v>150</v>
      </c>
      <c r="K734" s="148" t="s">
        <v>685</v>
      </c>
      <c r="M734" s="148" t="s">
        <v>686</v>
      </c>
      <c r="N734" s="148">
        <v>6</v>
      </c>
      <c r="O734" s="148" t="s">
        <v>83</v>
      </c>
      <c r="Y734" s="150" t="s">
        <v>366</v>
      </c>
    </row>
    <row r="735" spans="1:25" ht="15.75" hidden="1" customHeight="1" x14ac:dyDescent="0.25">
      <c r="A735" s="148" t="s">
        <v>76</v>
      </c>
      <c r="B735" s="148" t="s">
        <v>103</v>
      </c>
      <c r="C735" s="148" t="s">
        <v>55</v>
      </c>
      <c r="D735" s="148" t="s">
        <v>29</v>
      </c>
      <c r="E735" s="148" t="s">
        <v>95</v>
      </c>
      <c r="F735" s="148" t="s">
        <v>56</v>
      </c>
      <c r="G735" s="148" t="s">
        <v>265</v>
      </c>
      <c r="H735" s="148">
        <v>2007</v>
      </c>
      <c r="I735" s="148">
        <v>1</v>
      </c>
      <c r="J735" s="148" t="s">
        <v>118</v>
      </c>
      <c r="K735" s="148" t="s">
        <v>172</v>
      </c>
      <c r="M735" s="148" t="s">
        <v>346</v>
      </c>
      <c r="N735" s="148">
        <v>10</v>
      </c>
      <c r="O735" s="148" t="s">
        <v>101</v>
      </c>
      <c r="P735" s="148" t="s">
        <v>435</v>
      </c>
      <c r="Y735" s="150" t="s">
        <v>366</v>
      </c>
    </row>
    <row r="736" spans="1:25" ht="15.75" hidden="1" customHeight="1" x14ac:dyDescent="0.25">
      <c r="A736" s="148" t="s">
        <v>76</v>
      </c>
      <c r="B736" s="148" t="s">
        <v>62</v>
      </c>
      <c r="C736" s="148" t="s">
        <v>28</v>
      </c>
      <c r="D736" s="148" t="s">
        <v>158</v>
      </c>
      <c r="E736" s="148" t="s">
        <v>51</v>
      </c>
      <c r="F736" s="148" t="s">
        <v>3183</v>
      </c>
      <c r="G736" s="148" t="s">
        <v>130</v>
      </c>
      <c r="H736" s="148">
        <v>2007</v>
      </c>
      <c r="I736" s="148">
        <v>1</v>
      </c>
      <c r="J736" s="148" t="s">
        <v>150</v>
      </c>
      <c r="K736" s="148" t="s">
        <v>629</v>
      </c>
      <c r="M736" s="148" t="s">
        <v>120</v>
      </c>
      <c r="N736" s="148">
        <v>6</v>
      </c>
      <c r="O736" s="148" t="s">
        <v>83</v>
      </c>
      <c r="Y736" s="150" t="s">
        <v>366</v>
      </c>
    </row>
    <row r="737" spans="1:25" ht="15.75" hidden="1" customHeight="1" x14ac:dyDescent="0.25">
      <c r="A737" s="148" t="s">
        <v>76</v>
      </c>
      <c r="B737" s="148" t="s">
        <v>36</v>
      </c>
      <c r="C737" s="148" t="s">
        <v>28</v>
      </c>
      <c r="D737" s="148" t="s">
        <v>99</v>
      </c>
      <c r="E737" s="148" t="s">
        <v>51</v>
      </c>
      <c r="F737" s="148" t="s">
        <v>3183</v>
      </c>
      <c r="G737" s="148" t="s">
        <v>52</v>
      </c>
      <c r="H737" s="148">
        <v>2007</v>
      </c>
      <c r="I737" s="148">
        <v>1</v>
      </c>
      <c r="J737" s="148" t="s">
        <v>118</v>
      </c>
      <c r="K737" s="148" t="s">
        <v>172</v>
      </c>
      <c r="M737" s="148" t="s">
        <v>346</v>
      </c>
      <c r="N737" s="148">
        <v>10</v>
      </c>
      <c r="O737" s="148" t="s">
        <v>101</v>
      </c>
      <c r="P737" s="148" t="s">
        <v>146</v>
      </c>
      <c r="Y737" s="150" t="s">
        <v>366</v>
      </c>
    </row>
    <row r="738" spans="1:25" ht="13.5" hidden="1" customHeight="1" x14ac:dyDescent="0.25">
      <c r="A738" s="148" t="s">
        <v>76</v>
      </c>
      <c r="B738" s="148" t="s">
        <v>44</v>
      </c>
      <c r="C738" s="148" t="s">
        <v>45</v>
      </c>
      <c r="D738" s="148" t="s">
        <v>29</v>
      </c>
      <c r="E738" s="148" t="s">
        <v>46</v>
      </c>
      <c r="F738" s="148" t="s">
        <v>47</v>
      </c>
      <c r="G738" s="148" t="s">
        <v>48</v>
      </c>
      <c r="H738" s="148">
        <v>2007</v>
      </c>
      <c r="I738" s="148">
        <v>1</v>
      </c>
      <c r="J738" s="148" t="s">
        <v>150</v>
      </c>
      <c r="K738" s="148" t="s">
        <v>629</v>
      </c>
      <c r="M738" s="148" t="s">
        <v>120</v>
      </c>
      <c r="N738" s="148">
        <v>6</v>
      </c>
      <c r="O738" s="148" t="s">
        <v>83</v>
      </c>
      <c r="Y738" s="150" t="s">
        <v>366</v>
      </c>
    </row>
    <row r="739" spans="1:25" ht="15.75" hidden="1" customHeight="1" x14ac:dyDescent="0.25">
      <c r="A739" s="148" t="s">
        <v>76</v>
      </c>
      <c r="B739" s="148" t="s">
        <v>36</v>
      </c>
      <c r="C739" s="148" t="s">
        <v>28</v>
      </c>
      <c r="D739" s="148" t="s">
        <v>99</v>
      </c>
      <c r="E739" s="148" t="s">
        <v>30</v>
      </c>
      <c r="F739" s="148" t="s">
        <v>3183</v>
      </c>
      <c r="G739" s="148" t="s">
        <v>59</v>
      </c>
      <c r="H739" s="148">
        <v>2007</v>
      </c>
      <c r="I739" s="148">
        <v>2</v>
      </c>
      <c r="J739" s="148" t="s">
        <v>118</v>
      </c>
      <c r="K739" s="148" t="s">
        <v>541</v>
      </c>
      <c r="M739" s="148" t="s">
        <v>575</v>
      </c>
      <c r="N739" s="148">
        <v>6</v>
      </c>
      <c r="O739" s="148" t="s">
        <v>101</v>
      </c>
      <c r="P739" s="148" t="s">
        <v>689</v>
      </c>
      <c r="Y739" s="150" t="s">
        <v>366</v>
      </c>
    </row>
    <row r="740" spans="1:25" ht="15.75" hidden="1" customHeight="1" x14ac:dyDescent="0.25">
      <c r="A740" s="148" t="s">
        <v>76</v>
      </c>
      <c r="B740" s="148" t="s">
        <v>62</v>
      </c>
      <c r="C740" s="148" t="s">
        <v>28</v>
      </c>
      <c r="D740" s="148" t="s">
        <v>408</v>
      </c>
      <c r="E740" s="148" t="s">
        <v>51</v>
      </c>
      <c r="F740" s="148" t="s">
        <v>3183</v>
      </c>
      <c r="G740" s="148" t="s">
        <v>409</v>
      </c>
      <c r="H740" s="148">
        <v>2007</v>
      </c>
      <c r="I740" s="148">
        <v>2</v>
      </c>
      <c r="J740" s="148" t="s">
        <v>118</v>
      </c>
      <c r="K740" s="148" t="s">
        <v>172</v>
      </c>
      <c r="M740" s="148" t="s">
        <v>346</v>
      </c>
      <c r="N740" s="148">
        <v>10</v>
      </c>
      <c r="O740" s="148" t="s">
        <v>101</v>
      </c>
      <c r="P740" s="148" t="s">
        <v>690</v>
      </c>
      <c r="Y740" s="150" t="s">
        <v>366</v>
      </c>
    </row>
    <row r="741" spans="1:25" ht="15.75" customHeight="1" x14ac:dyDescent="0.25">
      <c r="A741" s="148" t="s">
        <v>76</v>
      </c>
      <c r="B741" s="148" t="s">
        <v>36</v>
      </c>
      <c r="C741" s="148" t="s">
        <v>28</v>
      </c>
      <c r="D741" s="148" t="s">
        <v>29</v>
      </c>
      <c r="E741" s="148" t="s">
        <v>30</v>
      </c>
      <c r="F741" s="148" t="s">
        <v>3183</v>
      </c>
      <c r="G741" s="148" t="s">
        <v>194</v>
      </c>
      <c r="H741" s="148">
        <v>2007</v>
      </c>
      <c r="I741" s="148">
        <v>2</v>
      </c>
      <c r="J741" s="148" t="s">
        <v>118</v>
      </c>
      <c r="K741" s="148" t="s">
        <v>327</v>
      </c>
      <c r="M741" s="148" t="s">
        <v>82</v>
      </c>
      <c r="N741" s="148">
        <v>8</v>
      </c>
      <c r="O741" s="148" t="s">
        <v>101</v>
      </c>
      <c r="P741" s="148" t="s">
        <v>691</v>
      </c>
      <c r="Y741" s="150" t="s">
        <v>366</v>
      </c>
    </row>
    <row r="742" spans="1:25" ht="15.75" hidden="1" customHeight="1" x14ac:dyDescent="0.25">
      <c r="A742" s="148" t="s">
        <v>76</v>
      </c>
      <c r="B742" s="148" t="s">
        <v>198</v>
      </c>
      <c r="C742" s="151" t="s">
        <v>45</v>
      </c>
      <c r="D742" s="148" t="s">
        <v>99</v>
      </c>
      <c r="E742" s="148" t="s">
        <v>40</v>
      </c>
      <c r="F742" s="148" t="s">
        <v>199</v>
      </c>
      <c r="G742" s="148" t="s">
        <v>282</v>
      </c>
      <c r="H742" s="148">
        <v>2007</v>
      </c>
      <c r="I742" s="148">
        <v>3</v>
      </c>
      <c r="J742" s="148" t="s">
        <v>150</v>
      </c>
      <c r="K742" s="148" t="s">
        <v>541</v>
      </c>
      <c r="M742" s="148" t="s">
        <v>575</v>
      </c>
      <c r="N742" s="148">
        <v>6</v>
      </c>
      <c r="O742" s="148" t="s">
        <v>83</v>
      </c>
      <c r="Y742" s="150" t="s">
        <v>366</v>
      </c>
    </row>
    <row r="743" spans="1:25" ht="15.75" hidden="1" customHeight="1" x14ac:dyDescent="0.25">
      <c r="A743" s="148" t="s">
        <v>76</v>
      </c>
      <c r="B743" s="148" t="s">
        <v>198</v>
      </c>
      <c r="C743" s="148" t="s">
        <v>45</v>
      </c>
      <c r="D743" s="148" t="s">
        <v>29</v>
      </c>
      <c r="E743" s="148" t="s">
        <v>30</v>
      </c>
      <c r="F743" s="148" t="s">
        <v>199</v>
      </c>
      <c r="G743" s="148" t="s">
        <v>232</v>
      </c>
      <c r="H743" s="148">
        <v>2007</v>
      </c>
      <c r="I743" s="148">
        <v>3</v>
      </c>
      <c r="J743" s="148" t="s">
        <v>150</v>
      </c>
      <c r="K743" s="148" t="s">
        <v>692</v>
      </c>
      <c r="M743" s="148" t="s">
        <v>441</v>
      </c>
      <c r="N743" s="148">
        <v>6</v>
      </c>
      <c r="O743" s="148" t="s">
        <v>83</v>
      </c>
      <c r="Y743" s="150" t="s">
        <v>366</v>
      </c>
    </row>
    <row r="744" spans="1:25" ht="15.75" hidden="1" customHeight="1" x14ac:dyDescent="0.25">
      <c r="A744" s="148" t="s">
        <v>76</v>
      </c>
      <c r="B744" s="148" t="s">
        <v>198</v>
      </c>
      <c r="C744" s="148" t="s">
        <v>45</v>
      </c>
      <c r="D744" s="148" t="s">
        <v>29</v>
      </c>
      <c r="E744" s="148" t="s">
        <v>30</v>
      </c>
      <c r="F744" s="148" t="s">
        <v>199</v>
      </c>
      <c r="G744" s="148" t="s">
        <v>241</v>
      </c>
      <c r="H744" s="148">
        <v>2007</v>
      </c>
      <c r="I744" s="148">
        <v>3</v>
      </c>
      <c r="J744" s="148" t="s">
        <v>150</v>
      </c>
      <c r="K744" s="148" t="s">
        <v>541</v>
      </c>
      <c r="M744" s="148" t="s">
        <v>575</v>
      </c>
      <c r="N744" s="148">
        <v>6</v>
      </c>
      <c r="O744" s="148" t="s">
        <v>83</v>
      </c>
      <c r="Y744" s="150" t="s">
        <v>366</v>
      </c>
    </row>
    <row r="745" spans="1:25" ht="15.75" hidden="1" customHeight="1" x14ac:dyDescent="0.25">
      <c r="A745" s="148" t="s">
        <v>76</v>
      </c>
      <c r="B745" s="148" t="s">
        <v>103</v>
      </c>
      <c r="C745" s="148" t="s">
        <v>55</v>
      </c>
      <c r="D745" s="148" t="s">
        <v>94</v>
      </c>
      <c r="E745" s="148" t="s">
        <v>95</v>
      </c>
      <c r="F745" s="148" t="s">
        <v>56</v>
      </c>
      <c r="G745" s="148" t="s">
        <v>111</v>
      </c>
      <c r="H745" s="148">
        <v>2007</v>
      </c>
      <c r="I745" s="148">
        <v>3</v>
      </c>
      <c r="J745" s="148" t="s">
        <v>118</v>
      </c>
      <c r="K745" s="148" t="s">
        <v>172</v>
      </c>
      <c r="M745" s="148" t="s">
        <v>346</v>
      </c>
      <c r="N745" s="148">
        <v>10</v>
      </c>
      <c r="O745" s="148" t="s">
        <v>101</v>
      </c>
      <c r="P745" s="148" t="s">
        <v>146</v>
      </c>
      <c r="Y745" s="150" t="s">
        <v>366</v>
      </c>
    </row>
    <row r="746" spans="1:25" ht="15.75" hidden="1" customHeight="1" x14ac:dyDescent="0.25">
      <c r="A746" s="148" t="s">
        <v>76</v>
      </c>
      <c r="B746" s="148" t="s">
        <v>116</v>
      </c>
      <c r="C746" s="148" t="s">
        <v>90</v>
      </c>
      <c r="D746" s="148" t="s">
        <v>29</v>
      </c>
      <c r="E746" s="148" t="s">
        <v>40</v>
      </c>
      <c r="F746" s="148" t="s">
        <v>41</v>
      </c>
      <c r="G746" s="148" t="s">
        <v>473</v>
      </c>
      <c r="H746" s="148">
        <v>2007</v>
      </c>
      <c r="I746" s="148">
        <v>3</v>
      </c>
      <c r="J746" s="148" t="s">
        <v>118</v>
      </c>
      <c r="K746" s="148" t="s">
        <v>525</v>
      </c>
      <c r="M746" s="148" t="s">
        <v>554</v>
      </c>
      <c r="N746" s="148">
        <v>8</v>
      </c>
      <c r="O746" s="148" t="s">
        <v>101</v>
      </c>
      <c r="P746" s="148" t="s">
        <v>537</v>
      </c>
      <c r="Y746" s="150" t="s">
        <v>366</v>
      </c>
    </row>
    <row r="747" spans="1:25" ht="15.75" hidden="1" customHeight="1" x14ac:dyDescent="0.25">
      <c r="A747" s="148" t="s">
        <v>76</v>
      </c>
      <c r="B747" s="148" t="s">
        <v>36</v>
      </c>
      <c r="C747" s="148" t="s">
        <v>28</v>
      </c>
      <c r="D747" s="148" t="s">
        <v>158</v>
      </c>
      <c r="E747" s="148" t="s">
        <v>30</v>
      </c>
      <c r="F747" s="148" t="s">
        <v>3183</v>
      </c>
      <c r="G747" s="148" t="s">
        <v>242</v>
      </c>
      <c r="H747" s="148">
        <v>2007</v>
      </c>
      <c r="I747" s="148">
        <v>3</v>
      </c>
      <c r="J747" s="148" t="s">
        <v>118</v>
      </c>
      <c r="K747" s="148" t="s">
        <v>172</v>
      </c>
      <c r="M747" s="148" t="s">
        <v>346</v>
      </c>
      <c r="N747" s="148">
        <v>10</v>
      </c>
      <c r="O747" s="148" t="s">
        <v>101</v>
      </c>
      <c r="P747" s="148" t="s">
        <v>146</v>
      </c>
      <c r="Y747" s="150" t="s">
        <v>366</v>
      </c>
    </row>
    <row r="748" spans="1:25" ht="13.5" hidden="1" customHeight="1" x14ac:dyDescent="0.25">
      <c r="A748" s="148" t="s">
        <v>307</v>
      </c>
      <c r="B748" s="148" t="s">
        <v>27</v>
      </c>
      <c r="C748" s="148" t="s">
        <v>28</v>
      </c>
      <c r="D748" s="148" t="s">
        <v>99</v>
      </c>
      <c r="E748" s="148" t="s">
        <v>40</v>
      </c>
      <c r="F748" s="148" t="s">
        <v>41</v>
      </c>
      <c r="G748" s="148" t="s">
        <v>42</v>
      </c>
      <c r="H748" s="148">
        <v>2007</v>
      </c>
      <c r="I748" s="148">
        <v>3</v>
      </c>
      <c r="J748" s="148" t="s">
        <v>399</v>
      </c>
      <c r="Q748" s="148" t="s">
        <v>426</v>
      </c>
      <c r="R748" s="148" t="s">
        <v>693</v>
      </c>
      <c r="S748" s="148" t="s">
        <v>427</v>
      </c>
      <c r="T748" s="148" t="s">
        <v>694</v>
      </c>
      <c r="Y748" s="150" t="s">
        <v>366</v>
      </c>
    </row>
    <row r="749" spans="1:25" ht="15.75" hidden="1" customHeight="1" x14ac:dyDescent="0.25">
      <c r="A749" s="148" t="s">
        <v>76</v>
      </c>
      <c r="B749" s="148" t="s">
        <v>36</v>
      </c>
      <c r="C749" s="148" t="s">
        <v>28</v>
      </c>
      <c r="D749" s="148" t="s">
        <v>86</v>
      </c>
      <c r="E749" s="148" t="s">
        <v>51</v>
      </c>
      <c r="F749" s="148" t="s">
        <v>3183</v>
      </c>
      <c r="G749" s="148" t="s">
        <v>69</v>
      </c>
      <c r="H749" s="148">
        <v>2007</v>
      </c>
      <c r="I749" s="148">
        <v>3</v>
      </c>
      <c r="J749" s="148" t="s">
        <v>118</v>
      </c>
      <c r="K749" s="148" t="s">
        <v>695</v>
      </c>
      <c r="M749" s="148" t="s">
        <v>696</v>
      </c>
      <c r="N749" s="148">
        <v>8</v>
      </c>
      <c r="O749" s="148" t="s">
        <v>101</v>
      </c>
      <c r="P749" s="148" t="s">
        <v>697</v>
      </c>
      <c r="Y749" s="150" t="s">
        <v>366</v>
      </c>
    </row>
    <row r="750" spans="1:25" ht="15.75" hidden="1" customHeight="1" x14ac:dyDescent="0.25">
      <c r="A750" s="148" t="s">
        <v>76</v>
      </c>
      <c r="B750" s="148" t="s">
        <v>54</v>
      </c>
      <c r="C750" s="148" t="s">
        <v>55</v>
      </c>
      <c r="D750" s="148" t="s">
        <v>65</v>
      </c>
      <c r="E750" s="148" t="s">
        <v>30</v>
      </c>
      <c r="F750" s="148" t="s">
        <v>56</v>
      </c>
      <c r="G750" s="148" t="s">
        <v>54</v>
      </c>
      <c r="H750" s="148">
        <v>2007</v>
      </c>
      <c r="I750" s="148">
        <v>3</v>
      </c>
      <c r="J750" s="148" t="s">
        <v>118</v>
      </c>
      <c r="K750" s="148" t="s">
        <v>172</v>
      </c>
      <c r="M750" s="148" t="s">
        <v>346</v>
      </c>
      <c r="N750" s="148">
        <v>10</v>
      </c>
      <c r="O750" s="148" t="s">
        <v>101</v>
      </c>
      <c r="P750" s="148" t="s">
        <v>435</v>
      </c>
      <c r="Y750" s="150" t="s">
        <v>366</v>
      </c>
    </row>
    <row r="751" spans="1:25" ht="13.5" hidden="1" customHeight="1" x14ac:dyDescent="0.25">
      <c r="A751" s="148" t="s">
        <v>76</v>
      </c>
      <c r="B751" s="148" t="s">
        <v>44</v>
      </c>
      <c r="C751" s="148" t="s">
        <v>45</v>
      </c>
      <c r="D751" s="148" t="s">
        <v>29</v>
      </c>
      <c r="E751" s="148" t="s">
        <v>46</v>
      </c>
      <c r="F751" s="148" t="s">
        <v>47</v>
      </c>
      <c r="G751" s="148" t="s">
        <v>48</v>
      </c>
      <c r="H751" s="148">
        <v>2007</v>
      </c>
      <c r="I751" s="148">
        <v>3</v>
      </c>
      <c r="J751" s="148" t="s">
        <v>118</v>
      </c>
      <c r="K751" s="148" t="s">
        <v>379</v>
      </c>
      <c r="M751" s="148" t="s">
        <v>126</v>
      </c>
      <c r="N751" s="148">
        <v>10</v>
      </c>
      <c r="O751" s="148" t="s">
        <v>101</v>
      </c>
      <c r="Y751" s="150" t="s">
        <v>366</v>
      </c>
    </row>
    <row r="752" spans="1:25" ht="15.75" hidden="1" customHeight="1" x14ac:dyDescent="0.25">
      <c r="A752" s="148" t="s">
        <v>76</v>
      </c>
      <c r="B752" s="148" t="s">
        <v>198</v>
      </c>
      <c r="C752" s="148" t="s">
        <v>45</v>
      </c>
      <c r="D752" s="148" t="s">
        <v>257</v>
      </c>
      <c r="E752" s="148" t="s">
        <v>30</v>
      </c>
      <c r="F752" s="148" t="s">
        <v>199</v>
      </c>
      <c r="G752" s="148" t="s">
        <v>258</v>
      </c>
      <c r="H752" s="148">
        <v>2007</v>
      </c>
      <c r="I752" s="148">
        <v>3</v>
      </c>
      <c r="J752" s="148" t="s">
        <v>150</v>
      </c>
      <c r="K752" s="148" t="s">
        <v>541</v>
      </c>
      <c r="M752" s="148" t="s">
        <v>575</v>
      </c>
      <c r="N752" s="148">
        <v>6</v>
      </c>
      <c r="O752" s="148" t="s">
        <v>83</v>
      </c>
      <c r="Y752" s="150" t="s">
        <v>366</v>
      </c>
    </row>
    <row r="753" spans="1:25" ht="15.75" hidden="1" customHeight="1" x14ac:dyDescent="0.25">
      <c r="A753" s="148" t="s">
        <v>76</v>
      </c>
      <c r="B753" s="148" t="s">
        <v>89</v>
      </c>
      <c r="C753" s="148" t="s">
        <v>90</v>
      </c>
      <c r="D753" s="148" t="s">
        <v>29</v>
      </c>
      <c r="E753" s="148" t="s">
        <v>30</v>
      </c>
      <c r="F753" s="148" t="s">
        <v>91</v>
      </c>
      <c r="G753" s="148" t="s">
        <v>414</v>
      </c>
      <c r="H753" s="148">
        <v>2007</v>
      </c>
      <c r="I753" s="148">
        <v>3</v>
      </c>
      <c r="J753" s="148" t="s">
        <v>118</v>
      </c>
      <c r="K753" s="148" t="s">
        <v>541</v>
      </c>
      <c r="M753" s="148" t="s">
        <v>575</v>
      </c>
      <c r="N753" s="148">
        <v>6</v>
      </c>
      <c r="O753" s="148" t="s">
        <v>101</v>
      </c>
      <c r="P753" s="148" t="s">
        <v>698</v>
      </c>
      <c r="Y753" s="150" t="s">
        <v>366</v>
      </c>
    </row>
    <row r="754" spans="1:25" ht="15.75" hidden="1" customHeight="1" x14ac:dyDescent="0.25">
      <c r="A754" s="148" t="s">
        <v>76</v>
      </c>
      <c r="B754" s="148" t="s">
        <v>103</v>
      </c>
      <c r="C754" s="148" t="s">
        <v>55</v>
      </c>
      <c r="D754" s="148" t="s">
        <v>99</v>
      </c>
      <c r="E754" s="148" t="s">
        <v>30</v>
      </c>
      <c r="F754" s="148" t="s">
        <v>56</v>
      </c>
      <c r="G754" s="148" t="s">
        <v>171</v>
      </c>
      <c r="H754" s="148">
        <v>2007</v>
      </c>
      <c r="I754" s="148">
        <v>4</v>
      </c>
      <c r="J754" s="148" t="s">
        <v>118</v>
      </c>
      <c r="K754" s="148" t="s">
        <v>172</v>
      </c>
      <c r="M754" s="148" t="s">
        <v>346</v>
      </c>
      <c r="N754" s="148">
        <v>8</v>
      </c>
      <c r="O754" s="148" t="s">
        <v>101</v>
      </c>
      <c r="P754" s="148" t="s">
        <v>146</v>
      </c>
      <c r="Y754" s="150" t="s">
        <v>699</v>
      </c>
    </row>
    <row r="755" spans="1:25" ht="15.75" hidden="1" customHeight="1" x14ac:dyDescent="0.25">
      <c r="A755" s="148" t="s">
        <v>76</v>
      </c>
      <c r="B755" s="148" t="s">
        <v>103</v>
      </c>
      <c r="C755" s="148" t="s">
        <v>55</v>
      </c>
      <c r="D755" s="148" t="s">
        <v>29</v>
      </c>
      <c r="E755" s="148" t="s">
        <v>95</v>
      </c>
      <c r="F755" s="148" t="s">
        <v>56</v>
      </c>
      <c r="G755" s="148" t="s">
        <v>303</v>
      </c>
      <c r="H755" s="148">
        <v>2007</v>
      </c>
      <c r="I755" s="148">
        <v>4</v>
      </c>
      <c r="J755" s="148" t="s">
        <v>150</v>
      </c>
      <c r="K755" s="148" t="s">
        <v>541</v>
      </c>
      <c r="M755" s="148" t="s">
        <v>575</v>
      </c>
      <c r="N755" s="148">
        <v>6</v>
      </c>
      <c r="O755" s="148" t="s">
        <v>83</v>
      </c>
      <c r="Y755" s="150" t="s">
        <v>366</v>
      </c>
    </row>
    <row r="756" spans="1:25" ht="15.75" hidden="1" customHeight="1" x14ac:dyDescent="0.25">
      <c r="A756" s="148" t="s">
        <v>76</v>
      </c>
      <c r="B756" s="148" t="s">
        <v>198</v>
      </c>
      <c r="C756" s="148" t="s">
        <v>45</v>
      </c>
      <c r="D756" s="148" t="s">
        <v>29</v>
      </c>
      <c r="E756" s="148" t="s">
        <v>30</v>
      </c>
      <c r="F756" s="148" t="s">
        <v>199</v>
      </c>
      <c r="G756" s="148" t="s">
        <v>205</v>
      </c>
      <c r="H756" s="148">
        <v>2007</v>
      </c>
      <c r="I756" s="148">
        <v>4</v>
      </c>
      <c r="J756" s="148" t="s">
        <v>118</v>
      </c>
      <c r="K756" s="148" t="s">
        <v>172</v>
      </c>
      <c r="M756" s="148" t="s">
        <v>346</v>
      </c>
      <c r="N756" s="148">
        <v>10</v>
      </c>
      <c r="O756" s="148" t="s">
        <v>101</v>
      </c>
      <c r="P756" s="148" t="s">
        <v>700</v>
      </c>
      <c r="Y756" s="150" t="s">
        <v>366</v>
      </c>
    </row>
    <row r="757" spans="1:25" ht="15.75" hidden="1" customHeight="1" x14ac:dyDescent="0.25">
      <c r="A757" s="148" t="s">
        <v>76</v>
      </c>
      <c r="B757" s="148" t="s">
        <v>36</v>
      </c>
      <c r="C757" s="148" t="s">
        <v>28</v>
      </c>
      <c r="D757" s="148" t="s">
        <v>158</v>
      </c>
      <c r="E757" s="148" t="s">
        <v>30</v>
      </c>
      <c r="F757" s="148" t="s">
        <v>3183</v>
      </c>
      <c r="G757" s="148" t="s">
        <v>438</v>
      </c>
      <c r="H757" s="148">
        <v>2007</v>
      </c>
      <c r="I757" s="148">
        <v>4</v>
      </c>
      <c r="J757" s="148" t="s">
        <v>118</v>
      </c>
      <c r="K757" s="148" t="s">
        <v>172</v>
      </c>
      <c r="M757" s="148" t="s">
        <v>346</v>
      </c>
      <c r="N757" s="148">
        <v>10</v>
      </c>
      <c r="O757" s="148" t="s">
        <v>101</v>
      </c>
      <c r="P757" s="148" t="s">
        <v>183</v>
      </c>
      <c r="Y757" s="150" t="s">
        <v>366</v>
      </c>
    </row>
    <row r="758" spans="1:25" ht="15.75" hidden="1" customHeight="1" x14ac:dyDescent="0.25">
      <c r="A758" s="148" t="s">
        <v>76</v>
      </c>
      <c r="B758" s="148" t="s">
        <v>103</v>
      </c>
      <c r="C758" s="148" t="s">
        <v>55</v>
      </c>
      <c r="D758" s="148" t="s">
        <v>94</v>
      </c>
      <c r="E758" s="148" t="s">
        <v>95</v>
      </c>
      <c r="F758" s="148" t="s">
        <v>56</v>
      </c>
      <c r="G758" s="148" t="s">
        <v>111</v>
      </c>
      <c r="H758" s="148">
        <v>2007</v>
      </c>
      <c r="I758" s="148">
        <v>4</v>
      </c>
      <c r="J758" s="148" t="s">
        <v>150</v>
      </c>
      <c r="K758" s="148" t="s">
        <v>520</v>
      </c>
      <c r="M758" s="148" t="s">
        <v>701</v>
      </c>
      <c r="N758" s="148">
        <v>8</v>
      </c>
      <c r="O758" s="148" t="s">
        <v>83</v>
      </c>
      <c r="Y758" s="150" t="s">
        <v>366</v>
      </c>
    </row>
    <row r="759" spans="1:25" ht="15.75" hidden="1" customHeight="1" x14ac:dyDescent="0.25">
      <c r="A759" s="148" t="s">
        <v>76</v>
      </c>
      <c r="B759" s="148" t="s">
        <v>89</v>
      </c>
      <c r="C759" s="148" t="s">
        <v>90</v>
      </c>
      <c r="D759" s="148" t="s">
        <v>29</v>
      </c>
      <c r="E759" s="148" t="s">
        <v>30</v>
      </c>
      <c r="F759" s="148" t="s">
        <v>91</v>
      </c>
      <c r="G759" s="148" t="s">
        <v>298</v>
      </c>
      <c r="H759" s="148">
        <v>2007</v>
      </c>
      <c r="I759" s="148">
        <v>4</v>
      </c>
      <c r="J759" s="148" t="s">
        <v>118</v>
      </c>
      <c r="K759" s="148" t="s">
        <v>172</v>
      </c>
      <c r="M759" s="148" t="s">
        <v>346</v>
      </c>
      <c r="N759" s="148">
        <v>10</v>
      </c>
      <c r="O759" s="148" t="s">
        <v>101</v>
      </c>
      <c r="P759" s="148" t="s">
        <v>146</v>
      </c>
      <c r="Y759" s="150" t="s">
        <v>366</v>
      </c>
    </row>
    <row r="760" spans="1:25" ht="15.75" hidden="1" customHeight="1" x14ac:dyDescent="0.25">
      <c r="A760" s="148" t="s">
        <v>76</v>
      </c>
      <c r="B760" s="148" t="s">
        <v>103</v>
      </c>
      <c r="C760" s="148" t="s">
        <v>55</v>
      </c>
      <c r="D760" s="148" t="s">
        <v>29</v>
      </c>
      <c r="E760" s="148" t="s">
        <v>95</v>
      </c>
      <c r="F760" s="148" t="s">
        <v>56</v>
      </c>
      <c r="G760" s="148" t="s">
        <v>104</v>
      </c>
      <c r="H760" s="148">
        <v>2007</v>
      </c>
      <c r="I760" s="148">
        <v>4</v>
      </c>
      <c r="J760" s="148" t="s">
        <v>118</v>
      </c>
      <c r="K760" s="148" t="s">
        <v>172</v>
      </c>
      <c r="M760" s="148" t="s">
        <v>346</v>
      </c>
      <c r="N760" s="148">
        <v>10</v>
      </c>
      <c r="O760" s="148" t="s">
        <v>101</v>
      </c>
      <c r="P760" s="148" t="s">
        <v>146</v>
      </c>
      <c r="Y760" s="150" t="s">
        <v>366</v>
      </c>
    </row>
    <row r="761" spans="1:25" ht="15.75" hidden="1" customHeight="1" x14ac:dyDescent="0.25">
      <c r="A761" s="148" t="s">
        <v>76</v>
      </c>
      <c r="B761" s="148" t="s">
        <v>36</v>
      </c>
      <c r="C761" s="148" t="s">
        <v>28</v>
      </c>
      <c r="D761" s="148" t="s">
        <v>99</v>
      </c>
      <c r="E761" s="148" t="s">
        <v>30</v>
      </c>
      <c r="F761" s="148" t="s">
        <v>3183</v>
      </c>
      <c r="G761" s="148" t="s">
        <v>59</v>
      </c>
      <c r="H761" s="148">
        <v>2007</v>
      </c>
      <c r="I761" s="148">
        <v>4</v>
      </c>
      <c r="J761" s="148" t="s">
        <v>118</v>
      </c>
      <c r="K761" s="148" t="s">
        <v>541</v>
      </c>
      <c r="M761" s="148" t="s">
        <v>575</v>
      </c>
      <c r="N761" s="148">
        <v>6</v>
      </c>
      <c r="O761" s="148" t="s">
        <v>101</v>
      </c>
      <c r="P761" s="148" t="s">
        <v>702</v>
      </c>
      <c r="Y761" s="150" t="s">
        <v>366</v>
      </c>
    </row>
    <row r="762" spans="1:25" ht="15.75" hidden="1" customHeight="1" x14ac:dyDescent="0.25">
      <c r="A762" s="148" t="s">
        <v>76</v>
      </c>
      <c r="B762" s="148" t="s">
        <v>89</v>
      </c>
      <c r="C762" s="148" t="s">
        <v>90</v>
      </c>
      <c r="D762" s="148" t="s">
        <v>29</v>
      </c>
      <c r="E762" s="148" t="s">
        <v>40</v>
      </c>
      <c r="F762" s="148" t="s">
        <v>91</v>
      </c>
      <c r="G762" s="148" t="s">
        <v>142</v>
      </c>
      <c r="H762" s="148">
        <v>2007</v>
      </c>
      <c r="I762" s="148">
        <v>4</v>
      </c>
      <c r="J762" s="148" t="s">
        <v>150</v>
      </c>
      <c r="K762" s="148" t="s">
        <v>541</v>
      </c>
      <c r="M762" s="148" t="s">
        <v>575</v>
      </c>
      <c r="N762" s="148">
        <v>6</v>
      </c>
      <c r="O762" s="148" t="s">
        <v>83</v>
      </c>
      <c r="Y762" s="150" t="s">
        <v>366</v>
      </c>
    </row>
    <row r="763" spans="1:25" ht="15.75" hidden="1" customHeight="1" x14ac:dyDescent="0.25">
      <c r="A763" s="148" t="s">
        <v>76</v>
      </c>
      <c r="B763" s="148" t="s">
        <v>89</v>
      </c>
      <c r="C763" s="148" t="s">
        <v>90</v>
      </c>
      <c r="D763" s="148" t="s">
        <v>29</v>
      </c>
      <c r="E763" s="148" t="s">
        <v>30</v>
      </c>
      <c r="F763" s="148" t="s">
        <v>91</v>
      </c>
      <c r="G763" s="148" t="s">
        <v>411</v>
      </c>
      <c r="H763" s="148">
        <v>2007</v>
      </c>
      <c r="I763" s="148">
        <v>4</v>
      </c>
      <c r="J763" s="148" t="s">
        <v>150</v>
      </c>
      <c r="K763" s="148" t="s">
        <v>444</v>
      </c>
      <c r="M763" s="148" t="s">
        <v>445</v>
      </c>
      <c r="N763" s="148">
        <v>6</v>
      </c>
      <c r="O763" s="148" t="s">
        <v>83</v>
      </c>
      <c r="Y763" s="150" t="s">
        <v>366</v>
      </c>
    </row>
    <row r="764" spans="1:25" ht="15.75" hidden="1" customHeight="1" x14ac:dyDescent="0.25">
      <c r="A764" s="148" t="s">
        <v>76</v>
      </c>
      <c r="B764" s="148" t="s">
        <v>89</v>
      </c>
      <c r="C764" s="148" t="s">
        <v>90</v>
      </c>
      <c r="D764" s="148" t="s">
        <v>99</v>
      </c>
      <c r="E764" s="148" t="s">
        <v>30</v>
      </c>
      <c r="F764" s="148" t="s">
        <v>91</v>
      </c>
      <c r="G764" s="148" t="s">
        <v>178</v>
      </c>
      <c r="H764" s="148">
        <v>2007</v>
      </c>
      <c r="I764" s="148">
        <v>4</v>
      </c>
      <c r="J764" s="148" t="s">
        <v>118</v>
      </c>
      <c r="K764" s="148" t="s">
        <v>172</v>
      </c>
      <c r="M764" s="148" t="s">
        <v>346</v>
      </c>
      <c r="N764" s="148">
        <v>10</v>
      </c>
      <c r="O764" s="148" t="s">
        <v>101</v>
      </c>
      <c r="P764" s="148" t="s">
        <v>146</v>
      </c>
      <c r="Y764" s="150" t="s">
        <v>366</v>
      </c>
    </row>
    <row r="765" spans="1:25" ht="15.75" hidden="1" customHeight="1" x14ac:dyDescent="0.25">
      <c r="A765" s="148" t="s">
        <v>76</v>
      </c>
      <c r="B765" s="148" t="s">
        <v>27</v>
      </c>
      <c r="C765" s="148" t="s">
        <v>28</v>
      </c>
      <c r="D765" s="148" t="s">
        <v>99</v>
      </c>
      <c r="E765" s="148" t="s">
        <v>40</v>
      </c>
      <c r="F765" s="148" t="s">
        <v>41</v>
      </c>
      <c r="G765" s="148" t="s">
        <v>42</v>
      </c>
      <c r="H765" s="148">
        <v>2007</v>
      </c>
      <c r="I765" s="148">
        <v>4</v>
      </c>
      <c r="J765" s="148" t="s">
        <v>118</v>
      </c>
      <c r="K765" s="148" t="s">
        <v>172</v>
      </c>
      <c r="M765" s="148" t="s">
        <v>346</v>
      </c>
      <c r="N765" s="148">
        <v>10</v>
      </c>
      <c r="O765" s="148" t="s">
        <v>101</v>
      </c>
      <c r="P765" s="148" t="s">
        <v>398</v>
      </c>
      <c r="Y765" s="150" t="s">
        <v>366</v>
      </c>
    </row>
    <row r="766" spans="1:25" ht="15.75" hidden="1" customHeight="1" x14ac:dyDescent="0.25">
      <c r="A766" s="148" t="s">
        <v>76</v>
      </c>
      <c r="B766" s="148" t="s">
        <v>62</v>
      </c>
      <c r="C766" s="148" t="s">
        <v>28</v>
      </c>
      <c r="D766" s="148" t="s">
        <v>158</v>
      </c>
      <c r="E766" s="148" t="s">
        <v>51</v>
      </c>
      <c r="F766" s="148" t="s">
        <v>3183</v>
      </c>
      <c r="G766" s="148" t="s">
        <v>130</v>
      </c>
      <c r="H766" s="148">
        <v>2007</v>
      </c>
      <c r="I766" s="148">
        <v>4</v>
      </c>
      <c r="J766" s="148" t="s">
        <v>118</v>
      </c>
      <c r="K766" s="148" t="s">
        <v>327</v>
      </c>
      <c r="M766" s="148" t="s">
        <v>82</v>
      </c>
      <c r="N766" s="148">
        <v>8</v>
      </c>
      <c r="O766" s="148" t="s">
        <v>101</v>
      </c>
      <c r="P766" s="148" t="s">
        <v>146</v>
      </c>
      <c r="Y766" s="150" t="s">
        <v>366</v>
      </c>
    </row>
    <row r="767" spans="1:25" ht="15.75" hidden="1" customHeight="1" x14ac:dyDescent="0.25">
      <c r="A767" s="148" t="s">
        <v>76</v>
      </c>
      <c r="B767" s="148" t="s">
        <v>89</v>
      </c>
      <c r="C767" s="148" t="s">
        <v>90</v>
      </c>
      <c r="D767" s="148" t="s">
        <v>29</v>
      </c>
      <c r="E767" s="148" t="s">
        <v>30</v>
      </c>
      <c r="F767" s="148" t="s">
        <v>91</v>
      </c>
      <c r="G767" s="148" t="s">
        <v>369</v>
      </c>
      <c r="H767" s="148">
        <v>2007</v>
      </c>
      <c r="I767" s="148">
        <v>4</v>
      </c>
      <c r="J767" s="148" t="s">
        <v>118</v>
      </c>
      <c r="K767" s="148" t="s">
        <v>327</v>
      </c>
      <c r="M767" s="148" t="s">
        <v>82</v>
      </c>
      <c r="N767" s="148">
        <v>8</v>
      </c>
      <c r="O767" s="148" t="s">
        <v>101</v>
      </c>
      <c r="P767" s="148" t="s">
        <v>703</v>
      </c>
      <c r="Y767" s="150" t="s">
        <v>366</v>
      </c>
    </row>
    <row r="768" spans="1:25" ht="15.75" hidden="1" customHeight="1" x14ac:dyDescent="0.25">
      <c r="A768" s="148" t="s">
        <v>76</v>
      </c>
      <c r="B768" s="148" t="s">
        <v>103</v>
      </c>
      <c r="C768" s="148" t="s">
        <v>55</v>
      </c>
      <c r="D768" s="148" t="s">
        <v>29</v>
      </c>
      <c r="E768" s="148" t="s">
        <v>30</v>
      </c>
      <c r="F768" s="148" t="s">
        <v>56</v>
      </c>
      <c r="G768" s="148" t="s">
        <v>381</v>
      </c>
      <c r="H768" s="148">
        <v>2007</v>
      </c>
      <c r="I768" s="148">
        <v>4</v>
      </c>
      <c r="J768" s="152" t="s">
        <v>118</v>
      </c>
      <c r="K768" s="152" t="s">
        <v>525</v>
      </c>
      <c r="L768" s="152"/>
      <c r="M768" s="152" t="s">
        <v>554</v>
      </c>
      <c r="N768" s="152">
        <v>8</v>
      </c>
      <c r="O768" s="148" t="s">
        <v>101</v>
      </c>
      <c r="P768" s="148" t="s">
        <v>537</v>
      </c>
      <c r="Y768" s="150" t="s">
        <v>704</v>
      </c>
    </row>
    <row r="769" spans="1:26" ht="15.75" hidden="1" customHeight="1" x14ac:dyDescent="0.25">
      <c r="A769" s="148" t="s">
        <v>76</v>
      </c>
      <c r="B769" s="148" t="s">
        <v>103</v>
      </c>
      <c r="C769" s="148" t="s">
        <v>55</v>
      </c>
      <c r="D769" s="148" t="s">
        <v>478</v>
      </c>
      <c r="E769" s="148" t="s">
        <v>95</v>
      </c>
      <c r="F769" s="148" t="s">
        <v>56</v>
      </c>
      <c r="G769" s="148" t="s">
        <v>108</v>
      </c>
      <c r="H769" s="148">
        <v>2007</v>
      </c>
      <c r="I769" s="148">
        <v>4</v>
      </c>
      <c r="J769" s="148" t="s">
        <v>150</v>
      </c>
      <c r="K769" s="148" t="s">
        <v>172</v>
      </c>
      <c r="M769" s="148" t="s">
        <v>346</v>
      </c>
      <c r="N769" s="148">
        <v>8</v>
      </c>
      <c r="O769" s="148" t="s">
        <v>101</v>
      </c>
      <c r="P769" s="148" t="s">
        <v>435</v>
      </c>
      <c r="Y769" s="150" t="s">
        <v>366</v>
      </c>
    </row>
    <row r="770" spans="1:26" ht="15.75" hidden="1" customHeight="1" x14ac:dyDescent="0.25">
      <c r="A770" s="148" t="s">
        <v>76</v>
      </c>
      <c r="B770" s="148" t="s">
        <v>44</v>
      </c>
      <c r="C770" s="148" t="s">
        <v>45</v>
      </c>
      <c r="D770" s="148" t="s">
        <v>29</v>
      </c>
      <c r="E770" s="148" t="s">
        <v>46</v>
      </c>
      <c r="F770" s="148" t="s">
        <v>47</v>
      </c>
      <c r="G770" s="148" t="s">
        <v>48</v>
      </c>
      <c r="H770" s="148">
        <v>2007</v>
      </c>
      <c r="I770" s="148">
        <v>4</v>
      </c>
      <c r="J770" s="148" t="s">
        <v>150</v>
      </c>
      <c r="K770" s="148" t="s">
        <v>520</v>
      </c>
      <c r="M770" s="148" t="s">
        <v>701</v>
      </c>
      <c r="N770" s="148">
        <v>8</v>
      </c>
      <c r="O770" s="148" t="s">
        <v>101</v>
      </c>
      <c r="P770" s="148" t="s">
        <v>705</v>
      </c>
      <c r="Y770" s="150" t="s">
        <v>366</v>
      </c>
    </row>
    <row r="771" spans="1:26" ht="15.75" hidden="1" customHeight="1" x14ac:dyDescent="0.25">
      <c r="A771" s="148" t="s">
        <v>76</v>
      </c>
      <c r="B771" s="148" t="s">
        <v>89</v>
      </c>
      <c r="C771" s="148" t="s">
        <v>90</v>
      </c>
      <c r="D771" s="148" t="s">
        <v>29</v>
      </c>
      <c r="E771" s="148" t="s">
        <v>30</v>
      </c>
      <c r="F771" s="148" t="s">
        <v>91</v>
      </c>
      <c r="G771" s="148" t="s">
        <v>280</v>
      </c>
      <c r="H771" s="148">
        <v>2007</v>
      </c>
      <c r="I771" s="148">
        <v>4</v>
      </c>
      <c r="J771" s="148" t="s">
        <v>150</v>
      </c>
      <c r="K771" s="148" t="s">
        <v>444</v>
      </c>
      <c r="M771" s="148" t="s">
        <v>445</v>
      </c>
      <c r="N771" s="148">
        <v>6</v>
      </c>
      <c r="O771" s="148" t="s">
        <v>83</v>
      </c>
      <c r="Y771" s="150" t="s">
        <v>366</v>
      </c>
    </row>
    <row r="772" spans="1:26" ht="15.75" hidden="1" customHeight="1" x14ac:dyDescent="0.25">
      <c r="A772" s="148" t="s">
        <v>76</v>
      </c>
      <c r="B772" s="148" t="s">
        <v>89</v>
      </c>
      <c r="C772" s="148" t="s">
        <v>90</v>
      </c>
      <c r="D772" s="148" t="s">
        <v>29</v>
      </c>
      <c r="E772" s="148" t="s">
        <v>30</v>
      </c>
      <c r="F772" s="148" t="s">
        <v>91</v>
      </c>
      <c r="G772" s="148" t="s">
        <v>414</v>
      </c>
      <c r="H772" s="148">
        <v>2007</v>
      </c>
      <c r="I772" s="148">
        <v>4</v>
      </c>
      <c r="J772" s="148" t="s">
        <v>150</v>
      </c>
      <c r="K772" s="148" t="s">
        <v>444</v>
      </c>
      <c r="M772" s="148" t="s">
        <v>445</v>
      </c>
      <c r="N772" s="148">
        <v>6</v>
      </c>
      <c r="O772" s="148" t="s">
        <v>83</v>
      </c>
      <c r="Y772" s="150" t="s">
        <v>366</v>
      </c>
    </row>
    <row r="773" spans="1:26" ht="15.75" hidden="1" customHeight="1" x14ac:dyDescent="0.25">
      <c r="A773" s="148" t="s">
        <v>76</v>
      </c>
      <c r="B773" s="148" t="s">
        <v>198</v>
      </c>
      <c r="C773" s="148" t="s">
        <v>45</v>
      </c>
      <c r="D773" s="148" t="s">
        <v>99</v>
      </c>
      <c r="E773" s="148" t="s">
        <v>40</v>
      </c>
      <c r="F773" s="148" t="s">
        <v>199</v>
      </c>
      <c r="G773" s="148" t="s">
        <v>282</v>
      </c>
      <c r="H773" s="148">
        <v>2007</v>
      </c>
      <c r="I773" s="148">
        <v>5</v>
      </c>
      <c r="J773" s="148" t="s">
        <v>150</v>
      </c>
      <c r="K773" s="148" t="s">
        <v>172</v>
      </c>
      <c r="M773" s="148" t="s">
        <v>346</v>
      </c>
      <c r="N773" s="148">
        <v>10</v>
      </c>
      <c r="O773" s="148" t="s">
        <v>83</v>
      </c>
      <c r="P773" s="148" t="s">
        <v>146</v>
      </c>
      <c r="Y773" s="150" t="s">
        <v>366</v>
      </c>
    </row>
    <row r="774" spans="1:26" ht="15.75" hidden="1" customHeight="1" x14ac:dyDescent="0.25">
      <c r="A774" s="148" t="s">
        <v>76</v>
      </c>
      <c r="B774" s="148" t="s">
        <v>198</v>
      </c>
      <c r="C774" s="148" t="s">
        <v>45</v>
      </c>
      <c r="D774" s="148" t="s">
        <v>99</v>
      </c>
      <c r="E774" s="148" t="s">
        <v>40</v>
      </c>
      <c r="F774" s="148" t="s">
        <v>199</v>
      </c>
      <c r="G774" s="148" t="s">
        <v>282</v>
      </c>
      <c r="H774" s="148">
        <v>2007</v>
      </c>
      <c r="I774" s="148">
        <v>5</v>
      </c>
      <c r="J774" s="148" t="s">
        <v>118</v>
      </c>
      <c r="K774" s="148" t="s">
        <v>172</v>
      </c>
      <c r="M774" s="148" t="s">
        <v>346</v>
      </c>
      <c r="N774" s="148">
        <v>10</v>
      </c>
      <c r="O774" s="148" t="s">
        <v>101</v>
      </c>
      <c r="P774" s="148" t="s">
        <v>146</v>
      </c>
      <c r="Y774" s="150" t="s">
        <v>366</v>
      </c>
    </row>
    <row r="775" spans="1:26" ht="15.75" hidden="1" customHeight="1" x14ac:dyDescent="0.25">
      <c r="A775" s="148" t="s">
        <v>76</v>
      </c>
      <c r="B775" s="148" t="s">
        <v>71</v>
      </c>
      <c r="C775" s="148" t="s">
        <v>45</v>
      </c>
      <c r="D775" s="148" t="s">
        <v>29</v>
      </c>
      <c r="E775" s="148" t="s">
        <v>72</v>
      </c>
      <c r="F775" s="148" t="s">
        <v>3183</v>
      </c>
      <c r="G775" s="148" t="s">
        <v>73</v>
      </c>
      <c r="H775" s="148">
        <v>2007</v>
      </c>
      <c r="I775" s="148">
        <v>5</v>
      </c>
      <c r="J775" s="148" t="s">
        <v>150</v>
      </c>
      <c r="K775" s="148" t="s">
        <v>706</v>
      </c>
      <c r="M775" s="148" t="s">
        <v>547</v>
      </c>
      <c r="N775" s="148">
        <v>6</v>
      </c>
      <c r="O775" s="148" t="s">
        <v>83</v>
      </c>
      <c r="Y775" s="150" t="s">
        <v>366</v>
      </c>
    </row>
    <row r="776" spans="1:26" ht="15.75" hidden="1" customHeight="1" x14ac:dyDescent="0.25">
      <c r="A776" s="148" t="s">
        <v>76</v>
      </c>
      <c r="B776" s="148" t="s">
        <v>103</v>
      </c>
      <c r="C776" s="148" t="s">
        <v>55</v>
      </c>
      <c r="D776" s="148" t="s">
        <v>29</v>
      </c>
      <c r="E776" s="148" t="s">
        <v>30</v>
      </c>
      <c r="F776" s="148" t="s">
        <v>56</v>
      </c>
      <c r="G776" s="148" t="s">
        <v>260</v>
      </c>
      <c r="H776" s="148">
        <v>2007</v>
      </c>
      <c r="I776" s="148">
        <v>5</v>
      </c>
      <c r="J776" s="148" t="s">
        <v>118</v>
      </c>
      <c r="K776" s="148" t="s">
        <v>172</v>
      </c>
      <c r="M776" s="148" t="s">
        <v>346</v>
      </c>
      <c r="N776" s="148">
        <v>10</v>
      </c>
      <c r="O776" s="148" t="s">
        <v>101</v>
      </c>
      <c r="P776" s="148" t="s">
        <v>435</v>
      </c>
      <c r="Y776" s="150" t="s">
        <v>366</v>
      </c>
    </row>
    <row r="777" spans="1:26" ht="13.5" hidden="1" customHeight="1" x14ac:dyDescent="0.25">
      <c r="A777" s="148" t="s">
        <v>76</v>
      </c>
      <c r="B777" s="148" t="s">
        <v>27</v>
      </c>
      <c r="C777" s="148" t="s">
        <v>28</v>
      </c>
      <c r="D777" s="148" t="s">
        <v>158</v>
      </c>
      <c r="E777" s="148" t="s">
        <v>30</v>
      </c>
      <c r="F777" s="148" t="s">
        <v>3183</v>
      </c>
      <c r="G777" s="148" t="s">
        <v>32</v>
      </c>
      <c r="H777" s="148">
        <v>2007</v>
      </c>
      <c r="I777" s="148">
        <v>5</v>
      </c>
      <c r="J777" s="148" t="s">
        <v>118</v>
      </c>
      <c r="K777" s="148" t="s">
        <v>172</v>
      </c>
      <c r="M777" s="148" t="s">
        <v>346</v>
      </c>
      <c r="N777" s="148">
        <v>10</v>
      </c>
      <c r="O777" s="148" t="s">
        <v>101</v>
      </c>
      <c r="P777" s="148" t="s">
        <v>425</v>
      </c>
      <c r="Y777" s="150" t="s">
        <v>366</v>
      </c>
    </row>
    <row r="778" spans="1:26" ht="15.75" hidden="1" customHeight="1" x14ac:dyDescent="0.25">
      <c r="A778" s="148" t="s">
        <v>76</v>
      </c>
      <c r="B778" s="148" t="s">
        <v>198</v>
      </c>
      <c r="C778" s="148" t="s">
        <v>45</v>
      </c>
      <c r="D778" s="148" t="s">
        <v>478</v>
      </c>
      <c r="E778" s="148" t="s">
        <v>30</v>
      </c>
      <c r="F778" s="148" t="s">
        <v>199</v>
      </c>
      <c r="G778" s="148" t="s">
        <v>208</v>
      </c>
      <c r="H778" s="148">
        <v>2007</v>
      </c>
      <c r="I778" s="148">
        <v>5</v>
      </c>
      <c r="J778" s="148" t="s">
        <v>150</v>
      </c>
      <c r="K778" s="148" t="s">
        <v>629</v>
      </c>
      <c r="M778" s="148" t="s">
        <v>120</v>
      </c>
      <c r="N778" s="148">
        <v>6</v>
      </c>
      <c r="O778" s="148" t="s">
        <v>83</v>
      </c>
      <c r="Y778" s="150" t="s">
        <v>366</v>
      </c>
    </row>
    <row r="779" spans="1:26" ht="15.75" hidden="1" customHeight="1" x14ac:dyDescent="0.25">
      <c r="A779" s="148" t="s">
        <v>76</v>
      </c>
      <c r="B779" s="148" t="s">
        <v>198</v>
      </c>
      <c r="C779" s="148" t="s">
        <v>45</v>
      </c>
      <c r="D779" s="148" t="s">
        <v>94</v>
      </c>
      <c r="E779" s="148" t="s">
        <v>30</v>
      </c>
      <c r="F779" s="148" t="s">
        <v>199</v>
      </c>
      <c r="G779" s="148" t="s">
        <v>296</v>
      </c>
      <c r="H779" s="148">
        <v>2007</v>
      </c>
      <c r="I779" s="148">
        <v>5</v>
      </c>
      <c r="J779" s="148" t="s">
        <v>150</v>
      </c>
      <c r="K779" s="148" t="s">
        <v>172</v>
      </c>
      <c r="M779" s="148" t="s">
        <v>346</v>
      </c>
      <c r="N779" s="148">
        <v>10</v>
      </c>
      <c r="O779" s="148" t="s">
        <v>83</v>
      </c>
      <c r="P779" s="148" t="s">
        <v>206</v>
      </c>
      <c r="Y779" s="150" t="s">
        <v>366</v>
      </c>
      <c r="Z779" s="148" t="s">
        <v>707</v>
      </c>
    </row>
    <row r="780" spans="1:26" ht="15.75" hidden="1" customHeight="1" x14ac:dyDescent="0.25">
      <c r="A780" s="148" t="s">
        <v>76</v>
      </c>
      <c r="B780" s="148" t="s">
        <v>198</v>
      </c>
      <c r="C780" s="148" t="s">
        <v>45</v>
      </c>
      <c r="D780" s="148" t="s">
        <v>29</v>
      </c>
      <c r="E780" s="148" t="s">
        <v>30</v>
      </c>
      <c r="F780" s="148" t="s">
        <v>199</v>
      </c>
      <c r="G780" s="148" t="s">
        <v>232</v>
      </c>
      <c r="H780" s="148">
        <v>2007</v>
      </c>
      <c r="I780" s="148">
        <v>5</v>
      </c>
      <c r="J780" s="148" t="s">
        <v>150</v>
      </c>
      <c r="K780" s="148" t="s">
        <v>172</v>
      </c>
      <c r="M780" s="148" t="s">
        <v>346</v>
      </c>
      <c r="N780" s="148">
        <v>10</v>
      </c>
      <c r="O780" s="148" t="s">
        <v>83</v>
      </c>
      <c r="Y780" s="150" t="s">
        <v>366</v>
      </c>
    </row>
    <row r="781" spans="1:26" ht="15.75" hidden="1" customHeight="1" x14ac:dyDescent="0.25">
      <c r="A781" s="148" t="s">
        <v>76</v>
      </c>
      <c r="B781" s="148" t="s">
        <v>103</v>
      </c>
      <c r="C781" s="148" t="s">
        <v>55</v>
      </c>
      <c r="D781" s="148" t="s">
        <v>478</v>
      </c>
      <c r="E781" s="148" t="s">
        <v>95</v>
      </c>
      <c r="F781" s="148" t="s">
        <v>56</v>
      </c>
      <c r="G781" s="148" t="s">
        <v>153</v>
      </c>
      <c r="H781" s="148">
        <v>2007</v>
      </c>
      <c r="I781" s="148">
        <v>5</v>
      </c>
      <c r="J781" s="148" t="s">
        <v>150</v>
      </c>
      <c r="K781" s="148" t="s">
        <v>172</v>
      </c>
      <c r="M781" s="148" t="s">
        <v>346</v>
      </c>
      <c r="N781" s="148">
        <v>10</v>
      </c>
      <c r="O781" s="148" t="s">
        <v>83</v>
      </c>
      <c r="P781" s="148" t="s">
        <v>146</v>
      </c>
      <c r="Y781" s="150" t="s">
        <v>366</v>
      </c>
    </row>
    <row r="782" spans="1:26" ht="15.75" hidden="1" customHeight="1" x14ac:dyDescent="0.25">
      <c r="A782" s="148" t="s">
        <v>76</v>
      </c>
      <c r="B782" s="148" t="s">
        <v>103</v>
      </c>
      <c r="C782" s="148" t="s">
        <v>55</v>
      </c>
      <c r="D782" s="148" t="s">
        <v>29</v>
      </c>
      <c r="E782" s="148" t="s">
        <v>95</v>
      </c>
      <c r="F782" s="148" t="s">
        <v>56</v>
      </c>
      <c r="G782" s="148" t="s">
        <v>407</v>
      </c>
      <c r="H782" s="148">
        <v>2007</v>
      </c>
      <c r="I782" s="148">
        <v>5</v>
      </c>
      <c r="J782" s="148" t="s">
        <v>118</v>
      </c>
      <c r="K782" s="148" t="s">
        <v>172</v>
      </c>
      <c r="M782" s="148" t="s">
        <v>346</v>
      </c>
      <c r="N782" s="148">
        <v>10</v>
      </c>
      <c r="O782" s="148" t="s">
        <v>101</v>
      </c>
      <c r="P782" s="148" t="s">
        <v>146</v>
      </c>
      <c r="Y782" s="150" t="s">
        <v>366</v>
      </c>
    </row>
    <row r="783" spans="1:26" ht="15.75" hidden="1" customHeight="1" x14ac:dyDescent="0.25">
      <c r="A783" s="148" t="s">
        <v>76</v>
      </c>
      <c r="B783" s="148" t="s">
        <v>27</v>
      </c>
      <c r="C783" s="148" t="s">
        <v>28</v>
      </c>
      <c r="D783" s="148" t="s">
        <v>566</v>
      </c>
      <c r="E783" s="148" t="s">
        <v>30</v>
      </c>
      <c r="F783" s="148" t="s">
        <v>3183</v>
      </c>
      <c r="G783" s="148" t="s">
        <v>53</v>
      </c>
      <c r="H783" s="148">
        <v>2007</v>
      </c>
      <c r="I783" s="148">
        <v>5</v>
      </c>
      <c r="J783" s="148" t="s">
        <v>118</v>
      </c>
      <c r="K783" s="148" t="s">
        <v>379</v>
      </c>
      <c r="M783" s="148" t="s">
        <v>126</v>
      </c>
      <c r="N783" s="148">
        <v>10</v>
      </c>
      <c r="O783" s="148" t="s">
        <v>101</v>
      </c>
      <c r="P783" s="148" t="s">
        <v>365</v>
      </c>
      <c r="Y783" s="150" t="s">
        <v>366</v>
      </c>
    </row>
    <row r="784" spans="1:26" ht="15.75" hidden="1" customHeight="1" x14ac:dyDescent="0.25">
      <c r="A784" s="148" t="s">
        <v>76</v>
      </c>
      <c r="B784" s="148" t="s">
        <v>103</v>
      </c>
      <c r="C784" s="148" t="s">
        <v>55</v>
      </c>
      <c r="D784" s="148" t="s">
        <v>478</v>
      </c>
      <c r="E784" s="148" t="s">
        <v>95</v>
      </c>
      <c r="F784" s="148" t="s">
        <v>56</v>
      </c>
      <c r="G784" s="148" t="s">
        <v>107</v>
      </c>
      <c r="H784" s="148">
        <v>2007</v>
      </c>
      <c r="I784" s="148">
        <v>5</v>
      </c>
      <c r="J784" s="148" t="s">
        <v>150</v>
      </c>
      <c r="K784" s="148" t="s">
        <v>708</v>
      </c>
      <c r="M784" s="148" t="s">
        <v>173</v>
      </c>
      <c r="N784" s="148">
        <v>8</v>
      </c>
      <c r="O784" s="148" t="s">
        <v>83</v>
      </c>
      <c r="Y784" s="150" t="s">
        <v>366</v>
      </c>
    </row>
    <row r="785" spans="1:25" ht="15.75" hidden="1" customHeight="1" x14ac:dyDescent="0.25">
      <c r="A785" s="148" t="s">
        <v>76</v>
      </c>
      <c r="B785" s="148" t="s">
        <v>44</v>
      </c>
      <c r="C785" s="148" t="s">
        <v>45</v>
      </c>
      <c r="D785" s="148" t="s">
        <v>86</v>
      </c>
      <c r="E785" s="148" t="s">
        <v>30</v>
      </c>
      <c r="F785" s="148" t="s">
        <v>47</v>
      </c>
      <c r="G785" s="148" t="s">
        <v>377</v>
      </c>
      <c r="H785" s="148">
        <v>2007</v>
      </c>
      <c r="I785" s="148">
        <v>5</v>
      </c>
      <c r="J785" s="148" t="s">
        <v>150</v>
      </c>
      <c r="K785" s="148" t="s">
        <v>629</v>
      </c>
      <c r="M785" s="148" t="s">
        <v>120</v>
      </c>
      <c r="N785" s="148">
        <v>6</v>
      </c>
      <c r="O785" s="148" t="s">
        <v>83</v>
      </c>
      <c r="Y785" s="150" t="s">
        <v>366</v>
      </c>
    </row>
    <row r="786" spans="1:25" ht="15.75" hidden="1" customHeight="1" x14ac:dyDescent="0.25">
      <c r="A786" s="148" t="s">
        <v>76</v>
      </c>
      <c r="B786" s="148" t="s">
        <v>62</v>
      </c>
      <c r="C786" s="148" t="s">
        <v>28</v>
      </c>
      <c r="D786" s="148" t="s">
        <v>29</v>
      </c>
      <c r="E786" s="148" t="s">
        <v>30</v>
      </c>
      <c r="F786" s="148" t="s">
        <v>3183</v>
      </c>
      <c r="G786" s="148" t="s">
        <v>244</v>
      </c>
      <c r="H786" s="148">
        <v>2007</v>
      </c>
      <c r="I786" s="148">
        <v>5</v>
      </c>
      <c r="J786" s="148" t="s">
        <v>150</v>
      </c>
      <c r="K786" s="148" t="s">
        <v>455</v>
      </c>
      <c r="M786" s="148" t="s">
        <v>132</v>
      </c>
      <c r="N786" s="148">
        <v>8</v>
      </c>
      <c r="O786" s="148" t="s">
        <v>83</v>
      </c>
      <c r="Y786" s="150" t="s">
        <v>366</v>
      </c>
    </row>
    <row r="787" spans="1:25" ht="15.75" hidden="1" customHeight="1" x14ac:dyDescent="0.25">
      <c r="A787" s="148" t="s">
        <v>76</v>
      </c>
      <c r="B787" s="148" t="s">
        <v>89</v>
      </c>
      <c r="C787" s="148" t="s">
        <v>90</v>
      </c>
      <c r="D787" s="148" t="s">
        <v>29</v>
      </c>
      <c r="E787" s="148" t="s">
        <v>40</v>
      </c>
      <c r="F787" s="148" t="s">
        <v>91</v>
      </c>
      <c r="G787" s="148" t="s">
        <v>142</v>
      </c>
      <c r="H787" s="148">
        <v>2007</v>
      </c>
      <c r="I787" s="148">
        <v>5</v>
      </c>
      <c r="J787" s="148" t="s">
        <v>118</v>
      </c>
      <c r="K787" s="148" t="s">
        <v>172</v>
      </c>
      <c r="M787" s="148" t="s">
        <v>346</v>
      </c>
      <c r="N787" s="148">
        <v>10</v>
      </c>
      <c r="O787" s="148" t="s">
        <v>101</v>
      </c>
      <c r="P787" s="148" t="s">
        <v>679</v>
      </c>
      <c r="Y787" s="150" t="s">
        <v>366</v>
      </c>
    </row>
    <row r="788" spans="1:25" ht="13.5" hidden="1" customHeight="1" x14ac:dyDescent="0.25">
      <c r="A788" s="148" t="s">
        <v>76</v>
      </c>
      <c r="B788" s="148" t="s">
        <v>89</v>
      </c>
      <c r="C788" s="148" t="s">
        <v>90</v>
      </c>
      <c r="D788" s="148" t="s">
        <v>29</v>
      </c>
      <c r="E788" s="148" t="s">
        <v>30</v>
      </c>
      <c r="F788" s="148" t="s">
        <v>91</v>
      </c>
      <c r="G788" s="148" t="s">
        <v>329</v>
      </c>
      <c r="H788" s="148">
        <v>2007</v>
      </c>
      <c r="I788" s="148">
        <v>5</v>
      </c>
      <c r="J788" s="148" t="s">
        <v>118</v>
      </c>
      <c r="K788" s="148" t="s">
        <v>379</v>
      </c>
      <c r="M788" s="148" t="s">
        <v>126</v>
      </c>
      <c r="N788" s="148">
        <v>10</v>
      </c>
      <c r="O788" s="148" t="s">
        <v>101</v>
      </c>
      <c r="P788" s="148" t="s">
        <v>709</v>
      </c>
      <c r="Y788" s="150" t="s">
        <v>366</v>
      </c>
    </row>
    <row r="789" spans="1:25" ht="15.75" hidden="1" customHeight="1" x14ac:dyDescent="0.25">
      <c r="A789" s="148" t="s">
        <v>76</v>
      </c>
      <c r="B789" s="148" t="s">
        <v>71</v>
      </c>
      <c r="C789" s="148" t="s">
        <v>45</v>
      </c>
      <c r="D789" s="148" t="s">
        <v>29</v>
      </c>
      <c r="E789" s="148" t="s">
        <v>72</v>
      </c>
      <c r="F789" s="148" t="s">
        <v>3183</v>
      </c>
      <c r="G789" s="148" t="s">
        <v>75</v>
      </c>
      <c r="H789" s="148">
        <v>2007</v>
      </c>
      <c r="I789" s="148">
        <v>5</v>
      </c>
      <c r="J789" s="148" t="s">
        <v>150</v>
      </c>
      <c r="K789" s="148" t="s">
        <v>706</v>
      </c>
      <c r="M789" s="148" t="s">
        <v>547</v>
      </c>
      <c r="N789" s="148">
        <v>6</v>
      </c>
      <c r="O789" s="148" t="s">
        <v>83</v>
      </c>
      <c r="Y789" s="150" t="s">
        <v>366</v>
      </c>
    </row>
    <row r="790" spans="1:25" ht="15.75" hidden="1" customHeight="1" x14ac:dyDescent="0.25">
      <c r="A790" s="148" t="s">
        <v>76</v>
      </c>
      <c r="B790" s="148" t="s">
        <v>36</v>
      </c>
      <c r="C790" s="148" t="s">
        <v>28</v>
      </c>
      <c r="D790" s="148" t="s">
        <v>86</v>
      </c>
      <c r="E790" s="148" t="s">
        <v>51</v>
      </c>
      <c r="F790" s="148" t="s">
        <v>3183</v>
      </c>
      <c r="G790" s="148" t="s">
        <v>69</v>
      </c>
      <c r="H790" s="148">
        <v>2007</v>
      </c>
      <c r="I790" s="148">
        <v>5</v>
      </c>
      <c r="J790" s="148" t="s">
        <v>150</v>
      </c>
      <c r="K790" s="148" t="s">
        <v>629</v>
      </c>
      <c r="M790" s="148" t="s">
        <v>120</v>
      </c>
      <c r="N790" s="148">
        <v>6</v>
      </c>
      <c r="O790" s="148" t="s">
        <v>83</v>
      </c>
      <c r="Y790" s="150" t="s">
        <v>366</v>
      </c>
    </row>
    <row r="791" spans="1:25" ht="15.75" hidden="1" customHeight="1" x14ac:dyDescent="0.25">
      <c r="A791" s="148" t="s">
        <v>76</v>
      </c>
      <c r="B791" s="148" t="s">
        <v>89</v>
      </c>
      <c r="C791" s="148" t="s">
        <v>90</v>
      </c>
      <c r="D791" s="148" t="s">
        <v>29</v>
      </c>
      <c r="E791" s="148" t="s">
        <v>30</v>
      </c>
      <c r="F791" s="148" t="s">
        <v>91</v>
      </c>
      <c r="G791" s="148" t="s">
        <v>634</v>
      </c>
      <c r="H791" s="148">
        <v>2007</v>
      </c>
      <c r="I791" s="148">
        <v>5</v>
      </c>
      <c r="J791" s="148" t="s">
        <v>150</v>
      </c>
      <c r="K791" s="148" t="s">
        <v>710</v>
      </c>
      <c r="M791" s="148" t="s">
        <v>533</v>
      </c>
      <c r="N791" s="148">
        <v>6</v>
      </c>
      <c r="O791" s="148" t="s">
        <v>83</v>
      </c>
      <c r="Y791" s="150" t="s">
        <v>366</v>
      </c>
    </row>
    <row r="792" spans="1:25" ht="15.75" hidden="1" customHeight="1" x14ac:dyDescent="0.25">
      <c r="A792" s="148" t="s">
        <v>307</v>
      </c>
      <c r="B792" s="148" t="s">
        <v>77</v>
      </c>
      <c r="C792" s="148" t="s">
        <v>55</v>
      </c>
      <c r="D792" s="148" t="s">
        <v>78</v>
      </c>
      <c r="E792" s="148" t="s">
        <v>30</v>
      </c>
      <c r="F792" s="148" t="s">
        <v>41</v>
      </c>
      <c r="G792" s="148" t="s">
        <v>79</v>
      </c>
      <c r="H792" s="148">
        <v>2007</v>
      </c>
      <c r="I792" s="148">
        <v>5</v>
      </c>
      <c r="J792" s="148" t="s">
        <v>399</v>
      </c>
      <c r="Q792" s="148" t="s">
        <v>309</v>
      </c>
      <c r="R792" s="148" t="s">
        <v>711</v>
      </c>
      <c r="S792" s="148" t="s">
        <v>311</v>
      </c>
      <c r="T792" s="148" t="s">
        <v>712</v>
      </c>
      <c r="Y792" s="150" t="s">
        <v>402</v>
      </c>
    </row>
    <row r="793" spans="1:25" ht="15.75" hidden="1" customHeight="1" x14ac:dyDescent="0.25">
      <c r="A793" s="148" t="s">
        <v>76</v>
      </c>
      <c r="B793" s="148" t="s">
        <v>103</v>
      </c>
      <c r="C793" s="148" t="s">
        <v>55</v>
      </c>
      <c r="D793" s="148" t="s">
        <v>29</v>
      </c>
      <c r="E793" s="148" t="s">
        <v>30</v>
      </c>
      <c r="F793" s="148" t="s">
        <v>56</v>
      </c>
      <c r="G793" s="148" t="s">
        <v>519</v>
      </c>
      <c r="H793" s="148">
        <v>2007</v>
      </c>
      <c r="I793" s="148">
        <v>5</v>
      </c>
      <c r="J793" s="148" t="s">
        <v>118</v>
      </c>
      <c r="K793" s="148" t="s">
        <v>172</v>
      </c>
      <c r="M793" s="148" t="s">
        <v>346</v>
      </c>
      <c r="N793" s="148">
        <v>10</v>
      </c>
      <c r="O793" s="148" t="s">
        <v>101</v>
      </c>
      <c r="P793" s="148" t="s">
        <v>435</v>
      </c>
      <c r="Y793" s="150" t="s">
        <v>366</v>
      </c>
    </row>
    <row r="794" spans="1:25" ht="15.75" hidden="1" customHeight="1" x14ac:dyDescent="0.25">
      <c r="A794" s="148" t="s">
        <v>26</v>
      </c>
      <c r="B794" s="148" t="s">
        <v>36</v>
      </c>
      <c r="C794" s="148" t="s">
        <v>28</v>
      </c>
      <c r="D794" s="148" t="s">
        <v>29</v>
      </c>
      <c r="E794" s="148" t="s">
        <v>30</v>
      </c>
      <c r="F794" s="148" t="s">
        <v>3183</v>
      </c>
      <c r="G794" s="148" t="s">
        <v>194</v>
      </c>
      <c r="H794" s="148">
        <v>2007</v>
      </c>
      <c r="I794" s="148">
        <v>5</v>
      </c>
      <c r="J794" s="148" t="s">
        <v>33</v>
      </c>
      <c r="U794" s="149" t="s">
        <v>112</v>
      </c>
      <c r="V794" s="148" t="s">
        <v>112</v>
      </c>
      <c r="X794" s="149" t="s">
        <v>3622</v>
      </c>
      <c r="Y794" s="150" t="s">
        <v>713</v>
      </c>
    </row>
    <row r="795" spans="1:25" ht="15.75" hidden="1" customHeight="1" x14ac:dyDescent="0.25">
      <c r="A795" s="148" t="s">
        <v>76</v>
      </c>
      <c r="B795" s="148" t="s">
        <v>103</v>
      </c>
      <c r="C795" s="148" t="s">
        <v>55</v>
      </c>
      <c r="D795" s="148" t="s">
        <v>29</v>
      </c>
      <c r="E795" s="148" t="s">
        <v>95</v>
      </c>
      <c r="F795" s="148" t="s">
        <v>56</v>
      </c>
      <c r="G795" s="148" t="s">
        <v>195</v>
      </c>
      <c r="H795" s="148">
        <v>2007</v>
      </c>
      <c r="I795" s="148">
        <v>5</v>
      </c>
      <c r="J795" s="148" t="s">
        <v>118</v>
      </c>
      <c r="K795" s="148" t="s">
        <v>172</v>
      </c>
      <c r="M795" s="148" t="s">
        <v>346</v>
      </c>
      <c r="N795" s="148">
        <v>10</v>
      </c>
      <c r="O795" s="148" t="s">
        <v>101</v>
      </c>
      <c r="P795" s="148" t="s">
        <v>146</v>
      </c>
      <c r="Y795" s="150" t="s">
        <v>366</v>
      </c>
    </row>
    <row r="796" spans="1:25" ht="15.75" hidden="1" customHeight="1" x14ac:dyDescent="0.25">
      <c r="A796" s="148" t="s">
        <v>76</v>
      </c>
      <c r="B796" s="148" t="s">
        <v>62</v>
      </c>
      <c r="C796" s="148" t="s">
        <v>28</v>
      </c>
      <c r="D796" s="148" t="s">
        <v>158</v>
      </c>
      <c r="E796" s="148" t="s">
        <v>51</v>
      </c>
      <c r="F796" s="148" t="s">
        <v>3183</v>
      </c>
      <c r="G796" s="148" t="s">
        <v>130</v>
      </c>
      <c r="H796" s="148">
        <v>2007</v>
      </c>
      <c r="I796" s="148">
        <v>5</v>
      </c>
      <c r="J796" s="148" t="s">
        <v>150</v>
      </c>
      <c r="K796" s="148" t="s">
        <v>455</v>
      </c>
      <c r="M796" s="148" t="s">
        <v>132</v>
      </c>
      <c r="N796" s="148">
        <v>8</v>
      </c>
      <c r="O796" s="148" t="s">
        <v>83</v>
      </c>
      <c r="Y796" s="150" t="s">
        <v>366</v>
      </c>
    </row>
    <row r="797" spans="1:25" ht="15.75" hidden="1" customHeight="1" x14ac:dyDescent="0.25">
      <c r="A797" s="148" t="s">
        <v>76</v>
      </c>
      <c r="B797" s="148" t="s">
        <v>89</v>
      </c>
      <c r="C797" s="148" t="s">
        <v>90</v>
      </c>
      <c r="D797" s="148" t="s">
        <v>29</v>
      </c>
      <c r="E797" s="148" t="s">
        <v>30</v>
      </c>
      <c r="F797" s="148" t="s">
        <v>91</v>
      </c>
      <c r="G797" s="148" t="s">
        <v>369</v>
      </c>
      <c r="H797" s="148">
        <v>2007</v>
      </c>
      <c r="I797" s="148">
        <v>5</v>
      </c>
      <c r="J797" s="148" t="s">
        <v>150</v>
      </c>
      <c r="K797" s="148" t="s">
        <v>710</v>
      </c>
      <c r="M797" s="148" t="s">
        <v>533</v>
      </c>
      <c r="N797" s="148">
        <v>6</v>
      </c>
      <c r="O797" s="148" t="s">
        <v>83</v>
      </c>
      <c r="Y797" s="150" t="s">
        <v>366</v>
      </c>
    </row>
    <row r="798" spans="1:25" ht="15.75" hidden="1" customHeight="1" x14ac:dyDescent="0.25">
      <c r="A798" s="148" t="s">
        <v>76</v>
      </c>
      <c r="B798" s="148" t="s">
        <v>103</v>
      </c>
      <c r="C798" s="148" t="s">
        <v>55</v>
      </c>
      <c r="D798" s="148" t="s">
        <v>29</v>
      </c>
      <c r="E798" s="148" t="s">
        <v>30</v>
      </c>
      <c r="F798" s="148" t="s">
        <v>56</v>
      </c>
      <c r="G798" s="148" t="s">
        <v>381</v>
      </c>
      <c r="H798" s="148">
        <v>2007</v>
      </c>
      <c r="I798" s="148">
        <v>5</v>
      </c>
      <c r="J798" s="148" t="s">
        <v>150</v>
      </c>
      <c r="K798" s="148" t="s">
        <v>172</v>
      </c>
      <c r="M798" s="148" t="s">
        <v>346</v>
      </c>
      <c r="N798" s="148">
        <v>10</v>
      </c>
      <c r="O798" s="148" t="s">
        <v>83</v>
      </c>
      <c r="Y798" s="150" t="s">
        <v>366</v>
      </c>
    </row>
    <row r="799" spans="1:25" ht="15.75" hidden="1" customHeight="1" x14ac:dyDescent="0.25">
      <c r="A799" s="148" t="s">
        <v>76</v>
      </c>
      <c r="B799" s="148" t="s">
        <v>89</v>
      </c>
      <c r="C799" s="148" t="s">
        <v>90</v>
      </c>
      <c r="D799" s="148" t="s">
        <v>29</v>
      </c>
      <c r="E799" s="148" t="s">
        <v>30</v>
      </c>
      <c r="F799" s="148" t="s">
        <v>91</v>
      </c>
      <c r="G799" s="148" t="s">
        <v>93</v>
      </c>
      <c r="H799" s="148">
        <v>2007</v>
      </c>
      <c r="I799" s="148">
        <v>5</v>
      </c>
      <c r="J799" s="148" t="s">
        <v>118</v>
      </c>
      <c r="K799" s="148" t="s">
        <v>172</v>
      </c>
      <c r="M799" s="148" t="s">
        <v>346</v>
      </c>
      <c r="N799" s="148">
        <v>10</v>
      </c>
      <c r="O799" s="148" t="s">
        <v>101</v>
      </c>
      <c r="P799" s="148" t="s">
        <v>146</v>
      </c>
      <c r="Y799" s="150" t="s">
        <v>366</v>
      </c>
    </row>
    <row r="800" spans="1:25" ht="15.75" hidden="1" customHeight="1" x14ac:dyDescent="0.25">
      <c r="A800" s="148" t="s">
        <v>76</v>
      </c>
      <c r="B800" s="148" t="s">
        <v>36</v>
      </c>
      <c r="C800" s="148" t="s">
        <v>28</v>
      </c>
      <c r="D800" s="148" t="s">
        <v>99</v>
      </c>
      <c r="E800" s="148" t="s">
        <v>51</v>
      </c>
      <c r="F800" s="148" t="s">
        <v>3183</v>
      </c>
      <c r="G800" s="148" t="s">
        <v>52</v>
      </c>
      <c r="H800" s="148">
        <v>2007</v>
      </c>
      <c r="I800" s="148">
        <v>5</v>
      </c>
      <c r="J800" s="148" t="s">
        <v>118</v>
      </c>
      <c r="K800" s="148" t="s">
        <v>172</v>
      </c>
      <c r="M800" s="148" t="s">
        <v>346</v>
      </c>
      <c r="N800" s="148">
        <v>10</v>
      </c>
      <c r="O800" s="148" t="s">
        <v>101</v>
      </c>
      <c r="P800" s="148" t="s">
        <v>206</v>
      </c>
      <c r="Y800" s="150" t="s">
        <v>366</v>
      </c>
    </row>
    <row r="801" spans="1:26" ht="15.75" hidden="1" customHeight="1" x14ac:dyDescent="0.25">
      <c r="A801" s="148" t="s">
        <v>76</v>
      </c>
      <c r="B801" s="148" t="s">
        <v>36</v>
      </c>
      <c r="C801" s="148" t="s">
        <v>28</v>
      </c>
      <c r="D801" s="148" t="s">
        <v>99</v>
      </c>
      <c r="E801" s="148" t="s">
        <v>51</v>
      </c>
      <c r="F801" s="148" t="s">
        <v>3183</v>
      </c>
      <c r="G801" s="148" t="s">
        <v>52</v>
      </c>
      <c r="H801" s="148">
        <v>2007</v>
      </c>
      <c r="I801" s="148">
        <v>5</v>
      </c>
      <c r="J801" s="148" t="s">
        <v>118</v>
      </c>
      <c r="K801" s="148" t="s">
        <v>172</v>
      </c>
      <c r="M801" s="148" t="s">
        <v>346</v>
      </c>
      <c r="N801" s="148">
        <v>10</v>
      </c>
      <c r="O801" s="148" t="s">
        <v>83</v>
      </c>
      <c r="Y801" s="150" t="s">
        <v>366</v>
      </c>
    </row>
    <row r="802" spans="1:26" ht="15.75" hidden="1" customHeight="1" x14ac:dyDescent="0.25">
      <c r="A802" s="148" t="s">
        <v>76</v>
      </c>
      <c r="B802" s="148" t="s">
        <v>89</v>
      </c>
      <c r="C802" s="148" t="s">
        <v>90</v>
      </c>
      <c r="D802" s="148" t="s">
        <v>29</v>
      </c>
      <c r="E802" s="148" t="s">
        <v>40</v>
      </c>
      <c r="F802" s="148" t="s">
        <v>91</v>
      </c>
      <c r="G802" s="148" t="s">
        <v>413</v>
      </c>
      <c r="H802" s="148">
        <v>2007</v>
      </c>
      <c r="I802" s="148">
        <v>5</v>
      </c>
      <c r="J802" s="148" t="s">
        <v>118</v>
      </c>
      <c r="K802" s="148" t="s">
        <v>172</v>
      </c>
      <c r="M802" s="148" t="s">
        <v>346</v>
      </c>
      <c r="N802" s="148">
        <v>10</v>
      </c>
      <c r="O802" s="148" t="s">
        <v>101</v>
      </c>
      <c r="P802" s="148" t="s">
        <v>714</v>
      </c>
      <c r="Y802" s="150" t="s">
        <v>366</v>
      </c>
    </row>
    <row r="803" spans="1:26" ht="15.75" hidden="1" customHeight="1" x14ac:dyDescent="0.25">
      <c r="A803" s="148" t="s">
        <v>76</v>
      </c>
      <c r="B803" s="148" t="s">
        <v>103</v>
      </c>
      <c r="C803" s="148" t="s">
        <v>55</v>
      </c>
      <c r="D803" s="148" t="s">
        <v>478</v>
      </c>
      <c r="E803" s="148" t="s">
        <v>95</v>
      </c>
      <c r="F803" s="148" t="s">
        <v>56</v>
      </c>
      <c r="G803" s="148" t="s">
        <v>108</v>
      </c>
      <c r="H803" s="148">
        <v>2007</v>
      </c>
      <c r="I803" s="148">
        <v>5</v>
      </c>
      <c r="J803" s="148" t="s">
        <v>118</v>
      </c>
      <c r="K803" s="148" t="s">
        <v>520</v>
      </c>
      <c r="M803" s="148" t="s">
        <v>701</v>
      </c>
      <c r="N803" s="148">
        <v>8</v>
      </c>
      <c r="O803" s="148" t="s">
        <v>83</v>
      </c>
      <c r="Y803" s="150" t="s">
        <v>366</v>
      </c>
    </row>
    <row r="804" spans="1:26" ht="15.75" hidden="1" customHeight="1" x14ac:dyDescent="0.25">
      <c r="A804" s="148" t="s">
        <v>76</v>
      </c>
      <c r="B804" s="148" t="s">
        <v>44</v>
      </c>
      <c r="C804" s="148" t="s">
        <v>45</v>
      </c>
      <c r="D804" s="148" t="s">
        <v>29</v>
      </c>
      <c r="E804" s="148" t="s">
        <v>46</v>
      </c>
      <c r="F804" s="148" t="s">
        <v>47</v>
      </c>
      <c r="G804" s="148" t="s">
        <v>48</v>
      </c>
      <c r="H804" s="148">
        <v>2007</v>
      </c>
      <c r="I804" s="148">
        <v>5</v>
      </c>
      <c r="J804" s="148" t="s">
        <v>118</v>
      </c>
      <c r="K804" s="148" t="s">
        <v>172</v>
      </c>
      <c r="M804" s="148" t="s">
        <v>346</v>
      </c>
      <c r="N804" s="148">
        <v>10</v>
      </c>
      <c r="O804" s="148" t="s">
        <v>83</v>
      </c>
      <c r="Y804" s="150" t="s">
        <v>366</v>
      </c>
    </row>
    <row r="805" spans="1:26" ht="15.75" hidden="1" customHeight="1" x14ac:dyDescent="0.25">
      <c r="A805" s="148" t="s">
        <v>76</v>
      </c>
      <c r="B805" s="148" t="s">
        <v>44</v>
      </c>
      <c r="C805" s="148" t="s">
        <v>45</v>
      </c>
      <c r="D805" s="148" t="s">
        <v>29</v>
      </c>
      <c r="E805" s="148" t="s">
        <v>46</v>
      </c>
      <c r="F805" s="148" t="s">
        <v>47</v>
      </c>
      <c r="G805" s="148" t="s">
        <v>48</v>
      </c>
      <c r="H805" s="148">
        <v>2007</v>
      </c>
      <c r="I805" s="148">
        <v>5</v>
      </c>
      <c r="J805" s="148" t="s">
        <v>150</v>
      </c>
      <c r="K805" s="148" t="s">
        <v>715</v>
      </c>
      <c r="M805" s="148" t="s">
        <v>574</v>
      </c>
      <c r="N805" s="148">
        <v>6</v>
      </c>
      <c r="O805" s="148" t="s">
        <v>83</v>
      </c>
      <c r="P805" s="148" t="s">
        <v>398</v>
      </c>
      <c r="Y805" s="150" t="s">
        <v>366</v>
      </c>
    </row>
    <row r="806" spans="1:26" ht="15.75" hidden="1" customHeight="1" x14ac:dyDescent="0.25">
      <c r="A806" s="148" t="s">
        <v>76</v>
      </c>
      <c r="B806" s="148" t="s">
        <v>77</v>
      </c>
      <c r="C806" s="148" t="s">
        <v>55</v>
      </c>
      <c r="D806" s="148" t="s">
        <v>29</v>
      </c>
      <c r="E806" s="148" t="s">
        <v>30</v>
      </c>
      <c r="F806" s="148" t="s">
        <v>41</v>
      </c>
      <c r="G806" s="148" t="s">
        <v>363</v>
      </c>
      <c r="H806" s="148">
        <v>2007</v>
      </c>
      <c r="I806" s="148">
        <v>5</v>
      </c>
      <c r="J806" s="148" t="s">
        <v>118</v>
      </c>
      <c r="K806" s="148" t="s">
        <v>172</v>
      </c>
      <c r="M806" s="148" t="s">
        <v>346</v>
      </c>
      <c r="N806" s="148">
        <v>10</v>
      </c>
      <c r="O806" s="148" t="s">
        <v>101</v>
      </c>
      <c r="P806" s="148" t="s">
        <v>512</v>
      </c>
      <c r="Y806" s="150" t="s">
        <v>366</v>
      </c>
    </row>
    <row r="807" spans="1:26" ht="15.75" hidden="1" customHeight="1" x14ac:dyDescent="0.25">
      <c r="A807" s="148" t="s">
        <v>76</v>
      </c>
      <c r="B807" s="148" t="s">
        <v>198</v>
      </c>
      <c r="C807" s="148" t="s">
        <v>45</v>
      </c>
      <c r="D807" s="148" t="s">
        <v>257</v>
      </c>
      <c r="E807" s="148" t="s">
        <v>30</v>
      </c>
      <c r="F807" s="148" t="s">
        <v>199</v>
      </c>
      <c r="G807" s="148" t="s">
        <v>258</v>
      </c>
      <c r="H807" s="148">
        <v>2007</v>
      </c>
      <c r="I807" s="148">
        <v>5</v>
      </c>
      <c r="J807" s="148" t="s">
        <v>150</v>
      </c>
      <c r="K807" s="148" t="s">
        <v>629</v>
      </c>
      <c r="M807" s="148" t="s">
        <v>120</v>
      </c>
      <c r="N807" s="148">
        <v>6</v>
      </c>
      <c r="O807" s="148" t="s">
        <v>83</v>
      </c>
      <c r="Y807" s="150" t="s">
        <v>366</v>
      </c>
    </row>
    <row r="808" spans="1:26" ht="15.75" hidden="1" customHeight="1" x14ac:dyDescent="0.25">
      <c r="A808" s="148" t="s">
        <v>76</v>
      </c>
      <c r="B808" s="148" t="s">
        <v>36</v>
      </c>
      <c r="C808" s="148" t="s">
        <v>28</v>
      </c>
      <c r="D808" s="148" t="s">
        <v>29</v>
      </c>
      <c r="E808" s="148" t="s">
        <v>30</v>
      </c>
      <c r="F808" s="148" t="s">
        <v>3183</v>
      </c>
      <c r="G808" s="148" t="s">
        <v>114</v>
      </c>
      <c r="H808" s="148">
        <v>2007</v>
      </c>
      <c r="I808" s="148">
        <v>5</v>
      </c>
      <c r="J808" s="148" t="s">
        <v>118</v>
      </c>
      <c r="K808" s="148" t="s">
        <v>172</v>
      </c>
      <c r="M808" s="148" t="s">
        <v>346</v>
      </c>
      <c r="N808" s="148">
        <v>10</v>
      </c>
      <c r="O808" s="148" t="s">
        <v>101</v>
      </c>
      <c r="P808" s="148" t="s">
        <v>146</v>
      </c>
      <c r="Y808" s="150" t="s">
        <v>366</v>
      </c>
    </row>
    <row r="809" spans="1:26" ht="15.75" hidden="1" customHeight="1" x14ac:dyDescent="0.25">
      <c r="A809" s="148" t="s">
        <v>76</v>
      </c>
      <c r="B809" s="148" t="s">
        <v>36</v>
      </c>
      <c r="C809" s="148" t="s">
        <v>28</v>
      </c>
      <c r="D809" s="148" t="s">
        <v>29</v>
      </c>
      <c r="E809" s="148" t="s">
        <v>30</v>
      </c>
      <c r="F809" s="148" t="s">
        <v>3183</v>
      </c>
      <c r="G809" s="148" t="s">
        <v>114</v>
      </c>
      <c r="H809" s="148">
        <v>2007</v>
      </c>
      <c r="I809" s="148">
        <v>5</v>
      </c>
      <c r="J809" s="148" t="s">
        <v>150</v>
      </c>
      <c r="K809" s="148" t="s">
        <v>455</v>
      </c>
      <c r="M809" s="148" t="s">
        <v>132</v>
      </c>
      <c r="N809" s="148">
        <v>8</v>
      </c>
      <c r="O809" s="148" t="s">
        <v>83</v>
      </c>
      <c r="Y809" s="150" t="s">
        <v>366</v>
      </c>
    </row>
    <row r="810" spans="1:26" ht="15.75" hidden="1" customHeight="1" x14ac:dyDescent="0.25">
      <c r="A810" s="148" t="s">
        <v>307</v>
      </c>
      <c r="B810" s="148" t="s">
        <v>62</v>
      </c>
      <c r="C810" s="148" t="s">
        <v>46</v>
      </c>
      <c r="D810" s="148" t="s">
        <v>78</v>
      </c>
      <c r="E810" s="148" t="s">
        <v>30</v>
      </c>
      <c r="F810" s="148" t="s">
        <v>3183</v>
      </c>
      <c r="G810" s="148" t="s">
        <v>716</v>
      </c>
      <c r="H810" s="148">
        <v>2007</v>
      </c>
      <c r="I810" s="148">
        <v>5</v>
      </c>
      <c r="J810" s="148" t="s">
        <v>399</v>
      </c>
      <c r="Q810" s="148" t="s">
        <v>426</v>
      </c>
      <c r="R810" s="148" t="s">
        <v>717</v>
      </c>
      <c r="S810" s="148" t="s">
        <v>427</v>
      </c>
      <c r="T810" s="148" t="s">
        <v>718</v>
      </c>
      <c r="Y810" s="150" t="s">
        <v>719</v>
      </c>
      <c r="Z810" s="148" t="s">
        <v>720</v>
      </c>
    </row>
    <row r="811" spans="1:26" ht="15.75" hidden="1" customHeight="1" x14ac:dyDescent="0.25">
      <c r="A811" s="148" t="s">
        <v>76</v>
      </c>
      <c r="B811" s="148" t="s">
        <v>103</v>
      </c>
      <c r="C811" s="148" t="s">
        <v>55</v>
      </c>
      <c r="D811" s="148" t="s">
        <v>29</v>
      </c>
      <c r="E811" s="148" t="s">
        <v>95</v>
      </c>
      <c r="F811" s="148" t="s">
        <v>56</v>
      </c>
      <c r="G811" s="148" t="s">
        <v>382</v>
      </c>
      <c r="H811" s="148">
        <v>2007</v>
      </c>
      <c r="I811" s="148">
        <v>6</v>
      </c>
      <c r="J811" s="148" t="s">
        <v>150</v>
      </c>
      <c r="K811" s="148" t="s">
        <v>721</v>
      </c>
      <c r="M811" s="148" t="s">
        <v>515</v>
      </c>
      <c r="N811" s="148">
        <v>6</v>
      </c>
      <c r="O811" s="148" t="s">
        <v>83</v>
      </c>
      <c r="Y811" s="150" t="s">
        <v>366</v>
      </c>
    </row>
    <row r="812" spans="1:26" ht="15.75" hidden="1" customHeight="1" x14ac:dyDescent="0.25">
      <c r="A812" s="148" t="s">
        <v>76</v>
      </c>
      <c r="B812" s="148" t="s">
        <v>198</v>
      </c>
      <c r="C812" s="148" t="s">
        <v>45</v>
      </c>
      <c r="D812" s="148" t="s">
        <v>29</v>
      </c>
      <c r="E812" s="148" t="s">
        <v>30</v>
      </c>
      <c r="F812" s="148" t="s">
        <v>199</v>
      </c>
      <c r="G812" s="148" t="s">
        <v>214</v>
      </c>
      <c r="H812" s="148">
        <v>2007</v>
      </c>
      <c r="I812" s="148">
        <v>6</v>
      </c>
      <c r="J812" s="148" t="s">
        <v>150</v>
      </c>
      <c r="K812" s="148" t="s">
        <v>541</v>
      </c>
      <c r="M812" s="148" t="s">
        <v>575</v>
      </c>
      <c r="N812" s="148">
        <v>6</v>
      </c>
      <c r="O812" s="148" t="s">
        <v>83</v>
      </c>
      <c r="Y812" s="150" t="s">
        <v>366</v>
      </c>
    </row>
    <row r="813" spans="1:26" ht="15.75" hidden="1" customHeight="1" x14ac:dyDescent="0.25">
      <c r="A813" s="148" t="s">
        <v>76</v>
      </c>
      <c r="B813" s="148" t="s">
        <v>103</v>
      </c>
      <c r="C813" s="148" t="s">
        <v>55</v>
      </c>
      <c r="D813" s="148" t="s">
        <v>478</v>
      </c>
      <c r="E813" s="148" t="s">
        <v>95</v>
      </c>
      <c r="F813" s="148" t="s">
        <v>56</v>
      </c>
      <c r="G813" s="148" t="s">
        <v>153</v>
      </c>
      <c r="H813" s="148">
        <v>2007</v>
      </c>
      <c r="I813" s="148">
        <v>6</v>
      </c>
      <c r="J813" s="148" t="s">
        <v>150</v>
      </c>
      <c r="K813" s="148" t="s">
        <v>393</v>
      </c>
      <c r="M813" s="148" t="s">
        <v>394</v>
      </c>
      <c r="N813" s="148">
        <v>6</v>
      </c>
      <c r="O813" s="148" t="s">
        <v>83</v>
      </c>
      <c r="Y813" s="150" t="s">
        <v>366</v>
      </c>
    </row>
    <row r="814" spans="1:26" ht="15.75" hidden="1" customHeight="1" x14ac:dyDescent="0.25">
      <c r="A814" s="148" t="s">
        <v>76</v>
      </c>
      <c r="B814" s="148" t="s">
        <v>36</v>
      </c>
      <c r="C814" s="148" t="s">
        <v>28</v>
      </c>
      <c r="D814" s="148" t="s">
        <v>29</v>
      </c>
      <c r="E814" s="148" t="s">
        <v>30</v>
      </c>
      <c r="F814" s="148" t="s">
        <v>3183</v>
      </c>
      <c r="G814" s="148" t="s">
        <v>722</v>
      </c>
      <c r="H814" s="148">
        <v>2007</v>
      </c>
      <c r="I814" s="148">
        <v>6</v>
      </c>
      <c r="J814" s="148" t="s">
        <v>80</v>
      </c>
      <c r="K814" s="148" t="s">
        <v>721</v>
      </c>
      <c r="M814" s="148" t="s">
        <v>120</v>
      </c>
      <c r="N814" s="148">
        <v>6</v>
      </c>
      <c r="O814" s="148" t="s">
        <v>83</v>
      </c>
      <c r="P814" s="148" t="s">
        <v>723</v>
      </c>
      <c r="Y814" s="150" t="s">
        <v>724</v>
      </c>
    </row>
    <row r="815" spans="1:26" ht="15.75" hidden="1" customHeight="1" x14ac:dyDescent="0.25">
      <c r="A815" s="148" t="s">
        <v>76</v>
      </c>
      <c r="B815" s="148" t="s">
        <v>103</v>
      </c>
      <c r="C815" s="148" t="s">
        <v>55</v>
      </c>
      <c r="D815" s="148" t="s">
        <v>478</v>
      </c>
      <c r="E815" s="148" t="s">
        <v>95</v>
      </c>
      <c r="F815" s="148" t="s">
        <v>56</v>
      </c>
      <c r="G815" s="148" t="s">
        <v>107</v>
      </c>
      <c r="H815" s="148">
        <v>2007</v>
      </c>
      <c r="I815" s="152">
        <v>6</v>
      </c>
      <c r="J815" s="148" t="s">
        <v>150</v>
      </c>
      <c r="K815" s="148" t="s">
        <v>393</v>
      </c>
      <c r="M815" s="148" t="s">
        <v>394</v>
      </c>
      <c r="N815" s="148">
        <v>6</v>
      </c>
      <c r="O815" s="148" t="s">
        <v>83</v>
      </c>
      <c r="Y815" s="150" t="s">
        <v>366</v>
      </c>
    </row>
    <row r="816" spans="1:26" ht="15.75" hidden="1" customHeight="1" x14ac:dyDescent="0.25">
      <c r="A816" s="148" t="s">
        <v>76</v>
      </c>
      <c r="B816" s="148" t="s">
        <v>77</v>
      </c>
      <c r="C816" s="148" t="s">
        <v>55</v>
      </c>
      <c r="D816" s="148" t="s">
        <v>29</v>
      </c>
      <c r="E816" s="148" t="s">
        <v>30</v>
      </c>
      <c r="F816" s="148" t="s">
        <v>41</v>
      </c>
      <c r="G816" s="148" t="s">
        <v>161</v>
      </c>
      <c r="H816" s="148">
        <v>2007</v>
      </c>
      <c r="I816" s="148">
        <v>6</v>
      </c>
      <c r="J816" s="148" t="s">
        <v>150</v>
      </c>
      <c r="K816" s="148" t="s">
        <v>172</v>
      </c>
      <c r="M816" s="148" t="s">
        <v>346</v>
      </c>
      <c r="N816" s="148">
        <v>10</v>
      </c>
      <c r="O816" s="148" t="s">
        <v>83</v>
      </c>
      <c r="Y816" s="150" t="s">
        <v>366</v>
      </c>
    </row>
    <row r="817" spans="1:25" ht="15.75" hidden="1" customHeight="1" x14ac:dyDescent="0.25">
      <c r="A817" s="148" t="s">
        <v>76</v>
      </c>
      <c r="B817" s="148" t="s">
        <v>89</v>
      </c>
      <c r="C817" s="148" t="s">
        <v>90</v>
      </c>
      <c r="D817" s="148" t="s">
        <v>29</v>
      </c>
      <c r="E817" s="148" t="s">
        <v>30</v>
      </c>
      <c r="F817" s="148" t="s">
        <v>91</v>
      </c>
      <c r="G817" s="148" t="s">
        <v>411</v>
      </c>
      <c r="H817" s="148">
        <v>2007</v>
      </c>
      <c r="I817" s="148">
        <v>6</v>
      </c>
      <c r="J817" s="148" t="s">
        <v>118</v>
      </c>
      <c r="K817" s="148" t="s">
        <v>388</v>
      </c>
      <c r="M817" s="148" t="s">
        <v>126</v>
      </c>
      <c r="N817" s="148">
        <v>10</v>
      </c>
      <c r="O817" s="148" t="s">
        <v>101</v>
      </c>
      <c r="P817" s="148" t="s">
        <v>435</v>
      </c>
      <c r="Y817" s="150" t="s">
        <v>366</v>
      </c>
    </row>
    <row r="818" spans="1:25" ht="15.75" hidden="1" customHeight="1" x14ac:dyDescent="0.25">
      <c r="A818" s="148" t="s">
        <v>76</v>
      </c>
      <c r="B818" s="148" t="s">
        <v>71</v>
      </c>
      <c r="C818" s="148" t="s">
        <v>45</v>
      </c>
      <c r="D818" s="148" t="s">
        <v>29</v>
      </c>
      <c r="E818" s="148" t="s">
        <v>72</v>
      </c>
      <c r="F818" s="148" t="s">
        <v>3183</v>
      </c>
      <c r="G818" s="148" t="s">
        <v>75</v>
      </c>
      <c r="H818" s="148">
        <v>2007</v>
      </c>
      <c r="I818" s="148">
        <v>6</v>
      </c>
      <c r="J818" s="148" t="s">
        <v>150</v>
      </c>
      <c r="K818" s="148" t="s">
        <v>725</v>
      </c>
      <c r="M818" s="148" t="s">
        <v>454</v>
      </c>
      <c r="N818" s="148">
        <v>6</v>
      </c>
      <c r="O818" s="148" t="s">
        <v>83</v>
      </c>
      <c r="Y818" s="150" t="s">
        <v>366</v>
      </c>
    </row>
    <row r="819" spans="1:25" ht="15.75" hidden="1" customHeight="1" x14ac:dyDescent="0.25">
      <c r="A819" s="148" t="s">
        <v>76</v>
      </c>
      <c r="B819" s="148" t="s">
        <v>54</v>
      </c>
      <c r="C819" s="148" t="s">
        <v>55</v>
      </c>
      <c r="D819" s="148" t="s">
        <v>65</v>
      </c>
      <c r="E819" s="148" t="s">
        <v>30</v>
      </c>
      <c r="F819" s="148" t="s">
        <v>56</v>
      </c>
      <c r="G819" s="148" t="s">
        <v>54</v>
      </c>
      <c r="H819" s="148">
        <v>2007</v>
      </c>
      <c r="I819" s="148">
        <v>6</v>
      </c>
      <c r="J819" s="148" t="s">
        <v>150</v>
      </c>
      <c r="K819" s="148" t="s">
        <v>721</v>
      </c>
      <c r="M819" s="148" t="s">
        <v>515</v>
      </c>
      <c r="N819" s="148">
        <v>6</v>
      </c>
      <c r="O819" s="148" t="s">
        <v>83</v>
      </c>
      <c r="Y819" s="150" t="s">
        <v>366</v>
      </c>
    </row>
    <row r="820" spans="1:25" ht="15.75" hidden="1" customHeight="1" x14ac:dyDescent="0.25">
      <c r="A820" s="148" t="s">
        <v>76</v>
      </c>
      <c r="B820" s="148" t="s">
        <v>77</v>
      </c>
      <c r="C820" s="148" t="s">
        <v>55</v>
      </c>
      <c r="D820" s="148" t="s">
        <v>78</v>
      </c>
      <c r="E820" s="148" t="s">
        <v>30</v>
      </c>
      <c r="F820" s="148" t="s">
        <v>41</v>
      </c>
      <c r="G820" s="148" t="s">
        <v>79</v>
      </c>
      <c r="H820" s="148">
        <v>2007</v>
      </c>
      <c r="I820" s="148">
        <v>6</v>
      </c>
      <c r="J820" s="148" t="s">
        <v>80</v>
      </c>
      <c r="K820" s="148" t="s">
        <v>172</v>
      </c>
      <c r="M820" s="148" t="s">
        <v>346</v>
      </c>
      <c r="N820" s="148">
        <v>10</v>
      </c>
      <c r="O820" s="148" t="s">
        <v>101</v>
      </c>
      <c r="P820" s="148" t="s">
        <v>726</v>
      </c>
      <c r="Y820" s="150" t="s">
        <v>727</v>
      </c>
    </row>
    <row r="821" spans="1:25" ht="15.75" customHeight="1" x14ac:dyDescent="0.25">
      <c r="A821" s="148" t="s">
        <v>76</v>
      </c>
      <c r="B821" s="148" t="s">
        <v>36</v>
      </c>
      <c r="C821" s="148" t="s">
        <v>28</v>
      </c>
      <c r="D821" s="148" t="s">
        <v>29</v>
      </c>
      <c r="E821" s="148" t="s">
        <v>30</v>
      </c>
      <c r="F821" s="148" t="s">
        <v>3183</v>
      </c>
      <c r="G821" s="148" t="s">
        <v>194</v>
      </c>
      <c r="H821" s="148">
        <v>2007</v>
      </c>
      <c r="I821" s="148">
        <v>6</v>
      </c>
      <c r="J821" s="148" t="s">
        <v>150</v>
      </c>
      <c r="K821" s="148" t="s">
        <v>629</v>
      </c>
      <c r="M821" s="148" t="s">
        <v>120</v>
      </c>
      <c r="N821" s="148">
        <v>6</v>
      </c>
      <c r="O821" s="148" t="s">
        <v>83</v>
      </c>
      <c r="Y821" s="150" t="s">
        <v>366</v>
      </c>
    </row>
    <row r="822" spans="1:25" ht="15.75" hidden="1" customHeight="1" x14ac:dyDescent="0.25">
      <c r="A822" s="148" t="s">
        <v>76</v>
      </c>
      <c r="B822" s="148" t="s">
        <v>62</v>
      </c>
      <c r="C822" s="148" t="s">
        <v>28</v>
      </c>
      <c r="D822" s="148" t="s">
        <v>158</v>
      </c>
      <c r="E822" s="148" t="s">
        <v>51</v>
      </c>
      <c r="F822" s="148" t="s">
        <v>3183</v>
      </c>
      <c r="G822" s="148" t="s">
        <v>130</v>
      </c>
      <c r="H822" s="148">
        <v>2007</v>
      </c>
      <c r="I822" s="148">
        <v>6</v>
      </c>
      <c r="J822" s="148" t="s">
        <v>150</v>
      </c>
      <c r="K822" s="148" t="s">
        <v>725</v>
      </c>
      <c r="M822" s="148" t="s">
        <v>454</v>
      </c>
      <c r="N822" s="148">
        <v>6</v>
      </c>
      <c r="O822" s="148" t="s">
        <v>83</v>
      </c>
      <c r="Y822" s="150" t="s">
        <v>366</v>
      </c>
    </row>
    <row r="823" spans="1:25" ht="15.75" hidden="1" customHeight="1" x14ac:dyDescent="0.25">
      <c r="A823" s="148" t="s">
        <v>76</v>
      </c>
      <c r="B823" s="148" t="s">
        <v>103</v>
      </c>
      <c r="C823" s="148" t="s">
        <v>55</v>
      </c>
      <c r="D823" s="148" t="s">
        <v>29</v>
      </c>
      <c r="E823" s="148" t="s">
        <v>95</v>
      </c>
      <c r="F823" s="148" t="s">
        <v>56</v>
      </c>
      <c r="G823" s="148" t="s">
        <v>186</v>
      </c>
      <c r="H823" s="148">
        <v>2007</v>
      </c>
      <c r="I823" s="148">
        <v>6</v>
      </c>
      <c r="J823" s="148" t="s">
        <v>118</v>
      </c>
      <c r="K823" s="148" t="s">
        <v>629</v>
      </c>
      <c r="M823" s="148" t="s">
        <v>120</v>
      </c>
      <c r="N823" s="148">
        <v>6</v>
      </c>
      <c r="O823" s="148" t="s">
        <v>83</v>
      </c>
      <c r="Y823" s="150" t="s">
        <v>366</v>
      </c>
    </row>
    <row r="824" spans="1:25" ht="15.75" hidden="1" customHeight="1" x14ac:dyDescent="0.25">
      <c r="A824" s="148" t="s">
        <v>76</v>
      </c>
      <c r="B824" s="148" t="s">
        <v>44</v>
      </c>
      <c r="C824" s="148" t="s">
        <v>45</v>
      </c>
      <c r="D824" s="148" t="s">
        <v>29</v>
      </c>
      <c r="E824" s="148" t="s">
        <v>46</v>
      </c>
      <c r="F824" s="148" t="s">
        <v>47</v>
      </c>
      <c r="G824" s="148" t="s">
        <v>48</v>
      </c>
      <c r="H824" s="148">
        <v>2007</v>
      </c>
      <c r="I824" s="148">
        <v>6</v>
      </c>
      <c r="J824" s="148" t="s">
        <v>640</v>
      </c>
      <c r="K824" s="148" t="s">
        <v>721</v>
      </c>
      <c r="M824" s="148" t="s">
        <v>120</v>
      </c>
      <c r="N824" s="148">
        <v>6</v>
      </c>
      <c r="O824" s="148" t="s">
        <v>83</v>
      </c>
      <c r="P824" s="148" t="s">
        <v>398</v>
      </c>
      <c r="Y824" s="150" t="s">
        <v>728</v>
      </c>
    </row>
    <row r="825" spans="1:25" ht="15.75" hidden="1" customHeight="1" x14ac:dyDescent="0.25">
      <c r="A825" s="148" t="s">
        <v>76</v>
      </c>
      <c r="B825" s="148" t="s">
        <v>89</v>
      </c>
      <c r="C825" s="148" t="s">
        <v>90</v>
      </c>
      <c r="D825" s="148" t="s">
        <v>29</v>
      </c>
      <c r="E825" s="148" t="s">
        <v>30</v>
      </c>
      <c r="F825" s="148" t="s">
        <v>91</v>
      </c>
      <c r="G825" s="148" t="s">
        <v>280</v>
      </c>
      <c r="H825" s="148">
        <v>2007</v>
      </c>
      <c r="I825" s="148">
        <v>6</v>
      </c>
      <c r="J825" s="148" t="s">
        <v>118</v>
      </c>
      <c r="K825" s="148" t="s">
        <v>172</v>
      </c>
      <c r="M825" s="148" t="s">
        <v>346</v>
      </c>
      <c r="N825" s="148">
        <v>10</v>
      </c>
      <c r="O825" s="148" t="s">
        <v>101</v>
      </c>
      <c r="P825" s="148" t="s">
        <v>146</v>
      </c>
      <c r="Y825" s="150" t="s">
        <v>366</v>
      </c>
    </row>
    <row r="826" spans="1:25" ht="15.75" hidden="1" customHeight="1" x14ac:dyDescent="0.25">
      <c r="A826" s="148" t="s">
        <v>76</v>
      </c>
      <c r="B826" s="148" t="s">
        <v>89</v>
      </c>
      <c r="C826" s="148" t="s">
        <v>90</v>
      </c>
      <c r="D826" s="148" t="s">
        <v>29</v>
      </c>
      <c r="E826" s="148" t="s">
        <v>30</v>
      </c>
      <c r="F826" s="148" t="s">
        <v>91</v>
      </c>
      <c r="G826" s="148" t="s">
        <v>414</v>
      </c>
      <c r="H826" s="148">
        <v>2007</v>
      </c>
      <c r="I826" s="148">
        <v>6</v>
      </c>
      <c r="J826" s="148" t="s">
        <v>118</v>
      </c>
      <c r="K826" s="148" t="s">
        <v>172</v>
      </c>
      <c r="M826" s="148" t="s">
        <v>346</v>
      </c>
      <c r="N826" s="148">
        <v>10</v>
      </c>
      <c r="O826" s="148" t="s">
        <v>101</v>
      </c>
      <c r="P826" s="148" t="s">
        <v>146</v>
      </c>
      <c r="Y826" s="150" t="s">
        <v>366</v>
      </c>
    </row>
    <row r="827" spans="1:25" ht="15.75" hidden="1" customHeight="1" x14ac:dyDescent="0.25">
      <c r="A827" s="148" t="s">
        <v>76</v>
      </c>
      <c r="B827" s="148" t="s">
        <v>71</v>
      </c>
      <c r="C827" s="148" t="s">
        <v>45</v>
      </c>
      <c r="D827" s="148" t="s">
        <v>29</v>
      </c>
      <c r="E827" s="148" t="s">
        <v>72</v>
      </c>
      <c r="F827" s="148" t="s">
        <v>3183</v>
      </c>
      <c r="G827" s="148" t="s">
        <v>73</v>
      </c>
      <c r="H827" s="148">
        <v>2007</v>
      </c>
      <c r="I827" s="148">
        <v>7</v>
      </c>
      <c r="J827" s="148" t="s">
        <v>118</v>
      </c>
      <c r="K827" s="148" t="s">
        <v>172</v>
      </c>
      <c r="M827" s="148" t="s">
        <v>346</v>
      </c>
      <c r="N827" s="148">
        <v>8</v>
      </c>
      <c r="O827" s="148" t="s">
        <v>101</v>
      </c>
      <c r="P827" s="148" t="s">
        <v>146</v>
      </c>
      <c r="Y827" s="150" t="s">
        <v>729</v>
      </c>
    </row>
    <row r="828" spans="1:25" ht="15.75" hidden="1" customHeight="1" x14ac:dyDescent="0.25">
      <c r="A828" s="148" t="s">
        <v>76</v>
      </c>
      <c r="B828" s="148" t="s">
        <v>103</v>
      </c>
      <c r="C828" s="148" t="s">
        <v>55</v>
      </c>
      <c r="D828" s="148" t="s">
        <v>29</v>
      </c>
      <c r="E828" s="148" t="s">
        <v>95</v>
      </c>
      <c r="F828" s="148" t="s">
        <v>56</v>
      </c>
      <c r="G828" s="148" t="s">
        <v>382</v>
      </c>
      <c r="H828" s="148">
        <v>2007</v>
      </c>
      <c r="I828" s="148">
        <v>7</v>
      </c>
      <c r="J828" s="148" t="s">
        <v>118</v>
      </c>
      <c r="K828" s="148" t="s">
        <v>730</v>
      </c>
      <c r="M828" s="148" t="s">
        <v>120</v>
      </c>
      <c r="N828" s="148">
        <v>6</v>
      </c>
      <c r="O828" s="148" t="s">
        <v>101</v>
      </c>
      <c r="P828" s="148" t="s">
        <v>123</v>
      </c>
      <c r="Y828" s="150" t="s">
        <v>731</v>
      </c>
    </row>
    <row r="829" spans="1:25" ht="15.75" hidden="1" customHeight="1" x14ac:dyDescent="0.25">
      <c r="A829" s="148" t="s">
        <v>76</v>
      </c>
      <c r="B829" s="148" t="s">
        <v>198</v>
      </c>
      <c r="C829" s="148" t="s">
        <v>45</v>
      </c>
      <c r="D829" s="148" t="s">
        <v>94</v>
      </c>
      <c r="E829" s="148" t="s">
        <v>30</v>
      </c>
      <c r="F829" s="148" t="s">
        <v>199</v>
      </c>
      <c r="G829" s="148" t="s">
        <v>296</v>
      </c>
      <c r="H829" s="148">
        <v>2007</v>
      </c>
      <c r="I829" s="148">
        <v>7</v>
      </c>
      <c r="J829" s="148" t="s">
        <v>150</v>
      </c>
      <c r="K829" s="148" t="s">
        <v>732</v>
      </c>
      <c r="M829" s="148" t="s">
        <v>373</v>
      </c>
      <c r="N829" s="148">
        <v>6</v>
      </c>
      <c r="O829" s="148" t="s">
        <v>83</v>
      </c>
      <c r="Y829" s="150" t="s">
        <v>366</v>
      </c>
    </row>
    <row r="830" spans="1:25" ht="15.75" hidden="1" customHeight="1" x14ac:dyDescent="0.25">
      <c r="A830" s="148" t="s">
        <v>76</v>
      </c>
      <c r="B830" s="148" t="s">
        <v>89</v>
      </c>
      <c r="C830" s="148" t="s">
        <v>90</v>
      </c>
      <c r="D830" s="148" t="s">
        <v>478</v>
      </c>
      <c r="E830" s="148" t="s">
        <v>30</v>
      </c>
      <c r="F830" s="148" t="s">
        <v>91</v>
      </c>
      <c r="G830" s="148" t="s">
        <v>620</v>
      </c>
      <c r="H830" s="148">
        <v>2007</v>
      </c>
      <c r="I830" s="148">
        <v>7</v>
      </c>
      <c r="J830" s="148" t="s">
        <v>118</v>
      </c>
      <c r="K830" s="148" t="s">
        <v>172</v>
      </c>
      <c r="M830" s="148" t="s">
        <v>346</v>
      </c>
      <c r="N830" s="148">
        <v>10</v>
      </c>
      <c r="O830" s="148" t="s">
        <v>101</v>
      </c>
      <c r="P830" s="148" t="s">
        <v>146</v>
      </c>
      <c r="Y830" s="150" t="s">
        <v>366</v>
      </c>
    </row>
    <row r="831" spans="1:25" ht="15.75" hidden="1" customHeight="1" x14ac:dyDescent="0.25">
      <c r="A831" s="148" t="s">
        <v>76</v>
      </c>
      <c r="B831" s="148" t="s">
        <v>198</v>
      </c>
      <c r="C831" s="148" t="s">
        <v>45</v>
      </c>
      <c r="D831" s="148" t="s">
        <v>29</v>
      </c>
      <c r="E831" s="148" t="s">
        <v>30</v>
      </c>
      <c r="F831" s="148" t="s">
        <v>199</v>
      </c>
      <c r="G831" s="148" t="s">
        <v>241</v>
      </c>
      <c r="H831" s="148">
        <v>2007</v>
      </c>
      <c r="I831" s="148">
        <v>7</v>
      </c>
      <c r="J831" s="148" t="s">
        <v>118</v>
      </c>
      <c r="K831" s="148" t="s">
        <v>388</v>
      </c>
      <c r="M831" s="148" t="s">
        <v>126</v>
      </c>
      <c r="N831" s="148">
        <v>10</v>
      </c>
      <c r="O831" s="148" t="s">
        <v>101</v>
      </c>
      <c r="P831" s="148" t="s">
        <v>539</v>
      </c>
      <c r="Y831" s="150" t="s">
        <v>366</v>
      </c>
    </row>
    <row r="832" spans="1:25" ht="15.75" hidden="1" customHeight="1" x14ac:dyDescent="0.25">
      <c r="A832" s="148" t="s">
        <v>76</v>
      </c>
      <c r="B832" s="148" t="s">
        <v>198</v>
      </c>
      <c r="C832" s="148" t="s">
        <v>45</v>
      </c>
      <c r="D832" s="148" t="s">
        <v>29</v>
      </c>
      <c r="E832" s="148" t="s">
        <v>30</v>
      </c>
      <c r="F832" s="148" t="s">
        <v>199</v>
      </c>
      <c r="G832" s="148" t="s">
        <v>733</v>
      </c>
      <c r="H832" s="148">
        <v>2007</v>
      </c>
      <c r="I832" s="148">
        <v>7</v>
      </c>
      <c r="J832" s="148" t="s">
        <v>118</v>
      </c>
      <c r="K832" s="148" t="s">
        <v>172</v>
      </c>
      <c r="M832" s="148" t="s">
        <v>346</v>
      </c>
      <c r="N832" s="148">
        <v>10</v>
      </c>
      <c r="O832" s="148" t="s">
        <v>101</v>
      </c>
      <c r="P832" s="148" t="s">
        <v>146</v>
      </c>
      <c r="Y832" s="150" t="s">
        <v>366</v>
      </c>
    </row>
    <row r="833" spans="1:25" ht="15.75" hidden="1" customHeight="1" x14ac:dyDescent="0.25">
      <c r="A833" s="148" t="s">
        <v>76</v>
      </c>
      <c r="B833" s="148" t="s">
        <v>27</v>
      </c>
      <c r="C833" s="148" t="s">
        <v>28</v>
      </c>
      <c r="D833" s="148" t="s">
        <v>99</v>
      </c>
      <c r="E833" s="148" t="s">
        <v>40</v>
      </c>
      <c r="F833" s="148" t="s">
        <v>41</v>
      </c>
      <c r="G833" s="148" t="s">
        <v>42</v>
      </c>
      <c r="H833" s="148">
        <v>2007</v>
      </c>
      <c r="I833" s="148">
        <v>7</v>
      </c>
      <c r="J833" s="148" t="s">
        <v>150</v>
      </c>
      <c r="K833" s="148" t="s">
        <v>732</v>
      </c>
      <c r="M833" s="148" t="s">
        <v>373</v>
      </c>
      <c r="N833" s="148">
        <v>6</v>
      </c>
      <c r="O833" s="148" t="s">
        <v>83</v>
      </c>
      <c r="Y833" s="150" t="s">
        <v>366</v>
      </c>
    </row>
    <row r="834" spans="1:25" ht="15.75" hidden="1" customHeight="1" x14ac:dyDescent="0.25">
      <c r="A834" s="148" t="s">
        <v>76</v>
      </c>
      <c r="B834" s="148" t="s">
        <v>89</v>
      </c>
      <c r="C834" s="148" t="s">
        <v>90</v>
      </c>
      <c r="D834" s="148" t="s">
        <v>99</v>
      </c>
      <c r="E834" s="148" t="s">
        <v>30</v>
      </c>
      <c r="F834" s="148" t="s">
        <v>91</v>
      </c>
      <c r="G834" s="148" t="s">
        <v>92</v>
      </c>
      <c r="H834" s="148">
        <v>2007</v>
      </c>
      <c r="I834" s="148">
        <v>7</v>
      </c>
      <c r="J834" s="148" t="s">
        <v>118</v>
      </c>
      <c r="K834" s="148" t="s">
        <v>388</v>
      </c>
      <c r="M834" s="148" t="s">
        <v>126</v>
      </c>
      <c r="N834" s="148">
        <v>10</v>
      </c>
      <c r="O834" s="148" t="s">
        <v>101</v>
      </c>
      <c r="P834" s="148" t="s">
        <v>537</v>
      </c>
      <c r="Y834" s="150" t="s">
        <v>366</v>
      </c>
    </row>
    <row r="835" spans="1:25" ht="15.75" hidden="1" customHeight="1" x14ac:dyDescent="0.25">
      <c r="A835" s="148" t="s">
        <v>76</v>
      </c>
      <c r="B835" s="148" t="s">
        <v>62</v>
      </c>
      <c r="C835" s="148" t="s">
        <v>28</v>
      </c>
      <c r="D835" s="148" t="s">
        <v>158</v>
      </c>
      <c r="E835" s="148" t="s">
        <v>51</v>
      </c>
      <c r="F835" s="148" t="s">
        <v>3183</v>
      </c>
      <c r="G835" s="148" t="s">
        <v>130</v>
      </c>
      <c r="H835" s="148">
        <v>2007</v>
      </c>
      <c r="I835" s="148">
        <v>7</v>
      </c>
      <c r="J835" s="148" t="s">
        <v>150</v>
      </c>
      <c r="K835" s="148" t="s">
        <v>502</v>
      </c>
      <c r="M835" s="148" t="s">
        <v>456</v>
      </c>
      <c r="N835" s="148">
        <v>6</v>
      </c>
      <c r="O835" s="148" t="s">
        <v>83</v>
      </c>
      <c r="Y835" s="150" t="s">
        <v>366</v>
      </c>
    </row>
    <row r="836" spans="1:25" ht="15.75" hidden="1" customHeight="1" x14ac:dyDescent="0.25">
      <c r="A836" s="148" t="s">
        <v>307</v>
      </c>
      <c r="B836" s="148" t="s">
        <v>36</v>
      </c>
      <c r="C836" s="148" t="s">
        <v>28</v>
      </c>
      <c r="D836" s="148" t="s">
        <v>99</v>
      </c>
      <c r="E836" s="148" t="s">
        <v>51</v>
      </c>
      <c r="F836" s="148" t="s">
        <v>3183</v>
      </c>
      <c r="G836" s="148" t="s">
        <v>52</v>
      </c>
      <c r="H836" s="148">
        <v>2007</v>
      </c>
      <c r="I836" s="148">
        <v>7</v>
      </c>
      <c r="J836" s="148" t="s">
        <v>308</v>
      </c>
      <c r="Q836" s="148" t="s">
        <v>309</v>
      </c>
      <c r="R836" s="148" t="s">
        <v>734</v>
      </c>
      <c r="S836" s="148" t="s">
        <v>311</v>
      </c>
      <c r="T836" s="148" t="s">
        <v>309</v>
      </c>
      <c r="Y836" s="150" t="s">
        <v>366</v>
      </c>
    </row>
    <row r="837" spans="1:25" ht="15.75" hidden="1" customHeight="1" x14ac:dyDescent="0.25">
      <c r="A837" s="148" t="s">
        <v>76</v>
      </c>
      <c r="B837" s="148" t="s">
        <v>27</v>
      </c>
      <c r="C837" s="148" t="s">
        <v>28</v>
      </c>
      <c r="D837" s="148" t="s">
        <v>158</v>
      </c>
      <c r="E837" s="148" t="s">
        <v>30</v>
      </c>
      <c r="F837" s="148" t="s">
        <v>3183</v>
      </c>
      <c r="G837" s="148" t="s">
        <v>32</v>
      </c>
      <c r="H837" s="148">
        <v>2007</v>
      </c>
      <c r="I837" s="148">
        <v>8</v>
      </c>
      <c r="J837" s="148" t="s">
        <v>150</v>
      </c>
      <c r="K837" s="148" t="s">
        <v>708</v>
      </c>
      <c r="M837" s="148" t="s">
        <v>173</v>
      </c>
      <c r="N837" s="148">
        <v>8</v>
      </c>
      <c r="O837" s="148" t="s">
        <v>83</v>
      </c>
      <c r="Y837" s="150" t="s">
        <v>366</v>
      </c>
    </row>
    <row r="838" spans="1:25" ht="15.75" hidden="1" customHeight="1" x14ac:dyDescent="0.25">
      <c r="A838" s="148" t="s">
        <v>76</v>
      </c>
      <c r="B838" s="148" t="s">
        <v>89</v>
      </c>
      <c r="C838" s="148" t="s">
        <v>90</v>
      </c>
      <c r="D838" s="148" t="s">
        <v>29</v>
      </c>
      <c r="E838" s="148" t="s">
        <v>30</v>
      </c>
      <c r="F838" s="148" t="s">
        <v>91</v>
      </c>
      <c r="G838" s="148" t="s">
        <v>437</v>
      </c>
      <c r="H838" s="148">
        <v>2007</v>
      </c>
      <c r="I838" s="148">
        <v>8</v>
      </c>
      <c r="J838" s="148" t="s">
        <v>118</v>
      </c>
      <c r="K838" s="148" t="s">
        <v>388</v>
      </c>
      <c r="M838" s="148" t="s">
        <v>126</v>
      </c>
      <c r="N838" s="148">
        <v>10</v>
      </c>
      <c r="O838" s="148" t="s">
        <v>101</v>
      </c>
      <c r="P838" s="148" t="s">
        <v>735</v>
      </c>
      <c r="Y838" s="150" t="s">
        <v>736</v>
      </c>
    </row>
    <row r="839" spans="1:25" ht="15.75" hidden="1" customHeight="1" x14ac:dyDescent="0.25">
      <c r="A839" s="148" t="s">
        <v>76</v>
      </c>
      <c r="B839" s="148" t="s">
        <v>36</v>
      </c>
      <c r="C839" s="148" t="s">
        <v>28</v>
      </c>
      <c r="D839" s="148" t="s">
        <v>29</v>
      </c>
      <c r="E839" s="148" t="s">
        <v>30</v>
      </c>
      <c r="F839" s="148" t="s">
        <v>3183</v>
      </c>
      <c r="G839" s="148" t="s">
        <v>211</v>
      </c>
      <c r="H839" s="148">
        <v>2007</v>
      </c>
      <c r="I839" s="148">
        <v>8</v>
      </c>
      <c r="J839" s="148" t="s">
        <v>150</v>
      </c>
      <c r="K839" s="148" t="s">
        <v>708</v>
      </c>
      <c r="M839" s="148" t="s">
        <v>173</v>
      </c>
      <c r="N839" s="148">
        <v>8</v>
      </c>
      <c r="O839" s="148" t="s">
        <v>83</v>
      </c>
      <c r="Y839" s="150" t="s">
        <v>366</v>
      </c>
    </row>
    <row r="840" spans="1:25" ht="15.75" hidden="1" customHeight="1" x14ac:dyDescent="0.25">
      <c r="A840" s="148" t="s">
        <v>76</v>
      </c>
      <c r="B840" s="148" t="s">
        <v>36</v>
      </c>
      <c r="C840" s="148" t="s">
        <v>28</v>
      </c>
      <c r="D840" s="148" t="s">
        <v>158</v>
      </c>
      <c r="E840" s="148" t="s">
        <v>30</v>
      </c>
      <c r="F840" s="148" t="s">
        <v>3183</v>
      </c>
      <c r="G840" s="148" t="s">
        <v>438</v>
      </c>
      <c r="H840" s="148">
        <v>2007</v>
      </c>
      <c r="I840" s="148">
        <v>8</v>
      </c>
      <c r="J840" s="148" t="s">
        <v>150</v>
      </c>
      <c r="K840" s="148" t="s">
        <v>466</v>
      </c>
      <c r="M840" s="148" t="s">
        <v>467</v>
      </c>
      <c r="N840" s="148">
        <v>6</v>
      </c>
      <c r="O840" s="148" t="s">
        <v>83</v>
      </c>
      <c r="Y840" s="150" t="s">
        <v>366</v>
      </c>
    </row>
    <row r="841" spans="1:25" ht="15.75" hidden="1" customHeight="1" x14ac:dyDescent="0.25">
      <c r="A841" s="148" t="s">
        <v>76</v>
      </c>
      <c r="B841" s="148" t="s">
        <v>36</v>
      </c>
      <c r="C841" s="148" t="s">
        <v>28</v>
      </c>
      <c r="D841" s="148" t="s">
        <v>99</v>
      </c>
      <c r="E841" s="148" t="s">
        <v>30</v>
      </c>
      <c r="F841" s="148" t="s">
        <v>3183</v>
      </c>
      <c r="G841" s="148" t="s">
        <v>59</v>
      </c>
      <c r="H841" s="148">
        <v>2007</v>
      </c>
      <c r="I841" s="148">
        <v>8</v>
      </c>
      <c r="J841" s="148" t="s">
        <v>150</v>
      </c>
      <c r="K841" s="148" t="s">
        <v>708</v>
      </c>
      <c r="M841" s="148" t="s">
        <v>173</v>
      </c>
      <c r="N841" s="148">
        <v>8</v>
      </c>
      <c r="O841" s="148" t="s">
        <v>83</v>
      </c>
      <c r="Y841" s="150" t="s">
        <v>366</v>
      </c>
    </row>
    <row r="842" spans="1:25" ht="15.75" hidden="1" customHeight="1" x14ac:dyDescent="0.25">
      <c r="A842" s="148" t="s">
        <v>76</v>
      </c>
      <c r="B842" s="148" t="s">
        <v>36</v>
      </c>
      <c r="C842" s="148" t="s">
        <v>28</v>
      </c>
      <c r="D842" s="148" t="s">
        <v>158</v>
      </c>
      <c r="E842" s="148" t="s">
        <v>30</v>
      </c>
      <c r="F842" s="148" t="s">
        <v>3183</v>
      </c>
      <c r="G842" s="148" t="s">
        <v>242</v>
      </c>
      <c r="H842" s="148">
        <v>2007</v>
      </c>
      <c r="I842" s="148">
        <v>8</v>
      </c>
      <c r="J842" s="148" t="s">
        <v>150</v>
      </c>
      <c r="K842" s="148" t="s">
        <v>466</v>
      </c>
      <c r="M842" s="148" t="s">
        <v>467</v>
      </c>
      <c r="N842" s="148">
        <v>6</v>
      </c>
      <c r="O842" s="148" t="s">
        <v>83</v>
      </c>
      <c r="Y842" s="150" t="s">
        <v>366</v>
      </c>
    </row>
    <row r="843" spans="1:25" ht="15.75" hidden="1" customHeight="1" x14ac:dyDescent="0.25">
      <c r="A843" s="148" t="s">
        <v>76</v>
      </c>
      <c r="B843" s="148" t="s">
        <v>89</v>
      </c>
      <c r="C843" s="148" t="s">
        <v>90</v>
      </c>
      <c r="D843" s="148" t="s">
        <v>29</v>
      </c>
      <c r="E843" s="148" t="s">
        <v>30</v>
      </c>
      <c r="F843" s="148" t="s">
        <v>91</v>
      </c>
      <c r="G843" s="148" t="s">
        <v>592</v>
      </c>
      <c r="H843" s="148">
        <v>2007</v>
      </c>
      <c r="I843" s="148">
        <v>8</v>
      </c>
      <c r="J843" s="148" t="s">
        <v>118</v>
      </c>
      <c r="K843" s="148" t="s">
        <v>172</v>
      </c>
      <c r="M843" s="148" t="s">
        <v>346</v>
      </c>
      <c r="N843" s="148">
        <v>10</v>
      </c>
      <c r="O843" s="148" t="s">
        <v>101</v>
      </c>
      <c r="P843" s="148" t="s">
        <v>435</v>
      </c>
      <c r="Y843" s="150" t="s">
        <v>366</v>
      </c>
    </row>
    <row r="844" spans="1:25" ht="15.75" hidden="1" customHeight="1" x14ac:dyDescent="0.25">
      <c r="A844" s="148" t="s">
        <v>76</v>
      </c>
      <c r="B844" s="148" t="s">
        <v>36</v>
      </c>
      <c r="C844" s="148" t="s">
        <v>28</v>
      </c>
      <c r="D844" s="148" t="s">
        <v>29</v>
      </c>
      <c r="E844" s="148" t="s">
        <v>30</v>
      </c>
      <c r="F844" s="148" t="s">
        <v>3183</v>
      </c>
      <c r="G844" s="148" t="s">
        <v>37</v>
      </c>
      <c r="H844" s="148">
        <v>2007</v>
      </c>
      <c r="I844" s="148">
        <v>8</v>
      </c>
      <c r="J844" s="148" t="s">
        <v>150</v>
      </c>
      <c r="K844" s="148" t="s">
        <v>466</v>
      </c>
      <c r="M844" s="148" t="s">
        <v>467</v>
      </c>
      <c r="N844" s="148">
        <v>6</v>
      </c>
      <c r="O844" s="148" t="s">
        <v>83</v>
      </c>
      <c r="Y844" s="150" t="s">
        <v>366</v>
      </c>
    </row>
    <row r="845" spans="1:25" ht="15.75" hidden="1" customHeight="1" x14ac:dyDescent="0.25">
      <c r="A845" s="148" t="s">
        <v>76</v>
      </c>
      <c r="B845" s="148" t="s">
        <v>62</v>
      </c>
      <c r="C845" s="148" t="s">
        <v>28</v>
      </c>
      <c r="D845" s="148" t="s">
        <v>51</v>
      </c>
      <c r="E845" s="148" t="s">
        <v>30</v>
      </c>
      <c r="F845" s="148" t="s">
        <v>3183</v>
      </c>
      <c r="G845" s="148" t="s">
        <v>63</v>
      </c>
      <c r="H845" s="148">
        <v>2007</v>
      </c>
      <c r="I845" s="148">
        <v>8</v>
      </c>
      <c r="J845" s="148" t="s">
        <v>150</v>
      </c>
      <c r="K845" s="148" t="s">
        <v>541</v>
      </c>
      <c r="M845" s="148" t="s">
        <v>575</v>
      </c>
      <c r="N845" s="148">
        <v>6</v>
      </c>
      <c r="O845" s="148" t="s">
        <v>83</v>
      </c>
      <c r="Y845" s="150" t="s">
        <v>366</v>
      </c>
    </row>
    <row r="846" spans="1:25" ht="15.75" hidden="1" customHeight="1" x14ac:dyDescent="0.25">
      <c r="A846" s="148" t="s">
        <v>76</v>
      </c>
      <c r="B846" s="148" t="s">
        <v>103</v>
      </c>
      <c r="C846" s="148" t="s">
        <v>55</v>
      </c>
      <c r="D846" s="148" t="s">
        <v>490</v>
      </c>
      <c r="E846" s="148" t="s">
        <v>95</v>
      </c>
      <c r="F846" s="148" t="s">
        <v>56</v>
      </c>
      <c r="G846" s="148" t="s">
        <v>168</v>
      </c>
      <c r="H846" s="148">
        <v>2007</v>
      </c>
      <c r="I846" s="148">
        <v>8</v>
      </c>
      <c r="J846" s="148" t="s">
        <v>150</v>
      </c>
      <c r="K846" s="148" t="s">
        <v>541</v>
      </c>
      <c r="M846" s="148" t="s">
        <v>575</v>
      </c>
      <c r="N846" s="148">
        <v>6</v>
      </c>
      <c r="O846" s="148" t="s">
        <v>83</v>
      </c>
      <c r="Y846" s="150" t="s">
        <v>366</v>
      </c>
    </row>
    <row r="847" spans="1:25" ht="15.75" hidden="1" customHeight="1" x14ac:dyDescent="0.25">
      <c r="A847" s="148" t="s">
        <v>76</v>
      </c>
      <c r="B847" s="148" t="s">
        <v>54</v>
      </c>
      <c r="C847" s="148" t="s">
        <v>55</v>
      </c>
      <c r="D847" s="148" t="s">
        <v>65</v>
      </c>
      <c r="E847" s="148" t="s">
        <v>30</v>
      </c>
      <c r="F847" s="148" t="s">
        <v>56</v>
      </c>
      <c r="G847" s="148" t="s">
        <v>54</v>
      </c>
      <c r="H847" s="148">
        <v>2007</v>
      </c>
      <c r="I847" s="148">
        <v>8</v>
      </c>
      <c r="J847" s="148" t="s">
        <v>150</v>
      </c>
      <c r="K847" s="148" t="s">
        <v>541</v>
      </c>
      <c r="M847" s="148" t="s">
        <v>575</v>
      </c>
      <c r="N847" s="148">
        <v>6</v>
      </c>
      <c r="O847" s="148" t="s">
        <v>83</v>
      </c>
      <c r="Y847" s="150" t="s">
        <v>366</v>
      </c>
    </row>
    <row r="848" spans="1:25" ht="15.75" hidden="1" customHeight="1" x14ac:dyDescent="0.25">
      <c r="A848" s="148" t="s">
        <v>307</v>
      </c>
      <c r="B848" s="148" t="s">
        <v>77</v>
      </c>
      <c r="C848" s="148" t="s">
        <v>55</v>
      </c>
      <c r="D848" s="148" t="s">
        <v>78</v>
      </c>
      <c r="E848" s="148" t="s">
        <v>30</v>
      </c>
      <c r="F848" s="148" t="s">
        <v>41</v>
      </c>
      <c r="G848" s="148" t="s">
        <v>79</v>
      </c>
      <c r="H848" s="148">
        <v>2007</v>
      </c>
      <c r="I848" s="148">
        <v>8</v>
      </c>
      <c r="J848" s="148" t="s">
        <v>399</v>
      </c>
      <c r="Q848" s="148" t="s">
        <v>594</v>
      </c>
      <c r="R848" s="148" t="s">
        <v>737</v>
      </c>
      <c r="S848" s="148" t="s">
        <v>596</v>
      </c>
      <c r="T848" s="148" t="s">
        <v>738</v>
      </c>
      <c r="Y848" s="150" t="s">
        <v>739</v>
      </c>
    </row>
    <row r="849" spans="1:25" ht="15.75" hidden="1" customHeight="1" x14ac:dyDescent="0.25">
      <c r="A849" s="148" t="s">
        <v>76</v>
      </c>
      <c r="B849" s="148" t="s">
        <v>198</v>
      </c>
      <c r="C849" s="148" t="s">
        <v>45</v>
      </c>
      <c r="D849" s="148" t="s">
        <v>29</v>
      </c>
      <c r="E849" s="148" t="s">
        <v>30</v>
      </c>
      <c r="F849" s="148" t="s">
        <v>199</v>
      </c>
      <c r="G849" s="148" t="s">
        <v>505</v>
      </c>
      <c r="H849" s="148">
        <v>2007</v>
      </c>
      <c r="I849" s="148">
        <v>8</v>
      </c>
      <c r="J849" s="148" t="s">
        <v>118</v>
      </c>
      <c r="K849" s="148" t="s">
        <v>172</v>
      </c>
      <c r="M849" s="148" t="s">
        <v>346</v>
      </c>
      <c r="N849" s="148">
        <v>8</v>
      </c>
      <c r="O849" s="148" t="s">
        <v>101</v>
      </c>
      <c r="P849" s="148" t="s">
        <v>183</v>
      </c>
      <c r="Y849" s="150" t="s">
        <v>366</v>
      </c>
    </row>
    <row r="850" spans="1:25" ht="15.75" hidden="1" customHeight="1" x14ac:dyDescent="0.25">
      <c r="A850" s="148" t="s">
        <v>76</v>
      </c>
      <c r="B850" s="148" t="s">
        <v>198</v>
      </c>
      <c r="C850" s="148" t="s">
        <v>45</v>
      </c>
      <c r="D850" s="148" t="s">
        <v>478</v>
      </c>
      <c r="E850" s="148" t="s">
        <v>30</v>
      </c>
      <c r="F850" s="148" t="s">
        <v>199</v>
      </c>
      <c r="G850" s="148" t="s">
        <v>208</v>
      </c>
      <c r="H850" s="148">
        <v>2007</v>
      </c>
      <c r="I850" s="148">
        <v>9</v>
      </c>
      <c r="J850" s="148" t="s">
        <v>118</v>
      </c>
      <c r="K850" s="148" t="s">
        <v>629</v>
      </c>
      <c r="M850" s="148" t="s">
        <v>120</v>
      </c>
      <c r="N850" s="148">
        <v>6</v>
      </c>
      <c r="O850" s="148" t="s">
        <v>101</v>
      </c>
      <c r="P850" s="148" t="s">
        <v>365</v>
      </c>
      <c r="Y850" s="150" t="s">
        <v>366</v>
      </c>
    </row>
    <row r="851" spans="1:25" ht="15.75" hidden="1" customHeight="1" x14ac:dyDescent="0.25">
      <c r="A851" s="148" t="s">
        <v>76</v>
      </c>
      <c r="B851" s="148" t="s">
        <v>103</v>
      </c>
      <c r="C851" s="148" t="s">
        <v>55</v>
      </c>
      <c r="D851" s="148" t="s">
        <v>29</v>
      </c>
      <c r="E851" s="148" t="s">
        <v>95</v>
      </c>
      <c r="F851" s="148" t="s">
        <v>56</v>
      </c>
      <c r="G851" s="148" t="s">
        <v>382</v>
      </c>
      <c r="H851" s="148">
        <v>2007</v>
      </c>
      <c r="I851" s="148">
        <v>9</v>
      </c>
      <c r="J851" s="148" t="s">
        <v>118</v>
      </c>
      <c r="K851" s="148" t="s">
        <v>172</v>
      </c>
      <c r="M851" s="148" t="s">
        <v>346</v>
      </c>
      <c r="N851" s="148">
        <v>10</v>
      </c>
      <c r="O851" s="148" t="s">
        <v>101</v>
      </c>
      <c r="P851" s="148" t="s">
        <v>146</v>
      </c>
      <c r="Y851" s="150" t="s">
        <v>366</v>
      </c>
    </row>
    <row r="852" spans="1:25" ht="15.75" hidden="1" customHeight="1" x14ac:dyDescent="0.25">
      <c r="A852" s="148" t="s">
        <v>76</v>
      </c>
      <c r="B852" s="148" t="s">
        <v>89</v>
      </c>
      <c r="C852" s="148" t="s">
        <v>90</v>
      </c>
      <c r="D852" s="148" t="s">
        <v>29</v>
      </c>
      <c r="E852" s="148" t="s">
        <v>30</v>
      </c>
      <c r="F852" s="148" t="s">
        <v>91</v>
      </c>
      <c r="G852" s="148" t="s">
        <v>668</v>
      </c>
      <c r="H852" s="148">
        <v>2007</v>
      </c>
      <c r="I852" s="148">
        <v>9</v>
      </c>
      <c r="J852" s="148" t="s">
        <v>118</v>
      </c>
      <c r="K852" s="148" t="s">
        <v>172</v>
      </c>
      <c r="M852" s="148" t="s">
        <v>346</v>
      </c>
      <c r="N852" s="148">
        <v>10</v>
      </c>
      <c r="O852" s="148" t="s">
        <v>101</v>
      </c>
      <c r="P852" s="148" t="s">
        <v>146</v>
      </c>
      <c r="Y852" s="150" t="s">
        <v>366</v>
      </c>
    </row>
    <row r="853" spans="1:25" ht="15.75" hidden="1" customHeight="1" x14ac:dyDescent="0.25">
      <c r="A853" s="148" t="s">
        <v>76</v>
      </c>
      <c r="B853" s="148" t="s">
        <v>89</v>
      </c>
      <c r="C853" s="148" t="s">
        <v>90</v>
      </c>
      <c r="D853" s="148" t="s">
        <v>29</v>
      </c>
      <c r="E853" s="148" t="s">
        <v>30</v>
      </c>
      <c r="F853" s="148" t="s">
        <v>91</v>
      </c>
      <c r="G853" s="148" t="s">
        <v>613</v>
      </c>
      <c r="H853" s="148">
        <v>2007</v>
      </c>
      <c r="I853" s="148">
        <v>9</v>
      </c>
      <c r="J853" s="148" t="s">
        <v>118</v>
      </c>
      <c r="K853" s="148" t="s">
        <v>172</v>
      </c>
      <c r="M853" s="148" t="s">
        <v>346</v>
      </c>
      <c r="N853" s="148">
        <v>8</v>
      </c>
      <c r="O853" s="148" t="s">
        <v>101</v>
      </c>
      <c r="P853" s="148" t="s">
        <v>435</v>
      </c>
      <c r="Y853" s="150" t="s">
        <v>366</v>
      </c>
    </row>
    <row r="854" spans="1:25" ht="15.75" hidden="1" customHeight="1" x14ac:dyDescent="0.25">
      <c r="A854" s="148" t="s">
        <v>76</v>
      </c>
      <c r="B854" s="148" t="s">
        <v>198</v>
      </c>
      <c r="C854" s="148" t="s">
        <v>45</v>
      </c>
      <c r="D854" s="148" t="s">
        <v>94</v>
      </c>
      <c r="E854" s="148" t="s">
        <v>30</v>
      </c>
      <c r="F854" s="148" t="s">
        <v>199</v>
      </c>
      <c r="G854" s="148" t="s">
        <v>296</v>
      </c>
      <c r="H854" s="148">
        <v>2007</v>
      </c>
      <c r="I854" s="148">
        <v>9</v>
      </c>
      <c r="J854" s="148" t="s">
        <v>150</v>
      </c>
      <c r="K854" s="148" t="s">
        <v>579</v>
      </c>
      <c r="M854" s="148" t="s">
        <v>554</v>
      </c>
      <c r="N854" s="148">
        <v>8</v>
      </c>
      <c r="O854" s="148" t="s">
        <v>83</v>
      </c>
      <c r="Y854" s="150" t="s">
        <v>366</v>
      </c>
    </row>
    <row r="855" spans="1:25" ht="15.75" hidden="1" customHeight="1" x14ac:dyDescent="0.25">
      <c r="A855" s="148" t="s">
        <v>76</v>
      </c>
      <c r="B855" s="148" t="s">
        <v>198</v>
      </c>
      <c r="C855" s="148" t="s">
        <v>45</v>
      </c>
      <c r="D855" s="148" t="s">
        <v>29</v>
      </c>
      <c r="E855" s="148" t="s">
        <v>30</v>
      </c>
      <c r="F855" s="148" t="s">
        <v>199</v>
      </c>
      <c r="G855" s="148" t="s">
        <v>232</v>
      </c>
      <c r="H855" s="148">
        <v>2007</v>
      </c>
      <c r="I855" s="148">
        <v>9</v>
      </c>
      <c r="J855" s="148" t="s">
        <v>150</v>
      </c>
      <c r="K855" s="148" t="s">
        <v>541</v>
      </c>
      <c r="M855" s="148" t="s">
        <v>575</v>
      </c>
      <c r="N855" s="148">
        <v>6</v>
      </c>
      <c r="O855" s="148" t="s">
        <v>83</v>
      </c>
      <c r="Y855" s="150" t="s">
        <v>366</v>
      </c>
    </row>
    <row r="856" spans="1:25" ht="15.75" hidden="1" customHeight="1" x14ac:dyDescent="0.25">
      <c r="A856" s="148" t="s">
        <v>76</v>
      </c>
      <c r="B856" s="148" t="s">
        <v>198</v>
      </c>
      <c r="C856" s="148" t="s">
        <v>45</v>
      </c>
      <c r="D856" s="148" t="s">
        <v>29</v>
      </c>
      <c r="E856" s="148" t="s">
        <v>30</v>
      </c>
      <c r="F856" s="148" t="s">
        <v>199</v>
      </c>
      <c r="G856" s="148" t="s">
        <v>241</v>
      </c>
      <c r="H856" s="148">
        <v>2007</v>
      </c>
      <c r="I856" s="148">
        <v>9</v>
      </c>
      <c r="J856" s="148" t="s">
        <v>150</v>
      </c>
      <c r="K856" s="148" t="s">
        <v>629</v>
      </c>
      <c r="M856" s="148" t="s">
        <v>120</v>
      </c>
      <c r="N856" s="148">
        <v>6</v>
      </c>
      <c r="O856" s="148" t="s">
        <v>83</v>
      </c>
      <c r="Y856" s="150" t="s">
        <v>366</v>
      </c>
    </row>
    <row r="857" spans="1:25" ht="15.75" hidden="1" customHeight="1" x14ac:dyDescent="0.25">
      <c r="A857" s="148" t="s">
        <v>76</v>
      </c>
      <c r="B857" s="148" t="s">
        <v>103</v>
      </c>
      <c r="C857" s="148" t="s">
        <v>55</v>
      </c>
      <c r="D857" s="148" t="s">
        <v>29</v>
      </c>
      <c r="E857" s="148" t="s">
        <v>30</v>
      </c>
      <c r="F857" s="148" t="s">
        <v>56</v>
      </c>
      <c r="G857" s="148" t="s">
        <v>405</v>
      </c>
      <c r="H857" s="148">
        <v>2007</v>
      </c>
      <c r="I857" s="148">
        <v>9</v>
      </c>
      <c r="J857" s="148" t="s">
        <v>150</v>
      </c>
      <c r="K857" s="148" t="s">
        <v>579</v>
      </c>
      <c r="M857" s="148" t="s">
        <v>554</v>
      </c>
      <c r="N857" s="148">
        <v>8</v>
      </c>
      <c r="O857" s="148" t="s">
        <v>83</v>
      </c>
      <c r="Y857" s="150" t="s">
        <v>366</v>
      </c>
    </row>
    <row r="858" spans="1:25" ht="15.75" hidden="1" customHeight="1" x14ac:dyDescent="0.25">
      <c r="A858" s="148" t="s">
        <v>76</v>
      </c>
      <c r="B858" s="148" t="s">
        <v>103</v>
      </c>
      <c r="C858" s="148" t="s">
        <v>55</v>
      </c>
      <c r="D858" s="148" t="s">
        <v>94</v>
      </c>
      <c r="E858" s="148" t="s">
        <v>95</v>
      </c>
      <c r="F858" s="148" t="s">
        <v>56</v>
      </c>
      <c r="G858" s="148" t="s">
        <v>111</v>
      </c>
      <c r="H858" s="148">
        <v>2007</v>
      </c>
      <c r="I858" s="148">
        <v>9</v>
      </c>
      <c r="J858" s="148" t="s">
        <v>118</v>
      </c>
      <c r="K858" s="148" t="s">
        <v>172</v>
      </c>
      <c r="M858" s="148" t="s">
        <v>346</v>
      </c>
      <c r="N858" s="148">
        <v>10</v>
      </c>
      <c r="O858" s="148" t="s">
        <v>101</v>
      </c>
      <c r="P858" s="148" t="s">
        <v>123</v>
      </c>
      <c r="Y858" s="150" t="s">
        <v>366</v>
      </c>
    </row>
    <row r="859" spans="1:25" ht="15.75" hidden="1" customHeight="1" x14ac:dyDescent="0.25">
      <c r="A859" s="148" t="s">
        <v>26</v>
      </c>
      <c r="B859" s="148" t="s">
        <v>103</v>
      </c>
      <c r="C859" s="148" t="s">
        <v>55</v>
      </c>
      <c r="D859" s="148" t="s">
        <v>94</v>
      </c>
      <c r="E859" s="148" t="s">
        <v>95</v>
      </c>
      <c r="F859" s="148" t="s">
        <v>56</v>
      </c>
      <c r="G859" s="148" t="s">
        <v>111</v>
      </c>
      <c r="H859" s="148">
        <v>2007</v>
      </c>
      <c r="I859" s="148">
        <v>9</v>
      </c>
      <c r="J859" s="148" t="s">
        <v>33</v>
      </c>
      <c r="U859" s="149" t="s">
        <v>112</v>
      </c>
      <c r="V859" s="148" t="s">
        <v>112</v>
      </c>
      <c r="Y859" s="150" t="s">
        <v>113</v>
      </c>
    </row>
    <row r="860" spans="1:25" ht="15.75" hidden="1" customHeight="1" x14ac:dyDescent="0.25">
      <c r="A860" s="148" t="s">
        <v>76</v>
      </c>
      <c r="B860" s="148" t="s">
        <v>62</v>
      </c>
      <c r="C860" s="148" t="s">
        <v>28</v>
      </c>
      <c r="D860" s="148" t="s">
        <v>408</v>
      </c>
      <c r="E860" s="148" t="s">
        <v>51</v>
      </c>
      <c r="F860" s="148" t="s">
        <v>3183</v>
      </c>
      <c r="G860" s="148" t="s">
        <v>409</v>
      </c>
      <c r="H860" s="148">
        <v>2007</v>
      </c>
      <c r="I860" s="148">
        <v>9</v>
      </c>
      <c r="J860" s="148" t="s">
        <v>150</v>
      </c>
      <c r="K860" s="148" t="s">
        <v>172</v>
      </c>
      <c r="M860" s="148" t="s">
        <v>346</v>
      </c>
      <c r="N860" s="148">
        <v>8</v>
      </c>
      <c r="O860" s="148" t="s">
        <v>83</v>
      </c>
      <c r="Y860" s="150" t="s">
        <v>366</v>
      </c>
    </row>
    <row r="861" spans="1:25" ht="15.75" hidden="1" customHeight="1" x14ac:dyDescent="0.25">
      <c r="A861" s="148" t="s">
        <v>76</v>
      </c>
      <c r="B861" s="148" t="s">
        <v>44</v>
      </c>
      <c r="C861" s="148" t="s">
        <v>45</v>
      </c>
      <c r="D861" s="148" t="s">
        <v>86</v>
      </c>
      <c r="E861" s="148" t="s">
        <v>30</v>
      </c>
      <c r="F861" s="148" t="s">
        <v>47</v>
      </c>
      <c r="G861" s="148" t="s">
        <v>377</v>
      </c>
      <c r="H861" s="148">
        <v>2007</v>
      </c>
      <c r="I861" s="148">
        <v>9</v>
      </c>
      <c r="J861" s="148" t="s">
        <v>150</v>
      </c>
      <c r="K861" s="148" t="s">
        <v>629</v>
      </c>
      <c r="M861" s="148" t="s">
        <v>120</v>
      </c>
      <c r="N861" s="148">
        <v>6</v>
      </c>
      <c r="O861" s="148" t="s">
        <v>83</v>
      </c>
      <c r="Y861" s="150" t="s">
        <v>366</v>
      </c>
    </row>
    <row r="862" spans="1:25" ht="13.5" hidden="1" customHeight="1" x14ac:dyDescent="0.25">
      <c r="A862" s="148" t="s">
        <v>76</v>
      </c>
      <c r="B862" s="148" t="s">
        <v>36</v>
      </c>
      <c r="C862" s="148" t="s">
        <v>28</v>
      </c>
      <c r="D862" s="148" t="s">
        <v>86</v>
      </c>
      <c r="E862" s="148" t="s">
        <v>51</v>
      </c>
      <c r="F862" s="148" t="s">
        <v>3183</v>
      </c>
      <c r="G862" s="148" t="s">
        <v>69</v>
      </c>
      <c r="H862" s="148">
        <v>2007</v>
      </c>
      <c r="I862" s="148">
        <v>9</v>
      </c>
      <c r="J862" s="148" t="s">
        <v>150</v>
      </c>
      <c r="K862" s="148" t="s">
        <v>172</v>
      </c>
      <c r="M862" s="148" t="s">
        <v>346</v>
      </c>
      <c r="N862" s="148">
        <v>8</v>
      </c>
      <c r="O862" s="148" t="s">
        <v>83</v>
      </c>
      <c r="Y862" s="150" t="s">
        <v>366</v>
      </c>
    </row>
    <row r="863" spans="1:25" ht="15.75" hidden="1" customHeight="1" x14ac:dyDescent="0.25">
      <c r="A863" s="148" t="s">
        <v>76</v>
      </c>
      <c r="B863" s="148" t="s">
        <v>103</v>
      </c>
      <c r="C863" s="148" t="s">
        <v>55</v>
      </c>
      <c r="D863" s="148" t="s">
        <v>29</v>
      </c>
      <c r="E863" s="148" t="s">
        <v>95</v>
      </c>
      <c r="F863" s="148" t="s">
        <v>56</v>
      </c>
      <c r="G863" s="148" t="s">
        <v>270</v>
      </c>
      <c r="H863" s="148">
        <v>2007</v>
      </c>
      <c r="I863" s="148">
        <v>9</v>
      </c>
      <c r="J863" s="148" t="s">
        <v>150</v>
      </c>
      <c r="K863" s="148" t="s">
        <v>541</v>
      </c>
      <c r="M863" s="148" t="s">
        <v>575</v>
      </c>
      <c r="N863" s="148">
        <v>6</v>
      </c>
      <c r="O863" s="148" t="s">
        <v>83</v>
      </c>
      <c r="Y863" s="150" t="s">
        <v>366</v>
      </c>
    </row>
    <row r="864" spans="1:25" ht="15.75" hidden="1" customHeight="1" x14ac:dyDescent="0.25">
      <c r="A864" s="148" t="s">
        <v>307</v>
      </c>
      <c r="B864" s="148" t="s">
        <v>54</v>
      </c>
      <c r="C864" s="148" t="s">
        <v>55</v>
      </c>
      <c r="D864" s="148" t="s">
        <v>65</v>
      </c>
      <c r="E864" s="148" t="s">
        <v>30</v>
      </c>
      <c r="F864" s="148" t="s">
        <v>56</v>
      </c>
      <c r="G864" s="148" t="s">
        <v>54</v>
      </c>
      <c r="H864" s="148">
        <v>2007</v>
      </c>
      <c r="I864" s="148">
        <v>9</v>
      </c>
      <c r="J864" s="148" t="s">
        <v>308</v>
      </c>
      <c r="Q864" s="148" t="s">
        <v>309</v>
      </c>
      <c r="R864" s="148" t="s">
        <v>740</v>
      </c>
      <c r="S864" s="148" t="s">
        <v>660</v>
      </c>
      <c r="T864" s="148" t="s">
        <v>741</v>
      </c>
      <c r="Y864" s="150" t="s">
        <v>742</v>
      </c>
    </row>
    <row r="865" spans="1:25" ht="15.75" hidden="1" customHeight="1" x14ac:dyDescent="0.25">
      <c r="A865" s="148" t="s">
        <v>26</v>
      </c>
      <c r="B865" s="148" t="s">
        <v>54</v>
      </c>
      <c r="C865" s="148" t="s">
        <v>55</v>
      </c>
      <c r="D865" s="148" t="s">
        <v>65</v>
      </c>
      <c r="E865" s="148" t="s">
        <v>46</v>
      </c>
      <c r="F865" s="148" t="s">
        <v>56</v>
      </c>
      <c r="G865" s="148" t="s">
        <v>54</v>
      </c>
      <c r="H865" s="148">
        <v>2007</v>
      </c>
      <c r="I865" s="148">
        <v>9</v>
      </c>
      <c r="J865" s="148" t="s">
        <v>33</v>
      </c>
      <c r="U865" s="149" t="s">
        <v>112</v>
      </c>
      <c r="V865" s="153" t="s">
        <v>112</v>
      </c>
      <c r="Y865" s="150" t="s">
        <v>113</v>
      </c>
    </row>
    <row r="866" spans="1:25" ht="15.75" hidden="1" customHeight="1" x14ac:dyDescent="0.25">
      <c r="A866" s="148" t="s">
        <v>76</v>
      </c>
      <c r="B866" s="148" t="s">
        <v>89</v>
      </c>
      <c r="C866" s="148" t="s">
        <v>90</v>
      </c>
      <c r="D866" s="148" t="s">
        <v>29</v>
      </c>
      <c r="E866" s="148" t="s">
        <v>30</v>
      </c>
      <c r="F866" s="148" t="s">
        <v>91</v>
      </c>
      <c r="G866" s="148" t="s">
        <v>743</v>
      </c>
      <c r="H866" s="148">
        <v>2007</v>
      </c>
      <c r="I866" s="148">
        <v>9</v>
      </c>
      <c r="J866" s="148" t="s">
        <v>118</v>
      </c>
      <c r="K866" s="148" t="s">
        <v>172</v>
      </c>
      <c r="M866" s="148" t="s">
        <v>346</v>
      </c>
      <c r="N866" s="148">
        <v>10</v>
      </c>
      <c r="O866" s="148" t="s">
        <v>101</v>
      </c>
      <c r="P866" s="148" t="s">
        <v>735</v>
      </c>
      <c r="Y866" s="150" t="s">
        <v>366</v>
      </c>
    </row>
    <row r="867" spans="1:25" ht="15.75" hidden="1" customHeight="1" x14ac:dyDescent="0.25">
      <c r="A867" s="148" t="s">
        <v>26</v>
      </c>
      <c r="B867" s="148" t="s">
        <v>103</v>
      </c>
      <c r="C867" s="148" t="s">
        <v>55</v>
      </c>
      <c r="D867" s="148" t="s">
        <v>478</v>
      </c>
      <c r="E867" s="148" t="s">
        <v>95</v>
      </c>
      <c r="F867" s="148" t="s">
        <v>56</v>
      </c>
      <c r="G867" s="148" t="s">
        <v>338</v>
      </c>
      <c r="H867" s="148">
        <v>2007</v>
      </c>
      <c r="I867" s="148">
        <v>9</v>
      </c>
      <c r="J867" s="148" t="s">
        <v>33</v>
      </c>
      <c r="U867" s="149" t="s">
        <v>112</v>
      </c>
      <c r="V867" s="148" t="s">
        <v>112</v>
      </c>
      <c r="Y867" s="150" t="s">
        <v>113</v>
      </c>
    </row>
    <row r="868" spans="1:25" ht="15.75" hidden="1" customHeight="1" x14ac:dyDescent="0.25">
      <c r="A868" s="148" t="s">
        <v>76</v>
      </c>
      <c r="B868" s="148" t="s">
        <v>89</v>
      </c>
      <c r="C868" s="148" t="s">
        <v>90</v>
      </c>
      <c r="D868" s="148" t="s">
        <v>29</v>
      </c>
      <c r="E868" s="148" t="s">
        <v>30</v>
      </c>
      <c r="F868" s="148" t="s">
        <v>91</v>
      </c>
      <c r="G868" s="148" t="s">
        <v>451</v>
      </c>
      <c r="H868" s="148">
        <v>2007</v>
      </c>
      <c r="I868" s="148">
        <v>9</v>
      </c>
      <c r="J868" s="148" t="s">
        <v>118</v>
      </c>
      <c r="K868" s="148" t="s">
        <v>172</v>
      </c>
      <c r="M868" s="148" t="s">
        <v>346</v>
      </c>
      <c r="N868" s="148">
        <v>8</v>
      </c>
      <c r="O868" s="148" t="s">
        <v>101</v>
      </c>
      <c r="P868" s="148" t="s">
        <v>735</v>
      </c>
      <c r="Y868" s="150" t="s">
        <v>366</v>
      </c>
    </row>
    <row r="869" spans="1:25" ht="13.5" hidden="1" customHeight="1" x14ac:dyDescent="0.25">
      <c r="A869" s="148" t="s">
        <v>26</v>
      </c>
      <c r="B869" s="148" t="s">
        <v>103</v>
      </c>
      <c r="C869" s="148" t="s">
        <v>55</v>
      </c>
      <c r="D869" s="148" t="s">
        <v>478</v>
      </c>
      <c r="E869" s="148" t="s">
        <v>95</v>
      </c>
      <c r="F869" s="148" t="s">
        <v>56</v>
      </c>
      <c r="G869" s="148" t="s">
        <v>108</v>
      </c>
      <c r="H869" s="148">
        <v>2007</v>
      </c>
      <c r="I869" s="148">
        <v>9</v>
      </c>
      <c r="J869" s="148" t="s">
        <v>33</v>
      </c>
      <c r="U869" s="149" t="s">
        <v>112</v>
      </c>
      <c r="V869" s="148" t="s">
        <v>112</v>
      </c>
      <c r="Y869" s="150" t="s">
        <v>113</v>
      </c>
    </row>
    <row r="870" spans="1:25" ht="15.75" hidden="1" customHeight="1" x14ac:dyDescent="0.25">
      <c r="A870" s="148" t="s">
        <v>307</v>
      </c>
      <c r="B870" s="148" t="s">
        <v>71</v>
      </c>
      <c r="C870" s="148" t="s">
        <v>45</v>
      </c>
      <c r="D870" s="148" t="s">
        <v>29</v>
      </c>
      <c r="E870" s="148" t="s">
        <v>72</v>
      </c>
      <c r="F870" s="148" t="s">
        <v>3183</v>
      </c>
      <c r="G870" s="148" t="s">
        <v>73</v>
      </c>
      <c r="H870" s="148">
        <v>2007</v>
      </c>
      <c r="I870" s="148">
        <v>10</v>
      </c>
      <c r="J870" s="148" t="s">
        <v>399</v>
      </c>
      <c r="Q870" s="148" t="s">
        <v>426</v>
      </c>
      <c r="R870" s="148" t="s">
        <v>744</v>
      </c>
      <c r="S870" s="148" t="s">
        <v>427</v>
      </c>
      <c r="T870" s="148" t="s">
        <v>745</v>
      </c>
      <c r="Y870" s="150" t="s">
        <v>366</v>
      </c>
    </row>
    <row r="871" spans="1:25" ht="15.75" hidden="1" customHeight="1" x14ac:dyDescent="0.25">
      <c r="A871" s="148" t="s">
        <v>76</v>
      </c>
      <c r="B871" s="148" t="s">
        <v>27</v>
      </c>
      <c r="C871" s="148" t="s">
        <v>55</v>
      </c>
      <c r="D871" s="148" t="s">
        <v>158</v>
      </c>
      <c r="E871" s="148" t="s">
        <v>40</v>
      </c>
      <c r="F871" s="148" t="s">
        <v>41</v>
      </c>
      <c r="G871" s="148" t="s">
        <v>604</v>
      </c>
      <c r="H871" s="148">
        <v>2007</v>
      </c>
      <c r="I871" s="148">
        <v>11</v>
      </c>
      <c r="J871" s="148" t="s">
        <v>118</v>
      </c>
      <c r="K871" s="148" t="s">
        <v>172</v>
      </c>
      <c r="M871" s="148" t="s">
        <v>346</v>
      </c>
      <c r="N871" s="148">
        <v>8</v>
      </c>
      <c r="O871" s="148" t="s">
        <v>101</v>
      </c>
      <c r="P871" s="148" t="s">
        <v>435</v>
      </c>
      <c r="Y871" s="150" t="s">
        <v>366</v>
      </c>
    </row>
    <row r="872" spans="1:25" ht="15.75" hidden="1" customHeight="1" x14ac:dyDescent="0.25">
      <c r="A872" s="148" t="s">
        <v>76</v>
      </c>
      <c r="B872" s="148" t="s">
        <v>103</v>
      </c>
      <c r="C872" s="148" t="s">
        <v>55</v>
      </c>
      <c r="D872" s="148" t="s">
        <v>29</v>
      </c>
      <c r="E872" s="148" t="s">
        <v>95</v>
      </c>
      <c r="F872" s="148" t="s">
        <v>56</v>
      </c>
      <c r="G872" s="148" t="s">
        <v>382</v>
      </c>
      <c r="H872" s="148">
        <v>2007</v>
      </c>
      <c r="I872" s="148">
        <v>11</v>
      </c>
      <c r="J872" s="148" t="s">
        <v>150</v>
      </c>
      <c r="K872" s="148" t="s">
        <v>610</v>
      </c>
      <c r="M872" s="148" t="s">
        <v>611</v>
      </c>
      <c r="N872" s="148">
        <v>8</v>
      </c>
      <c r="O872" s="148" t="s">
        <v>83</v>
      </c>
      <c r="Y872" s="150" t="s">
        <v>366</v>
      </c>
    </row>
    <row r="873" spans="1:25" ht="15.75" hidden="1" customHeight="1" x14ac:dyDescent="0.25">
      <c r="A873" s="148" t="s">
        <v>76</v>
      </c>
      <c r="B873" s="148" t="s">
        <v>116</v>
      </c>
      <c r="C873" s="148" t="s">
        <v>90</v>
      </c>
      <c r="D873" s="148" t="s">
        <v>86</v>
      </c>
      <c r="E873" s="148" t="s">
        <v>40</v>
      </c>
      <c r="F873" s="148" t="s">
        <v>41</v>
      </c>
      <c r="G873" s="148" t="s">
        <v>117</v>
      </c>
      <c r="H873" s="148">
        <v>2007</v>
      </c>
      <c r="I873" s="148">
        <v>11</v>
      </c>
      <c r="J873" s="148" t="s">
        <v>150</v>
      </c>
      <c r="K873" s="148" t="s">
        <v>555</v>
      </c>
      <c r="M873" s="148" t="s">
        <v>246</v>
      </c>
      <c r="N873" s="148">
        <v>6</v>
      </c>
      <c r="O873" s="148" t="s">
        <v>83</v>
      </c>
      <c r="Y873" s="150" t="s">
        <v>366</v>
      </c>
    </row>
    <row r="874" spans="1:25" ht="15.75" hidden="1" customHeight="1" x14ac:dyDescent="0.25">
      <c r="A874" s="148" t="s">
        <v>76</v>
      </c>
      <c r="B874" s="148" t="s">
        <v>27</v>
      </c>
      <c r="C874" s="148" t="s">
        <v>28</v>
      </c>
      <c r="D874" s="148" t="s">
        <v>566</v>
      </c>
      <c r="E874" s="148" t="s">
        <v>30</v>
      </c>
      <c r="F874" s="148" t="s">
        <v>3183</v>
      </c>
      <c r="G874" s="148" t="s">
        <v>53</v>
      </c>
      <c r="H874" s="148">
        <v>2007</v>
      </c>
      <c r="I874" s="148">
        <v>11</v>
      </c>
      <c r="J874" s="148" t="s">
        <v>118</v>
      </c>
      <c r="K874" s="148" t="s">
        <v>455</v>
      </c>
      <c r="M874" s="148" t="s">
        <v>132</v>
      </c>
      <c r="N874" s="148">
        <v>8</v>
      </c>
      <c r="O874" s="148" t="s">
        <v>101</v>
      </c>
      <c r="P874" s="148" t="s">
        <v>746</v>
      </c>
      <c r="Y874" s="150" t="s">
        <v>366</v>
      </c>
    </row>
    <row r="875" spans="1:25" ht="15.75" hidden="1" customHeight="1" x14ac:dyDescent="0.25">
      <c r="A875" s="148" t="s">
        <v>76</v>
      </c>
      <c r="B875" s="148" t="s">
        <v>36</v>
      </c>
      <c r="C875" s="148" t="s">
        <v>28</v>
      </c>
      <c r="D875" s="148" t="s">
        <v>99</v>
      </c>
      <c r="E875" s="148" t="s">
        <v>30</v>
      </c>
      <c r="F875" s="148" t="s">
        <v>3183</v>
      </c>
      <c r="G875" s="148" t="s">
        <v>59</v>
      </c>
      <c r="H875" s="148">
        <v>2007</v>
      </c>
      <c r="I875" s="148">
        <v>11</v>
      </c>
      <c r="J875" s="148" t="s">
        <v>118</v>
      </c>
      <c r="K875" s="148" t="s">
        <v>172</v>
      </c>
      <c r="M875" s="148" t="s">
        <v>346</v>
      </c>
      <c r="N875" s="148">
        <v>10</v>
      </c>
      <c r="O875" s="148" t="s">
        <v>101</v>
      </c>
      <c r="P875" s="148" t="s">
        <v>146</v>
      </c>
      <c r="Y875" s="150" t="s">
        <v>366</v>
      </c>
    </row>
    <row r="876" spans="1:25" ht="15.75" hidden="1" customHeight="1" x14ac:dyDescent="0.25">
      <c r="A876" s="148" t="s">
        <v>76</v>
      </c>
      <c r="B876" s="148" t="s">
        <v>89</v>
      </c>
      <c r="C876" s="148" t="s">
        <v>90</v>
      </c>
      <c r="D876" s="148" t="s">
        <v>29</v>
      </c>
      <c r="E876" s="148" t="s">
        <v>30</v>
      </c>
      <c r="F876" s="148" t="s">
        <v>91</v>
      </c>
      <c r="G876" s="148" t="s">
        <v>747</v>
      </c>
      <c r="H876" s="148">
        <v>2007</v>
      </c>
      <c r="I876" s="148">
        <v>11</v>
      </c>
      <c r="J876" s="148" t="s">
        <v>118</v>
      </c>
      <c r="K876" s="148" t="s">
        <v>172</v>
      </c>
      <c r="M876" s="148" t="s">
        <v>346</v>
      </c>
      <c r="N876" s="148">
        <v>8</v>
      </c>
      <c r="O876" s="148" t="s">
        <v>101</v>
      </c>
      <c r="P876" s="148" t="s">
        <v>146</v>
      </c>
      <c r="Y876" s="150" t="s">
        <v>366</v>
      </c>
    </row>
    <row r="877" spans="1:25" ht="15.75" hidden="1" customHeight="1" x14ac:dyDescent="0.25">
      <c r="A877" s="148" t="s">
        <v>26</v>
      </c>
      <c r="B877" s="148" t="s">
        <v>62</v>
      </c>
      <c r="C877" s="148" t="s">
        <v>28</v>
      </c>
      <c r="D877" s="148" t="s">
        <v>408</v>
      </c>
      <c r="E877" s="148" t="s">
        <v>51</v>
      </c>
      <c r="F877" s="148" t="s">
        <v>3183</v>
      </c>
      <c r="G877" s="148" t="s">
        <v>409</v>
      </c>
      <c r="H877" s="148">
        <v>2007</v>
      </c>
      <c r="I877" s="148">
        <v>11</v>
      </c>
      <c r="J877" s="148" t="s">
        <v>33</v>
      </c>
      <c r="U877" s="149" t="s">
        <v>112</v>
      </c>
      <c r="V877" s="148" t="s">
        <v>112</v>
      </c>
      <c r="W877" s="148" t="s">
        <v>87</v>
      </c>
      <c r="X877" s="148" t="s">
        <v>748</v>
      </c>
      <c r="Y877" s="150" t="s">
        <v>749</v>
      </c>
    </row>
    <row r="878" spans="1:25" ht="13.5" hidden="1" customHeight="1" x14ac:dyDescent="0.25">
      <c r="A878" s="148" t="s">
        <v>76</v>
      </c>
      <c r="B878" s="148" t="s">
        <v>89</v>
      </c>
      <c r="C878" s="148" t="s">
        <v>90</v>
      </c>
      <c r="D878" s="148" t="s">
        <v>29</v>
      </c>
      <c r="E878" s="148" t="s">
        <v>30</v>
      </c>
      <c r="F878" s="148" t="s">
        <v>91</v>
      </c>
      <c r="G878" s="148" t="s">
        <v>222</v>
      </c>
      <c r="H878" s="148">
        <v>2007</v>
      </c>
      <c r="I878" s="148">
        <v>11</v>
      </c>
      <c r="J878" s="148" t="s">
        <v>150</v>
      </c>
      <c r="K878" s="148" t="s">
        <v>172</v>
      </c>
      <c r="M878" s="148" t="s">
        <v>346</v>
      </c>
      <c r="N878" s="148">
        <v>8</v>
      </c>
      <c r="O878" s="148" t="s">
        <v>83</v>
      </c>
      <c r="Y878" s="150" t="s">
        <v>366</v>
      </c>
    </row>
    <row r="879" spans="1:25" ht="15.75" hidden="1" customHeight="1" x14ac:dyDescent="0.25">
      <c r="A879" s="148" t="s">
        <v>76</v>
      </c>
      <c r="B879" s="148" t="s">
        <v>116</v>
      </c>
      <c r="C879" s="148" t="s">
        <v>90</v>
      </c>
      <c r="D879" s="148" t="s">
        <v>29</v>
      </c>
      <c r="E879" s="148" t="s">
        <v>40</v>
      </c>
      <c r="F879" s="148" t="s">
        <v>41</v>
      </c>
      <c r="G879" s="148" t="s">
        <v>345</v>
      </c>
      <c r="H879" s="148">
        <v>2007</v>
      </c>
      <c r="I879" s="148">
        <v>11</v>
      </c>
      <c r="J879" s="148" t="s">
        <v>150</v>
      </c>
      <c r="K879" s="148" t="s">
        <v>172</v>
      </c>
      <c r="M879" s="148" t="s">
        <v>346</v>
      </c>
      <c r="N879" s="148">
        <v>8</v>
      </c>
      <c r="O879" s="148" t="s">
        <v>83</v>
      </c>
      <c r="Y879" s="150" t="s">
        <v>366</v>
      </c>
    </row>
    <row r="880" spans="1:25" ht="15.75" hidden="1" customHeight="1" x14ac:dyDescent="0.25">
      <c r="A880" s="148" t="s">
        <v>76</v>
      </c>
      <c r="B880" s="148" t="s">
        <v>36</v>
      </c>
      <c r="C880" s="148" t="s">
        <v>28</v>
      </c>
      <c r="D880" s="148" t="s">
        <v>158</v>
      </c>
      <c r="E880" s="148" t="s">
        <v>30</v>
      </c>
      <c r="F880" s="148" t="s">
        <v>3183</v>
      </c>
      <c r="G880" s="148" t="s">
        <v>242</v>
      </c>
      <c r="H880" s="148">
        <v>2007</v>
      </c>
      <c r="I880" s="148">
        <v>11</v>
      </c>
      <c r="J880" s="148" t="s">
        <v>150</v>
      </c>
      <c r="K880" s="148" t="s">
        <v>374</v>
      </c>
      <c r="M880" s="148" t="s">
        <v>389</v>
      </c>
      <c r="N880" s="148">
        <v>8</v>
      </c>
      <c r="O880" s="148" t="s">
        <v>83</v>
      </c>
      <c r="Y880" s="150" t="s">
        <v>366</v>
      </c>
    </row>
    <row r="881" spans="1:25" ht="15.75" hidden="1" customHeight="1" x14ac:dyDescent="0.25">
      <c r="A881" s="148" t="s">
        <v>76</v>
      </c>
      <c r="B881" s="148" t="s">
        <v>198</v>
      </c>
      <c r="C881" s="148" t="s">
        <v>45</v>
      </c>
      <c r="D881" s="148" t="s">
        <v>94</v>
      </c>
      <c r="E881" s="148" t="s">
        <v>30</v>
      </c>
      <c r="F881" s="148" t="s">
        <v>199</v>
      </c>
      <c r="G881" s="148" t="s">
        <v>248</v>
      </c>
      <c r="H881" s="148">
        <v>2007</v>
      </c>
      <c r="I881" s="148">
        <v>11</v>
      </c>
      <c r="J881" s="148" t="s">
        <v>118</v>
      </c>
      <c r="K881" s="148" t="s">
        <v>172</v>
      </c>
      <c r="M881" s="148" t="s">
        <v>346</v>
      </c>
      <c r="N881" s="148">
        <v>8</v>
      </c>
      <c r="O881" s="148" t="s">
        <v>101</v>
      </c>
      <c r="P881" s="148" t="s">
        <v>146</v>
      </c>
      <c r="Y881" s="150" t="s">
        <v>366</v>
      </c>
    </row>
    <row r="882" spans="1:25" ht="15.75" hidden="1" customHeight="1" x14ac:dyDescent="0.25">
      <c r="A882" s="148" t="s">
        <v>76</v>
      </c>
      <c r="B882" s="148" t="s">
        <v>62</v>
      </c>
      <c r="C882" s="148" t="s">
        <v>28</v>
      </c>
      <c r="D882" s="148" t="s">
        <v>158</v>
      </c>
      <c r="E882" s="148" t="s">
        <v>51</v>
      </c>
      <c r="F882" s="148" t="s">
        <v>3183</v>
      </c>
      <c r="G882" s="148" t="s">
        <v>130</v>
      </c>
      <c r="H882" s="148">
        <v>2007</v>
      </c>
      <c r="I882" s="148">
        <v>11</v>
      </c>
      <c r="J882" s="148" t="s">
        <v>118</v>
      </c>
      <c r="K882" s="148" t="s">
        <v>172</v>
      </c>
      <c r="M882" s="148" t="s">
        <v>346</v>
      </c>
      <c r="N882" s="148">
        <v>8</v>
      </c>
      <c r="O882" s="148" t="s">
        <v>101</v>
      </c>
      <c r="P882" s="148" t="s">
        <v>398</v>
      </c>
      <c r="Y882" s="150" t="s">
        <v>366</v>
      </c>
    </row>
    <row r="883" spans="1:25" ht="13.5" hidden="1" customHeight="1" x14ac:dyDescent="0.25">
      <c r="A883" s="148" t="s">
        <v>76</v>
      </c>
      <c r="B883" s="148" t="s">
        <v>103</v>
      </c>
      <c r="C883" s="148" t="s">
        <v>55</v>
      </c>
      <c r="D883" s="148" t="s">
        <v>29</v>
      </c>
      <c r="E883" s="148" t="s">
        <v>30</v>
      </c>
      <c r="F883" s="148" t="s">
        <v>56</v>
      </c>
      <c r="G883" s="148" t="s">
        <v>432</v>
      </c>
      <c r="H883" s="148">
        <v>2007</v>
      </c>
      <c r="I883" s="148">
        <v>11</v>
      </c>
      <c r="J883" s="148" t="s">
        <v>150</v>
      </c>
      <c r="K883" s="148" t="s">
        <v>610</v>
      </c>
      <c r="M883" s="148" t="s">
        <v>611</v>
      </c>
      <c r="N883" s="148">
        <v>8</v>
      </c>
      <c r="O883" s="148" t="s">
        <v>83</v>
      </c>
      <c r="Y883" s="150" t="s">
        <v>366</v>
      </c>
    </row>
    <row r="884" spans="1:25" ht="15.75" hidden="1" customHeight="1" x14ac:dyDescent="0.25">
      <c r="A884" s="148" t="s">
        <v>76</v>
      </c>
      <c r="B884" s="148" t="s">
        <v>116</v>
      </c>
      <c r="C884" s="148" t="s">
        <v>90</v>
      </c>
      <c r="D884" s="148" t="s">
        <v>29</v>
      </c>
      <c r="E884" s="148" t="s">
        <v>30</v>
      </c>
      <c r="F884" s="148" t="s">
        <v>41</v>
      </c>
      <c r="G884" s="148" t="s">
        <v>476</v>
      </c>
      <c r="H884" s="148">
        <v>2007</v>
      </c>
      <c r="I884" s="148">
        <v>11</v>
      </c>
      <c r="J884" s="148" t="s">
        <v>150</v>
      </c>
      <c r="K884" s="148" t="s">
        <v>555</v>
      </c>
      <c r="M884" s="148" t="s">
        <v>246</v>
      </c>
      <c r="N884" s="148">
        <v>6</v>
      </c>
      <c r="O884" s="148" t="s">
        <v>83</v>
      </c>
      <c r="Y884" s="150" t="s">
        <v>366</v>
      </c>
    </row>
    <row r="885" spans="1:25" ht="15.75" hidden="1" customHeight="1" x14ac:dyDescent="0.25">
      <c r="A885" s="148" t="s">
        <v>76</v>
      </c>
      <c r="B885" s="148" t="s">
        <v>36</v>
      </c>
      <c r="C885" s="148" t="s">
        <v>28</v>
      </c>
      <c r="D885" s="148" t="s">
        <v>99</v>
      </c>
      <c r="E885" s="148" t="s">
        <v>51</v>
      </c>
      <c r="F885" s="148" t="s">
        <v>3183</v>
      </c>
      <c r="G885" s="148" t="s">
        <v>52</v>
      </c>
      <c r="H885" s="148">
        <v>2007</v>
      </c>
      <c r="I885" s="148">
        <v>11</v>
      </c>
      <c r="J885" s="148" t="s">
        <v>150</v>
      </c>
      <c r="K885" s="148" t="s">
        <v>172</v>
      </c>
      <c r="M885" s="148" t="s">
        <v>346</v>
      </c>
      <c r="N885" s="148">
        <v>8</v>
      </c>
      <c r="O885" s="148" t="s">
        <v>101</v>
      </c>
      <c r="P885" s="148" t="s">
        <v>649</v>
      </c>
      <c r="Y885" s="150" t="s">
        <v>366</v>
      </c>
    </row>
    <row r="886" spans="1:25" ht="15.75" hidden="1" customHeight="1" x14ac:dyDescent="0.25">
      <c r="A886" s="148" t="s">
        <v>76</v>
      </c>
      <c r="B886" s="148" t="s">
        <v>77</v>
      </c>
      <c r="C886" s="148" t="s">
        <v>55</v>
      </c>
      <c r="D886" s="148" t="s">
        <v>29</v>
      </c>
      <c r="E886" s="148" t="s">
        <v>30</v>
      </c>
      <c r="F886" s="148" t="s">
        <v>41</v>
      </c>
      <c r="G886" s="148" t="s">
        <v>252</v>
      </c>
      <c r="H886" s="148">
        <v>2007</v>
      </c>
      <c r="I886" s="148">
        <v>11</v>
      </c>
      <c r="J886" s="148" t="s">
        <v>118</v>
      </c>
      <c r="K886" s="148" t="s">
        <v>172</v>
      </c>
      <c r="M886" s="148" t="s">
        <v>346</v>
      </c>
      <c r="N886" s="148">
        <v>6</v>
      </c>
      <c r="O886" s="148" t="s">
        <v>101</v>
      </c>
      <c r="P886" s="148" t="s">
        <v>206</v>
      </c>
      <c r="Y886" s="150" t="s">
        <v>750</v>
      </c>
    </row>
    <row r="887" spans="1:25" ht="15.75" hidden="1" customHeight="1" x14ac:dyDescent="0.25">
      <c r="A887" s="148" t="s">
        <v>76</v>
      </c>
      <c r="B887" s="148" t="s">
        <v>44</v>
      </c>
      <c r="C887" s="148" t="s">
        <v>45</v>
      </c>
      <c r="D887" s="148" t="s">
        <v>29</v>
      </c>
      <c r="E887" s="148" t="s">
        <v>46</v>
      </c>
      <c r="F887" s="148" t="s">
        <v>47</v>
      </c>
      <c r="G887" s="148" t="s">
        <v>48</v>
      </c>
      <c r="H887" s="148">
        <v>2007</v>
      </c>
      <c r="I887" s="148">
        <v>11</v>
      </c>
      <c r="J887" s="148" t="s">
        <v>118</v>
      </c>
      <c r="K887" s="148" t="s">
        <v>388</v>
      </c>
      <c r="M887" s="148" t="s">
        <v>126</v>
      </c>
      <c r="N887" s="148">
        <v>10</v>
      </c>
      <c r="O887" s="148" t="s">
        <v>101</v>
      </c>
      <c r="P887" s="148" t="s">
        <v>183</v>
      </c>
      <c r="Y887" s="150" t="s">
        <v>366</v>
      </c>
    </row>
    <row r="888" spans="1:25" ht="15.75" hidden="1" customHeight="1" x14ac:dyDescent="0.25">
      <c r="A888" s="148" t="s">
        <v>76</v>
      </c>
      <c r="B888" s="148" t="s">
        <v>36</v>
      </c>
      <c r="C888" s="148" t="s">
        <v>28</v>
      </c>
      <c r="D888" s="148" t="s">
        <v>29</v>
      </c>
      <c r="E888" s="148" t="s">
        <v>30</v>
      </c>
      <c r="F888" s="148" t="s">
        <v>3183</v>
      </c>
      <c r="G888" s="148" t="s">
        <v>114</v>
      </c>
      <c r="H888" s="148">
        <v>2007</v>
      </c>
      <c r="I888" s="148">
        <v>11</v>
      </c>
      <c r="J888" s="148" t="s">
        <v>150</v>
      </c>
      <c r="K888" s="148" t="s">
        <v>374</v>
      </c>
      <c r="M888" s="148" t="s">
        <v>389</v>
      </c>
      <c r="N888" s="148">
        <v>8</v>
      </c>
      <c r="O888" s="148" t="s">
        <v>83</v>
      </c>
      <c r="Y888" s="150" t="s">
        <v>366</v>
      </c>
    </row>
    <row r="889" spans="1:25" ht="15.75" hidden="1" customHeight="1" x14ac:dyDescent="0.25">
      <c r="A889" s="148" t="s">
        <v>76</v>
      </c>
      <c r="B889" s="148" t="s">
        <v>89</v>
      </c>
      <c r="C889" s="148" t="s">
        <v>90</v>
      </c>
      <c r="D889" s="148" t="s">
        <v>29</v>
      </c>
      <c r="E889" s="148" t="s">
        <v>30</v>
      </c>
      <c r="F889" s="148" t="s">
        <v>91</v>
      </c>
      <c r="G889" s="148" t="s">
        <v>417</v>
      </c>
      <c r="H889" s="148">
        <v>2007</v>
      </c>
      <c r="I889" s="148">
        <v>12</v>
      </c>
      <c r="J889" s="148" t="s">
        <v>118</v>
      </c>
      <c r="K889" s="148" t="s">
        <v>172</v>
      </c>
      <c r="M889" s="148" t="s">
        <v>346</v>
      </c>
      <c r="N889" s="148">
        <v>10</v>
      </c>
      <c r="O889" s="148" t="s">
        <v>101</v>
      </c>
      <c r="P889" s="148" t="s">
        <v>146</v>
      </c>
      <c r="Y889" s="150" t="s">
        <v>366</v>
      </c>
    </row>
    <row r="890" spans="1:25" ht="15.75" hidden="1" customHeight="1" x14ac:dyDescent="0.25">
      <c r="A890" s="148" t="s">
        <v>307</v>
      </c>
      <c r="B890" s="148" t="s">
        <v>27</v>
      </c>
      <c r="C890" s="148" t="s">
        <v>28</v>
      </c>
      <c r="D890" s="148" t="s">
        <v>566</v>
      </c>
      <c r="E890" s="148" t="s">
        <v>30</v>
      </c>
      <c r="F890" s="148" t="s">
        <v>3183</v>
      </c>
      <c r="G890" s="148" t="s">
        <v>53</v>
      </c>
      <c r="H890" s="148">
        <v>2007</v>
      </c>
      <c r="I890" s="148">
        <v>12</v>
      </c>
      <c r="J890" s="148" t="s">
        <v>308</v>
      </c>
      <c r="Q890" s="148" t="s">
        <v>309</v>
      </c>
      <c r="R890" s="148" t="s">
        <v>751</v>
      </c>
      <c r="S890" s="148" t="s">
        <v>311</v>
      </c>
      <c r="T890" s="148" t="s">
        <v>309</v>
      </c>
      <c r="Y890" s="150" t="s">
        <v>366</v>
      </c>
    </row>
    <row r="891" spans="1:25" ht="15.75" hidden="1" customHeight="1" x14ac:dyDescent="0.25">
      <c r="A891" s="148" t="s">
        <v>76</v>
      </c>
      <c r="B891" s="148" t="s">
        <v>116</v>
      </c>
      <c r="C891" s="148" t="s">
        <v>90</v>
      </c>
      <c r="D891" s="148" t="s">
        <v>29</v>
      </c>
      <c r="E891" s="148" t="s">
        <v>40</v>
      </c>
      <c r="F891" s="148" t="s">
        <v>41</v>
      </c>
      <c r="G891" s="148" t="s">
        <v>469</v>
      </c>
      <c r="H891" s="148">
        <v>2007</v>
      </c>
      <c r="I891" s="148">
        <v>12</v>
      </c>
      <c r="J891" s="148" t="s">
        <v>150</v>
      </c>
      <c r="K891" s="148" t="s">
        <v>629</v>
      </c>
      <c r="M891" s="148" t="s">
        <v>120</v>
      </c>
      <c r="N891" s="148">
        <v>6</v>
      </c>
      <c r="O891" s="148" t="s">
        <v>83</v>
      </c>
      <c r="Y891" s="150" t="s">
        <v>366</v>
      </c>
    </row>
    <row r="892" spans="1:25" ht="15.75" hidden="1" customHeight="1" x14ac:dyDescent="0.25">
      <c r="A892" s="148" t="s">
        <v>76</v>
      </c>
      <c r="B892" s="148" t="s">
        <v>116</v>
      </c>
      <c r="C892" s="148" t="s">
        <v>90</v>
      </c>
      <c r="D892" s="148" t="s">
        <v>29</v>
      </c>
      <c r="E892" s="148" t="s">
        <v>40</v>
      </c>
      <c r="F892" s="148" t="s">
        <v>41</v>
      </c>
      <c r="G892" s="148" t="s">
        <v>473</v>
      </c>
      <c r="H892" s="148">
        <v>2007</v>
      </c>
      <c r="I892" s="148">
        <v>12</v>
      </c>
      <c r="J892" s="148" t="s">
        <v>150</v>
      </c>
      <c r="K892" s="148" t="s">
        <v>571</v>
      </c>
      <c r="M892" s="148" t="s">
        <v>572</v>
      </c>
      <c r="N892" s="148">
        <v>6</v>
      </c>
      <c r="O892" s="148" t="s">
        <v>83</v>
      </c>
      <c r="Y892" s="150" t="s">
        <v>366</v>
      </c>
    </row>
    <row r="893" spans="1:25" ht="15.75" hidden="1" customHeight="1" x14ac:dyDescent="0.25">
      <c r="A893" s="148" t="s">
        <v>76</v>
      </c>
      <c r="B893" s="148" t="s">
        <v>89</v>
      </c>
      <c r="C893" s="148" t="s">
        <v>90</v>
      </c>
      <c r="D893" s="148" t="s">
        <v>29</v>
      </c>
      <c r="E893" s="148" t="s">
        <v>30</v>
      </c>
      <c r="F893" s="148" t="s">
        <v>91</v>
      </c>
      <c r="G893" s="148" t="s">
        <v>752</v>
      </c>
      <c r="H893" s="148">
        <v>2007</v>
      </c>
      <c r="I893" s="148">
        <v>12</v>
      </c>
      <c r="J893" s="148" t="s">
        <v>150</v>
      </c>
      <c r="K893" s="148" t="s">
        <v>571</v>
      </c>
      <c r="M893" s="148" t="s">
        <v>572</v>
      </c>
      <c r="N893" s="148">
        <v>6</v>
      </c>
      <c r="O893" s="148" t="s">
        <v>83</v>
      </c>
      <c r="Y893" s="150" t="s">
        <v>366</v>
      </c>
    </row>
    <row r="894" spans="1:25" ht="15.75" hidden="1" customHeight="1" x14ac:dyDescent="0.25">
      <c r="A894" s="148" t="s">
        <v>76</v>
      </c>
      <c r="B894" s="148" t="s">
        <v>36</v>
      </c>
      <c r="C894" s="148" t="s">
        <v>28</v>
      </c>
      <c r="D894" s="148" t="s">
        <v>86</v>
      </c>
      <c r="E894" s="148" t="s">
        <v>30</v>
      </c>
      <c r="F894" s="148" t="s">
        <v>3183</v>
      </c>
      <c r="G894" s="148" t="s">
        <v>67</v>
      </c>
      <c r="H894" s="148">
        <v>2007</v>
      </c>
      <c r="I894" s="148">
        <v>12</v>
      </c>
      <c r="J894" s="148" t="s">
        <v>150</v>
      </c>
      <c r="K894" s="148" t="s">
        <v>541</v>
      </c>
      <c r="M894" s="148" t="s">
        <v>575</v>
      </c>
      <c r="N894" s="148">
        <v>6</v>
      </c>
      <c r="O894" s="148" t="s">
        <v>83</v>
      </c>
      <c r="Y894" s="150" t="s">
        <v>366</v>
      </c>
    </row>
    <row r="895" spans="1:25" ht="15.75" hidden="1" customHeight="1" x14ac:dyDescent="0.25">
      <c r="A895" s="148" t="s">
        <v>76</v>
      </c>
      <c r="B895" s="148" t="s">
        <v>89</v>
      </c>
      <c r="C895" s="148" t="s">
        <v>90</v>
      </c>
      <c r="D895" s="148" t="s">
        <v>29</v>
      </c>
      <c r="E895" s="148" t="s">
        <v>40</v>
      </c>
      <c r="F895" s="148" t="s">
        <v>91</v>
      </c>
      <c r="G895" s="148" t="s">
        <v>142</v>
      </c>
      <c r="H895" s="148">
        <v>2007</v>
      </c>
      <c r="I895" s="148">
        <v>12</v>
      </c>
      <c r="J895" s="148" t="s">
        <v>118</v>
      </c>
      <c r="K895" s="148" t="s">
        <v>455</v>
      </c>
      <c r="M895" s="148" t="s">
        <v>173</v>
      </c>
      <c r="N895" s="148">
        <v>8</v>
      </c>
      <c r="O895" s="148" t="s">
        <v>101</v>
      </c>
      <c r="P895" s="148" t="s">
        <v>753</v>
      </c>
      <c r="Y895" s="150" t="s">
        <v>366</v>
      </c>
    </row>
    <row r="896" spans="1:25" ht="15.75" hidden="1" customHeight="1" x14ac:dyDescent="0.25">
      <c r="A896" s="148" t="s">
        <v>76</v>
      </c>
      <c r="B896" s="148" t="s">
        <v>103</v>
      </c>
      <c r="C896" s="148" t="s">
        <v>55</v>
      </c>
      <c r="D896" s="148" t="s">
        <v>490</v>
      </c>
      <c r="E896" s="148" t="s">
        <v>95</v>
      </c>
      <c r="F896" s="148" t="s">
        <v>56</v>
      </c>
      <c r="G896" s="148" t="s">
        <v>168</v>
      </c>
      <c r="H896" s="148">
        <v>2007</v>
      </c>
      <c r="I896" s="148">
        <v>12</v>
      </c>
      <c r="J896" s="148" t="s">
        <v>118</v>
      </c>
      <c r="K896" s="148" t="s">
        <v>455</v>
      </c>
      <c r="M896" s="148" t="s">
        <v>132</v>
      </c>
      <c r="N896" s="148">
        <v>8</v>
      </c>
      <c r="O896" s="148" t="s">
        <v>101</v>
      </c>
      <c r="P896" s="148" t="s">
        <v>365</v>
      </c>
      <c r="Y896" s="150" t="s">
        <v>754</v>
      </c>
    </row>
    <row r="897" spans="1:26" ht="15.75" hidden="1" customHeight="1" x14ac:dyDescent="0.25">
      <c r="A897" s="148" t="s">
        <v>76</v>
      </c>
      <c r="B897" s="148" t="s">
        <v>103</v>
      </c>
      <c r="C897" s="148" t="s">
        <v>55</v>
      </c>
      <c r="D897" s="148" t="s">
        <v>29</v>
      </c>
      <c r="E897" s="148" t="s">
        <v>95</v>
      </c>
      <c r="F897" s="148" t="s">
        <v>56</v>
      </c>
      <c r="G897" s="148" t="s">
        <v>186</v>
      </c>
      <c r="H897" s="148">
        <v>2007</v>
      </c>
      <c r="I897" s="148">
        <v>12</v>
      </c>
      <c r="J897" s="148" t="s">
        <v>150</v>
      </c>
      <c r="K897" s="148" t="s">
        <v>541</v>
      </c>
      <c r="M897" s="148" t="s">
        <v>575</v>
      </c>
      <c r="N897" s="148">
        <v>6</v>
      </c>
      <c r="O897" s="148" t="s">
        <v>83</v>
      </c>
      <c r="Y897" s="150" t="s">
        <v>366</v>
      </c>
    </row>
    <row r="898" spans="1:26" ht="15.75" hidden="1" customHeight="1" x14ac:dyDescent="0.25">
      <c r="A898" s="148" t="s">
        <v>76</v>
      </c>
      <c r="B898" s="148" t="s">
        <v>103</v>
      </c>
      <c r="C898" s="148" t="s">
        <v>55</v>
      </c>
      <c r="D898" s="148" t="s">
        <v>29</v>
      </c>
      <c r="E898" s="148" t="s">
        <v>30</v>
      </c>
      <c r="F898" s="148" t="s">
        <v>56</v>
      </c>
      <c r="G898" s="148" t="s">
        <v>137</v>
      </c>
      <c r="H898" s="148">
        <v>2007</v>
      </c>
      <c r="I898" s="148">
        <v>12</v>
      </c>
      <c r="J898" s="148" t="s">
        <v>118</v>
      </c>
      <c r="K898" s="148" t="s">
        <v>172</v>
      </c>
      <c r="M898" s="148" t="s">
        <v>346</v>
      </c>
      <c r="N898" s="148">
        <v>10</v>
      </c>
      <c r="O898" s="148" t="s">
        <v>101</v>
      </c>
      <c r="P898" s="148" t="s">
        <v>735</v>
      </c>
      <c r="Y898" s="150" t="s">
        <v>366</v>
      </c>
    </row>
    <row r="899" spans="1:26" ht="15.75" hidden="1" customHeight="1" x14ac:dyDescent="0.25">
      <c r="A899" s="148" t="s">
        <v>76</v>
      </c>
      <c r="B899" s="148" t="s">
        <v>44</v>
      </c>
      <c r="C899" s="148" t="s">
        <v>45</v>
      </c>
      <c r="D899" s="148" t="s">
        <v>29</v>
      </c>
      <c r="E899" s="148" t="s">
        <v>46</v>
      </c>
      <c r="F899" s="148" t="s">
        <v>47</v>
      </c>
      <c r="G899" s="148" t="s">
        <v>48</v>
      </c>
      <c r="H899" s="148">
        <v>2007</v>
      </c>
      <c r="I899" s="148">
        <v>12</v>
      </c>
      <c r="J899" s="148" t="s">
        <v>150</v>
      </c>
      <c r="K899" s="148" t="s">
        <v>610</v>
      </c>
      <c r="M899" s="148" t="s">
        <v>611</v>
      </c>
      <c r="N899" s="148">
        <v>8</v>
      </c>
      <c r="O899" s="148" t="s">
        <v>101</v>
      </c>
      <c r="P899" s="148" t="s">
        <v>755</v>
      </c>
      <c r="Y899" s="150" t="s">
        <v>366</v>
      </c>
    </row>
    <row r="900" spans="1:26" ht="15.75" hidden="1" customHeight="1" x14ac:dyDescent="0.25">
      <c r="A900" s="148" t="s">
        <v>76</v>
      </c>
      <c r="B900" s="148" t="s">
        <v>36</v>
      </c>
      <c r="C900" s="148" t="s">
        <v>28</v>
      </c>
      <c r="D900" s="148" t="s">
        <v>29</v>
      </c>
      <c r="E900" s="148" t="s">
        <v>30</v>
      </c>
      <c r="F900" s="148" t="s">
        <v>3183</v>
      </c>
      <c r="G900" s="148" t="s">
        <v>211</v>
      </c>
      <c r="H900" s="148">
        <v>2008</v>
      </c>
      <c r="I900" s="148">
        <v>1</v>
      </c>
      <c r="J900" s="148" t="s">
        <v>150</v>
      </c>
      <c r="K900" s="148" t="s">
        <v>172</v>
      </c>
      <c r="M900" s="148" t="s">
        <v>346</v>
      </c>
      <c r="N900" s="148">
        <v>8</v>
      </c>
      <c r="O900" s="148" t="s">
        <v>83</v>
      </c>
      <c r="Y900" s="150" t="s">
        <v>366</v>
      </c>
    </row>
    <row r="901" spans="1:26" ht="15.75" hidden="1" customHeight="1" x14ac:dyDescent="0.25">
      <c r="A901" s="148" t="s">
        <v>76</v>
      </c>
      <c r="B901" s="148" t="s">
        <v>36</v>
      </c>
      <c r="C901" s="148" t="s">
        <v>28</v>
      </c>
      <c r="D901" s="148" t="s">
        <v>99</v>
      </c>
      <c r="E901" s="148" t="s">
        <v>30</v>
      </c>
      <c r="F901" s="148" t="s">
        <v>3183</v>
      </c>
      <c r="G901" s="148" t="s">
        <v>59</v>
      </c>
      <c r="H901" s="148">
        <v>2008</v>
      </c>
      <c r="I901" s="148">
        <v>1</v>
      </c>
      <c r="J901" s="148" t="s">
        <v>150</v>
      </c>
      <c r="K901" s="148" t="s">
        <v>172</v>
      </c>
      <c r="M901" s="148" t="s">
        <v>346</v>
      </c>
      <c r="N901" s="148">
        <v>8</v>
      </c>
      <c r="O901" s="148" t="s">
        <v>83</v>
      </c>
      <c r="Y901" s="150" t="s">
        <v>366</v>
      </c>
    </row>
    <row r="902" spans="1:26" ht="15.75" hidden="1" customHeight="1" x14ac:dyDescent="0.25">
      <c r="A902" s="148" t="s">
        <v>76</v>
      </c>
      <c r="B902" s="148" t="s">
        <v>27</v>
      </c>
      <c r="C902" s="148" t="s">
        <v>28</v>
      </c>
      <c r="D902" s="148" t="s">
        <v>3320</v>
      </c>
      <c r="E902" s="148" t="s">
        <v>30</v>
      </c>
      <c r="F902" s="148" t="s">
        <v>3183</v>
      </c>
      <c r="G902" s="148" t="s">
        <v>163</v>
      </c>
      <c r="H902" s="148">
        <v>2008</v>
      </c>
      <c r="I902" s="148">
        <v>1</v>
      </c>
      <c r="J902" s="148" t="s">
        <v>118</v>
      </c>
      <c r="K902" s="148" t="s">
        <v>172</v>
      </c>
      <c r="M902" s="148" t="s">
        <v>346</v>
      </c>
      <c r="N902" s="148">
        <v>8</v>
      </c>
      <c r="O902" s="148" t="s">
        <v>101</v>
      </c>
      <c r="P902" s="148" t="s">
        <v>203</v>
      </c>
      <c r="Y902" s="150" t="s">
        <v>366</v>
      </c>
      <c r="Z902" s="148" t="s">
        <v>166</v>
      </c>
    </row>
    <row r="903" spans="1:26" ht="15.75" hidden="1" customHeight="1" x14ac:dyDescent="0.25">
      <c r="A903" s="148" t="s">
        <v>76</v>
      </c>
      <c r="B903" s="148" t="s">
        <v>116</v>
      </c>
      <c r="C903" s="148" t="s">
        <v>90</v>
      </c>
      <c r="D903" s="148" t="s">
        <v>29</v>
      </c>
      <c r="E903" s="148" t="s">
        <v>30</v>
      </c>
      <c r="F903" s="148" t="s">
        <v>41</v>
      </c>
      <c r="G903" s="148" t="s">
        <v>756</v>
      </c>
      <c r="H903" s="148">
        <v>2008</v>
      </c>
      <c r="I903" s="148">
        <v>1</v>
      </c>
      <c r="J903" s="148" t="s">
        <v>150</v>
      </c>
      <c r="K903" s="148" t="s">
        <v>172</v>
      </c>
      <c r="M903" s="148" t="s">
        <v>346</v>
      </c>
      <c r="N903" s="148">
        <v>8</v>
      </c>
      <c r="O903" s="148" t="s">
        <v>83</v>
      </c>
      <c r="Y903" s="150" t="s">
        <v>366</v>
      </c>
    </row>
    <row r="904" spans="1:26" ht="15.75" customHeight="1" x14ac:dyDescent="0.25">
      <c r="A904" s="148" t="s">
        <v>76</v>
      </c>
      <c r="B904" s="148" t="s">
        <v>36</v>
      </c>
      <c r="C904" s="148" t="s">
        <v>28</v>
      </c>
      <c r="D904" s="148" t="s">
        <v>29</v>
      </c>
      <c r="E904" s="148" t="s">
        <v>30</v>
      </c>
      <c r="F904" s="148" t="s">
        <v>3183</v>
      </c>
      <c r="G904" s="148" t="s">
        <v>194</v>
      </c>
      <c r="H904" s="148">
        <v>2008</v>
      </c>
      <c r="I904" s="148">
        <v>1</v>
      </c>
      <c r="J904" s="148" t="s">
        <v>118</v>
      </c>
      <c r="K904" s="148" t="s">
        <v>172</v>
      </c>
      <c r="M904" s="148" t="s">
        <v>346</v>
      </c>
      <c r="N904" s="148">
        <v>8</v>
      </c>
      <c r="O904" s="148" t="s">
        <v>101</v>
      </c>
      <c r="P904" s="148" t="s">
        <v>390</v>
      </c>
      <c r="Y904" s="150" t="s">
        <v>366</v>
      </c>
    </row>
    <row r="905" spans="1:26" ht="15.75" hidden="1" customHeight="1" x14ac:dyDescent="0.25">
      <c r="A905" s="148" t="s">
        <v>76</v>
      </c>
      <c r="B905" s="148" t="s">
        <v>62</v>
      </c>
      <c r="C905" s="148" t="s">
        <v>28</v>
      </c>
      <c r="D905" s="148" t="s">
        <v>86</v>
      </c>
      <c r="E905" s="148" t="s">
        <v>51</v>
      </c>
      <c r="F905" s="148" t="s">
        <v>3183</v>
      </c>
      <c r="G905" s="148" t="s">
        <v>130</v>
      </c>
      <c r="H905" s="148">
        <v>2008</v>
      </c>
      <c r="I905" s="148">
        <v>1</v>
      </c>
      <c r="J905" s="148" t="s">
        <v>118</v>
      </c>
      <c r="K905" s="148" t="s">
        <v>730</v>
      </c>
      <c r="M905" s="148" t="s">
        <v>120</v>
      </c>
      <c r="N905" s="148">
        <v>6</v>
      </c>
      <c r="O905" s="148" t="s">
        <v>101</v>
      </c>
      <c r="P905" s="148" t="s">
        <v>757</v>
      </c>
      <c r="Y905" s="150" t="s">
        <v>758</v>
      </c>
    </row>
    <row r="906" spans="1:26" ht="15.75" hidden="1" customHeight="1" x14ac:dyDescent="0.25">
      <c r="A906" s="148" t="s">
        <v>76</v>
      </c>
      <c r="B906" s="148" t="s">
        <v>44</v>
      </c>
      <c r="C906" s="148" t="s">
        <v>45</v>
      </c>
      <c r="D906" s="148" t="s">
        <v>29</v>
      </c>
      <c r="E906" s="148" t="s">
        <v>46</v>
      </c>
      <c r="F906" s="148" t="s">
        <v>47</v>
      </c>
      <c r="G906" s="148" t="s">
        <v>48</v>
      </c>
      <c r="H906" s="148">
        <v>2008</v>
      </c>
      <c r="I906" s="148">
        <v>1</v>
      </c>
      <c r="J906" s="148" t="s">
        <v>118</v>
      </c>
      <c r="K906" s="148" t="s">
        <v>455</v>
      </c>
      <c r="M906" s="148" t="s">
        <v>132</v>
      </c>
      <c r="N906" s="148">
        <v>8</v>
      </c>
      <c r="O906" s="148" t="s">
        <v>101</v>
      </c>
      <c r="P906" s="148" t="s">
        <v>498</v>
      </c>
      <c r="Y906" s="150" t="s">
        <v>366</v>
      </c>
    </row>
    <row r="907" spans="1:26" ht="15.75" hidden="1" customHeight="1" x14ac:dyDescent="0.25">
      <c r="A907" s="148" t="s">
        <v>76</v>
      </c>
      <c r="B907" s="148" t="s">
        <v>62</v>
      </c>
      <c r="C907" s="148" t="s">
        <v>28</v>
      </c>
      <c r="D907" s="148" t="s">
        <v>759</v>
      </c>
      <c r="E907" s="148" t="s">
        <v>51</v>
      </c>
      <c r="F907" s="148" t="s">
        <v>3183</v>
      </c>
      <c r="G907" s="148" t="s">
        <v>409</v>
      </c>
      <c r="H907" s="148">
        <v>2008</v>
      </c>
      <c r="I907" s="148">
        <v>2</v>
      </c>
      <c r="J907" s="148" t="s">
        <v>118</v>
      </c>
      <c r="K907" s="148" t="s">
        <v>172</v>
      </c>
      <c r="M907" s="148" t="s">
        <v>346</v>
      </c>
      <c r="N907" s="148">
        <v>8</v>
      </c>
      <c r="O907" s="148" t="s">
        <v>101</v>
      </c>
      <c r="P907" s="148" t="s">
        <v>760</v>
      </c>
      <c r="Y907" s="150" t="s">
        <v>366</v>
      </c>
    </row>
    <row r="908" spans="1:26" ht="15.75" hidden="1" customHeight="1" x14ac:dyDescent="0.25">
      <c r="A908" s="148" t="s">
        <v>76</v>
      </c>
      <c r="B908" s="148" t="s">
        <v>103</v>
      </c>
      <c r="C908" s="148" t="s">
        <v>55</v>
      </c>
      <c r="D908" s="148" t="s">
        <v>29</v>
      </c>
      <c r="E908" s="148" t="s">
        <v>30</v>
      </c>
      <c r="F908" s="148" t="s">
        <v>56</v>
      </c>
      <c r="G908" s="148" t="s">
        <v>381</v>
      </c>
      <c r="H908" s="148">
        <v>2008</v>
      </c>
      <c r="I908" s="148">
        <v>2</v>
      </c>
      <c r="J908" s="148" t="s">
        <v>118</v>
      </c>
      <c r="K908" s="148" t="s">
        <v>172</v>
      </c>
      <c r="M908" s="148" t="s">
        <v>346</v>
      </c>
      <c r="N908" s="148">
        <v>8</v>
      </c>
      <c r="O908" s="148" t="s">
        <v>101</v>
      </c>
      <c r="P908" s="148" t="s">
        <v>761</v>
      </c>
      <c r="Y908" s="150" t="s">
        <v>366</v>
      </c>
    </row>
    <row r="909" spans="1:26" ht="15.75" hidden="1" customHeight="1" x14ac:dyDescent="0.25">
      <c r="A909" s="148" t="s">
        <v>76</v>
      </c>
      <c r="B909" s="148" t="s">
        <v>103</v>
      </c>
      <c r="C909" s="148" t="s">
        <v>55</v>
      </c>
      <c r="D909" s="148" t="s">
        <v>99</v>
      </c>
      <c r="E909" s="148" t="s">
        <v>95</v>
      </c>
      <c r="F909" s="148" t="s">
        <v>56</v>
      </c>
      <c r="G909" s="148" t="s">
        <v>171</v>
      </c>
      <c r="H909" s="148">
        <v>2008</v>
      </c>
      <c r="I909" s="148">
        <v>3</v>
      </c>
      <c r="J909" s="148" t="s">
        <v>118</v>
      </c>
      <c r="K909" s="148" t="s">
        <v>172</v>
      </c>
      <c r="M909" s="148" t="s">
        <v>346</v>
      </c>
      <c r="N909" s="148">
        <v>8</v>
      </c>
      <c r="O909" s="148" t="s">
        <v>101</v>
      </c>
      <c r="P909" s="148" t="s">
        <v>146</v>
      </c>
      <c r="Y909" s="150" t="s">
        <v>366</v>
      </c>
    </row>
    <row r="910" spans="1:26" ht="15.75" hidden="1" customHeight="1" x14ac:dyDescent="0.25">
      <c r="A910" s="148" t="s">
        <v>76</v>
      </c>
      <c r="B910" s="148" t="s">
        <v>89</v>
      </c>
      <c r="C910" s="148" t="s">
        <v>90</v>
      </c>
      <c r="D910" s="148" t="s">
        <v>29</v>
      </c>
      <c r="E910" s="148" t="s">
        <v>30</v>
      </c>
      <c r="F910" s="148" t="s">
        <v>91</v>
      </c>
      <c r="G910" s="148" t="s">
        <v>762</v>
      </c>
      <c r="H910" s="148">
        <v>2008</v>
      </c>
      <c r="I910" s="148">
        <v>3</v>
      </c>
      <c r="J910" s="148" t="s">
        <v>118</v>
      </c>
      <c r="K910" s="148" t="s">
        <v>327</v>
      </c>
      <c r="M910" s="148" t="s">
        <v>82</v>
      </c>
      <c r="N910" s="148">
        <v>8</v>
      </c>
      <c r="O910" s="148" t="s">
        <v>101</v>
      </c>
      <c r="P910" s="148" t="s">
        <v>146</v>
      </c>
      <c r="Y910" s="150" t="s">
        <v>366</v>
      </c>
    </row>
    <row r="911" spans="1:26" ht="15.75" hidden="1" customHeight="1" x14ac:dyDescent="0.25">
      <c r="A911" s="148" t="s">
        <v>76</v>
      </c>
      <c r="B911" s="148" t="s">
        <v>103</v>
      </c>
      <c r="C911" s="148" t="s">
        <v>55</v>
      </c>
      <c r="D911" s="148" t="s">
        <v>29</v>
      </c>
      <c r="E911" s="148" t="s">
        <v>30</v>
      </c>
      <c r="F911" s="148" t="s">
        <v>56</v>
      </c>
      <c r="G911" s="148" t="s">
        <v>382</v>
      </c>
      <c r="H911" s="148">
        <v>2008</v>
      </c>
      <c r="I911" s="148">
        <v>4</v>
      </c>
      <c r="J911" s="148" t="s">
        <v>150</v>
      </c>
      <c r="K911" s="148" t="s">
        <v>763</v>
      </c>
      <c r="M911" s="148" t="s">
        <v>501</v>
      </c>
      <c r="N911" s="148">
        <v>6</v>
      </c>
      <c r="O911" s="148" t="s">
        <v>83</v>
      </c>
      <c r="Y911" s="150" t="s">
        <v>366</v>
      </c>
    </row>
    <row r="912" spans="1:26" ht="15.75" hidden="1" customHeight="1" x14ac:dyDescent="0.25">
      <c r="A912" s="148" t="s">
        <v>76</v>
      </c>
      <c r="B912" s="148" t="s">
        <v>36</v>
      </c>
      <c r="C912" s="148" t="s">
        <v>28</v>
      </c>
      <c r="D912" s="148" t="s">
        <v>86</v>
      </c>
      <c r="E912" s="148" t="s">
        <v>30</v>
      </c>
      <c r="F912" s="148" t="s">
        <v>3183</v>
      </c>
      <c r="G912" s="148" t="s">
        <v>67</v>
      </c>
      <c r="H912" s="148">
        <v>2008</v>
      </c>
      <c r="I912" s="148">
        <v>4</v>
      </c>
      <c r="J912" s="148" t="s">
        <v>118</v>
      </c>
      <c r="K912" s="148" t="s">
        <v>327</v>
      </c>
      <c r="M912" s="148" t="s">
        <v>82</v>
      </c>
      <c r="N912" s="148">
        <v>8</v>
      </c>
      <c r="O912" s="148" t="s">
        <v>101</v>
      </c>
      <c r="P912" s="148" t="s">
        <v>537</v>
      </c>
      <c r="Y912" s="150" t="s">
        <v>366</v>
      </c>
    </row>
    <row r="913" spans="1:25" ht="15.75" hidden="1" customHeight="1" x14ac:dyDescent="0.25">
      <c r="A913" s="148" t="s">
        <v>76</v>
      </c>
      <c r="B913" s="148" t="s">
        <v>62</v>
      </c>
      <c r="C913" s="148" t="s">
        <v>28</v>
      </c>
      <c r="D913" s="148" t="s">
        <v>51</v>
      </c>
      <c r="E913" s="148" t="s">
        <v>30</v>
      </c>
      <c r="F913" s="148" t="s">
        <v>3183</v>
      </c>
      <c r="G913" s="148" t="s">
        <v>63</v>
      </c>
      <c r="H913" s="148">
        <v>2008</v>
      </c>
      <c r="I913" s="148">
        <v>4</v>
      </c>
      <c r="J913" s="148" t="s">
        <v>118</v>
      </c>
      <c r="K913" s="148" t="s">
        <v>327</v>
      </c>
      <c r="M913" s="148" t="s">
        <v>82</v>
      </c>
      <c r="N913" s="148">
        <v>8</v>
      </c>
      <c r="O913" s="148" t="s">
        <v>101</v>
      </c>
      <c r="P913" s="148" t="s">
        <v>334</v>
      </c>
      <c r="Y913" s="150" t="s">
        <v>366</v>
      </c>
    </row>
    <row r="914" spans="1:25" ht="15.75" hidden="1" customHeight="1" x14ac:dyDescent="0.25">
      <c r="A914" s="148" t="s">
        <v>76</v>
      </c>
      <c r="B914" s="148" t="s">
        <v>27</v>
      </c>
      <c r="C914" s="148" t="s">
        <v>28</v>
      </c>
      <c r="D914" s="148" t="s">
        <v>99</v>
      </c>
      <c r="E914" s="148" t="s">
        <v>40</v>
      </c>
      <c r="F914" s="148" t="s">
        <v>41</v>
      </c>
      <c r="G914" s="148" t="s">
        <v>42</v>
      </c>
      <c r="H914" s="148">
        <v>2008</v>
      </c>
      <c r="I914" s="148">
        <v>4</v>
      </c>
      <c r="J914" s="148" t="s">
        <v>118</v>
      </c>
      <c r="K914" s="148" t="s">
        <v>327</v>
      </c>
      <c r="M914" s="148" t="s">
        <v>82</v>
      </c>
      <c r="N914" s="148">
        <v>8</v>
      </c>
      <c r="O914" s="148" t="s">
        <v>101</v>
      </c>
      <c r="P914" s="148" t="s">
        <v>263</v>
      </c>
      <c r="Y914" s="150" t="s">
        <v>366</v>
      </c>
    </row>
    <row r="915" spans="1:25" ht="15.75" hidden="1" customHeight="1" x14ac:dyDescent="0.25">
      <c r="A915" s="148" t="s">
        <v>76</v>
      </c>
      <c r="B915" s="148" t="s">
        <v>103</v>
      </c>
      <c r="C915" s="148" t="s">
        <v>55</v>
      </c>
      <c r="D915" s="148" t="s">
        <v>490</v>
      </c>
      <c r="E915" s="148" t="s">
        <v>95</v>
      </c>
      <c r="F915" s="148" t="s">
        <v>56</v>
      </c>
      <c r="G915" s="148" t="s">
        <v>168</v>
      </c>
      <c r="H915" s="148">
        <v>2008</v>
      </c>
      <c r="I915" s="148">
        <v>4</v>
      </c>
      <c r="J915" s="148" t="s">
        <v>150</v>
      </c>
      <c r="K915" s="148" t="s">
        <v>763</v>
      </c>
      <c r="M915" s="148" t="s">
        <v>501</v>
      </c>
      <c r="N915" s="148">
        <v>6</v>
      </c>
      <c r="O915" s="148" t="s">
        <v>83</v>
      </c>
      <c r="Y915" s="150" t="s">
        <v>366</v>
      </c>
    </row>
    <row r="916" spans="1:25" ht="15.75" hidden="1" customHeight="1" x14ac:dyDescent="0.25">
      <c r="A916" s="148" t="s">
        <v>76</v>
      </c>
      <c r="B916" s="148" t="s">
        <v>54</v>
      </c>
      <c r="C916" s="148" t="s">
        <v>55</v>
      </c>
      <c r="D916" s="148" t="s">
        <v>65</v>
      </c>
      <c r="E916" s="148" t="s">
        <v>30</v>
      </c>
      <c r="F916" s="148" t="s">
        <v>56</v>
      </c>
      <c r="G916" s="148" t="s">
        <v>54</v>
      </c>
      <c r="H916" s="148">
        <v>2008</v>
      </c>
      <c r="I916" s="148">
        <v>4</v>
      </c>
      <c r="J916" s="148" t="s">
        <v>118</v>
      </c>
      <c r="K916" s="148" t="s">
        <v>327</v>
      </c>
      <c r="M916" s="148" t="s">
        <v>82</v>
      </c>
      <c r="N916" s="148">
        <v>8</v>
      </c>
      <c r="O916" s="148" t="s">
        <v>101</v>
      </c>
      <c r="P916" s="148" t="s">
        <v>764</v>
      </c>
      <c r="Y916" s="150" t="s">
        <v>366</v>
      </c>
    </row>
    <row r="917" spans="1:25" ht="15.75" hidden="1" customHeight="1" x14ac:dyDescent="0.25">
      <c r="A917" s="148" t="s">
        <v>76</v>
      </c>
      <c r="B917" s="148" t="s">
        <v>62</v>
      </c>
      <c r="C917" s="148" t="s">
        <v>28</v>
      </c>
      <c r="D917" s="148" t="s">
        <v>86</v>
      </c>
      <c r="E917" s="148" t="s">
        <v>51</v>
      </c>
      <c r="F917" s="148" t="s">
        <v>3183</v>
      </c>
      <c r="G917" s="148" t="s">
        <v>130</v>
      </c>
      <c r="H917" s="148">
        <v>2008</v>
      </c>
      <c r="I917" s="148">
        <v>4</v>
      </c>
      <c r="J917" s="148" t="s">
        <v>150</v>
      </c>
      <c r="K917" s="148" t="s">
        <v>466</v>
      </c>
      <c r="M917" s="148" t="s">
        <v>467</v>
      </c>
      <c r="N917" s="148">
        <v>6</v>
      </c>
      <c r="O917" s="148" t="s">
        <v>83</v>
      </c>
      <c r="Y917" s="150" t="s">
        <v>366</v>
      </c>
    </row>
    <row r="918" spans="1:25" ht="15.75" hidden="1" customHeight="1" x14ac:dyDescent="0.25">
      <c r="A918" s="148" t="s">
        <v>76</v>
      </c>
      <c r="B918" s="148" t="s">
        <v>103</v>
      </c>
      <c r="C918" s="148" t="s">
        <v>55</v>
      </c>
      <c r="D918" s="148" t="s">
        <v>478</v>
      </c>
      <c r="E918" s="148" t="s">
        <v>95</v>
      </c>
      <c r="F918" s="148" t="s">
        <v>56</v>
      </c>
      <c r="G918" s="148" t="s">
        <v>338</v>
      </c>
      <c r="H918" s="148">
        <v>2008</v>
      </c>
      <c r="I918" s="148">
        <v>4</v>
      </c>
      <c r="J918" s="148" t="s">
        <v>118</v>
      </c>
      <c r="K918" s="148" t="s">
        <v>327</v>
      </c>
      <c r="M918" s="148" t="s">
        <v>82</v>
      </c>
      <c r="N918" s="148">
        <v>8</v>
      </c>
      <c r="O918" s="148" t="s">
        <v>101</v>
      </c>
      <c r="P918" s="148" t="s">
        <v>156</v>
      </c>
      <c r="Y918" s="150" t="s">
        <v>366</v>
      </c>
    </row>
    <row r="919" spans="1:25" ht="15.75" hidden="1" customHeight="1" x14ac:dyDescent="0.25">
      <c r="A919" s="148" t="s">
        <v>76</v>
      </c>
      <c r="B919" s="148" t="s">
        <v>44</v>
      </c>
      <c r="C919" s="148" t="s">
        <v>45</v>
      </c>
      <c r="D919" s="148" t="s">
        <v>29</v>
      </c>
      <c r="E919" s="148" t="s">
        <v>46</v>
      </c>
      <c r="F919" s="148" t="s">
        <v>47</v>
      </c>
      <c r="G919" s="148" t="s">
        <v>48</v>
      </c>
      <c r="H919" s="148">
        <v>2008</v>
      </c>
      <c r="I919" s="148">
        <v>4</v>
      </c>
      <c r="J919" s="148" t="s">
        <v>118</v>
      </c>
      <c r="K919" s="148" t="s">
        <v>327</v>
      </c>
      <c r="M919" s="148" t="s">
        <v>82</v>
      </c>
      <c r="N919" s="148">
        <v>8</v>
      </c>
      <c r="O919" s="148" t="s">
        <v>101</v>
      </c>
      <c r="P919" s="148" t="s">
        <v>765</v>
      </c>
      <c r="Y919" s="150" t="s">
        <v>366</v>
      </c>
    </row>
    <row r="920" spans="1:25" ht="15.75" hidden="1" customHeight="1" x14ac:dyDescent="0.25">
      <c r="A920" s="148" t="s">
        <v>76</v>
      </c>
      <c r="B920" s="148" t="s">
        <v>198</v>
      </c>
      <c r="C920" s="148" t="s">
        <v>45</v>
      </c>
      <c r="D920" s="148" t="s">
        <v>94</v>
      </c>
      <c r="E920" s="148" t="s">
        <v>30</v>
      </c>
      <c r="F920" s="148" t="s">
        <v>199</v>
      </c>
      <c r="G920" s="148" t="s">
        <v>296</v>
      </c>
      <c r="H920" s="148">
        <v>2008</v>
      </c>
      <c r="I920" s="148">
        <v>5</v>
      </c>
      <c r="J920" s="148" t="s">
        <v>118</v>
      </c>
      <c r="K920" s="148" t="s">
        <v>327</v>
      </c>
      <c r="M920" s="148" t="s">
        <v>82</v>
      </c>
      <c r="N920" s="148">
        <v>8</v>
      </c>
      <c r="O920" s="148" t="s">
        <v>101</v>
      </c>
      <c r="P920" s="148" t="s">
        <v>537</v>
      </c>
      <c r="Y920" s="150" t="s">
        <v>366</v>
      </c>
    </row>
    <row r="921" spans="1:25" ht="15.75" hidden="1" customHeight="1" x14ac:dyDescent="0.25">
      <c r="A921" s="148" t="s">
        <v>76</v>
      </c>
      <c r="B921" s="148" t="s">
        <v>36</v>
      </c>
      <c r="C921" s="148" t="s">
        <v>28</v>
      </c>
      <c r="D921" s="148" t="s">
        <v>29</v>
      </c>
      <c r="E921" s="148" t="s">
        <v>30</v>
      </c>
      <c r="F921" s="148" t="s">
        <v>3183</v>
      </c>
      <c r="G921" s="148" t="s">
        <v>722</v>
      </c>
      <c r="H921" s="148">
        <v>2008</v>
      </c>
      <c r="I921" s="148">
        <v>5</v>
      </c>
      <c r="J921" s="148" t="s">
        <v>80</v>
      </c>
      <c r="K921" s="148" t="s">
        <v>629</v>
      </c>
      <c r="M921" s="148" t="s">
        <v>120</v>
      </c>
      <c r="N921" s="148">
        <v>6</v>
      </c>
      <c r="O921" s="148" t="s">
        <v>83</v>
      </c>
      <c r="P921" s="148" t="s">
        <v>766</v>
      </c>
      <c r="Y921" s="150" t="s">
        <v>366</v>
      </c>
    </row>
    <row r="922" spans="1:25" ht="15.75" hidden="1" customHeight="1" x14ac:dyDescent="0.25">
      <c r="A922" s="148" t="s">
        <v>76</v>
      </c>
      <c r="B922" s="148" t="s">
        <v>36</v>
      </c>
      <c r="C922" s="148" t="s">
        <v>45</v>
      </c>
      <c r="D922" s="148" t="s">
        <v>29</v>
      </c>
      <c r="E922" s="148" t="s">
        <v>30</v>
      </c>
      <c r="F922" s="148" t="s">
        <v>3183</v>
      </c>
      <c r="G922" s="148" t="s">
        <v>600</v>
      </c>
      <c r="H922" s="148">
        <v>2008</v>
      </c>
      <c r="I922" s="148">
        <v>5</v>
      </c>
      <c r="J922" s="148" t="s">
        <v>118</v>
      </c>
      <c r="K922" s="148" t="s">
        <v>327</v>
      </c>
      <c r="M922" s="148" t="s">
        <v>82</v>
      </c>
      <c r="N922" s="148">
        <v>8</v>
      </c>
      <c r="O922" s="148" t="s">
        <v>101</v>
      </c>
      <c r="P922" s="148" t="s">
        <v>146</v>
      </c>
      <c r="Y922" s="150" t="s">
        <v>366</v>
      </c>
    </row>
    <row r="923" spans="1:25" ht="15.75" hidden="1" customHeight="1" x14ac:dyDescent="0.25">
      <c r="A923" s="148" t="s">
        <v>76</v>
      </c>
      <c r="B923" s="148" t="s">
        <v>77</v>
      </c>
      <c r="C923" s="148" t="s">
        <v>55</v>
      </c>
      <c r="D923" s="148" t="s">
        <v>78</v>
      </c>
      <c r="E923" s="148" t="s">
        <v>30</v>
      </c>
      <c r="F923" s="148" t="s">
        <v>41</v>
      </c>
      <c r="G923" s="148" t="s">
        <v>79</v>
      </c>
      <c r="H923" s="148">
        <v>2008</v>
      </c>
      <c r="I923" s="148">
        <v>5</v>
      </c>
      <c r="J923" s="148" t="s">
        <v>80</v>
      </c>
      <c r="K923" s="148" t="s">
        <v>327</v>
      </c>
      <c r="M923" s="148" t="s">
        <v>82</v>
      </c>
      <c r="N923" s="148">
        <v>8</v>
      </c>
      <c r="O923" s="148" t="s">
        <v>83</v>
      </c>
      <c r="P923" s="148" t="s">
        <v>767</v>
      </c>
      <c r="Y923" s="150" t="s">
        <v>727</v>
      </c>
    </row>
    <row r="924" spans="1:25" ht="15.75" customHeight="1" x14ac:dyDescent="0.25">
      <c r="A924" s="148" t="s">
        <v>76</v>
      </c>
      <c r="B924" s="148" t="s">
        <v>36</v>
      </c>
      <c r="C924" s="148" t="s">
        <v>28</v>
      </c>
      <c r="D924" s="148" t="s">
        <v>29</v>
      </c>
      <c r="E924" s="148" t="s">
        <v>30</v>
      </c>
      <c r="F924" s="148" t="s">
        <v>3183</v>
      </c>
      <c r="G924" s="148" t="s">
        <v>194</v>
      </c>
      <c r="H924" s="148">
        <v>2008</v>
      </c>
      <c r="I924" s="148">
        <v>5</v>
      </c>
      <c r="J924" s="148" t="s">
        <v>150</v>
      </c>
      <c r="K924" s="148" t="s">
        <v>629</v>
      </c>
      <c r="M924" s="148" t="s">
        <v>120</v>
      </c>
      <c r="N924" s="148">
        <v>6</v>
      </c>
      <c r="O924" s="148" t="s">
        <v>83</v>
      </c>
      <c r="P924" s="148" t="s">
        <v>146</v>
      </c>
      <c r="Y924" s="150" t="s">
        <v>366</v>
      </c>
    </row>
    <row r="925" spans="1:25" ht="15.75" hidden="1" customHeight="1" x14ac:dyDescent="0.25">
      <c r="A925" s="148" t="s">
        <v>76</v>
      </c>
      <c r="B925" s="148" t="s">
        <v>198</v>
      </c>
      <c r="C925" s="148" t="s">
        <v>45</v>
      </c>
      <c r="D925" s="148" t="s">
        <v>29</v>
      </c>
      <c r="E925" s="148" t="s">
        <v>30</v>
      </c>
      <c r="F925" s="148" t="s">
        <v>199</v>
      </c>
      <c r="G925" s="148" t="s">
        <v>430</v>
      </c>
      <c r="H925" s="148">
        <v>2008</v>
      </c>
      <c r="I925" s="148">
        <v>5</v>
      </c>
      <c r="J925" s="148" t="s">
        <v>118</v>
      </c>
      <c r="K925" s="148" t="s">
        <v>768</v>
      </c>
      <c r="M925" s="148" t="s">
        <v>492</v>
      </c>
      <c r="N925" s="148">
        <v>5</v>
      </c>
      <c r="O925" s="148" t="s">
        <v>101</v>
      </c>
      <c r="P925" s="148" t="s">
        <v>146</v>
      </c>
      <c r="Y925" s="150" t="s">
        <v>366</v>
      </c>
    </row>
    <row r="926" spans="1:25" ht="15.75" hidden="1" customHeight="1" x14ac:dyDescent="0.25">
      <c r="A926" s="148" t="s">
        <v>76</v>
      </c>
      <c r="B926" s="148" t="s">
        <v>77</v>
      </c>
      <c r="C926" s="148" t="s">
        <v>55</v>
      </c>
      <c r="D926" s="148" t="s">
        <v>29</v>
      </c>
      <c r="E926" s="148" t="s">
        <v>30</v>
      </c>
      <c r="F926" s="148" t="s">
        <v>41</v>
      </c>
      <c r="G926" s="148" t="s">
        <v>275</v>
      </c>
      <c r="H926" s="148">
        <v>2008</v>
      </c>
      <c r="I926" s="148">
        <v>5</v>
      </c>
      <c r="J926" s="148" t="s">
        <v>150</v>
      </c>
      <c r="K926" s="148" t="s">
        <v>327</v>
      </c>
      <c r="M926" s="148" t="s">
        <v>82</v>
      </c>
      <c r="N926" s="148">
        <v>8</v>
      </c>
      <c r="O926" s="148" t="s">
        <v>83</v>
      </c>
      <c r="Y926" s="150" t="s">
        <v>366</v>
      </c>
    </row>
    <row r="927" spans="1:25" ht="15.75" hidden="1" customHeight="1" x14ac:dyDescent="0.25">
      <c r="A927" s="148" t="s">
        <v>76</v>
      </c>
      <c r="B927" s="148" t="s">
        <v>71</v>
      </c>
      <c r="C927" s="148" t="s">
        <v>45</v>
      </c>
      <c r="D927" s="148" t="s">
        <v>29</v>
      </c>
      <c r="E927" s="148" t="s">
        <v>30</v>
      </c>
      <c r="F927" s="148" t="s">
        <v>3183</v>
      </c>
      <c r="G927" s="148" t="s">
        <v>769</v>
      </c>
      <c r="H927" s="148">
        <v>2008</v>
      </c>
      <c r="I927" s="148">
        <v>5</v>
      </c>
      <c r="J927" s="148" t="s">
        <v>118</v>
      </c>
      <c r="K927" s="148" t="s">
        <v>327</v>
      </c>
      <c r="M927" s="148" t="s">
        <v>82</v>
      </c>
      <c r="N927" s="148">
        <v>8</v>
      </c>
      <c r="O927" s="148" t="s">
        <v>101</v>
      </c>
      <c r="P927" s="148" t="s">
        <v>146</v>
      </c>
      <c r="Y927" s="150" t="s">
        <v>366</v>
      </c>
    </row>
    <row r="928" spans="1:25" ht="15.75" hidden="1" customHeight="1" x14ac:dyDescent="0.25">
      <c r="A928" s="148" t="s">
        <v>76</v>
      </c>
      <c r="B928" s="148" t="s">
        <v>116</v>
      </c>
      <c r="C928" s="148" t="s">
        <v>90</v>
      </c>
      <c r="D928" s="148" t="s">
        <v>86</v>
      </c>
      <c r="E928" s="148" t="s">
        <v>40</v>
      </c>
      <c r="F928" s="148" t="s">
        <v>41</v>
      </c>
      <c r="G928" s="148" t="s">
        <v>117</v>
      </c>
      <c r="H928" s="148">
        <v>2008</v>
      </c>
      <c r="I928" s="148">
        <v>6</v>
      </c>
      <c r="J928" s="148" t="s">
        <v>118</v>
      </c>
      <c r="K928" s="148" t="s">
        <v>327</v>
      </c>
      <c r="M928" s="148" t="s">
        <v>82</v>
      </c>
      <c r="N928" s="148">
        <v>8</v>
      </c>
      <c r="O928" s="148" t="s">
        <v>101</v>
      </c>
      <c r="P928" s="148" t="s">
        <v>435</v>
      </c>
      <c r="Y928" s="150" t="s">
        <v>366</v>
      </c>
    </row>
    <row r="929" spans="1:25" ht="15.75" hidden="1" customHeight="1" x14ac:dyDescent="0.25">
      <c r="A929" s="148" t="s">
        <v>76</v>
      </c>
      <c r="B929" s="148" t="s">
        <v>103</v>
      </c>
      <c r="C929" s="148" t="s">
        <v>55</v>
      </c>
      <c r="D929" s="148" t="s">
        <v>29</v>
      </c>
      <c r="E929" s="148" t="s">
        <v>30</v>
      </c>
      <c r="F929" s="148" t="s">
        <v>56</v>
      </c>
      <c r="G929" s="148" t="s">
        <v>405</v>
      </c>
      <c r="H929" s="148">
        <v>2008</v>
      </c>
      <c r="I929" s="148">
        <v>6</v>
      </c>
      <c r="J929" s="148" t="s">
        <v>118</v>
      </c>
      <c r="K929" s="148" t="s">
        <v>327</v>
      </c>
      <c r="M929" s="148" t="s">
        <v>82</v>
      </c>
      <c r="N929" s="148">
        <v>8</v>
      </c>
      <c r="O929" s="148" t="s">
        <v>101</v>
      </c>
      <c r="P929" s="148" t="s">
        <v>146</v>
      </c>
      <c r="Y929" s="150" t="s">
        <v>366</v>
      </c>
    </row>
    <row r="930" spans="1:25" ht="15.75" hidden="1" customHeight="1" x14ac:dyDescent="0.25">
      <c r="A930" s="148" t="s">
        <v>76</v>
      </c>
      <c r="B930" s="148" t="s">
        <v>103</v>
      </c>
      <c r="C930" s="148" t="s">
        <v>55</v>
      </c>
      <c r="D930" s="148" t="s">
        <v>490</v>
      </c>
      <c r="E930" s="148" t="s">
        <v>95</v>
      </c>
      <c r="F930" s="148" t="s">
        <v>56</v>
      </c>
      <c r="G930" s="148" t="s">
        <v>168</v>
      </c>
      <c r="H930" s="148">
        <v>2008</v>
      </c>
      <c r="I930" s="148">
        <v>6</v>
      </c>
      <c r="J930" s="148" t="s">
        <v>118</v>
      </c>
      <c r="K930" s="148" t="s">
        <v>327</v>
      </c>
      <c r="M930" s="148" t="s">
        <v>132</v>
      </c>
      <c r="N930" s="148">
        <v>8</v>
      </c>
      <c r="O930" s="148" t="s">
        <v>101</v>
      </c>
      <c r="P930" s="148" t="s">
        <v>146</v>
      </c>
      <c r="Y930" s="150" t="s">
        <v>770</v>
      </c>
    </row>
    <row r="931" spans="1:25" ht="15.75" hidden="1" customHeight="1" x14ac:dyDescent="0.25">
      <c r="A931" s="148" t="s">
        <v>76</v>
      </c>
      <c r="B931" s="148" t="s">
        <v>44</v>
      </c>
      <c r="C931" s="148" t="s">
        <v>45</v>
      </c>
      <c r="D931" s="148" t="s">
        <v>29</v>
      </c>
      <c r="E931" s="148" t="s">
        <v>46</v>
      </c>
      <c r="F931" s="148" t="s">
        <v>47</v>
      </c>
      <c r="G931" s="148" t="s">
        <v>48</v>
      </c>
      <c r="H931" s="148">
        <v>2008</v>
      </c>
      <c r="I931" s="148">
        <v>6</v>
      </c>
      <c r="J931" s="148" t="s">
        <v>118</v>
      </c>
      <c r="K931" s="148" t="s">
        <v>388</v>
      </c>
      <c r="M931" s="148" t="s">
        <v>126</v>
      </c>
      <c r="N931" s="148">
        <v>10</v>
      </c>
      <c r="O931" s="148" t="s">
        <v>101</v>
      </c>
      <c r="P931" s="148" t="s">
        <v>771</v>
      </c>
      <c r="Y931" s="150" t="s">
        <v>366</v>
      </c>
    </row>
    <row r="932" spans="1:25" ht="15.75" hidden="1" customHeight="1" x14ac:dyDescent="0.25">
      <c r="A932" s="148" t="s">
        <v>76</v>
      </c>
      <c r="B932" s="148" t="s">
        <v>71</v>
      </c>
      <c r="C932" s="148" t="s">
        <v>45</v>
      </c>
      <c r="D932" s="148" t="s">
        <v>29</v>
      </c>
      <c r="E932" s="148" t="s">
        <v>72</v>
      </c>
      <c r="F932" s="148" t="s">
        <v>3183</v>
      </c>
      <c r="G932" s="148" t="s">
        <v>73</v>
      </c>
      <c r="H932" s="148">
        <v>2008</v>
      </c>
      <c r="I932" s="148">
        <v>7</v>
      </c>
      <c r="J932" s="148" t="s">
        <v>118</v>
      </c>
      <c r="K932" s="148" t="s">
        <v>379</v>
      </c>
      <c r="M932" s="148" t="s">
        <v>126</v>
      </c>
      <c r="N932" s="148">
        <v>10</v>
      </c>
      <c r="O932" s="148" t="s">
        <v>101</v>
      </c>
      <c r="P932" s="148" t="s">
        <v>772</v>
      </c>
      <c r="Y932" s="150" t="s">
        <v>366</v>
      </c>
    </row>
    <row r="933" spans="1:25" ht="15.75" hidden="1" customHeight="1" x14ac:dyDescent="0.25">
      <c r="A933" s="148" t="s">
        <v>76</v>
      </c>
      <c r="B933" s="148" t="s">
        <v>103</v>
      </c>
      <c r="C933" s="148" t="s">
        <v>55</v>
      </c>
      <c r="D933" s="148" t="s">
        <v>29</v>
      </c>
      <c r="E933" s="148" t="s">
        <v>30</v>
      </c>
      <c r="F933" s="148" t="s">
        <v>56</v>
      </c>
      <c r="G933" s="148" t="s">
        <v>382</v>
      </c>
      <c r="H933" s="148">
        <v>2008</v>
      </c>
      <c r="I933" s="148">
        <v>7</v>
      </c>
      <c r="J933" s="148" t="s">
        <v>118</v>
      </c>
      <c r="K933" s="148" t="s">
        <v>730</v>
      </c>
      <c r="M933" s="148" t="s">
        <v>492</v>
      </c>
      <c r="N933" s="148">
        <v>6</v>
      </c>
      <c r="O933" s="148" t="s">
        <v>101</v>
      </c>
      <c r="P933" s="148" t="s">
        <v>203</v>
      </c>
      <c r="Y933" s="150" t="s">
        <v>366</v>
      </c>
    </row>
    <row r="934" spans="1:25" ht="15.75" hidden="1" customHeight="1" x14ac:dyDescent="0.25">
      <c r="A934" s="148" t="s">
        <v>76</v>
      </c>
      <c r="B934" s="148" t="s">
        <v>198</v>
      </c>
      <c r="C934" s="148" t="s">
        <v>45</v>
      </c>
      <c r="D934" s="148" t="s">
        <v>29</v>
      </c>
      <c r="E934" s="148" t="s">
        <v>30</v>
      </c>
      <c r="F934" s="148" t="s">
        <v>199</v>
      </c>
      <c r="G934" s="148" t="s">
        <v>419</v>
      </c>
      <c r="H934" s="148">
        <v>2008</v>
      </c>
      <c r="I934" s="148">
        <v>7</v>
      </c>
      <c r="J934" s="148" t="s">
        <v>118</v>
      </c>
      <c r="K934" s="148" t="s">
        <v>327</v>
      </c>
      <c r="M934" s="148" t="s">
        <v>82</v>
      </c>
      <c r="N934" s="148">
        <v>8</v>
      </c>
      <c r="O934" s="148" t="s">
        <v>101</v>
      </c>
      <c r="P934" s="148" t="s">
        <v>773</v>
      </c>
      <c r="Y934" s="150" t="s">
        <v>366</v>
      </c>
    </row>
    <row r="935" spans="1:25" ht="15.75" hidden="1" customHeight="1" x14ac:dyDescent="0.25">
      <c r="A935" s="148" t="s">
        <v>76</v>
      </c>
      <c r="B935" s="148" t="s">
        <v>71</v>
      </c>
      <c r="C935" s="148" t="s">
        <v>45</v>
      </c>
      <c r="D935" s="148" t="s">
        <v>29</v>
      </c>
      <c r="E935" s="148" t="s">
        <v>72</v>
      </c>
      <c r="F935" s="148" t="s">
        <v>3183</v>
      </c>
      <c r="G935" s="148" t="s">
        <v>75</v>
      </c>
      <c r="H935" s="148">
        <v>2008</v>
      </c>
      <c r="I935" s="148">
        <v>7</v>
      </c>
      <c r="J935" s="148" t="s">
        <v>118</v>
      </c>
      <c r="K935" s="148" t="s">
        <v>455</v>
      </c>
      <c r="M935" s="148" t="s">
        <v>132</v>
      </c>
      <c r="N935" s="148">
        <v>8</v>
      </c>
      <c r="O935" s="148" t="s">
        <v>101</v>
      </c>
      <c r="P935" s="148" t="s">
        <v>206</v>
      </c>
      <c r="Y935" s="150" t="s">
        <v>366</v>
      </c>
    </row>
    <row r="936" spans="1:25" ht="15.75" hidden="1" customHeight="1" x14ac:dyDescent="0.25">
      <c r="A936" s="148" t="s">
        <v>76</v>
      </c>
      <c r="B936" s="148" t="s">
        <v>36</v>
      </c>
      <c r="C936" s="148" t="s">
        <v>28</v>
      </c>
      <c r="D936" s="148" t="s">
        <v>99</v>
      </c>
      <c r="E936" s="148" t="s">
        <v>51</v>
      </c>
      <c r="F936" s="148" t="s">
        <v>3183</v>
      </c>
      <c r="G936" s="148" t="s">
        <v>52</v>
      </c>
      <c r="H936" s="148">
        <v>2008</v>
      </c>
      <c r="I936" s="148">
        <v>7</v>
      </c>
      <c r="J936" s="148" t="s">
        <v>118</v>
      </c>
      <c r="K936" s="148" t="s">
        <v>327</v>
      </c>
      <c r="M936" s="148" t="s">
        <v>82</v>
      </c>
      <c r="N936" s="148">
        <v>8</v>
      </c>
      <c r="O936" s="148" t="s">
        <v>101</v>
      </c>
      <c r="P936" s="148" t="s">
        <v>146</v>
      </c>
      <c r="Y936" s="150" t="s">
        <v>366</v>
      </c>
    </row>
    <row r="937" spans="1:25" ht="15.75" hidden="1" customHeight="1" x14ac:dyDescent="0.25">
      <c r="A937" s="148" t="s">
        <v>307</v>
      </c>
      <c r="B937" s="148" t="s">
        <v>36</v>
      </c>
      <c r="C937" s="148" t="s">
        <v>28</v>
      </c>
      <c r="D937" s="148" t="s">
        <v>99</v>
      </c>
      <c r="E937" s="148" t="s">
        <v>51</v>
      </c>
      <c r="F937" s="148" t="s">
        <v>3183</v>
      </c>
      <c r="G937" s="148" t="s">
        <v>52</v>
      </c>
      <c r="H937" s="148">
        <v>2008</v>
      </c>
      <c r="I937" s="148">
        <v>7</v>
      </c>
      <c r="J937" s="148" t="s">
        <v>308</v>
      </c>
      <c r="Q937" s="148" t="s">
        <v>309</v>
      </c>
      <c r="R937" s="148" t="s">
        <v>774</v>
      </c>
      <c r="S937" s="148" t="s">
        <v>311</v>
      </c>
      <c r="T937" s="148" t="s">
        <v>309</v>
      </c>
      <c r="Y937" s="150" t="s">
        <v>366</v>
      </c>
    </row>
    <row r="938" spans="1:25" ht="15.75" hidden="1" customHeight="1" x14ac:dyDescent="0.25">
      <c r="A938" s="148" t="s">
        <v>76</v>
      </c>
      <c r="B938" s="148" t="s">
        <v>44</v>
      </c>
      <c r="C938" s="148" t="s">
        <v>45</v>
      </c>
      <c r="D938" s="148" t="s">
        <v>29</v>
      </c>
      <c r="E938" s="148" t="s">
        <v>46</v>
      </c>
      <c r="F938" s="148" t="s">
        <v>47</v>
      </c>
      <c r="G938" s="148" t="s">
        <v>48</v>
      </c>
      <c r="H938" s="148">
        <v>2008</v>
      </c>
      <c r="I938" s="148">
        <v>7</v>
      </c>
      <c r="J938" s="148" t="s">
        <v>150</v>
      </c>
      <c r="K938" s="148" t="s">
        <v>721</v>
      </c>
      <c r="M938" s="148" t="s">
        <v>515</v>
      </c>
      <c r="N938" s="148">
        <v>6</v>
      </c>
      <c r="O938" s="148" t="s">
        <v>83</v>
      </c>
      <c r="Y938" s="150" t="s">
        <v>366</v>
      </c>
    </row>
    <row r="939" spans="1:25" ht="15.75" hidden="1" customHeight="1" x14ac:dyDescent="0.25">
      <c r="A939" s="148" t="s">
        <v>76</v>
      </c>
      <c r="B939" s="148" t="s">
        <v>103</v>
      </c>
      <c r="C939" s="148" t="s">
        <v>55</v>
      </c>
      <c r="D939" s="148" t="s">
        <v>29</v>
      </c>
      <c r="E939" s="148" t="s">
        <v>30</v>
      </c>
      <c r="F939" s="148" t="s">
        <v>56</v>
      </c>
      <c r="G939" s="148" t="s">
        <v>382</v>
      </c>
      <c r="H939" s="148">
        <v>2008</v>
      </c>
      <c r="I939" s="148">
        <v>8</v>
      </c>
      <c r="J939" s="148" t="s">
        <v>118</v>
      </c>
      <c r="K939" s="148" t="s">
        <v>327</v>
      </c>
      <c r="M939" s="148" t="s">
        <v>82</v>
      </c>
      <c r="N939" s="148">
        <v>8</v>
      </c>
      <c r="O939" s="148" t="s">
        <v>101</v>
      </c>
      <c r="P939" s="148" t="s">
        <v>146</v>
      </c>
      <c r="Y939" s="150" t="s">
        <v>366</v>
      </c>
    </row>
    <row r="940" spans="1:25" ht="15.75" hidden="1" customHeight="1" x14ac:dyDescent="0.25">
      <c r="A940" s="148" t="s">
        <v>76</v>
      </c>
      <c r="B940" s="148" t="s">
        <v>103</v>
      </c>
      <c r="C940" s="148" t="s">
        <v>55</v>
      </c>
      <c r="D940" s="148" t="s">
        <v>29</v>
      </c>
      <c r="E940" s="148" t="s">
        <v>95</v>
      </c>
      <c r="F940" s="148" t="s">
        <v>56</v>
      </c>
      <c r="G940" s="148" t="s">
        <v>104</v>
      </c>
      <c r="H940" s="148">
        <v>2008</v>
      </c>
      <c r="I940" s="148">
        <v>8</v>
      </c>
      <c r="J940" s="148" t="s">
        <v>118</v>
      </c>
      <c r="K940" s="148" t="s">
        <v>327</v>
      </c>
      <c r="M940" s="148" t="s">
        <v>82</v>
      </c>
      <c r="N940" s="148">
        <v>8</v>
      </c>
      <c r="O940" s="148" t="s">
        <v>101</v>
      </c>
      <c r="P940" s="148" t="s">
        <v>146</v>
      </c>
      <c r="Y940" s="150" t="s">
        <v>366</v>
      </c>
    </row>
    <row r="941" spans="1:25" ht="15.75" hidden="1" customHeight="1" x14ac:dyDescent="0.25">
      <c r="A941" s="148" t="s">
        <v>76</v>
      </c>
      <c r="B941" s="148" t="s">
        <v>44</v>
      </c>
      <c r="C941" s="148" t="s">
        <v>45</v>
      </c>
      <c r="D941" s="148" t="s">
        <v>86</v>
      </c>
      <c r="E941" s="148" t="s">
        <v>30</v>
      </c>
      <c r="F941" s="148" t="s">
        <v>47</v>
      </c>
      <c r="G941" s="148" t="s">
        <v>377</v>
      </c>
      <c r="H941" s="148">
        <v>2008</v>
      </c>
      <c r="I941" s="148">
        <v>8</v>
      </c>
      <c r="J941" s="148" t="s">
        <v>150</v>
      </c>
      <c r="K941" s="148" t="s">
        <v>629</v>
      </c>
      <c r="M941" s="148" t="s">
        <v>120</v>
      </c>
      <c r="N941" s="148">
        <v>6</v>
      </c>
      <c r="O941" s="148" t="s">
        <v>83</v>
      </c>
      <c r="Y941" s="150" t="s">
        <v>366</v>
      </c>
    </row>
    <row r="942" spans="1:25" ht="15.75" hidden="1" customHeight="1" x14ac:dyDescent="0.25">
      <c r="A942" s="148" t="s">
        <v>76</v>
      </c>
      <c r="B942" s="148" t="s">
        <v>62</v>
      </c>
      <c r="C942" s="148" t="s">
        <v>28</v>
      </c>
      <c r="D942" s="148" t="s">
        <v>29</v>
      </c>
      <c r="E942" s="148" t="s">
        <v>30</v>
      </c>
      <c r="F942" s="148" t="s">
        <v>3183</v>
      </c>
      <c r="G942" s="148" t="s">
        <v>244</v>
      </c>
      <c r="H942" s="148">
        <v>2008</v>
      </c>
      <c r="I942" s="148">
        <v>8</v>
      </c>
      <c r="J942" s="148" t="s">
        <v>150</v>
      </c>
      <c r="K942" s="148" t="s">
        <v>768</v>
      </c>
      <c r="M942" s="148" t="s">
        <v>492</v>
      </c>
      <c r="N942" s="148">
        <v>5</v>
      </c>
      <c r="O942" s="148" t="s">
        <v>83</v>
      </c>
      <c r="Y942" s="150" t="s">
        <v>366</v>
      </c>
    </row>
    <row r="943" spans="1:25" ht="15.75" hidden="1" customHeight="1" x14ac:dyDescent="0.25">
      <c r="A943" s="148" t="s">
        <v>76</v>
      </c>
      <c r="B943" s="148" t="s">
        <v>36</v>
      </c>
      <c r="C943" s="148" t="s">
        <v>28</v>
      </c>
      <c r="D943" s="148" t="s">
        <v>29</v>
      </c>
      <c r="E943" s="148" t="s">
        <v>30</v>
      </c>
      <c r="F943" s="148" t="s">
        <v>3183</v>
      </c>
      <c r="G943" s="148" t="s">
        <v>37</v>
      </c>
      <c r="H943" s="148">
        <v>2008</v>
      </c>
      <c r="I943" s="148">
        <v>8</v>
      </c>
      <c r="J943" s="148" t="s">
        <v>118</v>
      </c>
      <c r="K943" s="148" t="s">
        <v>327</v>
      </c>
      <c r="M943" s="148" t="s">
        <v>82</v>
      </c>
      <c r="N943" s="148">
        <v>8</v>
      </c>
      <c r="O943" s="148" t="s">
        <v>101</v>
      </c>
      <c r="P943" s="148" t="s">
        <v>775</v>
      </c>
      <c r="Y943" s="150" t="s">
        <v>366</v>
      </c>
    </row>
    <row r="944" spans="1:25" ht="15.75" hidden="1" customHeight="1" x14ac:dyDescent="0.25">
      <c r="A944" s="148" t="s">
        <v>76</v>
      </c>
      <c r="B944" s="148" t="s">
        <v>198</v>
      </c>
      <c r="C944" s="148" t="s">
        <v>45</v>
      </c>
      <c r="D944" s="148" t="s">
        <v>29</v>
      </c>
      <c r="E944" s="148" t="s">
        <v>30</v>
      </c>
      <c r="F944" s="148" t="s">
        <v>199</v>
      </c>
      <c r="G944" s="148" t="s">
        <v>505</v>
      </c>
      <c r="H944" s="148">
        <v>2008</v>
      </c>
      <c r="I944" s="148">
        <v>8</v>
      </c>
      <c r="J944" s="148" t="s">
        <v>150</v>
      </c>
      <c r="K944" s="148" t="s">
        <v>629</v>
      </c>
      <c r="M944" s="148" t="s">
        <v>120</v>
      </c>
      <c r="N944" s="148">
        <v>6</v>
      </c>
      <c r="O944" s="148" t="s">
        <v>83</v>
      </c>
      <c r="Y944" s="150" t="s">
        <v>366</v>
      </c>
    </row>
    <row r="945" spans="1:26" ht="15.75" hidden="1" customHeight="1" x14ac:dyDescent="0.25">
      <c r="A945" s="148" t="s">
        <v>76</v>
      </c>
      <c r="B945" s="148" t="s">
        <v>71</v>
      </c>
      <c r="C945" s="148" t="s">
        <v>45</v>
      </c>
      <c r="D945" s="148" t="s">
        <v>29</v>
      </c>
      <c r="E945" s="148" t="s">
        <v>72</v>
      </c>
      <c r="F945" s="148" t="s">
        <v>3183</v>
      </c>
      <c r="G945" s="148" t="s">
        <v>73</v>
      </c>
      <c r="H945" s="148">
        <v>2008</v>
      </c>
      <c r="I945" s="148">
        <v>9</v>
      </c>
      <c r="J945" s="148" t="s">
        <v>150</v>
      </c>
      <c r="K945" s="148" t="s">
        <v>630</v>
      </c>
      <c r="M945" s="148" t="s">
        <v>631</v>
      </c>
      <c r="N945" s="148">
        <v>6</v>
      </c>
      <c r="O945" s="148" t="s">
        <v>83</v>
      </c>
      <c r="Y945" s="150" t="s">
        <v>366</v>
      </c>
    </row>
    <row r="946" spans="1:26" ht="15.75" hidden="1" customHeight="1" x14ac:dyDescent="0.25">
      <c r="A946" s="148" t="s">
        <v>76</v>
      </c>
      <c r="B946" s="148" t="s">
        <v>103</v>
      </c>
      <c r="C946" s="148" t="s">
        <v>55</v>
      </c>
      <c r="D946" s="148" t="s">
        <v>99</v>
      </c>
      <c r="E946" s="148" t="s">
        <v>95</v>
      </c>
      <c r="F946" s="148" t="s">
        <v>56</v>
      </c>
      <c r="G946" s="148" t="s">
        <v>171</v>
      </c>
      <c r="H946" s="148">
        <v>2008</v>
      </c>
      <c r="I946" s="148">
        <v>9</v>
      </c>
      <c r="J946" s="148" t="s">
        <v>150</v>
      </c>
      <c r="K946" s="148" t="s">
        <v>327</v>
      </c>
      <c r="M946" s="148" t="s">
        <v>82</v>
      </c>
      <c r="N946" s="148">
        <v>8</v>
      </c>
      <c r="O946" s="148" t="s">
        <v>83</v>
      </c>
      <c r="Y946" s="150" t="s">
        <v>366</v>
      </c>
    </row>
    <row r="947" spans="1:26" ht="15.75" hidden="1" customHeight="1" x14ac:dyDescent="0.25">
      <c r="A947" s="148" t="s">
        <v>76</v>
      </c>
      <c r="B947" s="148" t="s">
        <v>198</v>
      </c>
      <c r="C947" s="148" t="s">
        <v>45</v>
      </c>
      <c r="D947" s="148" t="s">
        <v>478</v>
      </c>
      <c r="E947" s="148" t="s">
        <v>30</v>
      </c>
      <c r="F947" s="148" t="s">
        <v>199</v>
      </c>
      <c r="G947" s="148" t="s">
        <v>208</v>
      </c>
      <c r="H947" s="148">
        <v>2008</v>
      </c>
      <c r="I947" s="148">
        <v>9</v>
      </c>
      <c r="J947" s="148" t="s">
        <v>150</v>
      </c>
      <c r="K947" s="148" t="s">
        <v>629</v>
      </c>
      <c r="M947" s="148" t="s">
        <v>120</v>
      </c>
      <c r="N947" s="148">
        <v>6</v>
      </c>
      <c r="O947" s="148" t="s">
        <v>83</v>
      </c>
      <c r="Y947" s="150" t="s">
        <v>366</v>
      </c>
    </row>
    <row r="948" spans="1:26" ht="15.75" hidden="1" customHeight="1" x14ac:dyDescent="0.25">
      <c r="A948" s="148" t="s">
        <v>76</v>
      </c>
      <c r="B948" s="148" t="s">
        <v>36</v>
      </c>
      <c r="C948" s="148" t="s">
        <v>28</v>
      </c>
      <c r="D948" s="148" t="s">
        <v>29</v>
      </c>
      <c r="E948" s="148" t="s">
        <v>30</v>
      </c>
      <c r="F948" s="148" t="s">
        <v>3183</v>
      </c>
      <c r="G948" s="148" t="s">
        <v>211</v>
      </c>
      <c r="H948" s="148">
        <v>2008</v>
      </c>
      <c r="I948" s="148">
        <v>9</v>
      </c>
      <c r="J948" s="148" t="s">
        <v>118</v>
      </c>
      <c r="K948" s="148" t="s">
        <v>455</v>
      </c>
      <c r="M948" s="148" t="s">
        <v>132</v>
      </c>
      <c r="N948" s="148">
        <v>8</v>
      </c>
      <c r="O948" s="148" t="s">
        <v>101</v>
      </c>
      <c r="P948" s="148" t="s">
        <v>622</v>
      </c>
      <c r="Y948" s="150" t="s">
        <v>366</v>
      </c>
    </row>
    <row r="949" spans="1:26" ht="15.75" hidden="1" customHeight="1" x14ac:dyDescent="0.25">
      <c r="A949" s="148" t="s">
        <v>76</v>
      </c>
      <c r="B949" s="148" t="s">
        <v>89</v>
      </c>
      <c r="C949" s="148" t="s">
        <v>90</v>
      </c>
      <c r="D949" s="148" t="s">
        <v>292</v>
      </c>
      <c r="E949" s="148" t="s">
        <v>30</v>
      </c>
      <c r="F949" s="148" t="s">
        <v>91</v>
      </c>
      <c r="G949" s="148" t="s">
        <v>293</v>
      </c>
      <c r="H949" s="148">
        <v>2008</v>
      </c>
      <c r="I949" s="148">
        <v>9</v>
      </c>
      <c r="J949" s="148" t="s">
        <v>118</v>
      </c>
      <c r="K949" s="148" t="s">
        <v>455</v>
      </c>
      <c r="M949" s="148" t="s">
        <v>132</v>
      </c>
      <c r="N949" s="148">
        <v>8</v>
      </c>
      <c r="O949" s="148" t="s">
        <v>101</v>
      </c>
      <c r="P949" s="148" t="s">
        <v>435</v>
      </c>
      <c r="Y949" s="150" t="s">
        <v>366</v>
      </c>
    </row>
    <row r="950" spans="1:26" ht="15.75" hidden="1" customHeight="1" x14ac:dyDescent="0.25">
      <c r="A950" s="148" t="s">
        <v>76</v>
      </c>
      <c r="B950" s="148" t="s">
        <v>44</v>
      </c>
      <c r="C950" s="148" t="s">
        <v>45</v>
      </c>
      <c r="D950" s="148" t="s">
        <v>99</v>
      </c>
      <c r="E950" s="148" t="s">
        <v>30</v>
      </c>
      <c r="F950" s="148" t="s">
        <v>47</v>
      </c>
      <c r="G950" s="148" t="s">
        <v>96</v>
      </c>
      <c r="H950" s="148">
        <v>2008</v>
      </c>
      <c r="I950" s="148">
        <v>9</v>
      </c>
      <c r="J950" s="148" t="s">
        <v>150</v>
      </c>
      <c r="K950" s="148" t="s">
        <v>776</v>
      </c>
      <c r="M950" s="148" t="s">
        <v>471</v>
      </c>
      <c r="N950" s="148">
        <v>6</v>
      </c>
      <c r="O950" s="148" t="s">
        <v>83</v>
      </c>
      <c r="Y950" s="150" t="s">
        <v>366</v>
      </c>
    </row>
    <row r="951" spans="1:26" ht="15.75" hidden="1" customHeight="1" x14ac:dyDescent="0.25">
      <c r="A951" s="148" t="s">
        <v>76</v>
      </c>
      <c r="B951" s="148" t="s">
        <v>198</v>
      </c>
      <c r="C951" s="148" t="s">
        <v>45</v>
      </c>
      <c r="D951" s="148" t="s">
        <v>94</v>
      </c>
      <c r="E951" s="148" t="s">
        <v>30</v>
      </c>
      <c r="F951" s="148" t="s">
        <v>199</v>
      </c>
      <c r="G951" s="148" t="s">
        <v>296</v>
      </c>
      <c r="H951" s="148">
        <v>2008</v>
      </c>
      <c r="I951" s="148">
        <v>9</v>
      </c>
      <c r="J951" s="148" t="s">
        <v>150</v>
      </c>
      <c r="K951" s="148" t="s">
        <v>579</v>
      </c>
      <c r="M951" s="148" t="s">
        <v>554</v>
      </c>
      <c r="N951" s="148">
        <v>8</v>
      </c>
      <c r="O951" s="148" t="s">
        <v>83</v>
      </c>
      <c r="Y951" s="150" t="s">
        <v>366</v>
      </c>
    </row>
    <row r="952" spans="1:26" ht="13.5" hidden="1" customHeight="1" x14ac:dyDescent="0.25">
      <c r="A952" s="148" t="s">
        <v>76</v>
      </c>
      <c r="B952" s="148" t="s">
        <v>198</v>
      </c>
      <c r="C952" s="148" t="s">
        <v>45</v>
      </c>
      <c r="D952" s="148" t="s">
        <v>29</v>
      </c>
      <c r="E952" s="148" t="s">
        <v>30</v>
      </c>
      <c r="F952" s="148" t="s">
        <v>199</v>
      </c>
      <c r="G952" s="148" t="s">
        <v>232</v>
      </c>
      <c r="H952" s="148">
        <v>2008</v>
      </c>
      <c r="I952" s="148">
        <v>9</v>
      </c>
      <c r="J952" s="148" t="s">
        <v>150</v>
      </c>
      <c r="K952" s="148" t="s">
        <v>579</v>
      </c>
      <c r="M952" s="148" t="s">
        <v>554</v>
      </c>
      <c r="N952" s="148">
        <v>8</v>
      </c>
      <c r="O952" s="148" t="s">
        <v>83</v>
      </c>
      <c r="Y952" s="150" t="s">
        <v>366</v>
      </c>
    </row>
    <row r="953" spans="1:26" ht="15.75" hidden="1" customHeight="1" x14ac:dyDescent="0.25">
      <c r="A953" s="148" t="s">
        <v>76</v>
      </c>
      <c r="B953" s="148" t="s">
        <v>103</v>
      </c>
      <c r="C953" s="148" t="s">
        <v>55</v>
      </c>
      <c r="D953" s="148" t="s">
        <v>29</v>
      </c>
      <c r="E953" s="148" t="s">
        <v>95</v>
      </c>
      <c r="F953" s="148" t="s">
        <v>56</v>
      </c>
      <c r="G953" s="148" t="s">
        <v>104</v>
      </c>
      <c r="H953" s="148">
        <v>2008</v>
      </c>
      <c r="I953" s="148">
        <v>9</v>
      </c>
      <c r="J953" s="148" t="s">
        <v>150</v>
      </c>
      <c r="K953" s="148" t="s">
        <v>327</v>
      </c>
      <c r="M953" s="148" t="s">
        <v>82</v>
      </c>
      <c r="N953" s="148">
        <v>8</v>
      </c>
      <c r="O953" s="148" t="s">
        <v>83</v>
      </c>
      <c r="P953" s="148" t="s">
        <v>146</v>
      </c>
      <c r="Y953" s="150" t="s">
        <v>366</v>
      </c>
    </row>
    <row r="954" spans="1:26" ht="15.75" hidden="1" customHeight="1" x14ac:dyDescent="0.25">
      <c r="A954" s="148" t="s">
        <v>76</v>
      </c>
      <c r="B954" s="148" t="s">
        <v>103</v>
      </c>
      <c r="C954" s="148" t="s">
        <v>55</v>
      </c>
      <c r="D954" s="148" t="s">
        <v>29</v>
      </c>
      <c r="E954" s="148" t="s">
        <v>95</v>
      </c>
      <c r="F954" s="148" t="s">
        <v>56</v>
      </c>
      <c r="G954" s="148" t="s">
        <v>407</v>
      </c>
      <c r="H954" s="148">
        <v>2008</v>
      </c>
      <c r="I954" s="148">
        <v>9</v>
      </c>
      <c r="J954" s="148" t="s">
        <v>150</v>
      </c>
      <c r="K954" s="148" t="s">
        <v>327</v>
      </c>
      <c r="M954" s="148" t="s">
        <v>82</v>
      </c>
      <c r="N954" s="148">
        <v>8</v>
      </c>
      <c r="O954" s="148" t="s">
        <v>83</v>
      </c>
      <c r="Y954" s="150" t="s">
        <v>366</v>
      </c>
    </row>
    <row r="955" spans="1:26" ht="15.75" hidden="1" customHeight="1" x14ac:dyDescent="0.25">
      <c r="A955" s="148" t="s">
        <v>76</v>
      </c>
      <c r="B955" s="148" t="s">
        <v>103</v>
      </c>
      <c r="C955" s="148" t="s">
        <v>55</v>
      </c>
      <c r="D955" s="148" t="s">
        <v>478</v>
      </c>
      <c r="E955" s="148" t="s">
        <v>95</v>
      </c>
      <c r="F955" s="148" t="s">
        <v>56</v>
      </c>
      <c r="G955" s="148" t="s">
        <v>107</v>
      </c>
      <c r="H955" s="148">
        <v>2008</v>
      </c>
      <c r="I955" s="148">
        <v>9</v>
      </c>
      <c r="J955" s="148" t="s">
        <v>150</v>
      </c>
      <c r="K955" s="148" t="s">
        <v>327</v>
      </c>
      <c r="M955" s="148" t="s">
        <v>82</v>
      </c>
      <c r="N955" s="148">
        <v>8</v>
      </c>
      <c r="O955" s="148" t="s">
        <v>83</v>
      </c>
      <c r="Y955" s="150" t="s">
        <v>366</v>
      </c>
    </row>
    <row r="956" spans="1:26" ht="15.75" hidden="1" customHeight="1" x14ac:dyDescent="0.25">
      <c r="A956" s="148" t="s">
        <v>76</v>
      </c>
      <c r="B956" s="148" t="s">
        <v>62</v>
      </c>
      <c r="C956" s="148" t="s">
        <v>28</v>
      </c>
      <c r="D956" s="148" t="s">
        <v>759</v>
      </c>
      <c r="E956" s="148" t="s">
        <v>51</v>
      </c>
      <c r="F956" s="148" t="s">
        <v>3183</v>
      </c>
      <c r="G956" s="148" t="s">
        <v>409</v>
      </c>
      <c r="H956" s="148">
        <v>2008</v>
      </c>
      <c r="I956" s="148">
        <v>9</v>
      </c>
      <c r="J956" s="148" t="s">
        <v>150</v>
      </c>
      <c r="K956" s="148" t="s">
        <v>579</v>
      </c>
      <c r="M956" s="148" t="s">
        <v>554</v>
      </c>
      <c r="N956" s="148">
        <v>8</v>
      </c>
      <c r="O956" s="148" t="s">
        <v>83</v>
      </c>
      <c r="Y956" s="150" t="s">
        <v>366</v>
      </c>
    </row>
    <row r="957" spans="1:26" ht="13.5" hidden="1" customHeight="1" x14ac:dyDescent="0.25">
      <c r="A957" s="148" t="s">
        <v>76</v>
      </c>
      <c r="B957" s="148" t="s">
        <v>89</v>
      </c>
      <c r="C957" s="148" t="s">
        <v>90</v>
      </c>
      <c r="D957" s="148" t="s">
        <v>29</v>
      </c>
      <c r="E957" s="148" t="s">
        <v>30</v>
      </c>
      <c r="F957" s="148" t="s">
        <v>91</v>
      </c>
      <c r="G957" s="148" t="s">
        <v>222</v>
      </c>
      <c r="H957" s="148">
        <v>2008</v>
      </c>
      <c r="I957" s="148">
        <v>9</v>
      </c>
      <c r="J957" s="148" t="s">
        <v>150</v>
      </c>
      <c r="K957" s="148" t="s">
        <v>502</v>
      </c>
      <c r="M957" s="148" t="s">
        <v>456</v>
      </c>
      <c r="N957" s="148">
        <v>6</v>
      </c>
      <c r="O957" s="148" t="s">
        <v>83</v>
      </c>
      <c r="Y957" s="150" t="s">
        <v>366</v>
      </c>
    </row>
    <row r="958" spans="1:26" ht="15.75" hidden="1" customHeight="1" x14ac:dyDescent="0.25">
      <c r="A958" s="148" t="s">
        <v>76</v>
      </c>
      <c r="B958" s="148" t="s">
        <v>89</v>
      </c>
      <c r="C958" s="148" t="s">
        <v>90</v>
      </c>
      <c r="D958" s="148" t="s">
        <v>29</v>
      </c>
      <c r="E958" s="148" t="s">
        <v>30</v>
      </c>
      <c r="F958" s="148" t="s">
        <v>91</v>
      </c>
      <c r="G958" s="148" t="s">
        <v>329</v>
      </c>
      <c r="H958" s="148">
        <v>2008</v>
      </c>
      <c r="I958" s="148">
        <v>9</v>
      </c>
      <c r="J958" s="148" t="s">
        <v>150</v>
      </c>
      <c r="K958" s="148" t="s">
        <v>502</v>
      </c>
      <c r="M958" s="148" t="s">
        <v>456</v>
      </c>
      <c r="N958" s="148">
        <v>6</v>
      </c>
      <c r="O958" s="148" t="s">
        <v>83</v>
      </c>
      <c r="Y958" s="150" t="s">
        <v>366</v>
      </c>
    </row>
    <row r="959" spans="1:26" ht="15.75" hidden="1" customHeight="1" x14ac:dyDescent="0.25">
      <c r="A959" s="148" t="s">
        <v>76</v>
      </c>
      <c r="B959" s="148" t="s">
        <v>27</v>
      </c>
      <c r="C959" s="148" t="s">
        <v>28</v>
      </c>
      <c r="D959" s="148" t="s">
        <v>3320</v>
      </c>
      <c r="E959" s="148" t="s">
        <v>30</v>
      </c>
      <c r="F959" s="148" t="s">
        <v>3183</v>
      </c>
      <c r="G959" s="148" t="s">
        <v>163</v>
      </c>
      <c r="H959" s="148">
        <v>2008</v>
      </c>
      <c r="I959" s="148">
        <v>9</v>
      </c>
      <c r="J959" s="148" t="s">
        <v>118</v>
      </c>
      <c r="K959" s="148" t="s">
        <v>379</v>
      </c>
      <c r="M959" s="148" t="s">
        <v>126</v>
      </c>
      <c r="N959" s="148">
        <v>8</v>
      </c>
      <c r="O959" s="148" t="s">
        <v>101</v>
      </c>
      <c r="P959" s="148" t="s">
        <v>146</v>
      </c>
      <c r="Y959" s="150" t="s">
        <v>777</v>
      </c>
      <c r="Z959" s="148" t="s">
        <v>166</v>
      </c>
    </row>
    <row r="960" spans="1:26" ht="15.75" hidden="1" customHeight="1" x14ac:dyDescent="0.25">
      <c r="A960" s="148" t="s">
        <v>76</v>
      </c>
      <c r="B960" s="148" t="s">
        <v>71</v>
      </c>
      <c r="C960" s="148" t="s">
        <v>45</v>
      </c>
      <c r="D960" s="148" t="s">
        <v>29</v>
      </c>
      <c r="E960" s="148" t="s">
        <v>72</v>
      </c>
      <c r="F960" s="148" t="s">
        <v>3183</v>
      </c>
      <c r="G960" s="148" t="s">
        <v>75</v>
      </c>
      <c r="H960" s="148">
        <v>2008</v>
      </c>
      <c r="I960" s="148">
        <v>9</v>
      </c>
      <c r="J960" s="148" t="s">
        <v>150</v>
      </c>
      <c r="K960" s="148" t="s">
        <v>630</v>
      </c>
      <c r="M960" s="148" t="s">
        <v>631</v>
      </c>
      <c r="N960" s="148">
        <v>6</v>
      </c>
      <c r="O960" s="148" t="s">
        <v>83</v>
      </c>
      <c r="Y960" s="150" t="s">
        <v>366</v>
      </c>
    </row>
    <row r="961" spans="1:25" ht="15.75" hidden="1" customHeight="1" x14ac:dyDescent="0.25">
      <c r="A961" s="148" t="s">
        <v>76</v>
      </c>
      <c r="B961" s="148" t="s">
        <v>103</v>
      </c>
      <c r="C961" s="148" t="s">
        <v>55</v>
      </c>
      <c r="D961" s="148" t="s">
        <v>29</v>
      </c>
      <c r="E961" s="148" t="s">
        <v>95</v>
      </c>
      <c r="F961" s="148" t="s">
        <v>56</v>
      </c>
      <c r="G961" s="148" t="s">
        <v>180</v>
      </c>
      <c r="H961" s="148">
        <v>2008</v>
      </c>
      <c r="I961" s="148">
        <v>9</v>
      </c>
      <c r="J961" s="148" t="s">
        <v>150</v>
      </c>
      <c r="K961" s="148" t="s">
        <v>455</v>
      </c>
      <c r="M961" s="148" t="s">
        <v>132</v>
      </c>
      <c r="N961" s="148">
        <v>8</v>
      </c>
      <c r="O961" s="148" t="s">
        <v>83</v>
      </c>
      <c r="Y961" s="150" t="s">
        <v>366</v>
      </c>
    </row>
    <row r="962" spans="1:25" ht="15.75" hidden="1" customHeight="1" x14ac:dyDescent="0.25">
      <c r="A962" s="148" t="s">
        <v>76</v>
      </c>
      <c r="B962" s="148" t="s">
        <v>27</v>
      </c>
      <c r="C962" s="148" t="s">
        <v>28</v>
      </c>
      <c r="D962" s="148" t="s">
        <v>99</v>
      </c>
      <c r="E962" s="148" t="s">
        <v>40</v>
      </c>
      <c r="F962" s="148" t="s">
        <v>41</v>
      </c>
      <c r="G962" s="148" t="s">
        <v>42</v>
      </c>
      <c r="H962" s="148">
        <v>2008</v>
      </c>
      <c r="I962" s="148">
        <v>9</v>
      </c>
      <c r="J962" s="148" t="s">
        <v>118</v>
      </c>
      <c r="K962" s="148" t="s">
        <v>379</v>
      </c>
      <c r="M962" s="148" t="s">
        <v>126</v>
      </c>
      <c r="N962" s="148">
        <v>10</v>
      </c>
      <c r="O962" s="148" t="s">
        <v>101</v>
      </c>
      <c r="P962" s="148" t="s">
        <v>203</v>
      </c>
      <c r="Y962" s="150" t="s">
        <v>366</v>
      </c>
    </row>
    <row r="963" spans="1:25" ht="13.5" hidden="1" customHeight="1" x14ac:dyDescent="0.25">
      <c r="A963" s="148" t="s">
        <v>76</v>
      </c>
      <c r="B963" s="148" t="s">
        <v>103</v>
      </c>
      <c r="C963" s="148" t="s">
        <v>55</v>
      </c>
      <c r="D963" s="148" t="s">
        <v>29</v>
      </c>
      <c r="E963" s="148" t="s">
        <v>95</v>
      </c>
      <c r="F963" s="148" t="s">
        <v>56</v>
      </c>
      <c r="G963" s="148" t="s">
        <v>270</v>
      </c>
      <c r="H963" s="148">
        <v>2008</v>
      </c>
      <c r="I963" s="148">
        <v>9</v>
      </c>
      <c r="J963" s="148" t="s">
        <v>150</v>
      </c>
      <c r="K963" s="148" t="s">
        <v>670</v>
      </c>
      <c r="M963" s="148" t="s">
        <v>290</v>
      </c>
      <c r="N963" s="148">
        <v>6</v>
      </c>
      <c r="O963" s="148" t="s">
        <v>83</v>
      </c>
      <c r="Y963" s="150" t="s">
        <v>366</v>
      </c>
    </row>
    <row r="964" spans="1:25" ht="15.75" hidden="1" customHeight="1" x14ac:dyDescent="0.25">
      <c r="A964" s="148" t="s">
        <v>76</v>
      </c>
      <c r="B964" s="148" t="s">
        <v>103</v>
      </c>
      <c r="C964" s="148" t="s">
        <v>55</v>
      </c>
      <c r="D964" s="148" t="s">
        <v>29</v>
      </c>
      <c r="E964" s="148" t="s">
        <v>30</v>
      </c>
      <c r="F964" s="148" t="s">
        <v>56</v>
      </c>
      <c r="G964" s="148" t="s">
        <v>519</v>
      </c>
      <c r="H964" s="148">
        <v>2008</v>
      </c>
      <c r="I964" s="148">
        <v>9</v>
      </c>
      <c r="J964" s="148" t="s">
        <v>150</v>
      </c>
      <c r="K964" s="148" t="s">
        <v>455</v>
      </c>
      <c r="M964" s="148" t="s">
        <v>132</v>
      </c>
      <c r="N964" s="148">
        <v>8</v>
      </c>
      <c r="O964" s="148" t="s">
        <v>83</v>
      </c>
      <c r="P964" s="148" t="s">
        <v>435</v>
      </c>
      <c r="Y964" s="150" t="s">
        <v>366</v>
      </c>
    </row>
    <row r="965" spans="1:25" ht="15.75" hidden="1" customHeight="1" x14ac:dyDescent="0.25">
      <c r="A965" s="148" t="s">
        <v>76</v>
      </c>
      <c r="B965" s="148" t="s">
        <v>89</v>
      </c>
      <c r="C965" s="148" t="s">
        <v>90</v>
      </c>
      <c r="D965" s="148" t="s">
        <v>99</v>
      </c>
      <c r="E965" s="148" t="s">
        <v>30</v>
      </c>
      <c r="F965" s="148" t="s">
        <v>91</v>
      </c>
      <c r="G965" s="148" t="s">
        <v>92</v>
      </c>
      <c r="H965" s="148">
        <v>2008</v>
      </c>
      <c r="I965" s="148">
        <v>9</v>
      </c>
      <c r="J965" s="148" t="s">
        <v>150</v>
      </c>
      <c r="K965" s="148" t="s">
        <v>725</v>
      </c>
      <c r="M965" s="148" t="s">
        <v>464</v>
      </c>
      <c r="N965" s="148">
        <v>6</v>
      </c>
      <c r="O965" s="148" t="s">
        <v>83</v>
      </c>
      <c r="Y965" s="150" t="s">
        <v>366</v>
      </c>
    </row>
    <row r="966" spans="1:25" ht="15.75" hidden="1" customHeight="1" x14ac:dyDescent="0.25">
      <c r="A966" s="148" t="s">
        <v>76</v>
      </c>
      <c r="B966" s="148" t="s">
        <v>103</v>
      </c>
      <c r="C966" s="148" t="s">
        <v>55</v>
      </c>
      <c r="D966" s="148" t="s">
        <v>29</v>
      </c>
      <c r="E966" s="148" t="s">
        <v>30</v>
      </c>
      <c r="F966" s="148" t="s">
        <v>56</v>
      </c>
      <c r="G966" s="148" t="s">
        <v>381</v>
      </c>
      <c r="H966" s="148">
        <v>2008</v>
      </c>
      <c r="I966" s="148">
        <v>9</v>
      </c>
      <c r="J966" s="148" t="s">
        <v>118</v>
      </c>
      <c r="K966" s="148" t="s">
        <v>379</v>
      </c>
      <c r="M966" s="148" t="s">
        <v>126</v>
      </c>
      <c r="N966" s="148">
        <v>10</v>
      </c>
      <c r="O966" s="148" t="s">
        <v>101</v>
      </c>
      <c r="P966" s="148" t="s">
        <v>146</v>
      </c>
      <c r="Y966" s="150" t="s">
        <v>366</v>
      </c>
    </row>
    <row r="967" spans="1:25" ht="15.75" hidden="1" customHeight="1" x14ac:dyDescent="0.25">
      <c r="A967" s="148" t="s">
        <v>76</v>
      </c>
      <c r="B967" s="148" t="s">
        <v>89</v>
      </c>
      <c r="C967" s="148" t="s">
        <v>90</v>
      </c>
      <c r="D967" s="148" t="s">
        <v>29</v>
      </c>
      <c r="E967" s="148" t="s">
        <v>30</v>
      </c>
      <c r="F967" s="148" t="s">
        <v>91</v>
      </c>
      <c r="G967" s="148" t="s">
        <v>93</v>
      </c>
      <c r="H967" s="148">
        <v>2008</v>
      </c>
      <c r="I967" s="148">
        <v>9</v>
      </c>
      <c r="J967" s="148" t="s">
        <v>118</v>
      </c>
      <c r="K967" s="148" t="s">
        <v>629</v>
      </c>
      <c r="M967" s="148" t="s">
        <v>120</v>
      </c>
      <c r="N967" s="148">
        <v>6</v>
      </c>
      <c r="O967" s="148" t="s">
        <v>101</v>
      </c>
      <c r="P967" s="148" t="s">
        <v>773</v>
      </c>
      <c r="Y967" s="150" t="s">
        <v>778</v>
      </c>
    </row>
    <row r="968" spans="1:25" ht="15.75" hidden="1" customHeight="1" x14ac:dyDescent="0.25">
      <c r="A968" s="148" t="s">
        <v>76</v>
      </c>
      <c r="B968" s="148" t="s">
        <v>103</v>
      </c>
      <c r="C968" s="148" t="s">
        <v>55</v>
      </c>
      <c r="D968" s="148" t="s">
        <v>478</v>
      </c>
      <c r="E968" s="148" t="s">
        <v>95</v>
      </c>
      <c r="F968" s="148" t="s">
        <v>56</v>
      </c>
      <c r="G968" s="148" t="s">
        <v>108</v>
      </c>
      <c r="H968" s="148">
        <v>2008</v>
      </c>
      <c r="I968" s="148">
        <v>9</v>
      </c>
      <c r="J968" s="148" t="s">
        <v>118</v>
      </c>
      <c r="K968" s="148" t="s">
        <v>327</v>
      </c>
      <c r="M968" s="148" t="s">
        <v>82</v>
      </c>
      <c r="N968" s="148">
        <v>8</v>
      </c>
      <c r="O968" s="148" t="s">
        <v>101</v>
      </c>
      <c r="P968" s="148" t="s">
        <v>536</v>
      </c>
      <c r="Y968" s="150" t="s">
        <v>366</v>
      </c>
    </row>
    <row r="969" spans="1:25" ht="15.75" hidden="1" customHeight="1" x14ac:dyDescent="0.25">
      <c r="A969" s="148" t="s">
        <v>76</v>
      </c>
      <c r="B969" s="148" t="s">
        <v>44</v>
      </c>
      <c r="C969" s="148" t="s">
        <v>45</v>
      </c>
      <c r="D969" s="148" t="s">
        <v>29</v>
      </c>
      <c r="E969" s="148" t="s">
        <v>46</v>
      </c>
      <c r="F969" s="148" t="s">
        <v>47</v>
      </c>
      <c r="G969" s="148" t="s">
        <v>48</v>
      </c>
      <c r="H969" s="148">
        <v>2008</v>
      </c>
      <c r="I969" s="148">
        <v>9</v>
      </c>
      <c r="J969" s="148" t="s">
        <v>150</v>
      </c>
      <c r="K969" s="148" t="s">
        <v>776</v>
      </c>
      <c r="M969" s="148" t="s">
        <v>471</v>
      </c>
      <c r="N969" s="148">
        <v>6</v>
      </c>
      <c r="O969" s="148" t="s">
        <v>83</v>
      </c>
      <c r="Y969" s="150" t="s">
        <v>366</v>
      </c>
    </row>
    <row r="970" spans="1:25" ht="15.75" hidden="1" customHeight="1" x14ac:dyDescent="0.25">
      <c r="A970" s="148" t="s">
        <v>76</v>
      </c>
      <c r="B970" s="148" t="s">
        <v>89</v>
      </c>
      <c r="C970" s="148" t="s">
        <v>90</v>
      </c>
      <c r="D970" s="148" t="s">
        <v>29</v>
      </c>
      <c r="E970" s="148" t="s">
        <v>30</v>
      </c>
      <c r="F970" s="148" t="s">
        <v>91</v>
      </c>
      <c r="G970" s="148" t="s">
        <v>437</v>
      </c>
      <c r="H970" s="148">
        <v>2008</v>
      </c>
      <c r="I970" s="148">
        <v>10</v>
      </c>
      <c r="J970" s="148" t="s">
        <v>150</v>
      </c>
      <c r="K970" s="148" t="s">
        <v>768</v>
      </c>
      <c r="M970" s="148" t="s">
        <v>492</v>
      </c>
      <c r="N970" s="148">
        <v>5</v>
      </c>
      <c r="O970" s="148" t="s">
        <v>83</v>
      </c>
      <c r="Y970" s="150" t="s">
        <v>366</v>
      </c>
    </row>
    <row r="971" spans="1:25" ht="15.75" hidden="1" customHeight="1" x14ac:dyDescent="0.25">
      <c r="A971" s="148" t="s">
        <v>76</v>
      </c>
      <c r="B971" s="148" t="s">
        <v>36</v>
      </c>
      <c r="C971" s="148" t="s">
        <v>28</v>
      </c>
      <c r="D971" s="148" t="s">
        <v>158</v>
      </c>
      <c r="E971" s="148" t="s">
        <v>30</v>
      </c>
      <c r="F971" s="148" t="s">
        <v>3183</v>
      </c>
      <c r="G971" s="148" t="s">
        <v>438</v>
      </c>
      <c r="H971" s="148">
        <v>2008</v>
      </c>
      <c r="I971" s="148">
        <v>10</v>
      </c>
      <c r="J971" s="148" t="s">
        <v>150</v>
      </c>
      <c r="K971" s="148" t="s">
        <v>629</v>
      </c>
      <c r="M971" s="148" t="s">
        <v>120</v>
      </c>
      <c r="N971" s="148">
        <v>6</v>
      </c>
      <c r="O971" s="148" t="s">
        <v>83</v>
      </c>
      <c r="Y971" s="150" t="s">
        <v>366</v>
      </c>
    </row>
    <row r="972" spans="1:25" ht="15.75" hidden="1" customHeight="1" x14ac:dyDescent="0.25">
      <c r="A972" s="148" t="s">
        <v>76</v>
      </c>
      <c r="B972" s="148" t="s">
        <v>198</v>
      </c>
      <c r="C972" s="148" t="s">
        <v>45</v>
      </c>
      <c r="D972" s="148" t="s">
        <v>29</v>
      </c>
      <c r="E972" s="148" t="s">
        <v>30</v>
      </c>
      <c r="F972" s="148" t="s">
        <v>199</v>
      </c>
      <c r="G972" s="148" t="s">
        <v>214</v>
      </c>
      <c r="H972" s="148">
        <v>2008</v>
      </c>
      <c r="I972" s="148">
        <v>10</v>
      </c>
      <c r="J972" s="148" t="s">
        <v>118</v>
      </c>
      <c r="K972" s="148" t="s">
        <v>327</v>
      </c>
      <c r="M972" s="148" t="s">
        <v>82</v>
      </c>
      <c r="N972" s="148">
        <v>8</v>
      </c>
      <c r="O972" s="148" t="s">
        <v>101</v>
      </c>
      <c r="P972" s="148" t="s">
        <v>622</v>
      </c>
      <c r="Y972" s="150" t="s">
        <v>366</v>
      </c>
    </row>
    <row r="973" spans="1:25" ht="15.75" hidden="1" customHeight="1" x14ac:dyDescent="0.25">
      <c r="A973" s="148" t="s">
        <v>76</v>
      </c>
      <c r="B973" s="148" t="s">
        <v>89</v>
      </c>
      <c r="C973" s="148" t="s">
        <v>90</v>
      </c>
      <c r="D973" s="148" t="s">
        <v>516</v>
      </c>
      <c r="E973" s="148" t="s">
        <v>30</v>
      </c>
      <c r="F973" s="148" t="s">
        <v>91</v>
      </c>
      <c r="G973" s="148" t="s">
        <v>563</v>
      </c>
      <c r="H973" s="148">
        <v>2008</v>
      </c>
      <c r="I973" s="148">
        <v>10</v>
      </c>
      <c r="J973" s="148" t="s">
        <v>118</v>
      </c>
      <c r="K973" s="148" t="s">
        <v>327</v>
      </c>
      <c r="M973" s="148" t="s">
        <v>82</v>
      </c>
      <c r="N973" s="148">
        <v>8</v>
      </c>
      <c r="O973" s="148" t="s">
        <v>101</v>
      </c>
      <c r="P973" s="148" t="s">
        <v>435</v>
      </c>
      <c r="Y973" s="150" t="s">
        <v>366</v>
      </c>
    </row>
    <row r="974" spans="1:25" ht="13.5" hidden="1" customHeight="1" x14ac:dyDescent="0.25">
      <c r="A974" s="148" t="s">
        <v>76</v>
      </c>
      <c r="B974" s="148" t="s">
        <v>198</v>
      </c>
      <c r="C974" s="148" t="s">
        <v>45</v>
      </c>
      <c r="D974" s="148" t="s">
        <v>29</v>
      </c>
      <c r="E974" s="148" t="s">
        <v>30</v>
      </c>
      <c r="F974" s="148" t="s">
        <v>199</v>
      </c>
      <c r="G974" s="148" t="s">
        <v>241</v>
      </c>
      <c r="H974" s="148">
        <v>2008</v>
      </c>
      <c r="I974" s="148">
        <v>10</v>
      </c>
      <c r="J974" s="148" t="s">
        <v>118</v>
      </c>
      <c r="K974" s="148" t="s">
        <v>327</v>
      </c>
      <c r="M974" s="148" t="s">
        <v>82</v>
      </c>
      <c r="N974" s="148">
        <v>8</v>
      </c>
      <c r="O974" s="148" t="s">
        <v>101</v>
      </c>
      <c r="P974" s="148" t="s">
        <v>146</v>
      </c>
      <c r="Y974" s="150" t="s">
        <v>366</v>
      </c>
    </row>
    <row r="975" spans="1:25" ht="15.75" hidden="1" customHeight="1" x14ac:dyDescent="0.25">
      <c r="A975" s="148" t="s">
        <v>76</v>
      </c>
      <c r="B975" s="148" t="s">
        <v>116</v>
      </c>
      <c r="C975" s="148" t="s">
        <v>90</v>
      </c>
      <c r="D975" s="148" t="s">
        <v>86</v>
      </c>
      <c r="E975" s="148" t="s">
        <v>40</v>
      </c>
      <c r="F975" s="148" t="s">
        <v>41</v>
      </c>
      <c r="G975" s="148" t="s">
        <v>117</v>
      </c>
      <c r="H975" s="148">
        <v>2008</v>
      </c>
      <c r="I975" s="148">
        <v>10</v>
      </c>
      <c r="J975" s="148" t="s">
        <v>150</v>
      </c>
      <c r="K975" s="148" t="s">
        <v>685</v>
      </c>
      <c r="M975" s="148" t="s">
        <v>686</v>
      </c>
      <c r="N975" s="148">
        <v>6</v>
      </c>
      <c r="O975" s="148" t="s">
        <v>83</v>
      </c>
      <c r="Y975" s="150" t="s">
        <v>366</v>
      </c>
    </row>
    <row r="976" spans="1:25" ht="15.75" hidden="1" customHeight="1" x14ac:dyDescent="0.25">
      <c r="A976" s="148" t="s">
        <v>76</v>
      </c>
      <c r="B976" s="148" t="s">
        <v>103</v>
      </c>
      <c r="C976" s="148" t="s">
        <v>55</v>
      </c>
      <c r="D976" s="148" t="s">
        <v>478</v>
      </c>
      <c r="E976" s="148" t="s">
        <v>95</v>
      </c>
      <c r="F976" s="148" t="s">
        <v>56</v>
      </c>
      <c r="G976" s="148" t="s">
        <v>153</v>
      </c>
      <c r="H976" s="148">
        <v>2008</v>
      </c>
      <c r="I976" s="148">
        <v>10</v>
      </c>
      <c r="J976" s="148" t="s">
        <v>150</v>
      </c>
      <c r="K976" s="148" t="s">
        <v>725</v>
      </c>
      <c r="M976" s="148" t="s">
        <v>464</v>
      </c>
      <c r="N976" s="148">
        <v>6</v>
      </c>
      <c r="O976" s="148" t="s">
        <v>83</v>
      </c>
      <c r="Y976" s="150" t="s">
        <v>366</v>
      </c>
    </row>
    <row r="977" spans="1:25" ht="13.5" hidden="1" customHeight="1" x14ac:dyDescent="0.25">
      <c r="A977" s="148" t="s">
        <v>76</v>
      </c>
      <c r="B977" s="148" t="s">
        <v>103</v>
      </c>
      <c r="C977" s="148" t="s">
        <v>55</v>
      </c>
      <c r="D977" s="148" t="s">
        <v>29</v>
      </c>
      <c r="E977" s="148" t="s">
        <v>95</v>
      </c>
      <c r="F977" s="148" t="s">
        <v>56</v>
      </c>
      <c r="G977" s="148" t="s">
        <v>407</v>
      </c>
      <c r="H977" s="148">
        <v>2008</v>
      </c>
      <c r="I977" s="148">
        <v>10</v>
      </c>
      <c r="J977" s="148" t="s">
        <v>150</v>
      </c>
      <c r="K977" s="148" t="s">
        <v>779</v>
      </c>
      <c r="M977" s="148" t="s">
        <v>395</v>
      </c>
      <c r="N977" s="148">
        <v>6</v>
      </c>
      <c r="O977" s="148" t="s">
        <v>83</v>
      </c>
      <c r="Y977" s="150" t="s">
        <v>366</v>
      </c>
    </row>
    <row r="978" spans="1:25" ht="15.75" hidden="1" customHeight="1" x14ac:dyDescent="0.25">
      <c r="A978" s="148" t="s">
        <v>76</v>
      </c>
      <c r="B978" s="148" t="s">
        <v>198</v>
      </c>
      <c r="C978" s="148" t="s">
        <v>45</v>
      </c>
      <c r="D978" s="148" t="s">
        <v>780</v>
      </c>
      <c r="E978" s="148" t="s">
        <v>30</v>
      </c>
      <c r="F978" s="148" t="s">
        <v>199</v>
      </c>
      <c r="G978" s="148" t="s">
        <v>781</v>
      </c>
      <c r="H978" s="148">
        <v>2008</v>
      </c>
      <c r="I978" s="148">
        <v>10</v>
      </c>
      <c r="J978" s="148" t="s">
        <v>118</v>
      </c>
      <c r="K978" s="148" t="s">
        <v>455</v>
      </c>
      <c r="M978" s="148" t="s">
        <v>132</v>
      </c>
      <c r="N978" s="148">
        <v>8</v>
      </c>
      <c r="O978" s="148" t="s">
        <v>101</v>
      </c>
      <c r="P978" s="148" t="s">
        <v>709</v>
      </c>
      <c r="Y978" s="150" t="s">
        <v>366</v>
      </c>
    </row>
    <row r="979" spans="1:25" ht="15.75" hidden="1" customHeight="1" x14ac:dyDescent="0.25">
      <c r="A979" s="148" t="s">
        <v>76</v>
      </c>
      <c r="B979" s="148" t="s">
        <v>89</v>
      </c>
      <c r="C979" s="148" t="s">
        <v>90</v>
      </c>
      <c r="D979" s="148" t="s">
        <v>29</v>
      </c>
      <c r="E979" s="148" t="s">
        <v>30</v>
      </c>
      <c r="F979" s="148" t="s">
        <v>91</v>
      </c>
      <c r="G979" s="148" t="s">
        <v>550</v>
      </c>
      <c r="H979" s="148">
        <v>2008</v>
      </c>
      <c r="I979" s="148">
        <v>10</v>
      </c>
      <c r="J979" s="148" t="s">
        <v>150</v>
      </c>
      <c r="K979" s="148" t="s">
        <v>768</v>
      </c>
      <c r="M979" s="148" t="s">
        <v>492</v>
      </c>
      <c r="N979" s="148">
        <v>5</v>
      </c>
      <c r="O979" s="148" t="s">
        <v>83</v>
      </c>
      <c r="Y979" s="150" t="s">
        <v>366</v>
      </c>
    </row>
    <row r="980" spans="1:25" ht="13.5" hidden="1" customHeight="1" x14ac:dyDescent="0.25">
      <c r="A980" s="148" t="s">
        <v>76</v>
      </c>
      <c r="B980" s="148" t="s">
        <v>36</v>
      </c>
      <c r="C980" s="148" t="s">
        <v>28</v>
      </c>
      <c r="D980" s="148" t="s">
        <v>29</v>
      </c>
      <c r="E980" s="148" t="s">
        <v>30</v>
      </c>
      <c r="F980" s="148" t="s">
        <v>3183</v>
      </c>
      <c r="G980" s="148" t="s">
        <v>37</v>
      </c>
      <c r="H980" s="148">
        <v>2008</v>
      </c>
      <c r="I980" s="148">
        <v>10</v>
      </c>
      <c r="J980" s="148" t="s">
        <v>150</v>
      </c>
      <c r="K980" s="148" t="s">
        <v>629</v>
      </c>
      <c r="M980" s="148" t="s">
        <v>120</v>
      </c>
      <c r="N980" s="148">
        <v>6</v>
      </c>
      <c r="O980" s="148" t="s">
        <v>83</v>
      </c>
      <c r="Y980" s="150" t="s">
        <v>366</v>
      </c>
    </row>
    <row r="981" spans="1:25" ht="13.5" hidden="1" customHeight="1" x14ac:dyDescent="0.25">
      <c r="A981" s="148" t="s">
        <v>76</v>
      </c>
      <c r="B981" s="148" t="s">
        <v>36</v>
      </c>
      <c r="C981" s="148" t="s">
        <v>28</v>
      </c>
      <c r="D981" s="148" t="s">
        <v>86</v>
      </c>
      <c r="E981" s="148" t="s">
        <v>51</v>
      </c>
      <c r="F981" s="148" t="s">
        <v>3183</v>
      </c>
      <c r="G981" s="148" t="s">
        <v>69</v>
      </c>
      <c r="H981" s="148">
        <v>2008</v>
      </c>
      <c r="I981" s="148">
        <v>10</v>
      </c>
      <c r="J981" s="148" t="s">
        <v>118</v>
      </c>
      <c r="K981" s="148" t="s">
        <v>327</v>
      </c>
      <c r="M981" s="148" t="s">
        <v>82</v>
      </c>
      <c r="N981" s="148">
        <v>8</v>
      </c>
      <c r="O981" s="148" t="s">
        <v>101</v>
      </c>
      <c r="P981" s="148" t="s">
        <v>537</v>
      </c>
      <c r="Y981" s="150" t="s">
        <v>366</v>
      </c>
    </row>
    <row r="982" spans="1:25" ht="15.75" hidden="1" customHeight="1" x14ac:dyDescent="0.25">
      <c r="A982" s="148" t="s">
        <v>76</v>
      </c>
      <c r="B982" s="148" t="s">
        <v>103</v>
      </c>
      <c r="C982" s="148" t="s">
        <v>55</v>
      </c>
      <c r="D982" s="148" t="s">
        <v>490</v>
      </c>
      <c r="E982" s="148" t="s">
        <v>95</v>
      </c>
      <c r="F982" s="148" t="s">
        <v>56</v>
      </c>
      <c r="G982" s="148" t="s">
        <v>168</v>
      </c>
      <c r="H982" s="148">
        <v>2008</v>
      </c>
      <c r="I982" s="148">
        <v>10</v>
      </c>
      <c r="J982" s="148" t="s">
        <v>150</v>
      </c>
      <c r="K982" s="148" t="s">
        <v>779</v>
      </c>
      <c r="M982" s="148" t="s">
        <v>395</v>
      </c>
      <c r="N982" s="148">
        <v>6</v>
      </c>
      <c r="O982" s="148" t="s">
        <v>83</v>
      </c>
      <c r="Y982" s="150" t="s">
        <v>366</v>
      </c>
    </row>
    <row r="983" spans="1:25" ht="15.75" customHeight="1" x14ac:dyDescent="0.25">
      <c r="A983" s="148" t="s">
        <v>76</v>
      </c>
      <c r="B983" s="148" t="s">
        <v>36</v>
      </c>
      <c r="C983" s="148" t="s">
        <v>28</v>
      </c>
      <c r="D983" s="148" t="s">
        <v>29</v>
      </c>
      <c r="E983" s="148" t="s">
        <v>30</v>
      </c>
      <c r="F983" s="148" t="s">
        <v>3183</v>
      </c>
      <c r="G983" s="148" t="s">
        <v>194</v>
      </c>
      <c r="H983" s="148">
        <v>2008</v>
      </c>
      <c r="I983" s="148">
        <v>10</v>
      </c>
      <c r="J983" s="148" t="s">
        <v>118</v>
      </c>
      <c r="K983" s="148" t="s">
        <v>327</v>
      </c>
      <c r="M983" s="148" t="s">
        <v>82</v>
      </c>
      <c r="N983" s="148">
        <v>8</v>
      </c>
      <c r="O983" s="148" t="s">
        <v>101</v>
      </c>
      <c r="P983" s="148" t="s">
        <v>146</v>
      </c>
      <c r="Y983" s="150" t="s">
        <v>782</v>
      </c>
    </row>
    <row r="984" spans="1:25" ht="13.5" hidden="1" customHeight="1" x14ac:dyDescent="0.25">
      <c r="A984" s="148" t="s">
        <v>76</v>
      </c>
      <c r="B984" s="148" t="s">
        <v>62</v>
      </c>
      <c r="C984" s="148" t="s">
        <v>28</v>
      </c>
      <c r="D984" s="148" t="s">
        <v>86</v>
      </c>
      <c r="E984" s="148" t="s">
        <v>51</v>
      </c>
      <c r="F984" s="148" t="s">
        <v>3183</v>
      </c>
      <c r="G984" s="148" t="s">
        <v>130</v>
      </c>
      <c r="H984" s="148">
        <v>2008</v>
      </c>
      <c r="I984" s="148">
        <v>10</v>
      </c>
      <c r="J984" s="148" t="s">
        <v>150</v>
      </c>
      <c r="K984" s="148" t="s">
        <v>629</v>
      </c>
      <c r="M984" s="148" t="s">
        <v>120</v>
      </c>
      <c r="N984" s="148">
        <v>6</v>
      </c>
      <c r="O984" s="148" t="s">
        <v>83</v>
      </c>
      <c r="Y984" s="150" t="s">
        <v>366</v>
      </c>
    </row>
    <row r="985" spans="1:25" ht="13.5" hidden="1" customHeight="1" x14ac:dyDescent="0.25">
      <c r="A985" s="148" t="s">
        <v>76</v>
      </c>
      <c r="B985" s="148" t="s">
        <v>103</v>
      </c>
      <c r="C985" s="148" t="s">
        <v>55</v>
      </c>
      <c r="D985" s="148" t="s">
        <v>29</v>
      </c>
      <c r="E985" s="148" t="s">
        <v>30</v>
      </c>
      <c r="F985" s="148" t="s">
        <v>56</v>
      </c>
      <c r="G985" s="148" t="s">
        <v>432</v>
      </c>
      <c r="H985" s="148">
        <v>2008</v>
      </c>
      <c r="I985" s="148">
        <v>10</v>
      </c>
      <c r="J985" s="148" t="s">
        <v>118</v>
      </c>
      <c r="K985" s="148" t="s">
        <v>327</v>
      </c>
      <c r="M985" s="148" t="s">
        <v>82</v>
      </c>
      <c r="N985" s="148">
        <v>8</v>
      </c>
      <c r="O985" s="148" t="s">
        <v>101</v>
      </c>
      <c r="P985" s="148" t="s">
        <v>649</v>
      </c>
      <c r="Y985" s="150" t="s">
        <v>366</v>
      </c>
    </row>
    <row r="986" spans="1:25" ht="15.75" hidden="1" customHeight="1" x14ac:dyDescent="0.25">
      <c r="A986" s="148" t="s">
        <v>76</v>
      </c>
      <c r="B986" s="148" t="s">
        <v>116</v>
      </c>
      <c r="C986" s="148" t="s">
        <v>90</v>
      </c>
      <c r="D986" s="148" t="s">
        <v>29</v>
      </c>
      <c r="E986" s="148" t="s">
        <v>30</v>
      </c>
      <c r="F986" s="148" t="s">
        <v>41</v>
      </c>
      <c r="G986" s="148" t="s">
        <v>476</v>
      </c>
      <c r="H986" s="148">
        <v>2008</v>
      </c>
      <c r="I986" s="148">
        <v>10</v>
      </c>
      <c r="J986" s="148" t="s">
        <v>150</v>
      </c>
      <c r="K986" s="148" t="s">
        <v>685</v>
      </c>
      <c r="M986" s="148" t="s">
        <v>686</v>
      </c>
      <c r="N986" s="148">
        <v>6</v>
      </c>
      <c r="O986" s="148" t="s">
        <v>83</v>
      </c>
      <c r="Y986" s="150" t="s">
        <v>366</v>
      </c>
    </row>
    <row r="987" spans="1:25" ht="15.75" hidden="1" customHeight="1" x14ac:dyDescent="0.25">
      <c r="A987" s="148" t="s">
        <v>76</v>
      </c>
      <c r="B987" s="148" t="s">
        <v>89</v>
      </c>
      <c r="C987" s="148" t="s">
        <v>90</v>
      </c>
      <c r="D987" s="148" t="s">
        <v>29</v>
      </c>
      <c r="E987" s="148" t="s">
        <v>30</v>
      </c>
      <c r="F987" s="148" t="s">
        <v>91</v>
      </c>
      <c r="G987" s="148" t="s">
        <v>93</v>
      </c>
      <c r="H987" s="148">
        <v>2008</v>
      </c>
      <c r="I987" s="148">
        <v>10</v>
      </c>
      <c r="J987" s="148" t="s">
        <v>150</v>
      </c>
      <c r="K987" s="148" t="s">
        <v>610</v>
      </c>
      <c r="M987" s="148" t="s">
        <v>611</v>
      </c>
      <c r="N987" s="148">
        <v>8</v>
      </c>
      <c r="O987" s="148" t="s">
        <v>83</v>
      </c>
      <c r="Y987" s="150" t="s">
        <v>366</v>
      </c>
    </row>
    <row r="988" spans="1:25" ht="15.75" hidden="1" customHeight="1" x14ac:dyDescent="0.25">
      <c r="A988" s="148" t="s">
        <v>76</v>
      </c>
      <c r="B988" s="148" t="s">
        <v>89</v>
      </c>
      <c r="C988" s="148" t="s">
        <v>90</v>
      </c>
      <c r="D988" s="148" t="s">
        <v>29</v>
      </c>
      <c r="E988" s="148" t="s">
        <v>30</v>
      </c>
      <c r="F988" s="148" t="s">
        <v>91</v>
      </c>
      <c r="G988" s="148" t="s">
        <v>451</v>
      </c>
      <c r="H988" s="148">
        <v>2008</v>
      </c>
      <c r="I988" s="148">
        <v>10</v>
      </c>
      <c r="J988" s="148" t="s">
        <v>150</v>
      </c>
      <c r="K988" s="148" t="s">
        <v>610</v>
      </c>
      <c r="M988" s="148" t="s">
        <v>611</v>
      </c>
      <c r="N988" s="148">
        <v>8</v>
      </c>
      <c r="O988" s="148" t="s">
        <v>83</v>
      </c>
      <c r="Y988" s="150" t="s">
        <v>366</v>
      </c>
    </row>
    <row r="989" spans="1:25" ht="15.75" hidden="1" customHeight="1" x14ac:dyDescent="0.25">
      <c r="A989" s="148" t="s">
        <v>76</v>
      </c>
      <c r="B989" s="148" t="s">
        <v>198</v>
      </c>
      <c r="C989" s="148" t="s">
        <v>45</v>
      </c>
      <c r="D989" s="148" t="s">
        <v>99</v>
      </c>
      <c r="E989" s="148" t="s">
        <v>40</v>
      </c>
      <c r="F989" s="148" t="s">
        <v>199</v>
      </c>
      <c r="G989" s="148" t="s">
        <v>282</v>
      </c>
      <c r="H989" s="148">
        <v>2008</v>
      </c>
      <c r="I989" s="148">
        <v>11</v>
      </c>
      <c r="J989" s="148" t="s">
        <v>150</v>
      </c>
      <c r="K989" s="148" t="s">
        <v>715</v>
      </c>
      <c r="M989" s="148" t="s">
        <v>574</v>
      </c>
      <c r="N989" s="148">
        <v>6</v>
      </c>
      <c r="O989" s="148" t="s">
        <v>83</v>
      </c>
      <c r="Y989" s="150" t="s">
        <v>366</v>
      </c>
    </row>
    <row r="990" spans="1:25" ht="15.75" hidden="1" customHeight="1" x14ac:dyDescent="0.25">
      <c r="A990" s="148" t="s">
        <v>76</v>
      </c>
      <c r="B990" s="148" t="s">
        <v>116</v>
      </c>
      <c r="C990" s="148" t="s">
        <v>90</v>
      </c>
      <c r="D990" s="148" t="s">
        <v>516</v>
      </c>
      <c r="E990" s="148" t="s">
        <v>40</v>
      </c>
      <c r="F990" s="148" t="s">
        <v>41</v>
      </c>
      <c r="G990" s="148" t="s">
        <v>783</v>
      </c>
      <c r="H990" s="148">
        <v>2008</v>
      </c>
      <c r="I990" s="148">
        <v>11</v>
      </c>
      <c r="J990" s="148" t="s">
        <v>150</v>
      </c>
      <c r="K990" s="148" t="s">
        <v>327</v>
      </c>
      <c r="M990" s="148" t="s">
        <v>82</v>
      </c>
      <c r="N990" s="148">
        <v>8</v>
      </c>
      <c r="O990" s="148" t="s">
        <v>83</v>
      </c>
      <c r="Y990" s="150" t="s">
        <v>366</v>
      </c>
    </row>
    <row r="991" spans="1:25" ht="15.75" hidden="1" customHeight="1" x14ac:dyDescent="0.25">
      <c r="A991" s="148" t="s">
        <v>76</v>
      </c>
      <c r="B991" s="148" t="s">
        <v>198</v>
      </c>
      <c r="C991" s="148" t="s">
        <v>45</v>
      </c>
      <c r="D991" s="148" t="s">
        <v>478</v>
      </c>
      <c r="E991" s="148" t="s">
        <v>30</v>
      </c>
      <c r="F991" s="148" t="s">
        <v>199</v>
      </c>
      <c r="G991" s="148" t="s">
        <v>208</v>
      </c>
      <c r="H991" s="148">
        <v>2008</v>
      </c>
      <c r="I991" s="148">
        <v>11</v>
      </c>
      <c r="J991" s="148" t="s">
        <v>150</v>
      </c>
      <c r="K991" s="148" t="s">
        <v>388</v>
      </c>
      <c r="M991" s="148" t="s">
        <v>126</v>
      </c>
      <c r="N991" s="148">
        <v>10</v>
      </c>
      <c r="O991" s="148" t="s">
        <v>83</v>
      </c>
      <c r="Y991" s="150" t="s">
        <v>366</v>
      </c>
    </row>
    <row r="992" spans="1:25" ht="13.5" hidden="1" customHeight="1" x14ac:dyDescent="0.25">
      <c r="A992" s="148" t="s">
        <v>76</v>
      </c>
      <c r="B992" s="148" t="s">
        <v>103</v>
      </c>
      <c r="C992" s="148" t="s">
        <v>55</v>
      </c>
      <c r="D992" s="148" t="s">
        <v>29</v>
      </c>
      <c r="E992" s="148" t="s">
        <v>30</v>
      </c>
      <c r="F992" s="148" t="s">
        <v>56</v>
      </c>
      <c r="G992" s="148" t="s">
        <v>382</v>
      </c>
      <c r="H992" s="148">
        <v>2008</v>
      </c>
      <c r="I992" s="148">
        <v>11</v>
      </c>
      <c r="J992" s="148" t="s">
        <v>118</v>
      </c>
      <c r="K992" s="148" t="s">
        <v>388</v>
      </c>
      <c r="M992" s="148" t="s">
        <v>126</v>
      </c>
      <c r="N992" s="148">
        <v>10</v>
      </c>
      <c r="O992" s="148" t="s">
        <v>101</v>
      </c>
      <c r="P992" s="148" t="s">
        <v>435</v>
      </c>
      <c r="Y992" s="150" t="s">
        <v>366</v>
      </c>
    </row>
    <row r="993" spans="1:25" ht="15.75" hidden="1" customHeight="1" x14ac:dyDescent="0.25">
      <c r="A993" s="148" t="s">
        <v>76</v>
      </c>
      <c r="B993" s="148" t="s">
        <v>198</v>
      </c>
      <c r="C993" s="148" t="s">
        <v>45</v>
      </c>
      <c r="D993" s="148" t="s">
        <v>94</v>
      </c>
      <c r="E993" s="148" t="s">
        <v>30</v>
      </c>
      <c r="F993" s="148" t="s">
        <v>199</v>
      </c>
      <c r="G993" s="148" t="s">
        <v>296</v>
      </c>
      <c r="H993" s="148">
        <v>2008</v>
      </c>
      <c r="I993" s="148">
        <v>11</v>
      </c>
      <c r="J993" s="148" t="s">
        <v>150</v>
      </c>
      <c r="K993" s="148" t="s">
        <v>388</v>
      </c>
      <c r="M993" s="148" t="s">
        <v>126</v>
      </c>
      <c r="N993" s="148">
        <v>10</v>
      </c>
      <c r="O993" s="148" t="s">
        <v>83</v>
      </c>
      <c r="Y993" s="150" t="s">
        <v>366</v>
      </c>
    </row>
    <row r="994" spans="1:25" ht="15.75" hidden="1" customHeight="1" x14ac:dyDescent="0.25">
      <c r="A994" s="148" t="s">
        <v>76</v>
      </c>
      <c r="B994" s="148" t="s">
        <v>89</v>
      </c>
      <c r="C994" s="148" t="s">
        <v>90</v>
      </c>
      <c r="D994" s="148" t="s">
        <v>29</v>
      </c>
      <c r="E994" s="148" t="s">
        <v>30</v>
      </c>
      <c r="F994" s="148" t="s">
        <v>91</v>
      </c>
      <c r="G994" s="148" t="s">
        <v>443</v>
      </c>
      <c r="H994" s="148">
        <v>2008</v>
      </c>
      <c r="I994" s="148">
        <v>11</v>
      </c>
      <c r="J994" s="148" t="s">
        <v>150</v>
      </c>
      <c r="K994" s="148" t="s">
        <v>725</v>
      </c>
      <c r="M994" s="148" t="s">
        <v>464</v>
      </c>
      <c r="N994" s="148">
        <v>6</v>
      </c>
      <c r="O994" s="148" t="s">
        <v>83</v>
      </c>
      <c r="Y994" s="150" t="s">
        <v>366</v>
      </c>
    </row>
    <row r="995" spans="1:25" ht="13.5" hidden="1" customHeight="1" x14ac:dyDescent="0.25">
      <c r="A995" s="148" t="s">
        <v>76</v>
      </c>
      <c r="B995" s="148" t="s">
        <v>103</v>
      </c>
      <c r="C995" s="148" t="s">
        <v>55</v>
      </c>
      <c r="D995" s="148" t="s">
        <v>29</v>
      </c>
      <c r="E995" s="148" t="s">
        <v>95</v>
      </c>
      <c r="F995" s="148" t="s">
        <v>56</v>
      </c>
      <c r="G995" s="148" t="s">
        <v>104</v>
      </c>
      <c r="H995" s="148">
        <v>2008</v>
      </c>
      <c r="I995" s="148">
        <v>11</v>
      </c>
      <c r="J995" s="148" t="s">
        <v>118</v>
      </c>
      <c r="K995" s="148" t="s">
        <v>327</v>
      </c>
      <c r="M995" s="148" t="s">
        <v>82</v>
      </c>
      <c r="N995" s="148">
        <v>8</v>
      </c>
      <c r="O995" s="148" t="s">
        <v>101</v>
      </c>
      <c r="P995" s="148" t="s">
        <v>753</v>
      </c>
      <c r="Y995" s="150" t="s">
        <v>366</v>
      </c>
    </row>
    <row r="996" spans="1:25" ht="15.75" hidden="1" customHeight="1" x14ac:dyDescent="0.25">
      <c r="A996" s="148" t="s">
        <v>76</v>
      </c>
      <c r="B996" s="148" t="s">
        <v>27</v>
      </c>
      <c r="C996" s="148" t="s">
        <v>28</v>
      </c>
      <c r="D996" s="148" t="s">
        <v>566</v>
      </c>
      <c r="E996" s="148" t="s">
        <v>30</v>
      </c>
      <c r="F996" s="148" t="s">
        <v>3183</v>
      </c>
      <c r="G996" s="148" t="s">
        <v>53</v>
      </c>
      <c r="H996" s="148">
        <v>2008</v>
      </c>
      <c r="I996" s="148">
        <v>11</v>
      </c>
      <c r="J996" s="148" t="s">
        <v>150</v>
      </c>
      <c r="K996" s="148" t="s">
        <v>520</v>
      </c>
      <c r="M996" s="148" t="s">
        <v>701</v>
      </c>
      <c r="N996" s="148">
        <v>8</v>
      </c>
      <c r="O996" s="148" t="s">
        <v>83</v>
      </c>
      <c r="Y996" s="150" t="s">
        <v>366</v>
      </c>
    </row>
    <row r="997" spans="1:25" ht="15.75" hidden="1" customHeight="1" x14ac:dyDescent="0.25">
      <c r="A997" s="148" t="s">
        <v>76</v>
      </c>
      <c r="B997" s="148" t="s">
        <v>62</v>
      </c>
      <c r="C997" s="148" t="s">
        <v>28</v>
      </c>
      <c r="D997" s="148" t="s">
        <v>759</v>
      </c>
      <c r="E997" s="148" t="s">
        <v>51</v>
      </c>
      <c r="F997" s="148" t="s">
        <v>3183</v>
      </c>
      <c r="G997" s="148" t="s">
        <v>409</v>
      </c>
      <c r="H997" s="148">
        <v>2008</v>
      </c>
      <c r="I997" s="148">
        <v>11</v>
      </c>
      <c r="J997" s="148" t="s">
        <v>150</v>
      </c>
      <c r="K997" s="148" t="s">
        <v>520</v>
      </c>
      <c r="M997" s="148" t="s">
        <v>701</v>
      </c>
      <c r="N997" s="148">
        <v>8</v>
      </c>
      <c r="O997" s="148" t="s">
        <v>83</v>
      </c>
      <c r="Y997" s="150" t="s">
        <v>366</v>
      </c>
    </row>
    <row r="998" spans="1:25" ht="15.75" hidden="1" customHeight="1" x14ac:dyDescent="0.25">
      <c r="A998" s="148" t="s">
        <v>76</v>
      </c>
      <c r="B998" s="148" t="s">
        <v>36</v>
      </c>
      <c r="C998" s="148" t="s">
        <v>28</v>
      </c>
      <c r="D998" s="148" t="s">
        <v>158</v>
      </c>
      <c r="E998" s="148" t="s">
        <v>30</v>
      </c>
      <c r="F998" s="148" t="s">
        <v>3183</v>
      </c>
      <c r="G998" s="148" t="s">
        <v>242</v>
      </c>
      <c r="H998" s="148">
        <v>2008</v>
      </c>
      <c r="I998" s="148">
        <v>11</v>
      </c>
      <c r="J998" s="148" t="s">
        <v>150</v>
      </c>
      <c r="K998" s="148" t="s">
        <v>629</v>
      </c>
      <c r="M998" s="148" t="s">
        <v>120</v>
      </c>
      <c r="N998" s="148">
        <v>6</v>
      </c>
      <c r="O998" s="148" t="s">
        <v>83</v>
      </c>
      <c r="Y998" s="150" t="s">
        <v>366</v>
      </c>
    </row>
    <row r="999" spans="1:25" ht="13.5" hidden="1" customHeight="1" x14ac:dyDescent="0.25">
      <c r="A999" s="148" t="s">
        <v>76</v>
      </c>
      <c r="B999" s="148" t="s">
        <v>44</v>
      </c>
      <c r="C999" s="148" t="s">
        <v>45</v>
      </c>
      <c r="D999" s="148" t="s">
        <v>86</v>
      </c>
      <c r="E999" s="148" t="s">
        <v>30</v>
      </c>
      <c r="F999" s="148" t="s">
        <v>47</v>
      </c>
      <c r="G999" s="148" t="s">
        <v>377</v>
      </c>
      <c r="H999" s="148">
        <v>2008</v>
      </c>
      <c r="I999" s="148">
        <v>11</v>
      </c>
      <c r="J999" s="148" t="s">
        <v>150</v>
      </c>
      <c r="K999" s="148" t="s">
        <v>555</v>
      </c>
      <c r="M999" s="148" t="s">
        <v>246</v>
      </c>
      <c r="N999" s="148">
        <v>6</v>
      </c>
      <c r="O999" s="148" t="s">
        <v>83</v>
      </c>
      <c r="Y999" s="150" t="s">
        <v>366</v>
      </c>
    </row>
    <row r="1000" spans="1:25" ht="15.75" hidden="1" customHeight="1" x14ac:dyDescent="0.25">
      <c r="A1000" s="148" t="s">
        <v>76</v>
      </c>
      <c r="B1000" s="148" t="s">
        <v>89</v>
      </c>
      <c r="C1000" s="148" t="s">
        <v>90</v>
      </c>
      <c r="D1000" s="148" t="s">
        <v>29</v>
      </c>
      <c r="E1000" s="148" t="s">
        <v>40</v>
      </c>
      <c r="F1000" s="148" t="s">
        <v>91</v>
      </c>
      <c r="G1000" s="148" t="s">
        <v>142</v>
      </c>
      <c r="H1000" s="148">
        <v>2008</v>
      </c>
      <c r="I1000" s="148">
        <v>11</v>
      </c>
      <c r="J1000" s="148" t="s">
        <v>150</v>
      </c>
      <c r="K1000" s="148" t="s">
        <v>725</v>
      </c>
      <c r="M1000" s="148" t="s">
        <v>464</v>
      </c>
      <c r="N1000" s="148">
        <v>6</v>
      </c>
      <c r="O1000" s="148" t="s">
        <v>83</v>
      </c>
      <c r="Y1000" s="150" t="s">
        <v>366</v>
      </c>
    </row>
    <row r="1001" spans="1:25" ht="15.75" hidden="1" customHeight="1" x14ac:dyDescent="0.25">
      <c r="A1001" s="148" t="s">
        <v>76</v>
      </c>
      <c r="B1001" s="148" t="s">
        <v>116</v>
      </c>
      <c r="C1001" s="148" t="s">
        <v>90</v>
      </c>
      <c r="D1001" s="148" t="s">
        <v>29</v>
      </c>
      <c r="E1001" s="148" t="s">
        <v>30</v>
      </c>
      <c r="F1001" s="148" t="s">
        <v>41</v>
      </c>
      <c r="G1001" s="148" t="s">
        <v>784</v>
      </c>
      <c r="H1001" s="148">
        <v>2008</v>
      </c>
      <c r="I1001" s="148">
        <v>11</v>
      </c>
      <c r="J1001" s="148" t="s">
        <v>150</v>
      </c>
      <c r="K1001" s="148" t="s">
        <v>327</v>
      </c>
      <c r="M1001" s="148" t="s">
        <v>82</v>
      </c>
      <c r="N1001" s="148">
        <v>8</v>
      </c>
      <c r="O1001" s="148" t="s">
        <v>83</v>
      </c>
      <c r="Y1001" s="150" t="s">
        <v>366</v>
      </c>
    </row>
    <row r="1002" spans="1:25" ht="15.75" hidden="1" customHeight="1" x14ac:dyDescent="0.25">
      <c r="A1002" s="148" t="s">
        <v>76</v>
      </c>
      <c r="B1002" s="148" t="s">
        <v>116</v>
      </c>
      <c r="C1002" s="148" t="s">
        <v>90</v>
      </c>
      <c r="D1002" s="148" t="s">
        <v>29</v>
      </c>
      <c r="E1002" s="148" t="s">
        <v>30</v>
      </c>
      <c r="F1002" s="148" t="s">
        <v>41</v>
      </c>
      <c r="G1002" s="148" t="s">
        <v>653</v>
      </c>
      <c r="H1002" s="148">
        <v>2008</v>
      </c>
      <c r="I1002" s="148">
        <v>11</v>
      </c>
      <c r="J1002" s="148" t="s">
        <v>150</v>
      </c>
      <c r="K1002" s="148" t="s">
        <v>327</v>
      </c>
      <c r="M1002" s="148" t="s">
        <v>82</v>
      </c>
      <c r="N1002" s="148">
        <v>8</v>
      </c>
      <c r="O1002" s="148" t="s">
        <v>83</v>
      </c>
      <c r="Y1002" s="150" t="s">
        <v>366</v>
      </c>
    </row>
    <row r="1003" spans="1:25" ht="15.75" hidden="1" customHeight="1" x14ac:dyDescent="0.25">
      <c r="A1003" s="148" t="s">
        <v>76</v>
      </c>
      <c r="B1003" s="148" t="s">
        <v>103</v>
      </c>
      <c r="C1003" s="148" t="s">
        <v>55</v>
      </c>
      <c r="D1003" s="148" t="s">
        <v>490</v>
      </c>
      <c r="E1003" s="148" t="s">
        <v>95</v>
      </c>
      <c r="F1003" s="148" t="s">
        <v>56</v>
      </c>
      <c r="G1003" s="148" t="s">
        <v>168</v>
      </c>
      <c r="H1003" s="148">
        <v>2008</v>
      </c>
      <c r="I1003" s="148">
        <v>11</v>
      </c>
      <c r="J1003" s="148" t="s">
        <v>118</v>
      </c>
      <c r="K1003" s="148" t="s">
        <v>379</v>
      </c>
      <c r="M1003" s="148" t="s">
        <v>126</v>
      </c>
      <c r="N1003" s="148">
        <v>10</v>
      </c>
      <c r="O1003" s="148" t="s">
        <v>101</v>
      </c>
      <c r="P1003" s="148" t="s">
        <v>435</v>
      </c>
      <c r="Y1003" s="150" t="s">
        <v>366</v>
      </c>
    </row>
    <row r="1004" spans="1:25" ht="15.75" hidden="1" customHeight="1" x14ac:dyDescent="0.25">
      <c r="A1004" s="148" t="s">
        <v>76</v>
      </c>
      <c r="B1004" s="148" t="s">
        <v>103</v>
      </c>
      <c r="C1004" s="148" t="s">
        <v>55</v>
      </c>
      <c r="D1004" s="148" t="s">
        <v>29</v>
      </c>
      <c r="E1004" s="148" t="s">
        <v>30</v>
      </c>
      <c r="F1004" s="148" t="s">
        <v>56</v>
      </c>
      <c r="G1004" s="148" t="s">
        <v>519</v>
      </c>
      <c r="H1004" s="148">
        <v>2008</v>
      </c>
      <c r="I1004" s="148">
        <v>11</v>
      </c>
      <c r="J1004" s="148" t="s">
        <v>118</v>
      </c>
      <c r="K1004" s="148" t="s">
        <v>327</v>
      </c>
      <c r="M1004" s="148" t="s">
        <v>82</v>
      </c>
      <c r="N1004" s="148">
        <v>8</v>
      </c>
      <c r="O1004" s="148" t="s">
        <v>101</v>
      </c>
      <c r="P1004" s="148" t="s">
        <v>146</v>
      </c>
      <c r="Y1004" s="150" t="s">
        <v>366</v>
      </c>
    </row>
    <row r="1005" spans="1:25" ht="15.75" hidden="1" customHeight="1" x14ac:dyDescent="0.25">
      <c r="A1005" s="148" t="s">
        <v>76</v>
      </c>
      <c r="B1005" s="148" t="s">
        <v>62</v>
      </c>
      <c r="C1005" s="148" t="s">
        <v>28</v>
      </c>
      <c r="D1005" s="148" t="s">
        <v>86</v>
      </c>
      <c r="E1005" s="148" t="s">
        <v>51</v>
      </c>
      <c r="F1005" s="148" t="s">
        <v>3183</v>
      </c>
      <c r="G1005" s="148" t="s">
        <v>130</v>
      </c>
      <c r="H1005" s="148">
        <v>2008</v>
      </c>
      <c r="I1005" s="148">
        <v>11</v>
      </c>
      <c r="J1005" s="148" t="s">
        <v>150</v>
      </c>
      <c r="K1005" s="148" t="s">
        <v>520</v>
      </c>
      <c r="M1005" s="148" t="s">
        <v>701</v>
      </c>
      <c r="N1005" s="148">
        <v>8</v>
      </c>
      <c r="O1005" s="148" t="s">
        <v>83</v>
      </c>
      <c r="Y1005" s="150" t="s">
        <v>366</v>
      </c>
    </row>
    <row r="1006" spans="1:25" ht="15.75" hidden="1" customHeight="1" x14ac:dyDescent="0.25">
      <c r="A1006" s="148" t="s">
        <v>76</v>
      </c>
      <c r="B1006" s="148" t="s">
        <v>89</v>
      </c>
      <c r="C1006" s="148" t="s">
        <v>90</v>
      </c>
      <c r="D1006" s="148" t="s">
        <v>29</v>
      </c>
      <c r="E1006" s="148" t="s">
        <v>30</v>
      </c>
      <c r="F1006" s="148" t="s">
        <v>91</v>
      </c>
      <c r="G1006" s="148" t="s">
        <v>93</v>
      </c>
      <c r="H1006" s="148">
        <v>2008</v>
      </c>
      <c r="I1006" s="148">
        <v>11</v>
      </c>
      <c r="J1006" s="148" t="s">
        <v>150</v>
      </c>
      <c r="K1006" s="148" t="s">
        <v>725</v>
      </c>
      <c r="M1006" s="148" t="s">
        <v>464</v>
      </c>
      <c r="N1006" s="148">
        <v>6</v>
      </c>
      <c r="O1006" s="148" t="s">
        <v>83</v>
      </c>
      <c r="Y1006" s="150" t="s">
        <v>366</v>
      </c>
    </row>
    <row r="1007" spans="1:25" ht="15.75" hidden="1" customHeight="1" x14ac:dyDescent="0.25">
      <c r="A1007" s="148" t="s">
        <v>76</v>
      </c>
      <c r="B1007" s="148" t="s">
        <v>36</v>
      </c>
      <c r="C1007" s="148" t="s">
        <v>28</v>
      </c>
      <c r="D1007" s="148" t="s">
        <v>99</v>
      </c>
      <c r="E1007" s="148" t="s">
        <v>51</v>
      </c>
      <c r="F1007" s="148" t="s">
        <v>3183</v>
      </c>
      <c r="G1007" s="148" t="s">
        <v>52</v>
      </c>
      <c r="H1007" s="148">
        <v>2008</v>
      </c>
      <c r="I1007" s="148">
        <v>11</v>
      </c>
      <c r="J1007" s="148" t="s">
        <v>150</v>
      </c>
      <c r="K1007" s="148" t="s">
        <v>520</v>
      </c>
      <c r="M1007" s="148" t="s">
        <v>701</v>
      </c>
      <c r="N1007" s="148">
        <v>8</v>
      </c>
      <c r="O1007" s="148" t="s">
        <v>83</v>
      </c>
      <c r="Y1007" s="150" t="s">
        <v>366</v>
      </c>
    </row>
    <row r="1008" spans="1:25" ht="15.75" hidden="1" customHeight="1" x14ac:dyDescent="0.25">
      <c r="A1008" s="148" t="s">
        <v>76</v>
      </c>
      <c r="B1008" s="148" t="s">
        <v>89</v>
      </c>
      <c r="C1008" s="148" t="s">
        <v>90</v>
      </c>
      <c r="D1008" s="148" t="s">
        <v>29</v>
      </c>
      <c r="E1008" s="148" t="s">
        <v>40</v>
      </c>
      <c r="F1008" s="148" t="s">
        <v>91</v>
      </c>
      <c r="G1008" s="148" t="s">
        <v>413</v>
      </c>
      <c r="H1008" s="148">
        <v>2008</v>
      </c>
      <c r="I1008" s="148">
        <v>11</v>
      </c>
      <c r="J1008" s="148" t="s">
        <v>150</v>
      </c>
      <c r="K1008" s="148" t="s">
        <v>725</v>
      </c>
      <c r="M1008" s="148" t="s">
        <v>464</v>
      </c>
      <c r="N1008" s="148">
        <v>6</v>
      </c>
      <c r="O1008" s="148" t="s">
        <v>83</v>
      </c>
      <c r="Y1008" s="150" t="s">
        <v>366</v>
      </c>
    </row>
    <row r="1009" spans="1:25" ht="15.75" hidden="1" customHeight="1" x14ac:dyDescent="0.25">
      <c r="A1009" s="148" t="s">
        <v>76</v>
      </c>
      <c r="B1009" s="148" t="s">
        <v>116</v>
      </c>
      <c r="C1009" s="148" t="s">
        <v>90</v>
      </c>
      <c r="D1009" s="148" t="s">
        <v>29</v>
      </c>
      <c r="E1009" s="148" t="s">
        <v>30</v>
      </c>
      <c r="F1009" s="148" t="s">
        <v>41</v>
      </c>
      <c r="G1009" s="148" t="s">
        <v>503</v>
      </c>
      <c r="H1009" s="148">
        <v>2008</v>
      </c>
      <c r="I1009" s="148">
        <v>11</v>
      </c>
      <c r="J1009" s="148" t="s">
        <v>150</v>
      </c>
      <c r="K1009" s="148" t="s">
        <v>327</v>
      </c>
      <c r="M1009" s="148" t="s">
        <v>82</v>
      </c>
      <c r="N1009" s="148">
        <v>8</v>
      </c>
      <c r="O1009" s="148" t="s">
        <v>83</v>
      </c>
      <c r="Y1009" s="150" t="s">
        <v>366</v>
      </c>
    </row>
    <row r="1010" spans="1:25" ht="15.75" hidden="1" customHeight="1" x14ac:dyDescent="0.25">
      <c r="A1010" s="148" t="s">
        <v>76</v>
      </c>
      <c r="B1010" s="148" t="s">
        <v>198</v>
      </c>
      <c r="C1010" s="148" t="s">
        <v>45</v>
      </c>
      <c r="D1010" s="148" t="s">
        <v>257</v>
      </c>
      <c r="E1010" s="148" t="s">
        <v>30</v>
      </c>
      <c r="F1010" s="148" t="s">
        <v>199</v>
      </c>
      <c r="G1010" s="148" t="s">
        <v>258</v>
      </c>
      <c r="H1010" s="148">
        <v>2008</v>
      </c>
      <c r="I1010" s="148">
        <v>11</v>
      </c>
      <c r="J1010" s="148" t="s">
        <v>150</v>
      </c>
      <c r="K1010" s="148" t="s">
        <v>715</v>
      </c>
      <c r="M1010" s="148" t="s">
        <v>574</v>
      </c>
      <c r="N1010" s="148">
        <v>6</v>
      </c>
      <c r="O1010" s="148" t="s">
        <v>83</v>
      </c>
      <c r="Y1010" s="150" t="s">
        <v>366</v>
      </c>
    </row>
    <row r="1011" spans="1:25" ht="15.75" hidden="1" customHeight="1" x14ac:dyDescent="0.25">
      <c r="A1011" s="148" t="s">
        <v>76</v>
      </c>
      <c r="B1011" s="148" t="s">
        <v>36</v>
      </c>
      <c r="C1011" s="148" t="s">
        <v>28</v>
      </c>
      <c r="D1011" s="148" t="s">
        <v>342</v>
      </c>
      <c r="E1011" s="148" t="s">
        <v>30</v>
      </c>
      <c r="F1011" s="148" t="s">
        <v>3183</v>
      </c>
      <c r="G1011" s="148" t="s">
        <v>114</v>
      </c>
      <c r="H1011" s="148">
        <v>2008</v>
      </c>
      <c r="I1011" s="148">
        <v>11</v>
      </c>
      <c r="J1011" s="148" t="s">
        <v>150</v>
      </c>
      <c r="K1011" s="148" t="s">
        <v>629</v>
      </c>
      <c r="M1011" s="148" t="s">
        <v>120</v>
      </c>
      <c r="N1011" s="148">
        <v>6</v>
      </c>
      <c r="O1011" s="148" t="s">
        <v>83</v>
      </c>
      <c r="Y1011" s="150" t="s">
        <v>366</v>
      </c>
    </row>
    <row r="1012" spans="1:25" ht="15.75" hidden="1" customHeight="1" x14ac:dyDescent="0.25">
      <c r="A1012" s="148" t="s">
        <v>26</v>
      </c>
      <c r="B1012" s="148" t="s">
        <v>36</v>
      </c>
      <c r="C1012" s="148" t="s">
        <v>28</v>
      </c>
      <c r="D1012" s="148" t="s">
        <v>342</v>
      </c>
      <c r="E1012" s="148" t="s">
        <v>30</v>
      </c>
      <c r="F1012" s="148" t="s">
        <v>3183</v>
      </c>
      <c r="G1012" s="148" t="s">
        <v>114</v>
      </c>
      <c r="H1012" s="148">
        <v>2008</v>
      </c>
      <c r="I1012" s="148">
        <v>11</v>
      </c>
      <c r="J1012" s="148" t="s">
        <v>785</v>
      </c>
      <c r="U1012" s="149" t="s">
        <v>112</v>
      </c>
      <c r="V1012" s="148" t="s">
        <v>112</v>
      </c>
      <c r="Y1012" s="150" t="s">
        <v>786</v>
      </c>
    </row>
    <row r="1013" spans="1:25" ht="15.75" hidden="1" customHeight="1" x14ac:dyDescent="0.25">
      <c r="A1013" s="148" t="s">
        <v>76</v>
      </c>
      <c r="B1013" s="148" t="s">
        <v>116</v>
      </c>
      <c r="C1013" s="148" t="s">
        <v>90</v>
      </c>
      <c r="D1013" s="148" t="s">
        <v>29</v>
      </c>
      <c r="E1013" s="148" t="s">
        <v>30</v>
      </c>
      <c r="F1013" s="148" t="s">
        <v>41</v>
      </c>
      <c r="G1013" s="148" t="s">
        <v>683</v>
      </c>
      <c r="H1013" s="148">
        <v>2008</v>
      </c>
      <c r="I1013" s="148">
        <v>11</v>
      </c>
      <c r="J1013" s="148" t="s">
        <v>150</v>
      </c>
      <c r="K1013" s="148" t="s">
        <v>629</v>
      </c>
      <c r="M1013" s="148" t="s">
        <v>120</v>
      </c>
      <c r="N1013" s="148">
        <v>6</v>
      </c>
      <c r="O1013" s="148" t="s">
        <v>83</v>
      </c>
      <c r="Y1013" s="150" t="s">
        <v>366</v>
      </c>
    </row>
    <row r="1014" spans="1:25" ht="15.75" hidden="1" customHeight="1" x14ac:dyDescent="0.25">
      <c r="A1014" s="148" t="s">
        <v>76</v>
      </c>
      <c r="B1014" s="148" t="s">
        <v>103</v>
      </c>
      <c r="C1014" s="148" t="s">
        <v>55</v>
      </c>
      <c r="D1014" s="148" t="s">
        <v>29</v>
      </c>
      <c r="E1014" s="148" t="s">
        <v>30</v>
      </c>
      <c r="F1014" s="148" t="s">
        <v>56</v>
      </c>
      <c r="G1014" s="148" t="s">
        <v>285</v>
      </c>
      <c r="H1014" s="148">
        <v>2008</v>
      </c>
      <c r="I1014" s="148">
        <v>12</v>
      </c>
      <c r="J1014" s="148" t="s">
        <v>118</v>
      </c>
      <c r="K1014" s="148" t="s">
        <v>379</v>
      </c>
      <c r="M1014" s="148" t="s">
        <v>126</v>
      </c>
      <c r="N1014" s="148">
        <v>10</v>
      </c>
      <c r="O1014" s="148" t="s">
        <v>101</v>
      </c>
      <c r="P1014" s="148" t="s">
        <v>146</v>
      </c>
      <c r="Y1014" s="150" t="s">
        <v>366</v>
      </c>
    </row>
    <row r="1015" spans="1:25" ht="15.75" hidden="1" customHeight="1" x14ac:dyDescent="0.25">
      <c r="A1015" s="148" t="s">
        <v>76</v>
      </c>
      <c r="B1015" s="148" t="s">
        <v>103</v>
      </c>
      <c r="C1015" s="148" t="s">
        <v>55</v>
      </c>
      <c r="D1015" s="148" t="s">
        <v>29</v>
      </c>
      <c r="E1015" s="148" t="s">
        <v>30</v>
      </c>
      <c r="F1015" s="148" t="s">
        <v>56</v>
      </c>
      <c r="G1015" s="148" t="s">
        <v>612</v>
      </c>
      <c r="H1015" s="148">
        <v>2008</v>
      </c>
      <c r="I1015" s="148">
        <v>12</v>
      </c>
      <c r="J1015" s="148" t="s">
        <v>118</v>
      </c>
      <c r="K1015" s="148" t="s">
        <v>327</v>
      </c>
      <c r="M1015" s="148" t="s">
        <v>132</v>
      </c>
      <c r="N1015" s="148">
        <v>8</v>
      </c>
      <c r="O1015" s="148" t="s">
        <v>101</v>
      </c>
      <c r="P1015" s="148" t="s">
        <v>787</v>
      </c>
      <c r="Y1015" s="150" t="s">
        <v>366</v>
      </c>
    </row>
    <row r="1016" spans="1:25" ht="15.75" hidden="1" customHeight="1" x14ac:dyDescent="0.25">
      <c r="A1016" s="148" t="s">
        <v>76</v>
      </c>
      <c r="B1016" s="148" t="s">
        <v>198</v>
      </c>
      <c r="C1016" s="148" t="s">
        <v>45</v>
      </c>
      <c r="D1016" s="148" t="s">
        <v>94</v>
      </c>
      <c r="E1016" s="148" t="s">
        <v>30</v>
      </c>
      <c r="F1016" s="148" t="s">
        <v>199</v>
      </c>
      <c r="G1016" s="148" t="s">
        <v>296</v>
      </c>
      <c r="H1016" s="148">
        <v>2008</v>
      </c>
      <c r="I1016" s="148">
        <v>12</v>
      </c>
      <c r="J1016" s="148" t="s">
        <v>150</v>
      </c>
      <c r="K1016" s="148" t="s">
        <v>393</v>
      </c>
      <c r="M1016" s="148" t="s">
        <v>394</v>
      </c>
      <c r="N1016" s="148">
        <v>6</v>
      </c>
      <c r="O1016" s="148" t="s">
        <v>83</v>
      </c>
      <c r="Y1016" s="150" t="s">
        <v>366</v>
      </c>
    </row>
    <row r="1017" spans="1:25" ht="13.5" hidden="1" customHeight="1" x14ac:dyDescent="0.25">
      <c r="A1017" s="148" t="s">
        <v>76</v>
      </c>
      <c r="B1017" s="148" t="s">
        <v>89</v>
      </c>
      <c r="C1017" s="148" t="s">
        <v>90</v>
      </c>
      <c r="D1017" s="148" t="s">
        <v>29</v>
      </c>
      <c r="E1017" s="148" t="s">
        <v>30</v>
      </c>
      <c r="F1017" s="148" t="s">
        <v>91</v>
      </c>
      <c r="G1017" s="148" t="s">
        <v>298</v>
      </c>
      <c r="H1017" s="148">
        <v>2008</v>
      </c>
      <c r="I1017" s="148">
        <v>12</v>
      </c>
      <c r="J1017" s="148" t="s">
        <v>118</v>
      </c>
      <c r="K1017" s="148" t="s">
        <v>768</v>
      </c>
      <c r="M1017" s="148" t="s">
        <v>492</v>
      </c>
      <c r="N1017" s="148">
        <v>5</v>
      </c>
      <c r="O1017" s="148" t="s">
        <v>101</v>
      </c>
      <c r="P1017" s="148" t="s">
        <v>146</v>
      </c>
      <c r="Y1017" s="150" t="s">
        <v>366</v>
      </c>
    </row>
    <row r="1018" spans="1:25" ht="15.75" hidden="1" customHeight="1" x14ac:dyDescent="0.25">
      <c r="A1018" s="148" t="s">
        <v>76</v>
      </c>
      <c r="B1018" s="148" t="s">
        <v>103</v>
      </c>
      <c r="C1018" s="148" t="s">
        <v>55</v>
      </c>
      <c r="D1018" s="148" t="s">
        <v>29</v>
      </c>
      <c r="E1018" s="148" t="s">
        <v>95</v>
      </c>
      <c r="F1018" s="148" t="s">
        <v>56</v>
      </c>
      <c r="G1018" s="148" t="s">
        <v>407</v>
      </c>
      <c r="H1018" s="148">
        <v>2008</v>
      </c>
      <c r="I1018" s="148">
        <v>12</v>
      </c>
      <c r="J1018" s="148" t="s">
        <v>118</v>
      </c>
      <c r="K1018" s="148" t="s">
        <v>455</v>
      </c>
      <c r="M1018" s="148" t="s">
        <v>132</v>
      </c>
      <c r="N1018" s="148">
        <v>8</v>
      </c>
      <c r="O1018" s="148" t="s">
        <v>101</v>
      </c>
      <c r="P1018" s="148" t="s">
        <v>435</v>
      </c>
      <c r="Y1018" s="150" t="s">
        <v>366</v>
      </c>
    </row>
    <row r="1019" spans="1:25" ht="15.75" hidden="1" customHeight="1" x14ac:dyDescent="0.25">
      <c r="A1019" s="148" t="s">
        <v>76</v>
      </c>
      <c r="B1019" s="148" t="s">
        <v>27</v>
      </c>
      <c r="C1019" s="148" t="s">
        <v>28</v>
      </c>
      <c r="D1019" s="148" t="s">
        <v>566</v>
      </c>
      <c r="E1019" s="148" t="s">
        <v>30</v>
      </c>
      <c r="F1019" s="148" t="s">
        <v>3183</v>
      </c>
      <c r="G1019" s="148" t="s">
        <v>53</v>
      </c>
      <c r="H1019" s="148">
        <v>2008</v>
      </c>
      <c r="I1019" s="148">
        <v>12</v>
      </c>
      <c r="J1019" s="148" t="s">
        <v>150</v>
      </c>
      <c r="K1019" s="148" t="s">
        <v>629</v>
      </c>
      <c r="M1019" s="148" t="s">
        <v>120</v>
      </c>
      <c r="N1019" s="148">
        <v>6</v>
      </c>
      <c r="O1019" s="148" t="s">
        <v>83</v>
      </c>
      <c r="Y1019" s="150" t="s">
        <v>366</v>
      </c>
    </row>
    <row r="1020" spans="1:25" ht="15.75" hidden="1" customHeight="1" x14ac:dyDescent="0.25">
      <c r="A1020" s="148" t="s">
        <v>307</v>
      </c>
      <c r="B1020" s="148" t="s">
        <v>27</v>
      </c>
      <c r="C1020" s="148" t="s">
        <v>28</v>
      </c>
      <c r="D1020" s="148" t="s">
        <v>566</v>
      </c>
      <c r="E1020" s="148" t="s">
        <v>30</v>
      </c>
      <c r="F1020" s="148" t="s">
        <v>3183</v>
      </c>
      <c r="G1020" s="148" t="s">
        <v>53</v>
      </c>
      <c r="H1020" s="148">
        <v>2008</v>
      </c>
      <c r="I1020" s="148">
        <v>12</v>
      </c>
      <c r="J1020" s="148" t="s">
        <v>308</v>
      </c>
      <c r="Q1020" s="148" t="s">
        <v>309</v>
      </c>
      <c r="R1020" s="148" t="s">
        <v>788</v>
      </c>
      <c r="S1020" s="148" t="s">
        <v>311</v>
      </c>
      <c r="T1020" s="148" t="s">
        <v>309</v>
      </c>
      <c r="Y1020" s="150" t="s">
        <v>366</v>
      </c>
    </row>
    <row r="1021" spans="1:25" ht="15.75" hidden="1" customHeight="1" x14ac:dyDescent="0.25">
      <c r="A1021" s="148" t="s">
        <v>76</v>
      </c>
      <c r="B1021" s="148" t="s">
        <v>36</v>
      </c>
      <c r="C1021" s="148" t="s">
        <v>28</v>
      </c>
      <c r="D1021" s="148" t="s">
        <v>99</v>
      </c>
      <c r="E1021" s="148" t="s">
        <v>30</v>
      </c>
      <c r="F1021" s="148" t="s">
        <v>3183</v>
      </c>
      <c r="G1021" s="148" t="s">
        <v>59</v>
      </c>
      <c r="H1021" s="148">
        <v>2008</v>
      </c>
      <c r="I1021" s="148">
        <v>12</v>
      </c>
      <c r="J1021" s="148" t="s">
        <v>150</v>
      </c>
      <c r="K1021" s="148" t="s">
        <v>393</v>
      </c>
      <c r="M1021" s="148" t="s">
        <v>394</v>
      </c>
      <c r="N1021" s="148">
        <v>6</v>
      </c>
      <c r="O1021" s="148" t="s">
        <v>83</v>
      </c>
      <c r="Y1021" s="150" t="s">
        <v>366</v>
      </c>
    </row>
    <row r="1022" spans="1:25" ht="15.75" hidden="1" customHeight="1" x14ac:dyDescent="0.25">
      <c r="A1022" s="148" t="s">
        <v>76</v>
      </c>
      <c r="B1022" s="148" t="s">
        <v>116</v>
      </c>
      <c r="C1022" s="148" t="s">
        <v>90</v>
      </c>
      <c r="D1022" s="148" t="s">
        <v>29</v>
      </c>
      <c r="E1022" s="148" t="s">
        <v>40</v>
      </c>
      <c r="F1022" s="148" t="s">
        <v>41</v>
      </c>
      <c r="G1022" s="148" t="s">
        <v>469</v>
      </c>
      <c r="H1022" s="148">
        <v>2008</v>
      </c>
      <c r="I1022" s="148">
        <v>12</v>
      </c>
      <c r="J1022" s="148" t="s">
        <v>150</v>
      </c>
      <c r="K1022" s="148" t="s">
        <v>768</v>
      </c>
      <c r="M1022" s="148" t="s">
        <v>492</v>
      </c>
      <c r="N1022" s="148">
        <v>5</v>
      </c>
      <c r="O1022" s="148" t="s">
        <v>83</v>
      </c>
      <c r="Y1022" s="150" t="s">
        <v>366</v>
      </c>
    </row>
    <row r="1023" spans="1:25" ht="15.75" hidden="1" customHeight="1" x14ac:dyDescent="0.25">
      <c r="A1023" s="148" t="s">
        <v>76</v>
      </c>
      <c r="B1023" s="148" t="s">
        <v>116</v>
      </c>
      <c r="C1023" s="148" t="s">
        <v>90</v>
      </c>
      <c r="D1023" s="148" t="s">
        <v>29</v>
      </c>
      <c r="E1023" s="148" t="s">
        <v>40</v>
      </c>
      <c r="F1023" s="148" t="s">
        <v>41</v>
      </c>
      <c r="G1023" s="148" t="s">
        <v>473</v>
      </c>
      <c r="H1023" s="148">
        <v>2008</v>
      </c>
      <c r="I1023" s="148">
        <v>12</v>
      </c>
      <c r="J1023" s="148" t="s">
        <v>150</v>
      </c>
      <c r="K1023" s="148" t="s">
        <v>692</v>
      </c>
      <c r="M1023" s="148" t="s">
        <v>441</v>
      </c>
      <c r="N1023" s="148">
        <v>6</v>
      </c>
      <c r="O1023" s="148" t="s">
        <v>83</v>
      </c>
      <c r="Y1023" s="150" t="s">
        <v>366</v>
      </c>
    </row>
    <row r="1024" spans="1:25" ht="15.75" hidden="1" customHeight="1" x14ac:dyDescent="0.25">
      <c r="A1024" s="148" t="s">
        <v>76</v>
      </c>
      <c r="B1024" s="148" t="s">
        <v>116</v>
      </c>
      <c r="C1024" s="148" t="s">
        <v>90</v>
      </c>
      <c r="D1024" s="148" t="s">
        <v>29</v>
      </c>
      <c r="E1024" s="148" t="s">
        <v>30</v>
      </c>
      <c r="F1024" s="148" t="s">
        <v>41</v>
      </c>
      <c r="G1024" s="148" t="s">
        <v>513</v>
      </c>
      <c r="H1024" s="148">
        <v>2008</v>
      </c>
      <c r="I1024" s="148">
        <v>12</v>
      </c>
      <c r="J1024" s="148" t="s">
        <v>150</v>
      </c>
      <c r="K1024" s="148" t="s">
        <v>692</v>
      </c>
      <c r="M1024" s="148" t="s">
        <v>441</v>
      </c>
      <c r="N1024" s="148">
        <v>6</v>
      </c>
      <c r="O1024" s="148" t="s">
        <v>83</v>
      </c>
      <c r="Y1024" s="150" t="s">
        <v>366</v>
      </c>
    </row>
    <row r="1025" spans="1:26" ht="15.75" hidden="1" customHeight="1" x14ac:dyDescent="0.25">
      <c r="A1025" s="148" t="s">
        <v>76</v>
      </c>
      <c r="B1025" s="148" t="s">
        <v>103</v>
      </c>
      <c r="C1025" s="148" t="s">
        <v>55</v>
      </c>
      <c r="D1025" s="148" t="s">
        <v>29</v>
      </c>
      <c r="E1025" s="148" t="s">
        <v>30</v>
      </c>
      <c r="F1025" s="148" t="s">
        <v>56</v>
      </c>
      <c r="G1025" s="148" t="s">
        <v>789</v>
      </c>
      <c r="H1025" s="148">
        <v>2008</v>
      </c>
      <c r="I1025" s="148">
        <v>12</v>
      </c>
      <c r="J1025" s="148" t="s">
        <v>150</v>
      </c>
      <c r="K1025" s="148" t="s">
        <v>768</v>
      </c>
      <c r="M1025" s="148" t="s">
        <v>492</v>
      </c>
      <c r="N1025" s="148">
        <v>5</v>
      </c>
      <c r="O1025" s="148" t="s">
        <v>83</v>
      </c>
      <c r="Y1025" s="150" t="s">
        <v>366</v>
      </c>
    </row>
    <row r="1026" spans="1:26" ht="15.75" hidden="1" customHeight="1" x14ac:dyDescent="0.25">
      <c r="A1026" s="148" t="s">
        <v>76</v>
      </c>
      <c r="B1026" s="148" t="s">
        <v>36</v>
      </c>
      <c r="C1026" s="148" t="s">
        <v>28</v>
      </c>
      <c r="D1026" s="148" t="s">
        <v>29</v>
      </c>
      <c r="E1026" s="148" t="s">
        <v>30</v>
      </c>
      <c r="F1026" s="148" t="s">
        <v>3183</v>
      </c>
      <c r="G1026" s="148" t="s">
        <v>37</v>
      </c>
      <c r="H1026" s="148">
        <v>2008</v>
      </c>
      <c r="I1026" s="148">
        <v>12</v>
      </c>
      <c r="J1026" s="148" t="s">
        <v>118</v>
      </c>
      <c r="K1026" s="148" t="s">
        <v>455</v>
      </c>
      <c r="M1026" s="148" t="s">
        <v>132</v>
      </c>
      <c r="N1026" s="148">
        <v>8</v>
      </c>
      <c r="O1026" s="148" t="s">
        <v>101</v>
      </c>
      <c r="P1026" s="148" t="s">
        <v>435</v>
      </c>
      <c r="Y1026" s="150" t="s">
        <v>366</v>
      </c>
    </row>
    <row r="1027" spans="1:26" ht="15.75" hidden="1" customHeight="1" x14ac:dyDescent="0.25">
      <c r="A1027" s="148" t="s">
        <v>76</v>
      </c>
      <c r="B1027" s="148" t="s">
        <v>27</v>
      </c>
      <c r="C1027" s="148" t="s">
        <v>28</v>
      </c>
      <c r="D1027" s="148" t="s">
        <v>3320</v>
      </c>
      <c r="E1027" s="148" t="s">
        <v>30</v>
      </c>
      <c r="F1027" s="148" t="s">
        <v>3183</v>
      </c>
      <c r="G1027" s="148" t="s">
        <v>163</v>
      </c>
      <c r="H1027" s="148">
        <v>2008</v>
      </c>
      <c r="I1027" s="148">
        <v>12</v>
      </c>
      <c r="J1027" s="148" t="s">
        <v>150</v>
      </c>
      <c r="K1027" s="148" t="s">
        <v>629</v>
      </c>
      <c r="M1027" s="148" t="s">
        <v>120</v>
      </c>
      <c r="N1027" s="148">
        <v>6</v>
      </c>
      <c r="O1027" s="148" t="s">
        <v>83</v>
      </c>
      <c r="Y1027" s="150" t="s">
        <v>366</v>
      </c>
      <c r="Z1027" s="148" t="s">
        <v>166</v>
      </c>
    </row>
    <row r="1028" spans="1:26" ht="15.75" hidden="1" customHeight="1" x14ac:dyDescent="0.25">
      <c r="A1028" s="148" t="s">
        <v>76</v>
      </c>
      <c r="B1028" s="148" t="s">
        <v>27</v>
      </c>
      <c r="C1028" s="148" t="s">
        <v>28</v>
      </c>
      <c r="D1028" s="148" t="s">
        <v>99</v>
      </c>
      <c r="E1028" s="148" t="s">
        <v>40</v>
      </c>
      <c r="F1028" s="148" t="s">
        <v>41</v>
      </c>
      <c r="G1028" s="148" t="s">
        <v>42</v>
      </c>
      <c r="H1028" s="148">
        <v>2008</v>
      </c>
      <c r="I1028" s="148">
        <v>12</v>
      </c>
      <c r="J1028" s="148" t="s">
        <v>118</v>
      </c>
      <c r="K1028" s="148" t="s">
        <v>327</v>
      </c>
      <c r="M1028" s="148" t="s">
        <v>82</v>
      </c>
      <c r="N1028" s="148">
        <v>8</v>
      </c>
      <c r="O1028" s="148" t="s">
        <v>101</v>
      </c>
      <c r="P1028" s="148" t="s">
        <v>398</v>
      </c>
      <c r="Y1028" s="150" t="s">
        <v>366</v>
      </c>
    </row>
    <row r="1029" spans="1:26" ht="15.75" hidden="1" customHeight="1" x14ac:dyDescent="0.25">
      <c r="A1029" s="148" t="s">
        <v>76</v>
      </c>
      <c r="B1029" s="148" t="s">
        <v>54</v>
      </c>
      <c r="C1029" s="148" t="s">
        <v>55</v>
      </c>
      <c r="D1029" s="148" t="s">
        <v>65</v>
      </c>
      <c r="E1029" s="148" t="s">
        <v>30</v>
      </c>
      <c r="F1029" s="148" t="s">
        <v>56</v>
      </c>
      <c r="G1029" s="148" t="s">
        <v>54</v>
      </c>
      <c r="H1029" s="148">
        <v>2008</v>
      </c>
      <c r="I1029" s="148">
        <v>12</v>
      </c>
      <c r="J1029" s="148" t="s">
        <v>118</v>
      </c>
      <c r="K1029" s="148" t="s">
        <v>379</v>
      </c>
      <c r="M1029" s="148" t="s">
        <v>126</v>
      </c>
      <c r="N1029" s="148">
        <v>10</v>
      </c>
      <c r="O1029" s="148" t="s">
        <v>101</v>
      </c>
      <c r="P1029" s="148" t="s">
        <v>146</v>
      </c>
      <c r="Y1029" s="150" t="s">
        <v>366</v>
      </c>
    </row>
    <row r="1030" spans="1:26" ht="15.75" customHeight="1" x14ac:dyDescent="0.25">
      <c r="A1030" s="148" t="s">
        <v>76</v>
      </c>
      <c r="B1030" s="148" t="s">
        <v>36</v>
      </c>
      <c r="C1030" s="148" t="s">
        <v>28</v>
      </c>
      <c r="D1030" s="148" t="s">
        <v>29</v>
      </c>
      <c r="E1030" s="148" t="s">
        <v>30</v>
      </c>
      <c r="F1030" s="148" t="s">
        <v>3183</v>
      </c>
      <c r="G1030" s="148" t="s">
        <v>194</v>
      </c>
      <c r="H1030" s="148">
        <v>2008</v>
      </c>
      <c r="I1030" s="148">
        <v>12</v>
      </c>
      <c r="J1030" s="148" t="s">
        <v>118</v>
      </c>
      <c r="K1030" s="148" t="s">
        <v>327</v>
      </c>
      <c r="M1030" s="148" t="s">
        <v>82</v>
      </c>
      <c r="N1030" s="148">
        <v>8</v>
      </c>
      <c r="O1030" s="148" t="s">
        <v>101</v>
      </c>
      <c r="P1030" s="148" t="s">
        <v>435</v>
      </c>
      <c r="Y1030" s="150" t="s">
        <v>366</v>
      </c>
    </row>
    <row r="1031" spans="1:26" ht="15.75" hidden="1" customHeight="1" x14ac:dyDescent="0.25">
      <c r="A1031" s="148" t="s">
        <v>76</v>
      </c>
      <c r="B1031" s="148" t="s">
        <v>44</v>
      </c>
      <c r="C1031" s="148" t="s">
        <v>45</v>
      </c>
      <c r="D1031" s="148" t="s">
        <v>29</v>
      </c>
      <c r="E1031" s="148" t="s">
        <v>46</v>
      </c>
      <c r="F1031" s="148" t="s">
        <v>47</v>
      </c>
      <c r="G1031" s="148" t="s">
        <v>48</v>
      </c>
      <c r="H1031" s="148">
        <v>2008</v>
      </c>
      <c r="I1031" s="148">
        <v>12</v>
      </c>
      <c r="J1031" s="148" t="s">
        <v>118</v>
      </c>
      <c r="K1031" s="148" t="s">
        <v>327</v>
      </c>
      <c r="M1031" s="148" t="s">
        <v>82</v>
      </c>
      <c r="N1031" s="148">
        <v>8</v>
      </c>
      <c r="O1031" s="148" t="s">
        <v>101</v>
      </c>
      <c r="P1031" s="148" t="s">
        <v>485</v>
      </c>
      <c r="Y1031" s="150" t="s">
        <v>366</v>
      </c>
    </row>
    <row r="1032" spans="1:26" ht="15.75" hidden="1" customHeight="1" x14ac:dyDescent="0.25">
      <c r="A1032" s="148" t="s">
        <v>76</v>
      </c>
      <c r="B1032" s="148" t="s">
        <v>36</v>
      </c>
      <c r="C1032" s="148" t="s">
        <v>28</v>
      </c>
      <c r="D1032" s="148" t="s">
        <v>342</v>
      </c>
      <c r="E1032" s="148" t="s">
        <v>30</v>
      </c>
      <c r="F1032" s="148" t="s">
        <v>3183</v>
      </c>
      <c r="G1032" s="148" t="s">
        <v>114</v>
      </c>
      <c r="H1032" s="148">
        <v>2008</v>
      </c>
      <c r="I1032" s="148">
        <v>12</v>
      </c>
      <c r="J1032" s="148" t="s">
        <v>118</v>
      </c>
      <c r="K1032" s="148" t="s">
        <v>327</v>
      </c>
      <c r="M1032" s="148" t="s">
        <v>82</v>
      </c>
      <c r="N1032" s="148">
        <v>6</v>
      </c>
      <c r="O1032" s="148" t="s">
        <v>101</v>
      </c>
      <c r="P1032" s="148" t="s">
        <v>435</v>
      </c>
      <c r="Y1032" s="150" t="s">
        <v>790</v>
      </c>
    </row>
    <row r="1033" spans="1:26" ht="15.75" hidden="1" customHeight="1" x14ac:dyDescent="0.25">
      <c r="A1033" s="148" t="s">
        <v>76</v>
      </c>
      <c r="B1033" s="148" t="s">
        <v>103</v>
      </c>
      <c r="C1033" s="148" t="s">
        <v>55</v>
      </c>
      <c r="D1033" s="148" t="s">
        <v>29</v>
      </c>
      <c r="E1033" s="148" t="s">
        <v>30</v>
      </c>
      <c r="F1033" s="148" t="s">
        <v>56</v>
      </c>
      <c r="G1033" s="148" t="s">
        <v>789</v>
      </c>
      <c r="H1033" s="148">
        <v>2009</v>
      </c>
      <c r="I1033" s="148">
        <v>1</v>
      </c>
      <c r="J1033" s="148" t="s">
        <v>118</v>
      </c>
      <c r="K1033" s="148" t="s">
        <v>455</v>
      </c>
      <c r="M1033" s="148" t="s">
        <v>132</v>
      </c>
      <c r="N1033" s="148">
        <v>8</v>
      </c>
      <c r="O1033" s="148" t="s">
        <v>101</v>
      </c>
      <c r="P1033" s="148" t="s">
        <v>622</v>
      </c>
      <c r="Y1033" s="150" t="s">
        <v>366</v>
      </c>
    </row>
    <row r="1034" spans="1:26" ht="13.5" hidden="1" customHeight="1" x14ac:dyDescent="0.25">
      <c r="A1034" s="148" t="s">
        <v>76</v>
      </c>
      <c r="B1034" s="148" t="s">
        <v>103</v>
      </c>
      <c r="C1034" s="148" t="s">
        <v>55</v>
      </c>
      <c r="D1034" s="148" t="s">
        <v>29</v>
      </c>
      <c r="E1034" s="148" t="s">
        <v>30</v>
      </c>
      <c r="F1034" s="148" t="s">
        <v>56</v>
      </c>
      <c r="G1034" s="148" t="s">
        <v>137</v>
      </c>
      <c r="H1034" s="148">
        <v>2009</v>
      </c>
      <c r="I1034" s="148">
        <v>1</v>
      </c>
      <c r="J1034" s="148" t="s">
        <v>118</v>
      </c>
      <c r="K1034" s="148" t="s">
        <v>327</v>
      </c>
      <c r="M1034" s="148" t="s">
        <v>82</v>
      </c>
      <c r="N1034" s="148">
        <v>8</v>
      </c>
      <c r="O1034" s="148" t="s">
        <v>101</v>
      </c>
      <c r="P1034" s="148" t="s">
        <v>146</v>
      </c>
      <c r="Y1034" s="150" t="s">
        <v>366</v>
      </c>
    </row>
    <row r="1035" spans="1:26" ht="15.75" hidden="1" customHeight="1" x14ac:dyDescent="0.25">
      <c r="A1035" s="148" t="s">
        <v>76</v>
      </c>
      <c r="B1035" s="148" t="s">
        <v>36</v>
      </c>
      <c r="C1035" s="148" t="s">
        <v>28</v>
      </c>
      <c r="D1035" s="148" t="s">
        <v>29</v>
      </c>
      <c r="E1035" s="148" t="s">
        <v>30</v>
      </c>
      <c r="F1035" s="148" t="s">
        <v>3183</v>
      </c>
      <c r="G1035" s="148" t="s">
        <v>211</v>
      </c>
      <c r="H1035" s="148">
        <v>2009</v>
      </c>
      <c r="I1035" s="148">
        <v>2</v>
      </c>
      <c r="J1035" s="148" t="s">
        <v>150</v>
      </c>
      <c r="K1035" s="148" t="s">
        <v>629</v>
      </c>
      <c r="M1035" s="148" t="s">
        <v>120</v>
      </c>
      <c r="N1035" s="148">
        <v>6</v>
      </c>
      <c r="O1035" s="148" t="s">
        <v>83</v>
      </c>
      <c r="Y1035" s="150" t="s">
        <v>366</v>
      </c>
    </row>
    <row r="1036" spans="1:26" ht="15.75" hidden="1" customHeight="1" x14ac:dyDescent="0.25">
      <c r="A1036" s="148" t="s">
        <v>76</v>
      </c>
      <c r="B1036" s="148" t="s">
        <v>116</v>
      </c>
      <c r="C1036" s="148" t="s">
        <v>90</v>
      </c>
      <c r="D1036" s="148" t="s">
        <v>86</v>
      </c>
      <c r="E1036" s="148" t="s">
        <v>40</v>
      </c>
      <c r="F1036" s="148" t="s">
        <v>41</v>
      </c>
      <c r="G1036" s="148" t="s">
        <v>117</v>
      </c>
      <c r="H1036" s="148">
        <v>2009</v>
      </c>
      <c r="I1036" s="148">
        <v>2</v>
      </c>
      <c r="J1036" s="148" t="s">
        <v>118</v>
      </c>
      <c r="K1036" s="148" t="s">
        <v>327</v>
      </c>
      <c r="M1036" s="148" t="s">
        <v>82</v>
      </c>
      <c r="N1036" s="148">
        <v>8</v>
      </c>
      <c r="O1036" s="148" t="s">
        <v>101</v>
      </c>
      <c r="P1036" s="148" t="s">
        <v>537</v>
      </c>
      <c r="Y1036" s="150" t="s">
        <v>366</v>
      </c>
    </row>
    <row r="1037" spans="1:26" ht="13.5" hidden="1" customHeight="1" x14ac:dyDescent="0.25">
      <c r="A1037" s="148" t="s">
        <v>76</v>
      </c>
      <c r="B1037" s="148" t="s">
        <v>103</v>
      </c>
      <c r="C1037" s="148" t="s">
        <v>55</v>
      </c>
      <c r="D1037" s="148" t="s">
        <v>29</v>
      </c>
      <c r="E1037" s="148" t="s">
        <v>30</v>
      </c>
      <c r="F1037" s="148" t="s">
        <v>56</v>
      </c>
      <c r="G1037" s="148" t="s">
        <v>405</v>
      </c>
      <c r="H1037" s="148">
        <v>2009</v>
      </c>
      <c r="I1037" s="148">
        <v>2</v>
      </c>
      <c r="J1037" s="148" t="s">
        <v>118</v>
      </c>
      <c r="K1037" s="148" t="s">
        <v>327</v>
      </c>
      <c r="M1037" s="148" t="s">
        <v>82</v>
      </c>
      <c r="N1037" s="148">
        <v>8</v>
      </c>
      <c r="O1037" s="148" t="s">
        <v>101</v>
      </c>
      <c r="P1037" s="148" t="s">
        <v>146</v>
      </c>
      <c r="Y1037" s="150" t="s">
        <v>366</v>
      </c>
    </row>
    <row r="1038" spans="1:26" ht="15.75" hidden="1" customHeight="1" x14ac:dyDescent="0.25">
      <c r="A1038" s="148" t="s">
        <v>76</v>
      </c>
      <c r="B1038" s="148" t="s">
        <v>62</v>
      </c>
      <c r="C1038" s="148" t="s">
        <v>28</v>
      </c>
      <c r="D1038" s="148" t="s">
        <v>759</v>
      </c>
      <c r="E1038" s="148" t="s">
        <v>51</v>
      </c>
      <c r="F1038" s="148" t="s">
        <v>3183</v>
      </c>
      <c r="G1038" s="148" t="s">
        <v>409</v>
      </c>
      <c r="H1038" s="148">
        <v>2009</v>
      </c>
      <c r="I1038" s="148">
        <v>2</v>
      </c>
      <c r="J1038" s="148" t="s">
        <v>150</v>
      </c>
      <c r="K1038" s="148" t="s">
        <v>629</v>
      </c>
      <c r="M1038" s="148" t="s">
        <v>120</v>
      </c>
      <c r="N1038" s="148">
        <v>6</v>
      </c>
      <c r="O1038" s="148" t="s">
        <v>83</v>
      </c>
      <c r="Y1038" s="150" t="s">
        <v>366</v>
      </c>
    </row>
    <row r="1039" spans="1:26" ht="15.75" hidden="1" customHeight="1" x14ac:dyDescent="0.25">
      <c r="A1039" s="148" t="s">
        <v>76</v>
      </c>
      <c r="B1039" s="148" t="s">
        <v>27</v>
      </c>
      <c r="C1039" s="148" t="s">
        <v>90</v>
      </c>
      <c r="D1039" s="148" t="s">
        <v>29</v>
      </c>
      <c r="E1039" s="148" t="s">
        <v>30</v>
      </c>
      <c r="F1039" s="148" t="s">
        <v>3183</v>
      </c>
      <c r="G1039" s="148" t="s">
        <v>791</v>
      </c>
      <c r="H1039" s="148">
        <v>2009</v>
      </c>
      <c r="I1039" s="148">
        <v>2</v>
      </c>
      <c r="J1039" s="148" t="s">
        <v>118</v>
      </c>
      <c r="K1039" s="148" t="s">
        <v>327</v>
      </c>
      <c r="M1039" s="148" t="s">
        <v>82</v>
      </c>
      <c r="N1039" s="148">
        <v>8</v>
      </c>
      <c r="O1039" s="148" t="s">
        <v>101</v>
      </c>
      <c r="P1039" s="148" t="s">
        <v>146</v>
      </c>
      <c r="Y1039" s="150" t="s">
        <v>366</v>
      </c>
    </row>
    <row r="1040" spans="1:26" ht="15.75" hidden="1" customHeight="1" x14ac:dyDescent="0.25">
      <c r="A1040" s="148" t="s">
        <v>26</v>
      </c>
      <c r="B1040" s="148" t="s">
        <v>116</v>
      </c>
      <c r="C1040" s="148" t="s">
        <v>90</v>
      </c>
      <c r="D1040" s="148" t="s">
        <v>29</v>
      </c>
      <c r="E1040" s="148" t="s">
        <v>30</v>
      </c>
      <c r="F1040" s="148" t="s">
        <v>41</v>
      </c>
      <c r="G1040" s="148" t="s">
        <v>683</v>
      </c>
      <c r="H1040" s="148">
        <v>2009</v>
      </c>
      <c r="I1040" s="148">
        <v>2</v>
      </c>
      <c r="J1040" s="148" t="s">
        <v>792</v>
      </c>
      <c r="U1040" s="149" t="s">
        <v>3629</v>
      </c>
      <c r="V1040" s="149" t="s">
        <v>3630</v>
      </c>
      <c r="W1040" s="148" t="s">
        <v>87</v>
      </c>
      <c r="X1040" s="148" t="s">
        <v>793</v>
      </c>
    </row>
    <row r="1041" spans="1:25" ht="15.75" hidden="1" customHeight="1" x14ac:dyDescent="0.25">
      <c r="A1041" s="148" t="s">
        <v>76</v>
      </c>
      <c r="B1041" s="148" t="s">
        <v>71</v>
      </c>
      <c r="C1041" s="148" t="s">
        <v>45</v>
      </c>
      <c r="D1041" s="148" t="s">
        <v>29</v>
      </c>
      <c r="E1041" s="148" t="s">
        <v>72</v>
      </c>
      <c r="F1041" s="148" t="s">
        <v>3183</v>
      </c>
      <c r="G1041" s="148" t="s">
        <v>73</v>
      </c>
      <c r="H1041" s="148">
        <v>2009</v>
      </c>
      <c r="I1041" s="148">
        <v>3</v>
      </c>
      <c r="J1041" s="148" t="s">
        <v>118</v>
      </c>
      <c r="K1041" s="148" t="s">
        <v>629</v>
      </c>
      <c r="M1041" s="148" t="s">
        <v>120</v>
      </c>
      <c r="N1041" s="148">
        <v>6</v>
      </c>
      <c r="O1041" s="148" t="s">
        <v>83</v>
      </c>
      <c r="P1041" s="148" t="s">
        <v>206</v>
      </c>
      <c r="Y1041" s="150" t="s">
        <v>366</v>
      </c>
    </row>
    <row r="1042" spans="1:25" ht="15.75" hidden="1" customHeight="1" x14ac:dyDescent="0.25">
      <c r="A1042" s="148" t="s">
        <v>76</v>
      </c>
      <c r="B1042" s="148" t="s">
        <v>27</v>
      </c>
      <c r="C1042" s="148" t="s">
        <v>28</v>
      </c>
      <c r="D1042" s="148" t="s">
        <v>158</v>
      </c>
      <c r="E1042" s="148" t="s">
        <v>30</v>
      </c>
      <c r="F1042" s="148" t="s">
        <v>3183</v>
      </c>
      <c r="G1042" s="148" t="s">
        <v>32</v>
      </c>
      <c r="H1042" s="148">
        <v>2009</v>
      </c>
      <c r="I1042" s="148">
        <v>3</v>
      </c>
      <c r="J1042" s="148" t="s">
        <v>150</v>
      </c>
      <c r="K1042" s="148" t="s">
        <v>629</v>
      </c>
      <c r="M1042" s="148" t="s">
        <v>120</v>
      </c>
      <c r="N1042" s="148">
        <v>6</v>
      </c>
      <c r="O1042" s="148" t="s">
        <v>83</v>
      </c>
      <c r="Y1042" s="150" t="s">
        <v>366</v>
      </c>
    </row>
    <row r="1043" spans="1:25" ht="15.75" hidden="1" customHeight="1" x14ac:dyDescent="0.25">
      <c r="A1043" s="148" t="s">
        <v>76</v>
      </c>
      <c r="B1043" s="148" t="s">
        <v>198</v>
      </c>
      <c r="C1043" s="148" t="s">
        <v>45</v>
      </c>
      <c r="D1043" s="148" t="s">
        <v>29</v>
      </c>
      <c r="E1043" s="148" t="s">
        <v>30</v>
      </c>
      <c r="F1043" s="148" t="s">
        <v>199</v>
      </c>
      <c r="G1043" s="148" t="s">
        <v>232</v>
      </c>
      <c r="H1043" s="148">
        <v>2009</v>
      </c>
      <c r="I1043" s="148">
        <v>3</v>
      </c>
      <c r="J1043" s="148" t="s">
        <v>150</v>
      </c>
      <c r="K1043" s="148" t="s">
        <v>571</v>
      </c>
      <c r="M1043" s="148" t="s">
        <v>572</v>
      </c>
      <c r="N1043" s="148">
        <v>6</v>
      </c>
      <c r="O1043" s="148" t="s">
        <v>83</v>
      </c>
      <c r="Y1043" s="150" t="s">
        <v>366</v>
      </c>
    </row>
    <row r="1044" spans="1:25" ht="15.75" hidden="1" customHeight="1" x14ac:dyDescent="0.25">
      <c r="A1044" s="148" t="s">
        <v>76</v>
      </c>
      <c r="B1044" s="148" t="s">
        <v>62</v>
      </c>
      <c r="C1044" s="148" t="s">
        <v>28</v>
      </c>
      <c r="D1044" s="148" t="s">
        <v>759</v>
      </c>
      <c r="E1044" s="148" t="s">
        <v>51</v>
      </c>
      <c r="F1044" s="148" t="s">
        <v>3183</v>
      </c>
      <c r="G1044" s="148" t="s">
        <v>409</v>
      </c>
      <c r="H1044" s="148">
        <v>2009</v>
      </c>
      <c r="I1044" s="148">
        <v>3</v>
      </c>
      <c r="J1044" s="148" t="s">
        <v>118</v>
      </c>
      <c r="K1044" s="148" t="s">
        <v>327</v>
      </c>
      <c r="M1044" s="148" t="s">
        <v>82</v>
      </c>
      <c r="N1044" s="148">
        <v>8</v>
      </c>
      <c r="O1044" s="148" t="s">
        <v>101</v>
      </c>
      <c r="P1044" s="148" t="s">
        <v>146</v>
      </c>
      <c r="Y1044" s="150" t="s">
        <v>366</v>
      </c>
    </row>
    <row r="1045" spans="1:25" ht="15.75" hidden="1" customHeight="1" x14ac:dyDescent="0.25">
      <c r="A1045" s="148" t="s">
        <v>76</v>
      </c>
      <c r="B1045" s="148" t="s">
        <v>36</v>
      </c>
      <c r="C1045" s="148" t="s">
        <v>28</v>
      </c>
      <c r="D1045" s="148" t="s">
        <v>86</v>
      </c>
      <c r="E1045" s="148" t="s">
        <v>30</v>
      </c>
      <c r="F1045" s="148" t="s">
        <v>3183</v>
      </c>
      <c r="G1045" s="148" t="s">
        <v>67</v>
      </c>
      <c r="H1045" s="148">
        <v>2009</v>
      </c>
      <c r="I1045" s="148">
        <v>3</v>
      </c>
      <c r="J1045" s="148" t="s">
        <v>150</v>
      </c>
      <c r="K1045" s="148" t="s">
        <v>629</v>
      </c>
      <c r="M1045" s="148" t="s">
        <v>120</v>
      </c>
      <c r="N1045" s="148">
        <v>6</v>
      </c>
      <c r="O1045" s="148" t="s">
        <v>83</v>
      </c>
      <c r="Y1045" s="150" t="s">
        <v>366</v>
      </c>
    </row>
    <row r="1046" spans="1:25" ht="15.75" hidden="1" customHeight="1" x14ac:dyDescent="0.25">
      <c r="A1046" s="148" t="s">
        <v>76</v>
      </c>
      <c r="B1046" s="148" t="s">
        <v>89</v>
      </c>
      <c r="C1046" s="148" t="s">
        <v>90</v>
      </c>
      <c r="D1046" s="148" t="s">
        <v>29</v>
      </c>
      <c r="E1046" s="148" t="s">
        <v>30</v>
      </c>
      <c r="F1046" s="148" t="s">
        <v>91</v>
      </c>
      <c r="G1046" s="148" t="s">
        <v>411</v>
      </c>
      <c r="H1046" s="148">
        <v>2009</v>
      </c>
      <c r="I1046" s="148">
        <v>3</v>
      </c>
      <c r="J1046" s="148" t="s">
        <v>150</v>
      </c>
      <c r="K1046" s="148" t="s">
        <v>629</v>
      </c>
      <c r="M1046" s="148" t="s">
        <v>120</v>
      </c>
      <c r="N1046" s="148">
        <v>6</v>
      </c>
      <c r="O1046" s="148" t="s">
        <v>83</v>
      </c>
      <c r="Y1046" s="150" t="s">
        <v>366</v>
      </c>
    </row>
    <row r="1047" spans="1:25" ht="15.75" hidden="1" customHeight="1" x14ac:dyDescent="0.25">
      <c r="A1047" s="148" t="s">
        <v>76</v>
      </c>
      <c r="B1047" s="148" t="s">
        <v>36</v>
      </c>
      <c r="C1047" s="148" t="s">
        <v>28</v>
      </c>
      <c r="D1047" s="148" t="s">
        <v>29</v>
      </c>
      <c r="E1047" s="148" t="s">
        <v>30</v>
      </c>
      <c r="F1047" s="148" t="s">
        <v>3183</v>
      </c>
      <c r="G1047" s="148" t="s">
        <v>37</v>
      </c>
      <c r="H1047" s="148">
        <v>2009</v>
      </c>
      <c r="I1047" s="148">
        <v>3</v>
      </c>
      <c r="J1047" s="148" t="s">
        <v>150</v>
      </c>
      <c r="K1047" s="148" t="s">
        <v>455</v>
      </c>
      <c r="M1047" s="148" t="s">
        <v>132</v>
      </c>
      <c r="N1047" s="148">
        <v>8</v>
      </c>
      <c r="O1047" s="148" t="s">
        <v>83</v>
      </c>
      <c r="Y1047" s="150" t="s">
        <v>366</v>
      </c>
    </row>
    <row r="1048" spans="1:25" ht="15.75" hidden="1" customHeight="1" x14ac:dyDescent="0.25">
      <c r="A1048" s="148" t="s">
        <v>76</v>
      </c>
      <c r="B1048" s="148" t="s">
        <v>71</v>
      </c>
      <c r="C1048" s="148" t="s">
        <v>45</v>
      </c>
      <c r="D1048" s="148" t="s">
        <v>29</v>
      </c>
      <c r="E1048" s="148" t="s">
        <v>72</v>
      </c>
      <c r="F1048" s="148" t="s">
        <v>3183</v>
      </c>
      <c r="G1048" s="148" t="s">
        <v>75</v>
      </c>
      <c r="H1048" s="148">
        <v>2009</v>
      </c>
      <c r="I1048" s="148">
        <v>3</v>
      </c>
      <c r="J1048" s="148" t="s">
        <v>150</v>
      </c>
      <c r="K1048" s="148" t="s">
        <v>629</v>
      </c>
      <c r="M1048" s="148" t="s">
        <v>120</v>
      </c>
      <c r="N1048" s="148">
        <v>6</v>
      </c>
      <c r="O1048" s="148" t="s">
        <v>83</v>
      </c>
      <c r="P1048" s="148" t="s">
        <v>146</v>
      </c>
      <c r="Y1048" s="150" t="s">
        <v>366</v>
      </c>
    </row>
    <row r="1049" spans="1:25" ht="15.75" hidden="1" customHeight="1" x14ac:dyDescent="0.25">
      <c r="A1049" s="148" t="s">
        <v>76</v>
      </c>
      <c r="B1049" s="148" t="s">
        <v>27</v>
      </c>
      <c r="C1049" s="148" t="s">
        <v>28</v>
      </c>
      <c r="D1049" s="148" t="s">
        <v>99</v>
      </c>
      <c r="E1049" s="148" t="s">
        <v>40</v>
      </c>
      <c r="F1049" s="148" t="s">
        <v>41</v>
      </c>
      <c r="G1049" s="148" t="s">
        <v>42</v>
      </c>
      <c r="H1049" s="148">
        <v>2009</v>
      </c>
      <c r="I1049" s="148">
        <v>3</v>
      </c>
      <c r="J1049" s="148" t="s">
        <v>150</v>
      </c>
      <c r="K1049" s="148" t="s">
        <v>629</v>
      </c>
      <c r="M1049" s="148" t="s">
        <v>120</v>
      </c>
      <c r="N1049" s="148">
        <v>6</v>
      </c>
      <c r="O1049" s="148" t="s">
        <v>83</v>
      </c>
      <c r="Y1049" s="150" t="s">
        <v>366</v>
      </c>
    </row>
    <row r="1050" spans="1:25" ht="15.75" hidden="1" customHeight="1" x14ac:dyDescent="0.25">
      <c r="A1050" s="148" t="s">
        <v>307</v>
      </c>
      <c r="B1050" s="148" t="s">
        <v>27</v>
      </c>
      <c r="C1050" s="148" t="s">
        <v>28</v>
      </c>
      <c r="D1050" s="148" t="s">
        <v>99</v>
      </c>
      <c r="E1050" s="148" t="s">
        <v>40</v>
      </c>
      <c r="F1050" s="148" t="s">
        <v>41</v>
      </c>
      <c r="G1050" s="148" t="s">
        <v>42</v>
      </c>
      <c r="H1050" s="148">
        <v>2009</v>
      </c>
      <c r="I1050" s="148">
        <v>3</v>
      </c>
      <c r="J1050" s="148" t="s">
        <v>399</v>
      </c>
      <c r="Q1050" s="148" t="s">
        <v>426</v>
      </c>
      <c r="R1050" s="148" t="s">
        <v>693</v>
      </c>
      <c r="S1050" s="148" t="s">
        <v>427</v>
      </c>
      <c r="T1050" s="148" t="s">
        <v>694</v>
      </c>
      <c r="Y1050" s="150" t="s">
        <v>366</v>
      </c>
    </row>
    <row r="1051" spans="1:25" ht="15.75" customHeight="1" x14ac:dyDescent="0.25">
      <c r="A1051" s="148" t="s">
        <v>76</v>
      </c>
      <c r="B1051" s="148" t="s">
        <v>36</v>
      </c>
      <c r="C1051" s="148" t="s">
        <v>28</v>
      </c>
      <c r="D1051" s="148" t="s">
        <v>29</v>
      </c>
      <c r="E1051" s="148" t="s">
        <v>30</v>
      </c>
      <c r="F1051" s="148" t="s">
        <v>3183</v>
      </c>
      <c r="G1051" s="148" t="s">
        <v>194</v>
      </c>
      <c r="H1051" s="148">
        <v>2009</v>
      </c>
      <c r="I1051" s="148">
        <v>3</v>
      </c>
      <c r="J1051" s="148" t="s">
        <v>150</v>
      </c>
      <c r="K1051" s="148" t="s">
        <v>629</v>
      </c>
      <c r="M1051" s="148" t="s">
        <v>120</v>
      </c>
      <c r="N1051" s="148">
        <v>6</v>
      </c>
      <c r="O1051" s="148" t="s">
        <v>83</v>
      </c>
      <c r="Y1051" s="150" t="s">
        <v>366</v>
      </c>
    </row>
    <row r="1052" spans="1:25" ht="15.75" hidden="1" customHeight="1" x14ac:dyDescent="0.25">
      <c r="A1052" s="148" t="s">
        <v>76</v>
      </c>
      <c r="B1052" s="148" t="s">
        <v>62</v>
      </c>
      <c r="C1052" s="148" t="s">
        <v>28</v>
      </c>
      <c r="D1052" s="148" t="s">
        <v>86</v>
      </c>
      <c r="E1052" s="148" t="s">
        <v>51</v>
      </c>
      <c r="F1052" s="148" t="s">
        <v>3183</v>
      </c>
      <c r="G1052" s="148" t="s">
        <v>130</v>
      </c>
      <c r="H1052" s="148">
        <v>2009</v>
      </c>
      <c r="I1052" s="148">
        <v>3</v>
      </c>
      <c r="J1052" s="148" t="s">
        <v>150</v>
      </c>
      <c r="K1052" s="148" t="s">
        <v>455</v>
      </c>
      <c r="M1052" s="148" t="s">
        <v>132</v>
      </c>
      <c r="N1052" s="148">
        <v>8</v>
      </c>
      <c r="O1052" s="148" t="s">
        <v>83</v>
      </c>
      <c r="Y1052" s="150" t="s">
        <v>366</v>
      </c>
    </row>
    <row r="1053" spans="1:25" ht="15.75" hidden="1" customHeight="1" x14ac:dyDescent="0.25">
      <c r="A1053" s="148" t="s">
        <v>76</v>
      </c>
      <c r="B1053" s="148" t="s">
        <v>27</v>
      </c>
      <c r="C1053" s="148" t="s">
        <v>28</v>
      </c>
      <c r="D1053" s="148" t="s">
        <v>158</v>
      </c>
      <c r="E1053" s="148" t="s">
        <v>30</v>
      </c>
      <c r="F1053" s="148" t="s">
        <v>3183</v>
      </c>
      <c r="G1053" s="148" t="s">
        <v>43</v>
      </c>
      <c r="H1053" s="148">
        <v>2009</v>
      </c>
      <c r="I1053" s="148">
        <v>3</v>
      </c>
      <c r="J1053" s="148" t="s">
        <v>118</v>
      </c>
      <c r="K1053" s="148" t="s">
        <v>629</v>
      </c>
      <c r="M1053" s="148" t="s">
        <v>120</v>
      </c>
      <c r="N1053" s="148">
        <v>6</v>
      </c>
      <c r="O1053" s="148" t="s">
        <v>83</v>
      </c>
      <c r="P1053" s="148" t="s">
        <v>390</v>
      </c>
      <c r="Y1053" s="150" t="s">
        <v>366</v>
      </c>
    </row>
    <row r="1054" spans="1:25" ht="15.75" hidden="1" customHeight="1" x14ac:dyDescent="0.25">
      <c r="A1054" s="148" t="s">
        <v>76</v>
      </c>
      <c r="B1054" s="148" t="s">
        <v>77</v>
      </c>
      <c r="C1054" s="148" t="s">
        <v>55</v>
      </c>
      <c r="D1054" s="148" t="s">
        <v>29</v>
      </c>
      <c r="E1054" s="148" t="s">
        <v>30</v>
      </c>
      <c r="F1054" s="148" t="s">
        <v>41</v>
      </c>
      <c r="G1054" s="148" t="s">
        <v>275</v>
      </c>
      <c r="H1054" s="148">
        <v>2009</v>
      </c>
      <c r="I1054" s="148">
        <v>3</v>
      </c>
      <c r="J1054" s="148" t="s">
        <v>118</v>
      </c>
      <c r="K1054" s="148" t="s">
        <v>629</v>
      </c>
      <c r="M1054" s="148" t="s">
        <v>120</v>
      </c>
      <c r="N1054" s="148">
        <v>6</v>
      </c>
      <c r="O1054" s="148" t="s">
        <v>83</v>
      </c>
      <c r="P1054" s="148" t="s">
        <v>146</v>
      </c>
      <c r="Y1054" s="150" t="s">
        <v>366</v>
      </c>
    </row>
    <row r="1055" spans="1:25" ht="15.75" hidden="1" customHeight="1" x14ac:dyDescent="0.25">
      <c r="A1055" s="148" t="s">
        <v>76</v>
      </c>
      <c r="B1055" s="148" t="s">
        <v>36</v>
      </c>
      <c r="C1055" s="148" t="s">
        <v>28</v>
      </c>
      <c r="D1055" s="148" t="s">
        <v>342</v>
      </c>
      <c r="E1055" s="148" t="s">
        <v>30</v>
      </c>
      <c r="F1055" s="148" t="s">
        <v>3183</v>
      </c>
      <c r="G1055" s="148" t="s">
        <v>114</v>
      </c>
      <c r="H1055" s="148">
        <v>2009</v>
      </c>
      <c r="I1055" s="148">
        <v>3</v>
      </c>
      <c r="J1055" s="148" t="s">
        <v>150</v>
      </c>
      <c r="K1055" s="148" t="s">
        <v>455</v>
      </c>
      <c r="M1055" s="148" t="s">
        <v>132</v>
      </c>
      <c r="N1055" s="148">
        <v>8</v>
      </c>
      <c r="O1055" s="148" t="s">
        <v>83</v>
      </c>
      <c r="Y1055" s="150" t="s">
        <v>366</v>
      </c>
    </row>
    <row r="1056" spans="1:25" ht="15.75" hidden="1" customHeight="1" x14ac:dyDescent="0.25">
      <c r="A1056" s="148" t="s">
        <v>76</v>
      </c>
      <c r="B1056" s="148" t="s">
        <v>89</v>
      </c>
      <c r="C1056" s="148" t="s">
        <v>90</v>
      </c>
      <c r="D1056" s="148" t="s">
        <v>29</v>
      </c>
      <c r="E1056" s="148" t="s">
        <v>30</v>
      </c>
      <c r="F1056" s="148" t="s">
        <v>91</v>
      </c>
      <c r="G1056" s="148" t="s">
        <v>280</v>
      </c>
      <c r="H1056" s="148">
        <v>2009</v>
      </c>
      <c r="I1056" s="148">
        <v>3</v>
      </c>
      <c r="J1056" s="148" t="s">
        <v>150</v>
      </c>
      <c r="K1056" s="148" t="s">
        <v>629</v>
      </c>
      <c r="M1056" s="148" t="s">
        <v>120</v>
      </c>
      <c r="N1056" s="148">
        <v>6</v>
      </c>
      <c r="O1056" s="148" t="s">
        <v>83</v>
      </c>
      <c r="Y1056" s="150" t="s">
        <v>366</v>
      </c>
    </row>
    <row r="1057" spans="1:25" ht="15.75" hidden="1" customHeight="1" x14ac:dyDescent="0.25">
      <c r="A1057" s="148" t="s">
        <v>76</v>
      </c>
      <c r="B1057" s="148" t="s">
        <v>198</v>
      </c>
      <c r="C1057" s="148" t="s">
        <v>45</v>
      </c>
      <c r="D1057" s="148" t="s">
        <v>99</v>
      </c>
      <c r="E1057" s="148" t="s">
        <v>40</v>
      </c>
      <c r="F1057" s="148" t="s">
        <v>199</v>
      </c>
      <c r="G1057" s="148" t="s">
        <v>282</v>
      </c>
      <c r="H1057" s="148">
        <v>2009</v>
      </c>
      <c r="I1057" s="148">
        <v>4</v>
      </c>
      <c r="J1057" s="148" t="s">
        <v>150</v>
      </c>
      <c r="K1057" s="148" t="s">
        <v>629</v>
      </c>
      <c r="M1057" s="148" t="s">
        <v>120</v>
      </c>
      <c r="N1057" s="148">
        <v>6</v>
      </c>
      <c r="O1057" s="148" t="s">
        <v>83</v>
      </c>
      <c r="Y1057" s="150" t="s">
        <v>366</v>
      </c>
    </row>
    <row r="1058" spans="1:25" ht="15.75" hidden="1" customHeight="1" x14ac:dyDescent="0.25">
      <c r="A1058" s="148" t="s">
        <v>76</v>
      </c>
      <c r="B1058" s="148" t="s">
        <v>27</v>
      </c>
      <c r="C1058" s="148" t="s">
        <v>28</v>
      </c>
      <c r="D1058" s="148" t="s">
        <v>158</v>
      </c>
      <c r="E1058" s="148" t="s">
        <v>30</v>
      </c>
      <c r="F1058" s="148" t="s">
        <v>3183</v>
      </c>
      <c r="G1058" s="148" t="s">
        <v>32</v>
      </c>
      <c r="H1058" s="148">
        <v>2009</v>
      </c>
      <c r="I1058" s="148">
        <v>4</v>
      </c>
      <c r="J1058" s="148" t="s">
        <v>118</v>
      </c>
      <c r="K1058" s="148" t="s">
        <v>520</v>
      </c>
      <c r="M1058" s="148" t="s">
        <v>701</v>
      </c>
      <c r="N1058" s="148">
        <v>8</v>
      </c>
      <c r="O1058" s="148" t="s">
        <v>101</v>
      </c>
      <c r="P1058" s="148" t="s">
        <v>562</v>
      </c>
      <c r="Y1058" s="150" t="s">
        <v>366</v>
      </c>
    </row>
    <row r="1059" spans="1:25" ht="15.75" hidden="1" customHeight="1" x14ac:dyDescent="0.25">
      <c r="A1059" s="148" t="s">
        <v>76</v>
      </c>
      <c r="B1059" s="148" t="s">
        <v>103</v>
      </c>
      <c r="C1059" s="148" t="s">
        <v>55</v>
      </c>
      <c r="D1059" s="148" t="s">
        <v>99</v>
      </c>
      <c r="E1059" s="148" t="s">
        <v>95</v>
      </c>
      <c r="F1059" s="148" t="s">
        <v>56</v>
      </c>
      <c r="G1059" s="148" t="s">
        <v>171</v>
      </c>
      <c r="H1059" s="148">
        <v>2009</v>
      </c>
      <c r="I1059" s="148">
        <v>4</v>
      </c>
      <c r="J1059" s="148" t="s">
        <v>150</v>
      </c>
      <c r="K1059" s="148" t="s">
        <v>710</v>
      </c>
      <c r="M1059" s="148" t="s">
        <v>533</v>
      </c>
      <c r="N1059" s="148">
        <v>6</v>
      </c>
      <c r="O1059" s="148" t="s">
        <v>83</v>
      </c>
      <c r="Y1059" s="150" t="s">
        <v>366</v>
      </c>
    </row>
    <row r="1060" spans="1:25" ht="15.75" hidden="1" customHeight="1" x14ac:dyDescent="0.25">
      <c r="A1060" s="148" t="s">
        <v>76</v>
      </c>
      <c r="B1060" s="148" t="s">
        <v>198</v>
      </c>
      <c r="C1060" s="148" t="s">
        <v>45</v>
      </c>
      <c r="D1060" s="148" t="s">
        <v>478</v>
      </c>
      <c r="E1060" s="148" t="s">
        <v>30</v>
      </c>
      <c r="F1060" s="148" t="s">
        <v>199</v>
      </c>
      <c r="G1060" s="148" t="s">
        <v>208</v>
      </c>
      <c r="H1060" s="148">
        <v>2009</v>
      </c>
      <c r="I1060" s="148">
        <v>4</v>
      </c>
      <c r="J1060" s="148" t="s">
        <v>150</v>
      </c>
      <c r="K1060" s="148" t="s">
        <v>629</v>
      </c>
      <c r="M1060" s="148" t="s">
        <v>120</v>
      </c>
      <c r="N1060" s="148">
        <v>6</v>
      </c>
      <c r="O1060" s="148" t="s">
        <v>83</v>
      </c>
      <c r="Y1060" s="150" t="s">
        <v>366</v>
      </c>
    </row>
    <row r="1061" spans="1:25" ht="15.75" hidden="1" customHeight="1" x14ac:dyDescent="0.25">
      <c r="A1061" s="148" t="s">
        <v>76</v>
      </c>
      <c r="B1061" s="148" t="s">
        <v>36</v>
      </c>
      <c r="C1061" s="148" t="s">
        <v>28</v>
      </c>
      <c r="D1061" s="148" t="s">
        <v>158</v>
      </c>
      <c r="E1061" s="148" t="s">
        <v>30</v>
      </c>
      <c r="F1061" s="148" t="s">
        <v>3183</v>
      </c>
      <c r="G1061" s="148" t="s">
        <v>438</v>
      </c>
      <c r="H1061" s="148">
        <v>2009</v>
      </c>
      <c r="I1061" s="148">
        <v>4</v>
      </c>
      <c r="J1061" s="148" t="s">
        <v>150</v>
      </c>
      <c r="K1061" s="148" t="s">
        <v>629</v>
      </c>
      <c r="M1061" s="148" t="s">
        <v>120</v>
      </c>
      <c r="N1061" s="148">
        <v>6</v>
      </c>
      <c r="O1061" s="148" t="s">
        <v>83</v>
      </c>
      <c r="Y1061" s="150" t="s">
        <v>366</v>
      </c>
    </row>
    <row r="1062" spans="1:25" ht="15.75" hidden="1" customHeight="1" x14ac:dyDescent="0.25">
      <c r="A1062" s="148" t="s">
        <v>76</v>
      </c>
      <c r="B1062" s="148" t="s">
        <v>198</v>
      </c>
      <c r="C1062" s="148" t="s">
        <v>45</v>
      </c>
      <c r="D1062" s="148" t="s">
        <v>94</v>
      </c>
      <c r="E1062" s="148" t="s">
        <v>30</v>
      </c>
      <c r="F1062" s="148" t="s">
        <v>199</v>
      </c>
      <c r="G1062" s="148" t="s">
        <v>296</v>
      </c>
      <c r="H1062" s="148">
        <v>2009</v>
      </c>
      <c r="I1062" s="148">
        <v>4</v>
      </c>
      <c r="J1062" s="148" t="s">
        <v>118</v>
      </c>
      <c r="K1062" s="148" t="s">
        <v>520</v>
      </c>
      <c r="M1062" s="148" t="s">
        <v>701</v>
      </c>
      <c r="N1062" s="148">
        <v>8</v>
      </c>
      <c r="O1062" s="148" t="s">
        <v>101</v>
      </c>
      <c r="P1062" s="148" t="s">
        <v>562</v>
      </c>
      <c r="Y1062" s="150" t="s">
        <v>366</v>
      </c>
    </row>
    <row r="1063" spans="1:25" ht="15.75" hidden="1" customHeight="1" x14ac:dyDescent="0.25">
      <c r="A1063" s="148" t="s">
        <v>76</v>
      </c>
      <c r="B1063" s="148" t="s">
        <v>27</v>
      </c>
      <c r="C1063" s="148" t="s">
        <v>28</v>
      </c>
      <c r="D1063" s="148" t="s">
        <v>566</v>
      </c>
      <c r="E1063" s="148" t="s">
        <v>30</v>
      </c>
      <c r="F1063" s="148" t="s">
        <v>3183</v>
      </c>
      <c r="G1063" s="148" t="s">
        <v>53</v>
      </c>
      <c r="H1063" s="148">
        <v>2009</v>
      </c>
      <c r="I1063" s="148">
        <v>4</v>
      </c>
      <c r="J1063" s="148" t="s">
        <v>118</v>
      </c>
      <c r="K1063" s="148" t="s">
        <v>520</v>
      </c>
      <c r="M1063" s="148" t="s">
        <v>701</v>
      </c>
      <c r="N1063" s="148">
        <v>8</v>
      </c>
      <c r="O1063" s="148" t="s">
        <v>101</v>
      </c>
      <c r="P1063" s="148" t="s">
        <v>562</v>
      </c>
      <c r="Y1063" s="150" t="s">
        <v>366</v>
      </c>
    </row>
    <row r="1064" spans="1:25" ht="15.75" hidden="1" customHeight="1" x14ac:dyDescent="0.25">
      <c r="A1064" s="148" t="s">
        <v>76</v>
      </c>
      <c r="B1064" s="148" t="s">
        <v>36</v>
      </c>
      <c r="C1064" s="148" t="s">
        <v>28</v>
      </c>
      <c r="D1064" s="148" t="s">
        <v>99</v>
      </c>
      <c r="E1064" s="148" t="s">
        <v>30</v>
      </c>
      <c r="F1064" s="148" t="s">
        <v>3183</v>
      </c>
      <c r="G1064" s="148" t="s">
        <v>59</v>
      </c>
      <c r="H1064" s="148">
        <v>2009</v>
      </c>
      <c r="I1064" s="148">
        <v>4</v>
      </c>
      <c r="J1064" s="148" t="s">
        <v>118</v>
      </c>
      <c r="K1064" s="148" t="s">
        <v>520</v>
      </c>
      <c r="M1064" s="148" t="s">
        <v>701</v>
      </c>
      <c r="N1064" s="148">
        <v>8</v>
      </c>
      <c r="O1064" s="148" t="s">
        <v>101</v>
      </c>
      <c r="P1064" s="148" t="s">
        <v>562</v>
      </c>
      <c r="Y1064" s="150" t="s">
        <v>366</v>
      </c>
    </row>
    <row r="1065" spans="1:25" ht="15.75" hidden="1" customHeight="1" x14ac:dyDescent="0.25">
      <c r="A1065" s="148" t="s">
        <v>76</v>
      </c>
      <c r="B1065" s="148" t="s">
        <v>103</v>
      </c>
      <c r="C1065" s="148" t="s">
        <v>55</v>
      </c>
      <c r="D1065" s="148" t="s">
        <v>478</v>
      </c>
      <c r="E1065" s="148" t="s">
        <v>95</v>
      </c>
      <c r="F1065" s="148" t="s">
        <v>56</v>
      </c>
      <c r="G1065" s="148" t="s">
        <v>107</v>
      </c>
      <c r="H1065" s="148">
        <v>2009</v>
      </c>
      <c r="I1065" s="148">
        <v>4</v>
      </c>
      <c r="J1065" s="148" t="s">
        <v>150</v>
      </c>
      <c r="K1065" s="148" t="s">
        <v>629</v>
      </c>
      <c r="M1065" s="148" t="s">
        <v>120</v>
      </c>
      <c r="N1065" s="148">
        <v>6</v>
      </c>
      <c r="O1065" s="148" t="s">
        <v>83</v>
      </c>
      <c r="Y1065" s="150" t="s">
        <v>366</v>
      </c>
    </row>
    <row r="1066" spans="1:25" ht="15.75" hidden="1" customHeight="1" x14ac:dyDescent="0.25">
      <c r="A1066" s="148" t="s">
        <v>76</v>
      </c>
      <c r="B1066" s="148" t="s">
        <v>36</v>
      </c>
      <c r="C1066" s="148" t="s">
        <v>28</v>
      </c>
      <c r="D1066" s="148" t="s">
        <v>342</v>
      </c>
      <c r="E1066" s="148" t="s">
        <v>30</v>
      </c>
      <c r="F1066" s="148" t="s">
        <v>3183</v>
      </c>
      <c r="G1066" s="148" t="s">
        <v>242</v>
      </c>
      <c r="H1066" s="148">
        <v>2009</v>
      </c>
      <c r="I1066" s="148">
        <v>4</v>
      </c>
      <c r="J1066" s="148" t="s">
        <v>150</v>
      </c>
      <c r="K1066" s="148" t="s">
        <v>629</v>
      </c>
      <c r="M1066" s="148" t="s">
        <v>120</v>
      </c>
      <c r="N1066" s="148">
        <v>6</v>
      </c>
      <c r="O1066" s="148" t="s">
        <v>83</v>
      </c>
      <c r="Y1066" s="150" t="s">
        <v>366</v>
      </c>
    </row>
    <row r="1067" spans="1:25" ht="15.75" hidden="1" customHeight="1" x14ac:dyDescent="0.25">
      <c r="A1067" s="148" t="s">
        <v>76</v>
      </c>
      <c r="B1067" s="148" t="s">
        <v>36</v>
      </c>
      <c r="C1067" s="148" t="s">
        <v>28</v>
      </c>
      <c r="D1067" s="148" t="s">
        <v>86</v>
      </c>
      <c r="E1067" s="148" t="s">
        <v>30</v>
      </c>
      <c r="F1067" s="148" t="s">
        <v>3183</v>
      </c>
      <c r="G1067" s="148" t="s">
        <v>67</v>
      </c>
      <c r="H1067" s="148">
        <v>2009</v>
      </c>
      <c r="I1067" s="148">
        <v>4</v>
      </c>
      <c r="J1067" s="148" t="s">
        <v>150</v>
      </c>
      <c r="K1067" s="148" t="s">
        <v>579</v>
      </c>
      <c r="M1067" s="148" t="s">
        <v>554</v>
      </c>
      <c r="N1067" s="148">
        <v>8</v>
      </c>
      <c r="O1067" s="148" t="s">
        <v>83</v>
      </c>
      <c r="Y1067" s="150" t="s">
        <v>366</v>
      </c>
    </row>
    <row r="1068" spans="1:25" ht="15.75" hidden="1" customHeight="1" x14ac:dyDescent="0.25">
      <c r="A1068" s="148" t="s">
        <v>76</v>
      </c>
      <c r="B1068" s="148" t="s">
        <v>27</v>
      </c>
      <c r="C1068" s="148" t="s">
        <v>28</v>
      </c>
      <c r="D1068" s="148" t="s">
        <v>99</v>
      </c>
      <c r="E1068" s="148" t="s">
        <v>40</v>
      </c>
      <c r="F1068" s="148" t="s">
        <v>41</v>
      </c>
      <c r="G1068" s="148" t="s">
        <v>42</v>
      </c>
      <c r="H1068" s="148">
        <v>2009</v>
      </c>
      <c r="I1068" s="148">
        <v>4</v>
      </c>
      <c r="J1068" s="148" t="s">
        <v>150</v>
      </c>
      <c r="K1068" s="148" t="s">
        <v>579</v>
      </c>
      <c r="M1068" s="148" t="s">
        <v>554</v>
      </c>
      <c r="N1068" s="148">
        <v>8</v>
      </c>
      <c r="O1068" s="148" t="s">
        <v>83</v>
      </c>
      <c r="Y1068" s="150" t="s">
        <v>366</v>
      </c>
    </row>
    <row r="1069" spans="1:25" ht="15.75" hidden="1" customHeight="1" x14ac:dyDescent="0.25">
      <c r="A1069" s="148" t="s">
        <v>76</v>
      </c>
      <c r="B1069" s="148" t="s">
        <v>198</v>
      </c>
      <c r="C1069" s="148" t="s">
        <v>45</v>
      </c>
      <c r="D1069" s="148" t="s">
        <v>99</v>
      </c>
      <c r="E1069" s="148" t="s">
        <v>30</v>
      </c>
      <c r="F1069" s="148" t="s">
        <v>199</v>
      </c>
      <c r="G1069" s="148" t="s">
        <v>248</v>
      </c>
      <c r="H1069" s="148">
        <v>2009</v>
      </c>
      <c r="I1069" s="148">
        <v>4</v>
      </c>
      <c r="J1069" s="148" t="s">
        <v>118</v>
      </c>
      <c r="K1069" s="148" t="s">
        <v>520</v>
      </c>
      <c r="M1069" s="148" t="s">
        <v>701</v>
      </c>
      <c r="N1069" s="148">
        <v>8</v>
      </c>
      <c r="O1069" s="148" t="s">
        <v>101</v>
      </c>
      <c r="P1069" s="148" t="s">
        <v>562</v>
      </c>
      <c r="Y1069" s="150" t="s">
        <v>366</v>
      </c>
    </row>
    <row r="1070" spans="1:25" ht="15.75" hidden="1" customHeight="1" x14ac:dyDescent="0.25">
      <c r="A1070" s="148" t="s">
        <v>76</v>
      </c>
      <c r="B1070" s="148" t="s">
        <v>54</v>
      </c>
      <c r="C1070" s="148" t="s">
        <v>55</v>
      </c>
      <c r="D1070" s="148" t="s">
        <v>65</v>
      </c>
      <c r="E1070" s="148" t="s">
        <v>30</v>
      </c>
      <c r="F1070" s="148" t="s">
        <v>56</v>
      </c>
      <c r="G1070" s="148" t="s">
        <v>54</v>
      </c>
      <c r="H1070" s="148">
        <v>2009</v>
      </c>
      <c r="I1070" s="148">
        <v>4</v>
      </c>
      <c r="J1070" s="148" t="s">
        <v>150</v>
      </c>
      <c r="K1070" s="148" t="s">
        <v>327</v>
      </c>
      <c r="M1070" s="148" t="s">
        <v>82</v>
      </c>
      <c r="N1070" s="148">
        <v>8</v>
      </c>
      <c r="O1070" s="148" t="s">
        <v>83</v>
      </c>
      <c r="Y1070" s="150" t="s">
        <v>366</v>
      </c>
    </row>
    <row r="1071" spans="1:25" ht="15.75" hidden="1" customHeight="1" x14ac:dyDescent="0.25">
      <c r="A1071" s="148" t="s">
        <v>76</v>
      </c>
      <c r="B1071" s="148" t="s">
        <v>77</v>
      </c>
      <c r="C1071" s="148" t="s">
        <v>55</v>
      </c>
      <c r="D1071" s="148" t="s">
        <v>78</v>
      </c>
      <c r="E1071" s="148" t="s">
        <v>30</v>
      </c>
      <c r="F1071" s="148" t="s">
        <v>41</v>
      </c>
      <c r="G1071" s="148" t="s">
        <v>79</v>
      </c>
      <c r="H1071" s="148">
        <v>2009</v>
      </c>
      <c r="I1071" s="148">
        <v>4</v>
      </c>
      <c r="J1071" s="148" t="s">
        <v>80</v>
      </c>
      <c r="K1071" s="148" t="s">
        <v>327</v>
      </c>
      <c r="M1071" s="148" t="s">
        <v>82</v>
      </c>
      <c r="N1071" s="148">
        <v>8</v>
      </c>
      <c r="O1071" s="148" t="s">
        <v>83</v>
      </c>
      <c r="P1071" s="148" t="s">
        <v>794</v>
      </c>
      <c r="Y1071" s="150" t="s">
        <v>795</v>
      </c>
    </row>
    <row r="1072" spans="1:25" ht="15.75" hidden="1" customHeight="1" x14ac:dyDescent="0.25">
      <c r="A1072" s="148" t="s">
        <v>76</v>
      </c>
      <c r="B1072" s="148" t="s">
        <v>103</v>
      </c>
      <c r="C1072" s="148" t="s">
        <v>55</v>
      </c>
      <c r="D1072" s="148" t="s">
        <v>29</v>
      </c>
      <c r="E1072" s="148" t="s">
        <v>95</v>
      </c>
      <c r="F1072" s="148" t="s">
        <v>56</v>
      </c>
      <c r="G1072" s="148" t="s">
        <v>195</v>
      </c>
      <c r="H1072" s="148">
        <v>2009</v>
      </c>
      <c r="I1072" s="148">
        <v>4</v>
      </c>
      <c r="J1072" s="148" t="s">
        <v>150</v>
      </c>
      <c r="K1072" s="148" t="s">
        <v>710</v>
      </c>
      <c r="M1072" s="148" t="s">
        <v>533</v>
      </c>
      <c r="N1072" s="148">
        <v>6</v>
      </c>
      <c r="O1072" s="148" t="s">
        <v>83</v>
      </c>
      <c r="Y1072" s="150" t="s">
        <v>366</v>
      </c>
    </row>
    <row r="1073" spans="1:25" ht="15.75" hidden="1" customHeight="1" x14ac:dyDescent="0.25">
      <c r="A1073" s="148" t="s">
        <v>76</v>
      </c>
      <c r="B1073" s="148" t="s">
        <v>89</v>
      </c>
      <c r="C1073" s="148" t="s">
        <v>90</v>
      </c>
      <c r="D1073" s="148" t="s">
        <v>99</v>
      </c>
      <c r="E1073" s="148" t="s">
        <v>30</v>
      </c>
      <c r="F1073" s="148" t="s">
        <v>91</v>
      </c>
      <c r="G1073" s="148" t="s">
        <v>92</v>
      </c>
      <c r="H1073" s="148">
        <v>2009</v>
      </c>
      <c r="I1073" s="148">
        <v>4</v>
      </c>
      <c r="J1073" s="148" t="s">
        <v>118</v>
      </c>
      <c r="K1073" s="148" t="s">
        <v>520</v>
      </c>
      <c r="M1073" s="148" t="s">
        <v>701</v>
      </c>
      <c r="N1073" s="148">
        <v>8</v>
      </c>
      <c r="O1073" s="148" t="s">
        <v>101</v>
      </c>
      <c r="P1073" s="148" t="s">
        <v>562</v>
      </c>
      <c r="Y1073" s="150" t="s">
        <v>366</v>
      </c>
    </row>
    <row r="1074" spans="1:25" ht="13.5" hidden="1" customHeight="1" x14ac:dyDescent="0.25">
      <c r="A1074" s="148" t="s">
        <v>76</v>
      </c>
      <c r="B1074" s="148" t="s">
        <v>62</v>
      </c>
      <c r="C1074" s="148" t="s">
        <v>28</v>
      </c>
      <c r="D1074" s="148" t="s">
        <v>86</v>
      </c>
      <c r="E1074" s="148" t="s">
        <v>51</v>
      </c>
      <c r="F1074" s="148" t="s">
        <v>3183</v>
      </c>
      <c r="G1074" s="148" t="s">
        <v>130</v>
      </c>
      <c r="H1074" s="148">
        <v>2009</v>
      </c>
      <c r="I1074" s="148">
        <v>4</v>
      </c>
      <c r="J1074" s="148" t="s">
        <v>118</v>
      </c>
      <c r="K1074" s="148" t="s">
        <v>520</v>
      </c>
      <c r="M1074" s="148" t="s">
        <v>701</v>
      </c>
      <c r="N1074" s="148">
        <v>8</v>
      </c>
      <c r="O1074" s="148" t="s">
        <v>101</v>
      </c>
      <c r="P1074" s="148" t="s">
        <v>562</v>
      </c>
      <c r="Y1074" s="150" t="s">
        <v>366</v>
      </c>
    </row>
    <row r="1075" spans="1:25" ht="15.75" hidden="1" customHeight="1" x14ac:dyDescent="0.25">
      <c r="A1075" s="148" t="s">
        <v>76</v>
      </c>
      <c r="B1075" s="148" t="s">
        <v>36</v>
      </c>
      <c r="C1075" s="148" t="s">
        <v>28</v>
      </c>
      <c r="D1075" s="148" t="s">
        <v>99</v>
      </c>
      <c r="E1075" s="148" t="s">
        <v>51</v>
      </c>
      <c r="F1075" s="148" t="s">
        <v>3183</v>
      </c>
      <c r="G1075" s="148" t="s">
        <v>52</v>
      </c>
      <c r="H1075" s="148">
        <v>2009</v>
      </c>
      <c r="I1075" s="148">
        <v>4</v>
      </c>
      <c r="J1075" s="148" t="s">
        <v>150</v>
      </c>
      <c r="K1075" s="148" t="s">
        <v>629</v>
      </c>
      <c r="M1075" s="148" t="s">
        <v>120</v>
      </c>
      <c r="N1075" s="148">
        <v>6</v>
      </c>
      <c r="O1075" s="148" t="s">
        <v>83</v>
      </c>
      <c r="Y1075" s="150" t="s">
        <v>366</v>
      </c>
    </row>
    <row r="1076" spans="1:25" ht="15.75" hidden="1" customHeight="1" x14ac:dyDescent="0.25">
      <c r="A1076" s="148" t="s">
        <v>76</v>
      </c>
      <c r="B1076" s="148" t="s">
        <v>103</v>
      </c>
      <c r="C1076" s="148" t="s">
        <v>55</v>
      </c>
      <c r="D1076" s="148" t="s">
        <v>29</v>
      </c>
      <c r="E1076" s="148" t="s">
        <v>95</v>
      </c>
      <c r="F1076" s="148" t="s">
        <v>56</v>
      </c>
      <c r="G1076" s="148" t="s">
        <v>186</v>
      </c>
      <c r="H1076" s="148">
        <v>2009</v>
      </c>
      <c r="I1076" s="148">
        <v>4</v>
      </c>
      <c r="J1076" s="148" t="s">
        <v>150</v>
      </c>
      <c r="K1076" s="148" t="s">
        <v>579</v>
      </c>
      <c r="M1076" s="148" t="s">
        <v>554</v>
      </c>
      <c r="N1076" s="148">
        <v>8</v>
      </c>
      <c r="O1076" s="148" t="s">
        <v>83</v>
      </c>
      <c r="Y1076" s="150" t="s">
        <v>366</v>
      </c>
    </row>
    <row r="1077" spans="1:25" ht="15.75" hidden="1" customHeight="1" x14ac:dyDescent="0.25">
      <c r="A1077" s="148" t="s">
        <v>76</v>
      </c>
      <c r="B1077" s="148" t="s">
        <v>44</v>
      </c>
      <c r="C1077" s="148" t="s">
        <v>45</v>
      </c>
      <c r="D1077" s="148" t="s">
        <v>29</v>
      </c>
      <c r="E1077" s="148" t="s">
        <v>46</v>
      </c>
      <c r="F1077" s="148" t="s">
        <v>47</v>
      </c>
      <c r="G1077" s="148" t="s">
        <v>48</v>
      </c>
      <c r="H1077" s="148">
        <v>2009</v>
      </c>
      <c r="I1077" s="148">
        <v>4</v>
      </c>
      <c r="J1077" s="148" t="s">
        <v>118</v>
      </c>
      <c r="K1077" s="148" t="s">
        <v>327</v>
      </c>
      <c r="M1077" s="148" t="s">
        <v>82</v>
      </c>
      <c r="N1077" s="148">
        <v>8</v>
      </c>
      <c r="O1077" s="148" t="s">
        <v>101</v>
      </c>
      <c r="P1077" s="148" t="s">
        <v>796</v>
      </c>
      <c r="Y1077" s="150" t="s">
        <v>366</v>
      </c>
    </row>
    <row r="1078" spans="1:25" ht="15.75" hidden="1" customHeight="1" x14ac:dyDescent="0.25">
      <c r="A1078" s="148" t="s">
        <v>76</v>
      </c>
      <c r="B1078" s="148" t="s">
        <v>198</v>
      </c>
      <c r="C1078" s="148" t="s">
        <v>45</v>
      </c>
      <c r="D1078" s="148" t="s">
        <v>29</v>
      </c>
      <c r="E1078" s="148" t="s">
        <v>30</v>
      </c>
      <c r="F1078" s="148" t="s">
        <v>199</v>
      </c>
      <c r="G1078" s="148" t="s">
        <v>505</v>
      </c>
      <c r="H1078" s="148">
        <v>2009</v>
      </c>
      <c r="I1078" s="148">
        <v>4</v>
      </c>
      <c r="J1078" s="148" t="s">
        <v>118</v>
      </c>
      <c r="K1078" s="148" t="s">
        <v>327</v>
      </c>
      <c r="M1078" s="148" t="s">
        <v>82</v>
      </c>
      <c r="N1078" s="148">
        <v>8</v>
      </c>
      <c r="O1078" s="148" t="s">
        <v>101</v>
      </c>
      <c r="P1078" s="148" t="s">
        <v>146</v>
      </c>
      <c r="Y1078" s="150" t="s">
        <v>366</v>
      </c>
    </row>
    <row r="1079" spans="1:25" ht="15.75" hidden="1" customHeight="1" x14ac:dyDescent="0.25">
      <c r="A1079" s="148" t="s">
        <v>76</v>
      </c>
      <c r="B1079" s="148" t="s">
        <v>36</v>
      </c>
      <c r="C1079" s="148" t="s">
        <v>28</v>
      </c>
      <c r="D1079" s="148" t="s">
        <v>342</v>
      </c>
      <c r="E1079" s="148" t="s">
        <v>30</v>
      </c>
      <c r="F1079" s="148" t="s">
        <v>3183</v>
      </c>
      <c r="G1079" s="148" t="s">
        <v>114</v>
      </c>
      <c r="H1079" s="148">
        <v>2009</v>
      </c>
      <c r="I1079" s="148">
        <v>4</v>
      </c>
      <c r="J1079" s="148" t="s">
        <v>118</v>
      </c>
      <c r="K1079" s="148" t="s">
        <v>520</v>
      </c>
      <c r="M1079" s="148" t="s">
        <v>701</v>
      </c>
      <c r="N1079" s="148">
        <v>8</v>
      </c>
      <c r="O1079" s="148" t="s">
        <v>101</v>
      </c>
      <c r="P1079" s="148" t="s">
        <v>562</v>
      </c>
      <c r="Y1079" s="150" t="s">
        <v>366</v>
      </c>
    </row>
    <row r="1080" spans="1:25" ht="15.75" hidden="1" customHeight="1" x14ac:dyDescent="0.25">
      <c r="A1080" s="148" t="s">
        <v>26</v>
      </c>
      <c r="B1080" s="148" t="s">
        <v>116</v>
      </c>
      <c r="C1080" s="148" t="s">
        <v>90</v>
      </c>
      <c r="D1080" s="148" t="s">
        <v>29</v>
      </c>
      <c r="E1080" s="148" t="s">
        <v>30</v>
      </c>
      <c r="F1080" s="148" t="s">
        <v>41</v>
      </c>
      <c r="G1080" s="148" t="s">
        <v>683</v>
      </c>
      <c r="H1080" s="148">
        <v>2009</v>
      </c>
      <c r="I1080" s="148">
        <v>4</v>
      </c>
      <c r="J1080" s="148" t="s">
        <v>792</v>
      </c>
      <c r="U1080" s="149" t="s">
        <v>3629</v>
      </c>
      <c r="V1080" s="149" t="s">
        <v>3630</v>
      </c>
      <c r="W1080" s="148" t="s">
        <v>87</v>
      </c>
      <c r="X1080" s="148" t="s">
        <v>793</v>
      </c>
    </row>
    <row r="1081" spans="1:25" ht="15.75" hidden="1" customHeight="1" x14ac:dyDescent="0.25">
      <c r="A1081" s="148" t="s">
        <v>76</v>
      </c>
      <c r="B1081" s="148" t="s">
        <v>103</v>
      </c>
      <c r="C1081" s="148" t="s">
        <v>55</v>
      </c>
      <c r="D1081" s="148" t="s">
        <v>29</v>
      </c>
      <c r="E1081" s="148" t="s">
        <v>95</v>
      </c>
      <c r="F1081" s="148" t="s">
        <v>56</v>
      </c>
      <c r="G1081" s="148" t="s">
        <v>506</v>
      </c>
      <c r="H1081" s="148">
        <v>2009</v>
      </c>
      <c r="I1081" s="148">
        <v>5</v>
      </c>
      <c r="J1081" s="148" t="s">
        <v>150</v>
      </c>
      <c r="K1081" s="148" t="s">
        <v>708</v>
      </c>
      <c r="M1081" s="148" t="s">
        <v>173</v>
      </c>
      <c r="N1081" s="148">
        <v>8</v>
      </c>
      <c r="O1081" s="148" t="s">
        <v>83</v>
      </c>
      <c r="Y1081" s="150" t="s">
        <v>366</v>
      </c>
    </row>
    <row r="1082" spans="1:25" ht="15.75" hidden="1" customHeight="1" x14ac:dyDescent="0.25">
      <c r="A1082" s="148" t="s">
        <v>76</v>
      </c>
      <c r="B1082" s="148" t="s">
        <v>103</v>
      </c>
      <c r="C1082" s="148" t="s">
        <v>55</v>
      </c>
      <c r="D1082" s="148" t="s">
        <v>99</v>
      </c>
      <c r="E1082" s="148" t="s">
        <v>95</v>
      </c>
      <c r="F1082" s="148" t="s">
        <v>56</v>
      </c>
      <c r="G1082" s="148" t="s">
        <v>171</v>
      </c>
      <c r="H1082" s="148">
        <v>2009</v>
      </c>
      <c r="I1082" s="148">
        <v>5</v>
      </c>
      <c r="J1082" s="148" t="s">
        <v>150</v>
      </c>
      <c r="K1082" s="148" t="s">
        <v>708</v>
      </c>
      <c r="M1082" s="148" t="s">
        <v>173</v>
      </c>
      <c r="N1082" s="148">
        <v>8</v>
      </c>
      <c r="O1082" s="148" t="s">
        <v>83</v>
      </c>
      <c r="Y1082" s="150" t="s">
        <v>366</v>
      </c>
    </row>
    <row r="1083" spans="1:25" ht="15.75" hidden="1" customHeight="1" x14ac:dyDescent="0.25">
      <c r="A1083" s="148" t="s">
        <v>76</v>
      </c>
      <c r="B1083" s="148" t="s">
        <v>103</v>
      </c>
      <c r="C1083" s="148" t="s">
        <v>55</v>
      </c>
      <c r="D1083" s="148" t="s">
        <v>29</v>
      </c>
      <c r="E1083" s="148" t="s">
        <v>30</v>
      </c>
      <c r="F1083" s="148" t="s">
        <v>56</v>
      </c>
      <c r="G1083" s="148" t="s">
        <v>382</v>
      </c>
      <c r="H1083" s="148">
        <v>2009</v>
      </c>
      <c r="I1083" s="148">
        <v>5</v>
      </c>
      <c r="J1083" s="148" t="s">
        <v>150</v>
      </c>
      <c r="K1083" s="148" t="s">
        <v>797</v>
      </c>
      <c r="M1083" s="148" t="s">
        <v>236</v>
      </c>
      <c r="N1083" s="148">
        <v>6</v>
      </c>
      <c r="O1083" s="148" t="s">
        <v>83</v>
      </c>
      <c r="Y1083" s="150" t="s">
        <v>366</v>
      </c>
    </row>
    <row r="1084" spans="1:25" ht="15.75" hidden="1" customHeight="1" x14ac:dyDescent="0.25">
      <c r="A1084" s="148" t="s">
        <v>76</v>
      </c>
      <c r="B1084" s="148" t="s">
        <v>103</v>
      </c>
      <c r="C1084" s="148" t="s">
        <v>55</v>
      </c>
      <c r="D1084" s="148" t="s">
        <v>29</v>
      </c>
      <c r="E1084" s="148" t="s">
        <v>95</v>
      </c>
      <c r="F1084" s="148" t="s">
        <v>56</v>
      </c>
      <c r="G1084" s="148" t="s">
        <v>265</v>
      </c>
      <c r="H1084" s="148">
        <v>2009</v>
      </c>
      <c r="I1084" s="148">
        <v>5</v>
      </c>
      <c r="J1084" s="148" t="s">
        <v>150</v>
      </c>
      <c r="K1084" s="148" t="s">
        <v>444</v>
      </c>
      <c r="M1084" s="148" t="s">
        <v>445</v>
      </c>
      <c r="N1084" s="148">
        <v>6</v>
      </c>
      <c r="O1084" s="148" t="s">
        <v>83</v>
      </c>
      <c r="Y1084" s="150" t="s">
        <v>366</v>
      </c>
    </row>
    <row r="1085" spans="1:25" ht="15.75" hidden="1" customHeight="1" x14ac:dyDescent="0.25">
      <c r="A1085" s="148" t="s">
        <v>76</v>
      </c>
      <c r="B1085" s="148" t="s">
        <v>116</v>
      </c>
      <c r="C1085" s="148" t="s">
        <v>90</v>
      </c>
      <c r="D1085" s="148" t="s">
        <v>86</v>
      </c>
      <c r="E1085" s="148" t="s">
        <v>40</v>
      </c>
      <c r="F1085" s="148" t="s">
        <v>41</v>
      </c>
      <c r="G1085" s="148" t="s">
        <v>117</v>
      </c>
      <c r="H1085" s="148">
        <v>2009</v>
      </c>
      <c r="I1085" s="148">
        <v>5</v>
      </c>
      <c r="J1085" s="148" t="s">
        <v>118</v>
      </c>
      <c r="K1085" s="148" t="s">
        <v>327</v>
      </c>
      <c r="M1085" s="148" t="s">
        <v>82</v>
      </c>
      <c r="N1085" s="148">
        <v>8</v>
      </c>
      <c r="O1085" s="148" t="s">
        <v>101</v>
      </c>
      <c r="P1085" s="148" t="s">
        <v>798</v>
      </c>
      <c r="Y1085" s="150" t="s">
        <v>366</v>
      </c>
    </row>
    <row r="1086" spans="1:25" ht="15.75" hidden="1" customHeight="1" x14ac:dyDescent="0.25">
      <c r="A1086" s="148" t="s">
        <v>76</v>
      </c>
      <c r="B1086" s="148" t="s">
        <v>103</v>
      </c>
      <c r="C1086" s="148" t="s">
        <v>55</v>
      </c>
      <c r="D1086" s="148" t="s">
        <v>29</v>
      </c>
      <c r="E1086" s="148" t="s">
        <v>30</v>
      </c>
      <c r="F1086" s="148" t="s">
        <v>56</v>
      </c>
      <c r="G1086" s="148" t="s">
        <v>405</v>
      </c>
      <c r="H1086" s="148">
        <v>2009</v>
      </c>
      <c r="I1086" s="148">
        <v>5</v>
      </c>
      <c r="J1086" s="148" t="s">
        <v>150</v>
      </c>
      <c r="K1086" s="148" t="s">
        <v>379</v>
      </c>
      <c r="M1086" s="148" t="s">
        <v>126</v>
      </c>
      <c r="N1086" s="148">
        <v>10</v>
      </c>
      <c r="O1086" s="148" t="s">
        <v>83</v>
      </c>
      <c r="Y1086" s="150" t="s">
        <v>366</v>
      </c>
    </row>
    <row r="1087" spans="1:25" ht="15.75" hidden="1" customHeight="1" x14ac:dyDescent="0.25">
      <c r="A1087" s="148" t="s">
        <v>76</v>
      </c>
      <c r="B1087" s="148" t="s">
        <v>103</v>
      </c>
      <c r="C1087" s="148" t="s">
        <v>55</v>
      </c>
      <c r="D1087" s="148" t="s">
        <v>29</v>
      </c>
      <c r="E1087" s="148" t="s">
        <v>95</v>
      </c>
      <c r="F1087" s="148" t="s">
        <v>56</v>
      </c>
      <c r="G1087" s="148" t="s">
        <v>104</v>
      </c>
      <c r="H1087" s="148">
        <v>2009</v>
      </c>
      <c r="I1087" s="148">
        <v>5</v>
      </c>
      <c r="J1087" s="148" t="s">
        <v>150</v>
      </c>
      <c r="K1087" s="148" t="s">
        <v>379</v>
      </c>
      <c r="M1087" s="148" t="s">
        <v>126</v>
      </c>
      <c r="N1087" s="148">
        <v>10</v>
      </c>
      <c r="O1087" s="148" t="s">
        <v>83</v>
      </c>
      <c r="Y1087" s="150" t="s">
        <v>366</v>
      </c>
    </row>
    <row r="1088" spans="1:25" ht="15.75" hidden="1" customHeight="1" x14ac:dyDescent="0.25">
      <c r="A1088" s="148" t="s">
        <v>76</v>
      </c>
      <c r="B1088" s="148" t="s">
        <v>103</v>
      </c>
      <c r="C1088" s="148" t="s">
        <v>55</v>
      </c>
      <c r="D1088" s="148" t="s">
        <v>29</v>
      </c>
      <c r="E1088" s="148" t="s">
        <v>95</v>
      </c>
      <c r="F1088" s="148" t="s">
        <v>56</v>
      </c>
      <c r="G1088" s="148" t="s">
        <v>407</v>
      </c>
      <c r="H1088" s="148">
        <v>2009</v>
      </c>
      <c r="I1088" s="148">
        <v>5</v>
      </c>
      <c r="J1088" s="148" t="s">
        <v>150</v>
      </c>
      <c r="K1088" s="148" t="s">
        <v>444</v>
      </c>
      <c r="M1088" s="148" t="s">
        <v>445</v>
      </c>
      <c r="N1088" s="148">
        <v>6</v>
      </c>
      <c r="O1088" s="148" t="s">
        <v>83</v>
      </c>
      <c r="Y1088" s="150" t="s">
        <v>366</v>
      </c>
    </row>
    <row r="1089" spans="1:25" ht="15.75" hidden="1" customHeight="1" x14ac:dyDescent="0.25">
      <c r="A1089" s="148" t="s">
        <v>76</v>
      </c>
      <c r="B1089" s="148" t="s">
        <v>36</v>
      </c>
      <c r="C1089" s="148" t="s">
        <v>28</v>
      </c>
      <c r="D1089" s="148" t="s">
        <v>29</v>
      </c>
      <c r="E1089" s="148" t="s">
        <v>30</v>
      </c>
      <c r="F1089" s="148" t="s">
        <v>3183</v>
      </c>
      <c r="G1089" s="148" t="s">
        <v>722</v>
      </c>
      <c r="H1089" s="148">
        <v>2009</v>
      </c>
      <c r="I1089" s="148">
        <v>5</v>
      </c>
      <c r="J1089" s="148" t="s">
        <v>80</v>
      </c>
      <c r="K1089" s="148" t="s">
        <v>629</v>
      </c>
      <c r="M1089" s="148" t="s">
        <v>120</v>
      </c>
      <c r="N1089" s="148">
        <v>6</v>
      </c>
      <c r="O1089" s="148" t="s">
        <v>83</v>
      </c>
      <c r="P1089" s="148" t="s">
        <v>799</v>
      </c>
      <c r="Y1089" s="150" t="s">
        <v>366</v>
      </c>
    </row>
    <row r="1090" spans="1:25" ht="15.75" hidden="1" customHeight="1" x14ac:dyDescent="0.25">
      <c r="A1090" s="148" t="s">
        <v>76</v>
      </c>
      <c r="B1090" s="148" t="s">
        <v>89</v>
      </c>
      <c r="C1090" s="148" t="s">
        <v>90</v>
      </c>
      <c r="D1090" s="148" t="s">
        <v>29</v>
      </c>
      <c r="E1090" s="148" t="s">
        <v>30</v>
      </c>
      <c r="F1090" s="148" t="s">
        <v>91</v>
      </c>
      <c r="G1090" s="148" t="s">
        <v>222</v>
      </c>
      <c r="H1090" s="148">
        <v>2009</v>
      </c>
      <c r="I1090" s="148">
        <v>5</v>
      </c>
      <c r="J1090" s="148" t="s">
        <v>150</v>
      </c>
      <c r="K1090" s="148" t="s">
        <v>629</v>
      </c>
      <c r="M1090" s="148" t="s">
        <v>120</v>
      </c>
      <c r="N1090" s="148">
        <v>6</v>
      </c>
      <c r="O1090" s="148" t="s">
        <v>83</v>
      </c>
      <c r="Y1090" s="150" t="s">
        <v>366</v>
      </c>
    </row>
    <row r="1091" spans="1:25" ht="15.75" hidden="1" customHeight="1" x14ac:dyDescent="0.25">
      <c r="A1091" s="148" t="s">
        <v>76</v>
      </c>
      <c r="B1091" s="148" t="s">
        <v>77</v>
      </c>
      <c r="C1091" s="148" t="s">
        <v>55</v>
      </c>
      <c r="D1091" s="148" t="s">
        <v>29</v>
      </c>
      <c r="E1091" s="148" t="s">
        <v>30</v>
      </c>
      <c r="F1091" s="148" t="s">
        <v>41</v>
      </c>
      <c r="G1091" s="148" t="s">
        <v>161</v>
      </c>
      <c r="H1091" s="148">
        <v>2009</v>
      </c>
      <c r="I1091" s="148">
        <v>5</v>
      </c>
      <c r="J1091" s="148" t="s">
        <v>118</v>
      </c>
      <c r="K1091" s="148" t="s">
        <v>327</v>
      </c>
      <c r="M1091" s="148" t="s">
        <v>82</v>
      </c>
      <c r="N1091" s="148">
        <v>8</v>
      </c>
      <c r="O1091" s="148" t="s">
        <v>101</v>
      </c>
      <c r="P1091" s="148" t="s">
        <v>632</v>
      </c>
      <c r="Y1091" s="150" t="s">
        <v>366</v>
      </c>
    </row>
    <row r="1092" spans="1:25" ht="15.75" hidden="1" customHeight="1" x14ac:dyDescent="0.25">
      <c r="A1092" s="148" t="s">
        <v>76</v>
      </c>
      <c r="B1092" s="148" t="s">
        <v>89</v>
      </c>
      <c r="C1092" s="148" t="s">
        <v>90</v>
      </c>
      <c r="D1092" s="148" t="s">
        <v>29</v>
      </c>
      <c r="E1092" s="148" t="s">
        <v>30</v>
      </c>
      <c r="F1092" s="148" t="s">
        <v>91</v>
      </c>
      <c r="G1092" s="148" t="s">
        <v>552</v>
      </c>
      <c r="H1092" s="148">
        <v>2009</v>
      </c>
      <c r="I1092" s="148">
        <v>5</v>
      </c>
      <c r="J1092" s="148" t="s">
        <v>118</v>
      </c>
      <c r="K1092" s="148" t="s">
        <v>327</v>
      </c>
      <c r="M1092" s="148" t="s">
        <v>82</v>
      </c>
      <c r="N1092" s="148">
        <v>8</v>
      </c>
      <c r="O1092" s="148" t="s">
        <v>101</v>
      </c>
      <c r="P1092" s="148" t="s">
        <v>146</v>
      </c>
      <c r="Y1092" s="150" t="s">
        <v>366</v>
      </c>
    </row>
    <row r="1093" spans="1:25" ht="15.75" hidden="1" customHeight="1" x14ac:dyDescent="0.25">
      <c r="A1093" s="148" t="s">
        <v>76</v>
      </c>
      <c r="B1093" s="148" t="s">
        <v>89</v>
      </c>
      <c r="C1093" s="148" t="s">
        <v>90</v>
      </c>
      <c r="D1093" s="148" t="s">
        <v>29</v>
      </c>
      <c r="E1093" s="148" t="s">
        <v>30</v>
      </c>
      <c r="F1093" s="148" t="s">
        <v>91</v>
      </c>
      <c r="G1093" s="148" t="s">
        <v>411</v>
      </c>
      <c r="H1093" s="148">
        <v>2009</v>
      </c>
      <c r="I1093" s="148">
        <v>5</v>
      </c>
      <c r="J1093" s="148" t="s">
        <v>118</v>
      </c>
      <c r="K1093" s="148" t="s">
        <v>327</v>
      </c>
      <c r="M1093" s="148" t="s">
        <v>82</v>
      </c>
      <c r="N1093" s="148">
        <v>8</v>
      </c>
      <c r="O1093" s="148" t="s">
        <v>101</v>
      </c>
      <c r="P1093" s="148" t="s">
        <v>146</v>
      </c>
      <c r="Y1093" s="150" t="s">
        <v>366</v>
      </c>
    </row>
    <row r="1094" spans="1:25" ht="15.75" hidden="1" customHeight="1" x14ac:dyDescent="0.25">
      <c r="A1094" s="148" t="s">
        <v>76</v>
      </c>
      <c r="B1094" s="148" t="s">
        <v>89</v>
      </c>
      <c r="C1094" s="148" t="s">
        <v>90</v>
      </c>
      <c r="D1094" s="148" t="s">
        <v>29</v>
      </c>
      <c r="E1094" s="148" t="s">
        <v>30</v>
      </c>
      <c r="F1094" s="148" t="s">
        <v>91</v>
      </c>
      <c r="G1094" s="148" t="s">
        <v>329</v>
      </c>
      <c r="H1094" s="148">
        <v>2009</v>
      </c>
      <c r="I1094" s="148">
        <v>5</v>
      </c>
      <c r="J1094" s="148" t="s">
        <v>150</v>
      </c>
      <c r="K1094" s="148" t="s">
        <v>629</v>
      </c>
      <c r="M1094" s="148" t="s">
        <v>120</v>
      </c>
      <c r="N1094" s="148">
        <v>6</v>
      </c>
      <c r="O1094" s="148" t="s">
        <v>83</v>
      </c>
      <c r="Y1094" s="150" t="s">
        <v>366</v>
      </c>
    </row>
    <row r="1095" spans="1:25" ht="15.75" hidden="1" customHeight="1" x14ac:dyDescent="0.25">
      <c r="A1095" s="148" t="s">
        <v>76</v>
      </c>
      <c r="B1095" s="148" t="s">
        <v>103</v>
      </c>
      <c r="C1095" s="148" t="s">
        <v>55</v>
      </c>
      <c r="D1095" s="148" t="s">
        <v>478</v>
      </c>
      <c r="E1095" s="148" t="s">
        <v>95</v>
      </c>
      <c r="F1095" s="148" t="s">
        <v>56</v>
      </c>
      <c r="G1095" s="148" t="s">
        <v>225</v>
      </c>
      <c r="H1095" s="148">
        <v>2009</v>
      </c>
      <c r="I1095" s="148">
        <v>5</v>
      </c>
      <c r="J1095" s="148" t="s">
        <v>150</v>
      </c>
      <c r="K1095" s="148" t="s">
        <v>444</v>
      </c>
      <c r="M1095" s="148" t="s">
        <v>445</v>
      </c>
      <c r="N1095" s="148">
        <v>6</v>
      </c>
      <c r="O1095" s="148" t="s">
        <v>83</v>
      </c>
      <c r="Y1095" s="150" t="s">
        <v>366</v>
      </c>
    </row>
    <row r="1096" spans="1:25" ht="15.75" hidden="1" customHeight="1" x14ac:dyDescent="0.25">
      <c r="A1096" s="148" t="s">
        <v>76</v>
      </c>
      <c r="B1096" s="148" t="s">
        <v>103</v>
      </c>
      <c r="C1096" s="148" t="s">
        <v>55</v>
      </c>
      <c r="D1096" s="148" t="s">
        <v>490</v>
      </c>
      <c r="E1096" s="148" t="s">
        <v>95</v>
      </c>
      <c r="F1096" s="148" t="s">
        <v>56</v>
      </c>
      <c r="G1096" s="148" t="s">
        <v>168</v>
      </c>
      <c r="H1096" s="148">
        <v>2009</v>
      </c>
      <c r="I1096" s="148">
        <v>5</v>
      </c>
      <c r="J1096" s="148" t="s">
        <v>150</v>
      </c>
      <c r="K1096" s="148" t="s">
        <v>797</v>
      </c>
      <c r="M1096" s="148" t="s">
        <v>236</v>
      </c>
      <c r="N1096" s="148">
        <v>6</v>
      </c>
      <c r="O1096" s="148" t="s">
        <v>83</v>
      </c>
      <c r="Y1096" s="150" t="s">
        <v>366</v>
      </c>
    </row>
    <row r="1097" spans="1:25" ht="15.75" hidden="1" customHeight="1" x14ac:dyDescent="0.25">
      <c r="A1097" s="148" t="s">
        <v>76</v>
      </c>
      <c r="B1097" s="148" t="s">
        <v>54</v>
      </c>
      <c r="C1097" s="148" t="s">
        <v>55</v>
      </c>
      <c r="D1097" s="148" t="s">
        <v>65</v>
      </c>
      <c r="E1097" s="148" t="s">
        <v>30</v>
      </c>
      <c r="F1097" s="148" t="s">
        <v>56</v>
      </c>
      <c r="G1097" s="148" t="s">
        <v>54</v>
      </c>
      <c r="H1097" s="148">
        <v>2009</v>
      </c>
      <c r="I1097" s="148">
        <v>5</v>
      </c>
      <c r="J1097" s="148" t="s">
        <v>150</v>
      </c>
      <c r="K1097" s="148" t="s">
        <v>708</v>
      </c>
      <c r="M1097" s="148" t="s">
        <v>173</v>
      </c>
      <c r="N1097" s="148">
        <v>8</v>
      </c>
      <c r="O1097" s="148" t="s">
        <v>83</v>
      </c>
      <c r="Y1097" s="150" t="s">
        <v>366</v>
      </c>
    </row>
    <row r="1098" spans="1:25" ht="15.75" hidden="1" customHeight="1" x14ac:dyDescent="0.25">
      <c r="A1098" s="148" t="s">
        <v>76</v>
      </c>
      <c r="B1098" s="148" t="s">
        <v>62</v>
      </c>
      <c r="C1098" s="148" t="s">
        <v>28</v>
      </c>
      <c r="D1098" s="148" t="s">
        <v>86</v>
      </c>
      <c r="E1098" s="148" t="s">
        <v>51</v>
      </c>
      <c r="F1098" s="148" t="s">
        <v>3183</v>
      </c>
      <c r="G1098" s="148" t="s">
        <v>130</v>
      </c>
      <c r="H1098" s="148">
        <v>2009</v>
      </c>
      <c r="I1098" s="148">
        <v>5</v>
      </c>
      <c r="J1098" s="148" t="s">
        <v>118</v>
      </c>
      <c r="K1098" s="148" t="s">
        <v>327</v>
      </c>
      <c r="M1098" s="148" t="s">
        <v>82</v>
      </c>
      <c r="N1098" s="148">
        <v>8</v>
      </c>
      <c r="O1098" s="148" t="s">
        <v>101</v>
      </c>
      <c r="P1098" s="148" t="s">
        <v>146</v>
      </c>
      <c r="Y1098" s="150" t="s">
        <v>366</v>
      </c>
    </row>
    <row r="1099" spans="1:25" ht="15.75" hidden="1" customHeight="1" x14ac:dyDescent="0.25">
      <c r="A1099" s="148" t="s">
        <v>76</v>
      </c>
      <c r="B1099" s="148" t="s">
        <v>103</v>
      </c>
      <c r="C1099" s="148" t="s">
        <v>55</v>
      </c>
      <c r="D1099" s="148" t="s">
        <v>478</v>
      </c>
      <c r="E1099" s="148" t="s">
        <v>95</v>
      </c>
      <c r="F1099" s="148" t="s">
        <v>56</v>
      </c>
      <c r="G1099" s="148" t="s">
        <v>338</v>
      </c>
      <c r="H1099" s="148">
        <v>2009</v>
      </c>
      <c r="I1099" s="148">
        <v>5</v>
      </c>
      <c r="J1099" s="148" t="s">
        <v>150</v>
      </c>
      <c r="K1099" s="148" t="s">
        <v>629</v>
      </c>
      <c r="M1099" s="148" t="s">
        <v>120</v>
      </c>
      <c r="N1099" s="148">
        <v>6</v>
      </c>
      <c r="O1099" s="148" t="s">
        <v>83</v>
      </c>
      <c r="Y1099" s="150" t="s">
        <v>366</v>
      </c>
    </row>
    <row r="1100" spans="1:25" ht="15.75" hidden="1" customHeight="1" x14ac:dyDescent="0.25">
      <c r="A1100" s="148" t="s">
        <v>76</v>
      </c>
      <c r="B1100" s="148" t="s">
        <v>36</v>
      </c>
      <c r="C1100" s="148" t="s">
        <v>28</v>
      </c>
      <c r="D1100" s="148" t="s">
        <v>99</v>
      </c>
      <c r="E1100" s="148" t="s">
        <v>51</v>
      </c>
      <c r="F1100" s="148" t="s">
        <v>3183</v>
      </c>
      <c r="G1100" s="148" t="s">
        <v>52</v>
      </c>
      <c r="H1100" s="148">
        <v>2009</v>
      </c>
      <c r="I1100" s="148">
        <v>5</v>
      </c>
      <c r="J1100" s="148" t="s">
        <v>118</v>
      </c>
      <c r="K1100" s="148" t="s">
        <v>327</v>
      </c>
      <c r="M1100" s="148" t="s">
        <v>82</v>
      </c>
      <c r="N1100" s="148">
        <v>8</v>
      </c>
      <c r="O1100" s="148" t="s">
        <v>101</v>
      </c>
      <c r="P1100" s="148" t="s">
        <v>551</v>
      </c>
      <c r="Y1100" s="150" t="s">
        <v>366</v>
      </c>
    </row>
    <row r="1101" spans="1:25" ht="15.75" hidden="1" customHeight="1" x14ac:dyDescent="0.25">
      <c r="A1101" s="148" t="s">
        <v>76</v>
      </c>
      <c r="B1101" s="148" t="s">
        <v>103</v>
      </c>
      <c r="C1101" s="148" t="s">
        <v>55</v>
      </c>
      <c r="D1101" s="148" t="s">
        <v>29</v>
      </c>
      <c r="E1101" s="148" t="s">
        <v>95</v>
      </c>
      <c r="F1101" s="148" t="s">
        <v>56</v>
      </c>
      <c r="G1101" s="148" t="s">
        <v>186</v>
      </c>
      <c r="H1101" s="148">
        <v>2009</v>
      </c>
      <c r="I1101" s="148">
        <v>5</v>
      </c>
      <c r="J1101" s="148" t="s">
        <v>150</v>
      </c>
      <c r="K1101" s="148" t="s">
        <v>379</v>
      </c>
      <c r="M1101" s="148" t="s">
        <v>126</v>
      </c>
      <c r="N1101" s="148">
        <v>10</v>
      </c>
      <c r="O1101" s="148" t="s">
        <v>83</v>
      </c>
      <c r="Y1101" s="150" t="s">
        <v>366</v>
      </c>
    </row>
    <row r="1102" spans="1:25" ht="15.75" hidden="1" customHeight="1" x14ac:dyDescent="0.25">
      <c r="A1102" s="148" t="s">
        <v>76</v>
      </c>
      <c r="B1102" s="148" t="s">
        <v>44</v>
      </c>
      <c r="C1102" s="148" t="s">
        <v>45</v>
      </c>
      <c r="D1102" s="148" t="s">
        <v>29</v>
      </c>
      <c r="E1102" s="148" t="s">
        <v>46</v>
      </c>
      <c r="F1102" s="148" t="s">
        <v>47</v>
      </c>
      <c r="G1102" s="148" t="s">
        <v>48</v>
      </c>
      <c r="H1102" s="148">
        <v>2009</v>
      </c>
      <c r="I1102" s="148">
        <v>5</v>
      </c>
      <c r="J1102" s="148" t="s">
        <v>150</v>
      </c>
      <c r="K1102" s="148" t="s">
        <v>629</v>
      </c>
      <c r="M1102" s="148" t="s">
        <v>120</v>
      </c>
      <c r="N1102" s="148">
        <v>6</v>
      </c>
      <c r="O1102" s="148" t="s">
        <v>83</v>
      </c>
      <c r="P1102" s="148" t="s">
        <v>183</v>
      </c>
      <c r="Y1102" s="150" t="s">
        <v>366</v>
      </c>
    </row>
    <row r="1103" spans="1:25" ht="15.75" hidden="1" customHeight="1" x14ac:dyDescent="0.25">
      <c r="A1103" s="148" t="s">
        <v>76</v>
      </c>
      <c r="B1103" s="148" t="s">
        <v>103</v>
      </c>
      <c r="C1103" s="148" t="s">
        <v>55</v>
      </c>
      <c r="D1103" s="148" t="s">
        <v>29</v>
      </c>
      <c r="E1103" s="148" t="s">
        <v>30</v>
      </c>
      <c r="F1103" s="148" t="s">
        <v>56</v>
      </c>
      <c r="G1103" s="148" t="s">
        <v>405</v>
      </c>
      <c r="H1103" s="148">
        <v>2009</v>
      </c>
      <c r="I1103" s="148">
        <v>6</v>
      </c>
      <c r="J1103" s="148" t="s">
        <v>150</v>
      </c>
      <c r="K1103" s="148" t="s">
        <v>629</v>
      </c>
      <c r="M1103" s="148" t="s">
        <v>120</v>
      </c>
      <c r="N1103" s="148">
        <v>6</v>
      </c>
      <c r="O1103" s="148" t="s">
        <v>83</v>
      </c>
      <c r="Y1103" s="150" t="s">
        <v>366</v>
      </c>
    </row>
    <row r="1104" spans="1:25" ht="15.75" hidden="1" customHeight="1" x14ac:dyDescent="0.25">
      <c r="A1104" s="148" t="s">
        <v>76</v>
      </c>
      <c r="B1104" s="148" t="s">
        <v>89</v>
      </c>
      <c r="C1104" s="148" t="s">
        <v>90</v>
      </c>
      <c r="D1104" s="148" t="s">
        <v>29</v>
      </c>
      <c r="E1104" s="148" t="s">
        <v>30</v>
      </c>
      <c r="F1104" s="148" t="s">
        <v>91</v>
      </c>
      <c r="G1104" s="148" t="s">
        <v>298</v>
      </c>
      <c r="H1104" s="148">
        <v>2009</v>
      </c>
      <c r="I1104" s="148">
        <v>6</v>
      </c>
      <c r="J1104" s="148" t="s">
        <v>150</v>
      </c>
      <c r="K1104" s="148" t="s">
        <v>629</v>
      </c>
      <c r="M1104" s="148" t="s">
        <v>120</v>
      </c>
      <c r="N1104" s="148">
        <v>6</v>
      </c>
      <c r="O1104" s="148" t="s">
        <v>83</v>
      </c>
      <c r="Y1104" s="150" t="s">
        <v>366</v>
      </c>
    </row>
    <row r="1105" spans="1:25" ht="15.75" hidden="1" customHeight="1" x14ac:dyDescent="0.25">
      <c r="A1105" s="148" t="s">
        <v>307</v>
      </c>
      <c r="B1105" s="148" t="s">
        <v>89</v>
      </c>
      <c r="C1105" s="148" t="s">
        <v>90</v>
      </c>
      <c r="D1105" s="148" t="s">
        <v>29</v>
      </c>
      <c r="E1105" s="148" t="s">
        <v>30</v>
      </c>
      <c r="F1105" s="148" t="s">
        <v>91</v>
      </c>
      <c r="G1105" s="148" t="s">
        <v>298</v>
      </c>
      <c r="H1105" s="148">
        <v>2009</v>
      </c>
      <c r="I1105" s="148">
        <v>6</v>
      </c>
      <c r="J1105" s="148" t="s">
        <v>308</v>
      </c>
      <c r="Q1105" s="148" t="s">
        <v>426</v>
      </c>
      <c r="R1105" s="148" t="s">
        <v>800</v>
      </c>
      <c r="S1105" s="148" t="s">
        <v>311</v>
      </c>
      <c r="T1105" s="148" t="s">
        <v>801</v>
      </c>
      <c r="Y1105" s="150" t="s">
        <v>366</v>
      </c>
    </row>
    <row r="1106" spans="1:25" ht="15.75" hidden="1" customHeight="1" x14ac:dyDescent="0.25">
      <c r="A1106" s="148" t="s">
        <v>307</v>
      </c>
      <c r="B1106" s="148" t="s">
        <v>62</v>
      </c>
      <c r="C1106" s="148" t="s">
        <v>28</v>
      </c>
      <c r="D1106" s="148" t="s">
        <v>29</v>
      </c>
      <c r="E1106" s="148" t="s">
        <v>30</v>
      </c>
      <c r="F1106" s="148" t="s">
        <v>3183</v>
      </c>
      <c r="G1106" s="148" t="s">
        <v>244</v>
      </c>
      <c r="H1106" s="148">
        <v>2009</v>
      </c>
      <c r="I1106" s="148">
        <v>6</v>
      </c>
      <c r="J1106" s="148" t="s">
        <v>308</v>
      </c>
      <c r="Q1106" s="148" t="s">
        <v>426</v>
      </c>
      <c r="R1106" s="148" t="s">
        <v>802</v>
      </c>
      <c r="S1106" s="148" t="s">
        <v>311</v>
      </c>
      <c r="T1106" s="148" t="s">
        <v>803</v>
      </c>
      <c r="Y1106" s="150" t="s">
        <v>366</v>
      </c>
    </row>
    <row r="1107" spans="1:25" ht="15.75" hidden="1" customHeight="1" x14ac:dyDescent="0.25">
      <c r="A1107" s="148" t="s">
        <v>76</v>
      </c>
      <c r="B1107" s="148" t="s">
        <v>89</v>
      </c>
      <c r="C1107" s="148" t="s">
        <v>90</v>
      </c>
      <c r="D1107" s="148" t="s">
        <v>29</v>
      </c>
      <c r="E1107" s="148" t="s">
        <v>30</v>
      </c>
      <c r="F1107" s="148" t="s">
        <v>91</v>
      </c>
      <c r="G1107" s="148" t="s">
        <v>329</v>
      </c>
      <c r="H1107" s="148">
        <v>2009</v>
      </c>
      <c r="I1107" s="148">
        <v>6</v>
      </c>
      <c r="J1107" s="148" t="s">
        <v>118</v>
      </c>
      <c r="K1107" s="148" t="s">
        <v>327</v>
      </c>
      <c r="M1107" s="148" t="s">
        <v>82</v>
      </c>
      <c r="N1107" s="148">
        <v>8</v>
      </c>
      <c r="O1107" s="148" t="s">
        <v>101</v>
      </c>
      <c r="P1107" s="148" t="s">
        <v>709</v>
      </c>
      <c r="Y1107" s="150" t="s">
        <v>366</v>
      </c>
    </row>
    <row r="1108" spans="1:25" ht="15.75" hidden="1" customHeight="1" x14ac:dyDescent="0.25">
      <c r="A1108" s="148" t="s">
        <v>76</v>
      </c>
      <c r="B1108" s="148" t="s">
        <v>103</v>
      </c>
      <c r="C1108" s="148" t="s">
        <v>55</v>
      </c>
      <c r="D1108" s="148" t="s">
        <v>29</v>
      </c>
      <c r="E1108" s="148" t="s">
        <v>95</v>
      </c>
      <c r="F1108" s="148" t="s">
        <v>56</v>
      </c>
      <c r="G1108" s="148" t="s">
        <v>180</v>
      </c>
      <c r="H1108" s="148">
        <v>2009</v>
      </c>
      <c r="I1108" s="148">
        <v>6</v>
      </c>
      <c r="J1108" s="148" t="s">
        <v>150</v>
      </c>
      <c r="K1108" s="148" t="s">
        <v>555</v>
      </c>
      <c r="M1108" s="148" t="s">
        <v>246</v>
      </c>
      <c r="N1108" s="148">
        <v>6</v>
      </c>
      <c r="O1108" s="148" t="s">
        <v>83</v>
      </c>
      <c r="Y1108" s="150" t="s">
        <v>366</v>
      </c>
    </row>
    <row r="1109" spans="1:25" ht="15.75" hidden="1" customHeight="1" x14ac:dyDescent="0.25">
      <c r="A1109" s="148" t="s">
        <v>26</v>
      </c>
      <c r="B1109" s="148" t="s">
        <v>116</v>
      </c>
      <c r="C1109" s="148" t="s">
        <v>90</v>
      </c>
      <c r="D1109" s="148" t="s">
        <v>29</v>
      </c>
      <c r="E1109" s="148" t="s">
        <v>30</v>
      </c>
      <c r="F1109" s="148" t="s">
        <v>41</v>
      </c>
      <c r="G1109" s="148" t="s">
        <v>784</v>
      </c>
      <c r="H1109" s="148">
        <v>2009</v>
      </c>
      <c r="I1109" s="148">
        <v>6</v>
      </c>
      <c r="J1109" s="148" t="s">
        <v>792</v>
      </c>
      <c r="U1109" s="149" t="s">
        <v>3629</v>
      </c>
      <c r="V1109" s="149" t="s">
        <v>3631</v>
      </c>
      <c r="W1109" s="148" t="s">
        <v>87</v>
      </c>
      <c r="X1109" s="148" t="s">
        <v>804</v>
      </c>
    </row>
    <row r="1110" spans="1:25" ht="15.75" hidden="1" customHeight="1" x14ac:dyDescent="0.25">
      <c r="A1110" s="148" t="s">
        <v>76</v>
      </c>
      <c r="B1110" s="148" t="s">
        <v>27</v>
      </c>
      <c r="C1110" s="148" t="s">
        <v>28</v>
      </c>
      <c r="D1110" s="148" t="s">
        <v>99</v>
      </c>
      <c r="E1110" s="148" t="s">
        <v>40</v>
      </c>
      <c r="F1110" s="148" t="s">
        <v>41</v>
      </c>
      <c r="G1110" s="148" t="s">
        <v>42</v>
      </c>
      <c r="H1110" s="148">
        <v>2009</v>
      </c>
      <c r="I1110" s="148">
        <v>6</v>
      </c>
      <c r="J1110" s="148" t="s">
        <v>118</v>
      </c>
      <c r="K1110" s="148" t="s">
        <v>327</v>
      </c>
      <c r="M1110" s="148" t="s">
        <v>82</v>
      </c>
      <c r="N1110" s="148">
        <v>8</v>
      </c>
      <c r="O1110" s="148" t="s">
        <v>101</v>
      </c>
      <c r="P1110" s="148" t="s">
        <v>425</v>
      </c>
      <c r="Y1110" s="150" t="s">
        <v>366</v>
      </c>
    </row>
    <row r="1111" spans="1:25" ht="15.75" hidden="1" customHeight="1" x14ac:dyDescent="0.25">
      <c r="A1111" s="148" t="s">
        <v>76</v>
      </c>
      <c r="B1111" s="148" t="s">
        <v>36</v>
      </c>
      <c r="C1111" s="148" t="s">
        <v>45</v>
      </c>
      <c r="D1111" s="148" t="s">
        <v>29</v>
      </c>
      <c r="E1111" s="148" t="s">
        <v>30</v>
      </c>
      <c r="F1111" s="148" t="s">
        <v>3183</v>
      </c>
      <c r="G1111" s="148" t="s">
        <v>600</v>
      </c>
      <c r="H1111" s="148">
        <v>2009</v>
      </c>
      <c r="I1111" s="148">
        <v>6</v>
      </c>
      <c r="J1111" s="148" t="s">
        <v>118</v>
      </c>
      <c r="K1111" s="148" t="s">
        <v>327</v>
      </c>
      <c r="M1111" s="148" t="s">
        <v>82</v>
      </c>
      <c r="N1111" s="148">
        <v>8</v>
      </c>
      <c r="O1111" s="148" t="s">
        <v>101</v>
      </c>
      <c r="P1111" s="148" t="s">
        <v>805</v>
      </c>
      <c r="Y1111" s="150" t="s">
        <v>366</v>
      </c>
    </row>
    <row r="1112" spans="1:25" ht="15.75" hidden="1" customHeight="1" x14ac:dyDescent="0.25">
      <c r="A1112" s="148" t="s">
        <v>307</v>
      </c>
      <c r="B1112" s="148" t="s">
        <v>36</v>
      </c>
      <c r="C1112" s="148" t="s">
        <v>28</v>
      </c>
      <c r="D1112" s="148" t="s">
        <v>29</v>
      </c>
      <c r="E1112" s="148" t="s">
        <v>30</v>
      </c>
      <c r="F1112" s="148" t="s">
        <v>3183</v>
      </c>
      <c r="G1112" s="148" t="s">
        <v>194</v>
      </c>
      <c r="H1112" s="148">
        <v>2009</v>
      </c>
      <c r="I1112" s="148">
        <v>6</v>
      </c>
      <c r="J1112" s="148" t="s">
        <v>308</v>
      </c>
      <c r="Q1112" s="148" t="s">
        <v>426</v>
      </c>
      <c r="R1112" s="148" t="s">
        <v>806</v>
      </c>
      <c r="S1112" s="148" t="s">
        <v>311</v>
      </c>
      <c r="T1112" s="148" t="s">
        <v>807</v>
      </c>
      <c r="Y1112" s="150" t="s">
        <v>366</v>
      </c>
    </row>
    <row r="1113" spans="1:25" ht="15.75" hidden="1" customHeight="1" x14ac:dyDescent="0.25">
      <c r="A1113" s="148" t="s">
        <v>76</v>
      </c>
      <c r="B1113" s="148" t="s">
        <v>103</v>
      </c>
      <c r="C1113" s="148" t="s">
        <v>55</v>
      </c>
      <c r="D1113" s="148" t="s">
        <v>478</v>
      </c>
      <c r="E1113" s="148" t="s">
        <v>95</v>
      </c>
      <c r="F1113" s="148" t="s">
        <v>56</v>
      </c>
      <c r="G1113" s="148" t="s">
        <v>338</v>
      </c>
      <c r="H1113" s="148">
        <v>2009</v>
      </c>
      <c r="I1113" s="148">
        <v>6</v>
      </c>
      <c r="J1113" s="148" t="s">
        <v>150</v>
      </c>
      <c r="K1113" s="148" t="s">
        <v>715</v>
      </c>
      <c r="M1113" s="148" t="s">
        <v>574</v>
      </c>
      <c r="N1113" s="148">
        <v>6</v>
      </c>
      <c r="O1113" s="148" t="s">
        <v>83</v>
      </c>
      <c r="Y1113" s="150" t="s">
        <v>366</v>
      </c>
    </row>
    <row r="1114" spans="1:25" ht="15.75" hidden="1" customHeight="1" x14ac:dyDescent="0.25">
      <c r="A1114" s="148" t="s">
        <v>76</v>
      </c>
      <c r="B1114" s="148" t="s">
        <v>198</v>
      </c>
      <c r="C1114" s="148" t="s">
        <v>45</v>
      </c>
      <c r="D1114" s="148" t="s">
        <v>29</v>
      </c>
      <c r="E1114" s="148" t="s">
        <v>30</v>
      </c>
      <c r="F1114" s="148" t="s">
        <v>199</v>
      </c>
      <c r="G1114" s="148" t="s">
        <v>430</v>
      </c>
      <c r="H1114" s="148">
        <v>2009</v>
      </c>
      <c r="I1114" s="148">
        <v>6</v>
      </c>
      <c r="J1114" s="148" t="s">
        <v>118</v>
      </c>
      <c r="K1114" s="148" t="s">
        <v>455</v>
      </c>
      <c r="M1114" s="148" t="s">
        <v>132</v>
      </c>
      <c r="N1114" s="148">
        <v>8</v>
      </c>
      <c r="O1114" s="148" t="s">
        <v>101</v>
      </c>
      <c r="P1114" s="148" t="s">
        <v>735</v>
      </c>
      <c r="Y1114" s="150" t="s">
        <v>366</v>
      </c>
    </row>
    <row r="1115" spans="1:25" ht="15.75" hidden="1" customHeight="1" x14ac:dyDescent="0.25">
      <c r="A1115" s="148" t="s">
        <v>76</v>
      </c>
      <c r="B1115" s="148" t="s">
        <v>103</v>
      </c>
      <c r="C1115" s="148" t="s">
        <v>55</v>
      </c>
      <c r="D1115" s="148" t="s">
        <v>29</v>
      </c>
      <c r="E1115" s="148" t="s">
        <v>30</v>
      </c>
      <c r="F1115" s="148" t="s">
        <v>56</v>
      </c>
      <c r="G1115" s="148" t="s">
        <v>432</v>
      </c>
      <c r="H1115" s="148">
        <v>2009</v>
      </c>
      <c r="I1115" s="148">
        <v>6</v>
      </c>
      <c r="J1115" s="148" t="s">
        <v>150</v>
      </c>
      <c r="K1115" s="148" t="s">
        <v>629</v>
      </c>
      <c r="M1115" s="148" t="s">
        <v>120</v>
      </c>
      <c r="N1115" s="148">
        <v>6</v>
      </c>
      <c r="O1115" s="148" t="s">
        <v>83</v>
      </c>
      <c r="Y1115" s="150" t="s">
        <v>366</v>
      </c>
    </row>
    <row r="1116" spans="1:25" ht="15.75" hidden="1" customHeight="1" x14ac:dyDescent="0.25">
      <c r="A1116" s="148" t="s">
        <v>76</v>
      </c>
      <c r="B1116" s="148" t="s">
        <v>103</v>
      </c>
      <c r="C1116" s="148" t="s">
        <v>55</v>
      </c>
      <c r="D1116" s="148" t="s">
        <v>29</v>
      </c>
      <c r="E1116" s="148" t="s">
        <v>30</v>
      </c>
      <c r="F1116" s="148" t="s">
        <v>56</v>
      </c>
      <c r="G1116" s="148" t="s">
        <v>381</v>
      </c>
      <c r="H1116" s="148">
        <v>2009</v>
      </c>
      <c r="I1116" s="148">
        <v>6</v>
      </c>
      <c r="J1116" s="148" t="s">
        <v>150</v>
      </c>
      <c r="K1116" s="148" t="s">
        <v>555</v>
      </c>
      <c r="M1116" s="148" t="s">
        <v>246</v>
      </c>
      <c r="N1116" s="148">
        <v>6</v>
      </c>
      <c r="O1116" s="148" t="s">
        <v>83</v>
      </c>
      <c r="Y1116" s="150" t="s">
        <v>366</v>
      </c>
    </row>
    <row r="1117" spans="1:25" ht="15.75" hidden="1" customHeight="1" x14ac:dyDescent="0.25">
      <c r="A1117" s="148" t="s">
        <v>76</v>
      </c>
      <c r="B1117" s="148" t="s">
        <v>44</v>
      </c>
      <c r="C1117" s="148" t="s">
        <v>45</v>
      </c>
      <c r="D1117" s="148" t="s">
        <v>29</v>
      </c>
      <c r="E1117" s="148" t="s">
        <v>46</v>
      </c>
      <c r="F1117" s="148" t="s">
        <v>47</v>
      </c>
      <c r="G1117" s="148" t="s">
        <v>48</v>
      </c>
      <c r="H1117" s="148">
        <v>2009</v>
      </c>
      <c r="I1117" s="148">
        <v>6</v>
      </c>
      <c r="J1117" s="148" t="s">
        <v>118</v>
      </c>
      <c r="K1117" s="148" t="s">
        <v>327</v>
      </c>
      <c r="M1117" s="148" t="s">
        <v>82</v>
      </c>
      <c r="N1117" s="148">
        <v>8</v>
      </c>
      <c r="O1117" s="148" t="s">
        <v>101</v>
      </c>
      <c r="P1117" s="148" t="s">
        <v>808</v>
      </c>
      <c r="Y1117" s="150" t="s">
        <v>366</v>
      </c>
    </row>
    <row r="1118" spans="1:25" ht="15.75" hidden="1" customHeight="1" x14ac:dyDescent="0.25">
      <c r="A1118" s="148" t="s">
        <v>76</v>
      </c>
      <c r="B1118" s="148" t="s">
        <v>198</v>
      </c>
      <c r="C1118" s="148" t="s">
        <v>45</v>
      </c>
      <c r="D1118" s="148" t="s">
        <v>29</v>
      </c>
      <c r="E1118" s="148" t="s">
        <v>30</v>
      </c>
      <c r="F1118" s="148" t="s">
        <v>199</v>
      </c>
      <c r="G1118" s="148" t="s">
        <v>241</v>
      </c>
      <c r="H1118" s="148">
        <v>2009</v>
      </c>
      <c r="I1118" s="148">
        <v>7</v>
      </c>
      <c r="J1118" s="148" t="s">
        <v>118</v>
      </c>
      <c r="K1118" s="148" t="s">
        <v>455</v>
      </c>
      <c r="M1118" s="148" t="s">
        <v>132</v>
      </c>
      <c r="N1118" s="148">
        <v>8</v>
      </c>
      <c r="O1118" s="148" t="s">
        <v>101</v>
      </c>
      <c r="P1118" s="148" t="s">
        <v>539</v>
      </c>
      <c r="Y1118" s="150" t="s">
        <v>366</v>
      </c>
    </row>
    <row r="1119" spans="1:25" ht="15.75" hidden="1" customHeight="1" x14ac:dyDescent="0.25">
      <c r="A1119" s="148" t="s">
        <v>76</v>
      </c>
      <c r="B1119" s="148" t="s">
        <v>62</v>
      </c>
      <c r="C1119" s="148" t="s">
        <v>28</v>
      </c>
      <c r="D1119" s="148" t="s">
        <v>759</v>
      </c>
      <c r="E1119" s="148" t="s">
        <v>51</v>
      </c>
      <c r="F1119" s="148" t="s">
        <v>3183</v>
      </c>
      <c r="G1119" s="148" t="s">
        <v>409</v>
      </c>
      <c r="H1119" s="148">
        <v>2009</v>
      </c>
      <c r="I1119" s="148">
        <v>7</v>
      </c>
      <c r="J1119" s="148" t="s">
        <v>118</v>
      </c>
      <c r="K1119" s="148" t="s">
        <v>327</v>
      </c>
      <c r="M1119" s="148" t="s">
        <v>82</v>
      </c>
      <c r="N1119" s="148">
        <v>8</v>
      </c>
      <c r="O1119" s="148" t="s">
        <v>101</v>
      </c>
      <c r="P1119" s="148" t="s">
        <v>689</v>
      </c>
      <c r="Y1119" s="150" t="s">
        <v>366</v>
      </c>
    </row>
    <row r="1120" spans="1:25" ht="15.75" hidden="1" customHeight="1" x14ac:dyDescent="0.25">
      <c r="A1120" s="148" t="s">
        <v>76</v>
      </c>
      <c r="B1120" s="148" t="s">
        <v>89</v>
      </c>
      <c r="C1120" s="148" t="s">
        <v>90</v>
      </c>
      <c r="D1120" s="148" t="s">
        <v>29</v>
      </c>
      <c r="E1120" s="148" t="s">
        <v>30</v>
      </c>
      <c r="F1120" s="148" t="s">
        <v>91</v>
      </c>
      <c r="G1120" s="148" t="s">
        <v>222</v>
      </c>
      <c r="H1120" s="148">
        <v>2009</v>
      </c>
      <c r="I1120" s="148">
        <v>7</v>
      </c>
      <c r="J1120" s="148" t="s">
        <v>118</v>
      </c>
      <c r="K1120" s="148" t="s">
        <v>455</v>
      </c>
      <c r="M1120" s="148" t="s">
        <v>132</v>
      </c>
      <c r="N1120" s="148">
        <v>8</v>
      </c>
      <c r="O1120" s="148" t="s">
        <v>101</v>
      </c>
      <c r="P1120" s="148" t="s">
        <v>647</v>
      </c>
      <c r="Y1120" s="150" t="s">
        <v>366</v>
      </c>
    </row>
    <row r="1121" spans="1:27" ht="15.75" hidden="1" customHeight="1" x14ac:dyDescent="0.25">
      <c r="A1121" s="148" t="s">
        <v>76</v>
      </c>
      <c r="B1121" s="148" t="s">
        <v>36</v>
      </c>
      <c r="C1121" s="148" t="s">
        <v>28</v>
      </c>
      <c r="D1121" s="148" t="s">
        <v>86</v>
      </c>
      <c r="E1121" s="148" t="s">
        <v>30</v>
      </c>
      <c r="F1121" s="148" t="s">
        <v>3183</v>
      </c>
      <c r="G1121" s="148" t="s">
        <v>67</v>
      </c>
      <c r="H1121" s="148">
        <v>2009</v>
      </c>
      <c r="I1121" s="148">
        <v>7</v>
      </c>
      <c r="J1121" s="148" t="s">
        <v>118</v>
      </c>
      <c r="K1121" s="148" t="s">
        <v>327</v>
      </c>
      <c r="M1121" s="148" t="s">
        <v>82</v>
      </c>
      <c r="N1121" s="148">
        <v>8</v>
      </c>
      <c r="O1121" s="148" t="s">
        <v>101</v>
      </c>
      <c r="P1121" s="148" t="s">
        <v>656</v>
      </c>
      <c r="Y1121" s="150" t="s">
        <v>366</v>
      </c>
    </row>
    <row r="1122" spans="1:27" ht="15.75" hidden="1" customHeight="1" x14ac:dyDescent="0.25">
      <c r="A1122" s="148" t="s">
        <v>76</v>
      </c>
      <c r="B1122" s="148" t="s">
        <v>62</v>
      </c>
      <c r="C1122" s="148" t="s">
        <v>28</v>
      </c>
      <c r="D1122" s="148" t="s">
        <v>29</v>
      </c>
      <c r="E1122" s="148" t="s">
        <v>30</v>
      </c>
      <c r="F1122" s="148" t="s">
        <v>3183</v>
      </c>
      <c r="G1122" s="148" t="s">
        <v>244</v>
      </c>
      <c r="H1122" s="148">
        <v>2009</v>
      </c>
      <c r="I1122" s="148">
        <v>7</v>
      </c>
      <c r="J1122" s="148" t="s">
        <v>118</v>
      </c>
      <c r="K1122" s="148" t="s">
        <v>327</v>
      </c>
      <c r="M1122" s="148" t="s">
        <v>82</v>
      </c>
      <c r="N1122" s="148">
        <v>8</v>
      </c>
      <c r="O1122" s="148" t="s">
        <v>101</v>
      </c>
      <c r="P1122" s="148" t="s">
        <v>809</v>
      </c>
      <c r="Y1122" s="150" t="s">
        <v>366</v>
      </c>
    </row>
    <row r="1123" spans="1:27" ht="15.75" hidden="1" customHeight="1" x14ac:dyDescent="0.25">
      <c r="A1123" s="148" t="s">
        <v>76</v>
      </c>
      <c r="B1123" s="148" t="s">
        <v>27</v>
      </c>
      <c r="C1123" s="148" t="s">
        <v>28</v>
      </c>
      <c r="D1123" s="148" t="s">
        <v>99</v>
      </c>
      <c r="E1123" s="148" t="s">
        <v>40</v>
      </c>
      <c r="F1123" s="148" t="s">
        <v>41</v>
      </c>
      <c r="G1123" s="148" t="s">
        <v>42</v>
      </c>
      <c r="H1123" s="148">
        <v>2009</v>
      </c>
      <c r="I1123" s="148">
        <v>7</v>
      </c>
      <c r="J1123" s="148" t="s">
        <v>118</v>
      </c>
      <c r="K1123" s="148" t="s">
        <v>327</v>
      </c>
      <c r="M1123" s="148" t="s">
        <v>82</v>
      </c>
      <c r="N1123" s="148">
        <v>8</v>
      </c>
      <c r="O1123" s="148" t="s">
        <v>101</v>
      </c>
      <c r="P1123" s="148" t="s">
        <v>156</v>
      </c>
      <c r="Y1123" s="150" t="s">
        <v>366</v>
      </c>
    </row>
    <row r="1124" spans="1:27" ht="15.75" hidden="1" customHeight="1" x14ac:dyDescent="0.25">
      <c r="A1124" s="152" t="s">
        <v>76</v>
      </c>
      <c r="B1124" s="152" t="s">
        <v>54</v>
      </c>
      <c r="C1124" s="152" t="s">
        <v>55</v>
      </c>
      <c r="D1124" s="152" t="s">
        <v>65</v>
      </c>
      <c r="E1124" s="152" t="s">
        <v>30</v>
      </c>
      <c r="F1124" s="152" t="s">
        <v>56</v>
      </c>
      <c r="G1124" s="152" t="s">
        <v>54</v>
      </c>
      <c r="H1124" s="152">
        <v>2009</v>
      </c>
      <c r="I1124" s="152">
        <v>7</v>
      </c>
      <c r="J1124" s="152" t="s">
        <v>118</v>
      </c>
      <c r="K1124" s="152" t="s">
        <v>379</v>
      </c>
      <c r="L1124" s="152"/>
      <c r="M1124" s="152" t="s">
        <v>126</v>
      </c>
      <c r="N1124" s="152">
        <v>10</v>
      </c>
      <c r="O1124" s="152" t="s">
        <v>101</v>
      </c>
      <c r="P1124" s="152" t="s">
        <v>435</v>
      </c>
      <c r="Q1124" s="152"/>
      <c r="R1124" s="152"/>
      <c r="S1124" s="152"/>
      <c r="T1124" s="152"/>
      <c r="U1124" s="152"/>
      <c r="V1124" s="152"/>
      <c r="W1124" s="152"/>
      <c r="X1124" s="152"/>
      <c r="Y1124" s="154" t="s">
        <v>366</v>
      </c>
      <c r="Z1124" s="152"/>
      <c r="AA1124" s="152"/>
    </row>
    <row r="1125" spans="1:27" ht="15.75" hidden="1" customHeight="1" x14ac:dyDescent="0.25">
      <c r="A1125" s="148" t="s">
        <v>307</v>
      </c>
      <c r="B1125" s="148" t="s">
        <v>54</v>
      </c>
      <c r="C1125" s="148" t="s">
        <v>55</v>
      </c>
      <c r="D1125" s="148" t="s">
        <v>65</v>
      </c>
      <c r="E1125" s="148" t="s">
        <v>30</v>
      </c>
      <c r="F1125" s="148" t="s">
        <v>56</v>
      </c>
      <c r="G1125" s="148" t="s">
        <v>54</v>
      </c>
      <c r="H1125" s="148">
        <v>2009</v>
      </c>
      <c r="I1125" s="148">
        <v>7</v>
      </c>
      <c r="J1125" s="148" t="s">
        <v>308</v>
      </c>
      <c r="Q1125" s="148" t="s">
        <v>594</v>
      </c>
      <c r="R1125" s="148" t="s">
        <v>810</v>
      </c>
      <c r="S1125" s="148" t="s">
        <v>596</v>
      </c>
      <c r="T1125" s="148" t="s">
        <v>811</v>
      </c>
      <c r="Y1125" s="150" t="s">
        <v>366</v>
      </c>
      <c r="Z1125" s="148" t="s">
        <v>812</v>
      </c>
    </row>
    <row r="1126" spans="1:27" ht="15.75" hidden="1" customHeight="1" x14ac:dyDescent="0.25">
      <c r="A1126" s="148" t="s">
        <v>76</v>
      </c>
      <c r="B1126" s="148" t="s">
        <v>103</v>
      </c>
      <c r="C1126" s="148" t="s">
        <v>55</v>
      </c>
      <c r="D1126" s="148" t="s">
        <v>99</v>
      </c>
      <c r="E1126" s="148" t="s">
        <v>30</v>
      </c>
      <c r="F1126" s="148" t="s">
        <v>56</v>
      </c>
      <c r="G1126" s="148" t="s">
        <v>519</v>
      </c>
      <c r="H1126" s="148">
        <v>2009</v>
      </c>
      <c r="I1126" s="148">
        <v>7</v>
      </c>
      <c r="J1126" s="148" t="s">
        <v>118</v>
      </c>
      <c r="K1126" s="148" t="s">
        <v>610</v>
      </c>
      <c r="M1126" s="148" t="s">
        <v>611</v>
      </c>
      <c r="N1126" s="148">
        <v>8</v>
      </c>
      <c r="O1126" s="148" t="s">
        <v>101</v>
      </c>
      <c r="P1126" s="148" t="s">
        <v>813</v>
      </c>
      <c r="Y1126" s="150" t="s">
        <v>366</v>
      </c>
    </row>
    <row r="1127" spans="1:27" ht="15.75" hidden="1" customHeight="1" x14ac:dyDescent="0.25">
      <c r="A1127" s="148" t="s">
        <v>76</v>
      </c>
      <c r="B1127" s="148" t="s">
        <v>89</v>
      </c>
      <c r="C1127" s="148" t="s">
        <v>90</v>
      </c>
      <c r="D1127" s="148" t="s">
        <v>29</v>
      </c>
      <c r="E1127" s="148" t="s">
        <v>30</v>
      </c>
      <c r="F1127" s="148" t="s">
        <v>91</v>
      </c>
      <c r="G1127" s="148" t="s">
        <v>369</v>
      </c>
      <c r="H1127" s="148">
        <v>2009</v>
      </c>
      <c r="I1127" s="148">
        <v>7</v>
      </c>
      <c r="J1127" s="148" t="s">
        <v>118</v>
      </c>
      <c r="K1127" s="148" t="s">
        <v>327</v>
      </c>
      <c r="M1127" s="148" t="s">
        <v>82</v>
      </c>
      <c r="N1127" s="148">
        <v>8</v>
      </c>
      <c r="O1127" s="148" t="s">
        <v>101</v>
      </c>
      <c r="P1127" s="148" t="s">
        <v>146</v>
      </c>
      <c r="Y1127" s="150" t="s">
        <v>366</v>
      </c>
    </row>
    <row r="1128" spans="1:27" ht="15.75" hidden="1" customHeight="1" x14ac:dyDescent="0.25">
      <c r="A1128" s="148" t="s">
        <v>76</v>
      </c>
      <c r="B1128" s="148" t="s">
        <v>36</v>
      </c>
      <c r="C1128" s="148" t="s">
        <v>28</v>
      </c>
      <c r="D1128" s="148" t="s">
        <v>99</v>
      </c>
      <c r="E1128" s="148" t="s">
        <v>51</v>
      </c>
      <c r="F1128" s="148" t="s">
        <v>3183</v>
      </c>
      <c r="G1128" s="148" t="s">
        <v>52</v>
      </c>
      <c r="H1128" s="148">
        <v>2009</v>
      </c>
      <c r="I1128" s="148">
        <v>7</v>
      </c>
      <c r="J1128" s="148" t="s">
        <v>118</v>
      </c>
      <c r="K1128" s="148" t="s">
        <v>327</v>
      </c>
      <c r="M1128" s="148" t="s">
        <v>82</v>
      </c>
      <c r="N1128" s="148">
        <v>8</v>
      </c>
      <c r="O1128" s="148" t="s">
        <v>101</v>
      </c>
      <c r="P1128" s="148" t="s">
        <v>146</v>
      </c>
      <c r="Y1128" s="150" t="s">
        <v>814</v>
      </c>
    </row>
    <row r="1129" spans="1:27" ht="15.75" hidden="1" customHeight="1" x14ac:dyDescent="0.25">
      <c r="A1129" s="148" t="s">
        <v>76</v>
      </c>
      <c r="B1129" s="148" t="s">
        <v>103</v>
      </c>
      <c r="C1129" s="148" t="s">
        <v>55</v>
      </c>
      <c r="D1129" s="148" t="s">
        <v>29</v>
      </c>
      <c r="E1129" s="148" t="s">
        <v>30</v>
      </c>
      <c r="F1129" s="148" t="s">
        <v>56</v>
      </c>
      <c r="G1129" s="148" t="s">
        <v>137</v>
      </c>
      <c r="H1129" s="148">
        <v>2009</v>
      </c>
      <c r="I1129" s="148">
        <v>7</v>
      </c>
      <c r="J1129" s="148" t="s">
        <v>150</v>
      </c>
      <c r="K1129" s="148" t="s">
        <v>610</v>
      </c>
      <c r="M1129" s="148" t="s">
        <v>611</v>
      </c>
      <c r="N1129" s="148">
        <v>8</v>
      </c>
      <c r="O1129" s="148" t="s">
        <v>83</v>
      </c>
      <c r="Y1129" s="150" t="s">
        <v>366</v>
      </c>
    </row>
    <row r="1130" spans="1:27" ht="15.75" hidden="1" customHeight="1" x14ac:dyDescent="0.25">
      <c r="A1130" s="148" t="s">
        <v>26</v>
      </c>
      <c r="B1130" s="148" t="s">
        <v>116</v>
      </c>
      <c r="C1130" s="148" t="s">
        <v>90</v>
      </c>
      <c r="D1130" s="148" t="s">
        <v>29</v>
      </c>
      <c r="E1130" s="148" t="s">
        <v>30</v>
      </c>
      <c r="F1130" s="148" t="s">
        <v>41</v>
      </c>
      <c r="G1130" s="148" t="s">
        <v>683</v>
      </c>
      <c r="H1130" s="148">
        <v>2009</v>
      </c>
      <c r="I1130" s="148">
        <v>7</v>
      </c>
      <c r="J1130" s="148" t="s">
        <v>792</v>
      </c>
      <c r="U1130" s="149" t="s">
        <v>3629</v>
      </c>
      <c r="V1130" s="149" t="s">
        <v>3631</v>
      </c>
      <c r="W1130" s="148" t="s">
        <v>87</v>
      </c>
      <c r="X1130" s="148" t="s">
        <v>804</v>
      </c>
    </row>
    <row r="1131" spans="1:27" ht="15.75" hidden="1" customHeight="1" x14ac:dyDescent="0.25">
      <c r="A1131" s="148" t="s">
        <v>76</v>
      </c>
      <c r="B1131" s="148" t="s">
        <v>198</v>
      </c>
      <c r="C1131" s="148" t="s">
        <v>45</v>
      </c>
      <c r="D1131" s="148" t="s">
        <v>478</v>
      </c>
      <c r="E1131" s="148" t="s">
        <v>30</v>
      </c>
      <c r="F1131" s="148" t="s">
        <v>199</v>
      </c>
      <c r="G1131" s="148" t="s">
        <v>208</v>
      </c>
      <c r="H1131" s="148">
        <v>2009</v>
      </c>
      <c r="I1131" s="148">
        <v>8</v>
      </c>
      <c r="J1131" s="148" t="s">
        <v>118</v>
      </c>
      <c r="K1131" s="148" t="s">
        <v>455</v>
      </c>
      <c r="M1131" s="148" t="s">
        <v>132</v>
      </c>
      <c r="N1131" s="148">
        <v>8</v>
      </c>
      <c r="O1131" s="148" t="s">
        <v>101</v>
      </c>
      <c r="P1131" s="148" t="s">
        <v>206</v>
      </c>
      <c r="Y1131" s="150" t="s">
        <v>366</v>
      </c>
    </row>
    <row r="1132" spans="1:27" ht="15.75" hidden="1" customHeight="1" x14ac:dyDescent="0.25">
      <c r="A1132" s="148" t="s">
        <v>76</v>
      </c>
      <c r="B1132" s="148" t="s">
        <v>103</v>
      </c>
      <c r="C1132" s="148" t="s">
        <v>55</v>
      </c>
      <c r="D1132" s="148" t="s">
        <v>29</v>
      </c>
      <c r="E1132" s="148" t="s">
        <v>95</v>
      </c>
      <c r="F1132" s="148" t="s">
        <v>56</v>
      </c>
      <c r="G1132" s="148" t="s">
        <v>104</v>
      </c>
      <c r="H1132" s="148">
        <v>2009</v>
      </c>
      <c r="I1132" s="148">
        <v>8</v>
      </c>
      <c r="J1132" s="148" t="s">
        <v>150</v>
      </c>
      <c r="K1132" s="148" t="s">
        <v>520</v>
      </c>
      <c r="M1132" s="148" t="s">
        <v>701</v>
      </c>
      <c r="N1132" s="148">
        <v>8</v>
      </c>
      <c r="O1132" s="148" t="s">
        <v>83</v>
      </c>
      <c r="Y1132" s="150" t="s">
        <v>366</v>
      </c>
    </row>
    <row r="1133" spans="1:27" ht="15.75" hidden="1" customHeight="1" x14ac:dyDescent="0.25">
      <c r="A1133" s="148" t="s">
        <v>76</v>
      </c>
      <c r="B1133" s="148" t="s">
        <v>103</v>
      </c>
      <c r="C1133" s="148" t="s">
        <v>55</v>
      </c>
      <c r="D1133" s="148" t="s">
        <v>29</v>
      </c>
      <c r="E1133" s="148" t="s">
        <v>95</v>
      </c>
      <c r="F1133" s="148" t="s">
        <v>56</v>
      </c>
      <c r="G1133" s="148" t="s">
        <v>407</v>
      </c>
      <c r="H1133" s="148">
        <v>2009</v>
      </c>
      <c r="I1133" s="148">
        <v>8</v>
      </c>
      <c r="J1133" s="148" t="s">
        <v>150</v>
      </c>
      <c r="K1133" s="148" t="s">
        <v>374</v>
      </c>
      <c r="M1133" s="148" t="s">
        <v>389</v>
      </c>
      <c r="N1133" s="148">
        <v>8</v>
      </c>
      <c r="O1133" s="148" t="s">
        <v>83</v>
      </c>
      <c r="Y1133" s="150" t="s">
        <v>366</v>
      </c>
    </row>
    <row r="1134" spans="1:27" ht="13.5" hidden="1" customHeight="1" x14ac:dyDescent="0.25">
      <c r="A1134" s="148" t="s">
        <v>26</v>
      </c>
      <c r="B1134" s="148" t="s">
        <v>27</v>
      </c>
      <c r="C1134" s="148" t="s">
        <v>28</v>
      </c>
      <c r="D1134" s="148" t="s">
        <v>566</v>
      </c>
      <c r="E1134" s="148" t="s">
        <v>30</v>
      </c>
      <c r="F1134" s="148" t="s">
        <v>3183</v>
      </c>
      <c r="G1134" s="148" t="s">
        <v>53</v>
      </c>
      <c r="H1134" s="148">
        <v>2009</v>
      </c>
      <c r="I1134" s="148">
        <v>8</v>
      </c>
      <c r="J1134" s="148" t="s">
        <v>33</v>
      </c>
      <c r="U1134" s="149" t="s">
        <v>3629</v>
      </c>
      <c r="V1134" s="149" t="s">
        <v>3631</v>
      </c>
      <c r="W1134" s="148" t="s">
        <v>87</v>
      </c>
      <c r="X1134" s="148" t="s">
        <v>815</v>
      </c>
    </row>
    <row r="1135" spans="1:27" ht="15.75" hidden="1" customHeight="1" x14ac:dyDescent="0.25">
      <c r="A1135" s="148" t="s">
        <v>76</v>
      </c>
      <c r="B1135" s="148" t="s">
        <v>103</v>
      </c>
      <c r="C1135" s="148" t="s">
        <v>55</v>
      </c>
      <c r="D1135" s="148" t="s">
        <v>29</v>
      </c>
      <c r="E1135" s="148" t="s">
        <v>95</v>
      </c>
      <c r="F1135" s="148" t="s">
        <v>56</v>
      </c>
      <c r="G1135" s="148" t="s">
        <v>180</v>
      </c>
      <c r="H1135" s="148">
        <v>2009</v>
      </c>
      <c r="I1135" s="148">
        <v>8</v>
      </c>
      <c r="J1135" s="148" t="s">
        <v>150</v>
      </c>
      <c r="K1135" s="148" t="s">
        <v>520</v>
      </c>
      <c r="M1135" s="148" t="s">
        <v>701</v>
      </c>
      <c r="N1135" s="148">
        <v>8</v>
      </c>
      <c r="O1135" s="148" t="s">
        <v>83</v>
      </c>
      <c r="Y1135" s="150" t="s">
        <v>366</v>
      </c>
    </row>
    <row r="1136" spans="1:27" ht="15.75" hidden="1" customHeight="1" x14ac:dyDescent="0.25">
      <c r="A1136" s="148" t="s">
        <v>26</v>
      </c>
      <c r="B1136" s="148" t="s">
        <v>116</v>
      </c>
      <c r="C1136" s="148" t="s">
        <v>90</v>
      </c>
      <c r="D1136" s="148" t="s">
        <v>29</v>
      </c>
      <c r="E1136" s="148" t="s">
        <v>30</v>
      </c>
      <c r="F1136" s="148" t="s">
        <v>41</v>
      </c>
      <c r="G1136" s="148" t="s">
        <v>784</v>
      </c>
      <c r="H1136" s="148">
        <v>2009</v>
      </c>
      <c r="I1136" s="148">
        <v>8</v>
      </c>
      <c r="J1136" s="148" t="s">
        <v>792</v>
      </c>
      <c r="U1136" s="149" t="s">
        <v>3629</v>
      </c>
      <c r="V1136" s="149" t="s">
        <v>3632</v>
      </c>
      <c r="W1136" s="148" t="s">
        <v>34</v>
      </c>
      <c r="X1136" s="148" t="s">
        <v>816</v>
      </c>
    </row>
    <row r="1137" spans="1:25" ht="15.75" hidden="1" customHeight="1" x14ac:dyDescent="0.25">
      <c r="A1137" s="148" t="s">
        <v>26</v>
      </c>
      <c r="B1137" s="148" t="s">
        <v>27</v>
      </c>
      <c r="C1137" s="148" t="s">
        <v>28</v>
      </c>
      <c r="D1137" s="148" t="s">
        <v>99</v>
      </c>
      <c r="E1137" s="148" t="s">
        <v>40</v>
      </c>
      <c r="F1137" s="148" t="s">
        <v>41</v>
      </c>
      <c r="G1137" s="148" t="s">
        <v>42</v>
      </c>
      <c r="H1137" s="148">
        <v>2009</v>
      </c>
      <c r="I1137" s="148">
        <v>8</v>
      </c>
      <c r="J1137" s="148" t="s">
        <v>817</v>
      </c>
      <c r="U1137" s="149" t="s">
        <v>3629</v>
      </c>
      <c r="V1137" s="149" t="s">
        <v>3631</v>
      </c>
      <c r="W1137" s="148" t="s">
        <v>87</v>
      </c>
      <c r="X1137" s="148" t="s">
        <v>815</v>
      </c>
    </row>
    <row r="1138" spans="1:25" ht="15.75" hidden="1" customHeight="1" x14ac:dyDescent="0.25">
      <c r="A1138" s="148" t="s">
        <v>307</v>
      </c>
      <c r="B1138" s="148" t="s">
        <v>27</v>
      </c>
      <c r="C1138" s="148" t="s">
        <v>28</v>
      </c>
      <c r="D1138" s="148" t="s">
        <v>99</v>
      </c>
      <c r="E1138" s="148" t="s">
        <v>40</v>
      </c>
      <c r="F1138" s="148" t="s">
        <v>41</v>
      </c>
      <c r="G1138" s="148" t="s">
        <v>42</v>
      </c>
      <c r="H1138" s="148">
        <v>2009</v>
      </c>
      <c r="I1138" s="148">
        <v>8</v>
      </c>
      <c r="J1138" s="148" t="s">
        <v>308</v>
      </c>
      <c r="Q1138" s="148" t="s">
        <v>818</v>
      </c>
      <c r="R1138" s="148" t="s">
        <v>819</v>
      </c>
      <c r="S1138" s="148" t="s">
        <v>427</v>
      </c>
      <c r="T1138" s="148" t="s">
        <v>3334</v>
      </c>
      <c r="Y1138" s="150" t="s">
        <v>366</v>
      </c>
    </row>
    <row r="1139" spans="1:25" ht="15.75" hidden="1" customHeight="1" x14ac:dyDescent="0.25">
      <c r="A1139" s="148" t="s">
        <v>76</v>
      </c>
      <c r="B1139" s="148" t="s">
        <v>103</v>
      </c>
      <c r="C1139" s="148" t="s">
        <v>55</v>
      </c>
      <c r="D1139" s="148" t="s">
        <v>29</v>
      </c>
      <c r="E1139" s="148" t="s">
        <v>95</v>
      </c>
      <c r="F1139" s="148" t="s">
        <v>56</v>
      </c>
      <c r="G1139" s="148" t="s">
        <v>270</v>
      </c>
      <c r="H1139" s="148">
        <v>2009</v>
      </c>
      <c r="I1139" s="148">
        <v>8</v>
      </c>
      <c r="J1139" s="148" t="s">
        <v>150</v>
      </c>
      <c r="K1139" s="148" t="s">
        <v>374</v>
      </c>
      <c r="M1139" s="148" t="s">
        <v>389</v>
      </c>
      <c r="N1139" s="148">
        <v>8</v>
      </c>
      <c r="O1139" s="148" t="s">
        <v>83</v>
      </c>
      <c r="Y1139" s="150" t="s">
        <v>366</v>
      </c>
    </row>
    <row r="1140" spans="1:25" ht="15.75" hidden="1" customHeight="1" x14ac:dyDescent="0.25">
      <c r="A1140" s="148" t="s">
        <v>76</v>
      </c>
      <c r="B1140" s="148" t="s">
        <v>103</v>
      </c>
      <c r="C1140" s="148" t="s">
        <v>55</v>
      </c>
      <c r="D1140" s="148" t="s">
        <v>490</v>
      </c>
      <c r="E1140" s="148" t="s">
        <v>95</v>
      </c>
      <c r="F1140" s="148" t="s">
        <v>56</v>
      </c>
      <c r="G1140" s="148" t="s">
        <v>168</v>
      </c>
      <c r="H1140" s="148">
        <v>2009</v>
      </c>
      <c r="I1140" s="148">
        <v>8</v>
      </c>
      <c r="J1140" s="148" t="s">
        <v>150</v>
      </c>
      <c r="K1140" s="148" t="s">
        <v>374</v>
      </c>
      <c r="M1140" s="148" t="s">
        <v>389</v>
      </c>
      <c r="N1140" s="148">
        <v>8</v>
      </c>
      <c r="O1140" s="148" t="s">
        <v>83</v>
      </c>
      <c r="Y1140" s="150" t="s">
        <v>366</v>
      </c>
    </row>
    <row r="1141" spans="1:25" ht="15.75" hidden="1" customHeight="1" x14ac:dyDescent="0.25">
      <c r="A1141" s="148" t="s">
        <v>76</v>
      </c>
      <c r="B1141" s="148" t="s">
        <v>116</v>
      </c>
      <c r="C1141" s="148" t="s">
        <v>90</v>
      </c>
      <c r="D1141" s="148" t="s">
        <v>29</v>
      </c>
      <c r="E1141" s="148" t="s">
        <v>30</v>
      </c>
      <c r="F1141" s="148" t="s">
        <v>41</v>
      </c>
      <c r="G1141" s="148" t="s">
        <v>756</v>
      </c>
      <c r="H1141" s="148">
        <v>2009</v>
      </c>
      <c r="I1141" s="148">
        <v>8</v>
      </c>
      <c r="J1141" s="148" t="s">
        <v>150</v>
      </c>
      <c r="K1141" s="148" t="s">
        <v>393</v>
      </c>
      <c r="M1141" s="148" t="s">
        <v>394</v>
      </c>
      <c r="N1141" s="148">
        <v>6</v>
      </c>
      <c r="O1141" s="148" t="s">
        <v>83</v>
      </c>
      <c r="Y1141" s="150" t="s">
        <v>366</v>
      </c>
    </row>
    <row r="1142" spans="1:25" ht="15.75" hidden="1" customHeight="1" x14ac:dyDescent="0.25">
      <c r="A1142" s="148" t="s">
        <v>76</v>
      </c>
      <c r="B1142" s="148" t="s">
        <v>103</v>
      </c>
      <c r="C1142" s="148" t="s">
        <v>55</v>
      </c>
      <c r="D1142" s="148" t="s">
        <v>29</v>
      </c>
      <c r="E1142" s="148" t="s">
        <v>30</v>
      </c>
      <c r="F1142" s="148" t="s">
        <v>56</v>
      </c>
      <c r="G1142" s="148" t="s">
        <v>137</v>
      </c>
      <c r="H1142" s="148">
        <v>2009</v>
      </c>
      <c r="I1142" s="148">
        <v>8</v>
      </c>
      <c r="J1142" s="148" t="s">
        <v>150</v>
      </c>
      <c r="K1142" s="148" t="s">
        <v>629</v>
      </c>
      <c r="M1142" s="148" t="s">
        <v>120</v>
      </c>
      <c r="N1142" s="148">
        <v>6</v>
      </c>
      <c r="O1142" s="148" t="s">
        <v>83</v>
      </c>
      <c r="Y1142" s="150" t="s">
        <v>366</v>
      </c>
    </row>
    <row r="1143" spans="1:25" ht="15.75" hidden="1" customHeight="1" x14ac:dyDescent="0.25">
      <c r="A1143" s="148" t="s">
        <v>76</v>
      </c>
      <c r="B1143" s="148" t="s">
        <v>103</v>
      </c>
      <c r="C1143" s="148" t="s">
        <v>55</v>
      </c>
      <c r="D1143" s="148" t="s">
        <v>478</v>
      </c>
      <c r="E1143" s="148" t="s">
        <v>95</v>
      </c>
      <c r="F1143" s="148" t="s">
        <v>56</v>
      </c>
      <c r="G1143" s="148" t="s">
        <v>108</v>
      </c>
      <c r="H1143" s="148">
        <v>2009</v>
      </c>
      <c r="I1143" s="148">
        <v>8</v>
      </c>
      <c r="J1143" s="148" t="s">
        <v>150</v>
      </c>
      <c r="K1143" s="148" t="s">
        <v>393</v>
      </c>
      <c r="M1143" s="148" t="s">
        <v>394</v>
      </c>
      <c r="N1143" s="148">
        <v>6</v>
      </c>
      <c r="O1143" s="148" t="s">
        <v>83</v>
      </c>
      <c r="Y1143" s="150" t="s">
        <v>366</v>
      </c>
    </row>
    <row r="1144" spans="1:25" ht="15.75" hidden="1" customHeight="1" x14ac:dyDescent="0.25">
      <c r="A1144" s="148" t="s">
        <v>76</v>
      </c>
      <c r="B1144" s="148" t="s">
        <v>44</v>
      </c>
      <c r="C1144" s="148" t="s">
        <v>45</v>
      </c>
      <c r="D1144" s="148" t="s">
        <v>29</v>
      </c>
      <c r="E1144" s="148" t="s">
        <v>46</v>
      </c>
      <c r="F1144" s="148" t="s">
        <v>47</v>
      </c>
      <c r="G1144" s="148" t="s">
        <v>48</v>
      </c>
      <c r="H1144" s="148">
        <v>2009</v>
      </c>
      <c r="I1144" s="148">
        <v>8</v>
      </c>
      <c r="J1144" s="148" t="s">
        <v>118</v>
      </c>
      <c r="K1144" s="148" t="s">
        <v>455</v>
      </c>
      <c r="M1144" s="148" t="s">
        <v>132</v>
      </c>
      <c r="N1144" s="148">
        <v>8</v>
      </c>
      <c r="O1144" s="148" t="s">
        <v>101</v>
      </c>
      <c r="P1144" s="148" t="s">
        <v>203</v>
      </c>
      <c r="Y1144" s="150" t="s">
        <v>366</v>
      </c>
    </row>
    <row r="1145" spans="1:25" ht="15.75" hidden="1" customHeight="1" x14ac:dyDescent="0.25">
      <c r="A1145" s="148" t="s">
        <v>26</v>
      </c>
      <c r="B1145" s="148" t="s">
        <v>36</v>
      </c>
      <c r="C1145" s="148" t="s">
        <v>28</v>
      </c>
      <c r="D1145" s="148" t="s">
        <v>342</v>
      </c>
      <c r="E1145" s="148" t="s">
        <v>30</v>
      </c>
      <c r="F1145" s="148" t="s">
        <v>3183</v>
      </c>
      <c r="G1145" s="148" t="s">
        <v>114</v>
      </c>
      <c r="H1145" s="148">
        <v>2009</v>
      </c>
      <c r="I1145" s="148">
        <v>8</v>
      </c>
      <c r="J1145" s="148" t="s">
        <v>33</v>
      </c>
      <c r="U1145" s="149" t="s">
        <v>112</v>
      </c>
      <c r="V1145" s="148" t="s">
        <v>112</v>
      </c>
      <c r="Y1145" s="150" t="s">
        <v>820</v>
      </c>
    </row>
    <row r="1146" spans="1:25" ht="15.75" hidden="1" customHeight="1" x14ac:dyDescent="0.25">
      <c r="A1146" s="148" t="s">
        <v>76</v>
      </c>
      <c r="B1146" s="148" t="s">
        <v>103</v>
      </c>
      <c r="C1146" s="148" t="s">
        <v>55</v>
      </c>
      <c r="D1146" s="148" t="s">
        <v>29</v>
      </c>
      <c r="E1146" s="148" t="s">
        <v>95</v>
      </c>
      <c r="F1146" s="148" t="s">
        <v>56</v>
      </c>
      <c r="G1146" s="148" t="s">
        <v>382</v>
      </c>
      <c r="H1146" s="148">
        <v>2009</v>
      </c>
      <c r="I1146" s="148">
        <v>9</v>
      </c>
      <c r="J1146" s="148" t="s">
        <v>150</v>
      </c>
      <c r="K1146" s="148" t="s">
        <v>327</v>
      </c>
      <c r="M1146" s="148" t="s">
        <v>82</v>
      </c>
      <c r="N1146" s="148">
        <v>8</v>
      </c>
      <c r="O1146" s="148" t="s">
        <v>83</v>
      </c>
      <c r="Y1146" s="150" t="s">
        <v>366</v>
      </c>
    </row>
    <row r="1147" spans="1:25" ht="15.75" hidden="1" customHeight="1" x14ac:dyDescent="0.25">
      <c r="A1147" s="148" t="s">
        <v>26</v>
      </c>
      <c r="B1147" s="148" t="s">
        <v>71</v>
      </c>
      <c r="C1147" s="148" t="s">
        <v>45</v>
      </c>
      <c r="D1147" s="148" t="s">
        <v>29</v>
      </c>
      <c r="E1147" s="148" t="s">
        <v>30</v>
      </c>
      <c r="F1147" s="148" t="s">
        <v>3183</v>
      </c>
      <c r="G1147" s="148" t="s">
        <v>821</v>
      </c>
      <c r="H1147" s="148">
        <v>2009</v>
      </c>
      <c r="I1147" s="148">
        <v>9</v>
      </c>
      <c r="J1147" s="148" t="s">
        <v>33</v>
      </c>
      <c r="U1147" s="149" t="s">
        <v>112</v>
      </c>
      <c r="V1147" s="148" t="s">
        <v>112</v>
      </c>
    </row>
    <row r="1148" spans="1:25" ht="15.75" hidden="1" customHeight="1" x14ac:dyDescent="0.25">
      <c r="A1148" s="148" t="s">
        <v>76</v>
      </c>
      <c r="B1148" s="148" t="s">
        <v>103</v>
      </c>
      <c r="C1148" s="148" t="s">
        <v>55</v>
      </c>
      <c r="D1148" s="148" t="s">
        <v>516</v>
      </c>
      <c r="E1148" s="148" t="s">
        <v>30</v>
      </c>
      <c r="F1148" s="148" t="s">
        <v>56</v>
      </c>
      <c r="G1148" s="148" t="s">
        <v>616</v>
      </c>
      <c r="H1148" s="148">
        <v>2009</v>
      </c>
      <c r="I1148" s="148">
        <v>9</v>
      </c>
      <c r="J1148" s="148" t="s">
        <v>118</v>
      </c>
      <c r="K1148" s="148" t="s">
        <v>455</v>
      </c>
      <c r="M1148" s="148" t="s">
        <v>132</v>
      </c>
      <c r="N1148" s="148">
        <v>8</v>
      </c>
      <c r="O1148" s="148" t="s">
        <v>101</v>
      </c>
      <c r="P1148" s="148" t="s">
        <v>435</v>
      </c>
      <c r="Y1148" s="150" t="s">
        <v>366</v>
      </c>
    </row>
    <row r="1149" spans="1:25" ht="15.75" hidden="1" customHeight="1" x14ac:dyDescent="0.25">
      <c r="A1149" s="148" t="s">
        <v>76</v>
      </c>
      <c r="B1149" s="148" t="s">
        <v>62</v>
      </c>
      <c r="C1149" s="148" t="s">
        <v>28</v>
      </c>
      <c r="D1149" s="148" t="s">
        <v>29</v>
      </c>
      <c r="E1149" s="148" t="s">
        <v>30</v>
      </c>
      <c r="F1149" s="148" t="s">
        <v>3183</v>
      </c>
      <c r="G1149" s="148" t="s">
        <v>244</v>
      </c>
      <c r="H1149" s="148">
        <v>2009</v>
      </c>
      <c r="I1149" s="148">
        <v>9</v>
      </c>
      <c r="J1149" s="148" t="s">
        <v>118</v>
      </c>
      <c r="K1149" s="148" t="s">
        <v>327</v>
      </c>
      <c r="M1149" s="148" t="s">
        <v>82</v>
      </c>
      <c r="N1149" s="148">
        <v>8</v>
      </c>
      <c r="O1149" s="148" t="s">
        <v>101</v>
      </c>
      <c r="P1149" s="148" t="s">
        <v>146</v>
      </c>
      <c r="Y1149" s="150" t="s">
        <v>366</v>
      </c>
    </row>
    <row r="1150" spans="1:25" ht="15.75" hidden="1" customHeight="1" x14ac:dyDescent="0.25">
      <c r="A1150" s="148" t="s">
        <v>76</v>
      </c>
      <c r="B1150" s="148" t="s">
        <v>71</v>
      </c>
      <c r="C1150" s="148" t="s">
        <v>45</v>
      </c>
      <c r="D1150" s="148" t="s">
        <v>29</v>
      </c>
      <c r="E1150" s="148" t="s">
        <v>72</v>
      </c>
      <c r="F1150" s="148" t="s">
        <v>3183</v>
      </c>
      <c r="G1150" s="148" t="s">
        <v>75</v>
      </c>
      <c r="H1150" s="148">
        <v>2009</v>
      </c>
      <c r="I1150" s="148">
        <v>9</v>
      </c>
      <c r="J1150" s="148" t="s">
        <v>118</v>
      </c>
      <c r="K1150" s="148" t="s">
        <v>327</v>
      </c>
      <c r="M1150" s="148" t="s">
        <v>82</v>
      </c>
      <c r="N1150" s="148">
        <v>8</v>
      </c>
      <c r="O1150" s="148" t="s">
        <v>101</v>
      </c>
      <c r="P1150" s="148" t="s">
        <v>146</v>
      </c>
      <c r="Y1150" s="150" t="s">
        <v>366</v>
      </c>
    </row>
    <row r="1151" spans="1:25" ht="15.75" hidden="1" customHeight="1" x14ac:dyDescent="0.25">
      <c r="A1151" s="148" t="s">
        <v>307</v>
      </c>
      <c r="B1151" s="148" t="s">
        <v>103</v>
      </c>
      <c r="C1151" s="148" t="s">
        <v>55</v>
      </c>
      <c r="D1151" s="148" t="s">
        <v>490</v>
      </c>
      <c r="E1151" s="148" t="s">
        <v>95</v>
      </c>
      <c r="F1151" s="148" t="s">
        <v>56</v>
      </c>
      <c r="G1151" s="148" t="s">
        <v>168</v>
      </c>
      <c r="H1151" s="148">
        <v>2009</v>
      </c>
      <c r="I1151" s="148">
        <v>9</v>
      </c>
      <c r="J1151" s="148" t="s">
        <v>308</v>
      </c>
      <c r="Q1151" s="148" t="s">
        <v>426</v>
      </c>
      <c r="R1151" s="148" t="s">
        <v>822</v>
      </c>
      <c r="S1151" s="148" t="s">
        <v>311</v>
      </c>
      <c r="T1151" s="148" t="s">
        <v>823</v>
      </c>
      <c r="Y1151" s="150" t="s">
        <v>366</v>
      </c>
    </row>
    <row r="1152" spans="1:25" ht="15.75" hidden="1" customHeight="1" x14ac:dyDescent="0.25">
      <c r="A1152" s="148" t="s">
        <v>307</v>
      </c>
      <c r="B1152" s="148" t="s">
        <v>54</v>
      </c>
      <c r="C1152" s="148" t="s">
        <v>55</v>
      </c>
      <c r="D1152" s="148" t="s">
        <v>65</v>
      </c>
      <c r="E1152" s="148" t="s">
        <v>30</v>
      </c>
      <c r="F1152" s="148" t="s">
        <v>56</v>
      </c>
      <c r="G1152" s="148" t="s">
        <v>54</v>
      </c>
      <c r="H1152" s="148">
        <v>2009</v>
      </c>
      <c r="I1152" s="148">
        <v>9</v>
      </c>
      <c r="J1152" s="148" t="s">
        <v>308</v>
      </c>
      <c r="Q1152" s="148" t="s">
        <v>818</v>
      </c>
      <c r="R1152" s="148" t="s">
        <v>824</v>
      </c>
      <c r="S1152" s="148" t="s">
        <v>427</v>
      </c>
      <c r="T1152" s="148" t="s">
        <v>825</v>
      </c>
      <c r="Y1152" s="150" t="s">
        <v>826</v>
      </c>
    </row>
    <row r="1153" spans="1:26" ht="15.75" hidden="1" customHeight="1" x14ac:dyDescent="0.25">
      <c r="A1153" s="148" t="s">
        <v>307</v>
      </c>
      <c r="B1153" s="148" t="s">
        <v>54</v>
      </c>
      <c r="C1153" s="148" t="s">
        <v>55</v>
      </c>
      <c r="D1153" s="148" t="s">
        <v>65</v>
      </c>
      <c r="E1153" s="148" t="s">
        <v>30</v>
      </c>
      <c r="F1153" s="148" t="s">
        <v>56</v>
      </c>
      <c r="G1153" s="148" t="s">
        <v>54</v>
      </c>
      <c r="H1153" s="148">
        <v>2009</v>
      </c>
      <c r="I1153" s="148">
        <v>9</v>
      </c>
      <c r="J1153" s="148" t="s">
        <v>308</v>
      </c>
      <c r="Q1153" s="148" t="s">
        <v>426</v>
      </c>
      <c r="R1153" s="148" t="s">
        <v>827</v>
      </c>
      <c r="S1153" s="148" t="s">
        <v>660</v>
      </c>
      <c r="T1153" s="148" t="s">
        <v>828</v>
      </c>
      <c r="Y1153" s="150" t="s">
        <v>662</v>
      </c>
    </row>
    <row r="1154" spans="1:26" ht="13.5" hidden="1" customHeight="1" x14ac:dyDescent="0.25">
      <c r="A1154" s="148" t="s">
        <v>76</v>
      </c>
      <c r="B1154" s="148" t="s">
        <v>103</v>
      </c>
      <c r="C1154" s="148" t="s">
        <v>55</v>
      </c>
      <c r="D1154" s="148" t="s">
        <v>99</v>
      </c>
      <c r="E1154" s="148" t="s">
        <v>30</v>
      </c>
      <c r="F1154" s="148" t="s">
        <v>56</v>
      </c>
      <c r="G1154" s="148" t="s">
        <v>519</v>
      </c>
      <c r="H1154" s="148">
        <v>2009</v>
      </c>
      <c r="I1154" s="148">
        <v>9</v>
      </c>
      <c r="J1154" s="148" t="s">
        <v>150</v>
      </c>
      <c r="K1154" s="148" t="s">
        <v>327</v>
      </c>
      <c r="M1154" s="148" t="s">
        <v>82</v>
      </c>
      <c r="N1154" s="148">
        <v>8</v>
      </c>
      <c r="O1154" s="148" t="s">
        <v>83</v>
      </c>
      <c r="Y1154" s="150" t="s">
        <v>366</v>
      </c>
    </row>
    <row r="1155" spans="1:26" ht="15.75" hidden="1" customHeight="1" x14ac:dyDescent="0.25">
      <c r="A1155" s="148" t="s">
        <v>76</v>
      </c>
      <c r="B1155" s="148" t="s">
        <v>103</v>
      </c>
      <c r="C1155" s="148" t="s">
        <v>55</v>
      </c>
      <c r="D1155" s="148" t="s">
        <v>29</v>
      </c>
      <c r="E1155" s="148" t="s">
        <v>95</v>
      </c>
      <c r="F1155" s="148" t="s">
        <v>56</v>
      </c>
      <c r="G1155" s="148" t="s">
        <v>195</v>
      </c>
      <c r="H1155" s="148">
        <v>2009</v>
      </c>
      <c r="I1155" s="148">
        <v>9</v>
      </c>
      <c r="J1155" s="148" t="s">
        <v>150</v>
      </c>
      <c r="K1155" s="148" t="s">
        <v>327</v>
      </c>
      <c r="M1155" s="148" t="s">
        <v>82</v>
      </c>
      <c r="N1155" s="148">
        <v>8</v>
      </c>
      <c r="O1155" s="148" t="s">
        <v>83</v>
      </c>
      <c r="Y1155" s="150" t="s">
        <v>366</v>
      </c>
    </row>
    <row r="1156" spans="1:26" ht="15.75" hidden="1" customHeight="1" x14ac:dyDescent="0.25">
      <c r="A1156" s="148" t="s">
        <v>76</v>
      </c>
      <c r="B1156" s="148" t="s">
        <v>89</v>
      </c>
      <c r="C1156" s="148" t="s">
        <v>90</v>
      </c>
      <c r="D1156" s="148" t="s">
        <v>29</v>
      </c>
      <c r="E1156" s="148" t="s">
        <v>30</v>
      </c>
      <c r="F1156" s="148" t="s">
        <v>91</v>
      </c>
      <c r="G1156" s="148" t="s">
        <v>93</v>
      </c>
      <c r="H1156" s="148">
        <v>2009</v>
      </c>
      <c r="I1156" s="148">
        <v>9</v>
      </c>
      <c r="J1156" s="148" t="s">
        <v>118</v>
      </c>
      <c r="K1156" s="148" t="s">
        <v>327</v>
      </c>
      <c r="M1156" s="148" t="s">
        <v>82</v>
      </c>
      <c r="N1156" s="148">
        <v>8</v>
      </c>
      <c r="O1156" s="148" t="s">
        <v>101</v>
      </c>
      <c r="P1156" s="148" t="s">
        <v>146</v>
      </c>
      <c r="Y1156" s="150" t="s">
        <v>366</v>
      </c>
    </row>
    <row r="1157" spans="1:26" ht="15.75" hidden="1" customHeight="1" x14ac:dyDescent="0.25">
      <c r="A1157" s="148" t="s">
        <v>76</v>
      </c>
      <c r="B1157" s="148" t="s">
        <v>36</v>
      </c>
      <c r="C1157" s="148" t="s">
        <v>28</v>
      </c>
      <c r="D1157" s="148" t="s">
        <v>342</v>
      </c>
      <c r="E1157" s="148" t="s">
        <v>30</v>
      </c>
      <c r="F1157" s="148" t="s">
        <v>3183</v>
      </c>
      <c r="G1157" s="148" t="s">
        <v>114</v>
      </c>
      <c r="H1157" s="148">
        <v>2009</v>
      </c>
      <c r="I1157" s="148">
        <v>9</v>
      </c>
      <c r="J1157" s="148" t="s">
        <v>118</v>
      </c>
      <c r="K1157" s="148" t="s">
        <v>327</v>
      </c>
      <c r="M1157" s="148" t="s">
        <v>82</v>
      </c>
      <c r="N1157" s="148">
        <v>8</v>
      </c>
      <c r="O1157" s="148" t="s">
        <v>101</v>
      </c>
      <c r="P1157" s="148" t="s">
        <v>556</v>
      </c>
      <c r="Y1157" s="150" t="s">
        <v>366</v>
      </c>
    </row>
    <row r="1158" spans="1:26" ht="15.75" hidden="1" customHeight="1" x14ac:dyDescent="0.25">
      <c r="A1158" s="148" t="s">
        <v>76</v>
      </c>
      <c r="B1158" s="148" t="s">
        <v>36</v>
      </c>
      <c r="C1158" s="148" t="s">
        <v>28</v>
      </c>
      <c r="D1158" s="148" t="s">
        <v>342</v>
      </c>
      <c r="E1158" s="148" t="s">
        <v>30</v>
      </c>
      <c r="F1158" s="148" t="s">
        <v>3183</v>
      </c>
      <c r="G1158" s="148" t="s">
        <v>114</v>
      </c>
      <c r="H1158" s="148">
        <v>2009</v>
      </c>
      <c r="I1158" s="148">
        <v>9</v>
      </c>
      <c r="J1158" s="148" t="s">
        <v>118</v>
      </c>
      <c r="K1158" s="148" t="s">
        <v>327</v>
      </c>
      <c r="M1158" s="148" t="s">
        <v>82</v>
      </c>
      <c r="N1158" s="148">
        <v>8</v>
      </c>
      <c r="O1158" s="148" t="s">
        <v>101</v>
      </c>
      <c r="P1158" s="148" t="s">
        <v>829</v>
      </c>
      <c r="Y1158" s="150" t="s">
        <v>830</v>
      </c>
      <c r="Z1158" s="148" t="s">
        <v>831</v>
      </c>
    </row>
    <row r="1159" spans="1:26" ht="15.75" hidden="1" customHeight="1" x14ac:dyDescent="0.25">
      <c r="A1159" s="148" t="s">
        <v>26</v>
      </c>
      <c r="B1159" s="148" t="s">
        <v>116</v>
      </c>
      <c r="C1159" s="148" t="s">
        <v>90</v>
      </c>
      <c r="D1159" s="148" t="s">
        <v>29</v>
      </c>
      <c r="E1159" s="148" t="s">
        <v>30</v>
      </c>
      <c r="F1159" s="148" t="s">
        <v>41</v>
      </c>
      <c r="G1159" s="148" t="s">
        <v>683</v>
      </c>
      <c r="H1159" s="148">
        <v>2009</v>
      </c>
      <c r="I1159" s="148">
        <v>9</v>
      </c>
      <c r="J1159" s="148" t="s">
        <v>792</v>
      </c>
      <c r="U1159" s="149" t="s">
        <v>3629</v>
      </c>
      <c r="V1159" s="149" t="s">
        <v>3632</v>
      </c>
      <c r="W1159" s="148" t="s">
        <v>34</v>
      </c>
      <c r="X1159" s="148" t="s">
        <v>816</v>
      </c>
    </row>
    <row r="1160" spans="1:26" ht="15.75" hidden="1" customHeight="1" x14ac:dyDescent="0.25">
      <c r="A1160" s="148" t="s">
        <v>76</v>
      </c>
      <c r="B1160" s="148" t="s">
        <v>71</v>
      </c>
      <c r="C1160" s="148" t="s">
        <v>45</v>
      </c>
      <c r="D1160" s="148" t="s">
        <v>29</v>
      </c>
      <c r="E1160" s="148" t="s">
        <v>72</v>
      </c>
      <c r="F1160" s="148" t="s">
        <v>3183</v>
      </c>
      <c r="G1160" s="148" t="s">
        <v>73</v>
      </c>
      <c r="H1160" s="148">
        <v>2009</v>
      </c>
      <c r="I1160" s="148">
        <v>10</v>
      </c>
      <c r="J1160" s="148" t="s">
        <v>150</v>
      </c>
      <c r="K1160" s="148" t="s">
        <v>455</v>
      </c>
      <c r="M1160" s="148" t="s">
        <v>132</v>
      </c>
      <c r="N1160" s="148">
        <v>8</v>
      </c>
      <c r="O1160" s="148" t="s">
        <v>83</v>
      </c>
      <c r="U1160" s="149" t="s">
        <v>3629</v>
      </c>
      <c r="Y1160" s="150" t="s">
        <v>366</v>
      </c>
    </row>
    <row r="1161" spans="1:26" ht="15.75" hidden="1" customHeight="1" x14ac:dyDescent="0.25">
      <c r="A1161" s="148" t="s">
        <v>76</v>
      </c>
      <c r="B1161" s="148" t="s">
        <v>89</v>
      </c>
      <c r="C1161" s="148" t="s">
        <v>90</v>
      </c>
      <c r="D1161" s="148" t="s">
        <v>478</v>
      </c>
      <c r="E1161" s="148" t="s">
        <v>30</v>
      </c>
      <c r="F1161" s="148" t="s">
        <v>91</v>
      </c>
      <c r="G1161" s="148" t="s">
        <v>620</v>
      </c>
      <c r="H1161" s="148">
        <v>2009</v>
      </c>
      <c r="I1161" s="148">
        <v>10</v>
      </c>
      <c r="J1161" s="148" t="s">
        <v>118</v>
      </c>
      <c r="K1161" s="148" t="s">
        <v>327</v>
      </c>
      <c r="M1161" s="148" t="s">
        <v>82</v>
      </c>
      <c r="N1161" s="148">
        <v>8</v>
      </c>
      <c r="O1161" s="148" t="s">
        <v>101</v>
      </c>
      <c r="P1161" s="148" t="s">
        <v>146</v>
      </c>
      <c r="Y1161" s="150" t="s">
        <v>366</v>
      </c>
    </row>
    <row r="1162" spans="1:26" ht="15.75" hidden="1" customHeight="1" x14ac:dyDescent="0.25">
      <c r="A1162" s="148" t="s">
        <v>76</v>
      </c>
      <c r="B1162" s="148" t="s">
        <v>103</v>
      </c>
      <c r="C1162" s="148" t="s">
        <v>55</v>
      </c>
      <c r="D1162" s="148" t="s">
        <v>478</v>
      </c>
      <c r="E1162" s="148" t="s">
        <v>95</v>
      </c>
      <c r="F1162" s="148" t="s">
        <v>56</v>
      </c>
      <c r="G1162" s="148" t="s">
        <v>153</v>
      </c>
      <c r="H1162" s="148">
        <v>2009</v>
      </c>
      <c r="I1162" s="148">
        <v>10</v>
      </c>
      <c r="J1162" s="148" t="s">
        <v>150</v>
      </c>
      <c r="K1162" s="148" t="s">
        <v>706</v>
      </c>
      <c r="M1162" s="148" t="s">
        <v>547</v>
      </c>
      <c r="N1162" s="148">
        <v>6</v>
      </c>
      <c r="O1162" s="148" t="s">
        <v>83</v>
      </c>
      <c r="Y1162" s="150" t="s">
        <v>366</v>
      </c>
    </row>
    <row r="1163" spans="1:26" ht="15.75" hidden="1" customHeight="1" x14ac:dyDescent="0.25">
      <c r="A1163" s="148" t="s">
        <v>76</v>
      </c>
      <c r="B1163" s="148" t="s">
        <v>103</v>
      </c>
      <c r="C1163" s="148" t="s">
        <v>55</v>
      </c>
      <c r="D1163" s="148" t="s">
        <v>29</v>
      </c>
      <c r="E1163" s="148" t="s">
        <v>95</v>
      </c>
      <c r="F1163" s="148" t="s">
        <v>56</v>
      </c>
      <c r="G1163" s="148" t="s">
        <v>407</v>
      </c>
      <c r="H1163" s="148">
        <v>2009</v>
      </c>
      <c r="I1163" s="148">
        <v>10</v>
      </c>
      <c r="J1163" s="148" t="s">
        <v>150</v>
      </c>
      <c r="K1163" s="148" t="s">
        <v>706</v>
      </c>
      <c r="M1163" s="148" t="s">
        <v>547</v>
      </c>
      <c r="N1163" s="148">
        <v>6</v>
      </c>
      <c r="O1163" s="148" t="s">
        <v>83</v>
      </c>
      <c r="Y1163" s="150" t="s">
        <v>366</v>
      </c>
    </row>
    <row r="1164" spans="1:26" ht="15.75" hidden="1" customHeight="1" x14ac:dyDescent="0.25">
      <c r="A1164" s="148" t="s">
        <v>76</v>
      </c>
      <c r="B1164" s="148" t="s">
        <v>36</v>
      </c>
      <c r="C1164" s="148" t="s">
        <v>28</v>
      </c>
      <c r="D1164" s="148" t="s">
        <v>99</v>
      </c>
      <c r="E1164" s="148" t="s">
        <v>30</v>
      </c>
      <c r="F1164" s="148" t="s">
        <v>3183</v>
      </c>
      <c r="G1164" s="148" t="s">
        <v>59</v>
      </c>
      <c r="H1164" s="148">
        <v>2009</v>
      </c>
      <c r="I1164" s="148">
        <v>10</v>
      </c>
      <c r="J1164" s="148" t="s">
        <v>150</v>
      </c>
      <c r="K1164" s="148" t="s">
        <v>629</v>
      </c>
      <c r="M1164" s="148" t="s">
        <v>120</v>
      </c>
      <c r="N1164" s="148">
        <v>6</v>
      </c>
      <c r="O1164" s="148" t="s">
        <v>83</v>
      </c>
      <c r="Y1164" s="150" t="s">
        <v>366</v>
      </c>
    </row>
    <row r="1165" spans="1:26" ht="15.75" hidden="1" customHeight="1" x14ac:dyDescent="0.25">
      <c r="A1165" s="148" t="s">
        <v>76</v>
      </c>
      <c r="B1165" s="148" t="s">
        <v>62</v>
      </c>
      <c r="C1165" s="148" t="s">
        <v>28</v>
      </c>
      <c r="D1165" s="148" t="s">
        <v>759</v>
      </c>
      <c r="E1165" s="148" t="s">
        <v>51</v>
      </c>
      <c r="F1165" s="148" t="s">
        <v>3183</v>
      </c>
      <c r="G1165" s="148" t="s">
        <v>409</v>
      </c>
      <c r="H1165" s="148">
        <v>2009</v>
      </c>
      <c r="I1165" s="148">
        <v>10</v>
      </c>
      <c r="J1165" s="148" t="s">
        <v>150</v>
      </c>
      <c r="K1165" s="148" t="s">
        <v>629</v>
      </c>
      <c r="M1165" s="148" t="s">
        <v>120</v>
      </c>
      <c r="N1165" s="148">
        <v>6</v>
      </c>
      <c r="O1165" s="148" t="s">
        <v>83</v>
      </c>
      <c r="Y1165" s="150" t="s">
        <v>366</v>
      </c>
    </row>
    <row r="1166" spans="1:26" ht="15.75" hidden="1" customHeight="1" x14ac:dyDescent="0.25">
      <c r="A1166" s="148" t="s">
        <v>76</v>
      </c>
      <c r="B1166" s="148" t="s">
        <v>89</v>
      </c>
      <c r="C1166" s="148" t="s">
        <v>90</v>
      </c>
      <c r="D1166" s="148" t="s">
        <v>29</v>
      </c>
      <c r="E1166" s="148" t="s">
        <v>30</v>
      </c>
      <c r="F1166" s="148" t="s">
        <v>91</v>
      </c>
      <c r="G1166" s="148" t="s">
        <v>762</v>
      </c>
      <c r="H1166" s="148">
        <v>2009</v>
      </c>
      <c r="I1166" s="148">
        <v>10</v>
      </c>
      <c r="J1166" s="148" t="s">
        <v>118</v>
      </c>
      <c r="K1166" s="148" t="s">
        <v>327</v>
      </c>
      <c r="M1166" s="148" t="s">
        <v>82</v>
      </c>
      <c r="N1166" s="148">
        <v>8</v>
      </c>
      <c r="O1166" s="148" t="s">
        <v>101</v>
      </c>
      <c r="P1166" s="148" t="s">
        <v>146</v>
      </c>
      <c r="Y1166" s="150" t="s">
        <v>366</v>
      </c>
    </row>
    <row r="1167" spans="1:26" ht="15.75" hidden="1" customHeight="1" x14ac:dyDescent="0.25">
      <c r="A1167" s="148" t="s">
        <v>76</v>
      </c>
      <c r="B1167" s="148" t="s">
        <v>62</v>
      </c>
      <c r="C1167" s="148" t="s">
        <v>28</v>
      </c>
      <c r="D1167" s="148" t="s">
        <v>51</v>
      </c>
      <c r="E1167" s="148" t="s">
        <v>30</v>
      </c>
      <c r="F1167" s="148" t="s">
        <v>3183</v>
      </c>
      <c r="G1167" s="148" t="s">
        <v>63</v>
      </c>
      <c r="H1167" s="148">
        <v>2009</v>
      </c>
      <c r="I1167" s="148">
        <v>10</v>
      </c>
      <c r="J1167" s="148" t="s">
        <v>150</v>
      </c>
      <c r="K1167" s="148" t="s">
        <v>629</v>
      </c>
      <c r="M1167" s="148" t="s">
        <v>120</v>
      </c>
      <c r="N1167" s="148">
        <v>6</v>
      </c>
      <c r="O1167" s="148" t="s">
        <v>83</v>
      </c>
      <c r="Y1167" s="150" t="s">
        <v>366</v>
      </c>
    </row>
    <row r="1168" spans="1:26" ht="15.75" hidden="1" customHeight="1" x14ac:dyDescent="0.25">
      <c r="A1168" s="148" t="s">
        <v>76</v>
      </c>
      <c r="B1168" s="148" t="s">
        <v>36</v>
      </c>
      <c r="C1168" s="148" t="s">
        <v>45</v>
      </c>
      <c r="D1168" s="148" t="s">
        <v>29</v>
      </c>
      <c r="E1168" s="148" t="s">
        <v>30</v>
      </c>
      <c r="F1168" s="148" t="s">
        <v>3183</v>
      </c>
      <c r="G1168" s="148" t="s">
        <v>600</v>
      </c>
      <c r="H1168" s="148">
        <v>2009</v>
      </c>
      <c r="I1168" s="148">
        <v>10</v>
      </c>
      <c r="J1168" s="148" t="s">
        <v>150</v>
      </c>
      <c r="K1168" s="148" t="s">
        <v>455</v>
      </c>
      <c r="M1168" s="148" t="s">
        <v>132</v>
      </c>
      <c r="N1168" s="148">
        <v>8</v>
      </c>
      <c r="O1168" s="148" t="s">
        <v>83</v>
      </c>
      <c r="Y1168" s="150" t="s">
        <v>366</v>
      </c>
    </row>
    <row r="1169" spans="1:25" ht="15.75" customHeight="1" x14ac:dyDescent="0.25">
      <c r="A1169" s="148" t="s">
        <v>76</v>
      </c>
      <c r="B1169" s="148" t="s">
        <v>36</v>
      </c>
      <c r="C1169" s="148" t="s">
        <v>28</v>
      </c>
      <c r="D1169" s="148" t="s">
        <v>29</v>
      </c>
      <c r="E1169" s="148" t="s">
        <v>30</v>
      </c>
      <c r="F1169" s="148" t="s">
        <v>3183</v>
      </c>
      <c r="G1169" s="148" t="s">
        <v>194</v>
      </c>
      <c r="H1169" s="148">
        <v>2009</v>
      </c>
      <c r="I1169" s="148">
        <v>10</v>
      </c>
      <c r="J1169" s="148" t="s">
        <v>150</v>
      </c>
      <c r="K1169" s="148" t="s">
        <v>455</v>
      </c>
      <c r="M1169" s="148" t="s">
        <v>132</v>
      </c>
      <c r="N1169" s="148">
        <v>8</v>
      </c>
      <c r="O1169" s="148" t="s">
        <v>83</v>
      </c>
      <c r="Y1169" s="150" t="s">
        <v>366</v>
      </c>
    </row>
    <row r="1170" spans="1:25" ht="15.75" hidden="1" customHeight="1" x14ac:dyDescent="0.25">
      <c r="A1170" s="148" t="s">
        <v>76</v>
      </c>
      <c r="B1170" s="148" t="s">
        <v>62</v>
      </c>
      <c r="C1170" s="148" t="s">
        <v>28</v>
      </c>
      <c r="D1170" s="148" t="s">
        <v>86</v>
      </c>
      <c r="E1170" s="148" t="s">
        <v>51</v>
      </c>
      <c r="F1170" s="148" t="s">
        <v>3183</v>
      </c>
      <c r="G1170" s="148" t="s">
        <v>130</v>
      </c>
      <c r="H1170" s="148">
        <v>2009</v>
      </c>
      <c r="I1170" s="148">
        <v>10</v>
      </c>
      <c r="J1170" s="148" t="s">
        <v>150</v>
      </c>
      <c r="K1170" s="148" t="s">
        <v>629</v>
      </c>
      <c r="M1170" s="148" t="s">
        <v>120</v>
      </c>
      <c r="N1170" s="148">
        <v>6</v>
      </c>
      <c r="O1170" s="148" t="s">
        <v>83</v>
      </c>
      <c r="Y1170" s="150" t="s">
        <v>366</v>
      </c>
    </row>
    <row r="1171" spans="1:25" ht="15.75" hidden="1" customHeight="1" x14ac:dyDescent="0.25">
      <c r="A1171" s="148" t="s">
        <v>76</v>
      </c>
      <c r="B1171" s="148" t="s">
        <v>44</v>
      </c>
      <c r="C1171" s="148" t="s">
        <v>45</v>
      </c>
      <c r="D1171" s="148" t="s">
        <v>29</v>
      </c>
      <c r="E1171" s="148" t="s">
        <v>46</v>
      </c>
      <c r="F1171" s="148" t="s">
        <v>47</v>
      </c>
      <c r="G1171" s="148" t="s">
        <v>48</v>
      </c>
      <c r="H1171" s="148">
        <v>2009</v>
      </c>
      <c r="I1171" s="148">
        <v>10</v>
      </c>
      <c r="J1171" s="148" t="s">
        <v>150</v>
      </c>
      <c r="K1171" s="148" t="s">
        <v>388</v>
      </c>
      <c r="M1171" s="148" t="s">
        <v>126</v>
      </c>
      <c r="N1171" s="148">
        <v>10</v>
      </c>
      <c r="O1171" s="148" t="s">
        <v>83</v>
      </c>
      <c r="P1171" s="148" t="s">
        <v>183</v>
      </c>
      <c r="Y1171" s="150" t="s">
        <v>366</v>
      </c>
    </row>
    <row r="1172" spans="1:25" ht="15.75" hidden="1" customHeight="1" x14ac:dyDescent="0.25">
      <c r="A1172" s="148" t="s">
        <v>76</v>
      </c>
      <c r="B1172" s="148" t="s">
        <v>77</v>
      </c>
      <c r="C1172" s="148" t="s">
        <v>55</v>
      </c>
      <c r="D1172" s="148" t="s">
        <v>29</v>
      </c>
      <c r="E1172" s="148" t="s">
        <v>30</v>
      </c>
      <c r="F1172" s="148" t="s">
        <v>41</v>
      </c>
      <c r="G1172" s="148" t="s">
        <v>363</v>
      </c>
      <c r="H1172" s="148">
        <v>2009</v>
      </c>
      <c r="I1172" s="148">
        <v>10</v>
      </c>
      <c r="J1172" s="148" t="s">
        <v>118</v>
      </c>
      <c r="K1172" s="148" t="s">
        <v>327</v>
      </c>
      <c r="M1172" s="148" t="s">
        <v>82</v>
      </c>
      <c r="N1172" s="148">
        <v>8</v>
      </c>
      <c r="O1172" s="148" t="s">
        <v>101</v>
      </c>
      <c r="P1172" s="148" t="s">
        <v>146</v>
      </c>
      <c r="Y1172" s="150" t="s">
        <v>366</v>
      </c>
    </row>
    <row r="1173" spans="1:25" ht="15.75" hidden="1" customHeight="1" x14ac:dyDescent="0.25">
      <c r="A1173" s="148" t="s">
        <v>26</v>
      </c>
      <c r="B1173" s="148" t="s">
        <v>116</v>
      </c>
      <c r="C1173" s="148" t="s">
        <v>90</v>
      </c>
      <c r="D1173" s="148" t="s">
        <v>29</v>
      </c>
      <c r="E1173" s="148" t="s">
        <v>30</v>
      </c>
      <c r="F1173" s="148" t="s">
        <v>41</v>
      </c>
      <c r="G1173" s="148" t="s">
        <v>683</v>
      </c>
      <c r="H1173" s="148">
        <v>2009</v>
      </c>
      <c r="I1173" s="148">
        <v>10</v>
      </c>
      <c r="J1173" s="148" t="s">
        <v>792</v>
      </c>
      <c r="U1173" s="149" t="s">
        <v>3629</v>
      </c>
      <c r="V1173" s="149" t="s">
        <v>3632</v>
      </c>
      <c r="W1173" s="148" t="s">
        <v>34</v>
      </c>
      <c r="X1173" s="148" t="s">
        <v>816</v>
      </c>
    </row>
    <row r="1174" spans="1:25" ht="15.75" hidden="1" customHeight="1" x14ac:dyDescent="0.25">
      <c r="A1174" s="148" t="s">
        <v>76</v>
      </c>
      <c r="B1174" s="148" t="s">
        <v>116</v>
      </c>
      <c r="C1174" s="148" t="s">
        <v>90</v>
      </c>
      <c r="D1174" s="148" t="s">
        <v>516</v>
      </c>
      <c r="E1174" s="148" t="s">
        <v>40</v>
      </c>
      <c r="F1174" s="148" t="s">
        <v>41</v>
      </c>
      <c r="G1174" s="148" t="s">
        <v>783</v>
      </c>
      <c r="H1174" s="148">
        <v>2009</v>
      </c>
      <c r="I1174" s="148">
        <v>11</v>
      </c>
      <c r="J1174" s="148" t="s">
        <v>118</v>
      </c>
      <c r="K1174" s="148" t="s">
        <v>327</v>
      </c>
      <c r="M1174" s="148" t="s">
        <v>82</v>
      </c>
      <c r="N1174" s="148">
        <v>8</v>
      </c>
      <c r="O1174" s="148" t="s">
        <v>101</v>
      </c>
      <c r="P1174" s="148" t="s">
        <v>647</v>
      </c>
      <c r="U1174" s="149" t="s">
        <v>3629</v>
      </c>
      <c r="Y1174" s="150" t="s">
        <v>366</v>
      </c>
    </row>
    <row r="1175" spans="1:25" ht="15.75" hidden="1" customHeight="1" x14ac:dyDescent="0.25">
      <c r="A1175" s="148" t="s">
        <v>76</v>
      </c>
      <c r="B1175" s="148" t="s">
        <v>27</v>
      </c>
      <c r="C1175" s="148" t="s">
        <v>28</v>
      </c>
      <c r="D1175" s="148" t="s">
        <v>158</v>
      </c>
      <c r="E1175" s="148" t="s">
        <v>30</v>
      </c>
      <c r="F1175" s="148" t="s">
        <v>3183</v>
      </c>
      <c r="G1175" s="148" t="s">
        <v>32</v>
      </c>
      <c r="H1175" s="148">
        <v>2009</v>
      </c>
      <c r="I1175" s="148">
        <v>11</v>
      </c>
      <c r="J1175" s="148" t="s">
        <v>118</v>
      </c>
      <c r="K1175" s="148" t="s">
        <v>579</v>
      </c>
      <c r="M1175" s="148" t="s">
        <v>554</v>
      </c>
      <c r="N1175" s="148">
        <v>8</v>
      </c>
      <c r="O1175" s="148" t="s">
        <v>101</v>
      </c>
      <c r="P1175" s="148" t="s">
        <v>537</v>
      </c>
      <c r="Y1175" s="150" t="s">
        <v>366</v>
      </c>
    </row>
    <row r="1176" spans="1:25" ht="15.75" hidden="1" customHeight="1" x14ac:dyDescent="0.25">
      <c r="A1176" s="148" t="s">
        <v>76</v>
      </c>
      <c r="B1176" s="148" t="s">
        <v>198</v>
      </c>
      <c r="C1176" s="148" t="s">
        <v>45</v>
      </c>
      <c r="D1176" s="148" t="s">
        <v>478</v>
      </c>
      <c r="E1176" s="148" t="s">
        <v>30</v>
      </c>
      <c r="F1176" s="148" t="s">
        <v>199</v>
      </c>
      <c r="G1176" s="148" t="s">
        <v>208</v>
      </c>
      <c r="H1176" s="148">
        <v>2009</v>
      </c>
      <c r="I1176" s="148">
        <v>11</v>
      </c>
      <c r="J1176" s="148" t="s">
        <v>118</v>
      </c>
      <c r="K1176" s="148" t="s">
        <v>388</v>
      </c>
      <c r="M1176" s="148" t="s">
        <v>126</v>
      </c>
      <c r="N1176" s="148">
        <v>10</v>
      </c>
      <c r="O1176" s="148" t="s">
        <v>101</v>
      </c>
      <c r="P1176" s="148" t="s">
        <v>146</v>
      </c>
      <c r="Y1176" s="150" t="s">
        <v>366</v>
      </c>
    </row>
    <row r="1177" spans="1:25" ht="15.75" hidden="1" customHeight="1" x14ac:dyDescent="0.25">
      <c r="A1177" s="148" t="s">
        <v>76</v>
      </c>
      <c r="B1177" s="148" t="s">
        <v>198</v>
      </c>
      <c r="C1177" s="148" t="s">
        <v>45</v>
      </c>
      <c r="D1177" s="148" t="s">
        <v>94</v>
      </c>
      <c r="E1177" s="148" t="s">
        <v>30</v>
      </c>
      <c r="F1177" s="148" t="s">
        <v>199</v>
      </c>
      <c r="G1177" s="148" t="s">
        <v>296</v>
      </c>
      <c r="H1177" s="148">
        <v>2009</v>
      </c>
      <c r="I1177" s="148">
        <v>11</v>
      </c>
      <c r="J1177" s="148" t="s">
        <v>118</v>
      </c>
      <c r="K1177" s="148" t="s">
        <v>579</v>
      </c>
      <c r="M1177" s="148" t="s">
        <v>554</v>
      </c>
      <c r="N1177" s="148">
        <v>8</v>
      </c>
      <c r="O1177" s="148" t="s">
        <v>101</v>
      </c>
      <c r="P1177" s="148" t="s">
        <v>537</v>
      </c>
      <c r="Y1177" s="150" t="s">
        <v>366</v>
      </c>
    </row>
    <row r="1178" spans="1:25" ht="15.75" hidden="1" customHeight="1" x14ac:dyDescent="0.25">
      <c r="A1178" s="148" t="s">
        <v>26</v>
      </c>
      <c r="B1178" s="148" t="s">
        <v>198</v>
      </c>
      <c r="C1178" s="148" t="s">
        <v>198</v>
      </c>
      <c r="D1178" s="148" t="s">
        <v>94</v>
      </c>
      <c r="E1178" s="148" t="s">
        <v>30</v>
      </c>
      <c r="F1178" s="148" t="s">
        <v>199</v>
      </c>
      <c r="G1178" s="148" t="s">
        <v>296</v>
      </c>
      <c r="H1178" s="148">
        <v>2009</v>
      </c>
      <c r="I1178" s="148">
        <v>11</v>
      </c>
      <c r="J1178" s="148" t="s">
        <v>33</v>
      </c>
      <c r="U1178" s="149" t="s">
        <v>112</v>
      </c>
      <c r="V1178" s="148" t="s">
        <v>112</v>
      </c>
      <c r="Y1178" s="150" t="s">
        <v>832</v>
      </c>
    </row>
    <row r="1179" spans="1:25" ht="15.75" hidden="1" customHeight="1" x14ac:dyDescent="0.25">
      <c r="A1179" s="148" t="s">
        <v>76</v>
      </c>
      <c r="B1179" s="148" t="s">
        <v>116</v>
      </c>
      <c r="C1179" s="148" t="s">
        <v>90</v>
      </c>
      <c r="D1179" s="148" t="s">
        <v>86</v>
      </c>
      <c r="E1179" s="148" t="s">
        <v>40</v>
      </c>
      <c r="F1179" s="148" t="s">
        <v>41</v>
      </c>
      <c r="G1179" s="148" t="s">
        <v>117</v>
      </c>
      <c r="H1179" s="148">
        <v>2009</v>
      </c>
      <c r="I1179" s="148">
        <v>11</v>
      </c>
      <c r="J1179" s="148" t="s">
        <v>118</v>
      </c>
      <c r="K1179" s="148" t="s">
        <v>579</v>
      </c>
      <c r="M1179" s="148" t="s">
        <v>554</v>
      </c>
      <c r="N1179" s="148">
        <v>8</v>
      </c>
      <c r="O1179" s="148" t="s">
        <v>101</v>
      </c>
      <c r="P1179" s="148" t="s">
        <v>537</v>
      </c>
      <c r="Y1179" s="150" t="s">
        <v>366</v>
      </c>
    </row>
    <row r="1180" spans="1:25" ht="15.75" hidden="1" customHeight="1" x14ac:dyDescent="0.25">
      <c r="A1180" s="148" t="s">
        <v>76</v>
      </c>
      <c r="B1180" s="148" t="s">
        <v>103</v>
      </c>
      <c r="C1180" s="148" t="s">
        <v>55</v>
      </c>
      <c r="D1180" s="148" t="s">
        <v>478</v>
      </c>
      <c r="E1180" s="148" t="s">
        <v>95</v>
      </c>
      <c r="F1180" s="148" t="s">
        <v>56</v>
      </c>
      <c r="G1180" s="148" t="s">
        <v>153</v>
      </c>
      <c r="H1180" s="148">
        <v>2009</v>
      </c>
      <c r="I1180" s="148">
        <v>11</v>
      </c>
      <c r="J1180" s="148" t="s">
        <v>118</v>
      </c>
      <c r="K1180" s="148" t="s">
        <v>629</v>
      </c>
      <c r="M1180" s="148" t="s">
        <v>120</v>
      </c>
      <c r="N1180" s="148">
        <v>6</v>
      </c>
      <c r="O1180" s="148" t="s">
        <v>101</v>
      </c>
      <c r="P1180" s="148" t="s">
        <v>833</v>
      </c>
      <c r="Y1180" s="150" t="s">
        <v>366</v>
      </c>
    </row>
    <row r="1181" spans="1:25" ht="15.75" hidden="1" customHeight="1" x14ac:dyDescent="0.25">
      <c r="A1181" s="148" t="s">
        <v>76</v>
      </c>
      <c r="B1181" s="148" t="s">
        <v>62</v>
      </c>
      <c r="C1181" s="148" t="s">
        <v>28</v>
      </c>
      <c r="D1181" s="148" t="s">
        <v>759</v>
      </c>
      <c r="E1181" s="148" t="s">
        <v>51</v>
      </c>
      <c r="F1181" s="148" t="s">
        <v>3183</v>
      </c>
      <c r="G1181" s="148" t="s">
        <v>409</v>
      </c>
      <c r="H1181" s="148">
        <v>2009</v>
      </c>
      <c r="I1181" s="148">
        <v>11</v>
      </c>
      <c r="J1181" s="148" t="s">
        <v>150</v>
      </c>
      <c r="K1181" s="148" t="s">
        <v>327</v>
      </c>
      <c r="M1181" s="148" t="s">
        <v>82</v>
      </c>
      <c r="N1181" s="148">
        <v>8</v>
      </c>
      <c r="O1181" s="148" t="s">
        <v>83</v>
      </c>
      <c r="Y1181" s="150" t="s">
        <v>366</v>
      </c>
    </row>
    <row r="1182" spans="1:25" ht="15.75" hidden="1" customHeight="1" x14ac:dyDescent="0.25">
      <c r="A1182" s="148" t="s">
        <v>26</v>
      </c>
      <c r="B1182" s="148" t="s">
        <v>62</v>
      </c>
      <c r="C1182" s="148" t="s">
        <v>28</v>
      </c>
      <c r="D1182" s="148" t="s">
        <v>759</v>
      </c>
      <c r="E1182" s="148" t="s">
        <v>51</v>
      </c>
      <c r="F1182" s="148" t="s">
        <v>3183</v>
      </c>
      <c r="G1182" s="148" t="s">
        <v>409</v>
      </c>
      <c r="H1182" s="148">
        <v>2009</v>
      </c>
      <c r="I1182" s="148">
        <v>11</v>
      </c>
      <c r="J1182" s="148" t="s">
        <v>785</v>
      </c>
      <c r="U1182" s="149" t="s">
        <v>112</v>
      </c>
      <c r="V1182" s="149" t="s">
        <v>3665</v>
      </c>
      <c r="W1182" s="148" t="s">
        <v>49</v>
      </c>
      <c r="X1182" s="148" t="s">
        <v>834</v>
      </c>
      <c r="Y1182" s="150" t="s">
        <v>835</v>
      </c>
    </row>
    <row r="1183" spans="1:25" ht="15.75" hidden="1" customHeight="1" x14ac:dyDescent="0.25">
      <c r="A1183" s="148" t="s">
        <v>76</v>
      </c>
      <c r="B1183" s="148" t="s">
        <v>77</v>
      </c>
      <c r="C1183" s="148" t="s">
        <v>55</v>
      </c>
      <c r="D1183" s="148" t="s">
        <v>99</v>
      </c>
      <c r="E1183" s="148" t="s">
        <v>30</v>
      </c>
      <c r="F1183" s="148" t="s">
        <v>41</v>
      </c>
      <c r="G1183" s="148" t="s">
        <v>159</v>
      </c>
      <c r="H1183" s="148">
        <v>2009</v>
      </c>
      <c r="I1183" s="148">
        <v>11</v>
      </c>
      <c r="J1183" s="148" t="s">
        <v>118</v>
      </c>
      <c r="K1183" s="148" t="s">
        <v>629</v>
      </c>
      <c r="M1183" s="148" t="s">
        <v>120</v>
      </c>
      <c r="N1183" s="148">
        <v>6</v>
      </c>
      <c r="O1183" s="148" t="s">
        <v>83</v>
      </c>
      <c r="P1183" s="148" t="s">
        <v>632</v>
      </c>
      <c r="Y1183" s="150" t="s">
        <v>366</v>
      </c>
    </row>
    <row r="1184" spans="1:25" ht="15.75" hidden="1" customHeight="1" x14ac:dyDescent="0.25">
      <c r="A1184" s="148" t="s">
        <v>76</v>
      </c>
      <c r="B1184" s="148" t="s">
        <v>103</v>
      </c>
      <c r="C1184" s="148" t="s">
        <v>55</v>
      </c>
      <c r="D1184" s="148" t="s">
        <v>29</v>
      </c>
      <c r="E1184" s="148" t="s">
        <v>30</v>
      </c>
      <c r="F1184" s="148" t="s">
        <v>56</v>
      </c>
      <c r="G1184" s="148" t="s">
        <v>458</v>
      </c>
      <c r="H1184" s="148">
        <v>2009</v>
      </c>
      <c r="I1184" s="148">
        <v>11</v>
      </c>
      <c r="J1184" s="148" t="s">
        <v>118</v>
      </c>
      <c r="K1184" s="148" t="s">
        <v>327</v>
      </c>
      <c r="M1184" s="148" t="s">
        <v>82</v>
      </c>
      <c r="N1184" s="148">
        <v>8</v>
      </c>
      <c r="O1184" s="148" t="s">
        <v>101</v>
      </c>
      <c r="P1184" s="148" t="s">
        <v>435</v>
      </c>
      <c r="Y1184" s="150" t="s">
        <v>366</v>
      </c>
    </row>
    <row r="1185" spans="1:27" ht="15.75" hidden="1" customHeight="1" x14ac:dyDescent="0.25">
      <c r="A1185" s="129" t="s">
        <v>76</v>
      </c>
      <c r="B1185" s="128" t="s">
        <v>103</v>
      </c>
      <c r="C1185" s="128" t="s">
        <v>55</v>
      </c>
      <c r="D1185" s="128" t="s">
        <v>478</v>
      </c>
      <c r="E1185" s="128" t="s">
        <v>95</v>
      </c>
      <c r="F1185" s="128" t="s">
        <v>56</v>
      </c>
      <c r="G1185" s="128" t="s">
        <v>95</v>
      </c>
      <c r="H1185" s="128">
        <v>2009</v>
      </c>
      <c r="I1185" s="128">
        <v>11</v>
      </c>
      <c r="J1185" s="155" t="s">
        <v>118</v>
      </c>
      <c r="K1185" s="128"/>
      <c r="L1185" s="128"/>
      <c r="M1185" s="128"/>
      <c r="N1185" s="128"/>
      <c r="O1185" s="128" t="s">
        <v>101</v>
      </c>
      <c r="P1185" s="128" t="s">
        <v>3337</v>
      </c>
      <c r="Q1185" s="128"/>
      <c r="R1185" s="128"/>
      <c r="S1185" s="128"/>
      <c r="T1185" s="128"/>
      <c r="U1185" s="128"/>
      <c r="V1185" s="128"/>
      <c r="W1185" s="128"/>
      <c r="X1185" s="128"/>
      <c r="Y1185" s="128" t="s">
        <v>3338</v>
      </c>
      <c r="Z1185" s="128" t="s">
        <v>3339</v>
      </c>
      <c r="AA1185" s="128"/>
    </row>
    <row r="1186" spans="1:27" ht="15.75" hidden="1" customHeight="1" x14ac:dyDescent="0.25">
      <c r="A1186" s="148" t="s">
        <v>76</v>
      </c>
      <c r="B1186" s="148" t="s">
        <v>62</v>
      </c>
      <c r="C1186" s="148" t="s">
        <v>28</v>
      </c>
      <c r="D1186" s="148" t="s">
        <v>51</v>
      </c>
      <c r="E1186" s="148" t="s">
        <v>30</v>
      </c>
      <c r="F1186" s="148" t="s">
        <v>3183</v>
      </c>
      <c r="G1186" s="148" t="s">
        <v>63</v>
      </c>
      <c r="H1186" s="148">
        <v>2009</v>
      </c>
      <c r="I1186" s="148">
        <v>11</v>
      </c>
      <c r="J1186" s="148" t="s">
        <v>150</v>
      </c>
      <c r="K1186" s="148" t="s">
        <v>327</v>
      </c>
      <c r="M1186" s="148" t="s">
        <v>82</v>
      </c>
      <c r="N1186" s="148">
        <v>8</v>
      </c>
      <c r="O1186" s="148" t="s">
        <v>83</v>
      </c>
      <c r="Y1186" s="150" t="s">
        <v>366</v>
      </c>
    </row>
    <row r="1187" spans="1:27" ht="15.75" hidden="1" customHeight="1" x14ac:dyDescent="0.25">
      <c r="A1187" s="148" t="s">
        <v>76</v>
      </c>
      <c r="B1187" s="148" t="s">
        <v>27</v>
      </c>
      <c r="C1187" s="148" t="s">
        <v>28</v>
      </c>
      <c r="D1187" s="148" t="s">
        <v>99</v>
      </c>
      <c r="E1187" s="148" t="s">
        <v>40</v>
      </c>
      <c r="F1187" s="148" t="s">
        <v>41</v>
      </c>
      <c r="G1187" s="148" t="s">
        <v>42</v>
      </c>
      <c r="H1187" s="148">
        <v>2009</v>
      </c>
      <c r="I1187" s="148">
        <v>11</v>
      </c>
      <c r="J1187" s="148" t="s">
        <v>118</v>
      </c>
      <c r="K1187" s="148" t="s">
        <v>579</v>
      </c>
      <c r="M1187" s="148" t="s">
        <v>554</v>
      </c>
      <c r="N1187" s="148">
        <v>8</v>
      </c>
      <c r="O1187" s="148" t="s">
        <v>101</v>
      </c>
      <c r="P1187" s="148" t="s">
        <v>537</v>
      </c>
      <c r="Y1187" s="150" t="s">
        <v>366</v>
      </c>
    </row>
    <row r="1188" spans="1:27" ht="15.75" hidden="1" customHeight="1" x14ac:dyDescent="0.25">
      <c r="A1188" s="148" t="s">
        <v>76</v>
      </c>
      <c r="B1188" s="148" t="s">
        <v>36</v>
      </c>
      <c r="C1188" s="148" t="s">
        <v>28</v>
      </c>
      <c r="D1188" s="148" t="s">
        <v>86</v>
      </c>
      <c r="E1188" s="148" t="s">
        <v>51</v>
      </c>
      <c r="F1188" s="148" t="s">
        <v>3183</v>
      </c>
      <c r="G1188" s="148" t="s">
        <v>69</v>
      </c>
      <c r="H1188" s="148">
        <v>2009</v>
      </c>
      <c r="I1188" s="148">
        <v>11</v>
      </c>
      <c r="J1188" s="148" t="s">
        <v>118</v>
      </c>
      <c r="K1188" s="148" t="s">
        <v>579</v>
      </c>
      <c r="M1188" s="148" t="s">
        <v>554</v>
      </c>
      <c r="N1188" s="148">
        <v>8</v>
      </c>
      <c r="O1188" s="148" t="s">
        <v>101</v>
      </c>
      <c r="P1188" s="148" t="s">
        <v>537</v>
      </c>
      <c r="Y1188" s="150" t="s">
        <v>366</v>
      </c>
    </row>
    <row r="1189" spans="1:27" ht="15.75" hidden="1" customHeight="1" x14ac:dyDescent="0.25">
      <c r="A1189" s="148" t="s">
        <v>76</v>
      </c>
      <c r="B1189" s="148" t="s">
        <v>103</v>
      </c>
      <c r="C1189" s="148" t="s">
        <v>55</v>
      </c>
      <c r="D1189" s="148" t="s">
        <v>490</v>
      </c>
      <c r="E1189" s="148" t="s">
        <v>95</v>
      </c>
      <c r="F1189" s="148" t="s">
        <v>56</v>
      </c>
      <c r="G1189" s="148" t="s">
        <v>168</v>
      </c>
      <c r="H1189" s="148">
        <v>2009</v>
      </c>
      <c r="I1189" s="148">
        <v>11</v>
      </c>
      <c r="J1189" s="148" t="s">
        <v>150</v>
      </c>
      <c r="K1189" s="148" t="s">
        <v>629</v>
      </c>
      <c r="M1189" s="148" t="s">
        <v>120</v>
      </c>
      <c r="N1189" s="148">
        <v>6</v>
      </c>
      <c r="O1189" s="148" t="s">
        <v>83</v>
      </c>
      <c r="Y1189" s="150" t="s">
        <v>366</v>
      </c>
    </row>
    <row r="1190" spans="1:27" ht="15.75" hidden="1" customHeight="1" x14ac:dyDescent="0.25">
      <c r="A1190" s="148" t="s">
        <v>76</v>
      </c>
      <c r="B1190" s="148" t="s">
        <v>54</v>
      </c>
      <c r="C1190" s="148" t="s">
        <v>55</v>
      </c>
      <c r="D1190" s="148" t="s">
        <v>65</v>
      </c>
      <c r="E1190" s="148" t="s">
        <v>30</v>
      </c>
      <c r="F1190" s="148" t="s">
        <v>56</v>
      </c>
      <c r="G1190" s="148" t="s">
        <v>54</v>
      </c>
      <c r="H1190" s="148">
        <v>2009</v>
      </c>
      <c r="I1190" s="148">
        <v>11</v>
      </c>
      <c r="J1190" s="148" t="s">
        <v>150</v>
      </c>
      <c r="K1190" s="148" t="s">
        <v>379</v>
      </c>
      <c r="M1190" s="148" t="s">
        <v>126</v>
      </c>
      <c r="N1190" s="148">
        <v>10</v>
      </c>
      <c r="O1190" s="148" t="s">
        <v>83</v>
      </c>
      <c r="Y1190" s="150" t="s">
        <v>366</v>
      </c>
    </row>
    <row r="1191" spans="1:27" ht="15.75" hidden="1" customHeight="1" x14ac:dyDescent="0.25">
      <c r="A1191" s="148" t="s">
        <v>76</v>
      </c>
      <c r="B1191" s="148" t="s">
        <v>89</v>
      </c>
      <c r="C1191" s="148" t="s">
        <v>90</v>
      </c>
      <c r="D1191" s="148" t="s">
        <v>29</v>
      </c>
      <c r="E1191" s="148" t="s">
        <v>30</v>
      </c>
      <c r="F1191" s="148" t="s">
        <v>91</v>
      </c>
      <c r="G1191" s="148" t="s">
        <v>836</v>
      </c>
      <c r="H1191" s="148">
        <v>2009</v>
      </c>
      <c r="I1191" s="148">
        <v>11</v>
      </c>
      <c r="J1191" s="148" t="s">
        <v>118</v>
      </c>
      <c r="K1191" s="148" t="s">
        <v>327</v>
      </c>
      <c r="M1191" s="148" t="s">
        <v>82</v>
      </c>
      <c r="N1191" s="148">
        <v>8</v>
      </c>
      <c r="O1191" s="148" t="s">
        <v>101</v>
      </c>
      <c r="P1191" s="148" t="s">
        <v>435</v>
      </c>
      <c r="Y1191" s="150" t="s">
        <v>366</v>
      </c>
    </row>
    <row r="1192" spans="1:27" ht="15.75" hidden="1" customHeight="1" x14ac:dyDescent="0.25">
      <c r="A1192" s="148" t="s">
        <v>76</v>
      </c>
      <c r="B1192" s="148" t="s">
        <v>89</v>
      </c>
      <c r="C1192" s="148" t="s">
        <v>90</v>
      </c>
      <c r="D1192" s="148" t="s">
        <v>99</v>
      </c>
      <c r="E1192" s="148" t="s">
        <v>30</v>
      </c>
      <c r="F1192" s="148" t="s">
        <v>91</v>
      </c>
      <c r="G1192" s="148" t="s">
        <v>92</v>
      </c>
      <c r="H1192" s="148">
        <v>2009</v>
      </c>
      <c r="I1192" s="148">
        <v>11</v>
      </c>
      <c r="J1192" s="148" t="s">
        <v>150</v>
      </c>
      <c r="K1192" s="148" t="s">
        <v>837</v>
      </c>
      <c r="M1192" s="148" t="s">
        <v>373</v>
      </c>
      <c r="N1192" s="148">
        <v>6</v>
      </c>
      <c r="O1192" s="148" t="s">
        <v>83</v>
      </c>
      <c r="Y1192" s="150" t="s">
        <v>366</v>
      </c>
    </row>
    <row r="1193" spans="1:27" ht="15.75" hidden="1" customHeight="1" x14ac:dyDescent="0.25">
      <c r="A1193" s="148" t="s">
        <v>76</v>
      </c>
      <c r="B1193" s="148" t="s">
        <v>62</v>
      </c>
      <c r="C1193" s="148" t="s">
        <v>28</v>
      </c>
      <c r="D1193" s="148" t="s">
        <v>86</v>
      </c>
      <c r="E1193" s="148" t="s">
        <v>51</v>
      </c>
      <c r="F1193" s="148" t="s">
        <v>3183</v>
      </c>
      <c r="G1193" s="148" t="s">
        <v>130</v>
      </c>
      <c r="H1193" s="148">
        <v>2009</v>
      </c>
      <c r="I1193" s="148">
        <v>11</v>
      </c>
      <c r="J1193" s="148" t="s">
        <v>118</v>
      </c>
      <c r="K1193" s="148" t="s">
        <v>579</v>
      </c>
      <c r="M1193" s="148" t="s">
        <v>554</v>
      </c>
      <c r="N1193" s="148">
        <v>8</v>
      </c>
      <c r="O1193" s="148" t="s">
        <v>101</v>
      </c>
      <c r="P1193" s="148" t="s">
        <v>537</v>
      </c>
      <c r="Y1193" s="150" t="s">
        <v>366</v>
      </c>
    </row>
    <row r="1194" spans="1:27" ht="15.75" hidden="1" customHeight="1" x14ac:dyDescent="0.25">
      <c r="A1194" s="148" t="s">
        <v>76</v>
      </c>
      <c r="B1194" s="148" t="s">
        <v>89</v>
      </c>
      <c r="C1194" s="148" t="s">
        <v>90</v>
      </c>
      <c r="D1194" s="148" t="s">
        <v>29</v>
      </c>
      <c r="E1194" s="148" t="s">
        <v>30</v>
      </c>
      <c r="F1194" s="148" t="s">
        <v>91</v>
      </c>
      <c r="G1194" s="148" t="s">
        <v>93</v>
      </c>
      <c r="H1194" s="148">
        <v>2009</v>
      </c>
      <c r="I1194" s="148">
        <v>11</v>
      </c>
      <c r="J1194" s="148" t="s">
        <v>150</v>
      </c>
      <c r="K1194" s="148" t="s">
        <v>837</v>
      </c>
      <c r="M1194" s="148" t="s">
        <v>373</v>
      </c>
      <c r="N1194" s="148">
        <v>6</v>
      </c>
      <c r="O1194" s="148" t="s">
        <v>83</v>
      </c>
      <c r="Y1194" s="150" t="s">
        <v>366</v>
      </c>
    </row>
    <row r="1195" spans="1:27" ht="15.75" hidden="1" customHeight="1" x14ac:dyDescent="0.25">
      <c r="A1195" s="148" t="s">
        <v>76</v>
      </c>
      <c r="B1195" s="148" t="s">
        <v>36</v>
      </c>
      <c r="C1195" s="148" t="s">
        <v>28</v>
      </c>
      <c r="D1195" s="148" t="s">
        <v>99</v>
      </c>
      <c r="E1195" s="148" t="s">
        <v>51</v>
      </c>
      <c r="F1195" s="148" t="s">
        <v>3183</v>
      </c>
      <c r="G1195" s="148" t="s">
        <v>52</v>
      </c>
      <c r="H1195" s="148">
        <v>2009</v>
      </c>
      <c r="I1195" s="148">
        <v>11</v>
      </c>
      <c r="J1195" s="148" t="s">
        <v>118</v>
      </c>
      <c r="K1195" s="148" t="s">
        <v>327</v>
      </c>
      <c r="M1195" s="148" t="s">
        <v>82</v>
      </c>
      <c r="N1195" s="148">
        <v>8</v>
      </c>
      <c r="O1195" s="148" t="s">
        <v>101</v>
      </c>
      <c r="P1195" s="148" t="s">
        <v>562</v>
      </c>
      <c r="Y1195" s="150" t="s">
        <v>366</v>
      </c>
    </row>
    <row r="1196" spans="1:27" ht="15.75" hidden="1" customHeight="1" x14ac:dyDescent="0.25">
      <c r="A1196" s="148" t="s">
        <v>76</v>
      </c>
      <c r="B1196" s="148" t="s">
        <v>89</v>
      </c>
      <c r="C1196" s="148" t="s">
        <v>90</v>
      </c>
      <c r="D1196" s="148" t="s">
        <v>342</v>
      </c>
      <c r="E1196" s="148" t="s">
        <v>30</v>
      </c>
      <c r="F1196" s="148" t="s">
        <v>91</v>
      </c>
      <c r="G1196" s="148" t="s">
        <v>450</v>
      </c>
      <c r="H1196" s="148">
        <v>2009</v>
      </c>
      <c r="I1196" s="148">
        <v>11</v>
      </c>
      <c r="J1196" s="148" t="s">
        <v>118</v>
      </c>
      <c r="K1196" s="148" t="s">
        <v>327</v>
      </c>
      <c r="M1196" s="148" t="s">
        <v>82</v>
      </c>
      <c r="N1196" s="148">
        <v>8</v>
      </c>
      <c r="O1196" s="148" t="s">
        <v>101</v>
      </c>
      <c r="P1196" s="148" t="s">
        <v>435</v>
      </c>
      <c r="Y1196" s="150" t="s">
        <v>366</v>
      </c>
    </row>
    <row r="1197" spans="1:27" ht="15.75" hidden="1" customHeight="1" x14ac:dyDescent="0.25">
      <c r="A1197" s="148" t="s">
        <v>76</v>
      </c>
      <c r="B1197" s="148" t="s">
        <v>198</v>
      </c>
      <c r="C1197" s="148" t="s">
        <v>45</v>
      </c>
      <c r="D1197" s="148" t="s">
        <v>29</v>
      </c>
      <c r="E1197" s="148" t="s">
        <v>30</v>
      </c>
      <c r="F1197" s="148" t="s">
        <v>199</v>
      </c>
      <c r="G1197" s="148" t="s">
        <v>505</v>
      </c>
      <c r="H1197" s="148">
        <v>2009</v>
      </c>
      <c r="I1197" s="148">
        <v>11</v>
      </c>
      <c r="J1197" s="148" t="s">
        <v>118</v>
      </c>
      <c r="K1197" s="148" t="s">
        <v>579</v>
      </c>
      <c r="M1197" s="148" t="s">
        <v>554</v>
      </c>
      <c r="N1197" s="148">
        <v>8</v>
      </c>
      <c r="O1197" s="148" t="s">
        <v>101</v>
      </c>
      <c r="P1197" s="148" t="s">
        <v>537</v>
      </c>
      <c r="Y1197" s="150" t="s">
        <v>366</v>
      </c>
    </row>
    <row r="1198" spans="1:27" ht="15.75" hidden="1" customHeight="1" x14ac:dyDescent="0.25">
      <c r="A1198" s="148" t="s">
        <v>76</v>
      </c>
      <c r="B1198" s="148" t="s">
        <v>36</v>
      </c>
      <c r="C1198" s="148" t="s">
        <v>28</v>
      </c>
      <c r="D1198" s="148" t="s">
        <v>342</v>
      </c>
      <c r="E1198" s="148" t="s">
        <v>30</v>
      </c>
      <c r="F1198" s="148" t="s">
        <v>3183</v>
      </c>
      <c r="G1198" s="148" t="s">
        <v>114</v>
      </c>
      <c r="H1198" s="148">
        <v>2009</v>
      </c>
      <c r="I1198" s="148">
        <v>11</v>
      </c>
      <c r="J1198" s="148" t="s">
        <v>118</v>
      </c>
      <c r="K1198" s="148" t="s">
        <v>579</v>
      </c>
      <c r="M1198" s="148" t="s">
        <v>554</v>
      </c>
      <c r="N1198" s="148">
        <v>8</v>
      </c>
      <c r="O1198" s="148" t="s">
        <v>101</v>
      </c>
      <c r="P1198" s="148" t="s">
        <v>537</v>
      </c>
      <c r="Y1198" s="150" t="s">
        <v>366</v>
      </c>
    </row>
    <row r="1199" spans="1:27" ht="15.75" hidden="1" customHeight="1" x14ac:dyDescent="0.25">
      <c r="A1199" s="148" t="s">
        <v>76</v>
      </c>
      <c r="B1199" s="148" t="s">
        <v>103</v>
      </c>
      <c r="C1199" s="148" t="s">
        <v>55</v>
      </c>
      <c r="D1199" s="148" t="s">
        <v>29</v>
      </c>
      <c r="E1199" s="148" t="s">
        <v>30</v>
      </c>
      <c r="F1199" s="148" t="s">
        <v>56</v>
      </c>
      <c r="G1199" s="148" t="s">
        <v>285</v>
      </c>
      <c r="H1199" s="148">
        <v>2009</v>
      </c>
      <c r="I1199" s="148">
        <v>12</v>
      </c>
      <c r="J1199" s="148" t="s">
        <v>118</v>
      </c>
      <c r="K1199" s="148" t="s">
        <v>629</v>
      </c>
      <c r="M1199" s="148" t="s">
        <v>120</v>
      </c>
      <c r="N1199" s="148">
        <v>6</v>
      </c>
      <c r="O1199" s="148" t="s">
        <v>83</v>
      </c>
      <c r="P1199" s="148" t="s">
        <v>435</v>
      </c>
      <c r="Y1199" s="150" t="s">
        <v>366</v>
      </c>
    </row>
    <row r="1200" spans="1:27" ht="15.75" hidden="1" customHeight="1" x14ac:dyDescent="0.25">
      <c r="A1200" s="148" t="s">
        <v>26</v>
      </c>
      <c r="B1200" s="148" t="s">
        <v>198</v>
      </c>
      <c r="C1200" s="148" t="s">
        <v>45</v>
      </c>
      <c r="D1200" s="148" t="s">
        <v>29</v>
      </c>
      <c r="E1200" s="148" t="s">
        <v>30</v>
      </c>
      <c r="F1200" s="148" t="s">
        <v>199</v>
      </c>
      <c r="G1200" s="148" t="s">
        <v>241</v>
      </c>
      <c r="H1200" s="148">
        <v>2009</v>
      </c>
      <c r="I1200" s="148">
        <v>12</v>
      </c>
      <c r="J1200" s="148" t="s">
        <v>33</v>
      </c>
      <c r="U1200" s="149" t="s">
        <v>112</v>
      </c>
      <c r="V1200" s="148" t="s">
        <v>112</v>
      </c>
      <c r="Y1200" s="150" t="s">
        <v>832</v>
      </c>
    </row>
    <row r="1201" spans="1:25" ht="15.75" hidden="1" customHeight="1" x14ac:dyDescent="0.25">
      <c r="A1201" s="148" t="s">
        <v>76</v>
      </c>
      <c r="B1201" s="148" t="s">
        <v>77</v>
      </c>
      <c r="C1201" s="148" t="s">
        <v>55</v>
      </c>
      <c r="D1201" s="148" t="s">
        <v>99</v>
      </c>
      <c r="E1201" s="148" t="s">
        <v>30</v>
      </c>
      <c r="F1201" s="148" t="s">
        <v>41</v>
      </c>
      <c r="G1201" s="148" t="s">
        <v>159</v>
      </c>
      <c r="H1201" s="148">
        <v>2009</v>
      </c>
      <c r="I1201" s="148">
        <v>12</v>
      </c>
      <c r="J1201" s="148" t="s">
        <v>118</v>
      </c>
      <c r="K1201" s="148" t="s">
        <v>379</v>
      </c>
      <c r="M1201" s="148" t="s">
        <v>126</v>
      </c>
      <c r="N1201" s="148">
        <v>10</v>
      </c>
      <c r="O1201" s="148" t="s">
        <v>101</v>
      </c>
      <c r="P1201" s="148" t="s">
        <v>146</v>
      </c>
      <c r="Y1201" s="150" t="s">
        <v>366</v>
      </c>
    </row>
    <row r="1202" spans="1:25" ht="15.75" hidden="1" customHeight="1" x14ac:dyDescent="0.25">
      <c r="A1202" s="148" t="s">
        <v>26</v>
      </c>
      <c r="B1202" s="148" t="s">
        <v>36</v>
      </c>
      <c r="C1202" s="148" t="s">
        <v>28</v>
      </c>
      <c r="D1202" s="148" t="s">
        <v>86</v>
      </c>
      <c r="E1202" s="148" t="s">
        <v>30</v>
      </c>
      <c r="F1202" s="148" t="s">
        <v>3183</v>
      </c>
      <c r="G1202" s="148" t="s">
        <v>67</v>
      </c>
      <c r="H1202" s="148">
        <v>2009</v>
      </c>
      <c r="I1202" s="148">
        <v>12</v>
      </c>
      <c r="J1202" s="148" t="s">
        <v>33</v>
      </c>
      <c r="U1202" s="149" t="s">
        <v>3629</v>
      </c>
      <c r="V1202" s="149" t="s">
        <v>3632</v>
      </c>
      <c r="W1202" s="148" t="s">
        <v>34</v>
      </c>
      <c r="X1202" s="148" t="s">
        <v>816</v>
      </c>
    </row>
    <row r="1203" spans="1:25" ht="15.75" hidden="1" customHeight="1" x14ac:dyDescent="0.25">
      <c r="A1203" s="148" t="s">
        <v>76</v>
      </c>
      <c r="B1203" s="148" t="s">
        <v>27</v>
      </c>
      <c r="C1203" s="148" t="s">
        <v>28</v>
      </c>
      <c r="D1203" s="148" t="s">
        <v>99</v>
      </c>
      <c r="E1203" s="148" t="s">
        <v>40</v>
      </c>
      <c r="F1203" s="148" t="s">
        <v>41</v>
      </c>
      <c r="G1203" s="148" t="s">
        <v>42</v>
      </c>
      <c r="H1203" s="148">
        <v>2009</v>
      </c>
      <c r="I1203" s="148">
        <v>12</v>
      </c>
      <c r="J1203" s="148" t="s">
        <v>118</v>
      </c>
      <c r="K1203" s="148" t="s">
        <v>327</v>
      </c>
      <c r="M1203" s="148" t="s">
        <v>82</v>
      </c>
      <c r="N1203" s="148">
        <v>8</v>
      </c>
      <c r="O1203" s="148" t="s">
        <v>101</v>
      </c>
      <c r="P1203" s="148" t="s">
        <v>156</v>
      </c>
      <c r="U1203" s="149" t="s">
        <v>3629</v>
      </c>
      <c r="Y1203" s="150" t="s">
        <v>366</v>
      </c>
    </row>
    <row r="1204" spans="1:25" ht="15.75" hidden="1" customHeight="1" x14ac:dyDescent="0.25">
      <c r="A1204" s="148" t="s">
        <v>26</v>
      </c>
      <c r="B1204" s="148" t="s">
        <v>198</v>
      </c>
      <c r="C1204" s="148" t="s">
        <v>45</v>
      </c>
      <c r="D1204" s="148" t="s">
        <v>99</v>
      </c>
      <c r="E1204" s="148" t="s">
        <v>30</v>
      </c>
      <c r="F1204" s="148" t="s">
        <v>199</v>
      </c>
      <c r="G1204" s="148" t="s">
        <v>248</v>
      </c>
      <c r="H1204" s="148">
        <v>2009</v>
      </c>
      <c r="I1204" s="148">
        <v>12</v>
      </c>
      <c r="J1204" s="148" t="s">
        <v>33</v>
      </c>
      <c r="U1204" s="149" t="s">
        <v>112</v>
      </c>
      <c r="V1204" s="148" t="s">
        <v>112</v>
      </c>
      <c r="Y1204" s="150" t="s">
        <v>838</v>
      </c>
    </row>
    <row r="1205" spans="1:25" ht="15.75" hidden="1" customHeight="1" x14ac:dyDescent="0.25">
      <c r="A1205" s="148" t="s">
        <v>76</v>
      </c>
      <c r="B1205" s="148" t="s">
        <v>36</v>
      </c>
      <c r="C1205" s="148" t="s">
        <v>28</v>
      </c>
      <c r="D1205" s="148" t="s">
        <v>86</v>
      </c>
      <c r="E1205" s="148" t="s">
        <v>51</v>
      </c>
      <c r="F1205" s="148" t="s">
        <v>3183</v>
      </c>
      <c r="G1205" s="148" t="s">
        <v>69</v>
      </c>
      <c r="H1205" s="148">
        <v>2009</v>
      </c>
      <c r="I1205" s="148">
        <v>12</v>
      </c>
      <c r="J1205" s="148" t="s">
        <v>118</v>
      </c>
      <c r="K1205" s="148" t="s">
        <v>327</v>
      </c>
      <c r="M1205" s="148" t="s">
        <v>82</v>
      </c>
      <c r="N1205" s="148">
        <v>8</v>
      </c>
      <c r="O1205" s="148" t="s">
        <v>101</v>
      </c>
      <c r="P1205" s="148" t="s">
        <v>435</v>
      </c>
      <c r="Y1205" s="150" t="s">
        <v>366</v>
      </c>
    </row>
    <row r="1206" spans="1:25" ht="15.75" hidden="1" customHeight="1" x14ac:dyDescent="0.25">
      <c r="A1206" s="148" t="s">
        <v>76</v>
      </c>
      <c r="B1206" s="148" t="s">
        <v>103</v>
      </c>
      <c r="C1206" s="148" t="s">
        <v>55</v>
      </c>
      <c r="D1206" s="148" t="s">
        <v>29</v>
      </c>
      <c r="E1206" s="148" t="s">
        <v>95</v>
      </c>
      <c r="F1206" s="148" t="s">
        <v>56</v>
      </c>
      <c r="G1206" s="148" t="s">
        <v>270</v>
      </c>
      <c r="H1206" s="148">
        <v>2009</v>
      </c>
      <c r="I1206" s="148">
        <v>12</v>
      </c>
      <c r="J1206" s="148" t="s">
        <v>118</v>
      </c>
      <c r="K1206" s="148" t="s">
        <v>388</v>
      </c>
      <c r="M1206" s="148" t="s">
        <v>126</v>
      </c>
      <c r="N1206" s="148">
        <v>10</v>
      </c>
      <c r="O1206" s="148" t="s">
        <v>101</v>
      </c>
      <c r="P1206" s="148" t="s">
        <v>146</v>
      </c>
      <c r="Y1206" s="150" t="s">
        <v>366</v>
      </c>
    </row>
    <row r="1207" spans="1:25" ht="15.75" hidden="1" customHeight="1" x14ac:dyDescent="0.25">
      <c r="A1207" s="148" t="s">
        <v>76</v>
      </c>
      <c r="B1207" s="148" t="s">
        <v>103</v>
      </c>
      <c r="C1207" s="148" t="s">
        <v>55</v>
      </c>
      <c r="D1207" s="148" t="s">
        <v>490</v>
      </c>
      <c r="E1207" s="148" t="s">
        <v>95</v>
      </c>
      <c r="F1207" s="148" t="s">
        <v>56</v>
      </c>
      <c r="G1207" s="148" t="s">
        <v>168</v>
      </c>
      <c r="H1207" s="148">
        <v>2009</v>
      </c>
      <c r="I1207" s="148">
        <v>12</v>
      </c>
      <c r="J1207" s="148" t="s">
        <v>118</v>
      </c>
      <c r="K1207" s="148" t="s">
        <v>629</v>
      </c>
      <c r="M1207" s="148" t="s">
        <v>120</v>
      </c>
      <c r="N1207" s="148">
        <v>6</v>
      </c>
      <c r="O1207" s="148" t="s">
        <v>101</v>
      </c>
      <c r="P1207" s="148" t="s">
        <v>839</v>
      </c>
      <c r="Y1207" s="150" t="s">
        <v>366</v>
      </c>
    </row>
    <row r="1208" spans="1:25" ht="15.75" hidden="1" customHeight="1" x14ac:dyDescent="0.25">
      <c r="A1208" s="148" t="s">
        <v>26</v>
      </c>
      <c r="B1208" s="148" t="s">
        <v>36</v>
      </c>
      <c r="C1208" s="148" t="s">
        <v>28</v>
      </c>
      <c r="D1208" s="148" t="s">
        <v>29</v>
      </c>
      <c r="E1208" s="148" t="s">
        <v>30</v>
      </c>
      <c r="F1208" s="148" t="s">
        <v>3183</v>
      </c>
      <c r="G1208" s="148" t="s">
        <v>194</v>
      </c>
      <c r="H1208" s="148">
        <v>2009</v>
      </c>
      <c r="I1208" s="148">
        <v>12</v>
      </c>
      <c r="J1208" s="148" t="s">
        <v>33</v>
      </c>
      <c r="U1208" s="149" t="s">
        <v>3629</v>
      </c>
      <c r="V1208" s="149" t="s">
        <v>3632</v>
      </c>
      <c r="W1208" s="148" t="s">
        <v>34</v>
      </c>
      <c r="X1208" s="148" t="s">
        <v>816</v>
      </c>
    </row>
    <row r="1209" spans="1:25" ht="15.75" hidden="1" customHeight="1" x14ac:dyDescent="0.25">
      <c r="A1209" s="148" t="s">
        <v>26</v>
      </c>
      <c r="B1209" s="148" t="s">
        <v>36</v>
      </c>
      <c r="C1209" s="148" t="s">
        <v>28</v>
      </c>
      <c r="D1209" s="148" t="s">
        <v>29</v>
      </c>
      <c r="E1209" s="148" t="s">
        <v>30</v>
      </c>
      <c r="F1209" s="148" t="s">
        <v>3183</v>
      </c>
      <c r="G1209" s="148" t="s">
        <v>194</v>
      </c>
      <c r="H1209" s="148">
        <v>2009</v>
      </c>
      <c r="I1209" s="148">
        <v>12</v>
      </c>
      <c r="J1209" s="148" t="s">
        <v>33</v>
      </c>
      <c r="U1209" s="149" t="s">
        <v>3629</v>
      </c>
      <c r="V1209" s="149" t="s">
        <v>3632</v>
      </c>
      <c r="W1209" s="149" t="s">
        <v>34</v>
      </c>
      <c r="X1209" s="149" t="s">
        <v>3620</v>
      </c>
      <c r="Y1209" s="150" t="s">
        <v>3621</v>
      </c>
    </row>
    <row r="1210" spans="1:25" ht="15.75" hidden="1" customHeight="1" x14ac:dyDescent="0.25">
      <c r="A1210" s="148" t="s">
        <v>76</v>
      </c>
      <c r="B1210" s="148" t="s">
        <v>103</v>
      </c>
      <c r="C1210" s="148" t="s">
        <v>55</v>
      </c>
      <c r="D1210" s="148" t="s">
        <v>29</v>
      </c>
      <c r="E1210" s="148" t="s">
        <v>95</v>
      </c>
      <c r="F1210" s="148" t="s">
        <v>56</v>
      </c>
      <c r="G1210" s="148" t="s">
        <v>506</v>
      </c>
      <c r="H1210" s="148">
        <v>2010</v>
      </c>
      <c r="I1210" s="148">
        <v>1</v>
      </c>
      <c r="J1210" s="148" t="s">
        <v>118</v>
      </c>
      <c r="K1210" s="148" t="s">
        <v>327</v>
      </c>
      <c r="M1210" s="148" t="s">
        <v>82</v>
      </c>
      <c r="N1210" s="148">
        <v>8</v>
      </c>
      <c r="O1210" s="148" t="s">
        <v>101</v>
      </c>
      <c r="P1210" s="148" t="s">
        <v>840</v>
      </c>
      <c r="Y1210" s="150" t="s">
        <v>366</v>
      </c>
    </row>
    <row r="1211" spans="1:25" ht="15.75" hidden="1" customHeight="1" x14ac:dyDescent="0.25">
      <c r="A1211" s="148" t="s">
        <v>26</v>
      </c>
      <c r="B1211" s="148" t="s">
        <v>116</v>
      </c>
      <c r="C1211" s="148" t="s">
        <v>90</v>
      </c>
      <c r="D1211" s="148" t="s">
        <v>29</v>
      </c>
      <c r="E1211" s="148" t="s">
        <v>30</v>
      </c>
      <c r="F1211" s="148" t="s">
        <v>41</v>
      </c>
      <c r="G1211" s="148" t="s">
        <v>564</v>
      </c>
      <c r="H1211" s="148">
        <v>2010</v>
      </c>
      <c r="I1211" s="148">
        <v>1</v>
      </c>
      <c r="J1211" s="148" t="s">
        <v>792</v>
      </c>
      <c r="U1211" s="149" t="s">
        <v>3629</v>
      </c>
      <c r="V1211" s="149" t="s">
        <v>3633</v>
      </c>
      <c r="W1211" s="148" t="s">
        <v>34</v>
      </c>
      <c r="X1211" s="148" t="s">
        <v>841</v>
      </c>
    </row>
    <row r="1212" spans="1:25" ht="15.75" hidden="1" customHeight="1" x14ac:dyDescent="0.25">
      <c r="A1212" s="148" t="s">
        <v>76</v>
      </c>
      <c r="B1212" s="148" t="s">
        <v>27</v>
      </c>
      <c r="C1212" s="148" t="s">
        <v>28</v>
      </c>
      <c r="D1212" s="148" t="s">
        <v>566</v>
      </c>
      <c r="E1212" s="148" t="s">
        <v>30</v>
      </c>
      <c r="F1212" s="148" t="s">
        <v>3183</v>
      </c>
      <c r="G1212" s="148" t="s">
        <v>53</v>
      </c>
      <c r="H1212" s="148">
        <v>2010</v>
      </c>
      <c r="I1212" s="148">
        <v>1</v>
      </c>
      <c r="J1212" s="148" t="s">
        <v>118</v>
      </c>
      <c r="K1212" s="148" t="s">
        <v>327</v>
      </c>
      <c r="M1212" s="148" t="s">
        <v>82</v>
      </c>
      <c r="N1212" s="148">
        <v>8</v>
      </c>
      <c r="O1212" s="148" t="s">
        <v>101</v>
      </c>
      <c r="P1212" s="148" t="s">
        <v>524</v>
      </c>
      <c r="Y1212" s="150" t="s">
        <v>366</v>
      </c>
    </row>
    <row r="1213" spans="1:25" ht="15.75" hidden="1" customHeight="1" x14ac:dyDescent="0.25">
      <c r="A1213" s="148" t="s">
        <v>76</v>
      </c>
      <c r="B1213" s="148" t="s">
        <v>103</v>
      </c>
      <c r="C1213" s="148" t="s">
        <v>55</v>
      </c>
      <c r="D1213" s="148" t="s">
        <v>478</v>
      </c>
      <c r="E1213" s="148" t="s">
        <v>95</v>
      </c>
      <c r="F1213" s="148" t="s">
        <v>56</v>
      </c>
      <c r="G1213" s="148" t="s">
        <v>107</v>
      </c>
      <c r="H1213" s="148">
        <v>2010</v>
      </c>
      <c r="I1213" s="148">
        <v>1</v>
      </c>
      <c r="J1213" s="148" t="s">
        <v>118</v>
      </c>
      <c r="K1213" s="148" t="s">
        <v>379</v>
      </c>
      <c r="M1213" s="148" t="s">
        <v>126</v>
      </c>
      <c r="N1213" s="148">
        <v>10</v>
      </c>
      <c r="O1213" s="148" t="s">
        <v>101</v>
      </c>
      <c r="P1213" s="148" t="s">
        <v>842</v>
      </c>
      <c r="Y1213" s="150" t="s">
        <v>366</v>
      </c>
    </row>
    <row r="1214" spans="1:25" ht="15.75" hidden="1" customHeight="1" x14ac:dyDescent="0.25">
      <c r="A1214" s="148" t="s">
        <v>26</v>
      </c>
      <c r="B1214" s="148" t="s">
        <v>116</v>
      </c>
      <c r="C1214" s="148" t="s">
        <v>90</v>
      </c>
      <c r="D1214" s="148" t="s">
        <v>29</v>
      </c>
      <c r="E1214" s="148" t="s">
        <v>30</v>
      </c>
      <c r="F1214" s="148" t="s">
        <v>41</v>
      </c>
      <c r="G1214" s="148" t="s">
        <v>784</v>
      </c>
      <c r="H1214" s="148">
        <v>2010</v>
      </c>
      <c r="I1214" s="148">
        <v>1</v>
      </c>
      <c r="J1214" s="148" t="s">
        <v>792</v>
      </c>
      <c r="U1214" s="149" t="s">
        <v>3629</v>
      </c>
      <c r="V1214" s="149" t="s">
        <v>3633</v>
      </c>
      <c r="W1214" s="148" t="s">
        <v>34</v>
      </c>
      <c r="X1214" s="148" t="s">
        <v>841</v>
      </c>
    </row>
    <row r="1215" spans="1:25" ht="15.75" hidden="1" customHeight="1" x14ac:dyDescent="0.25">
      <c r="A1215" s="148" t="s">
        <v>76</v>
      </c>
      <c r="B1215" s="148" t="s">
        <v>27</v>
      </c>
      <c r="C1215" s="148" t="s">
        <v>28</v>
      </c>
      <c r="D1215" s="148" t="s">
        <v>99</v>
      </c>
      <c r="E1215" s="148" t="s">
        <v>40</v>
      </c>
      <c r="F1215" s="148" t="s">
        <v>41</v>
      </c>
      <c r="G1215" s="148" t="s">
        <v>42</v>
      </c>
      <c r="H1215" s="148">
        <v>2010</v>
      </c>
      <c r="I1215" s="148">
        <v>1</v>
      </c>
      <c r="J1215" s="148" t="s">
        <v>150</v>
      </c>
      <c r="K1215" s="148" t="s">
        <v>629</v>
      </c>
      <c r="M1215" s="148" t="s">
        <v>120</v>
      </c>
      <c r="N1215" s="148">
        <v>6</v>
      </c>
      <c r="O1215" s="148" t="s">
        <v>83</v>
      </c>
      <c r="Y1215" s="150" t="s">
        <v>366</v>
      </c>
    </row>
    <row r="1216" spans="1:25" ht="15.75" hidden="1" customHeight="1" x14ac:dyDescent="0.25">
      <c r="A1216" s="148" t="s">
        <v>76</v>
      </c>
      <c r="B1216" s="148" t="s">
        <v>103</v>
      </c>
      <c r="C1216" s="148" t="s">
        <v>55</v>
      </c>
      <c r="D1216" s="148" t="s">
        <v>490</v>
      </c>
      <c r="E1216" s="148" t="s">
        <v>95</v>
      </c>
      <c r="F1216" s="148" t="s">
        <v>56</v>
      </c>
      <c r="G1216" s="148" t="s">
        <v>168</v>
      </c>
      <c r="H1216" s="148">
        <v>2010</v>
      </c>
      <c r="I1216" s="148">
        <v>1</v>
      </c>
      <c r="J1216" s="148" t="s">
        <v>150</v>
      </c>
      <c r="K1216" s="148" t="s">
        <v>629</v>
      </c>
      <c r="M1216" s="148" t="s">
        <v>120</v>
      </c>
      <c r="N1216" s="148">
        <v>6</v>
      </c>
      <c r="O1216" s="148" t="s">
        <v>83</v>
      </c>
      <c r="Y1216" s="150" t="s">
        <v>366</v>
      </c>
    </row>
    <row r="1217" spans="1:25" ht="15.75" customHeight="1" x14ac:dyDescent="0.25">
      <c r="A1217" s="148" t="s">
        <v>76</v>
      </c>
      <c r="B1217" s="148" t="s">
        <v>36</v>
      </c>
      <c r="C1217" s="148" t="s">
        <v>28</v>
      </c>
      <c r="D1217" s="148" t="s">
        <v>29</v>
      </c>
      <c r="E1217" s="148" t="s">
        <v>30</v>
      </c>
      <c r="F1217" s="148" t="s">
        <v>3183</v>
      </c>
      <c r="G1217" s="148" t="s">
        <v>194</v>
      </c>
      <c r="H1217" s="148">
        <v>2010</v>
      </c>
      <c r="I1217" s="148">
        <v>1</v>
      </c>
      <c r="J1217" s="148" t="s">
        <v>118</v>
      </c>
      <c r="K1217" s="148" t="s">
        <v>327</v>
      </c>
      <c r="M1217" s="148" t="s">
        <v>82</v>
      </c>
      <c r="N1217" s="148">
        <v>8</v>
      </c>
      <c r="O1217" s="148" t="s">
        <v>101</v>
      </c>
      <c r="P1217" s="148" t="s">
        <v>191</v>
      </c>
      <c r="Y1217" s="150" t="s">
        <v>366</v>
      </c>
    </row>
    <row r="1218" spans="1:25" ht="15.75" hidden="1" customHeight="1" x14ac:dyDescent="0.25">
      <c r="A1218" s="148" t="s">
        <v>26</v>
      </c>
      <c r="B1218" s="148" t="s">
        <v>27</v>
      </c>
      <c r="C1218" s="148" t="s">
        <v>28</v>
      </c>
      <c r="D1218" s="148" t="s">
        <v>158</v>
      </c>
      <c r="E1218" s="148" t="s">
        <v>30</v>
      </c>
      <c r="F1218" s="148" t="s">
        <v>3183</v>
      </c>
      <c r="G1218" s="148" t="s">
        <v>43</v>
      </c>
      <c r="H1218" s="148">
        <v>2010</v>
      </c>
      <c r="I1218" s="148">
        <v>1</v>
      </c>
      <c r="J1218" s="148" t="s">
        <v>33</v>
      </c>
      <c r="U1218" s="149" t="s">
        <v>3629</v>
      </c>
      <c r="V1218" s="149" t="s">
        <v>3633</v>
      </c>
      <c r="W1218" s="148" t="s">
        <v>34</v>
      </c>
      <c r="X1218" s="148" t="s">
        <v>841</v>
      </c>
    </row>
    <row r="1219" spans="1:25" ht="15.75" hidden="1" customHeight="1" x14ac:dyDescent="0.25">
      <c r="A1219" s="148" t="s">
        <v>76</v>
      </c>
      <c r="B1219" s="148" t="s">
        <v>103</v>
      </c>
      <c r="C1219" s="148" t="s">
        <v>55</v>
      </c>
      <c r="D1219" s="148" t="s">
        <v>478</v>
      </c>
      <c r="E1219" s="148" t="s">
        <v>95</v>
      </c>
      <c r="F1219" s="148" t="s">
        <v>56</v>
      </c>
      <c r="G1219" s="148" t="s">
        <v>108</v>
      </c>
      <c r="H1219" s="148">
        <v>2010</v>
      </c>
      <c r="I1219" s="148">
        <v>1</v>
      </c>
      <c r="J1219" s="148" t="s">
        <v>150</v>
      </c>
      <c r="K1219" s="148" t="s">
        <v>629</v>
      </c>
      <c r="M1219" s="148" t="s">
        <v>120</v>
      </c>
      <c r="N1219" s="148">
        <v>6</v>
      </c>
      <c r="O1219" s="148" t="s">
        <v>83</v>
      </c>
      <c r="Y1219" s="150" t="s">
        <v>366</v>
      </c>
    </row>
    <row r="1220" spans="1:25" ht="15.75" hidden="1" customHeight="1" x14ac:dyDescent="0.25">
      <c r="A1220" s="148" t="s">
        <v>76</v>
      </c>
      <c r="B1220" s="148" t="s">
        <v>89</v>
      </c>
      <c r="C1220" s="148" t="s">
        <v>90</v>
      </c>
      <c r="D1220" s="148" t="s">
        <v>478</v>
      </c>
      <c r="E1220" s="148" t="s">
        <v>30</v>
      </c>
      <c r="F1220" s="148" t="s">
        <v>91</v>
      </c>
      <c r="G1220" s="148" t="s">
        <v>620</v>
      </c>
      <c r="H1220" s="148">
        <v>2010</v>
      </c>
      <c r="I1220" s="148">
        <v>2</v>
      </c>
      <c r="J1220" s="148" t="s">
        <v>150</v>
      </c>
      <c r="K1220" s="148" t="s">
        <v>629</v>
      </c>
      <c r="M1220" s="148" t="s">
        <v>120</v>
      </c>
      <c r="N1220" s="148">
        <v>6</v>
      </c>
      <c r="O1220" s="148" t="s">
        <v>83</v>
      </c>
      <c r="Y1220" s="150" t="s">
        <v>366</v>
      </c>
    </row>
    <row r="1221" spans="1:25" ht="15.75" hidden="1" customHeight="1" x14ac:dyDescent="0.25">
      <c r="A1221" s="148" t="s">
        <v>76</v>
      </c>
      <c r="B1221" s="148" t="s">
        <v>116</v>
      </c>
      <c r="C1221" s="148" t="s">
        <v>90</v>
      </c>
      <c r="D1221" s="148" t="s">
        <v>86</v>
      </c>
      <c r="E1221" s="148" t="s">
        <v>40</v>
      </c>
      <c r="F1221" s="148" t="s">
        <v>41</v>
      </c>
      <c r="G1221" s="148" t="s">
        <v>117</v>
      </c>
      <c r="H1221" s="148">
        <v>2010</v>
      </c>
      <c r="I1221" s="148">
        <v>2</v>
      </c>
      <c r="J1221" s="148" t="s">
        <v>150</v>
      </c>
      <c r="K1221" s="148" t="s">
        <v>629</v>
      </c>
      <c r="M1221" s="148" t="s">
        <v>120</v>
      </c>
      <c r="N1221" s="148">
        <v>6</v>
      </c>
      <c r="O1221" s="148" t="s">
        <v>83</v>
      </c>
      <c r="Y1221" s="150" t="s">
        <v>366</v>
      </c>
    </row>
    <row r="1222" spans="1:25" ht="15.75" hidden="1" customHeight="1" x14ac:dyDescent="0.25">
      <c r="A1222" s="148" t="s">
        <v>76</v>
      </c>
      <c r="B1222" s="148" t="s">
        <v>62</v>
      </c>
      <c r="C1222" s="148" t="s">
        <v>28</v>
      </c>
      <c r="D1222" s="148" t="s">
        <v>759</v>
      </c>
      <c r="E1222" s="148" t="s">
        <v>51</v>
      </c>
      <c r="F1222" s="148" t="s">
        <v>3183</v>
      </c>
      <c r="G1222" s="148" t="s">
        <v>409</v>
      </c>
      <c r="H1222" s="148">
        <v>2010</v>
      </c>
      <c r="I1222" s="148">
        <v>2</v>
      </c>
      <c r="J1222" s="148" t="s">
        <v>118</v>
      </c>
      <c r="K1222" s="148" t="s">
        <v>327</v>
      </c>
      <c r="M1222" s="148" t="s">
        <v>82</v>
      </c>
      <c r="N1222" s="148">
        <v>8</v>
      </c>
      <c r="O1222" s="148" t="s">
        <v>101</v>
      </c>
      <c r="P1222" s="148" t="s">
        <v>843</v>
      </c>
      <c r="Y1222" s="150" t="s">
        <v>366</v>
      </c>
    </row>
    <row r="1223" spans="1:25" ht="15.75" hidden="1" customHeight="1" x14ac:dyDescent="0.25">
      <c r="A1223" s="148" t="s">
        <v>76</v>
      </c>
      <c r="B1223" s="148" t="s">
        <v>89</v>
      </c>
      <c r="C1223" s="148" t="s">
        <v>90</v>
      </c>
      <c r="D1223" s="148" t="s">
        <v>29</v>
      </c>
      <c r="E1223" s="148" t="s">
        <v>30</v>
      </c>
      <c r="F1223" s="148" t="s">
        <v>91</v>
      </c>
      <c r="G1223" s="148" t="s">
        <v>222</v>
      </c>
      <c r="H1223" s="148">
        <v>2010</v>
      </c>
      <c r="I1223" s="148">
        <v>2</v>
      </c>
      <c r="J1223" s="148" t="s">
        <v>150</v>
      </c>
      <c r="K1223" s="148" t="s">
        <v>629</v>
      </c>
      <c r="M1223" s="148" t="s">
        <v>120</v>
      </c>
      <c r="N1223" s="148">
        <v>6</v>
      </c>
      <c r="O1223" s="148" t="s">
        <v>83</v>
      </c>
      <c r="Y1223" s="150" t="s">
        <v>366</v>
      </c>
    </row>
    <row r="1224" spans="1:25" ht="15.75" hidden="1" customHeight="1" x14ac:dyDescent="0.25">
      <c r="A1224" s="148" t="s">
        <v>76</v>
      </c>
      <c r="B1224" s="148" t="s">
        <v>103</v>
      </c>
      <c r="C1224" s="148" t="s">
        <v>55</v>
      </c>
      <c r="D1224" s="148" t="s">
        <v>478</v>
      </c>
      <c r="E1224" s="148" t="s">
        <v>95</v>
      </c>
      <c r="F1224" s="148" t="s">
        <v>56</v>
      </c>
      <c r="G1224" s="148" t="s">
        <v>108</v>
      </c>
      <c r="H1224" s="148">
        <v>2010</v>
      </c>
      <c r="I1224" s="148">
        <v>2</v>
      </c>
      <c r="J1224" s="148" t="s">
        <v>150</v>
      </c>
      <c r="K1224" s="148" t="s">
        <v>629</v>
      </c>
      <c r="M1224" s="148" t="s">
        <v>120</v>
      </c>
      <c r="N1224" s="148">
        <v>6</v>
      </c>
      <c r="O1224" s="148" t="s">
        <v>83</v>
      </c>
      <c r="P1224" s="148" t="s">
        <v>545</v>
      </c>
      <c r="Y1224" s="150" t="s">
        <v>366</v>
      </c>
    </row>
    <row r="1225" spans="1:25" ht="15.75" hidden="1" customHeight="1" x14ac:dyDescent="0.25">
      <c r="A1225" s="148" t="s">
        <v>26</v>
      </c>
      <c r="B1225" s="148" t="s">
        <v>116</v>
      </c>
      <c r="C1225" s="148" t="s">
        <v>90</v>
      </c>
      <c r="D1225" s="148" t="s">
        <v>29</v>
      </c>
      <c r="E1225" s="148" t="s">
        <v>30</v>
      </c>
      <c r="F1225" s="148" t="s">
        <v>41</v>
      </c>
      <c r="G1225" s="148" t="s">
        <v>683</v>
      </c>
      <c r="H1225" s="148">
        <v>2010</v>
      </c>
      <c r="I1225" s="148">
        <v>2</v>
      </c>
      <c r="J1225" s="148" t="s">
        <v>792</v>
      </c>
      <c r="U1225" s="149" t="s">
        <v>3629</v>
      </c>
      <c r="V1225" s="149" t="s">
        <v>3633</v>
      </c>
      <c r="W1225" s="148" t="s">
        <v>34</v>
      </c>
      <c r="X1225" s="148" t="s">
        <v>841</v>
      </c>
    </row>
    <row r="1226" spans="1:25" ht="15.75" hidden="1" customHeight="1" x14ac:dyDescent="0.25">
      <c r="A1226" s="148" t="s">
        <v>76</v>
      </c>
      <c r="B1226" s="148" t="s">
        <v>27</v>
      </c>
      <c r="C1226" s="148" t="s">
        <v>55</v>
      </c>
      <c r="D1226" s="148" t="s">
        <v>158</v>
      </c>
      <c r="E1226" s="148" t="s">
        <v>40</v>
      </c>
      <c r="F1226" s="148" t="s">
        <v>41</v>
      </c>
      <c r="G1226" s="148" t="s">
        <v>604</v>
      </c>
      <c r="H1226" s="148">
        <v>2010</v>
      </c>
      <c r="I1226" s="148">
        <v>3</v>
      </c>
      <c r="J1226" s="148" t="s">
        <v>118</v>
      </c>
      <c r="K1226" s="148" t="s">
        <v>327</v>
      </c>
      <c r="M1226" s="148" t="s">
        <v>82</v>
      </c>
      <c r="N1226" s="148">
        <v>8</v>
      </c>
      <c r="O1226" s="148" t="s">
        <v>101</v>
      </c>
      <c r="P1226" s="148" t="s">
        <v>146</v>
      </c>
      <c r="Y1226" s="150" t="s">
        <v>366</v>
      </c>
    </row>
    <row r="1227" spans="1:25" ht="15.75" hidden="1" customHeight="1" x14ac:dyDescent="0.25">
      <c r="A1227" s="148" t="s">
        <v>76</v>
      </c>
      <c r="B1227" s="148" t="s">
        <v>116</v>
      </c>
      <c r="C1227" s="148" t="s">
        <v>90</v>
      </c>
      <c r="D1227" s="148" t="s">
        <v>86</v>
      </c>
      <c r="E1227" s="148" t="s">
        <v>40</v>
      </c>
      <c r="F1227" s="148" t="s">
        <v>41</v>
      </c>
      <c r="G1227" s="148" t="s">
        <v>117</v>
      </c>
      <c r="H1227" s="148">
        <v>2010</v>
      </c>
      <c r="I1227" s="148">
        <v>3</v>
      </c>
      <c r="J1227" s="148" t="s">
        <v>150</v>
      </c>
      <c r="K1227" s="148" t="s">
        <v>629</v>
      </c>
      <c r="M1227" s="148" t="s">
        <v>120</v>
      </c>
      <c r="N1227" s="148">
        <v>6</v>
      </c>
      <c r="O1227" s="148" t="s">
        <v>83</v>
      </c>
      <c r="P1227" s="148" t="s">
        <v>146</v>
      </c>
      <c r="Y1227" s="150" t="s">
        <v>366</v>
      </c>
    </row>
    <row r="1228" spans="1:25" ht="15.75" hidden="1" customHeight="1" x14ac:dyDescent="0.25">
      <c r="A1228" s="148" t="s">
        <v>76</v>
      </c>
      <c r="B1228" s="148" t="s">
        <v>89</v>
      </c>
      <c r="C1228" s="148" t="s">
        <v>90</v>
      </c>
      <c r="D1228" s="148" t="s">
        <v>29</v>
      </c>
      <c r="E1228" s="148" t="s">
        <v>30</v>
      </c>
      <c r="F1228" s="148" t="s">
        <v>91</v>
      </c>
      <c r="G1228" s="148" t="s">
        <v>417</v>
      </c>
      <c r="H1228" s="148">
        <v>2010</v>
      </c>
      <c r="I1228" s="148">
        <v>3</v>
      </c>
      <c r="J1228" s="148" t="s">
        <v>118</v>
      </c>
      <c r="K1228" s="148" t="s">
        <v>327</v>
      </c>
      <c r="M1228" s="148" t="s">
        <v>82</v>
      </c>
      <c r="N1228" s="148">
        <v>8</v>
      </c>
      <c r="O1228" s="148" t="s">
        <v>101</v>
      </c>
      <c r="P1228" s="148" t="s">
        <v>146</v>
      </c>
      <c r="Y1228" s="150" t="s">
        <v>366</v>
      </c>
    </row>
    <row r="1229" spans="1:25" ht="15.75" hidden="1" customHeight="1" x14ac:dyDescent="0.25">
      <c r="A1229" s="148" t="s">
        <v>76</v>
      </c>
      <c r="B1229" s="148" t="s">
        <v>27</v>
      </c>
      <c r="C1229" s="148" t="s">
        <v>28</v>
      </c>
      <c r="D1229" s="148" t="s">
        <v>3321</v>
      </c>
      <c r="E1229" s="148" t="s">
        <v>30</v>
      </c>
      <c r="F1229" s="148" t="s">
        <v>3183</v>
      </c>
      <c r="G1229" s="148" t="s">
        <v>163</v>
      </c>
      <c r="H1229" s="148">
        <v>2010</v>
      </c>
      <c r="I1229" s="148">
        <v>3</v>
      </c>
      <c r="J1229" s="148" t="s">
        <v>118</v>
      </c>
      <c r="K1229" s="148" t="s">
        <v>327</v>
      </c>
      <c r="M1229" s="148" t="s">
        <v>82</v>
      </c>
      <c r="N1229" s="148">
        <v>8</v>
      </c>
      <c r="O1229" s="148" t="s">
        <v>101</v>
      </c>
      <c r="P1229" s="148" t="s">
        <v>146</v>
      </c>
      <c r="Y1229" s="150" t="s">
        <v>366</v>
      </c>
    </row>
    <row r="1230" spans="1:25" ht="15.75" hidden="1" customHeight="1" x14ac:dyDescent="0.25">
      <c r="A1230" s="148" t="s">
        <v>26</v>
      </c>
      <c r="B1230" s="148" t="s">
        <v>27</v>
      </c>
      <c r="C1230" s="148" t="s">
        <v>28</v>
      </c>
      <c r="D1230" s="148" t="s">
        <v>99</v>
      </c>
      <c r="E1230" s="148" t="s">
        <v>40</v>
      </c>
      <c r="F1230" s="148" t="s">
        <v>41</v>
      </c>
      <c r="G1230" s="148" t="s">
        <v>42</v>
      </c>
      <c r="H1230" s="148">
        <v>2010</v>
      </c>
      <c r="I1230" s="148">
        <v>3</v>
      </c>
      <c r="J1230" s="148" t="s">
        <v>817</v>
      </c>
      <c r="U1230" s="149" t="s">
        <v>3629</v>
      </c>
      <c r="V1230" s="149" t="s">
        <v>3634</v>
      </c>
      <c r="W1230" s="148" t="s">
        <v>87</v>
      </c>
      <c r="X1230" s="148" t="s">
        <v>844</v>
      </c>
    </row>
    <row r="1231" spans="1:25" ht="15.75" hidden="1" customHeight="1" x14ac:dyDescent="0.25">
      <c r="A1231" s="148" t="s">
        <v>307</v>
      </c>
      <c r="B1231" s="148" t="s">
        <v>27</v>
      </c>
      <c r="C1231" s="148" t="s">
        <v>28</v>
      </c>
      <c r="D1231" s="148" t="s">
        <v>99</v>
      </c>
      <c r="E1231" s="148" t="s">
        <v>40</v>
      </c>
      <c r="F1231" s="148" t="s">
        <v>41</v>
      </c>
      <c r="G1231" s="148" t="s">
        <v>42</v>
      </c>
      <c r="H1231" s="148">
        <v>2010</v>
      </c>
      <c r="I1231" s="148">
        <v>3</v>
      </c>
      <c r="J1231" s="148" t="s">
        <v>308</v>
      </c>
      <c r="Q1231" s="148" t="s">
        <v>818</v>
      </c>
      <c r="R1231" s="148" t="s">
        <v>845</v>
      </c>
      <c r="S1231" s="148" t="s">
        <v>427</v>
      </c>
      <c r="T1231" s="148" t="s">
        <v>846</v>
      </c>
      <c r="Y1231" s="150" t="s">
        <v>366</v>
      </c>
    </row>
    <row r="1232" spans="1:25" ht="15.75" hidden="1" customHeight="1" x14ac:dyDescent="0.25">
      <c r="A1232" s="148" t="s">
        <v>76</v>
      </c>
      <c r="B1232" s="148" t="s">
        <v>36</v>
      </c>
      <c r="C1232" s="148" t="s">
        <v>28</v>
      </c>
      <c r="D1232" s="148" t="s">
        <v>99</v>
      </c>
      <c r="E1232" s="148" t="s">
        <v>51</v>
      </c>
      <c r="F1232" s="148" t="s">
        <v>3183</v>
      </c>
      <c r="G1232" s="148" t="s">
        <v>52</v>
      </c>
      <c r="H1232" s="148">
        <v>2010</v>
      </c>
      <c r="I1232" s="148">
        <v>3</v>
      </c>
      <c r="J1232" s="148" t="s">
        <v>118</v>
      </c>
      <c r="K1232" s="148" t="s">
        <v>327</v>
      </c>
      <c r="M1232" s="148" t="s">
        <v>82</v>
      </c>
      <c r="N1232" s="148">
        <v>8</v>
      </c>
      <c r="O1232" s="148" t="s">
        <v>101</v>
      </c>
      <c r="P1232" s="148" t="s">
        <v>847</v>
      </c>
      <c r="Y1232" s="150" t="s">
        <v>366</v>
      </c>
    </row>
    <row r="1233" spans="1:25" ht="13.5" hidden="1" customHeight="1" x14ac:dyDescent="0.25">
      <c r="A1233" s="148" t="s">
        <v>26</v>
      </c>
      <c r="B1233" s="148" t="s">
        <v>116</v>
      </c>
      <c r="C1233" s="148" t="s">
        <v>90</v>
      </c>
      <c r="D1233" s="148" t="s">
        <v>29</v>
      </c>
      <c r="E1233" s="148" t="s">
        <v>30</v>
      </c>
      <c r="F1233" s="148" t="s">
        <v>41</v>
      </c>
      <c r="G1233" s="148" t="s">
        <v>503</v>
      </c>
      <c r="H1233" s="148">
        <v>2010</v>
      </c>
      <c r="I1233" s="148">
        <v>3</v>
      </c>
      <c r="J1233" s="148" t="s">
        <v>33</v>
      </c>
      <c r="U1233" s="149" t="s">
        <v>3629</v>
      </c>
      <c r="V1233" s="149" t="s">
        <v>3633</v>
      </c>
      <c r="W1233" s="148" t="s">
        <v>34</v>
      </c>
      <c r="X1233" s="148" t="s">
        <v>841</v>
      </c>
    </row>
    <row r="1234" spans="1:25" ht="15.75" hidden="1" customHeight="1" x14ac:dyDescent="0.25">
      <c r="A1234" s="148" t="s">
        <v>76</v>
      </c>
      <c r="B1234" s="148" t="s">
        <v>36</v>
      </c>
      <c r="C1234" s="148" t="s">
        <v>28</v>
      </c>
      <c r="D1234" s="148" t="s">
        <v>342</v>
      </c>
      <c r="E1234" s="148" t="s">
        <v>30</v>
      </c>
      <c r="F1234" s="148" t="s">
        <v>3183</v>
      </c>
      <c r="G1234" s="148" t="s">
        <v>114</v>
      </c>
      <c r="H1234" s="148">
        <v>2010</v>
      </c>
      <c r="I1234" s="148">
        <v>3</v>
      </c>
      <c r="J1234" s="148" t="s">
        <v>118</v>
      </c>
      <c r="K1234" s="148" t="s">
        <v>455</v>
      </c>
      <c r="M1234" s="148" t="s">
        <v>132</v>
      </c>
      <c r="N1234" s="148">
        <v>8</v>
      </c>
      <c r="O1234" s="148" t="s">
        <v>101</v>
      </c>
      <c r="P1234" s="148" t="s">
        <v>512</v>
      </c>
      <c r="Y1234" s="150" t="s">
        <v>366</v>
      </c>
    </row>
    <row r="1235" spans="1:25" ht="15.75" hidden="1" customHeight="1" x14ac:dyDescent="0.25">
      <c r="A1235" s="148" t="s">
        <v>26</v>
      </c>
      <c r="B1235" s="148" t="s">
        <v>116</v>
      </c>
      <c r="C1235" s="148" t="s">
        <v>90</v>
      </c>
      <c r="D1235" s="148" t="s">
        <v>29</v>
      </c>
      <c r="E1235" s="148" t="s">
        <v>30</v>
      </c>
      <c r="F1235" s="148" t="s">
        <v>41</v>
      </c>
      <c r="G1235" s="148" t="s">
        <v>683</v>
      </c>
      <c r="H1235" s="148">
        <v>2010</v>
      </c>
      <c r="I1235" s="148">
        <v>3</v>
      </c>
      <c r="J1235" s="148" t="s">
        <v>792</v>
      </c>
      <c r="U1235" s="149" t="s">
        <v>3629</v>
      </c>
      <c r="V1235" s="149" t="s">
        <v>3633</v>
      </c>
      <c r="W1235" s="148" t="s">
        <v>34</v>
      </c>
      <c r="X1235" s="148" t="s">
        <v>848</v>
      </c>
    </row>
    <row r="1236" spans="1:25" ht="13.5" hidden="1" customHeight="1" x14ac:dyDescent="0.25">
      <c r="A1236" s="148" t="s">
        <v>76</v>
      </c>
      <c r="B1236" s="148" t="s">
        <v>198</v>
      </c>
      <c r="C1236" s="148" t="s">
        <v>45</v>
      </c>
      <c r="D1236" s="148" t="s">
        <v>99</v>
      </c>
      <c r="E1236" s="148" t="s">
        <v>40</v>
      </c>
      <c r="F1236" s="148" t="s">
        <v>199</v>
      </c>
      <c r="G1236" s="148" t="s">
        <v>282</v>
      </c>
      <c r="H1236" s="148">
        <v>2010</v>
      </c>
      <c r="I1236" s="148">
        <v>4</v>
      </c>
      <c r="J1236" s="148" t="s">
        <v>150</v>
      </c>
      <c r="K1236" s="148" t="s">
        <v>629</v>
      </c>
      <c r="M1236" s="148" t="s">
        <v>120</v>
      </c>
      <c r="N1236" s="148">
        <v>6</v>
      </c>
      <c r="O1236" s="148" t="s">
        <v>83</v>
      </c>
      <c r="Y1236" s="150" t="s">
        <v>366</v>
      </c>
    </row>
    <row r="1237" spans="1:25" ht="15.75" hidden="1" customHeight="1" x14ac:dyDescent="0.25">
      <c r="A1237" s="148" t="s">
        <v>76</v>
      </c>
      <c r="B1237" s="148" t="s">
        <v>44</v>
      </c>
      <c r="C1237" s="148" t="s">
        <v>45</v>
      </c>
      <c r="D1237" s="148" t="s">
        <v>99</v>
      </c>
      <c r="E1237" s="148" t="s">
        <v>95</v>
      </c>
      <c r="F1237" s="148" t="s">
        <v>47</v>
      </c>
      <c r="G1237" s="148" t="s">
        <v>96</v>
      </c>
      <c r="H1237" s="148">
        <v>2010</v>
      </c>
      <c r="I1237" s="148">
        <v>4</v>
      </c>
      <c r="J1237" s="148" t="s">
        <v>150</v>
      </c>
      <c r="K1237" s="148" t="s">
        <v>629</v>
      </c>
      <c r="M1237" s="148" t="s">
        <v>120</v>
      </c>
      <c r="N1237" s="148">
        <v>6</v>
      </c>
      <c r="O1237" s="148" t="s">
        <v>83</v>
      </c>
      <c r="Y1237" s="150" t="s">
        <v>366</v>
      </c>
    </row>
    <row r="1238" spans="1:25" ht="15.75" hidden="1" customHeight="1" x14ac:dyDescent="0.25">
      <c r="A1238" s="148" t="s">
        <v>76</v>
      </c>
      <c r="B1238" s="148" t="s">
        <v>89</v>
      </c>
      <c r="C1238" s="148" t="s">
        <v>90</v>
      </c>
      <c r="D1238" s="148" t="s">
        <v>29</v>
      </c>
      <c r="E1238" s="148" t="s">
        <v>30</v>
      </c>
      <c r="F1238" s="148" t="s">
        <v>91</v>
      </c>
      <c r="G1238" s="148" t="s">
        <v>145</v>
      </c>
      <c r="H1238" s="148">
        <v>2010</v>
      </c>
      <c r="I1238" s="148">
        <v>4</v>
      </c>
      <c r="J1238" s="148" t="s">
        <v>118</v>
      </c>
      <c r="K1238" s="148" t="s">
        <v>327</v>
      </c>
      <c r="M1238" s="148" t="s">
        <v>82</v>
      </c>
      <c r="N1238" s="148">
        <v>8</v>
      </c>
      <c r="O1238" s="148" t="s">
        <v>101</v>
      </c>
      <c r="P1238" s="148" t="s">
        <v>849</v>
      </c>
      <c r="Y1238" s="150" t="s">
        <v>366</v>
      </c>
    </row>
    <row r="1239" spans="1:25" ht="15.75" hidden="1" customHeight="1" x14ac:dyDescent="0.25">
      <c r="A1239" s="148" t="s">
        <v>76</v>
      </c>
      <c r="B1239" s="148" t="s">
        <v>198</v>
      </c>
      <c r="C1239" s="148" t="s">
        <v>45</v>
      </c>
      <c r="D1239" s="148" t="s">
        <v>29</v>
      </c>
      <c r="E1239" s="148" t="s">
        <v>30</v>
      </c>
      <c r="F1239" s="148" t="s">
        <v>199</v>
      </c>
      <c r="G1239" s="148" t="s">
        <v>232</v>
      </c>
      <c r="H1239" s="148">
        <v>2010</v>
      </c>
      <c r="I1239" s="148">
        <v>4</v>
      </c>
      <c r="J1239" s="148" t="s">
        <v>118</v>
      </c>
      <c r="K1239" s="148" t="s">
        <v>455</v>
      </c>
      <c r="M1239" s="148" t="s">
        <v>132</v>
      </c>
      <c r="N1239" s="148">
        <v>8</v>
      </c>
      <c r="O1239" s="148" t="s">
        <v>101</v>
      </c>
      <c r="P1239" s="148" t="s">
        <v>435</v>
      </c>
      <c r="Y1239" s="150" t="s">
        <v>366</v>
      </c>
    </row>
    <row r="1240" spans="1:25" ht="15.75" hidden="1" customHeight="1" x14ac:dyDescent="0.25">
      <c r="A1240" s="148" t="s">
        <v>76</v>
      </c>
      <c r="B1240" s="148" t="s">
        <v>89</v>
      </c>
      <c r="C1240" s="148" t="s">
        <v>90</v>
      </c>
      <c r="D1240" s="148" t="s">
        <v>29</v>
      </c>
      <c r="E1240" s="148" t="s">
        <v>30</v>
      </c>
      <c r="F1240" s="148" t="s">
        <v>91</v>
      </c>
      <c r="G1240" s="148" t="s">
        <v>298</v>
      </c>
      <c r="H1240" s="148">
        <v>2010</v>
      </c>
      <c r="I1240" s="148">
        <v>4</v>
      </c>
      <c r="J1240" s="148" t="s">
        <v>150</v>
      </c>
      <c r="K1240" s="148" t="s">
        <v>629</v>
      </c>
      <c r="M1240" s="148" t="s">
        <v>120</v>
      </c>
      <c r="N1240" s="148">
        <v>6</v>
      </c>
      <c r="O1240" s="148" t="s">
        <v>83</v>
      </c>
      <c r="Y1240" s="150" t="s">
        <v>366</v>
      </c>
    </row>
    <row r="1241" spans="1:25" ht="15.75" hidden="1" customHeight="1" x14ac:dyDescent="0.25">
      <c r="A1241" s="148" t="s">
        <v>76</v>
      </c>
      <c r="B1241" s="148" t="s">
        <v>77</v>
      </c>
      <c r="C1241" s="148" t="s">
        <v>55</v>
      </c>
      <c r="D1241" s="148" t="s">
        <v>99</v>
      </c>
      <c r="E1241" s="148" t="s">
        <v>30</v>
      </c>
      <c r="F1241" s="148" t="s">
        <v>41</v>
      </c>
      <c r="G1241" s="148" t="s">
        <v>159</v>
      </c>
      <c r="H1241" s="148">
        <v>2010</v>
      </c>
      <c r="I1241" s="148">
        <v>4</v>
      </c>
      <c r="J1241" s="148" t="s">
        <v>150</v>
      </c>
      <c r="K1241" s="148" t="s">
        <v>629</v>
      </c>
      <c r="M1241" s="148" t="s">
        <v>120</v>
      </c>
      <c r="N1241" s="148">
        <v>6</v>
      </c>
      <c r="O1241" s="148" t="s">
        <v>83</v>
      </c>
      <c r="Y1241" s="150" t="s">
        <v>366</v>
      </c>
    </row>
    <row r="1242" spans="1:25" ht="15.75" hidden="1" customHeight="1" x14ac:dyDescent="0.25">
      <c r="A1242" s="148" t="s">
        <v>76</v>
      </c>
      <c r="B1242" s="148" t="s">
        <v>36</v>
      </c>
      <c r="C1242" s="148" t="s">
        <v>28</v>
      </c>
      <c r="D1242" s="148" t="s">
        <v>86</v>
      </c>
      <c r="E1242" s="148" t="s">
        <v>30</v>
      </c>
      <c r="F1242" s="148" t="s">
        <v>3183</v>
      </c>
      <c r="G1242" s="148" t="s">
        <v>67</v>
      </c>
      <c r="H1242" s="148">
        <v>2010</v>
      </c>
      <c r="I1242" s="148">
        <v>4</v>
      </c>
      <c r="J1242" s="148" t="s">
        <v>150</v>
      </c>
      <c r="K1242" s="148" t="s">
        <v>629</v>
      </c>
      <c r="M1242" s="148" t="s">
        <v>120</v>
      </c>
      <c r="N1242" s="148">
        <v>6</v>
      </c>
      <c r="O1242" s="148" t="s">
        <v>83</v>
      </c>
      <c r="Y1242" s="150" t="s">
        <v>366</v>
      </c>
    </row>
    <row r="1243" spans="1:25" ht="15.75" hidden="1" customHeight="1" x14ac:dyDescent="0.25">
      <c r="A1243" s="148" t="s">
        <v>76</v>
      </c>
      <c r="B1243" s="148" t="s">
        <v>89</v>
      </c>
      <c r="C1243" s="148" t="s">
        <v>90</v>
      </c>
      <c r="D1243" s="148" t="s">
        <v>29</v>
      </c>
      <c r="E1243" s="148" t="s">
        <v>30</v>
      </c>
      <c r="F1243" s="148" t="s">
        <v>91</v>
      </c>
      <c r="G1243" s="148" t="s">
        <v>411</v>
      </c>
      <c r="H1243" s="148">
        <v>2010</v>
      </c>
      <c r="I1243" s="148">
        <v>4</v>
      </c>
      <c r="J1243" s="148" t="s">
        <v>150</v>
      </c>
      <c r="K1243" s="148" t="s">
        <v>629</v>
      </c>
      <c r="M1243" s="148" t="s">
        <v>120</v>
      </c>
      <c r="N1243" s="148">
        <v>6</v>
      </c>
      <c r="O1243" s="148" t="s">
        <v>83</v>
      </c>
      <c r="Y1243" s="150" t="s">
        <v>366</v>
      </c>
    </row>
    <row r="1244" spans="1:25" ht="15.75" hidden="1" customHeight="1" x14ac:dyDescent="0.25">
      <c r="A1244" s="148" t="s">
        <v>26</v>
      </c>
      <c r="B1244" s="148" t="s">
        <v>116</v>
      </c>
      <c r="C1244" s="148" t="s">
        <v>90</v>
      </c>
      <c r="D1244" s="148" t="s">
        <v>29</v>
      </c>
      <c r="E1244" s="148" t="s">
        <v>30</v>
      </c>
      <c r="F1244" s="148" t="s">
        <v>41</v>
      </c>
      <c r="G1244" s="148" t="s">
        <v>784</v>
      </c>
      <c r="H1244" s="148">
        <v>2010</v>
      </c>
      <c r="I1244" s="148">
        <v>4</v>
      </c>
      <c r="J1244" s="148" t="s">
        <v>792</v>
      </c>
      <c r="U1244" s="149" t="s">
        <v>3629</v>
      </c>
      <c r="V1244" s="149" t="s">
        <v>3633</v>
      </c>
      <c r="W1244" s="148" t="s">
        <v>34</v>
      </c>
      <c r="X1244" s="148" t="s">
        <v>848</v>
      </c>
    </row>
    <row r="1245" spans="1:25" ht="15.75" hidden="1" customHeight="1" x14ac:dyDescent="0.25">
      <c r="A1245" s="148" t="s">
        <v>76</v>
      </c>
      <c r="B1245" s="148" t="s">
        <v>198</v>
      </c>
      <c r="C1245" s="148" t="s">
        <v>45</v>
      </c>
      <c r="D1245" s="148" t="s">
        <v>99</v>
      </c>
      <c r="E1245" s="148" t="s">
        <v>30</v>
      </c>
      <c r="F1245" s="148" t="s">
        <v>199</v>
      </c>
      <c r="G1245" s="148" t="s">
        <v>248</v>
      </c>
      <c r="H1245" s="148">
        <v>2010</v>
      </c>
      <c r="I1245" s="148">
        <v>4</v>
      </c>
      <c r="J1245" s="148" t="s">
        <v>118</v>
      </c>
      <c r="K1245" s="148" t="s">
        <v>327</v>
      </c>
      <c r="M1245" s="148" t="s">
        <v>82</v>
      </c>
      <c r="N1245" s="148">
        <v>8</v>
      </c>
      <c r="O1245" s="148" t="s">
        <v>101</v>
      </c>
      <c r="P1245" s="148" t="s">
        <v>850</v>
      </c>
      <c r="Y1245" s="150" t="s">
        <v>366</v>
      </c>
    </row>
    <row r="1246" spans="1:25" ht="15.75" hidden="1" customHeight="1" x14ac:dyDescent="0.25">
      <c r="A1246" s="148" t="s">
        <v>26</v>
      </c>
      <c r="B1246" s="148" t="s">
        <v>36</v>
      </c>
      <c r="C1246" s="148" t="s">
        <v>28</v>
      </c>
      <c r="D1246" s="148" t="s">
        <v>86</v>
      </c>
      <c r="E1246" s="148" t="s">
        <v>51</v>
      </c>
      <c r="F1246" s="148" t="s">
        <v>3183</v>
      </c>
      <c r="G1246" s="148" t="s">
        <v>69</v>
      </c>
      <c r="H1246" s="148">
        <v>2010</v>
      </c>
      <c r="I1246" s="148">
        <v>4</v>
      </c>
      <c r="J1246" s="148" t="s">
        <v>33</v>
      </c>
      <c r="U1246" s="149" t="s">
        <v>3629</v>
      </c>
      <c r="V1246" s="149" t="s">
        <v>3633</v>
      </c>
      <c r="W1246" s="148" t="s">
        <v>34</v>
      </c>
      <c r="X1246" s="148" t="s">
        <v>841</v>
      </c>
    </row>
    <row r="1247" spans="1:25" ht="15.75" customHeight="1" x14ac:dyDescent="0.25">
      <c r="A1247" s="148" t="s">
        <v>76</v>
      </c>
      <c r="B1247" s="148" t="s">
        <v>36</v>
      </c>
      <c r="C1247" s="148" t="s">
        <v>28</v>
      </c>
      <c r="D1247" s="148" t="s">
        <v>29</v>
      </c>
      <c r="E1247" s="148" t="s">
        <v>30</v>
      </c>
      <c r="F1247" s="148" t="s">
        <v>3183</v>
      </c>
      <c r="G1247" s="148" t="s">
        <v>194</v>
      </c>
      <c r="H1247" s="148">
        <v>2010</v>
      </c>
      <c r="I1247" s="148">
        <v>4</v>
      </c>
      <c r="J1247" s="148" t="s">
        <v>118</v>
      </c>
      <c r="K1247" s="148" t="s">
        <v>455</v>
      </c>
      <c r="M1247" s="148" t="s">
        <v>132</v>
      </c>
      <c r="N1247" s="148">
        <v>8</v>
      </c>
      <c r="O1247" s="148" t="s">
        <v>101</v>
      </c>
      <c r="P1247" s="148" t="s">
        <v>599</v>
      </c>
      <c r="Y1247" s="150" t="s">
        <v>366</v>
      </c>
    </row>
    <row r="1248" spans="1:25" ht="15.75" hidden="1" customHeight="1" x14ac:dyDescent="0.25">
      <c r="A1248" s="148" t="s">
        <v>76</v>
      </c>
      <c r="B1248" s="148" t="s">
        <v>89</v>
      </c>
      <c r="C1248" s="148" t="s">
        <v>90</v>
      </c>
      <c r="D1248" s="148" t="s">
        <v>29</v>
      </c>
      <c r="E1248" s="148" t="s">
        <v>30</v>
      </c>
      <c r="F1248" s="148" t="s">
        <v>91</v>
      </c>
      <c r="G1248" s="148" t="s">
        <v>451</v>
      </c>
      <c r="H1248" s="148">
        <v>2010</v>
      </c>
      <c r="I1248" s="148">
        <v>4</v>
      </c>
      <c r="J1248" s="148" t="s">
        <v>118</v>
      </c>
      <c r="K1248" s="148" t="s">
        <v>327</v>
      </c>
      <c r="M1248" s="148" t="s">
        <v>82</v>
      </c>
      <c r="N1248" s="148">
        <v>8</v>
      </c>
      <c r="O1248" s="148" t="s">
        <v>101</v>
      </c>
      <c r="P1248" s="148" t="s">
        <v>146</v>
      </c>
      <c r="Y1248" s="150" t="s">
        <v>366</v>
      </c>
    </row>
    <row r="1249" spans="1:25" ht="13.5" hidden="1" customHeight="1" x14ac:dyDescent="0.25">
      <c r="A1249" s="148" t="s">
        <v>76</v>
      </c>
      <c r="B1249" s="148" t="s">
        <v>198</v>
      </c>
      <c r="C1249" s="148" t="s">
        <v>45</v>
      </c>
      <c r="D1249" s="148" t="s">
        <v>257</v>
      </c>
      <c r="E1249" s="148" t="s">
        <v>30</v>
      </c>
      <c r="F1249" s="148" t="s">
        <v>199</v>
      </c>
      <c r="G1249" s="148" t="s">
        <v>258</v>
      </c>
      <c r="H1249" s="148">
        <v>2010</v>
      </c>
      <c r="I1249" s="148">
        <v>4</v>
      </c>
      <c r="J1249" s="148" t="s">
        <v>150</v>
      </c>
      <c r="K1249" s="148" t="s">
        <v>851</v>
      </c>
      <c r="M1249" s="148" t="s">
        <v>639</v>
      </c>
      <c r="N1249" s="148">
        <v>6</v>
      </c>
      <c r="O1249" s="148" t="s">
        <v>83</v>
      </c>
      <c r="Y1249" s="150" t="s">
        <v>366</v>
      </c>
    </row>
    <row r="1250" spans="1:25" ht="13.5" hidden="1" customHeight="1" x14ac:dyDescent="0.25">
      <c r="A1250" s="148" t="s">
        <v>76</v>
      </c>
      <c r="B1250" s="148" t="s">
        <v>36</v>
      </c>
      <c r="C1250" s="148" t="s">
        <v>28</v>
      </c>
      <c r="D1250" s="148" t="s">
        <v>342</v>
      </c>
      <c r="E1250" s="148" t="s">
        <v>30</v>
      </c>
      <c r="F1250" s="148" t="s">
        <v>3183</v>
      </c>
      <c r="G1250" s="148" t="s">
        <v>114</v>
      </c>
      <c r="H1250" s="148">
        <v>2010</v>
      </c>
      <c r="I1250" s="148">
        <v>4</v>
      </c>
      <c r="J1250" s="148" t="s">
        <v>118</v>
      </c>
      <c r="K1250" s="148" t="s">
        <v>327</v>
      </c>
      <c r="M1250" s="148" t="s">
        <v>82</v>
      </c>
      <c r="N1250" s="148">
        <v>8</v>
      </c>
      <c r="O1250" s="148" t="s">
        <v>101</v>
      </c>
      <c r="P1250" s="148" t="s">
        <v>146</v>
      </c>
      <c r="Y1250" s="150" t="s">
        <v>366</v>
      </c>
    </row>
    <row r="1251" spans="1:25" ht="15.75" hidden="1" customHeight="1" x14ac:dyDescent="0.25">
      <c r="A1251" s="148" t="s">
        <v>76</v>
      </c>
      <c r="B1251" s="148" t="s">
        <v>89</v>
      </c>
      <c r="C1251" s="148" t="s">
        <v>90</v>
      </c>
      <c r="D1251" s="148" t="s">
        <v>99</v>
      </c>
      <c r="E1251" s="148" t="s">
        <v>30</v>
      </c>
      <c r="F1251" s="148" t="s">
        <v>91</v>
      </c>
      <c r="G1251" s="148" t="s">
        <v>499</v>
      </c>
      <c r="H1251" s="148">
        <v>2010</v>
      </c>
      <c r="I1251" s="148">
        <v>5</v>
      </c>
      <c r="J1251" s="148" t="s">
        <v>150</v>
      </c>
      <c r="K1251" s="148" t="s">
        <v>455</v>
      </c>
      <c r="M1251" s="148" t="s">
        <v>132</v>
      </c>
      <c r="N1251" s="148">
        <v>8</v>
      </c>
      <c r="O1251" s="148" t="s">
        <v>83</v>
      </c>
      <c r="Y1251" s="150" t="s">
        <v>366</v>
      </c>
    </row>
    <row r="1252" spans="1:25" ht="15.75" hidden="1" customHeight="1" x14ac:dyDescent="0.25">
      <c r="A1252" s="148" t="s">
        <v>76</v>
      </c>
      <c r="B1252" s="148" t="s">
        <v>71</v>
      </c>
      <c r="C1252" s="148" t="s">
        <v>45</v>
      </c>
      <c r="D1252" s="148" t="s">
        <v>29</v>
      </c>
      <c r="E1252" s="148" t="s">
        <v>72</v>
      </c>
      <c r="F1252" s="148" t="s">
        <v>3183</v>
      </c>
      <c r="G1252" s="148" t="s">
        <v>73</v>
      </c>
      <c r="H1252" s="148">
        <v>2010</v>
      </c>
      <c r="I1252" s="148">
        <v>5</v>
      </c>
      <c r="J1252" s="148" t="s">
        <v>150</v>
      </c>
      <c r="K1252" s="148" t="s">
        <v>379</v>
      </c>
      <c r="M1252" s="148" t="s">
        <v>126</v>
      </c>
      <c r="N1252" s="148">
        <v>10</v>
      </c>
      <c r="O1252" s="148" t="s">
        <v>83</v>
      </c>
      <c r="P1252" s="148" t="s">
        <v>852</v>
      </c>
      <c r="Y1252" s="150" t="s">
        <v>366</v>
      </c>
    </row>
    <row r="1253" spans="1:25" ht="15.75" hidden="1" customHeight="1" x14ac:dyDescent="0.25">
      <c r="A1253" s="148" t="s">
        <v>76</v>
      </c>
      <c r="B1253" s="148" t="s">
        <v>103</v>
      </c>
      <c r="C1253" s="148" t="s">
        <v>55</v>
      </c>
      <c r="D1253" s="148" t="s">
        <v>99</v>
      </c>
      <c r="E1253" s="148" t="s">
        <v>95</v>
      </c>
      <c r="F1253" s="148" t="s">
        <v>56</v>
      </c>
      <c r="G1253" s="148" t="s">
        <v>171</v>
      </c>
      <c r="H1253" s="148">
        <v>2010</v>
      </c>
      <c r="I1253" s="148">
        <v>5</v>
      </c>
      <c r="J1253" s="148" t="s">
        <v>118</v>
      </c>
      <c r="K1253" s="148" t="s">
        <v>388</v>
      </c>
      <c r="M1253" s="148" t="s">
        <v>126</v>
      </c>
      <c r="N1253" s="148">
        <v>10</v>
      </c>
      <c r="O1253" s="148" t="s">
        <v>101</v>
      </c>
      <c r="P1253" s="148" t="s">
        <v>146</v>
      </c>
      <c r="Y1253" s="150" t="s">
        <v>366</v>
      </c>
    </row>
    <row r="1254" spans="1:25" ht="15.75" hidden="1" customHeight="1" x14ac:dyDescent="0.25">
      <c r="A1254" s="148" t="s">
        <v>76</v>
      </c>
      <c r="B1254" s="148" t="s">
        <v>103</v>
      </c>
      <c r="C1254" s="148" t="s">
        <v>55</v>
      </c>
      <c r="D1254" s="148" t="s">
        <v>29</v>
      </c>
      <c r="E1254" s="148" t="s">
        <v>30</v>
      </c>
      <c r="F1254" s="148" t="s">
        <v>56</v>
      </c>
      <c r="G1254" s="148" t="s">
        <v>382</v>
      </c>
      <c r="H1254" s="148">
        <v>2010</v>
      </c>
      <c r="I1254" s="148">
        <v>5</v>
      </c>
      <c r="J1254" s="148" t="s">
        <v>150</v>
      </c>
      <c r="K1254" s="148" t="s">
        <v>853</v>
      </c>
      <c r="M1254" s="148" t="s">
        <v>467</v>
      </c>
      <c r="N1254" s="148">
        <v>6</v>
      </c>
      <c r="O1254" s="148" t="s">
        <v>83</v>
      </c>
      <c r="Y1254" s="150" t="s">
        <v>366</v>
      </c>
    </row>
    <row r="1255" spans="1:25" ht="15.75" hidden="1" customHeight="1" x14ac:dyDescent="0.25">
      <c r="A1255" s="148" t="s">
        <v>76</v>
      </c>
      <c r="B1255" s="148" t="s">
        <v>36</v>
      </c>
      <c r="C1255" s="148" t="s">
        <v>28</v>
      </c>
      <c r="D1255" s="148" t="s">
        <v>342</v>
      </c>
      <c r="E1255" s="148" t="s">
        <v>30</v>
      </c>
      <c r="F1255" s="148" t="s">
        <v>3183</v>
      </c>
      <c r="G1255" s="148" t="s">
        <v>438</v>
      </c>
      <c r="H1255" s="148">
        <v>2010</v>
      </c>
      <c r="I1255" s="148">
        <v>5</v>
      </c>
      <c r="J1255" s="148" t="s">
        <v>118</v>
      </c>
      <c r="K1255" s="148" t="s">
        <v>327</v>
      </c>
      <c r="M1255" s="148" t="s">
        <v>82</v>
      </c>
      <c r="N1255" s="148">
        <v>8</v>
      </c>
      <c r="O1255" s="148" t="s">
        <v>101</v>
      </c>
      <c r="P1255" s="148" t="s">
        <v>535</v>
      </c>
      <c r="Y1255" s="150" t="s">
        <v>366</v>
      </c>
    </row>
    <row r="1256" spans="1:25" ht="15.75" hidden="1" customHeight="1" x14ac:dyDescent="0.25">
      <c r="A1256" s="148" t="s">
        <v>26</v>
      </c>
      <c r="B1256" s="148" t="s">
        <v>116</v>
      </c>
      <c r="C1256" s="148" t="s">
        <v>90</v>
      </c>
      <c r="D1256" s="148" t="s">
        <v>29</v>
      </c>
      <c r="E1256" s="148" t="s">
        <v>30</v>
      </c>
      <c r="F1256" s="148" t="s">
        <v>41</v>
      </c>
      <c r="G1256" s="148" t="s">
        <v>564</v>
      </c>
      <c r="H1256" s="148">
        <v>2010</v>
      </c>
      <c r="I1256" s="148">
        <v>5</v>
      </c>
      <c r="J1256" s="148" t="s">
        <v>792</v>
      </c>
      <c r="U1256" s="149" t="s">
        <v>3629</v>
      </c>
      <c r="V1256" s="149" t="s">
        <v>3634</v>
      </c>
      <c r="W1256" s="148" t="s">
        <v>87</v>
      </c>
      <c r="X1256" s="148" t="s">
        <v>854</v>
      </c>
    </row>
    <row r="1257" spans="1:25" ht="15.75" hidden="1" customHeight="1" x14ac:dyDescent="0.25">
      <c r="A1257" s="148" t="s">
        <v>76</v>
      </c>
      <c r="B1257" s="148" t="s">
        <v>103</v>
      </c>
      <c r="C1257" s="148" t="s">
        <v>55</v>
      </c>
      <c r="D1257" s="148" t="s">
        <v>29</v>
      </c>
      <c r="E1257" s="148" t="s">
        <v>30</v>
      </c>
      <c r="F1257" s="148" t="s">
        <v>56</v>
      </c>
      <c r="G1257" s="148" t="s">
        <v>405</v>
      </c>
      <c r="H1257" s="148">
        <v>2010</v>
      </c>
      <c r="I1257" s="148">
        <v>5</v>
      </c>
      <c r="J1257" s="148" t="s">
        <v>150</v>
      </c>
      <c r="K1257" s="148" t="s">
        <v>853</v>
      </c>
      <c r="M1257" s="148" t="s">
        <v>467</v>
      </c>
      <c r="N1257" s="148">
        <v>6</v>
      </c>
      <c r="O1257" s="148" t="s">
        <v>83</v>
      </c>
      <c r="Y1257" s="150" t="s">
        <v>366</v>
      </c>
    </row>
    <row r="1258" spans="1:25" ht="15.75" hidden="1" customHeight="1" x14ac:dyDescent="0.25">
      <c r="A1258" s="148" t="s">
        <v>76</v>
      </c>
      <c r="B1258" s="148" t="s">
        <v>103</v>
      </c>
      <c r="C1258" s="148" t="s">
        <v>55</v>
      </c>
      <c r="D1258" s="148" t="s">
        <v>478</v>
      </c>
      <c r="E1258" s="148" t="s">
        <v>95</v>
      </c>
      <c r="F1258" s="148" t="s">
        <v>56</v>
      </c>
      <c r="G1258" s="148" t="s">
        <v>111</v>
      </c>
      <c r="H1258" s="148">
        <v>2010</v>
      </c>
      <c r="I1258" s="148">
        <v>5</v>
      </c>
      <c r="J1258" s="148" t="s">
        <v>150</v>
      </c>
      <c r="K1258" s="148" t="s">
        <v>629</v>
      </c>
      <c r="M1258" s="148" t="s">
        <v>120</v>
      </c>
      <c r="N1258" s="148">
        <v>6</v>
      </c>
      <c r="O1258" s="148" t="s">
        <v>83</v>
      </c>
      <c r="Y1258" s="150" t="s">
        <v>366</v>
      </c>
    </row>
    <row r="1259" spans="1:25" ht="15.75" hidden="1" customHeight="1" x14ac:dyDescent="0.25">
      <c r="A1259" s="148" t="s">
        <v>76</v>
      </c>
      <c r="B1259" s="148" t="s">
        <v>103</v>
      </c>
      <c r="C1259" s="148" t="s">
        <v>55</v>
      </c>
      <c r="D1259" s="148" t="s">
        <v>99</v>
      </c>
      <c r="E1259" s="148" t="s">
        <v>95</v>
      </c>
      <c r="F1259" s="148" t="s">
        <v>56</v>
      </c>
      <c r="G1259" s="148" t="s">
        <v>104</v>
      </c>
      <c r="H1259" s="148">
        <v>2010</v>
      </c>
      <c r="I1259" s="148">
        <v>5</v>
      </c>
      <c r="J1259" s="148" t="s">
        <v>150</v>
      </c>
      <c r="K1259" s="148" t="s">
        <v>779</v>
      </c>
      <c r="M1259" s="148" t="s">
        <v>395</v>
      </c>
      <c r="N1259" s="148">
        <v>6</v>
      </c>
      <c r="O1259" s="148" t="s">
        <v>83</v>
      </c>
      <c r="Y1259" s="150" t="s">
        <v>366</v>
      </c>
    </row>
    <row r="1260" spans="1:25" ht="15.75" hidden="1" customHeight="1" x14ac:dyDescent="0.25">
      <c r="A1260" s="148" t="s">
        <v>76</v>
      </c>
      <c r="B1260" s="148" t="s">
        <v>103</v>
      </c>
      <c r="C1260" s="148" t="s">
        <v>55</v>
      </c>
      <c r="D1260" s="148" t="s">
        <v>478</v>
      </c>
      <c r="E1260" s="148" t="s">
        <v>95</v>
      </c>
      <c r="F1260" s="148" t="s">
        <v>56</v>
      </c>
      <c r="G1260" s="148" t="s">
        <v>153</v>
      </c>
      <c r="H1260" s="148">
        <v>2010</v>
      </c>
      <c r="I1260" s="148">
        <v>5</v>
      </c>
      <c r="J1260" s="148" t="s">
        <v>150</v>
      </c>
      <c r="K1260" s="148" t="s">
        <v>685</v>
      </c>
      <c r="M1260" s="148" t="s">
        <v>631</v>
      </c>
      <c r="N1260" s="148">
        <v>6</v>
      </c>
      <c r="O1260" s="148" t="s">
        <v>83</v>
      </c>
      <c r="Y1260" s="150" t="s">
        <v>366</v>
      </c>
    </row>
    <row r="1261" spans="1:25" ht="15.75" hidden="1" customHeight="1" x14ac:dyDescent="0.25">
      <c r="A1261" s="148" t="s">
        <v>76</v>
      </c>
      <c r="B1261" s="148" t="s">
        <v>36</v>
      </c>
      <c r="C1261" s="148" t="s">
        <v>28</v>
      </c>
      <c r="D1261" s="148" t="s">
        <v>99</v>
      </c>
      <c r="E1261" s="148" t="s">
        <v>30</v>
      </c>
      <c r="F1261" s="148" t="s">
        <v>3183</v>
      </c>
      <c r="G1261" s="148" t="s">
        <v>59</v>
      </c>
      <c r="H1261" s="148">
        <v>2010</v>
      </c>
      <c r="I1261" s="148">
        <v>5</v>
      </c>
      <c r="J1261" s="148" t="s">
        <v>150</v>
      </c>
      <c r="K1261" s="148" t="s">
        <v>379</v>
      </c>
      <c r="M1261" s="148" t="s">
        <v>126</v>
      </c>
      <c r="N1261" s="148">
        <v>10</v>
      </c>
      <c r="O1261" s="148" t="s">
        <v>83</v>
      </c>
      <c r="Y1261" s="150" t="s">
        <v>366</v>
      </c>
    </row>
    <row r="1262" spans="1:25" ht="15.75" hidden="1" customHeight="1" x14ac:dyDescent="0.25">
      <c r="A1262" s="148" t="s">
        <v>76</v>
      </c>
      <c r="B1262" s="148" t="s">
        <v>103</v>
      </c>
      <c r="C1262" s="148" t="s">
        <v>55</v>
      </c>
      <c r="D1262" s="148" t="s">
        <v>478</v>
      </c>
      <c r="E1262" s="148" t="s">
        <v>95</v>
      </c>
      <c r="F1262" s="148" t="s">
        <v>56</v>
      </c>
      <c r="G1262" s="148" t="s">
        <v>107</v>
      </c>
      <c r="H1262" s="148">
        <v>2010</v>
      </c>
      <c r="I1262" s="148">
        <v>5</v>
      </c>
      <c r="J1262" s="148" t="s">
        <v>150</v>
      </c>
      <c r="K1262" s="148" t="s">
        <v>708</v>
      </c>
      <c r="M1262" s="148" t="s">
        <v>173</v>
      </c>
      <c r="N1262" s="148">
        <v>8</v>
      </c>
      <c r="O1262" s="148" t="s">
        <v>83</v>
      </c>
      <c r="Y1262" s="150" t="s">
        <v>366</v>
      </c>
    </row>
    <row r="1263" spans="1:25" ht="15.75" hidden="1" customHeight="1" x14ac:dyDescent="0.25">
      <c r="A1263" s="148" t="s">
        <v>76</v>
      </c>
      <c r="B1263" s="148" t="s">
        <v>77</v>
      </c>
      <c r="C1263" s="148" t="s">
        <v>55</v>
      </c>
      <c r="D1263" s="148" t="s">
        <v>99</v>
      </c>
      <c r="E1263" s="148" t="s">
        <v>30</v>
      </c>
      <c r="F1263" s="148" t="s">
        <v>41</v>
      </c>
      <c r="G1263" s="148" t="s">
        <v>159</v>
      </c>
      <c r="H1263" s="148">
        <v>2010</v>
      </c>
      <c r="I1263" s="148">
        <v>5</v>
      </c>
      <c r="J1263" s="148" t="s">
        <v>150</v>
      </c>
      <c r="K1263" s="148" t="s">
        <v>327</v>
      </c>
      <c r="M1263" s="148" t="s">
        <v>82</v>
      </c>
      <c r="N1263" s="148">
        <v>8</v>
      </c>
      <c r="O1263" s="148" t="s">
        <v>83</v>
      </c>
      <c r="Y1263" s="150" t="s">
        <v>366</v>
      </c>
    </row>
    <row r="1264" spans="1:25" ht="15.75" hidden="1" customHeight="1" x14ac:dyDescent="0.25">
      <c r="A1264" s="148" t="s">
        <v>76</v>
      </c>
      <c r="B1264" s="148" t="s">
        <v>36</v>
      </c>
      <c r="C1264" s="148" t="s">
        <v>28</v>
      </c>
      <c r="D1264" s="148" t="s">
        <v>342</v>
      </c>
      <c r="E1264" s="148" t="s">
        <v>30</v>
      </c>
      <c r="F1264" s="148" t="s">
        <v>3183</v>
      </c>
      <c r="G1264" s="148" t="s">
        <v>242</v>
      </c>
      <c r="H1264" s="148">
        <v>2010</v>
      </c>
      <c r="I1264" s="148">
        <v>5</v>
      </c>
      <c r="J1264" s="148" t="s">
        <v>150</v>
      </c>
      <c r="K1264" s="148" t="s">
        <v>629</v>
      </c>
      <c r="M1264" s="148" t="s">
        <v>120</v>
      </c>
      <c r="N1264" s="148">
        <v>6</v>
      </c>
      <c r="O1264" s="148" t="s">
        <v>83</v>
      </c>
      <c r="Y1264" s="150" t="s">
        <v>366</v>
      </c>
    </row>
    <row r="1265" spans="1:25" ht="15.75" hidden="1" customHeight="1" x14ac:dyDescent="0.25">
      <c r="A1265" s="148" t="s">
        <v>76</v>
      </c>
      <c r="B1265" s="148" t="s">
        <v>116</v>
      </c>
      <c r="C1265" s="148" t="s">
        <v>90</v>
      </c>
      <c r="D1265" s="148" t="s">
        <v>29</v>
      </c>
      <c r="E1265" s="148" t="s">
        <v>30</v>
      </c>
      <c r="F1265" s="148" t="s">
        <v>41</v>
      </c>
      <c r="G1265" s="148" t="s">
        <v>513</v>
      </c>
      <c r="H1265" s="148">
        <v>2010</v>
      </c>
      <c r="I1265" s="148">
        <v>5</v>
      </c>
      <c r="J1265" s="148" t="s">
        <v>118</v>
      </c>
      <c r="K1265" s="148" t="s">
        <v>455</v>
      </c>
      <c r="M1265" s="148" t="s">
        <v>132</v>
      </c>
      <c r="N1265" s="148">
        <v>8</v>
      </c>
      <c r="O1265" s="148" t="s">
        <v>101</v>
      </c>
      <c r="P1265" s="148" t="s">
        <v>365</v>
      </c>
      <c r="Y1265" s="150" t="s">
        <v>366</v>
      </c>
    </row>
    <row r="1266" spans="1:25" ht="15.75" hidden="1" customHeight="1" x14ac:dyDescent="0.25">
      <c r="A1266" s="148" t="s">
        <v>76</v>
      </c>
      <c r="B1266" s="148" t="s">
        <v>103</v>
      </c>
      <c r="C1266" s="148" t="s">
        <v>55</v>
      </c>
      <c r="D1266" s="148" t="s">
        <v>29</v>
      </c>
      <c r="E1266" s="148" t="s">
        <v>30</v>
      </c>
      <c r="F1266" s="148" t="s">
        <v>56</v>
      </c>
      <c r="G1266" s="148" t="s">
        <v>458</v>
      </c>
      <c r="H1266" s="148">
        <v>2010</v>
      </c>
      <c r="I1266" s="148">
        <v>5</v>
      </c>
      <c r="J1266" s="148" t="s">
        <v>118</v>
      </c>
      <c r="K1266" s="148" t="s">
        <v>388</v>
      </c>
      <c r="M1266" s="148" t="s">
        <v>126</v>
      </c>
      <c r="N1266" s="148">
        <v>10</v>
      </c>
      <c r="O1266" s="148" t="s">
        <v>101</v>
      </c>
      <c r="P1266" s="148" t="s">
        <v>146</v>
      </c>
      <c r="Y1266" s="150" t="s">
        <v>366</v>
      </c>
    </row>
    <row r="1267" spans="1:25" ht="15.75" hidden="1" customHeight="1" x14ac:dyDescent="0.25">
      <c r="A1267" s="148" t="s">
        <v>76</v>
      </c>
      <c r="B1267" s="148" t="s">
        <v>89</v>
      </c>
      <c r="C1267" s="148" t="s">
        <v>90</v>
      </c>
      <c r="D1267" s="148" t="s">
        <v>29</v>
      </c>
      <c r="E1267" s="148" t="s">
        <v>30</v>
      </c>
      <c r="F1267" s="148" t="s">
        <v>91</v>
      </c>
      <c r="G1267" s="148" t="s">
        <v>329</v>
      </c>
      <c r="H1267" s="148">
        <v>2010</v>
      </c>
      <c r="I1267" s="148">
        <v>5</v>
      </c>
      <c r="J1267" s="148" t="s">
        <v>150</v>
      </c>
      <c r="K1267" s="148" t="s">
        <v>455</v>
      </c>
      <c r="M1267" s="148" t="s">
        <v>132</v>
      </c>
      <c r="N1267" s="148">
        <v>8</v>
      </c>
      <c r="O1267" s="148" t="s">
        <v>83</v>
      </c>
      <c r="Y1267" s="150" t="s">
        <v>366</v>
      </c>
    </row>
    <row r="1268" spans="1:25" ht="15.75" hidden="1" customHeight="1" x14ac:dyDescent="0.25">
      <c r="A1268" s="148" t="s">
        <v>76</v>
      </c>
      <c r="B1268" s="148" t="s">
        <v>71</v>
      </c>
      <c r="C1268" s="148" t="s">
        <v>45</v>
      </c>
      <c r="D1268" s="148" t="s">
        <v>29</v>
      </c>
      <c r="E1268" s="148" t="s">
        <v>72</v>
      </c>
      <c r="F1268" s="148" t="s">
        <v>3183</v>
      </c>
      <c r="G1268" s="148" t="s">
        <v>75</v>
      </c>
      <c r="H1268" s="148">
        <v>2010</v>
      </c>
      <c r="I1268" s="148">
        <v>5</v>
      </c>
      <c r="J1268" s="148" t="s">
        <v>150</v>
      </c>
      <c r="K1268" s="148" t="s">
        <v>379</v>
      </c>
      <c r="M1268" s="148" t="s">
        <v>126</v>
      </c>
      <c r="N1268" s="148">
        <v>10</v>
      </c>
      <c r="O1268" s="148" t="s">
        <v>83</v>
      </c>
      <c r="Y1268" s="150" t="s">
        <v>366</v>
      </c>
    </row>
    <row r="1269" spans="1:25" ht="15.75" hidden="1" customHeight="1" x14ac:dyDescent="0.25">
      <c r="A1269" s="148" t="s">
        <v>76</v>
      </c>
      <c r="B1269" s="148" t="s">
        <v>27</v>
      </c>
      <c r="C1269" s="148" t="s">
        <v>28</v>
      </c>
      <c r="D1269" s="148" t="s">
        <v>99</v>
      </c>
      <c r="E1269" s="148" t="s">
        <v>40</v>
      </c>
      <c r="F1269" s="148" t="s">
        <v>41</v>
      </c>
      <c r="G1269" s="148" t="s">
        <v>42</v>
      </c>
      <c r="H1269" s="148">
        <v>2010</v>
      </c>
      <c r="I1269" s="148">
        <v>5</v>
      </c>
      <c r="J1269" s="148" t="s">
        <v>150</v>
      </c>
      <c r="K1269" s="148" t="s">
        <v>327</v>
      </c>
      <c r="M1269" s="148" t="s">
        <v>82</v>
      </c>
      <c r="N1269" s="148">
        <v>8</v>
      </c>
      <c r="O1269" s="148" t="s">
        <v>83</v>
      </c>
      <c r="P1269" s="148" t="s">
        <v>146</v>
      </c>
      <c r="Y1269" s="150" t="s">
        <v>366</v>
      </c>
    </row>
    <row r="1270" spans="1:25" ht="15.75" hidden="1" customHeight="1" x14ac:dyDescent="0.25">
      <c r="A1270" s="148" t="s">
        <v>76</v>
      </c>
      <c r="B1270" s="148" t="s">
        <v>103</v>
      </c>
      <c r="C1270" s="148" t="s">
        <v>55</v>
      </c>
      <c r="D1270" s="148" t="s">
        <v>29</v>
      </c>
      <c r="E1270" s="148" t="s">
        <v>95</v>
      </c>
      <c r="F1270" s="148" t="s">
        <v>56</v>
      </c>
      <c r="G1270" s="148" t="s">
        <v>195</v>
      </c>
      <c r="H1270" s="148">
        <v>2010</v>
      </c>
      <c r="I1270" s="148">
        <v>5</v>
      </c>
      <c r="J1270" s="148" t="s">
        <v>150</v>
      </c>
      <c r="K1270" s="148" t="s">
        <v>685</v>
      </c>
      <c r="M1270" s="148" t="s">
        <v>631</v>
      </c>
      <c r="N1270" s="148">
        <v>6</v>
      </c>
      <c r="O1270" s="148" t="s">
        <v>83</v>
      </c>
      <c r="Y1270" s="150" t="s">
        <v>366</v>
      </c>
    </row>
    <row r="1271" spans="1:25" ht="13.5" hidden="1" customHeight="1" x14ac:dyDescent="0.25">
      <c r="A1271" s="148" t="s">
        <v>76</v>
      </c>
      <c r="B1271" s="148" t="s">
        <v>103</v>
      </c>
      <c r="C1271" s="148" t="s">
        <v>55</v>
      </c>
      <c r="D1271" s="148" t="s">
        <v>29</v>
      </c>
      <c r="E1271" s="148" t="s">
        <v>30</v>
      </c>
      <c r="F1271" s="148" t="s">
        <v>56</v>
      </c>
      <c r="G1271" s="148" t="s">
        <v>432</v>
      </c>
      <c r="H1271" s="148">
        <v>2010</v>
      </c>
      <c r="I1271" s="148">
        <v>5</v>
      </c>
      <c r="J1271" s="148" t="s">
        <v>150</v>
      </c>
      <c r="K1271" s="148" t="s">
        <v>779</v>
      </c>
      <c r="M1271" s="148" t="s">
        <v>395</v>
      </c>
      <c r="N1271" s="148">
        <v>6</v>
      </c>
      <c r="O1271" s="148" t="s">
        <v>83</v>
      </c>
      <c r="Y1271" s="150" t="s">
        <v>366</v>
      </c>
    </row>
    <row r="1272" spans="1:25" ht="13.5" hidden="1" customHeight="1" x14ac:dyDescent="0.25">
      <c r="A1272" s="148" t="s">
        <v>76</v>
      </c>
      <c r="B1272" s="148" t="s">
        <v>89</v>
      </c>
      <c r="C1272" s="148" t="s">
        <v>90</v>
      </c>
      <c r="D1272" s="148" t="s">
        <v>29</v>
      </c>
      <c r="E1272" s="148" t="s">
        <v>30</v>
      </c>
      <c r="F1272" s="148" t="s">
        <v>91</v>
      </c>
      <c r="G1272" s="148" t="s">
        <v>93</v>
      </c>
      <c r="H1272" s="148">
        <v>2010</v>
      </c>
      <c r="I1272" s="148">
        <v>5</v>
      </c>
      <c r="J1272" s="148" t="s">
        <v>150</v>
      </c>
      <c r="K1272" s="148" t="s">
        <v>455</v>
      </c>
      <c r="M1272" s="148" t="s">
        <v>132</v>
      </c>
      <c r="N1272" s="148">
        <v>8</v>
      </c>
      <c r="O1272" s="148" t="s">
        <v>83</v>
      </c>
      <c r="Y1272" s="150" t="s">
        <v>366</v>
      </c>
    </row>
    <row r="1273" spans="1:25" ht="15.75" hidden="1" customHeight="1" x14ac:dyDescent="0.25">
      <c r="A1273" s="148" t="s">
        <v>76</v>
      </c>
      <c r="B1273" s="148" t="s">
        <v>103</v>
      </c>
      <c r="C1273" s="148" t="s">
        <v>55</v>
      </c>
      <c r="D1273" s="148" t="s">
        <v>86</v>
      </c>
      <c r="E1273" s="148" t="s">
        <v>95</v>
      </c>
      <c r="F1273" s="148" t="s">
        <v>56</v>
      </c>
      <c r="G1273" s="148" t="s">
        <v>186</v>
      </c>
      <c r="H1273" s="148">
        <v>2010</v>
      </c>
      <c r="I1273" s="148">
        <v>5</v>
      </c>
      <c r="J1273" s="148" t="s">
        <v>118</v>
      </c>
      <c r="K1273" s="148" t="s">
        <v>379</v>
      </c>
      <c r="M1273" s="148" t="s">
        <v>126</v>
      </c>
      <c r="N1273" s="148">
        <v>10</v>
      </c>
      <c r="O1273" s="148" t="s">
        <v>101</v>
      </c>
      <c r="P1273" s="148" t="s">
        <v>556</v>
      </c>
      <c r="Y1273" s="150" t="s">
        <v>366</v>
      </c>
    </row>
    <row r="1274" spans="1:25" ht="15.75" hidden="1" customHeight="1" x14ac:dyDescent="0.25">
      <c r="A1274" s="148" t="s">
        <v>76</v>
      </c>
      <c r="B1274" s="148" t="s">
        <v>77</v>
      </c>
      <c r="C1274" s="148" t="s">
        <v>55</v>
      </c>
      <c r="D1274" s="148" t="s">
        <v>29</v>
      </c>
      <c r="E1274" s="148" t="s">
        <v>30</v>
      </c>
      <c r="F1274" s="148" t="s">
        <v>41</v>
      </c>
      <c r="G1274" s="148" t="s">
        <v>252</v>
      </c>
      <c r="H1274" s="148">
        <v>2010</v>
      </c>
      <c r="I1274" s="148">
        <v>5</v>
      </c>
      <c r="J1274" s="148" t="s">
        <v>150</v>
      </c>
      <c r="K1274" s="148" t="s">
        <v>327</v>
      </c>
      <c r="M1274" s="148" t="s">
        <v>82</v>
      </c>
      <c r="N1274" s="148">
        <v>8</v>
      </c>
      <c r="O1274" s="148" t="s">
        <v>83</v>
      </c>
      <c r="P1274" s="148" t="s">
        <v>146</v>
      </c>
      <c r="Y1274" s="150" t="s">
        <v>366</v>
      </c>
    </row>
    <row r="1275" spans="1:25" ht="15.75" hidden="1" customHeight="1" x14ac:dyDescent="0.25">
      <c r="A1275" s="148" t="s">
        <v>76</v>
      </c>
      <c r="B1275" s="148" t="s">
        <v>44</v>
      </c>
      <c r="C1275" s="148" t="s">
        <v>45</v>
      </c>
      <c r="D1275" s="148" t="s">
        <v>29</v>
      </c>
      <c r="E1275" s="148" t="s">
        <v>46</v>
      </c>
      <c r="F1275" s="148" t="s">
        <v>47</v>
      </c>
      <c r="G1275" s="148" t="s">
        <v>48</v>
      </c>
      <c r="H1275" s="148">
        <v>2010</v>
      </c>
      <c r="I1275" s="148">
        <v>5</v>
      </c>
      <c r="J1275" s="148" t="s">
        <v>118</v>
      </c>
      <c r="K1275" s="148" t="s">
        <v>388</v>
      </c>
      <c r="M1275" s="148" t="s">
        <v>126</v>
      </c>
      <c r="N1275" s="148">
        <v>10</v>
      </c>
      <c r="O1275" s="148" t="s">
        <v>101</v>
      </c>
      <c r="P1275" s="148" t="s">
        <v>855</v>
      </c>
      <c r="Y1275" s="150" t="s">
        <v>366</v>
      </c>
    </row>
    <row r="1276" spans="1:25" ht="15.75" hidden="1" customHeight="1" x14ac:dyDescent="0.25">
      <c r="A1276" s="148" t="s">
        <v>76</v>
      </c>
      <c r="B1276" s="148" t="s">
        <v>36</v>
      </c>
      <c r="C1276" s="148" t="s">
        <v>28</v>
      </c>
      <c r="D1276" s="148" t="s">
        <v>342</v>
      </c>
      <c r="E1276" s="148" t="s">
        <v>30</v>
      </c>
      <c r="F1276" s="148" t="s">
        <v>3183</v>
      </c>
      <c r="G1276" s="148" t="s">
        <v>114</v>
      </c>
      <c r="H1276" s="148">
        <v>2010</v>
      </c>
      <c r="I1276" s="148">
        <v>5</v>
      </c>
      <c r="J1276" s="148" t="s">
        <v>150</v>
      </c>
      <c r="K1276" s="148" t="s">
        <v>374</v>
      </c>
      <c r="M1276" s="148" t="s">
        <v>389</v>
      </c>
      <c r="N1276" s="148">
        <v>8</v>
      </c>
      <c r="O1276" s="148" t="s">
        <v>83</v>
      </c>
      <c r="Y1276" s="150" t="s">
        <v>366</v>
      </c>
    </row>
    <row r="1277" spans="1:25" ht="15.75" hidden="1" customHeight="1" x14ac:dyDescent="0.25">
      <c r="A1277" s="148" t="s">
        <v>26</v>
      </c>
      <c r="B1277" s="148" t="s">
        <v>116</v>
      </c>
      <c r="C1277" s="148" t="s">
        <v>90</v>
      </c>
      <c r="D1277" s="148" t="s">
        <v>29</v>
      </c>
      <c r="E1277" s="148" t="s">
        <v>30</v>
      </c>
      <c r="F1277" s="148" t="s">
        <v>41</v>
      </c>
      <c r="G1277" s="148" t="s">
        <v>683</v>
      </c>
      <c r="H1277" s="148">
        <v>2010</v>
      </c>
      <c r="I1277" s="148">
        <v>5</v>
      </c>
      <c r="J1277" s="148" t="s">
        <v>792</v>
      </c>
      <c r="U1277" s="149" t="s">
        <v>3629</v>
      </c>
      <c r="V1277" s="149" t="s">
        <v>3634</v>
      </c>
      <c r="W1277" s="148" t="s">
        <v>87</v>
      </c>
      <c r="X1277" s="148" t="s">
        <v>854</v>
      </c>
    </row>
    <row r="1278" spans="1:25" ht="15.75" hidden="1" customHeight="1" x14ac:dyDescent="0.25">
      <c r="A1278" s="148" t="s">
        <v>76</v>
      </c>
      <c r="B1278" s="148" t="s">
        <v>36</v>
      </c>
      <c r="C1278" s="148" t="s">
        <v>28</v>
      </c>
      <c r="D1278" s="148" t="s">
        <v>342</v>
      </c>
      <c r="E1278" s="148" t="s">
        <v>30</v>
      </c>
      <c r="F1278" s="148" t="s">
        <v>3183</v>
      </c>
      <c r="G1278" s="148" t="s">
        <v>438</v>
      </c>
      <c r="H1278" s="148">
        <v>2010</v>
      </c>
      <c r="I1278" s="148">
        <v>6</v>
      </c>
      <c r="J1278" s="148" t="s">
        <v>150</v>
      </c>
      <c r="K1278" s="148" t="s">
        <v>393</v>
      </c>
      <c r="M1278" s="148" t="s">
        <v>394</v>
      </c>
      <c r="N1278" s="148">
        <v>6</v>
      </c>
      <c r="O1278" s="148" t="s">
        <v>83</v>
      </c>
      <c r="Y1278" s="150" t="s">
        <v>366</v>
      </c>
    </row>
    <row r="1279" spans="1:25" ht="15.75" hidden="1" customHeight="1" x14ac:dyDescent="0.25">
      <c r="A1279" s="148" t="s">
        <v>76</v>
      </c>
      <c r="B1279" s="148" t="s">
        <v>89</v>
      </c>
      <c r="C1279" s="148" t="s">
        <v>90</v>
      </c>
      <c r="D1279" s="148" t="s">
        <v>29</v>
      </c>
      <c r="E1279" s="148" t="s">
        <v>30</v>
      </c>
      <c r="F1279" s="148" t="s">
        <v>91</v>
      </c>
      <c r="G1279" s="148" t="s">
        <v>443</v>
      </c>
      <c r="H1279" s="148">
        <v>2010</v>
      </c>
      <c r="I1279" s="148">
        <v>6</v>
      </c>
      <c r="J1279" s="148" t="s">
        <v>118</v>
      </c>
      <c r="K1279" s="148" t="s">
        <v>388</v>
      </c>
      <c r="M1279" s="148" t="s">
        <v>126</v>
      </c>
      <c r="N1279" s="148">
        <v>10</v>
      </c>
      <c r="O1279" s="148" t="s">
        <v>101</v>
      </c>
      <c r="P1279" s="148" t="s">
        <v>406</v>
      </c>
      <c r="Y1279" s="150" t="s">
        <v>366</v>
      </c>
    </row>
    <row r="1280" spans="1:25" ht="13.5" hidden="1" customHeight="1" x14ac:dyDescent="0.25">
      <c r="A1280" s="148" t="s">
        <v>76</v>
      </c>
      <c r="B1280" s="148" t="s">
        <v>103</v>
      </c>
      <c r="C1280" s="148" t="s">
        <v>55</v>
      </c>
      <c r="D1280" s="148" t="s">
        <v>478</v>
      </c>
      <c r="E1280" s="148" t="s">
        <v>95</v>
      </c>
      <c r="F1280" s="148" t="s">
        <v>56</v>
      </c>
      <c r="G1280" s="148" t="s">
        <v>111</v>
      </c>
      <c r="H1280" s="148">
        <v>2010</v>
      </c>
      <c r="I1280" s="148">
        <v>6</v>
      </c>
      <c r="J1280" s="148" t="s">
        <v>150</v>
      </c>
      <c r="K1280" s="148" t="s">
        <v>629</v>
      </c>
      <c r="M1280" s="148" t="s">
        <v>120</v>
      </c>
      <c r="N1280" s="148">
        <v>6</v>
      </c>
      <c r="O1280" s="148" t="s">
        <v>83</v>
      </c>
      <c r="Y1280" s="150" t="s">
        <v>366</v>
      </c>
    </row>
    <row r="1281" spans="1:25" ht="15.75" hidden="1" customHeight="1" x14ac:dyDescent="0.25">
      <c r="A1281" s="148" t="s">
        <v>76</v>
      </c>
      <c r="B1281" s="148" t="s">
        <v>198</v>
      </c>
      <c r="C1281" s="148" t="s">
        <v>45</v>
      </c>
      <c r="D1281" s="148" t="s">
        <v>29</v>
      </c>
      <c r="E1281" s="148" t="s">
        <v>30</v>
      </c>
      <c r="F1281" s="148" t="s">
        <v>199</v>
      </c>
      <c r="G1281" s="148" t="s">
        <v>419</v>
      </c>
      <c r="H1281" s="148">
        <v>2010</v>
      </c>
      <c r="I1281" s="148">
        <v>6</v>
      </c>
      <c r="J1281" s="148" t="s">
        <v>118</v>
      </c>
      <c r="K1281" s="148" t="s">
        <v>327</v>
      </c>
      <c r="M1281" s="148" t="s">
        <v>82</v>
      </c>
      <c r="N1281" s="148">
        <v>8</v>
      </c>
      <c r="O1281" s="148" t="s">
        <v>101</v>
      </c>
      <c r="P1281" s="148" t="s">
        <v>534</v>
      </c>
      <c r="Y1281" s="150" t="s">
        <v>366</v>
      </c>
    </row>
    <row r="1282" spans="1:25" ht="15.75" hidden="1" customHeight="1" x14ac:dyDescent="0.25">
      <c r="A1282" s="148" t="s">
        <v>76</v>
      </c>
      <c r="B1282" s="148" t="s">
        <v>36</v>
      </c>
      <c r="C1282" s="148" t="s">
        <v>28</v>
      </c>
      <c r="D1282" s="148" t="s">
        <v>29</v>
      </c>
      <c r="E1282" s="148" t="s">
        <v>30</v>
      </c>
      <c r="F1282" s="148" t="s">
        <v>3183</v>
      </c>
      <c r="G1282" s="148" t="s">
        <v>722</v>
      </c>
      <c r="H1282" s="148">
        <v>2010</v>
      </c>
      <c r="I1282" s="148">
        <v>6</v>
      </c>
      <c r="J1282" s="148" t="s">
        <v>80</v>
      </c>
      <c r="K1282" s="148" t="s">
        <v>629</v>
      </c>
      <c r="M1282" s="148" t="s">
        <v>120</v>
      </c>
      <c r="N1282" s="148">
        <v>6</v>
      </c>
      <c r="O1282" s="148" t="s">
        <v>83</v>
      </c>
      <c r="P1282" s="148" t="s">
        <v>856</v>
      </c>
      <c r="Y1282" s="150" t="s">
        <v>366</v>
      </c>
    </row>
    <row r="1283" spans="1:25" ht="15.75" hidden="1" customHeight="1" x14ac:dyDescent="0.25">
      <c r="A1283" s="148" t="s">
        <v>76</v>
      </c>
      <c r="B1283" s="148" t="s">
        <v>62</v>
      </c>
      <c r="C1283" s="148" t="s">
        <v>28</v>
      </c>
      <c r="D1283" s="148" t="s">
        <v>759</v>
      </c>
      <c r="E1283" s="148" t="s">
        <v>51</v>
      </c>
      <c r="F1283" s="148" t="s">
        <v>3183</v>
      </c>
      <c r="G1283" s="148" t="s">
        <v>409</v>
      </c>
      <c r="H1283" s="148">
        <v>2010</v>
      </c>
      <c r="I1283" s="148">
        <v>6</v>
      </c>
      <c r="J1283" s="148" t="s">
        <v>118</v>
      </c>
      <c r="K1283" s="148" t="s">
        <v>327</v>
      </c>
      <c r="M1283" s="148" t="s">
        <v>82</v>
      </c>
      <c r="N1283" s="148">
        <v>8</v>
      </c>
      <c r="O1283" s="148" t="s">
        <v>101</v>
      </c>
      <c r="P1283" s="148" t="s">
        <v>857</v>
      </c>
      <c r="Y1283" s="150" t="s">
        <v>366</v>
      </c>
    </row>
    <row r="1284" spans="1:25" ht="15.75" hidden="1" customHeight="1" x14ac:dyDescent="0.25">
      <c r="A1284" s="148" t="s">
        <v>76</v>
      </c>
      <c r="B1284" s="148" t="s">
        <v>103</v>
      </c>
      <c r="C1284" s="148" t="s">
        <v>55</v>
      </c>
      <c r="D1284" s="148" t="s">
        <v>29</v>
      </c>
      <c r="E1284" s="148" t="s">
        <v>30</v>
      </c>
      <c r="F1284" s="148" t="s">
        <v>56</v>
      </c>
      <c r="G1284" s="148" t="s">
        <v>458</v>
      </c>
      <c r="H1284" s="148">
        <v>2010</v>
      </c>
      <c r="I1284" s="148">
        <v>6</v>
      </c>
      <c r="J1284" s="148" t="s">
        <v>150</v>
      </c>
      <c r="K1284" s="148" t="s">
        <v>629</v>
      </c>
      <c r="M1284" s="148" t="s">
        <v>120</v>
      </c>
      <c r="N1284" s="148">
        <v>6</v>
      </c>
      <c r="O1284" s="148" t="s">
        <v>83</v>
      </c>
      <c r="P1284" s="148" t="s">
        <v>146</v>
      </c>
      <c r="Y1284" s="150" t="s">
        <v>366</v>
      </c>
    </row>
    <row r="1285" spans="1:25" ht="15.75" hidden="1" customHeight="1" x14ac:dyDescent="0.25">
      <c r="A1285" s="148" t="s">
        <v>76</v>
      </c>
      <c r="B1285" s="148" t="s">
        <v>36</v>
      </c>
      <c r="C1285" s="148" t="s">
        <v>28</v>
      </c>
      <c r="D1285" s="148" t="s">
        <v>29</v>
      </c>
      <c r="E1285" s="148" t="s">
        <v>30</v>
      </c>
      <c r="F1285" s="148" t="s">
        <v>3183</v>
      </c>
      <c r="G1285" s="148" t="s">
        <v>37</v>
      </c>
      <c r="H1285" s="148">
        <v>2010</v>
      </c>
      <c r="I1285" s="148">
        <v>6</v>
      </c>
      <c r="J1285" s="148" t="s">
        <v>150</v>
      </c>
      <c r="K1285" s="148" t="s">
        <v>502</v>
      </c>
      <c r="M1285" s="148" t="s">
        <v>456</v>
      </c>
      <c r="N1285" s="148">
        <v>6</v>
      </c>
      <c r="O1285" s="148" t="s">
        <v>83</v>
      </c>
      <c r="Y1285" s="150" t="s">
        <v>366</v>
      </c>
    </row>
    <row r="1286" spans="1:25" ht="15.75" hidden="1" customHeight="1" x14ac:dyDescent="0.25">
      <c r="A1286" s="148" t="s">
        <v>76</v>
      </c>
      <c r="B1286" s="148" t="s">
        <v>103</v>
      </c>
      <c r="C1286" s="148" t="s">
        <v>55</v>
      </c>
      <c r="D1286" s="148" t="s">
        <v>29</v>
      </c>
      <c r="E1286" s="148" t="s">
        <v>95</v>
      </c>
      <c r="F1286" s="148" t="s">
        <v>56</v>
      </c>
      <c r="G1286" s="148" t="s">
        <v>180</v>
      </c>
      <c r="H1286" s="148">
        <v>2010</v>
      </c>
      <c r="I1286" s="148">
        <v>6</v>
      </c>
      <c r="J1286" s="148" t="s">
        <v>118</v>
      </c>
      <c r="K1286" s="148" t="s">
        <v>455</v>
      </c>
      <c r="M1286" s="148" t="s">
        <v>132</v>
      </c>
      <c r="N1286" s="148">
        <v>8</v>
      </c>
      <c r="O1286" s="148" t="s">
        <v>101</v>
      </c>
      <c r="P1286" s="148" t="s">
        <v>858</v>
      </c>
      <c r="Y1286" s="150" t="s">
        <v>366</v>
      </c>
    </row>
    <row r="1287" spans="1:25" ht="15.75" hidden="1" customHeight="1" x14ac:dyDescent="0.25">
      <c r="A1287" s="148" t="s">
        <v>76</v>
      </c>
      <c r="B1287" s="148" t="s">
        <v>116</v>
      </c>
      <c r="C1287" s="148" t="s">
        <v>90</v>
      </c>
      <c r="D1287" s="148" t="s">
        <v>29</v>
      </c>
      <c r="E1287" s="148" t="s">
        <v>30</v>
      </c>
      <c r="F1287" s="148" t="s">
        <v>41</v>
      </c>
      <c r="G1287" s="148" t="s">
        <v>784</v>
      </c>
      <c r="H1287" s="148">
        <v>2010</v>
      </c>
      <c r="I1287" s="148">
        <v>6</v>
      </c>
      <c r="J1287" s="148" t="s">
        <v>118</v>
      </c>
      <c r="K1287" s="148" t="s">
        <v>327</v>
      </c>
      <c r="M1287" s="148" t="s">
        <v>82</v>
      </c>
      <c r="N1287" s="148">
        <v>8</v>
      </c>
      <c r="O1287" s="148" t="s">
        <v>101</v>
      </c>
      <c r="P1287" s="148" t="s">
        <v>859</v>
      </c>
      <c r="Y1287" s="150" t="s">
        <v>366</v>
      </c>
    </row>
    <row r="1288" spans="1:25" ht="15.75" hidden="1" customHeight="1" x14ac:dyDescent="0.25">
      <c r="A1288" s="148" t="s">
        <v>26</v>
      </c>
      <c r="B1288" s="148" t="s">
        <v>116</v>
      </c>
      <c r="C1288" s="148" t="s">
        <v>90</v>
      </c>
      <c r="D1288" s="148" t="s">
        <v>29</v>
      </c>
      <c r="E1288" s="148" t="s">
        <v>30</v>
      </c>
      <c r="F1288" s="148" t="s">
        <v>41</v>
      </c>
      <c r="G1288" s="148" t="s">
        <v>784</v>
      </c>
      <c r="H1288" s="148">
        <v>2010</v>
      </c>
      <c r="I1288" s="148">
        <v>6</v>
      </c>
      <c r="J1288" s="148" t="s">
        <v>792</v>
      </c>
      <c r="U1288" s="149" t="s">
        <v>3629</v>
      </c>
      <c r="V1288" s="149" t="s">
        <v>3634</v>
      </c>
      <c r="W1288" s="148" t="s">
        <v>87</v>
      </c>
      <c r="X1288" s="148" t="s">
        <v>854</v>
      </c>
    </row>
    <row r="1289" spans="1:25" ht="15.75" hidden="1" customHeight="1" x14ac:dyDescent="0.25">
      <c r="A1289" s="148" t="s">
        <v>76</v>
      </c>
      <c r="B1289" s="148" t="s">
        <v>27</v>
      </c>
      <c r="C1289" s="148" t="s">
        <v>28</v>
      </c>
      <c r="D1289" s="148" t="s">
        <v>99</v>
      </c>
      <c r="E1289" s="148" t="s">
        <v>40</v>
      </c>
      <c r="F1289" s="148" t="s">
        <v>41</v>
      </c>
      <c r="G1289" s="148" t="s">
        <v>42</v>
      </c>
      <c r="H1289" s="148">
        <v>2010</v>
      </c>
      <c r="I1289" s="148">
        <v>6</v>
      </c>
      <c r="J1289" s="148" t="s">
        <v>118</v>
      </c>
      <c r="K1289" s="148" t="s">
        <v>327</v>
      </c>
      <c r="M1289" s="148" t="s">
        <v>82</v>
      </c>
      <c r="N1289" s="148">
        <v>8</v>
      </c>
      <c r="O1289" s="148" t="s">
        <v>101</v>
      </c>
      <c r="P1289" s="148" t="s">
        <v>203</v>
      </c>
      <c r="Y1289" s="150" t="s">
        <v>366</v>
      </c>
    </row>
    <row r="1290" spans="1:25" ht="15.75" hidden="1" customHeight="1" x14ac:dyDescent="0.25">
      <c r="A1290" s="148" t="s">
        <v>76</v>
      </c>
      <c r="B1290" s="148" t="s">
        <v>54</v>
      </c>
      <c r="C1290" s="148" t="s">
        <v>55</v>
      </c>
      <c r="D1290" s="148" t="s">
        <v>65</v>
      </c>
      <c r="E1290" s="148" t="s">
        <v>30</v>
      </c>
      <c r="F1290" s="148" t="s">
        <v>56</v>
      </c>
      <c r="G1290" s="148" t="s">
        <v>54</v>
      </c>
      <c r="H1290" s="148">
        <v>2010</v>
      </c>
      <c r="I1290" s="148">
        <v>6</v>
      </c>
      <c r="J1290" s="148" t="s">
        <v>150</v>
      </c>
      <c r="K1290" s="148" t="s">
        <v>629</v>
      </c>
      <c r="M1290" s="148" t="s">
        <v>120</v>
      </c>
      <c r="N1290" s="148">
        <v>6</v>
      </c>
      <c r="O1290" s="148" t="s">
        <v>83</v>
      </c>
      <c r="Y1290" s="150" t="s">
        <v>366</v>
      </c>
    </row>
    <row r="1291" spans="1:25" ht="15.75" hidden="1" customHeight="1" x14ac:dyDescent="0.25">
      <c r="A1291" s="148" t="s">
        <v>76</v>
      </c>
      <c r="B1291" s="148" t="s">
        <v>103</v>
      </c>
      <c r="C1291" s="148" t="s">
        <v>55</v>
      </c>
      <c r="D1291" s="148" t="s">
        <v>99</v>
      </c>
      <c r="E1291" s="148" t="s">
        <v>30</v>
      </c>
      <c r="F1291" s="148" t="s">
        <v>56</v>
      </c>
      <c r="G1291" s="148" t="s">
        <v>519</v>
      </c>
      <c r="H1291" s="148">
        <v>2010</v>
      </c>
      <c r="I1291" s="148">
        <v>6</v>
      </c>
      <c r="J1291" s="148" t="s">
        <v>150</v>
      </c>
      <c r="K1291" s="148" t="s">
        <v>629</v>
      </c>
      <c r="M1291" s="148" t="s">
        <v>120</v>
      </c>
      <c r="N1291" s="148">
        <v>6</v>
      </c>
      <c r="O1291" s="148" t="s">
        <v>83</v>
      </c>
      <c r="Y1291" s="150" t="s">
        <v>366</v>
      </c>
    </row>
    <row r="1292" spans="1:25" ht="15.75" customHeight="1" x14ac:dyDescent="0.25">
      <c r="A1292" s="148" t="s">
        <v>76</v>
      </c>
      <c r="B1292" s="148" t="s">
        <v>36</v>
      </c>
      <c r="C1292" s="148" t="s">
        <v>28</v>
      </c>
      <c r="D1292" s="148" t="s">
        <v>29</v>
      </c>
      <c r="E1292" s="148" t="s">
        <v>30</v>
      </c>
      <c r="F1292" s="148" t="s">
        <v>3183</v>
      </c>
      <c r="G1292" s="148" t="s">
        <v>194</v>
      </c>
      <c r="H1292" s="148">
        <v>2010</v>
      </c>
      <c r="I1292" s="148">
        <v>6</v>
      </c>
      <c r="J1292" s="148" t="s">
        <v>150</v>
      </c>
      <c r="K1292" s="148" t="s">
        <v>629</v>
      </c>
      <c r="M1292" s="148" t="s">
        <v>120</v>
      </c>
      <c r="N1292" s="148">
        <v>6</v>
      </c>
      <c r="O1292" s="148" t="s">
        <v>83</v>
      </c>
      <c r="Y1292" s="150" t="s">
        <v>366</v>
      </c>
    </row>
    <row r="1293" spans="1:25" ht="15.75" hidden="1" customHeight="1" x14ac:dyDescent="0.25">
      <c r="A1293" s="148" t="s">
        <v>76</v>
      </c>
      <c r="B1293" s="148" t="s">
        <v>103</v>
      </c>
      <c r="C1293" s="148" t="s">
        <v>55</v>
      </c>
      <c r="D1293" s="148" t="s">
        <v>29</v>
      </c>
      <c r="E1293" s="148" t="s">
        <v>30</v>
      </c>
      <c r="F1293" s="148" t="s">
        <v>56</v>
      </c>
      <c r="G1293" s="148" t="s">
        <v>432</v>
      </c>
      <c r="H1293" s="148">
        <v>2010</v>
      </c>
      <c r="I1293" s="148">
        <v>6</v>
      </c>
      <c r="J1293" s="148" t="s">
        <v>150</v>
      </c>
      <c r="K1293" s="148" t="s">
        <v>776</v>
      </c>
      <c r="M1293" s="148" t="s">
        <v>471</v>
      </c>
      <c r="N1293" s="148">
        <v>6</v>
      </c>
      <c r="O1293" s="148" t="s">
        <v>83</v>
      </c>
      <c r="Y1293" s="150" t="s">
        <v>366</v>
      </c>
    </row>
    <row r="1294" spans="1:25" ht="15.75" hidden="1" customHeight="1" x14ac:dyDescent="0.25">
      <c r="A1294" s="148" t="s">
        <v>76</v>
      </c>
      <c r="B1294" s="148" t="s">
        <v>103</v>
      </c>
      <c r="C1294" s="148" t="s">
        <v>55</v>
      </c>
      <c r="D1294" s="148" t="s">
        <v>86</v>
      </c>
      <c r="E1294" s="148" t="s">
        <v>95</v>
      </c>
      <c r="F1294" s="148" t="s">
        <v>56</v>
      </c>
      <c r="G1294" s="148" t="s">
        <v>186</v>
      </c>
      <c r="H1294" s="148">
        <v>2010</v>
      </c>
      <c r="I1294" s="148">
        <v>6</v>
      </c>
      <c r="J1294" s="148" t="s">
        <v>150</v>
      </c>
      <c r="K1294" s="148" t="s">
        <v>776</v>
      </c>
      <c r="M1294" s="148" t="s">
        <v>471</v>
      </c>
      <c r="N1294" s="148">
        <v>6</v>
      </c>
      <c r="O1294" s="148" t="s">
        <v>83</v>
      </c>
      <c r="Y1294" s="150" t="s">
        <v>366</v>
      </c>
    </row>
    <row r="1295" spans="1:25" ht="15.75" hidden="1" customHeight="1" x14ac:dyDescent="0.25">
      <c r="A1295" s="148" t="s">
        <v>76</v>
      </c>
      <c r="B1295" s="148" t="s">
        <v>116</v>
      </c>
      <c r="C1295" s="148" t="s">
        <v>90</v>
      </c>
      <c r="D1295" s="148" t="s">
        <v>29</v>
      </c>
      <c r="E1295" s="148" t="s">
        <v>30</v>
      </c>
      <c r="F1295" s="148" t="s">
        <v>41</v>
      </c>
      <c r="G1295" s="148" t="s">
        <v>503</v>
      </c>
      <c r="H1295" s="148">
        <v>2010</v>
      </c>
      <c r="I1295" s="148">
        <v>6</v>
      </c>
      <c r="J1295" s="148" t="s">
        <v>118</v>
      </c>
      <c r="K1295" s="148" t="s">
        <v>327</v>
      </c>
      <c r="M1295" s="148" t="s">
        <v>82</v>
      </c>
      <c r="N1295" s="148">
        <v>8</v>
      </c>
      <c r="O1295" s="148" t="s">
        <v>101</v>
      </c>
      <c r="P1295" s="148" t="s">
        <v>435</v>
      </c>
      <c r="Y1295" s="150" t="s">
        <v>366</v>
      </c>
    </row>
    <row r="1296" spans="1:25" ht="15.75" hidden="1" customHeight="1" x14ac:dyDescent="0.25">
      <c r="A1296" s="148" t="s">
        <v>76</v>
      </c>
      <c r="B1296" s="148" t="s">
        <v>103</v>
      </c>
      <c r="C1296" s="148" t="s">
        <v>55</v>
      </c>
      <c r="D1296" s="148" t="s">
        <v>478</v>
      </c>
      <c r="E1296" s="148" t="s">
        <v>95</v>
      </c>
      <c r="F1296" s="148" t="s">
        <v>56</v>
      </c>
      <c r="G1296" s="148" t="s">
        <v>108</v>
      </c>
      <c r="H1296" s="148">
        <v>2010</v>
      </c>
      <c r="I1296" s="148">
        <v>6</v>
      </c>
      <c r="J1296" s="148" t="s">
        <v>150</v>
      </c>
      <c r="K1296" s="148" t="s">
        <v>629</v>
      </c>
      <c r="M1296" s="148" t="s">
        <v>120</v>
      </c>
      <c r="N1296" s="148">
        <v>6</v>
      </c>
      <c r="O1296" s="148" t="s">
        <v>83</v>
      </c>
      <c r="P1296" s="148" t="s">
        <v>524</v>
      </c>
      <c r="Y1296" s="150" t="s">
        <v>366</v>
      </c>
    </row>
    <row r="1297" spans="1:25" ht="15.75" hidden="1" customHeight="1" x14ac:dyDescent="0.25">
      <c r="A1297" s="148" t="s">
        <v>76</v>
      </c>
      <c r="B1297" s="148" t="s">
        <v>89</v>
      </c>
      <c r="C1297" s="148" t="s">
        <v>90</v>
      </c>
      <c r="D1297" s="148" t="s">
        <v>29</v>
      </c>
      <c r="E1297" s="148" t="s">
        <v>30</v>
      </c>
      <c r="F1297" s="148" t="s">
        <v>91</v>
      </c>
      <c r="G1297" s="148" t="s">
        <v>414</v>
      </c>
      <c r="H1297" s="148">
        <v>2010</v>
      </c>
      <c r="I1297" s="148">
        <v>6</v>
      </c>
      <c r="J1297" s="148" t="s">
        <v>118</v>
      </c>
      <c r="K1297" s="148" t="s">
        <v>327</v>
      </c>
      <c r="M1297" s="148" t="s">
        <v>82</v>
      </c>
      <c r="N1297" s="148">
        <v>8</v>
      </c>
      <c r="O1297" s="148" t="s">
        <v>101</v>
      </c>
      <c r="P1297" s="148" t="s">
        <v>860</v>
      </c>
      <c r="Y1297" s="150" t="s">
        <v>366</v>
      </c>
    </row>
    <row r="1298" spans="1:25" ht="15.75" hidden="1" customHeight="1" x14ac:dyDescent="0.25">
      <c r="A1298" s="148" t="s">
        <v>76</v>
      </c>
      <c r="B1298" s="148" t="s">
        <v>89</v>
      </c>
      <c r="C1298" s="148" t="s">
        <v>90</v>
      </c>
      <c r="D1298" s="148" t="s">
        <v>99</v>
      </c>
      <c r="E1298" s="148" t="s">
        <v>30</v>
      </c>
      <c r="F1298" s="148" t="s">
        <v>91</v>
      </c>
      <c r="G1298" s="148" t="s">
        <v>499</v>
      </c>
      <c r="H1298" s="148">
        <v>2010</v>
      </c>
      <c r="I1298" s="148">
        <v>7</v>
      </c>
      <c r="J1298" s="148" t="s">
        <v>118</v>
      </c>
      <c r="K1298" s="148" t="s">
        <v>327</v>
      </c>
      <c r="M1298" s="148" t="s">
        <v>82</v>
      </c>
      <c r="N1298" s="148">
        <v>8</v>
      </c>
      <c r="O1298" s="148" t="s">
        <v>101</v>
      </c>
      <c r="P1298" s="148" t="s">
        <v>146</v>
      </c>
      <c r="Y1298" s="150" t="s">
        <v>366</v>
      </c>
    </row>
    <row r="1299" spans="1:25" ht="15.75" hidden="1" customHeight="1" x14ac:dyDescent="0.25">
      <c r="A1299" s="148" t="s">
        <v>76</v>
      </c>
      <c r="B1299" s="148" t="s">
        <v>103</v>
      </c>
      <c r="C1299" s="148" t="s">
        <v>55</v>
      </c>
      <c r="D1299" s="148" t="s">
        <v>99</v>
      </c>
      <c r="E1299" s="148" t="s">
        <v>95</v>
      </c>
      <c r="F1299" s="148" t="s">
        <v>56</v>
      </c>
      <c r="G1299" s="148" t="s">
        <v>171</v>
      </c>
      <c r="H1299" s="148">
        <v>2010</v>
      </c>
      <c r="I1299" s="148">
        <v>7</v>
      </c>
      <c r="J1299" s="148" t="s">
        <v>150</v>
      </c>
      <c r="K1299" s="148" t="s">
        <v>610</v>
      </c>
      <c r="M1299" s="148" t="s">
        <v>611</v>
      </c>
      <c r="N1299" s="148">
        <v>8</v>
      </c>
      <c r="O1299" s="148" t="s">
        <v>83</v>
      </c>
      <c r="Y1299" s="150" t="s">
        <v>366</v>
      </c>
    </row>
    <row r="1300" spans="1:25" ht="15.75" hidden="1" customHeight="1" x14ac:dyDescent="0.25">
      <c r="A1300" s="148" t="s">
        <v>26</v>
      </c>
      <c r="B1300" s="148" t="s">
        <v>116</v>
      </c>
      <c r="C1300" s="148" t="s">
        <v>90</v>
      </c>
      <c r="D1300" s="148" t="s">
        <v>86</v>
      </c>
      <c r="E1300" s="148" t="s">
        <v>40</v>
      </c>
      <c r="F1300" s="148" t="s">
        <v>41</v>
      </c>
      <c r="G1300" s="148" t="s">
        <v>117</v>
      </c>
      <c r="H1300" s="148">
        <v>2010</v>
      </c>
      <c r="I1300" s="148">
        <v>7</v>
      </c>
      <c r="J1300" s="148" t="s">
        <v>33</v>
      </c>
      <c r="U1300" s="149" t="s">
        <v>3629</v>
      </c>
      <c r="V1300" s="149" t="s">
        <v>3634</v>
      </c>
      <c r="W1300" s="148" t="s">
        <v>87</v>
      </c>
      <c r="X1300" s="148" t="s">
        <v>854</v>
      </c>
    </row>
    <row r="1301" spans="1:25" ht="15.75" hidden="1" customHeight="1" x14ac:dyDescent="0.25">
      <c r="A1301" s="148" t="s">
        <v>76</v>
      </c>
      <c r="B1301" s="148" t="s">
        <v>103</v>
      </c>
      <c r="C1301" s="148" t="s">
        <v>55</v>
      </c>
      <c r="D1301" s="148" t="s">
        <v>99</v>
      </c>
      <c r="E1301" s="148" t="s">
        <v>95</v>
      </c>
      <c r="F1301" s="148" t="s">
        <v>56</v>
      </c>
      <c r="G1301" s="148" t="s">
        <v>104</v>
      </c>
      <c r="H1301" s="148">
        <v>2010</v>
      </c>
      <c r="I1301" s="148">
        <v>7</v>
      </c>
      <c r="J1301" s="148" t="s">
        <v>150</v>
      </c>
      <c r="K1301" s="148" t="s">
        <v>579</v>
      </c>
      <c r="M1301" s="148" t="s">
        <v>554</v>
      </c>
      <c r="N1301" s="148">
        <v>8</v>
      </c>
      <c r="O1301" s="148" t="s">
        <v>83</v>
      </c>
      <c r="Y1301" s="150" t="s">
        <v>366</v>
      </c>
    </row>
    <row r="1302" spans="1:25" ht="15.75" hidden="1" customHeight="1" x14ac:dyDescent="0.25">
      <c r="A1302" s="148" t="s">
        <v>76</v>
      </c>
      <c r="B1302" s="148" t="s">
        <v>103</v>
      </c>
      <c r="C1302" s="148" t="s">
        <v>55</v>
      </c>
      <c r="D1302" s="148" t="s">
        <v>29</v>
      </c>
      <c r="E1302" s="148" t="s">
        <v>95</v>
      </c>
      <c r="F1302" s="148" t="s">
        <v>56</v>
      </c>
      <c r="G1302" s="148" t="s">
        <v>407</v>
      </c>
      <c r="H1302" s="148">
        <v>2010</v>
      </c>
      <c r="I1302" s="148">
        <v>7</v>
      </c>
      <c r="J1302" s="148" t="s">
        <v>150</v>
      </c>
      <c r="K1302" s="148" t="s">
        <v>610</v>
      </c>
      <c r="M1302" s="148" t="s">
        <v>611</v>
      </c>
      <c r="N1302" s="148">
        <v>8</v>
      </c>
      <c r="O1302" s="148" t="s">
        <v>83</v>
      </c>
      <c r="Y1302" s="150" t="s">
        <v>366</v>
      </c>
    </row>
    <row r="1303" spans="1:25" ht="15.75" hidden="1" customHeight="1" x14ac:dyDescent="0.25">
      <c r="A1303" s="148" t="s">
        <v>76</v>
      </c>
      <c r="B1303" s="148" t="s">
        <v>103</v>
      </c>
      <c r="C1303" s="148" t="s">
        <v>55</v>
      </c>
      <c r="D1303" s="148" t="s">
        <v>478</v>
      </c>
      <c r="E1303" s="148" t="s">
        <v>95</v>
      </c>
      <c r="F1303" s="148" t="s">
        <v>56</v>
      </c>
      <c r="G1303" s="148" t="s">
        <v>107</v>
      </c>
      <c r="H1303" s="148">
        <v>2010</v>
      </c>
      <c r="I1303" s="148">
        <v>7</v>
      </c>
      <c r="J1303" s="148" t="s">
        <v>118</v>
      </c>
      <c r="K1303" s="148" t="s">
        <v>455</v>
      </c>
      <c r="M1303" s="148" t="s">
        <v>132</v>
      </c>
      <c r="N1303" s="148">
        <v>8</v>
      </c>
      <c r="O1303" s="148" t="s">
        <v>101</v>
      </c>
      <c r="P1303" s="148" t="s">
        <v>858</v>
      </c>
      <c r="Y1303" s="150" t="s">
        <v>366</v>
      </c>
    </row>
    <row r="1304" spans="1:25" ht="15.75" hidden="1" customHeight="1" x14ac:dyDescent="0.25">
      <c r="A1304" s="148" t="s">
        <v>76</v>
      </c>
      <c r="B1304" s="148" t="s">
        <v>103</v>
      </c>
      <c r="C1304" s="148" t="s">
        <v>55</v>
      </c>
      <c r="D1304" s="148" t="s">
        <v>29</v>
      </c>
      <c r="E1304" s="148" t="s">
        <v>95</v>
      </c>
      <c r="F1304" s="148" t="s">
        <v>56</v>
      </c>
      <c r="G1304" s="148" t="s">
        <v>180</v>
      </c>
      <c r="H1304" s="148">
        <v>2010</v>
      </c>
      <c r="I1304" s="148">
        <v>7</v>
      </c>
      <c r="J1304" s="148" t="s">
        <v>150</v>
      </c>
      <c r="K1304" s="148" t="s">
        <v>629</v>
      </c>
      <c r="M1304" s="148" t="s">
        <v>120</v>
      </c>
      <c r="N1304" s="148">
        <v>6</v>
      </c>
      <c r="O1304" s="148" t="s">
        <v>83</v>
      </c>
      <c r="Y1304" s="150" t="s">
        <v>366</v>
      </c>
    </row>
    <row r="1305" spans="1:25" ht="15.75" hidden="1" customHeight="1" x14ac:dyDescent="0.25">
      <c r="A1305" s="148" t="s">
        <v>307</v>
      </c>
      <c r="B1305" s="148" t="s">
        <v>27</v>
      </c>
      <c r="C1305" s="148" t="s">
        <v>28</v>
      </c>
      <c r="D1305" s="148" t="s">
        <v>99</v>
      </c>
      <c r="E1305" s="148" t="s">
        <v>40</v>
      </c>
      <c r="F1305" s="148" t="s">
        <v>41</v>
      </c>
      <c r="G1305" s="148" t="s">
        <v>42</v>
      </c>
      <c r="H1305" s="148">
        <v>2010</v>
      </c>
      <c r="I1305" s="148">
        <v>7</v>
      </c>
      <c r="J1305" s="148" t="s">
        <v>308</v>
      </c>
      <c r="Q1305" s="148" t="s">
        <v>309</v>
      </c>
      <c r="R1305" s="148" t="s">
        <v>861</v>
      </c>
      <c r="S1305" s="148" t="s">
        <v>311</v>
      </c>
      <c r="T1305" s="148" t="s">
        <v>309</v>
      </c>
      <c r="Y1305" s="150" t="s">
        <v>366</v>
      </c>
    </row>
    <row r="1306" spans="1:25" ht="15.75" hidden="1" customHeight="1" x14ac:dyDescent="0.25">
      <c r="A1306" s="148" t="s">
        <v>76</v>
      </c>
      <c r="B1306" s="148" t="s">
        <v>116</v>
      </c>
      <c r="C1306" s="148" t="s">
        <v>90</v>
      </c>
      <c r="D1306" s="148" t="s">
        <v>29</v>
      </c>
      <c r="E1306" s="148" t="s">
        <v>30</v>
      </c>
      <c r="F1306" s="148" t="s">
        <v>41</v>
      </c>
      <c r="G1306" s="148" t="s">
        <v>653</v>
      </c>
      <c r="H1306" s="148">
        <v>2010</v>
      </c>
      <c r="I1306" s="148">
        <v>7</v>
      </c>
      <c r="J1306" s="148" t="s">
        <v>118</v>
      </c>
      <c r="K1306" s="148" t="s">
        <v>455</v>
      </c>
      <c r="M1306" s="148" t="s">
        <v>132</v>
      </c>
      <c r="N1306" s="148">
        <v>8</v>
      </c>
      <c r="O1306" s="148" t="s">
        <v>101</v>
      </c>
      <c r="P1306" s="148" t="s">
        <v>862</v>
      </c>
      <c r="Y1306" s="150" t="s">
        <v>366</v>
      </c>
    </row>
    <row r="1307" spans="1:25" ht="15.75" hidden="1" customHeight="1" x14ac:dyDescent="0.25">
      <c r="A1307" s="148" t="s">
        <v>76</v>
      </c>
      <c r="B1307" s="148" t="s">
        <v>54</v>
      </c>
      <c r="C1307" s="148" t="s">
        <v>55</v>
      </c>
      <c r="D1307" s="148" t="s">
        <v>65</v>
      </c>
      <c r="E1307" s="148" t="s">
        <v>30</v>
      </c>
      <c r="F1307" s="148" t="s">
        <v>56</v>
      </c>
      <c r="G1307" s="148" t="s">
        <v>54</v>
      </c>
      <c r="H1307" s="148">
        <v>2010</v>
      </c>
      <c r="I1307" s="148">
        <v>7</v>
      </c>
      <c r="J1307" s="148" t="s">
        <v>150</v>
      </c>
      <c r="K1307" s="148" t="s">
        <v>629</v>
      </c>
      <c r="M1307" s="148" t="s">
        <v>120</v>
      </c>
      <c r="N1307" s="148">
        <v>6</v>
      </c>
      <c r="O1307" s="148" t="s">
        <v>83</v>
      </c>
      <c r="Y1307" s="150" t="s">
        <v>366</v>
      </c>
    </row>
    <row r="1308" spans="1:25" ht="15.75" customHeight="1" x14ac:dyDescent="0.25">
      <c r="A1308" s="148" t="s">
        <v>76</v>
      </c>
      <c r="B1308" s="148" t="s">
        <v>36</v>
      </c>
      <c r="C1308" s="148" t="s">
        <v>28</v>
      </c>
      <c r="D1308" s="148" t="s">
        <v>29</v>
      </c>
      <c r="E1308" s="148" t="s">
        <v>30</v>
      </c>
      <c r="F1308" s="148" t="s">
        <v>3183</v>
      </c>
      <c r="G1308" s="148" t="s">
        <v>194</v>
      </c>
      <c r="H1308" s="148">
        <v>2010</v>
      </c>
      <c r="I1308" s="148">
        <v>7</v>
      </c>
      <c r="J1308" s="148" t="s">
        <v>118</v>
      </c>
      <c r="K1308" s="148" t="s">
        <v>455</v>
      </c>
      <c r="M1308" s="148" t="s">
        <v>132</v>
      </c>
      <c r="N1308" s="148">
        <v>8</v>
      </c>
      <c r="O1308" s="148" t="s">
        <v>101</v>
      </c>
      <c r="P1308" s="148" t="s">
        <v>390</v>
      </c>
      <c r="Y1308" s="150" t="s">
        <v>366</v>
      </c>
    </row>
    <row r="1309" spans="1:25" ht="15.75" hidden="1" customHeight="1" x14ac:dyDescent="0.25">
      <c r="A1309" s="148" t="s">
        <v>76</v>
      </c>
      <c r="B1309" s="148" t="s">
        <v>71</v>
      </c>
      <c r="C1309" s="148" t="s">
        <v>45</v>
      </c>
      <c r="D1309" s="148" t="s">
        <v>29</v>
      </c>
      <c r="E1309" s="148" t="s">
        <v>30</v>
      </c>
      <c r="F1309" s="148" t="s">
        <v>3183</v>
      </c>
      <c r="G1309" s="148" t="s">
        <v>769</v>
      </c>
      <c r="H1309" s="148">
        <v>2010</v>
      </c>
      <c r="I1309" s="148">
        <v>7</v>
      </c>
      <c r="J1309" s="148" t="s">
        <v>118</v>
      </c>
      <c r="K1309" s="148" t="s">
        <v>455</v>
      </c>
      <c r="M1309" s="148" t="s">
        <v>132</v>
      </c>
      <c r="N1309" s="148">
        <v>8</v>
      </c>
      <c r="O1309" s="148" t="s">
        <v>101</v>
      </c>
      <c r="P1309" s="148" t="s">
        <v>863</v>
      </c>
      <c r="Y1309" s="150" t="s">
        <v>366</v>
      </c>
    </row>
    <row r="1310" spans="1:25" ht="15.75" hidden="1" customHeight="1" x14ac:dyDescent="0.25">
      <c r="A1310" s="148" t="s">
        <v>26</v>
      </c>
      <c r="B1310" s="148" t="s">
        <v>116</v>
      </c>
      <c r="C1310" s="148" t="s">
        <v>90</v>
      </c>
      <c r="D1310" s="148" t="s">
        <v>29</v>
      </c>
      <c r="E1310" s="148" t="s">
        <v>30</v>
      </c>
      <c r="F1310" s="148" t="s">
        <v>41</v>
      </c>
      <c r="G1310" s="148" t="s">
        <v>683</v>
      </c>
      <c r="H1310" s="148">
        <v>2010</v>
      </c>
      <c r="I1310" s="148">
        <v>7</v>
      </c>
      <c r="J1310" s="148" t="s">
        <v>792</v>
      </c>
      <c r="U1310" s="149" t="s">
        <v>3629</v>
      </c>
      <c r="V1310" s="149" t="s">
        <v>3635</v>
      </c>
      <c r="W1310" s="148" t="s">
        <v>87</v>
      </c>
      <c r="X1310" s="148" t="s">
        <v>864</v>
      </c>
    </row>
    <row r="1311" spans="1:25" ht="15.75" hidden="1" customHeight="1" x14ac:dyDescent="0.25">
      <c r="A1311" s="148" t="s">
        <v>76</v>
      </c>
      <c r="B1311" s="148" t="s">
        <v>198</v>
      </c>
      <c r="C1311" s="148" t="s">
        <v>45</v>
      </c>
      <c r="D1311" s="148" t="s">
        <v>99</v>
      </c>
      <c r="E1311" s="148" t="s">
        <v>40</v>
      </c>
      <c r="F1311" s="148" t="s">
        <v>199</v>
      </c>
      <c r="G1311" s="148" t="s">
        <v>282</v>
      </c>
      <c r="H1311" s="148">
        <v>2010</v>
      </c>
      <c r="I1311" s="148">
        <v>8</v>
      </c>
      <c r="J1311" s="148" t="s">
        <v>150</v>
      </c>
      <c r="K1311" s="148" t="s">
        <v>629</v>
      </c>
      <c r="M1311" s="148" t="s">
        <v>120</v>
      </c>
      <c r="N1311" s="148">
        <v>6</v>
      </c>
      <c r="O1311" s="148" t="s">
        <v>83</v>
      </c>
      <c r="Y1311" s="150" t="s">
        <v>366</v>
      </c>
    </row>
    <row r="1312" spans="1:25" ht="15.75" hidden="1" customHeight="1" x14ac:dyDescent="0.25">
      <c r="A1312" s="148" t="s">
        <v>76</v>
      </c>
      <c r="B1312" s="148" t="s">
        <v>103</v>
      </c>
      <c r="C1312" s="148" t="s">
        <v>55</v>
      </c>
      <c r="D1312" s="148" t="s">
        <v>99</v>
      </c>
      <c r="E1312" s="148" t="s">
        <v>95</v>
      </c>
      <c r="F1312" s="148" t="s">
        <v>56</v>
      </c>
      <c r="G1312" s="148" t="s">
        <v>171</v>
      </c>
      <c r="H1312" s="148">
        <v>2010</v>
      </c>
      <c r="I1312" s="148">
        <v>8</v>
      </c>
      <c r="J1312" s="148" t="s">
        <v>150</v>
      </c>
      <c r="K1312" s="148" t="s">
        <v>629</v>
      </c>
      <c r="M1312" s="148" t="s">
        <v>120</v>
      </c>
      <c r="N1312" s="148">
        <v>6</v>
      </c>
      <c r="O1312" s="148" t="s">
        <v>83</v>
      </c>
      <c r="Y1312" s="150" t="s">
        <v>366</v>
      </c>
    </row>
    <row r="1313" spans="1:25" ht="15.75" hidden="1" customHeight="1" x14ac:dyDescent="0.25">
      <c r="A1313" s="148" t="s">
        <v>76</v>
      </c>
      <c r="B1313" s="148" t="s">
        <v>198</v>
      </c>
      <c r="C1313" s="148" t="s">
        <v>45</v>
      </c>
      <c r="D1313" s="148" t="s">
        <v>29</v>
      </c>
      <c r="E1313" s="148" t="s">
        <v>30</v>
      </c>
      <c r="F1313" s="148" t="s">
        <v>199</v>
      </c>
      <c r="G1313" s="148" t="s">
        <v>205</v>
      </c>
      <c r="H1313" s="148">
        <v>2010</v>
      </c>
      <c r="I1313" s="148">
        <v>8</v>
      </c>
      <c r="J1313" s="148" t="s">
        <v>118</v>
      </c>
      <c r="K1313" s="148" t="s">
        <v>379</v>
      </c>
      <c r="M1313" s="148" t="s">
        <v>126</v>
      </c>
      <c r="N1313" s="148">
        <v>10</v>
      </c>
      <c r="O1313" s="148" t="s">
        <v>101</v>
      </c>
      <c r="P1313" s="148" t="s">
        <v>146</v>
      </c>
      <c r="Y1313" s="150" t="s">
        <v>366</v>
      </c>
    </row>
    <row r="1314" spans="1:25" ht="15.75" hidden="1" customHeight="1" x14ac:dyDescent="0.25">
      <c r="A1314" s="148" t="s">
        <v>76</v>
      </c>
      <c r="B1314" s="148" t="s">
        <v>198</v>
      </c>
      <c r="C1314" s="148" t="s">
        <v>45</v>
      </c>
      <c r="D1314" s="148" t="s">
        <v>478</v>
      </c>
      <c r="E1314" s="148" t="s">
        <v>30</v>
      </c>
      <c r="F1314" s="148" t="s">
        <v>199</v>
      </c>
      <c r="G1314" s="148" t="s">
        <v>208</v>
      </c>
      <c r="H1314" s="148">
        <v>2010</v>
      </c>
      <c r="I1314" s="148">
        <v>8</v>
      </c>
      <c r="J1314" s="148" t="s">
        <v>150</v>
      </c>
      <c r="K1314" s="148" t="s">
        <v>327</v>
      </c>
      <c r="M1314" s="148" t="s">
        <v>82</v>
      </c>
      <c r="N1314" s="148">
        <v>8</v>
      </c>
      <c r="O1314" s="148" t="s">
        <v>83</v>
      </c>
      <c r="P1314" s="148" t="s">
        <v>146</v>
      </c>
      <c r="Y1314" s="150" t="s">
        <v>366</v>
      </c>
    </row>
    <row r="1315" spans="1:25" ht="15.75" hidden="1" customHeight="1" x14ac:dyDescent="0.25">
      <c r="A1315" s="148" t="s">
        <v>76</v>
      </c>
      <c r="B1315" s="148" t="s">
        <v>198</v>
      </c>
      <c r="C1315" s="148" t="s">
        <v>45</v>
      </c>
      <c r="D1315" s="148" t="s">
        <v>94</v>
      </c>
      <c r="E1315" s="148" t="s">
        <v>30</v>
      </c>
      <c r="F1315" s="148" t="s">
        <v>199</v>
      </c>
      <c r="G1315" s="148" t="s">
        <v>296</v>
      </c>
      <c r="H1315" s="148">
        <v>2010</v>
      </c>
      <c r="I1315" s="148">
        <v>8</v>
      </c>
      <c r="J1315" s="148" t="s">
        <v>150</v>
      </c>
      <c r="K1315" s="148" t="s">
        <v>374</v>
      </c>
      <c r="M1315" s="148" t="s">
        <v>389</v>
      </c>
      <c r="N1315" s="148">
        <v>8</v>
      </c>
      <c r="O1315" s="148" t="s">
        <v>83</v>
      </c>
      <c r="Y1315" s="150" t="s">
        <v>366</v>
      </c>
    </row>
    <row r="1316" spans="1:25" ht="15.75" hidden="1" customHeight="1" x14ac:dyDescent="0.25">
      <c r="A1316" s="148" t="s">
        <v>76</v>
      </c>
      <c r="B1316" s="148" t="s">
        <v>198</v>
      </c>
      <c r="C1316" s="148" t="s">
        <v>45</v>
      </c>
      <c r="D1316" s="148" t="s">
        <v>29</v>
      </c>
      <c r="E1316" s="148" t="s">
        <v>30</v>
      </c>
      <c r="F1316" s="148" t="s">
        <v>199</v>
      </c>
      <c r="G1316" s="148" t="s">
        <v>214</v>
      </c>
      <c r="H1316" s="148">
        <v>2010</v>
      </c>
      <c r="I1316" s="148">
        <v>8</v>
      </c>
      <c r="J1316" s="148" t="s">
        <v>150</v>
      </c>
      <c r="K1316" s="148" t="s">
        <v>327</v>
      </c>
      <c r="M1316" s="148" t="s">
        <v>82</v>
      </c>
      <c r="N1316" s="148">
        <v>8</v>
      </c>
      <c r="O1316" s="148" t="s">
        <v>83</v>
      </c>
      <c r="Y1316" s="150" t="s">
        <v>366</v>
      </c>
    </row>
    <row r="1317" spans="1:25" ht="15.75" hidden="1" customHeight="1" x14ac:dyDescent="0.25">
      <c r="A1317" s="148" t="s">
        <v>76</v>
      </c>
      <c r="B1317" s="148" t="s">
        <v>103</v>
      </c>
      <c r="C1317" s="148" t="s">
        <v>55</v>
      </c>
      <c r="D1317" s="148" t="s">
        <v>158</v>
      </c>
      <c r="E1317" s="148" t="s">
        <v>95</v>
      </c>
      <c r="F1317" s="148" t="s">
        <v>56</v>
      </c>
      <c r="G1317" s="148" t="s">
        <v>176</v>
      </c>
      <c r="H1317" s="148">
        <v>2010</v>
      </c>
      <c r="I1317" s="148">
        <v>8</v>
      </c>
      <c r="J1317" s="148" t="s">
        <v>150</v>
      </c>
      <c r="K1317" s="148" t="s">
        <v>629</v>
      </c>
      <c r="M1317" s="148" t="s">
        <v>120</v>
      </c>
      <c r="N1317" s="148">
        <v>6</v>
      </c>
      <c r="O1317" s="148" t="s">
        <v>83</v>
      </c>
      <c r="Y1317" s="150" t="s">
        <v>366</v>
      </c>
    </row>
    <row r="1318" spans="1:25" ht="15.75" hidden="1" customHeight="1" x14ac:dyDescent="0.25">
      <c r="A1318" s="148" t="s">
        <v>76</v>
      </c>
      <c r="B1318" s="148" t="s">
        <v>103</v>
      </c>
      <c r="C1318" s="148" t="s">
        <v>55</v>
      </c>
      <c r="D1318" s="148" t="s">
        <v>478</v>
      </c>
      <c r="E1318" s="148" t="s">
        <v>95</v>
      </c>
      <c r="F1318" s="148" t="s">
        <v>56</v>
      </c>
      <c r="G1318" s="148" t="s">
        <v>153</v>
      </c>
      <c r="H1318" s="148">
        <v>2010</v>
      </c>
      <c r="I1318" s="148">
        <v>8</v>
      </c>
      <c r="J1318" s="148" t="s">
        <v>118</v>
      </c>
      <c r="K1318" s="148" t="s">
        <v>579</v>
      </c>
      <c r="M1318" s="148" t="s">
        <v>554</v>
      </c>
      <c r="N1318" s="148">
        <v>8</v>
      </c>
      <c r="O1318" s="148" t="s">
        <v>101</v>
      </c>
      <c r="P1318" s="148" t="s">
        <v>865</v>
      </c>
      <c r="Y1318" s="150" t="s">
        <v>366</v>
      </c>
    </row>
    <row r="1319" spans="1:25" ht="15.75" hidden="1" customHeight="1" x14ac:dyDescent="0.25">
      <c r="A1319" s="148" t="s">
        <v>26</v>
      </c>
      <c r="B1319" s="148" t="s">
        <v>103</v>
      </c>
      <c r="C1319" s="148" t="s">
        <v>55</v>
      </c>
      <c r="D1319" s="148" t="s">
        <v>478</v>
      </c>
      <c r="E1319" s="148" t="s">
        <v>95</v>
      </c>
      <c r="F1319" s="148" t="s">
        <v>56</v>
      </c>
      <c r="G1319" s="148" t="s">
        <v>107</v>
      </c>
      <c r="H1319" s="148">
        <v>2010</v>
      </c>
      <c r="I1319" s="148">
        <v>8</v>
      </c>
      <c r="J1319" s="148" t="s">
        <v>817</v>
      </c>
      <c r="U1319" s="149" t="s">
        <v>3629</v>
      </c>
      <c r="V1319" s="149" t="s">
        <v>3634</v>
      </c>
      <c r="W1319" s="148" t="s">
        <v>87</v>
      </c>
      <c r="X1319" s="148" t="s">
        <v>854</v>
      </c>
    </row>
    <row r="1320" spans="1:25" ht="15.75" hidden="1" customHeight="1" x14ac:dyDescent="0.25">
      <c r="A1320" s="148" t="s">
        <v>307</v>
      </c>
      <c r="B1320" s="148" t="s">
        <v>103</v>
      </c>
      <c r="C1320" s="148" t="s">
        <v>55</v>
      </c>
      <c r="D1320" s="148" t="s">
        <v>478</v>
      </c>
      <c r="E1320" s="148" t="s">
        <v>95</v>
      </c>
      <c r="F1320" s="148" t="s">
        <v>56</v>
      </c>
      <c r="G1320" s="148" t="s">
        <v>107</v>
      </c>
      <c r="H1320" s="148">
        <v>2010</v>
      </c>
      <c r="I1320" s="148">
        <v>8</v>
      </c>
      <c r="J1320" s="148" t="s">
        <v>308</v>
      </c>
      <c r="Q1320" s="148" t="s">
        <v>866</v>
      </c>
      <c r="R1320" s="148" t="s">
        <v>867</v>
      </c>
      <c r="S1320" s="148" t="s">
        <v>427</v>
      </c>
      <c r="T1320" s="148" t="s">
        <v>3335</v>
      </c>
      <c r="Y1320" s="150" t="s">
        <v>366</v>
      </c>
    </row>
    <row r="1321" spans="1:25" ht="15.75" hidden="1" customHeight="1" x14ac:dyDescent="0.25">
      <c r="A1321" s="148" t="s">
        <v>76</v>
      </c>
      <c r="B1321" s="148" t="s">
        <v>44</v>
      </c>
      <c r="C1321" s="148" t="s">
        <v>45</v>
      </c>
      <c r="D1321" s="148" t="s">
        <v>86</v>
      </c>
      <c r="E1321" s="148" t="s">
        <v>30</v>
      </c>
      <c r="F1321" s="148" t="s">
        <v>47</v>
      </c>
      <c r="G1321" s="148" t="s">
        <v>377</v>
      </c>
      <c r="H1321" s="148">
        <v>2010</v>
      </c>
      <c r="I1321" s="148">
        <v>8</v>
      </c>
      <c r="J1321" s="148" t="s">
        <v>150</v>
      </c>
      <c r="K1321" s="148" t="s">
        <v>327</v>
      </c>
      <c r="M1321" s="148" t="s">
        <v>82</v>
      </c>
      <c r="N1321" s="148">
        <v>8</v>
      </c>
      <c r="O1321" s="148" t="s">
        <v>83</v>
      </c>
      <c r="Y1321" s="150" t="s">
        <v>366</v>
      </c>
    </row>
    <row r="1322" spans="1:25" ht="15.75" hidden="1" customHeight="1" x14ac:dyDescent="0.25">
      <c r="A1322" s="148" t="s">
        <v>76</v>
      </c>
      <c r="B1322" s="148" t="s">
        <v>62</v>
      </c>
      <c r="C1322" s="148" t="s">
        <v>28</v>
      </c>
      <c r="D1322" s="148" t="s">
        <v>29</v>
      </c>
      <c r="E1322" s="148" t="s">
        <v>30</v>
      </c>
      <c r="F1322" s="148" t="s">
        <v>3183</v>
      </c>
      <c r="G1322" s="148" t="s">
        <v>244</v>
      </c>
      <c r="H1322" s="148">
        <v>2010</v>
      </c>
      <c r="I1322" s="148">
        <v>8</v>
      </c>
      <c r="J1322" s="148" t="s">
        <v>150</v>
      </c>
      <c r="K1322" s="148" t="s">
        <v>629</v>
      </c>
      <c r="M1322" s="148" t="s">
        <v>120</v>
      </c>
      <c r="N1322" s="148">
        <v>6</v>
      </c>
      <c r="O1322" s="148" t="s">
        <v>83</v>
      </c>
      <c r="Y1322" s="150" t="s">
        <v>366</v>
      </c>
    </row>
    <row r="1323" spans="1:25" ht="15.75" hidden="1" customHeight="1" x14ac:dyDescent="0.25">
      <c r="A1323" s="148" t="s">
        <v>26</v>
      </c>
      <c r="B1323" s="148" t="s">
        <v>36</v>
      </c>
      <c r="C1323" s="148" t="s">
        <v>28</v>
      </c>
      <c r="D1323" s="148" t="s">
        <v>29</v>
      </c>
      <c r="E1323" s="148" t="s">
        <v>30</v>
      </c>
      <c r="F1323" s="148" t="s">
        <v>3183</v>
      </c>
      <c r="G1323" s="148" t="s">
        <v>37</v>
      </c>
      <c r="H1323" s="148">
        <v>2010</v>
      </c>
      <c r="I1323" s="148">
        <v>8</v>
      </c>
      <c r="J1323" s="148" t="s">
        <v>33</v>
      </c>
      <c r="U1323" s="149" t="s">
        <v>3629</v>
      </c>
      <c r="V1323" s="149" t="s">
        <v>3634</v>
      </c>
      <c r="W1323" s="148" t="s">
        <v>87</v>
      </c>
      <c r="X1323" s="148" t="s">
        <v>854</v>
      </c>
    </row>
    <row r="1324" spans="1:25" ht="15.75" hidden="1" customHeight="1" x14ac:dyDescent="0.25">
      <c r="A1324" s="148" t="s">
        <v>76</v>
      </c>
      <c r="B1324" s="148" t="s">
        <v>71</v>
      </c>
      <c r="C1324" s="148" t="s">
        <v>45</v>
      </c>
      <c r="D1324" s="148" t="s">
        <v>29</v>
      </c>
      <c r="E1324" s="148" t="s">
        <v>72</v>
      </c>
      <c r="F1324" s="148" t="s">
        <v>3183</v>
      </c>
      <c r="G1324" s="148" t="s">
        <v>75</v>
      </c>
      <c r="H1324" s="148">
        <v>2010</v>
      </c>
      <c r="I1324" s="148">
        <v>8</v>
      </c>
      <c r="J1324" s="148" t="s">
        <v>118</v>
      </c>
      <c r="K1324" s="148" t="s">
        <v>379</v>
      </c>
      <c r="M1324" s="148" t="s">
        <v>126</v>
      </c>
      <c r="N1324" s="148">
        <v>10</v>
      </c>
      <c r="O1324" s="148" t="s">
        <v>101</v>
      </c>
      <c r="P1324" s="148" t="s">
        <v>183</v>
      </c>
      <c r="Y1324" s="150" t="s">
        <v>366</v>
      </c>
    </row>
    <row r="1325" spans="1:25" ht="15.75" hidden="1" customHeight="1" x14ac:dyDescent="0.25">
      <c r="A1325" s="148" t="s">
        <v>76</v>
      </c>
      <c r="B1325" s="148" t="s">
        <v>62</v>
      </c>
      <c r="C1325" s="148" t="s">
        <v>28</v>
      </c>
      <c r="D1325" s="148" t="s">
        <v>51</v>
      </c>
      <c r="E1325" s="148" t="s">
        <v>30</v>
      </c>
      <c r="F1325" s="148" t="s">
        <v>3183</v>
      </c>
      <c r="G1325" s="148" t="s">
        <v>63</v>
      </c>
      <c r="H1325" s="148">
        <v>2010</v>
      </c>
      <c r="I1325" s="148">
        <v>8</v>
      </c>
      <c r="J1325" s="148" t="s">
        <v>150</v>
      </c>
      <c r="K1325" s="148" t="s">
        <v>710</v>
      </c>
      <c r="M1325" s="148" t="s">
        <v>533</v>
      </c>
      <c r="N1325" s="148">
        <v>6</v>
      </c>
      <c r="O1325" s="148" t="s">
        <v>83</v>
      </c>
      <c r="Y1325" s="150" t="s">
        <v>366</v>
      </c>
    </row>
    <row r="1326" spans="1:25" ht="15.75" hidden="1" customHeight="1" x14ac:dyDescent="0.25">
      <c r="A1326" s="148" t="s">
        <v>26</v>
      </c>
      <c r="B1326" s="148" t="s">
        <v>116</v>
      </c>
      <c r="C1326" s="148" t="s">
        <v>90</v>
      </c>
      <c r="D1326" s="148" t="s">
        <v>29</v>
      </c>
      <c r="E1326" s="148" t="s">
        <v>30</v>
      </c>
      <c r="F1326" s="148" t="s">
        <v>41</v>
      </c>
      <c r="G1326" s="148" t="s">
        <v>784</v>
      </c>
      <c r="H1326" s="148">
        <v>2010</v>
      </c>
      <c r="I1326" s="148">
        <v>8</v>
      </c>
      <c r="J1326" s="148" t="s">
        <v>792</v>
      </c>
      <c r="U1326" s="149" t="s">
        <v>3629</v>
      </c>
      <c r="V1326" s="149" t="s">
        <v>3634</v>
      </c>
      <c r="W1326" s="148" t="s">
        <v>87</v>
      </c>
      <c r="X1326" s="148" t="s">
        <v>868</v>
      </c>
    </row>
    <row r="1327" spans="1:25" ht="15.75" hidden="1" customHeight="1" x14ac:dyDescent="0.25">
      <c r="A1327" s="148" t="s">
        <v>76</v>
      </c>
      <c r="B1327" s="148" t="s">
        <v>103</v>
      </c>
      <c r="C1327" s="148" t="s">
        <v>55</v>
      </c>
      <c r="D1327" s="148" t="s">
        <v>99</v>
      </c>
      <c r="E1327" s="148" t="s">
        <v>30</v>
      </c>
      <c r="F1327" s="148" t="s">
        <v>56</v>
      </c>
      <c r="G1327" s="148" t="s">
        <v>519</v>
      </c>
      <c r="H1327" s="148">
        <v>2010</v>
      </c>
      <c r="I1327" s="148">
        <v>8</v>
      </c>
      <c r="J1327" s="148" t="s">
        <v>118</v>
      </c>
      <c r="K1327" s="148" t="s">
        <v>327</v>
      </c>
      <c r="M1327" s="148" t="s">
        <v>82</v>
      </c>
      <c r="N1327" s="148">
        <v>8</v>
      </c>
      <c r="O1327" s="148" t="s">
        <v>101</v>
      </c>
      <c r="P1327" s="148" t="s">
        <v>146</v>
      </c>
      <c r="Y1327" s="150" t="s">
        <v>366</v>
      </c>
    </row>
    <row r="1328" spans="1:25" ht="15.75" hidden="1" customHeight="1" x14ac:dyDescent="0.25">
      <c r="A1328" s="148" t="s">
        <v>76</v>
      </c>
      <c r="B1328" s="148" t="s">
        <v>36</v>
      </c>
      <c r="C1328" s="148" t="s">
        <v>28</v>
      </c>
      <c r="D1328" s="148" t="s">
        <v>99</v>
      </c>
      <c r="E1328" s="148" t="s">
        <v>51</v>
      </c>
      <c r="F1328" s="148" t="s">
        <v>3183</v>
      </c>
      <c r="G1328" s="148" t="s">
        <v>52</v>
      </c>
      <c r="H1328" s="148">
        <v>2010</v>
      </c>
      <c r="I1328" s="148">
        <v>8</v>
      </c>
      <c r="J1328" s="148" t="s">
        <v>118</v>
      </c>
      <c r="K1328" s="148" t="s">
        <v>629</v>
      </c>
      <c r="M1328" s="148" t="s">
        <v>120</v>
      </c>
      <c r="N1328" s="148">
        <v>6</v>
      </c>
      <c r="O1328" s="148" t="s">
        <v>101</v>
      </c>
      <c r="P1328" s="148" t="s">
        <v>390</v>
      </c>
      <c r="Y1328" s="150" t="s">
        <v>366</v>
      </c>
    </row>
    <row r="1329" spans="1:25" ht="15.75" hidden="1" customHeight="1" x14ac:dyDescent="0.25">
      <c r="A1329" s="148" t="s">
        <v>307</v>
      </c>
      <c r="B1329" s="148" t="s">
        <v>71</v>
      </c>
      <c r="C1329" s="148" t="s">
        <v>45</v>
      </c>
      <c r="D1329" s="148" t="s">
        <v>29</v>
      </c>
      <c r="E1329" s="148" t="s">
        <v>72</v>
      </c>
      <c r="F1329" s="148" t="s">
        <v>3183</v>
      </c>
      <c r="G1329" s="148" t="s">
        <v>73</v>
      </c>
      <c r="H1329" s="148">
        <v>2010</v>
      </c>
      <c r="I1329" s="148">
        <v>9</v>
      </c>
      <c r="J1329" s="148" t="s">
        <v>308</v>
      </c>
      <c r="Q1329" s="148" t="s">
        <v>594</v>
      </c>
      <c r="S1329" s="148" t="s">
        <v>427</v>
      </c>
      <c r="T1329" s="148" t="s">
        <v>869</v>
      </c>
      <c r="Y1329" s="150" t="s">
        <v>870</v>
      </c>
    </row>
    <row r="1330" spans="1:25" ht="15.75" hidden="1" customHeight="1" x14ac:dyDescent="0.25">
      <c r="A1330" s="148" t="s">
        <v>26</v>
      </c>
      <c r="B1330" s="148" t="s">
        <v>71</v>
      </c>
      <c r="C1330" s="148" t="s">
        <v>45</v>
      </c>
      <c r="D1330" s="148" t="s">
        <v>29</v>
      </c>
      <c r="E1330" s="148" t="s">
        <v>72</v>
      </c>
      <c r="F1330" s="148" t="s">
        <v>3183</v>
      </c>
      <c r="G1330" s="148" t="s">
        <v>73</v>
      </c>
      <c r="H1330" s="148">
        <v>2010</v>
      </c>
      <c r="I1330" s="148">
        <v>9</v>
      </c>
      <c r="J1330" s="148" t="s">
        <v>33</v>
      </c>
      <c r="U1330" s="149" t="s">
        <v>112</v>
      </c>
      <c r="V1330" s="149" t="s">
        <v>3666</v>
      </c>
      <c r="W1330" s="148" t="s">
        <v>49</v>
      </c>
      <c r="X1330" s="148" t="s">
        <v>871</v>
      </c>
      <c r="Y1330" s="150" t="s">
        <v>872</v>
      </c>
    </row>
    <row r="1331" spans="1:25" ht="15.75" hidden="1" customHeight="1" x14ac:dyDescent="0.25">
      <c r="A1331" s="148" t="s">
        <v>76</v>
      </c>
      <c r="B1331" s="148" t="s">
        <v>103</v>
      </c>
      <c r="C1331" s="148" t="s">
        <v>55</v>
      </c>
      <c r="D1331" s="148" t="s">
        <v>99</v>
      </c>
      <c r="E1331" s="148" t="s">
        <v>95</v>
      </c>
      <c r="F1331" s="148" t="s">
        <v>56</v>
      </c>
      <c r="G1331" s="148" t="s">
        <v>171</v>
      </c>
      <c r="H1331" s="148">
        <v>2010</v>
      </c>
      <c r="I1331" s="148">
        <v>9</v>
      </c>
      <c r="J1331" s="148" t="s">
        <v>150</v>
      </c>
      <c r="K1331" s="148" t="s">
        <v>763</v>
      </c>
      <c r="M1331" s="148" t="s">
        <v>501</v>
      </c>
      <c r="N1331" s="148">
        <v>6</v>
      </c>
      <c r="O1331" s="148" t="s">
        <v>83</v>
      </c>
      <c r="Y1331" s="150" t="s">
        <v>366</v>
      </c>
    </row>
    <row r="1332" spans="1:25" ht="15.75" hidden="1" customHeight="1" x14ac:dyDescent="0.25">
      <c r="A1332" s="148" t="s">
        <v>76</v>
      </c>
      <c r="B1332" s="148" t="s">
        <v>198</v>
      </c>
      <c r="C1332" s="148" t="s">
        <v>45</v>
      </c>
      <c r="D1332" s="148" t="s">
        <v>478</v>
      </c>
      <c r="E1332" s="148" t="s">
        <v>30</v>
      </c>
      <c r="F1332" s="148" t="s">
        <v>199</v>
      </c>
      <c r="G1332" s="148" t="s">
        <v>208</v>
      </c>
      <c r="H1332" s="148">
        <v>2010</v>
      </c>
      <c r="I1332" s="148">
        <v>9</v>
      </c>
      <c r="J1332" s="148" t="s">
        <v>150</v>
      </c>
      <c r="K1332" s="148" t="s">
        <v>327</v>
      </c>
      <c r="M1332" s="148" t="s">
        <v>82</v>
      </c>
      <c r="N1332" s="148">
        <v>8</v>
      </c>
      <c r="O1332" s="148" t="s">
        <v>83</v>
      </c>
      <c r="P1332" s="148" t="s">
        <v>146</v>
      </c>
      <c r="Y1332" s="150" t="s">
        <v>366</v>
      </c>
    </row>
    <row r="1333" spans="1:25" ht="15.75" hidden="1" customHeight="1" x14ac:dyDescent="0.25">
      <c r="A1333" s="148" t="s">
        <v>76</v>
      </c>
      <c r="B1333" s="148" t="s">
        <v>36</v>
      </c>
      <c r="C1333" s="148" t="s">
        <v>28</v>
      </c>
      <c r="D1333" s="148" t="s">
        <v>342</v>
      </c>
      <c r="E1333" s="148" t="s">
        <v>30</v>
      </c>
      <c r="F1333" s="148" t="s">
        <v>3183</v>
      </c>
      <c r="G1333" s="148" t="s">
        <v>438</v>
      </c>
      <c r="H1333" s="148">
        <v>2010</v>
      </c>
      <c r="I1333" s="148">
        <v>9</v>
      </c>
      <c r="J1333" s="148" t="s">
        <v>118</v>
      </c>
      <c r="K1333" s="148" t="s">
        <v>327</v>
      </c>
      <c r="M1333" s="148" t="s">
        <v>82</v>
      </c>
      <c r="N1333" s="148">
        <v>8</v>
      </c>
      <c r="O1333" s="148" t="s">
        <v>101</v>
      </c>
      <c r="P1333" s="148" t="s">
        <v>599</v>
      </c>
      <c r="Y1333" s="150" t="s">
        <v>366</v>
      </c>
    </row>
    <row r="1334" spans="1:25" ht="15.75" hidden="1" customHeight="1" x14ac:dyDescent="0.25">
      <c r="A1334" s="148" t="s">
        <v>76</v>
      </c>
      <c r="B1334" s="148" t="s">
        <v>198</v>
      </c>
      <c r="C1334" s="148" t="s">
        <v>45</v>
      </c>
      <c r="D1334" s="148" t="s">
        <v>94</v>
      </c>
      <c r="E1334" s="148" t="s">
        <v>30</v>
      </c>
      <c r="F1334" s="148" t="s">
        <v>199</v>
      </c>
      <c r="G1334" s="148" t="s">
        <v>296</v>
      </c>
      <c r="H1334" s="148">
        <v>2010</v>
      </c>
      <c r="I1334" s="148">
        <v>9</v>
      </c>
      <c r="J1334" s="148" t="s">
        <v>150</v>
      </c>
      <c r="K1334" s="148" t="s">
        <v>374</v>
      </c>
      <c r="M1334" s="148" t="s">
        <v>389</v>
      </c>
      <c r="N1334" s="148">
        <v>8</v>
      </c>
      <c r="O1334" s="148" t="s">
        <v>83</v>
      </c>
      <c r="Y1334" s="150" t="s">
        <v>366</v>
      </c>
    </row>
    <row r="1335" spans="1:25" ht="15.75" hidden="1" customHeight="1" x14ac:dyDescent="0.25">
      <c r="A1335" s="148" t="s">
        <v>26</v>
      </c>
      <c r="B1335" s="148" t="s">
        <v>116</v>
      </c>
      <c r="C1335" s="148" t="s">
        <v>90</v>
      </c>
      <c r="D1335" s="148" t="s">
        <v>29</v>
      </c>
      <c r="E1335" s="148" t="s">
        <v>30</v>
      </c>
      <c r="F1335" s="148" t="s">
        <v>41</v>
      </c>
      <c r="G1335" s="148" t="s">
        <v>564</v>
      </c>
      <c r="H1335" s="148">
        <v>2010</v>
      </c>
      <c r="I1335" s="148">
        <v>9</v>
      </c>
      <c r="J1335" s="148" t="s">
        <v>792</v>
      </c>
      <c r="U1335" s="149" t="s">
        <v>3629</v>
      </c>
      <c r="V1335" s="149" t="s">
        <v>3635</v>
      </c>
      <c r="W1335" s="148" t="s">
        <v>87</v>
      </c>
      <c r="X1335" s="148" t="s">
        <v>873</v>
      </c>
    </row>
    <row r="1336" spans="1:25" ht="15.75" hidden="1" customHeight="1" x14ac:dyDescent="0.25">
      <c r="A1336" s="148" t="s">
        <v>76</v>
      </c>
      <c r="B1336" s="148" t="s">
        <v>116</v>
      </c>
      <c r="C1336" s="148" t="s">
        <v>90</v>
      </c>
      <c r="D1336" s="148" t="s">
        <v>86</v>
      </c>
      <c r="E1336" s="148" t="s">
        <v>40</v>
      </c>
      <c r="F1336" s="148" t="s">
        <v>41</v>
      </c>
      <c r="G1336" s="148" t="s">
        <v>117</v>
      </c>
      <c r="H1336" s="148">
        <v>2010</v>
      </c>
      <c r="I1336" s="148">
        <v>9</v>
      </c>
      <c r="J1336" s="148" t="s">
        <v>150</v>
      </c>
      <c r="K1336" s="148" t="s">
        <v>629</v>
      </c>
      <c r="M1336" s="148" t="s">
        <v>120</v>
      </c>
      <c r="N1336" s="148">
        <v>6</v>
      </c>
      <c r="O1336" s="148" t="s">
        <v>83</v>
      </c>
      <c r="Y1336" s="150" t="s">
        <v>366</v>
      </c>
    </row>
    <row r="1337" spans="1:25" ht="15.75" hidden="1" customHeight="1" x14ac:dyDescent="0.25">
      <c r="A1337" s="148" t="s">
        <v>76</v>
      </c>
      <c r="B1337" s="148" t="s">
        <v>116</v>
      </c>
      <c r="C1337" s="148" t="s">
        <v>90</v>
      </c>
      <c r="D1337" s="148" t="s">
        <v>29</v>
      </c>
      <c r="E1337" s="148" t="s">
        <v>40</v>
      </c>
      <c r="F1337" s="148" t="s">
        <v>41</v>
      </c>
      <c r="G1337" s="148" t="s">
        <v>473</v>
      </c>
      <c r="H1337" s="148">
        <v>2010</v>
      </c>
      <c r="I1337" s="148">
        <v>9</v>
      </c>
      <c r="J1337" s="148" t="s">
        <v>150</v>
      </c>
      <c r="K1337" s="148" t="s">
        <v>629</v>
      </c>
      <c r="M1337" s="148" t="s">
        <v>120</v>
      </c>
      <c r="N1337" s="148">
        <v>6</v>
      </c>
      <c r="O1337" s="148" t="s">
        <v>83</v>
      </c>
      <c r="Y1337" s="150" t="s">
        <v>366</v>
      </c>
    </row>
    <row r="1338" spans="1:25" ht="15.75" hidden="1" customHeight="1" x14ac:dyDescent="0.25">
      <c r="A1338" s="148" t="s">
        <v>76</v>
      </c>
      <c r="B1338" s="148" t="s">
        <v>77</v>
      </c>
      <c r="C1338" s="148" t="s">
        <v>55</v>
      </c>
      <c r="D1338" s="148" t="s">
        <v>99</v>
      </c>
      <c r="E1338" s="148" t="s">
        <v>30</v>
      </c>
      <c r="F1338" s="148" t="s">
        <v>41</v>
      </c>
      <c r="G1338" s="148" t="s">
        <v>159</v>
      </c>
      <c r="H1338" s="148">
        <v>2010</v>
      </c>
      <c r="I1338" s="148">
        <v>9</v>
      </c>
      <c r="J1338" s="148" t="s">
        <v>150</v>
      </c>
      <c r="K1338" s="148" t="s">
        <v>455</v>
      </c>
      <c r="M1338" s="148" t="s">
        <v>132</v>
      </c>
      <c r="N1338" s="148">
        <v>8</v>
      </c>
      <c r="O1338" s="148" t="s">
        <v>83</v>
      </c>
      <c r="Y1338" s="150" t="s">
        <v>366</v>
      </c>
    </row>
    <row r="1339" spans="1:25" ht="15.75" hidden="1" customHeight="1" x14ac:dyDescent="0.25">
      <c r="A1339" s="148" t="s">
        <v>76</v>
      </c>
      <c r="B1339" s="148" t="s">
        <v>89</v>
      </c>
      <c r="C1339" s="148" t="s">
        <v>90</v>
      </c>
      <c r="D1339" s="148" t="s">
        <v>29</v>
      </c>
      <c r="E1339" s="148" t="s">
        <v>30</v>
      </c>
      <c r="F1339" s="148" t="s">
        <v>91</v>
      </c>
      <c r="G1339" s="148" t="s">
        <v>222</v>
      </c>
      <c r="H1339" s="148">
        <v>2010</v>
      </c>
      <c r="I1339" s="148">
        <v>9</v>
      </c>
      <c r="J1339" s="148" t="s">
        <v>150</v>
      </c>
      <c r="K1339" s="148" t="s">
        <v>555</v>
      </c>
      <c r="M1339" s="148" t="s">
        <v>246</v>
      </c>
      <c r="N1339" s="148">
        <v>6</v>
      </c>
      <c r="O1339" s="148" t="s">
        <v>83</v>
      </c>
      <c r="Y1339" s="150" t="s">
        <v>366</v>
      </c>
    </row>
    <row r="1340" spans="1:25" ht="15.75" hidden="1" customHeight="1" x14ac:dyDescent="0.25">
      <c r="A1340" s="148" t="s">
        <v>76</v>
      </c>
      <c r="B1340" s="148" t="s">
        <v>116</v>
      </c>
      <c r="C1340" s="148" t="s">
        <v>90</v>
      </c>
      <c r="D1340" s="148" t="s">
        <v>29</v>
      </c>
      <c r="E1340" s="148" t="s">
        <v>40</v>
      </c>
      <c r="F1340" s="148" t="s">
        <v>41</v>
      </c>
      <c r="G1340" s="148" t="s">
        <v>345</v>
      </c>
      <c r="H1340" s="148">
        <v>2010</v>
      </c>
      <c r="I1340" s="148">
        <v>9</v>
      </c>
      <c r="J1340" s="148" t="s">
        <v>118</v>
      </c>
      <c r="K1340" s="148" t="s">
        <v>874</v>
      </c>
      <c r="M1340" s="148" t="s">
        <v>120</v>
      </c>
      <c r="N1340" s="148">
        <v>6</v>
      </c>
      <c r="O1340" s="148" t="s">
        <v>101</v>
      </c>
      <c r="P1340" s="148" t="s">
        <v>875</v>
      </c>
      <c r="Y1340" s="150" t="s">
        <v>366</v>
      </c>
    </row>
    <row r="1341" spans="1:25" ht="15.75" hidden="1" customHeight="1" x14ac:dyDescent="0.25">
      <c r="A1341" s="148" t="s">
        <v>76</v>
      </c>
      <c r="B1341" s="148" t="s">
        <v>36</v>
      </c>
      <c r="C1341" s="148" t="s">
        <v>28</v>
      </c>
      <c r="D1341" s="148" t="s">
        <v>86</v>
      </c>
      <c r="E1341" s="148" t="s">
        <v>30</v>
      </c>
      <c r="F1341" s="148" t="s">
        <v>3183</v>
      </c>
      <c r="G1341" s="148" t="s">
        <v>67</v>
      </c>
      <c r="H1341" s="148">
        <v>2010</v>
      </c>
      <c r="I1341" s="148">
        <v>9</v>
      </c>
      <c r="J1341" s="148" t="s">
        <v>150</v>
      </c>
      <c r="K1341" s="148" t="s">
        <v>555</v>
      </c>
      <c r="M1341" s="148" t="s">
        <v>246</v>
      </c>
      <c r="N1341" s="148">
        <v>6</v>
      </c>
      <c r="O1341" s="148" t="s">
        <v>83</v>
      </c>
      <c r="Y1341" s="150" t="s">
        <v>366</v>
      </c>
    </row>
    <row r="1342" spans="1:25" ht="15.75" hidden="1" customHeight="1" x14ac:dyDescent="0.25">
      <c r="A1342" s="148" t="s">
        <v>76</v>
      </c>
      <c r="B1342" s="148" t="s">
        <v>71</v>
      </c>
      <c r="C1342" s="148" t="s">
        <v>45</v>
      </c>
      <c r="D1342" s="148" t="s">
        <v>29</v>
      </c>
      <c r="E1342" s="148" t="s">
        <v>72</v>
      </c>
      <c r="F1342" s="148" t="s">
        <v>3183</v>
      </c>
      <c r="G1342" s="148" t="s">
        <v>75</v>
      </c>
      <c r="H1342" s="148">
        <v>2010</v>
      </c>
      <c r="I1342" s="148">
        <v>9</v>
      </c>
      <c r="J1342" s="148" t="s">
        <v>150</v>
      </c>
      <c r="K1342" s="148" t="s">
        <v>374</v>
      </c>
      <c r="M1342" s="148" t="s">
        <v>389</v>
      </c>
      <c r="N1342" s="148">
        <v>8</v>
      </c>
      <c r="O1342" s="148" t="s">
        <v>83</v>
      </c>
      <c r="Y1342" s="150" t="s">
        <v>366</v>
      </c>
    </row>
    <row r="1343" spans="1:25" ht="15.75" hidden="1" customHeight="1" x14ac:dyDescent="0.25">
      <c r="A1343" s="148" t="s">
        <v>26</v>
      </c>
      <c r="B1343" s="148" t="s">
        <v>71</v>
      </c>
      <c r="C1343" s="148" t="s">
        <v>45</v>
      </c>
      <c r="D1343" s="148" t="s">
        <v>29</v>
      </c>
      <c r="E1343" s="148" t="s">
        <v>72</v>
      </c>
      <c r="F1343" s="148" t="s">
        <v>3183</v>
      </c>
      <c r="G1343" s="148" t="s">
        <v>75</v>
      </c>
      <c r="H1343" s="148">
        <v>2010</v>
      </c>
      <c r="I1343" s="148">
        <v>9</v>
      </c>
      <c r="J1343" s="148" t="s">
        <v>33</v>
      </c>
      <c r="U1343" s="149" t="s">
        <v>112</v>
      </c>
      <c r="V1343" s="149" t="s">
        <v>3666</v>
      </c>
      <c r="W1343" s="148" t="s">
        <v>49</v>
      </c>
      <c r="X1343" s="148" t="s">
        <v>876</v>
      </c>
      <c r="Y1343" s="150" t="s">
        <v>877</v>
      </c>
    </row>
    <row r="1344" spans="1:25" ht="15.75" hidden="1" customHeight="1" x14ac:dyDescent="0.25">
      <c r="A1344" s="148" t="s">
        <v>76</v>
      </c>
      <c r="B1344" s="148" t="s">
        <v>27</v>
      </c>
      <c r="C1344" s="148" t="s">
        <v>28</v>
      </c>
      <c r="D1344" s="148" t="s">
        <v>99</v>
      </c>
      <c r="E1344" s="148" t="s">
        <v>40</v>
      </c>
      <c r="F1344" s="148" t="s">
        <v>41</v>
      </c>
      <c r="G1344" s="148" t="s">
        <v>42</v>
      </c>
      <c r="H1344" s="148">
        <v>2010</v>
      </c>
      <c r="I1344" s="148">
        <v>9</v>
      </c>
      <c r="J1344" s="148" t="s">
        <v>118</v>
      </c>
      <c r="K1344" s="148" t="s">
        <v>629</v>
      </c>
      <c r="M1344" s="148" t="s">
        <v>120</v>
      </c>
      <c r="N1344" s="148">
        <v>6</v>
      </c>
      <c r="O1344" s="148" t="s">
        <v>101</v>
      </c>
      <c r="P1344" s="148" t="s">
        <v>156</v>
      </c>
      <c r="Y1344" s="150" t="s">
        <v>366</v>
      </c>
    </row>
    <row r="1345" spans="1:26" ht="15.75" hidden="1" customHeight="1" x14ac:dyDescent="0.25">
      <c r="A1345" s="148" t="s">
        <v>307</v>
      </c>
      <c r="B1345" s="148" t="s">
        <v>77</v>
      </c>
      <c r="C1345" s="148" t="s">
        <v>55</v>
      </c>
      <c r="D1345" s="148" t="s">
        <v>78</v>
      </c>
      <c r="E1345" s="148" t="s">
        <v>30</v>
      </c>
      <c r="F1345" s="148" t="s">
        <v>41</v>
      </c>
      <c r="G1345" s="148" t="s">
        <v>79</v>
      </c>
      <c r="H1345" s="148">
        <v>2010</v>
      </c>
      <c r="I1345" s="148">
        <v>9</v>
      </c>
      <c r="J1345" s="148" t="s">
        <v>399</v>
      </c>
      <c r="Q1345" s="148" t="s">
        <v>594</v>
      </c>
      <c r="R1345" s="148" t="s">
        <v>878</v>
      </c>
      <c r="S1345" s="148" t="s">
        <v>596</v>
      </c>
      <c r="T1345" s="148" t="s">
        <v>879</v>
      </c>
      <c r="Y1345" s="150" t="s">
        <v>880</v>
      </c>
    </row>
    <row r="1346" spans="1:26" ht="13.5" hidden="1" customHeight="1" x14ac:dyDescent="0.25">
      <c r="A1346" s="148" t="s">
        <v>26</v>
      </c>
      <c r="B1346" s="148" t="s">
        <v>36</v>
      </c>
      <c r="C1346" s="148" t="s">
        <v>28</v>
      </c>
      <c r="D1346" s="148" t="s">
        <v>29</v>
      </c>
      <c r="E1346" s="148" t="s">
        <v>30</v>
      </c>
      <c r="F1346" s="148" t="s">
        <v>3183</v>
      </c>
      <c r="G1346" s="148" t="s">
        <v>194</v>
      </c>
      <c r="H1346" s="148">
        <v>2010</v>
      </c>
      <c r="I1346" s="148">
        <v>9</v>
      </c>
      <c r="J1346" s="148" t="s">
        <v>881</v>
      </c>
      <c r="U1346" s="149" t="s">
        <v>3629</v>
      </c>
      <c r="V1346" s="149" t="s">
        <v>3634</v>
      </c>
      <c r="W1346" s="148" t="s">
        <v>87</v>
      </c>
      <c r="X1346" s="148" t="s">
        <v>854</v>
      </c>
    </row>
    <row r="1347" spans="1:26" ht="15.75" hidden="1" customHeight="1" x14ac:dyDescent="0.25">
      <c r="A1347" s="148" t="s">
        <v>307</v>
      </c>
      <c r="B1347" s="148" t="s">
        <v>36</v>
      </c>
      <c r="C1347" s="148" t="s">
        <v>28</v>
      </c>
      <c r="D1347" s="148" t="s">
        <v>29</v>
      </c>
      <c r="E1347" s="148" t="s">
        <v>30</v>
      </c>
      <c r="F1347" s="148" t="s">
        <v>3183</v>
      </c>
      <c r="G1347" s="148" t="s">
        <v>194</v>
      </c>
      <c r="H1347" s="148">
        <v>2010</v>
      </c>
      <c r="I1347" s="148">
        <v>9</v>
      </c>
      <c r="J1347" s="148" t="s">
        <v>308</v>
      </c>
      <c r="Q1347" s="148" t="s">
        <v>818</v>
      </c>
      <c r="R1347" s="148" t="s">
        <v>882</v>
      </c>
      <c r="S1347" s="148" t="s">
        <v>427</v>
      </c>
      <c r="T1347" s="148" t="s">
        <v>883</v>
      </c>
      <c r="Y1347" s="150" t="s">
        <v>366</v>
      </c>
    </row>
    <row r="1348" spans="1:26" ht="15.75" hidden="1" customHeight="1" x14ac:dyDescent="0.25">
      <c r="A1348" s="148" t="s">
        <v>76</v>
      </c>
      <c r="B1348" s="148" t="s">
        <v>27</v>
      </c>
      <c r="C1348" s="148" t="s">
        <v>28</v>
      </c>
      <c r="D1348" s="148" t="s">
        <v>158</v>
      </c>
      <c r="E1348" s="148" t="s">
        <v>30</v>
      </c>
      <c r="F1348" s="148" t="s">
        <v>3183</v>
      </c>
      <c r="G1348" s="148" t="s">
        <v>43</v>
      </c>
      <c r="H1348" s="148">
        <v>2010</v>
      </c>
      <c r="I1348" s="148">
        <v>9</v>
      </c>
      <c r="J1348" s="148" t="s">
        <v>118</v>
      </c>
      <c r="K1348" s="148" t="s">
        <v>455</v>
      </c>
      <c r="M1348" s="148" t="s">
        <v>132</v>
      </c>
      <c r="N1348" s="148">
        <v>8</v>
      </c>
      <c r="O1348" s="148" t="s">
        <v>101</v>
      </c>
      <c r="P1348" s="148" t="s">
        <v>390</v>
      </c>
      <c r="Y1348" s="150" t="s">
        <v>366</v>
      </c>
    </row>
    <row r="1349" spans="1:26" ht="15.75" hidden="1" customHeight="1" x14ac:dyDescent="0.25">
      <c r="A1349" s="148" t="s">
        <v>76</v>
      </c>
      <c r="B1349" s="148" t="s">
        <v>103</v>
      </c>
      <c r="C1349" s="148" t="s">
        <v>55</v>
      </c>
      <c r="D1349" s="148" t="s">
        <v>29</v>
      </c>
      <c r="E1349" s="148" t="s">
        <v>30</v>
      </c>
      <c r="F1349" s="148" t="s">
        <v>56</v>
      </c>
      <c r="G1349" s="148" t="s">
        <v>381</v>
      </c>
      <c r="H1349" s="148">
        <v>2010</v>
      </c>
      <c r="I1349" s="148">
        <v>9</v>
      </c>
      <c r="J1349" s="148" t="s">
        <v>118</v>
      </c>
      <c r="K1349" s="148" t="s">
        <v>455</v>
      </c>
      <c r="M1349" s="148" t="s">
        <v>132</v>
      </c>
      <c r="N1349" s="148">
        <v>8</v>
      </c>
      <c r="O1349" s="148" t="s">
        <v>101</v>
      </c>
      <c r="P1349" s="148" t="s">
        <v>700</v>
      </c>
      <c r="Y1349" s="150" t="s">
        <v>366</v>
      </c>
    </row>
    <row r="1350" spans="1:26" ht="15.75" hidden="1" customHeight="1" x14ac:dyDescent="0.25">
      <c r="A1350" s="148" t="s">
        <v>76</v>
      </c>
      <c r="B1350" s="148" t="s">
        <v>36</v>
      </c>
      <c r="C1350" s="148" t="s">
        <v>28</v>
      </c>
      <c r="D1350" s="148" t="s">
        <v>99</v>
      </c>
      <c r="E1350" s="148" t="s">
        <v>51</v>
      </c>
      <c r="F1350" s="148" t="s">
        <v>3183</v>
      </c>
      <c r="G1350" s="148" t="s">
        <v>52</v>
      </c>
      <c r="H1350" s="148">
        <v>2010</v>
      </c>
      <c r="I1350" s="148">
        <v>9</v>
      </c>
      <c r="J1350" s="148" t="s">
        <v>118</v>
      </c>
      <c r="K1350" s="148" t="s">
        <v>327</v>
      </c>
      <c r="M1350" s="148" t="s">
        <v>82</v>
      </c>
      <c r="N1350" s="148">
        <v>8</v>
      </c>
      <c r="O1350" s="148" t="s">
        <v>101</v>
      </c>
      <c r="P1350" s="148" t="s">
        <v>453</v>
      </c>
      <c r="Y1350" s="150" t="s">
        <v>366</v>
      </c>
    </row>
    <row r="1351" spans="1:26" ht="15.75" hidden="1" customHeight="1" x14ac:dyDescent="0.25">
      <c r="A1351" s="148" t="s">
        <v>307</v>
      </c>
      <c r="B1351" s="148" t="s">
        <v>103</v>
      </c>
      <c r="C1351" s="148" t="s">
        <v>55</v>
      </c>
      <c r="D1351" s="148" t="s">
        <v>86</v>
      </c>
      <c r="E1351" s="148" t="s">
        <v>95</v>
      </c>
      <c r="F1351" s="148" t="s">
        <v>56</v>
      </c>
      <c r="G1351" s="148" t="s">
        <v>186</v>
      </c>
      <c r="H1351" s="148">
        <v>2010</v>
      </c>
      <c r="I1351" s="148">
        <v>9</v>
      </c>
      <c r="J1351" s="148" t="s">
        <v>308</v>
      </c>
      <c r="Q1351" s="148" t="s">
        <v>594</v>
      </c>
      <c r="R1351" s="148" t="s">
        <v>884</v>
      </c>
      <c r="S1351" s="148" t="s">
        <v>885</v>
      </c>
      <c r="T1351" s="148" t="s">
        <v>886</v>
      </c>
      <c r="Y1351" s="150" t="s">
        <v>366</v>
      </c>
    </row>
    <row r="1352" spans="1:26" ht="15.75" hidden="1" customHeight="1" x14ac:dyDescent="0.25">
      <c r="A1352" s="148" t="s">
        <v>76</v>
      </c>
      <c r="B1352" s="148" t="s">
        <v>36</v>
      </c>
      <c r="C1352" s="148" t="s">
        <v>28</v>
      </c>
      <c r="D1352" s="148" t="s">
        <v>887</v>
      </c>
      <c r="E1352" s="148" t="s">
        <v>30</v>
      </c>
      <c r="F1352" s="148" t="s">
        <v>3183</v>
      </c>
      <c r="G1352" s="148" t="s">
        <v>888</v>
      </c>
      <c r="H1352" s="148">
        <v>2010</v>
      </c>
      <c r="I1352" s="148">
        <v>10</v>
      </c>
      <c r="J1352" s="148" t="s">
        <v>80</v>
      </c>
      <c r="K1352" s="148" t="s">
        <v>327</v>
      </c>
      <c r="M1352" s="148" t="s">
        <v>82</v>
      </c>
      <c r="N1352" s="148">
        <v>8</v>
      </c>
      <c r="O1352" s="148" t="s">
        <v>83</v>
      </c>
      <c r="P1352" s="148" t="s">
        <v>889</v>
      </c>
      <c r="Y1352" s="150" t="s">
        <v>890</v>
      </c>
      <c r="Z1352" s="148" t="s">
        <v>891</v>
      </c>
    </row>
    <row r="1353" spans="1:26" ht="15.75" hidden="1" customHeight="1" x14ac:dyDescent="0.25">
      <c r="A1353" s="148" t="s">
        <v>76</v>
      </c>
      <c r="B1353" s="148" t="s">
        <v>103</v>
      </c>
      <c r="C1353" s="148" t="s">
        <v>55</v>
      </c>
      <c r="D1353" s="148" t="s">
        <v>29</v>
      </c>
      <c r="E1353" s="148" t="s">
        <v>95</v>
      </c>
      <c r="F1353" s="148" t="s">
        <v>56</v>
      </c>
      <c r="G1353" s="148" t="s">
        <v>506</v>
      </c>
      <c r="H1353" s="148">
        <v>2010</v>
      </c>
      <c r="I1353" s="148">
        <v>10</v>
      </c>
      <c r="J1353" s="148" t="s">
        <v>118</v>
      </c>
      <c r="K1353" s="148" t="s">
        <v>629</v>
      </c>
      <c r="M1353" s="148" t="s">
        <v>120</v>
      </c>
      <c r="N1353" s="148">
        <v>6</v>
      </c>
      <c r="O1353" s="148" t="s">
        <v>101</v>
      </c>
      <c r="P1353" s="148" t="s">
        <v>892</v>
      </c>
      <c r="Y1353" s="150" t="s">
        <v>366</v>
      </c>
    </row>
    <row r="1354" spans="1:26" ht="15.75" hidden="1" customHeight="1" x14ac:dyDescent="0.25">
      <c r="A1354" s="148" t="s">
        <v>76</v>
      </c>
      <c r="B1354" s="148" t="s">
        <v>103</v>
      </c>
      <c r="C1354" s="148" t="s">
        <v>55</v>
      </c>
      <c r="D1354" s="148" t="s">
        <v>29</v>
      </c>
      <c r="E1354" s="148" t="s">
        <v>30</v>
      </c>
      <c r="F1354" s="148" t="s">
        <v>56</v>
      </c>
      <c r="G1354" s="148" t="s">
        <v>260</v>
      </c>
      <c r="H1354" s="148">
        <v>2010</v>
      </c>
      <c r="I1354" s="148">
        <v>10</v>
      </c>
      <c r="J1354" s="148" t="s">
        <v>118</v>
      </c>
      <c r="K1354" s="148" t="s">
        <v>455</v>
      </c>
      <c r="M1354" s="148" t="s">
        <v>132</v>
      </c>
      <c r="N1354" s="148">
        <v>8</v>
      </c>
      <c r="O1354" s="148" t="s">
        <v>101</v>
      </c>
      <c r="P1354" s="148" t="s">
        <v>146</v>
      </c>
      <c r="Y1354" s="150" t="s">
        <v>366</v>
      </c>
    </row>
    <row r="1355" spans="1:26" ht="15.75" hidden="1" customHeight="1" x14ac:dyDescent="0.25">
      <c r="A1355" s="148" t="s">
        <v>76</v>
      </c>
      <c r="B1355" s="148" t="s">
        <v>103</v>
      </c>
      <c r="C1355" s="148" t="s">
        <v>55</v>
      </c>
      <c r="D1355" s="148" t="s">
        <v>29</v>
      </c>
      <c r="E1355" s="148" t="s">
        <v>30</v>
      </c>
      <c r="F1355" s="148" t="s">
        <v>56</v>
      </c>
      <c r="G1355" s="148" t="s">
        <v>260</v>
      </c>
      <c r="H1355" s="148">
        <v>2010</v>
      </c>
      <c r="I1355" s="148">
        <v>10</v>
      </c>
      <c r="J1355" s="148" t="s">
        <v>118</v>
      </c>
      <c r="K1355" s="148" t="s">
        <v>388</v>
      </c>
      <c r="M1355" s="148" t="s">
        <v>126</v>
      </c>
      <c r="N1355" s="148">
        <v>10</v>
      </c>
      <c r="O1355" s="148" t="s">
        <v>101</v>
      </c>
      <c r="P1355" s="148" t="s">
        <v>146</v>
      </c>
      <c r="Y1355" s="150" t="s">
        <v>366</v>
      </c>
    </row>
    <row r="1356" spans="1:26" ht="15.75" hidden="1" customHeight="1" x14ac:dyDescent="0.25">
      <c r="A1356" s="148" t="s">
        <v>76</v>
      </c>
      <c r="B1356" s="148" t="s">
        <v>103</v>
      </c>
      <c r="C1356" s="148" t="s">
        <v>55</v>
      </c>
      <c r="D1356" s="148" t="s">
        <v>29</v>
      </c>
      <c r="E1356" s="148" t="s">
        <v>30</v>
      </c>
      <c r="F1356" s="148" t="s">
        <v>56</v>
      </c>
      <c r="G1356" s="148" t="s">
        <v>382</v>
      </c>
      <c r="H1356" s="148">
        <v>2010</v>
      </c>
      <c r="I1356" s="148">
        <v>10</v>
      </c>
      <c r="J1356" s="148" t="s">
        <v>150</v>
      </c>
      <c r="K1356" s="148" t="s">
        <v>629</v>
      </c>
      <c r="M1356" s="148" t="s">
        <v>120</v>
      </c>
      <c r="N1356" s="148">
        <v>6</v>
      </c>
      <c r="O1356" s="148" t="s">
        <v>83</v>
      </c>
      <c r="Y1356" s="150" t="s">
        <v>366</v>
      </c>
    </row>
    <row r="1357" spans="1:26" ht="15.75" hidden="1" customHeight="1" x14ac:dyDescent="0.25">
      <c r="A1357" s="148" t="s">
        <v>76</v>
      </c>
      <c r="B1357" s="148" t="s">
        <v>103</v>
      </c>
      <c r="C1357" s="148" t="s">
        <v>55</v>
      </c>
      <c r="D1357" s="148" t="s">
        <v>29</v>
      </c>
      <c r="E1357" s="148" t="s">
        <v>30</v>
      </c>
      <c r="F1357" s="148" t="s">
        <v>56</v>
      </c>
      <c r="G1357" s="148" t="s">
        <v>405</v>
      </c>
      <c r="H1357" s="148">
        <v>2010</v>
      </c>
      <c r="I1357" s="148">
        <v>10</v>
      </c>
      <c r="J1357" s="148" t="s">
        <v>118</v>
      </c>
      <c r="K1357" s="148" t="s">
        <v>629</v>
      </c>
      <c r="M1357" s="148" t="s">
        <v>120</v>
      </c>
      <c r="N1357" s="148">
        <v>6</v>
      </c>
      <c r="O1357" s="148" t="s">
        <v>101</v>
      </c>
      <c r="P1357" s="148" t="s">
        <v>893</v>
      </c>
      <c r="Y1357" s="150" t="s">
        <v>366</v>
      </c>
    </row>
    <row r="1358" spans="1:26" ht="15.75" hidden="1" customHeight="1" x14ac:dyDescent="0.25">
      <c r="A1358" s="148" t="s">
        <v>76</v>
      </c>
      <c r="B1358" s="148" t="s">
        <v>103</v>
      </c>
      <c r="C1358" s="148" t="s">
        <v>55</v>
      </c>
      <c r="D1358" s="148" t="s">
        <v>478</v>
      </c>
      <c r="E1358" s="148" t="s">
        <v>95</v>
      </c>
      <c r="F1358" s="148" t="s">
        <v>56</v>
      </c>
      <c r="G1358" s="148" t="s">
        <v>107</v>
      </c>
      <c r="H1358" s="148">
        <v>2010</v>
      </c>
      <c r="I1358" s="148">
        <v>10</v>
      </c>
      <c r="J1358" s="148" t="s">
        <v>118</v>
      </c>
      <c r="K1358" s="148" t="s">
        <v>327</v>
      </c>
      <c r="M1358" s="148" t="s">
        <v>82</v>
      </c>
      <c r="N1358" s="148">
        <v>8</v>
      </c>
      <c r="O1358" s="148" t="s">
        <v>101</v>
      </c>
      <c r="P1358" s="148" t="s">
        <v>545</v>
      </c>
      <c r="Y1358" s="150" t="s">
        <v>366</v>
      </c>
    </row>
    <row r="1359" spans="1:26" ht="15.75" hidden="1" customHeight="1" x14ac:dyDescent="0.25">
      <c r="A1359" s="148" t="s">
        <v>76</v>
      </c>
      <c r="B1359" s="148" t="s">
        <v>62</v>
      </c>
      <c r="C1359" s="148" t="s">
        <v>28</v>
      </c>
      <c r="D1359" s="148" t="s">
        <v>759</v>
      </c>
      <c r="E1359" s="148" t="s">
        <v>51</v>
      </c>
      <c r="F1359" s="148" t="s">
        <v>3183</v>
      </c>
      <c r="G1359" s="148" t="s">
        <v>409</v>
      </c>
      <c r="H1359" s="148">
        <v>2010</v>
      </c>
      <c r="I1359" s="148">
        <v>10</v>
      </c>
      <c r="J1359" s="148" t="s">
        <v>640</v>
      </c>
      <c r="K1359" s="148" t="s">
        <v>327</v>
      </c>
      <c r="M1359" s="148" t="s">
        <v>82</v>
      </c>
      <c r="N1359" s="148">
        <v>8</v>
      </c>
      <c r="O1359" s="148" t="s">
        <v>83</v>
      </c>
      <c r="P1359" s="148" t="s">
        <v>146</v>
      </c>
      <c r="Y1359" s="150" t="s">
        <v>366</v>
      </c>
      <c r="Z1359" s="148" t="s">
        <v>894</v>
      </c>
    </row>
    <row r="1360" spans="1:26" ht="15.75" hidden="1" customHeight="1" x14ac:dyDescent="0.25">
      <c r="A1360" s="148" t="s">
        <v>26</v>
      </c>
      <c r="B1360" s="148" t="s">
        <v>89</v>
      </c>
      <c r="C1360" s="148" t="s">
        <v>90</v>
      </c>
      <c r="D1360" s="148" t="s">
        <v>29</v>
      </c>
      <c r="E1360" s="148" t="s">
        <v>30</v>
      </c>
      <c r="F1360" s="148" t="s">
        <v>91</v>
      </c>
      <c r="G1360" s="148" t="s">
        <v>222</v>
      </c>
      <c r="H1360" s="148">
        <v>2010</v>
      </c>
      <c r="I1360" s="148">
        <v>10</v>
      </c>
      <c r="J1360" s="148" t="s">
        <v>895</v>
      </c>
      <c r="U1360" s="149" t="s">
        <v>112</v>
      </c>
      <c r="V1360" s="148" t="s">
        <v>3667</v>
      </c>
      <c r="W1360" s="148" t="s">
        <v>34</v>
      </c>
      <c r="Z1360" s="148" t="s">
        <v>896</v>
      </c>
    </row>
    <row r="1361" spans="1:26" ht="15.75" hidden="1" customHeight="1" x14ac:dyDescent="0.25">
      <c r="A1361" s="148" t="s">
        <v>76</v>
      </c>
      <c r="B1361" s="148" t="s">
        <v>36</v>
      </c>
      <c r="C1361" s="148" t="s">
        <v>28</v>
      </c>
      <c r="D1361" s="148" t="s">
        <v>342</v>
      </c>
      <c r="E1361" s="148" t="s">
        <v>30</v>
      </c>
      <c r="F1361" s="148" t="s">
        <v>3183</v>
      </c>
      <c r="G1361" s="148" t="s">
        <v>242</v>
      </c>
      <c r="H1361" s="148">
        <v>2010</v>
      </c>
      <c r="I1361" s="148">
        <v>10</v>
      </c>
      <c r="J1361" s="148" t="s">
        <v>640</v>
      </c>
      <c r="K1361" s="148" t="s">
        <v>327</v>
      </c>
      <c r="M1361" s="148" t="s">
        <v>82</v>
      </c>
      <c r="N1361" s="148">
        <v>8</v>
      </c>
      <c r="O1361" s="148" t="s">
        <v>83</v>
      </c>
      <c r="P1361" s="148" t="s">
        <v>599</v>
      </c>
      <c r="Y1361" s="150" t="s">
        <v>366</v>
      </c>
      <c r="Z1361" s="148" t="s">
        <v>894</v>
      </c>
    </row>
    <row r="1362" spans="1:26" ht="15.75" hidden="1" customHeight="1" x14ac:dyDescent="0.25">
      <c r="A1362" s="148" t="s">
        <v>76</v>
      </c>
      <c r="B1362" s="148" t="s">
        <v>62</v>
      </c>
      <c r="C1362" s="148" t="s">
        <v>28</v>
      </c>
      <c r="D1362" s="148" t="s">
        <v>51</v>
      </c>
      <c r="E1362" s="148" t="s">
        <v>30</v>
      </c>
      <c r="F1362" s="148" t="s">
        <v>3183</v>
      </c>
      <c r="G1362" s="148" t="s">
        <v>63</v>
      </c>
      <c r="H1362" s="148">
        <v>2010</v>
      </c>
      <c r="I1362" s="148">
        <v>10</v>
      </c>
      <c r="J1362" s="148" t="s">
        <v>150</v>
      </c>
      <c r="K1362" s="148" t="s">
        <v>379</v>
      </c>
      <c r="M1362" s="148" t="s">
        <v>126</v>
      </c>
      <c r="N1362" s="148">
        <v>10</v>
      </c>
      <c r="O1362" s="148" t="s">
        <v>83</v>
      </c>
      <c r="P1362" s="148" t="s">
        <v>897</v>
      </c>
      <c r="Y1362" s="150" t="s">
        <v>366</v>
      </c>
    </row>
    <row r="1363" spans="1:26" ht="15.75" hidden="1" customHeight="1" x14ac:dyDescent="0.25">
      <c r="A1363" s="148" t="s">
        <v>76</v>
      </c>
      <c r="B1363" s="148" t="s">
        <v>103</v>
      </c>
      <c r="C1363" s="148" t="s">
        <v>55</v>
      </c>
      <c r="D1363" s="148" t="s">
        <v>29</v>
      </c>
      <c r="E1363" s="148" t="s">
        <v>95</v>
      </c>
      <c r="F1363" s="148" t="s">
        <v>56</v>
      </c>
      <c r="G1363" s="148" t="s">
        <v>270</v>
      </c>
      <c r="H1363" s="148">
        <v>2010</v>
      </c>
      <c r="I1363" s="148">
        <v>10</v>
      </c>
      <c r="J1363" s="148" t="s">
        <v>118</v>
      </c>
      <c r="K1363" s="148" t="s">
        <v>327</v>
      </c>
      <c r="M1363" s="148" t="s">
        <v>82</v>
      </c>
      <c r="N1363" s="148">
        <v>8</v>
      </c>
      <c r="O1363" s="148" t="s">
        <v>101</v>
      </c>
      <c r="P1363" s="148" t="s">
        <v>435</v>
      </c>
      <c r="Y1363" s="150" t="s">
        <v>366</v>
      </c>
    </row>
    <row r="1364" spans="1:26" ht="15.75" hidden="1" customHeight="1" x14ac:dyDescent="0.25">
      <c r="A1364" s="148" t="s">
        <v>76</v>
      </c>
      <c r="B1364" s="148" t="s">
        <v>103</v>
      </c>
      <c r="C1364" s="148" t="s">
        <v>55</v>
      </c>
      <c r="D1364" s="148" t="s">
        <v>29</v>
      </c>
      <c r="E1364" s="148" t="s">
        <v>95</v>
      </c>
      <c r="F1364" s="148" t="s">
        <v>56</v>
      </c>
      <c r="G1364" s="148" t="s">
        <v>270</v>
      </c>
      <c r="H1364" s="148">
        <v>2010</v>
      </c>
      <c r="I1364" s="148">
        <v>10</v>
      </c>
      <c r="J1364" s="148" t="s">
        <v>150</v>
      </c>
      <c r="K1364" s="148" t="s">
        <v>629</v>
      </c>
      <c r="M1364" s="148" t="s">
        <v>120</v>
      </c>
      <c r="N1364" s="148">
        <v>6</v>
      </c>
      <c r="O1364" s="148" t="s">
        <v>83</v>
      </c>
      <c r="Y1364" s="150" t="s">
        <v>366</v>
      </c>
    </row>
    <row r="1365" spans="1:26" ht="15.75" hidden="1" customHeight="1" x14ac:dyDescent="0.25">
      <c r="A1365" s="148" t="s">
        <v>76</v>
      </c>
      <c r="B1365" s="148" t="s">
        <v>89</v>
      </c>
      <c r="C1365" s="148" t="s">
        <v>90</v>
      </c>
      <c r="D1365" s="148" t="s">
        <v>29</v>
      </c>
      <c r="E1365" s="148" t="s">
        <v>30</v>
      </c>
      <c r="F1365" s="148" t="s">
        <v>91</v>
      </c>
      <c r="G1365" s="148" t="s">
        <v>634</v>
      </c>
      <c r="H1365" s="148">
        <v>2010</v>
      </c>
      <c r="I1365" s="148">
        <v>10</v>
      </c>
      <c r="J1365" s="148" t="s">
        <v>118</v>
      </c>
      <c r="K1365" s="148" t="s">
        <v>327</v>
      </c>
      <c r="M1365" s="148" t="s">
        <v>82</v>
      </c>
      <c r="N1365" s="148">
        <v>8</v>
      </c>
      <c r="O1365" s="148" t="s">
        <v>101</v>
      </c>
      <c r="P1365" s="148" t="s">
        <v>146</v>
      </c>
      <c r="Y1365" s="150" t="s">
        <v>366</v>
      </c>
    </row>
    <row r="1366" spans="1:26" ht="15.75" hidden="1" customHeight="1" x14ac:dyDescent="0.25">
      <c r="A1366" s="148" t="s">
        <v>26</v>
      </c>
      <c r="B1366" s="148" t="s">
        <v>89</v>
      </c>
      <c r="C1366" s="148" t="s">
        <v>90</v>
      </c>
      <c r="D1366" s="148" t="s">
        <v>29</v>
      </c>
      <c r="E1366" s="148" t="s">
        <v>30</v>
      </c>
      <c r="F1366" s="148" t="s">
        <v>91</v>
      </c>
      <c r="G1366" s="148" t="s">
        <v>743</v>
      </c>
      <c r="H1366" s="148">
        <v>2010</v>
      </c>
      <c r="I1366" s="148">
        <v>10</v>
      </c>
      <c r="J1366" s="148" t="s">
        <v>895</v>
      </c>
      <c r="U1366" s="149" t="s">
        <v>112</v>
      </c>
      <c r="V1366" s="148" t="s">
        <v>3667</v>
      </c>
      <c r="W1366" s="148" t="s">
        <v>34</v>
      </c>
      <c r="Z1366" s="148" t="s">
        <v>896</v>
      </c>
    </row>
    <row r="1367" spans="1:26" ht="15.75" hidden="1" customHeight="1" x14ac:dyDescent="0.25">
      <c r="A1367" s="148" t="s">
        <v>26</v>
      </c>
      <c r="B1367" s="148" t="s">
        <v>89</v>
      </c>
      <c r="C1367" s="148" t="s">
        <v>90</v>
      </c>
      <c r="D1367" s="148" t="s">
        <v>29</v>
      </c>
      <c r="E1367" s="148" t="s">
        <v>30</v>
      </c>
      <c r="F1367" s="148" t="s">
        <v>91</v>
      </c>
      <c r="G1367" s="148" t="s">
        <v>93</v>
      </c>
      <c r="H1367" s="148">
        <v>2010</v>
      </c>
      <c r="I1367" s="148">
        <v>10</v>
      </c>
      <c r="J1367" s="148" t="s">
        <v>895</v>
      </c>
      <c r="U1367" s="149" t="s">
        <v>112</v>
      </c>
      <c r="V1367" s="148" t="s">
        <v>3667</v>
      </c>
      <c r="W1367" s="148" t="s">
        <v>34</v>
      </c>
      <c r="Z1367" s="148" t="s">
        <v>896</v>
      </c>
    </row>
    <row r="1368" spans="1:26" ht="15.75" hidden="1" customHeight="1" x14ac:dyDescent="0.25">
      <c r="A1368" s="148" t="s">
        <v>307</v>
      </c>
      <c r="B1368" s="148" t="s">
        <v>36</v>
      </c>
      <c r="C1368" s="148" t="s">
        <v>28</v>
      </c>
      <c r="D1368" s="148" t="s">
        <v>99</v>
      </c>
      <c r="E1368" s="148" t="s">
        <v>51</v>
      </c>
      <c r="F1368" s="148" t="s">
        <v>3183</v>
      </c>
      <c r="G1368" s="148" t="s">
        <v>52</v>
      </c>
      <c r="H1368" s="148">
        <v>2010</v>
      </c>
      <c r="I1368" s="148">
        <v>10</v>
      </c>
      <c r="J1368" s="148" t="s">
        <v>308</v>
      </c>
      <c r="Q1368" s="148" t="s">
        <v>309</v>
      </c>
      <c r="R1368" s="148" t="s">
        <v>898</v>
      </c>
      <c r="S1368" s="148" t="s">
        <v>311</v>
      </c>
      <c r="T1368" s="148" t="s">
        <v>309</v>
      </c>
      <c r="Y1368" s="150" t="s">
        <v>366</v>
      </c>
    </row>
    <row r="1369" spans="1:26" ht="13.5" hidden="1" customHeight="1" x14ac:dyDescent="0.25">
      <c r="A1369" s="148" t="s">
        <v>76</v>
      </c>
      <c r="B1369" s="148" t="s">
        <v>36</v>
      </c>
      <c r="C1369" s="148" t="s">
        <v>28</v>
      </c>
      <c r="D1369" s="148" t="s">
        <v>342</v>
      </c>
      <c r="E1369" s="148" t="s">
        <v>30</v>
      </c>
      <c r="F1369" s="148" t="s">
        <v>3183</v>
      </c>
      <c r="G1369" s="148" t="s">
        <v>114</v>
      </c>
      <c r="H1369" s="148">
        <v>2010</v>
      </c>
      <c r="I1369" s="148">
        <v>10</v>
      </c>
      <c r="J1369" s="148" t="s">
        <v>150</v>
      </c>
      <c r="K1369" s="148" t="s">
        <v>327</v>
      </c>
      <c r="M1369" s="148" t="s">
        <v>82</v>
      </c>
      <c r="N1369" s="148">
        <v>8</v>
      </c>
      <c r="O1369" s="148" t="s">
        <v>83</v>
      </c>
      <c r="P1369" s="148" t="s">
        <v>899</v>
      </c>
      <c r="Y1369" s="150" t="s">
        <v>900</v>
      </c>
    </row>
    <row r="1370" spans="1:26" ht="15.75" hidden="1" customHeight="1" x14ac:dyDescent="0.25">
      <c r="A1370" s="148" t="s">
        <v>26</v>
      </c>
      <c r="B1370" s="148" t="s">
        <v>116</v>
      </c>
      <c r="C1370" s="148" t="s">
        <v>90</v>
      </c>
      <c r="D1370" s="148" t="s">
        <v>29</v>
      </c>
      <c r="E1370" s="148" t="s">
        <v>30</v>
      </c>
      <c r="F1370" s="148" t="s">
        <v>41</v>
      </c>
      <c r="G1370" s="148" t="s">
        <v>683</v>
      </c>
      <c r="H1370" s="148">
        <v>2010</v>
      </c>
      <c r="I1370" s="148">
        <v>10</v>
      </c>
      <c r="J1370" s="148" t="s">
        <v>792</v>
      </c>
      <c r="U1370" s="149" t="s">
        <v>3629</v>
      </c>
      <c r="V1370" s="149" t="s">
        <v>3635</v>
      </c>
      <c r="W1370" s="148" t="s">
        <v>87</v>
      </c>
      <c r="X1370" s="148" t="s">
        <v>873</v>
      </c>
    </row>
    <row r="1371" spans="1:26" ht="15.75" hidden="1" customHeight="1" x14ac:dyDescent="0.25">
      <c r="A1371" s="148" t="s">
        <v>76</v>
      </c>
      <c r="B1371" s="148" t="s">
        <v>89</v>
      </c>
      <c r="C1371" s="148" t="s">
        <v>90</v>
      </c>
      <c r="D1371" s="148" t="s">
        <v>29</v>
      </c>
      <c r="E1371" s="148" t="s">
        <v>30</v>
      </c>
      <c r="F1371" s="148" t="s">
        <v>91</v>
      </c>
      <c r="G1371" s="148" t="s">
        <v>280</v>
      </c>
      <c r="H1371" s="148">
        <v>2010</v>
      </c>
      <c r="I1371" s="148">
        <v>10</v>
      </c>
      <c r="J1371" s="148" t="s">
        <v>118</v>
      </c>
      <c r="K1371" s="148" t="s">
        <v>379</v>
      </c>
      <c r="M1371" s="148" t="s">
        <v>126</v>
      </c>
      <c r="N1371" s="148">
        <v>10</v>
      </c>
      <c r="O1371" s="148" t="s">
        <v>101</v>
      </c>
      <c r="P1371" s="148" t="s">
        <v>146</v>
      </c>
      <c r="Y1371" s="150" t="s">
        <v>366</v>
      </c>
    </row>
    <row r="1372" spans="1:26" ht="15.75" hidden="1" customHeight="1" x14ac:dyDescent="0.25">
      <c r="A1372" s="148" t="s">
        <v>76</v>
      </c>
      <c r="B1372" s="148" t="s">
        <v>71</v>
      </c>
      <c r="C1372" s="148" t="s">
        <v>45</v>
      </c>
      <c r="D1372" s="148" t="s">
        <v>29</v>
      </c>
      <c r="E1372" s="148" t="s">
        <v>72</v>
      </c>
      <c r="F1372" s="148" t="s">
        <v>3183</v>
      </c>
      <c r="G1372" s="148" t="s">
        <v>73</v>
      </c>
      <c r="H1372" s="148">
        <v>2010</v>
      </c>
      <c r="I1372" s="148">
        <v>11</v>
      </c>
      <c r="J1372" s="148" t="s">
        <v>150</v>
      </c>
      <c r="K1372" s="148" t="s">
        <v>629</v>
      </c>
      <c r="M1372" s="148" t="s">
        <v>120</v>
      </c>
      <c r="N1372" s="148">
        <v>6</v>
      </c>
      <c r="O1372" s="148" t="s">
        <v>83</v>
      </c>
      <c r="Y1372" s="150" t="s">
        <v>366</v>
      </c>
    </row>
    <row r="1373" spans="1:26" ht="13.5" hidden="1" customHeight="1" x14ac:dyDescent="0.25">
      <c r="A1373" s="148" t="s">
        <v>76</v>
      </c>
      <c r="B1373" s="148" t="s">
        <v>27</v>
      </c>
      <c r="C1373" s="148" t="s">
        <v>28</v>
      </c>
      <c r="D1373" s="148" t="s">
        <v>158</v>
      </c>
      <c r="E1373" s="148" t="s">
        <v>30</v>
      </c>
      <c r="F1373" s="148" t="s">
        <v>3183</v>
      </c>
      <c r="G1373" s="148" t="s">
        <v>32</v>
      </c>
      <c r="H1373" s="148">
        <v>2010</v>
      </c>
      <c r="I1373" s="148">
        <v>11</v>
      </c>
      <c r="J1373" s="148" t="s">
        <v>118</v>
      </c>
      <c r="K1373" s="148" t="s">
        <v>629</v>
      </c>
      <c r="M1373" s="148" t="s">
        <v>120</v>
      </c>
      <c r="N1373" s="148">
        <v>6</v>
      </c>
      <c r="O1373" s="148" t="s">
        <v>101</v>
      </c>
      <c r="P1373" s="148" t="s">
        <v>901</v>
      </c>
      <c r="Y1373" s="150" t="s">
        <v>366</v>
      </c>
    </row>
    <row r="1374" spans="1:26" ht="15.75" hidden="1" customHeight="1" x14ac:dyDescent="0.25">
      <c r="A1374" s="148" t="s">
        <v>26</v>
      </c>
      <c r="B1374" s="148" t="s">
        <v>27</v>
      </c>
      <c r="C1374" s="148" t="s">
        <v>28</v>
      </c>
      <c r="D1374" s="148" t="s">
        <v>158</v>
      </c>
      <c r="E1374" s="148" t="s">
        <v>30</v>
      </c>
      <c r="F1374" s="148" t="s">
        <v>3183</v>
      </c>
      <c r="G1374" s="148" t="s">
        <v>32</v>
      </c>
      <c r="H1374" s="148">
        <v>2010</v>
      </c>
      <c r="I1374" s="148">
        <v>11</v>
      </c>
      <c r="J1374" s="148" t="s">
        <v>895</v>
      </c>
      <c r="U1374" s="149" t="s">
        <v>112</v>
      </c>
      <c r="V1374" s="148" t="s">
        <v>3667</v>
      </c>
      <c r="W1374" s="148" t="s">
        <v>34</v>
      </c>
      <c r="X1374" s="148" t="s">
        <v>902</v>
      </c>
    </row>
    <row r="1375" spans="1:26" ht="13.5" hidden="1" customHeight="1" x14ac:dyDescent="0.25">
      <c r="A1375" s="148" t="s">
        <v>76</v>
      </c>
      <c r="B1375" s="148" t="s">
        <v>198</v>
      </c>
      <c r="C1375" s="148" t="s">
        <v>45</v>
      </c>
      <c r="D1375" s="148" t="s">
        <v>478</v>
      </c>
      <c r="E1375" s="148" t="s">
        <v>30</v>
      </c>
      <c r="F1375" s="148" t="s">
        <v>199</v>
      </c>
      <c r="G1375" s="148" t="s">
        <v>208</v>
      </c>
      <c r="H1375" s="148">
        <v>2010</v>
      </c>
      <c r="I1375" s="148">
        <v>11</v>
      </c>
      <c r="J1375" s="148" t="s">
        <v>150</v>
      </c>
      <c r="K1375" s="148" t="s">
        <v>520</v>
      </c>
      <c r="M1375" s="148" t="s">
        <v>701</v>
      </c>
      <c r="N1375" s="148">
        <v>8</v>
      </c>
      <c r="O1375" s="148" t="s">
        <v>83</v>
      </c>
      <c r="Y1375" s="150" t="s">
        <v>366</v>
      </c>
    </row>
    <row r="1376" spans="1:26" ht="15.75" hidden="1" customHeight="1" x14ac:dyDescent="0.25">
      <c r="A1376" s="148" t="s">
        <v>76</v>
      </c>
      <c r="B1376" s="148" t="s">
        <v>198</v>
      </c>
      <c r="C1376" s="148" t="s">
        <v>45</v>
      </c>
      <c r="D1376" s="148" t="s">
        <v>94</v>
      </c>
      <c r="E1376" s="148" t="s">
        <v>30</v>
      </c>
      <c r="F1376" s="148" t="s">
        <v>199</v>
      </c>
      <c r="G1376" s="148" t="s">
        <v>296</v>
      </c>
      <c r="H1376" s="148">
        <v>2010</v>
      </c>
      <c r="I1376" s="148">
        <v>11</v>
      </c>
      <c r="J1376" s="148" t="s">
        <v>150</v>
      </c>
      <c r="K1376" s="148" t="s">
        <v>520</v>
      </c>
      <c r="M1376" s="148" t="s">
        <v>701</v>
      </c>
      <c r="N1376" s="148">
        <v>8</v>
      </c>
      <c r="O1376" s="148" t="s">
        <v>83</v>
      </c>
      <c r="Y1376" s="150" t="s">
        <v>366</v>
      </c>
    </row>
    <row r="1377" spans="1:26" ht="15.75" hidden="1" customHeight="1" x14ac:dyDescent="0.25">
      <c r="A1377" s="148" t="s">
        <v>76</v>
      </c>
      <c r="B1377" s="148" t="s">
        <v>198</v>
      </c>
      <c r="C1377" s="148" t="s">
        <v>45</v>
      </c>
      <c r="D1377" s="148" t="s">
        <v>29</v>
      </c>
      <c r="E1377" s="148" t="s">
        <v>30</v>
      </c>
      <c r="F1377" s="148" t="s">
        <v>199</v>
      </c>
      <c r="G1377" s="148" t="s">
        <v>241</v>
      </c>
      <c r="H1377" s="148">
        <v>2010</v>
      </c>
      <c r="I1377" s="148">
        <v>11</v>
      </c>
      <c r="J1377" s="148" t="s">
        <v>150</v>
      </c>
      <c r="K1377" s="148" t="s">
        <v>455</v>
      </c>
      <c r="M1377" s="148" t="s">
        <v>132</v>
      </c>
      <c r="N1377" s="148">
        <v>8</v>
      </c>
      <c r="O1377" s="148" t="s">
        <v>83</v>
      </c>
      <c r="Y1377" s="150" t="s">
        <v>366</v>
      </c>
    </row>
    <row r="1378" spans="1:26" ht="15.75" hidden="1" customHeight="1" x14ac:dyDescent="0.25">
      <c r="A1378" s="148" t="s">
        <v>76</v>
      </c>
      <c r="B1378" s="148" t="s">
        <v>89</v>
      </c>
      <c r="C1378" s="148" t="s">
        <v>90</v>
      </c>
      <c r="D1378" s="148" t="s">
        <v>29</v>
      </c>
      <c r="E1378" s="148" t="s">
        <v>30</v>
      </c>
      <c r="F1378" s="148" t="s">
        <v>91</v>
      </c>
      <c r="G1378" s="148" t="s">
        <v>443</v>
      </c>
      <c r="H1378" s="148">
        <v>2010</v>
      </c>
      <c r="I1378" s="148">
        <v>11</v>
      </c>
      <c r="J1378" s="148" t="s">
        <v>150</v>
      </c>
      <c r="K1378" s="148" t="s">
        <v>903</v>
      </c>
      <c r="M1378" s="148" t="s">
        <v>442</v>
      </c>
      <c r="N1378" s="148">
        <v>6</v>
      </c>
      <c r="O1378" s="148" t="s">
        <v>83</v>
      </c>
      <c r="Y1378" s="150" t="s">
        <v>366</v>
      </c>
    </row>
    <row r="1379" spans="1:26" ht="15.75" hidden="1" customHeight="1" x14ac:dyDescent="0.25">
      <c r="A1379" s="148" t="s">
        <v>76</v>
      </c>
      <c r="B1379" s="148" t="s">
        <v>103</v>
      </c>
      <c r="C1379" s="148" t="s">
        <v>55</v>
      </c>
      <c r="D1379" s="148" t="s">
        <v>99</v>
      </c>
      <c r="E1379" s="148" t="s">
        <v>95</v>
      </c>
      <c r="F1379" s="148" t="s">
        <v>56</v>
      </c>
      <c r="G1379" s="148" t="s">
        <v>104</v>
      </c>
      <c r="H1379" s="148">
        <v>2010</v>
      </c>
      <c r="I1379" s="148">
        <v>11</v>
      </c>
      <c r="J1379" s="148" t="s">
        <v>118</v>
      </c>
      <c r="K1379" s="148" t="s">
        <v>455</v>
      </c>
      <c r="M1379" s="148" t="s">
        <v>132</v>
      </c>
      <c r="N1379" s="148">
        <v>8</v>
      </c>
      <c r="O1379" s="148" t="s">
        <v>101</v>
      </c>
      <c r="P1379" s="148" t="s">
        <v>146</v>
      </c>
      <c r="Y1379" s="150" t="s">
        <v>366</v>
      </c>
    </row>
    <row r="1380" spans="1:26" ht="15.75" hidden="1" customHeight="1" x14ac:dyDescent="0.25">
      <c r="A1380" s="148" t="s">
        <v>76</v>
      </c>
      <c r="B1380" s="148" t="s">
        <v>36</v>
      </c>
      <c r="C1380" s="148" t="s">
        <v>28</v>
      </c>
      <c r="D1380" s="148" t="s">
        <v>99</v>
      </c>
      <c r="E1380" s="148" t="s">
        <v>30</v>
      </c>
      <c r="F1380" s="148" t="s">
        <v>3183</v>
      </c>
      <c r="G1380" s="148" t="s">
        <v>59</v>
      </c>
      <c r="H1380" s="148">
        <v>2010</v>
      </c>
      <c r="I1380" s="148">
        <v>11</v>
      </c>
      <c r="J1380" s="148" t="s">
        <v>150</v>
      </c>
      <c r="K1380" s="148" t="s">
        <v>629</v>
      </c>
      <c r="M1380" s="148" t="s">
        <v>120</v>
      </c>
      <c r="N1380" s="148">
        <v>6</v>
      </c>
      <c r="O1380" s="148" t="s">
        <v>83</v>
      </c>
      <c r="Y1380" s="150" t="s">
        <v>366</v>
      </c>
    </row>
    <row r="1381" spans="1:26" ht="15.75" hidden="1" customHeight="1" x14ac:dyDescent="0.25">
      <c r="A1381" s="148" t="s">
        <v>76</v>
      </c>
      <c r="B1381" s="148" t="s">
        <v>116</v>
      </c>
      <c r="C1381" s="148" t="s">
        <v>90</v>
      </c>
      <c r="D1381" s="148" t="s">
        <v>29</v>
      </c>
      <c r="E1381" s="148" t="s">
        <v>40</v>
      </c>
      <c r="F1381" s="148" t="s">
        <v>41</v>
      </c>
      <c r="G1381" s="148" t="s">
        <v>473</v>
      </c>
      <c r="H1381" s="148">
        <v>2010</v>
      </c>
      <c r="I1381" s="148">
        <v>11</v>
      </c>
      <c r="J1381" s="148" t="s">
        <v>150</v>
      </c>
      <c r="K1381" s="148" t="s">
        <v>388</v>
      </c>
      <c r="M1381" s="148" t="s">
        <v>126</v>
      </c>
      <c r="N1381" s="148">
        <v>10</v>
      </c>
      <c r="O1381" s="148" t="s">
        <v>83</v>
      </c>
      <c r="P1381" s="148" t="s">
        <v>398</v>
      </c>
      <c r="Y1381" s="150" t="s">
        <v>366</v>
      </c>
    </row>
    <row r="1382" spans="1:26" ht="15.75" hidden="1" customHeight="1" x14ac:dyDescent="0.25">
      <c r="A1382" s="148" t="s">
        <v>76</v>
      </c>
      <c r="B1382" s="148" t="s">
        <v>103</v>
      </c>
      <c r="C1382" s="148" t="s">
        <v>55</v>
      </c>
      <c r="D1382" s="148" t="s">
        <v>29</v>
      </c>
      <c r="E1382" s="148" t="s">
        <v>95</v>
      </c>
      <c r="F1382" s="148" t="s">
        <v>56</v>
      </c>
      <c r="G1382" s="148" t="s">
        <v>559</v>
      </c>
      <c r="H1382" s="148">
        <v>2010</v>
      </c>
      <c r="I1382" s="148">
        <v>11</v>
      </c>
      <c r="J1382" s="148" t="s">
        <v>118</v>
      </c>
      <c r="K1382" s="148" t="s">
        <v>327</v>
      </c>
      <c r="M1382" s="148" t="s">
        <v>82</v>
      </c>
      <c r="N1382" s="148">
        <v>8</v>
      </c>
      <c r="O1382" s="148" t="s">
        <v>101</v>
      </c>
      <c r="P1382" s="148" t="s">
        <v>562</v>
      </c>
      <c r="Y1382" s="150" t="s">
        <v>366</v>
      </c>
    </row>
    <row r="1383" spans="1:26" ht="15.75" hidden="1" customHeight="1" x14ac:dyDescent="0.25">
      <c r="A1383" s="148" t="s">
        <v>76</v>
      </c>
      <c r="B1383" s="148" t="s">
        <v>71</v>
      </c>
      <c r="C1383" s="148" t="s">
        <v>45</v>
      </c>
      <c r="D1383" s="148" t="s">
        <v>29</v>
      </c>
      <c r="E1383" s="148" t="s">
        <v>72</v>
      </c>
      <c r="F1383" s="148" t="s">
        <v>3183</v>
      </c>
      <c r="G1383" s="148" t="s">
        <v>75</v>
      </c>
      <c r="H1383" s="148">
        <v>2010</v>
      </c>
      <c r="I1383" s="148">
        <v>11</v>
      </c>
      <c r="J1383" s="148" t="s">
        <v>150</v>
      </c>
      <c r="K1383" s="148" t="s">
        <v>629</v>
      </c>
      <c r="M1383" s="148" t="s">
        <v>120</v>
      </c>
      <c r="N1383" s="148">
        <v>6</v>
      </c>
      <c r="O1383" s="148" t="s">
        <v>83</v>
      </c>
      <c r="Y1383" s="150" t="s">
        <v>366</v>
      </c>
    </row>
    <row r="1384" spans="1:26" ht="15.75" hidden="1" customHeight="1" x14ac:dyDescent="0.25">
      <c r="A1384" s="148" t="s">
        <v>76</v>
      </c>
      <c r="B1384" s="148" t="s">
        <v>89</v>
      </c>
      <c r="C1384" s="148" t="s">
        <v>90</v>
      </c>
      <c r="D1384" s="148" t="s">
        <v>99</v>
      </c>
      <c r="E1384" s="148" t="s">
        <v>30</v>
      </c>
      <c r="F1384" s="148" t="s">
        <v>91</v>
      </c>
      <c r="G1384" s="148" t="s">
        <v>178</v>
      </c>
      <c r="H1384" s="148">
        <v>2010</v>
      </c>
      <c r="I1384" s="148">
        <v>11</v>
      </c>
      <c r="J1384" s="148" t="s">
        <v>118</v>
      </c>
      <c r="K1384" s="148" t="s">
        <v>579</v>
      </c>
      <c r="M1384" s="148" t="s">
        <v>554</v>
      </c>
      <c r="N1384" s="148">
        <v>8</v>
      </c>
      <c r="O1384" s="148" t="s">
        <v>101</v>
      </c>
      <c r="P1384" s="148" t="s">
        <v>263</v>
      </c>
      <c r="Y1384" s="150" t="s">
        <v>366</v>
      </c>
    </row>
    <row r="1385" spans="1:26" ht="15.75" hidden="1" customHeight="1" x14ac:dyDescent="0.25">
      <c r="A1385" s="148" t="s">
        <v>76</v>
      </c>
      <c r="B1385" s="148" t="s">
        <v>27</v>
      </c>
      <c r="C1385" s="148" t="s">
        <v>28</v>
      </c>
      <c r="D1385" s="148" t="s">
        <v>99</v>
      </c>
      <c r="E1385" s="148" t="s">
        <v>40</v>
      </c>
      <c r="F1385" s="148" t="s">
        <v>41</v>
      </c>
      <c r="G1385" s="148" t="s">
        <v>42</v>
      </c>
      <c r="H1385" s="148">
        <v>2010</v>
      </c>
      <c r="I1385" s="148">
        <v>11</v>
      </c>
      <c r="J1385" s="148" t="s">
        <v>118</v>
      </c>
      <c r="K1385" s="148" t="s">
        <v>579</v>
      </c>
      <c r="M1385" s="148" t="s">
        <v>554</v>
      </c>
      <c r="N1385" s="148">
        <v>8</v>
      </c>
      <c r="O1385" s="148" t="s">
        <v>101</v>
      </c>
      <c r="P1385" s="148" t="s">
        <v>904</v>
      </c>
      <c r="Y1385" s="150" t="s">
        <v>905</v>
      </c>
      <c r="Z1385" s="148" t="s">
        <v>906</v>
      </c>
    </row>
    <row r="1386" spans="1:26" ht="15.75" hidden="1" customHeight="1" x14ac:dyDescent="0.25">
      <c r="A1386" s="148" t="s">
        <v>307</v>
      </c>
      <c r="B1386" s="148" t="s">
        <v>198</v>
      </c>
      <c r="C1386" s="148" t="s">
        <v>45</v>
      </c>
      <c r="D1386" s="148" t="s">
        <v>99</v>
      </c>
      <c r="E1386" s="148" t="s">
        <v>30</v>
      </c>
      <c r="F1386" s="148" t="s">
        <v>199</v>
      </c>
      <c r="G1386" s="148" t="s">
        <v>248</v>
      </c>
      <c r="H1386" s="148">
        <v>2010</v>
      </c>
      <c r="I1386" s="148">
        <v>11</v>
      </c>
      <c r="J1386" s="148" t="s">
        <v>308</v>
      </c>
      <c r="Q1386" s="148" t="s">
        <v>426</v>
      </c>
      <c r="R1386" s="148" t="s">
        <v>907</v>
      </c>
      <c r="S1386" s="148" t="s">
        <v>311</v>
      </c>
      <c r="T1386" s="148" t="s">
        <v>543</v>
      </c>
      <c r="X1386" s="148" t="s">
        <v>543</v>
      </c>
      <c r="Y1386" s="150" t="s">
        <v>908</v>
      </c>
    </row>
    <row r="1387" spans="1:26" ht="15.75" hidden="1" customHeight="1" x14ac:dyDescent="0.25">
      <c r="A1387" s="148" t="s">
        <v>76</v>
      </c>
      <c r="B1387" s="148" t="s">
        <v>198</v>
      </c>
      <c r="C1387" s="148" t="s">
        <v>45</v>
      </c>
      <c r="D1387" s="148" t="s">
        <v>99</v>
      </c>
      <c r="E1387" s="148" t="s">
        <v>30</v>
      </c>
      <c r="F1387" s="148" t="s">
        <v>199</v>
      </c>
      <c r="G1387" s="148" t="s">
        <v>248</v>
      </c>
      <c r="H1387" s="148">
        <v>2010</v>
      </c>
      <c r="I1387" s="148">
        <v>11</v>
      </c>
      <c r="J1387" s="148" t="s">
        <v>150</v>
      </c>
      <c r="K1387" s="148" t="s">
        <v>455</v>
      </c>
      <c r="M1387" s="148" t="s">
        <v>132</v>
      </c>
      <c r="N1387" s="148">
        <v>8</v>
      </c>
      <c r="O1387" s="148" t="s">
        <v>83</v>
      </c>
      <c r="Y1387" s="150" t="s">
        <v>366</v>
      </c>
    </row>
    <row r="1388" spans="1:26" ht="15.75" hidden="1" customHeight="1" x14ac:dyDescent="0.25">
      <c r="A1388" s="148" t="s">
        <v>76</v>
      </c>
      <c r="B1388" s="148" t="s">
        <v>36</v>
      </c>
      <c r="C1388" s="148" t="s">
        <v>28</v>
      </c>
      <c r="D1388" s="148" t="s">
        <v>86</v>
      </c>
      <c r="E1388" s="148" t="s">
        <v>51</v>
      </c>
      <c r="F1388" s="148" t="s">
        <v>3183</v>
      </c>
      <c r="G1388" s="148" t="s">
        <v>69</v>
      </c>
      <c r="H1388" s="148">
        <v>2010</v>
      </c>
      <c r="I1388" s="148">
        <v>11</v>
      </c>
      <c r="J1388" s="148" t="s">
        <v>150</v>
      </c>
      <c r="K1388" s="148" t="s">
        <v>629</v>
      </c>
      <c r="M1388" s="148" t="s">
        <v>120</v>
      </c>
      <c r="N1388" s="148">
        <v>6</v>
      </c>
      <c r="O1388" s="148" t="s">
        <v>83</v>
      </c>
      <c r="Y1388" s="150" t="s">
        <v>366</v>
      </c>
    </row>
    <row r="1389" spans="1:26" ht="15.75" hidden="1" customHeight="1" x14ac:dyDescent="0.25">
      <c r="A1389" s="148" t="s">
        <v>76</v>
      </c>
      <c r="B1389" s="148" t="s">
        <v>103</v>
      </c>
      <c r="C1389" s="148" t="s">
        <v>55</v>
      </c>
      <c r="D1389" s="148" t="s">
        <v>490</v>
      </c>
      <c r="E1389" s="148" t="s">
        <v>95</v>
      </c>
      <c r="F1389" s="148" t="s">
        <v>56</v>
      </c>
      <c r="G1389" s="148" t="s">
        <v>168</v>
      </c>
      <c r="H1389" s="148">
        <v>2010</v>
      </c>
      <c r="I1389" s="148">
        <v>11</v>
      </c>
      <c r="J1389" s="148" t="s">
        <v>118</v>
      </c>
      <c r="K1389" s="148" t="s">
        <v>379</v>
      </c>
      <c r="M1389" s="148" t="s">
        <v>126</v>
      </c>
      <c r="N1389" s="148">
        <v>10</v>
      </c>
      <c r="O1389" s="148" t="s">
        <v>101</v>
      </c>
      <c r="P1389" s="148" t="s">
        <v>146</v>
      </c>
      <c r="Y1389" s="150" t="s">
        <v>366</v>
      </c>
    </row>
    <row r="1390" spans="1:26" ht="15.75" hidden="1" customHeight="1" x14ac:dyDescent="0.25">
      <c r="A1390" s="148" t="s">
        <v>307</v>
      </c>
      <c r="B1390" s="148" t="s">
        <v>103</v>
      </c>
      <c r="C1390" s="148" t="s">
        <v>55</v>
      </c>
      <c r="D1390" s="148" t="s">
        <v>490</v>
      </c>
      <c r="E1390" s="148" t="s">
        <v>95</v>
      </c>
      <c r="F1390" s="148" t="s">
        <v>56</v>
      </c>
      <c r="G1390" s="148" t="s">
        <v>168</v>
      </c>
      <c r="H1390" s="148">
        <v>2010</v>
      </c>
      <c r="I1390" s="148">
        <v>11</v>
      </c>
      <c r="J1390" s="148" t="s">
        <v>308</v>
      </c>
      <c r="Q1390" s="148" t="s">
        <v>309</v>
      </c>
      <c r="R1390" s="148" t="s">
        <v>909</v>
      </c>
      <c r="S1390" s="148" t="s">
        <v>311</v>
      </c>
      <c r="T1390" s="148" t="s">
        <v>823</v>
      </c>
      <c r="Y1390" s="150" t="s">
        <v>366</v>
      </c>
    </row>
    <row r="1391" spans="1:26" ht="15.75" hidden="1" customHeight="1" x14ac:dyDescent="0.25">
      <c r="A1391" s="148" t="s">
        <v>76</v>
      </c>
      <c r="B1391" s="148" t="s">
        <v>54</v>
      </c>
      <c r="C1391" s="148" t="s">
        <v>55</v>
      </c>
      <c r="D1391" s="148" t="s">
        <v>65</v>
      </c>
      <c r="E1391" s="148" t="s">
        <v>30</v>
      </c>
      <c r="F1391" s="148" t="s">
        <v>56</v>
      </c>
      <c r="G1391" s="148" t="s">
        <v>54</v>
      </c>
      <c r="H1391" s="148">
        <v>2010</v>
      </c>
      <c r="I1391" s="148">
        <v>11</v>
      </c>
      <c r="J1391" s="148" t="s">
        <v>118</v>
      </c>
      <c r="K1391" s="148" t="s">
        <v>327</v>
      </c>
      <c r="M1391" s="148" t="s">
        <v>82</v>
      </c>
      <c r="N1391" s="148">
        <v>8</v>
      </c>
      <c r="O1391" s="148" t="s">
        <v>101</v>
      </c>
      <c r="P1391" s="148" t="s">
        <v>146</v>
      </c>
      <c r="Y1391" s="150" t="s">
        <v>366</v>
      </c>
    </row>
    <row r="1392" spans="1:26" ht="15.75" hidden="1" customHeight="1" x14ac:dyDescent="0.25">
      <c r="A1392" s="148" t="s">
        <v>26</v>
      </c>
      <c r="B1392" s="148" t="s">
        <v>116</v>
      </c>
      <c r="C1392" s="148" t="s">
        <v>90</v>
      </c>
      <c r="D1392" s="148" t="s">
        <v>29</v>
      </c>
      <c r="E1392" s="148" t="s">
        <v>30</v>
      </c>
      <c r="F1392" s="148" t="s">
        <v>41</v>
      </c>
      <c r="G1392" s="148" t="s">
        <v>756</v>
      </c>
      <c r="H1392" s="148">
        <v>2010</v>
      </c>
      <c r="I1392" s="148">
        <v>11</v>
      </c>
      <c r="J1392" s="148" t="s">
        <v>33</v>
      </c>
      <c r="U1392" s="149" t="s">
        <v>3629</v>
      </c>
      <c r="V1392" s="149" t="s">
        <v>3635</v>
      </c>
      <c r="W1392" s="148" t="s">
        <v>87</v>
      </c>
      <c r="X1392" s="148" t="s">
        <v>873</v>
      </c>
    </row>
    <row r="1393" spans="1:25" ht="15.75" hidden="1" customHeight="1" x14ac:dyDescent="0.25">
      <c r="A1393" s="148" t="s">
        <v>76</v>
      </c>
      <c r="B1393" s="148" t="s">
        <v>89</v>
      </c>
      <c r="C1393" s="148" t="s">
        <v>90</v>
      </c>
      <c r="D1393" s="148" t="s">
        <v>29</v>
      </c>
      <c r="E1393" s="148" t="s">
        <v>30</v>
      </c>
      <c r="F1393" s="148" t="s">
        <v>91</v>
      </c>
      <c r="G1393" s="148" t="s">
        <v>429</v>
      </c>
      <c r="H1393" s="148">
        <v>2010</v>
      </c>
      <c r="I1393" s="148">
        <v>11</v>
      </c>
      <c r="J1393" s="148" t="s">
        <v>118</v>
      </c>
      <c r="K1393" s="148" t="s">
        <v>327</v>
      </c>
      <c r="M1393" s="148" t="s">
        <v>82</v>
      </c>
      <c r="N1393" s="148">
        <v>8</v>
      </c>
      <c r="O1393" s="148" t="s">
        <v>101</v>
      </c>
      <c r="P1393" s="148" t="s">
        <v>146</v>
      </c>
      <c r="Y1393" s="150" t="s">
        <v>366</v>
      </c>
    </row>
    <row r="1394" spans="1:25" ht="15.75" customHeight="1" x14ac:dyDescent="0.25">
      <c r="A1394" s="148" t="s">
        <v>76</v>
      </c>
      <c r="B1394" s="148" t="s">
        <v>36</v>
      </c>
      <c r="C1394" s="148" t="s">
        <v>28</v>
      </c>
      <c r="D1394" s="148" t="s">
        <v>29</v>
      </c>
      <c r="E1394" s="148" t="s">
        <v>30</v>
      </c>
      <c r="F1394" s="148" t="s">
        <v>3183</v>
      </c>
      <c r="G1394" s="148" t="s">
        <v>194</v>
      </c>
      <c r="H1394" s="148">
        <v>2010</v>
      </c>
      <c r="I1394" s="148">
        <v>11</v>
      </c>
      <c r="J1394" s="148" t="s">
        <v>150</v>
      </c>
      <c r="K1394" s="148" t="s">
        <v>629</v>
      </c>
      <c r="M1394" s="148" t="s">
        <v>120</v>
      </c>
      <c r="N1394" s="148">
        <v>6</v>
      </c>
      <c r="O1394" s="148" t="s">
        <v>83</v>
      </c>
      <c r="Y1394" s="150" t="s">
        <v>366</v>
      </c>
    </row>
    <row r="1395" spans="1:25" ht="15.75" hidden="1" customHeight="1" x14ac:dyDescent="0.25">
      <c r="A1395" s="148" t="s">
        <v>307</v>
      </c>
      <c r="B1395" s="148" t="s">
        <v>36</v>
      </c>
      <c r="C1395" s="148" t="s">
        <v>28</v>
      </c>
      <c r="D1395" s="148" t="s">
        <v>29</v>
      </c>
      <c r="E1395" s="148" t="s">
        <v>30</v>
      </c>
      <c r="F1395" s="148" t="s">
        <v>3183</v>
      </c>
      <c r="G1395" s="148" t="s">
        <v>194</v>
      </c>
      <c r="H1395" s="148">
        <v>2010</v>
      </c>
      <c r="I1395" s="148">
        <v>11</v>
      </c>
      <c r="J1395" s="148" t="s">
        <v>308</v>
      </c>
      <c r="Q1395" s="148" t="s">
        <v>309</v>
      </c>
      <c r="R1395" s="148" t="s">
        <v>882</v>
      </c>
      <c r="S1395" s="148" t="s">
        <v>311</v>
      </c>
      <c r="T1395" s="148" t="s">
        <v>807</v>
      </c>
      <c r="Y1395" s="150" t="s">
        <v>366</v>
      </c>
    </row>
    <row r="1396" spans="1:25" ht="15.75" hidden="1" customHeight="1" x14ac:dyDescent="0.25">
      <c r="A1396" s="148" t="s">
        <v>76</v>
      </c>
      <c r="B1396" s="148" t="s">
        <v>89</v>
      </c>
      <c r="C1396" s="148" t="s">
        <v>90</v>
      </c>
      <c r="D1396" s="148" t="s">
        <v>478</v>
      </c>
      <c r="E1396" s="148" t="s">
        <v>30</v>
      </c>
      <c r="F1396" s="148" t="s">
        <v>91</v>
      </c>
      <c r="G1396" s="148" t="s">
        <v>92</v>
      </c>
      <c r="H1396" s="148">
        <v>2010</v>
      </c>
      <c r="I1396" s="148">
        <v>11</v>
      </c>
      <c r="J1396" s="148" t="s">
        <v>118</v>
      </c>
      <c r="K1396" s="148" t="s">
        <v>327</v>
      </c>
      <c r="M1396" s="148" t="s">
        <v>82</v>
      </c>
      <c r="N1396" s="148">
        <v>8</v>
      </c>
      <c r="O1396" s="148" t="s">
        <v>101</v>
      </c>
      <c r="P1396" s="148" t="s">
        <v>910</v>
      </c>
      <c r="Y1396" s="150" t="s">
        <v>366</v>
      </c>
    </row>
    <row r="1397" spans="1:25" ht="15.75" hidden="1" customHeight="1" x14ac:dyDescent="0.25">
      <c r="A1397" s="148" t="s">
        <v>76</v>
      </c>
      <c r="B1397" s="148" t="s">
        <v>103</v>
      </c>
      <c r="C1397" s="148" t="s">
        <v>55</v>
      </c>
      <c r="D1397" s="148" t="s">
        <v>29</v>
      </c>
      <c r="E1397" s="148" t="s">
        <v>30</v>
      </c>
      <c r="F1397" s="148" t="s">
        <v>56</v>
      </c>
      <c r="G1397" s="148" t="s">
        <v>432</v>
      </c>
      <c r="H1397" s="148">
        <v>2010</v>
      </c>
      <c r="I1397" s="148">
        <v>11</v>
      </c>
      <c r="J1397" s="148" t="s">
        <v>150</v>
      </c>
      <c r="K1397" s="148" t="s">
        <v>374</v>
      </c>
      <c r="M1397" s="148" t="s">
        <v>389</v>
      </c>
      <c r="N1397" s="148">
        <v>8</v>
      </c>
      <c r="O1397" s="148" t="s">
        <v>83</v>
      </c>
      <c r="Y1397" s="150" t="s">
        <v>366</v>
      </c>
    </row>
    <row r="1398" spans="1:25" ht="15.75" hidden="1" customHeight="1" x14ac:dyDescent="0.25">
      <c r="A1398" s="148" t="s">
        <v>76</v>
      </c>
      <c r="B1398" s="148" t="s">
        <v>116</v>
      </c>
      <c r="C1398" s="148" t="s">
        <v>90</v>
      </c>
      <c r="D1398" s="148" t="s">
        <v>29</v>
      </c>
      <c r="E1398" s="148" t="s">
        <v>30</v>
      </c>
      <c r="F1398" s="148" t="s">
        <v>41</v>
      </c>
      <c r="G1398" s="148" t="s">
        <v>476</v>
      </c>
      <c r="H1398" s="148">
        <v>2010</v>
      </c>
      <c r="I1398" s="148">
        <v>11</v>
      </c>
      <c r="J1398" s="148" t="s">
        <v>150</v>
      </c>
      <c r="K1398" s="148" t="s">
        <v>388</v>
      </c>
      <c r="M1398" s="148" t="s">
        <v>126</v>
      </c>
      <c r="N1398" s="148">
        <v>10</v>
      </c>
      <c r="O1398" s="148" t="s">
        <v>83</v>
      </c>
      <c r="Y1398" s="150" t="s">
        <v>366</v>
      </c>
    </row>
    <row r="1399" spans="1:25" ht="15.75" hidden="1" customHeight="1" x14ac:dyDescent="0.25">
      <c r="A1399" s="148" t="s">
        <v>76</v>
      </c>
      <c r="B1399" s="148" t="s">
        <v>36</v>
      </c>
      <c r="C1399" s="148" t="s">
        <v>28</v>
      </c>
      <c r="D1399" s="148" t="s">
        <v>99</v>
      </c>
      <c r="E1399" s="148" t="s">
        <v>51</v>
      </c>
      <c r="F1399" s="148" t="s">
        <v>3183</v>
      </c>
      <c r="G1399" s="148" t="s">
        <v>52</v>
      </c>
      <c r="H1399" s="148">
        <v>2010</v>
      </c>
      <c r="I1399" s="148">
        <v>11</v>
      </c>
      <c r="J1399" s="148" t="s">
        <v>150</v>
      </c>
      <c r="K1399" s="148" t="s">
        <v>629</v>
      </c>
      <c r="M1399" s="148" t="s">
        <v>120</v>
      </c>
      <c r="N1399" s="148">
        <v>6</v>
      </c>
      <c r="O1399" s="148" t="s">
        <v>83</v>
      </c>
      <c r="P1399" s="148" t="s">
        <v>146</v>
      </c>
      <c r="Y1399" s="150" t="s">
        <v>366</v>
      </c>
    </row>
    <row r="1400" spans="1:25" ht="15.75" hidden="1" customHeight="1" x14ac:dyDescent="0.25">
      <c r="A1400" s="148" t="s">
        <v>307</v>
      </c>
      <c r="B1400" s="148" t="s">
        <v>36</v>
      </c>
      <c r="C1400" s="148" t="s">
        <v>28</v>
      </c>
      <c r="D1400" s="148" t="s">
        <v>99</v>
      </c>
      <c r="E1400" s="148" t="s">
        <v>51</v>
      </c>
      <c r="F1400" s="148" t="s">
        <v>3183</v>
      </c>
      <c r="G1400" s="148" t="s">
        <v>52</v>
      </c>
      <c r="H1400" s="148">
        <v>2010</v>
      </c>
      <c r="I1400" s="148">
        <v>11</v>
      </c>
      <c r="J1400" s="148" t="s">
        <v>308</v>
      </c>
      <c r="Q1400" s="148" t="s">
        <v>866</v>
      </c>
      <c r="R1400" s="148" t="s">
        <v>911</v>
      </c>
      <c r="S1400" s="148" t="s">
        <v>427</v>
      </c>
      <c r="T1400" s="148" t="s">
        <v>912</v>
      </c>
      <c r="Y1400" s="150" t="s">
        <v>366</v>
      </c>
    </row>
    <row r="1401" spans="1:25" ht="15.75" hidden="1" customHeight="1" x14ac:dyDescent="0.25">
      <c r="A1401" s="148" t="s">
        <v>76</v>
      </c>
      <c r="B1401" s="148" t="s">
        <v>89</v>
      </c>
      <c r="C1401" s="148" t="s">
        <v>90</v>
      </c>
      <c r="D1401" s="148" t="s">
        <v>29</v>
      </c>
      <c r="E1401" s="148" t="s">
        <v>40</v>
      </c>
      <c r="F1401" s="148" t="s">
        <v>91</v>
      </c>
      <c r="G1401" s="148" t="s">
        <v>413</v>
      </c>
      <c r="H1401" s="148">
        <v>2010</v>
      </c>
      <c r="I1401" s="148">
        <v>11</v>
      </c>
      <c r="J1401" s="148" t="s">
        <v>150</v>
      </c>
      <c r="K1401" s="148" t="s">
        <v>903</v>
      </c>
      <c r="M1401" s="148" t="s">
        <v>442</v>
      </c>
      <c r="N1401" s="148">
        <v>6</v>
      </c>
      <c r="O1401" s="148" t="s">
        <v>83</v>
      </c>
      <c r="Y1401" s="150" t="s">
        <v>366</v>
      </c>
    </row>
    <row r="1402" spans="1:25" ht="15.75" hidden="1" customHeight="1" x14ac:dyDescent="0.25">
      <c r="A1402" s="148" t="s">
        <v>307</v>
      </c>
      <c r="B1402" s="148" t="s">
        <v>103</v>
      </c>
      <c r="C1402" s="148" t="s">
        <v>55</v>
      </c>
      <c r="D1402" s="148" t="s">
        <v>86</v>
      </c>
      <c r="E1402" s="148" t="s">
        <v>95</v>
      </c>
      <c r="F1402" s="148" t="s">
        <v>56</v>
      </c>
      <c r="G1402" s="148" t="s">
        <v>186</v>
      </c>
      <c r="H1402" s="148">
        <v>2010</v>
      </c>
      <c r="I1402" s="148">
        <v>11</v>
      </c>
      <c r="J1402" s="148" t="s">
        <v>308</v>
      </c>
      <c r="Q1402" s="148" t="s">
        <v>309</v>
      </c>
      <c r="S1402" s="148" t="s">
        <v>311</v>
      </c>
      <c r="T1402" s="148" t="s">
        <v>913</v>
      </c>
      <c r="Y1402" s="150" t="s">
        <v>914</v>
      </c>
    </row>
    <row r="1403" spans="1:25" ht="15.75" hidden="1" customHeight="1" x14ac:dyDescent="0.25">
      <c r="A1403" s="148" t="s">
        <v>76</v>
      </c>
      <c r="B1403" s="148" t="s">
        <v>116</v>
      </c>
      <c r="C1403" s="148" t="s">
        <v>90</v>
      </c>
      <c r="D1403" s="148" t="s">
        <v>29</v>
      </c>
      <c r="E1403" s="148" t="s">
        <v>30</v>
      </c>
      <c r="F1403" s="148" t="s">
        <v>41</v>
      </c>
      <c r="G1403" s="148" t="s">
        <v>503</v>
      </c>
      <c r="H1403" s="148">
        <v>2010</v>
      </c>
      <c r="I1403" s="148">
        <v>11</v>
      </c>
      <c r="J1403" s="148" t="s">
        <v>150</v>
      </c>
      <c r="K1403" s="148" t="s">
        <v>388</v>
      </c>
      <c r="M1403" s="148" t="s">
        <v>126</v>
      </c>
      <c r="N1403" s="148">
        <v>10</v>
      </c>
      <c r="O1403" s="148" t="s">
        <v>83</v>
      </c>
      <c r="P1403" s="148" t="s">
        <v>433</v>
      </c>
      <c r="Y1403" s="150" t="s">
        <v>366</v>
      </c>
    </row>
    <row r="1404" spans="1:25" ht="15.75" hidden="1" customHeight="1" x14ac:dyDescent="0.25">
      <c r="A1404" s="148" t="s">
        <v>76</v>
      </c>
      <c r="B1404" s="148" t="s">
        <v>103</v>
      </c>
      <c r="C1404" s="148" t="s">
        <v>55</v>
      </c>
      <c r="D1404" s="148" t="s">
        <v>478</v>
      </c>
      <c r="E1404" s="148" t="s">
        <v>95</v>
      </c>
      <c r="F1404" s="148" t="s">
        <v>56</v>
      </c>
      <c r="G1404" s="148" t="s">
        <v>108</v>
      </c>
      <c r="H1404" s="148">
        <v>2010</v>
      </c>
      <c r="I1404" s="148">
        <v>11</v>
      </c>
      <c r="J1404" s="148" t="s">
        <v>118</v>
      </c>
      <c r="K1404" s="148" t="s">
        <v>327</v>
      </c>
      <c r="M1404" s="148" t="s">
        <v>82</v>
      </c>
      <c r="N1404" s="148">
        <v>8</v>
      </c>
      <c r="O1404" s="148" t="s">
        <v>101</v>
      </c>
      <c r="P1404" s="148" t="s">
        <v>435</v>
      </c>
      <c r="Y1404" s="150" t="s">
        <v>366</v>
      </c>
    </row>
    <row r="1405" spans="1:25" ht="15.75" hidden="1" customHeight="1" x14ac:dyDescent="0.25">
      <c r="A1405" s="148" t="s">
        <v>76</v>
      </c>
      <c r="B1405" s="148" t="s">
        <v>44</v>
      </c>
      <c r="C1405" s="148" t="s">
        <v>45</v>
      </c>
      <c r="D1405" s="148" t="s">
        <v>29</v>
      </c>
      <c r="E1405" s="148" t="s">
        <v>46</v>
      </c>
      <c r="F1405" s="148" t="s">
        <v>47</v>
      </c>
      <c r="G1405" s="148" t="s">
        <v>48</v>
      </c>
      <c r="H1405" s="148">
        <v>2010</v>
      </c>
      <c r="I1405" s="148">
        <v>11</v>
      </c>
      <c r="J1405" s="148" t="s">
        <v>118</v>
      </c>
      <c r="K1405" s="148" t="s">
        <v>374</v>
      </c>
      <c r="M1405" s="148" t="s">
        <v>389</v>
      </c>
      <c r="N1405" s="148">
        <v>8</v>
      </c>
      <c r="O1405" s="148" t="s">
        <v>101</v>
      </c>
      <c r="P1405" s="148" t="s">
        <v>915</v>
      </c>
      <c r="Y1405" s="150" t="s">
        <v>366</v>
      </c>
    </row>
    <row r="1406" spans="1:25" ht="15.75" hidden="1" customHeight="1" x14ac:dyDescent="0.25">
      <c r="A1406" s="148" t="s">
        <v>76</v>
      </c>
      <c r="B1406" s="148" t="s">
        <v>198</v>
      </c>
      <c r="C1406" s="148" t="s">
        <v>45</v>
      </c>
      <c r="D1406" s="148" t="s">
        <v>257</v>
      </c>
      <c r="E1406" s="148" t="s">
        <v>30</v>
      </c>
      <c r="F1406" s="148" t="s">
        <v>199</v>
      </c>
      <c r="G1406" s="148" t="s">
        <v>258</v>
      </c>
      <c r="H1406" s="148">
        <v>2010</v>
      </c>
      <c r="I1406" s="148">
        <v>11</v>
      </c>
      <c r="J1406" s="148" t="s">
        <v>150</v>
      </c>
      <c r="K1406" s="148" t="s">
        <v>455</v>
      </c>
      <c r="M1406" s="148" t="s">
        <v>132</v>
      </c>
      <c r="N1406" s="148">
        <v>8</v>
      </c>
      <c r="O1406" s="148" t="s">
        <v>83</v>
      </c>
      <c r="Y1406" s="150" t="s">
        <v>366</v>
      </c>
    </row>
    <row r="1407" spans="1:25" ht="15.75" hidden="1" customHeight="1" x14ac:dyDescent="0.25">
      <c r="A1407" s="148" t="s">
        <v>76</v>
      </c>
      <c r="B1407" s="148" t="s">
        <v>36</v>
      </c>
      <c r="C1407" s="148" t="s">
        <v>28</v>
      </c>
      <c r="D1407" s="148" t="s">
        <v>342</v>
      </c>
      <c r="E1407" s="148" t="s">
        <v>30</v>
      </c>
      <c r="F1407" s="148" t="s">
        <v>3183</v>
      </c>
      <c r="G1407" s="148" t="s">
        <v>114</v>
      </c>
      <c r="H1407" s="148">
        <v>2010</v>
      </c>
      <c r="I1407" s="148">
        <v>11</v>
      </c>
      <c r="J1407" s="148" t="s">
        <v>118</v>
      </c>
      <c r="K1407" s="148" t="s">
        <v>374</v>
      </c>
      <c r="M1407" s="148" t="s">
        <v>389</v>
      </c>
      <c r="N1407" s="148">
        <v>8</v>
      </c>
      <c r="O1407" s="148" t="s">
        <v>101</v>
      </c>
      <c r="P1407" s="148" t="s">
        <v>916</v>
      </c>
      <c r="Y1407" s="150" t="s">
        <v>366</v>
      </c>
    </row>
    <row r="1408" spans="1:25" ht="15.75" hidden="1" customHeight="1" x14ac:dyDescent="0.25">
      <c r="A1408" s="148" t="s">
        <v>76</v>
      </c>
      <c r="B1408" s="148" t="s">
        <v>27</v>
      </c>
      <c r="C1408" s="148" t="s">
        <v>55</v>
      </c>
      <c r="D1408" s="148" t="s">
        <v>158</v>
      </c>
      <c r="E1408" s="148" t="s">
        <v>40</v>
      </c>
      <c r="F1408" s="148" t="s">
        <v>41</v>
      </c>
      <c r="G1408" s="148" t="s">
        <v>604</v>
      </c>
      <c r="H1408" s="148">
        <v>2010</v>
      </c>
      <c r="I1408" s="148">
        <v>12</v>
      </c>
      <c r="J1408" s="148" t="s">
        <v>118</v>
      </c>
      <c r="K1408" s="148" t="s">
        <v>874</v>
      </c>
      <c r="M1408" s="148" t="s">
        <v>120</v>
      </c>
      <c r="N1408" s="148">
        <v>6</v>
      </c>
      <c r="O1408" s="148" t="s">
        <v>101</v>
      </c>
      <c r="P1408" s="148" t="s">
        <v>512</v>
      </c>
      <c r="Y1408" s="150" t="s">
        <v>366</v>
      </c>
    </row>
    <row r="1409" spans="1:25" ht="15.75" hidden="1" customHeight="1" x14ac:dyDescent="0.25">
      <c r="A1409" s="148" t="s">
        <v>76</v>
      </c>
      <c r="B1409" s="148" t="s">
        <v>103</v>
      </c>
      <c r="C1409" s="148" t="s">
        <v>55</v>
      </c>
      <c r="D1409" s="148" t="s">
        <v>29</v>
      </c>
      <c r="E1409" s="148" t="s">
        <v>95</v>
      </c>
      <c r="F1409" s="148" t="s">
        <v>56</v>
      </c>
      <c r="G1409" s="148" t="s">
        <v>506</v>
      </c>
      <c r="H1409" s="148">
        <v>2010</v>
      </c>
      <c r="I1409" s="148">
        <v>12</v>
      </c>
      <c r="J1409" s="148" t="s">
        <v>118</v>
      </c>
      <c r="K1409" s="148" t="s">
        <v>455</v>
      </c>
      <c r="M1409" s="148" t="s">
        <v>132</v>
      </c>
      <c r="N1409" s="148">
        <v>8</v>
      </c>
      <c r="O1409" s="148" t="s">
        <v>101</v>
      </c>
      <c r="P1409" s="148" t="s">
        <v>917</v>
      </c>
      <c r="Y1409" s="150" t="s">
        <v>366</v>
      </c>
    </row>
    <row r="1410" spans="1:25" ht="15.75" hidden="1" customHeight="1" x14ac:dyDescent="0.25">
      <c r="A1410" s="148" t="s">
        <v>26</v>
      </c>
      <c r="B1410" s="148" t="s">
        <v>116</v>
      </c>
      <c r="C1410" s="148" t="s">
        <v>90</v>
      </c>
      <c r="D1410" s="148" t="s">
        <v>516</v>
      </c>
      <c r="E1410" s="148" t="s">
        <v>40</v>
      </c>
      <c r="F1410" s="148" t="s">
        <v>41</v>
      </c>
      <c r="G1410" s="148" t="s">
        <v>783</v>
      </c>
      <c r="H1410" s="148">
        <v>2010</v>
      </c>
      <c r="I1410" s="148">
        <v>12</v>
      </c>
      <c r="J1410" s="148" t="s">
        <v>33</v>
      </c>
      <c r="U1410" s="149" t="s">
        <v>3629</v>
      </c>
      <c r="V1410" s="149" t="s">
        <v>3635</v>
      </c>
      <c r="W1410" s="148" t="s">
        <v>87</v>
      </c>
      <c r="X1410" s="148" t="s">
        <v>873</v>
      </c>
    </row>
    <row r="1411" spans="1:25" ht="13.5" hidden="1" customHeight="1" x14ac:dyDescent="0.25">
      <c r="A1411" s="148" t="s">
        <v>76</v>
      </c>
      <c r="B1411" s="148" t="s">
        <v>27</v>
      </c>
      <c r="C1411" s="148" t="s">
        <v>28</v>
      </c>
      <c r="D1411" s="148" t="s">
        <v>158</v>
      </c>
      <c r="E1411" s="148" t="s">
        <v>30</v>
      </c>
      <c r="F1411" s="148" t="s">
        <v>3183</v>
      </c>
      <c r="G1411" s="148" t="s">
        <v>32</v>
      </c>
      <c r="H1411" s="148">
        <v>2010</v>
      </c>
      <c r="I1411" s="148">
        <v>12</v>
      </c>
      <c r="J1411" s="148" t="s">
        <v>118</v>
      </c>
      <c r="K1411" s="148" t="s">
        <v>629</v>
      </c>
      <c r="M1411" s="148" t="s">
        <v>120</v>
      </c>
      <c r="N1411" s="148">
        <v>6</v>
      </c>
      <c r="O1411" s="148" t="s">
        <v>101</v>
      </c>
      <c r="P1411" s="148" t="s">
        <v>691</v>
      </c>
      <c r="Y1411" s="150" t="s">
        <v>366</v>
      </c>
    </row>
    <row r="1412" spans="1:25" ht="15.75" hidden="1" customHeight="1" x14ac:dyDescent="0.25">
      <c r="A1412" s="148" t="s">
        <v>76</v>
      </c>
      <c r="B1412" s="148" t="s">
        <v>103</v>
      </c>
      <c r="C1412" s="148" t="s">
        <v>55</v>
      </c>
      <c r="D1412" s="148" t="s">
        <v>99</v>
      </c>
      <c r="E1412" s="148" t="s">
        <v>95</v>
      </c>
      <c r="F1412" s="148" t="s">
        <v>56</v>
      </c>
      <c r="G1412" s="148" t="s">
        <v>171</v>
      </c>
      <c r="H1412" s="148">
        <v>2010</v>
      </c>
      <c r="I1412" s="148">
        <v>12</v>
      </c>
      <c r="J1412" s="148" t="s">
        <v>118</v>
      </c>
      <c r="K1412" s="148" t="s">
        <v>629</v>
      </c>
      <c r="M1412" s="148" t="s">
        <v>120</v>
      </c>
      <c r="N1412" s="148">
        <v>6</v>
      </c>
      <c r="O1412" s="148" t="s">
        <v>101</v>
      </c>
      <c r="P1412" s="148" t="s">
        <v>918</v>
      </c>
      <c r="Y1412" s="150" t="s">
        <v>366</v>
      </c>
    </row>
    <row r="1413" spans="1:25" ht="13.5" hidden="1" customHeight="1" x14ac:dyDescent="0.25">
      <c r="A1413" s="148" t="s">
        <v>76</v>
      </c>
      <c r="B1413" s="148" t="s">
        <v>198</v>
      </c>
      <c r="C1413" s="148" t="s">
        <v>45</v>
      </c>
      <c r="D1413" s="148" t="s">
        <v>29</v>
      </c>
      <c r="E1413" s="148" t="s">
        <v>30</v>
      </c>
      <c r="F1413" s="148" t="s">
        <v>199</v>
      </c>
      <c r="G1413" s="148" t="s">
        <v>232</v>
      </c>
      <c r="H1413" s="148">
        <v>2010</v>
      </c>
      <c r="I1413" s="148">
        <v>12</v>
      </c>
      <c r="J1413" s="148" t="s">
        <v>150</v>
      </c>
      <c r="K1413" s="148" t="s">
        <v>629</v>
      </c>
      <c r="M1413" s="148" t="s">
        <v>120</v>
      </c>
      <c r="N1413" s="148">
        <v>6</v>
      </c>
      <c r="O1413" s="148" t="s">
        <v>83</v>
      </c>
      <c r="Y1413" s="150" t="s">
        <v>366</v>
      </c>
    </row>
    <row r="1414" spans="1:25" ht="15.75" hidden="1" customHeight="1" x14ac:dyDescent="0.25">
      <c r="A1414" s="148" t="s">
        <v>26</v>
      </c>
      <c r="B1414" s="148" t="s">
        <v>116</v>
      </c>
      <c r="C1414" s="148" t="s">
        <v>90</v>
      </c>
      <c r="D1414" s="148" t="s">
        <v>29</v>
      </c>
      <c r="E1414" s="148" t="s">
        <v>30</v>
      </c>
      <c r="F1414" s="148" t="s">
        <v>41</v>
      </c>
      <c r="G1414" s="148" t="s">
        <v>564</v>
      </c>
      <c r="H1414" s="148">
        <v>2010</v>
      </c>
      <c r="I1414" s="148">
        <v>12</v>
      </c>
      <c r="J1414" s="148" t="s">
        <v>792</v>
      </c>
      <c r="U1414" s="149" t="s">
        <v>3629</v>
      </c>
      <c r="V1414" s="149" t="s">
        <v>3635</v>
      </c>
      <c r="W1414" s="148" t="s">
        <v>87</v>
      </c>
      <c r="X1414" s="148" t="s">
        <v>919</v>
      </c>
    </row>
    <row r="1415" spans="1:25" ht="15.75" hidden="1" customHeight="1" x14ac:dyDescent="0.25">
      <c r="A1415" s="148" t="s">
        <v>76</v>
      </c>
      <c r="B1415" s="148" t="s">
        <v>36</v>
      </c>
      <c r="C1415" s="148" t="s">
        <v>28</v>
      </c>
      <c r="D1415" s="148" t="s">
        <v>99</v>
      </c>
      <c r="E1415" s="148" t="s">
        <v>30</v>
      </c>
      <c r="F1415" s="148" t="s">
        <v>3183</v>
      </c>
      <c r="G1415" s="148" t="s">
        <v>59</v>
      </c>
      <c r="H1415" s="148">
        <v>2010</v>
      </c>
      <c r="I1415" s="148">
        <v>12</v>
      </c>
      <c r="J1415" s="148" t="s">
        <v>118</v>
      </c>
      <c r="K1415" s="148" t="s">
        <v>629</v>
      </c>
      <c r="M1415" s="148" t="s">
        <v>120</v>
      </c>
      <c r="N1415" s="148">
        <v>6</v>
      </c>
      <c r="O1415" s="148" t="s">
        <v>101</v>
      </c>
      <c r="P1415" s="148" t="s">
        <v>901</v>
      </c>
      <c r="Y1415" s="150" t="s">
        <v>366</v>
      </c>
    </row>
    <row r="1416" spans="1:25" ht="15.75" hidden="1" customHeight="1" x14ac:dyDescent="0.25">
      <c r="A1416" s="148" t="s">
        <v>26</v>
      </c>
      <c r="B1416" s="148" t="s">
        <v>36</v>
      </c>
      <c r="C1416" s="148" t="s">
        <v>28</v>
      </c>
      <c r="D1416" s="148" t="s">
        <v>99</v>
      </c>
      <c r="E1416" s="148" t="s">
        <v>30</v>
      </c>
      <c r="F1416" s="148" t="s">
        <v>3183</v>
      </c>
      <c r="G1416" s="148" t="s">
        <v>59</v>
      </c>
      <c r="H1416" s="148">
        <v>2010</v>
      </c>
      <c r="I1416" s="148">
        <v>12</v>
      </c>
      <c r="J1416" s="148" t="s">
        <v>33</v>
      </c>
      <c r="U1416" s="149" t="s">
        <v>3629</v>
      </c>
      <c r="V1416" s="149" t="s">
        <v>3635</v>
      </c>
      <c r="W1416" s="148" t="s">
        <v>87</v>
      </c>
      <c r="X1416" s="148" t="s">
        <v>873</v>
      </c>
    </row>
    <row r="1417" spans="1:25" ht="15.75" hidden="1" customHeight="1" x14ac:dyDescent="0.25">
      <c r="A1417" s="148" t="s">
        <v>76</v>
      </c>
      <c r="B1417" s="148" t="s">
        <v>116</v>
      </c>
      <c r="C1417" s="148" t="s">
        <v>90</v>
      </c>
      <c r="D1417" s="148" t="s">
        <v>29</v>
      </c>
      <c r="E1417" s="148" t="s">
        <v>40</v>
      </c>
      <c r="F1417" s="148" t="s">
        <v>41</v>
      </c>
      <c r="G1417" s="148" t="s">
        <v>469</v>
      </c>
      <c r="H1417" s="148">
        <v>2010</v>
      </c>
      <c r="I1417" s="148">
        <v>12</v>
      </c>
      <c r="J1417" s="148" t="s">
        <v>118</v>
      </c>
      <c r="K1417" s="148" t="s">
        <v>327</v>
      </c>
      <c r="M1417" s="148" t="s">
        <v>82</v>
      </c>
      <c r="N1417" s="148">
        <v>8</v>
      </c>
      <c r="O1417" s="148" t="s">
        <v>101</v>
      </c>
      <c r="P1417" s="148" t="s">
        <v>920</v>
      </c>
      <c r="Y1417" s="150" t="s">
        <v>366</v>
      </c>
    </row>
    <row r="1418" spans="1:25" ht="15.75" hidden="1" customHeight="1" x14ac:dyDescent="0.25">
      <c r="A1418" s="148" t="s">
        <v>76</v>
      </c>
      <c r="B1418" s="148" t="s">
        <v>116</v>
      </c>
      <c r="C1418" s="148" t="s">
        <v>90</v>
      </c>
      <c r="D1418" s="148" t="s">
        <v>29</v>
      </c>
      <c r="E1418" s="148" t="s">
        <v>40</v>
      </c>
      <c r="F1418" s="148" t="s">
        <v>41</v>
      </c>
      <c r="G1418" s="148" t="s">
        <v>473</v>
      </c>
      <c r="H1418" s="148">
        <v>2010</v>
      </c>
      <c r="I1418" s="148">
        <v>12</v>
      </c>
      <c r="J1418" s="148" t="s">
        <v>118</v>
      </c>
      <c r="K1418" s="148" t="s">
        <v>629</v>
      </c>
      <c r="M1418" s="148" t="s">
        <v>120</v>
      </c>
      <c r="N1418" s="148">
        <v>6</v>
      </c>
      <c r="O1418" s="148" t="s">
        <v>101</v>
      </c>
      <c r="P1418" s="148" t="s">
        <v>921</v>
      </c>
      <c r="Y1418" s="150" t="s">
        <v>366</v>
      </c>
    </row>
    <row r="1419" spans="1:25" ht="15.75" hidden="1" customHeight="1" x14ac:dyDescent="0.25">
      <c r="A1419" s="148" t="s">
        <v>76</v>
      </c>
      <c r="B1419" s="148" t="s">
        <v>62</v>
      </c>
      <c r="C1419" s="148" t="s">
        <v>28</v>
      </c>
      <c r="D1419" s="148" t="s">
        <v>29</v>
      </c>
      <c r="E1419" s="148" t="s">
        <v>30</v>
      </c>
      <c r="F1419" s="148" t="s">
        <v>3183</v>
      </c>
      <c r="G1419" s="148" t="s">
        <v>244</v>
      </c>
      <c r="H1419" s="148">
        <v>2010</v>
      </c>
      <c r="I1419" s="148">
        <v>12</v>
      </c>
      <c r="J1419" s="148" t="s">
        <v>118</v>
      </c>
      <c r="K1419" s="148" t="s">
        <v>327</v>
      </c>
      <c r="M1419" s="148" t="s">
        <v>82</v>
      </c>
      <c r="N1419" s="148">
        <v>8</v>
      </c>
      <c r="O1419" s="148" t="s">
        <v>101</v>
      </c>
      <c r="P1419" s="148" t="s">
        <v>146</v>
      </c>
      <c r="Y1419" s="150" t="s">
        <v>366</v>
      </c>
    </row>
    <row r="1420" spans="1:25" ht="15.75" hidden="1" customHeight="1" x14ac:dyDescent="0.25">
      <c r="A1420" s="148" t="s">
        <v>76</v>
      </c>
      <c r="B1420" s="148" t="s">
        <v>36</v>
      </c>
      <c r="C1420" s="148" t="s">
        <v>28</v>
      </c>
      <c r="D1420" s="148" t="s">
        <v>86</v>
      </c>
      <c r="E1420" s="148" t="s">
        <v>51</v>
      </c>
      <c r="F1420" s="148" t="s">
        <v>3183</v>
      </c>
      <c r="G1420" s="148" t="s">
        <v>69</v>
      </c>
      <c r="H1420" s="148">
        <v>2010</v>
      </c>
      <c r="I1420" s="148">
        <v>12</v>
      </c>
      <c r="J1420" s="148" t="s">
        <v>118</v>
      </c>
      <c r="K1420" s="148" t="s">
        <v>327</v>
      </c>
      <c r="M1420" s="148" t="s">
        <v>82</v>
      </c>
      <c r="N1420" s="148">
        <v>8</v>
      </c>
      <c r="O1420" s="148" t="s">
        <v>101</v>
      </c>
      <c r="P1420" s="148" t="s">
        <v>435</v>
      </c>
      <c r="Y1420" s="150" t="s">
        <v>366</v>
      </c>
    </row>
    <row r="1421" spans="1:25" ht="15.75" customHeight="1" x14ac:dyDescent="0.25">
      <c r="A1421" s="148" t="s">
        <v>76</v>
      </c>
      <c r="B1421" s="148" t="s">
        <v>36</v>
      </c>
      <c r="C1421" s="148" t="s">
        <v>28</v>
      </c>
      <c r="D1421" s="148" t="s">
        <v>29</v>
      </c>
      <c r="E1421" s="148" t="s">
        <v>30</v>
      </c>
      <c r="F1421" s="148" t="s">
        <v>3183</v>
      </c>
      <c r="G1421" s="148" t="s">
        <v>194</v>
      </c>
      <c r="H1421" s="148">
        <v>2010</v>
      </c>
      <c r="I1421" s="148">
        <v>12</v>
      </c>
      <c r="J1421" s="148" t="s">
        <v>118</v>
      </c>
      <c r="K1421" s="148" t="s">
        <v>327</v>
      </c>
      <c r="M1421" s="148" t="s">
        <v>82</v>
      </c>
      <c r="N1421" s="148">
        <v>8</v>
      </c>
      <c r="O1421" s="148" t="s">
        <v>101</v>
      </c>
      <c r="P1421" s="148" t="s">
        <v>922</v>
      </c>
      <c r="Y1421" s="150" t="s">
        <v>366</v>
      </c>
    </row>
    <row r="1422" spans="1:25" ht="15.75" hidden="1" customHeight="1" x14ac:dyDescent="0.25">
      <c r="A1422" s="148" t="s">
        <v>26</v>
      </c>
      <c r="B1422" s="148" t="s">
        <v>27</v>
      </c>
      <c r="C1422" s="148" t="s">
        <v>28</v>
      </c>
      <c r="D1422" s="148" t="s">
        <v>158</v>
      </c>
      <c r="E1422" s="148" t="s">
        <v>30</v>
      </c>
      <c r="F1422" s="148" t="s">
        <v>3183</v>
      </c>
      <c r="G1422" s="148" t="s">
        <v>43</v>
      </c>
      <c r="H1422" s="148">
        <v>2010</v>
      </c>
      <c r="I1422" s="148">
        <v>12</v>
      </c>
      <c r="J1422" s="148" t="s">
        <v>33</v>
      </c>
      <c r="U1422" s="149" t="s">
        <v>3629</v>
      </c>
      <c r="V1422" s="149" t="s">
        <v>3635</v>
      </c>
      <c r="W1422" s="148" t="s">
        <v>87</v>
      </c>
      <c r="X1422" s="148" t="s">
        <v>873</v>
      </c>
    </row>
    <row r="1423" spans="1:25" ht="15.75" hidden="1" customHeight="1" x14ac:dyDescent="0.25">
      <c r="A1423" s="148" t="s">
        <v>76</v>
      </c>
      <c r="B1423" s="148" t="s">
        <v>198</v>
      </c>
      <c r="C1423" s="148" t="s">
        <v>45</v>
      </c>
      <c r="D1423" s="148" t="s">
        <v>29</v>
      </c>
      <c r="E1423" s="148" t="s">
        <v>30</v>
      </c>
      <c r="F1423" s="148" t="s">
        <v>199</v>
      </c>
      <c r="G1423" s="148" t="s">
        <v>430</v>
      </c>
      <c r="H1423" s="148">
        <v>2010</v>
      </c>
      <c r="I1423" s="148">
        <v>12</v>
      </c>
      <c r="J1423" s="148" t="s">
        <v>118</v>
      </c>
      <c r="K1423" s="148" t="s">
        <v>327</v>
      </c>
      <c r="M1423" s="148" t="s">
        <v>82</v>
      </c>
      <c r="N1423" s="148">
        <v>8</v>
      </c>
      <c r="O1423" s="148" t="s">
        <v>101</v>
      </c>
      <c r="P1423" s="148" t="s">
        <v>146</v>
      </c>
      <c r="Y1423" s="150" t="s">
        <v>366</v>
      </c>
    </row>
    <row r="1424" spans="1:25" ht="15.75" hidden="1" customHeight="1" x14ac:dyDescent="0.25">
      <c r="A1424" s="148" t="s">
        <v>76</v>
      </c>
      <c r="B1424" s="148" t="s">
        <v>44</v>
      </c>
      <c r="C1424" s="148" t="s">
        <v>45</v>
      </c>
      <c r="D1424" s="148" t="s">
        <v>29</v>
      </c>
      <c r="E1424" s="148" t="s">
        <v>46</v>
      </c>
      <c r="F1424" s="148" t="s">
        <v>47</v>
      </c>
      <c r="G1424" s="148" t="s">
        <v>48</v>
      </c>
      <c r="H1424" s="148">
        <v>2010</v>
      </c>
      <c r="I1424" s="148">
        <v>12</v>
      </c>
      <c r="J1424" s="148" t="s">
        <v>150</v>
      </c>
      <c r="K1424" s="148" t="s">
        <v>629</v>
      </c>
      <c r="M1424" s="148" t="s">
        <v>120</v>
      </c>
      <c r="N1424" s="148">
        <v>6</v>
      </c>
      <c r="O1424" s="148" t="s">
        <v>83</v>
      </c>
      <c r="Y1424" s="150" t="s">
        <v>366</v>
      </c>
    </row>
    <row r="1425" spans="1:25" ht="15.75" hidden="1" customHeight="1" x14ac:dyDescent="0.25">
      <c r="A1425" s="148" t="s">
        <v>76</v>
      </c>
      <c r="B1425" s="148" t="s">
        <v>77</v>
      </c>
      <c r="C1425" s="148" t="s">
        <v>55</v>
      </c>
      <c r="D1425" s="148" t="s">
        <v>29</v>
      </c>
      <c r="E1425" s="148" t="s">
        <v>30</v>
      </c>
      <c r="F1425" s="148" t="s">
        <v>41</v>
      </c>
      <c r="G1425" s="148" t="s">
        <v>363</v>
      </c>
      <c r="H1425" s="148">
        <v>2010</v>
      </c>
      <c r="I1425" s="148">
        <v>12</v>
      </c>
      <c r="J1425" s="148" t="s">
        <v>118</v>
      </c>
      <c r="K1425" s="148" t="s">
        <v>327</v>
      </c>
      <c r="M1425" s="148" t="s">
        <v>82</v>
      </c>
      <c r="N1425" s="148">
        <v>8</v>
      </c>
      <c r="O1425" s="148" t="s">
        <v>101</v>
      </c>
      <c r="P1425" s="148" t="s">
        <v>512</v>
      </c>
      <c r="Y1425" s="150" t="s">
        <v>366</v>
      </c>
    </row>
    <row r="1426" spans="1:25" ht="15.75" hidden="1" customHeight="1" x14ac:dyDescent="0.25">
      <c r="A1426" s="148" t="s">
        <v>76</v>
      </c>
      <c r="B1426" s="148" t="s">
        <v>198</v>
      </c>
      <c r="C1426" s="148" t="s">
        <v>45</v>
      </c>
      <c r="D1426" s="148" t="s">
        <v>29</v>
      </c>
      <c r="E1426" s="148" t="s">
        <v>30</v>
      </c>
      <c r="F1426" s="148" t="s">
        <v>199</v>
      </c>
      <c r="G1426" s="148" t="s">
        <v>241</v>
      </c>
      <c r="H1426" s="148">
        <v>2011</v>
      </c>
      <c r="I1426" s="148">
        <v>1</v>
      </c>
      <c r="J1426" s="148" t="s">
        <v>118</v>
      </c>
      <c r="K1426" s="148" t="s">
        <v>768</v>
      </c>
      <c r="M1426" s="148" t="s">
        <v>492</v>
      </c>
      <c r="N1426" s="148">
        <v>5</v>
      </c>
      <c r="O1426" s="148" t="s">
        <v>101</v>
      </c>
    </row>
    <row r="1427" spans="1:25" ht="15.75" hidden="1" customHeight="1" x14ac:dyDescent="0.25">
      <c r="A1427" s="148" t="s">
        <v>26</v>
      </c>
      <c r="B1427" s="148" t="s">
        <v>116</v>
      </c>
      <c r="C1427" s="148" t="s">
        <v>90</v>
      </c>
      <c r="D1427" s="148" t="s">
        <v>29</v>
      </c>
      <c r="E1427" s="148" t="s">
        <v>30</v>
      </c>
      <c r="F1427" s="148" t="s">
        <v>41</v>
      </c>
      <c r="G1427" s="148" t="s">
        <v>784</v>
      </c>
      <c r="H1427" s="148">
        <v>2011</v>
      </c>
      <c r="I1427" s="148">
        <v>1</v>
      </c>
      <c r="J1427" s="148" t="s">
        <v>792</v>
      </c>
      <c r="U1427" s="149" t="s">
        <v>3629</v>
      </c>
      <c r="V1427" s="149" t="s">
        <v>3636</v>
      </c>
      <c r="W1427" s="148" t="s">
        <v>34</v>
      </c>
      <c r="X1427" s="148" t="s">
        <v>923</v>
      </c>
    </row>
    <row r="1428" spans="1:25" ht="15.75" hidden="1" customHeight="1" x14ac:dyDescent="0.25">
      <c r="A1428" s="148" t="s">
        <v>26</v>
      </c>
      <c r="B1428" s="148" t="s">
        <v>116</v>
      </c>
      <c r="C1428" s="148" t="s">
        <v>90</v>
      </c>
      <c r="D1428" s="148" t="s">
        <v>29</v>
      </c>
      <c r="E1428" s="148" t="s">
        <v>30</v>
      </c>
      <c r="F1428" s="148" t="s">
        <v>41</v>
      </c>
      <c r="G1428" s="148" t="s">
        <v>784</v>
      </c>
      <c r="H1428" s="148">
        <v>2011</v>
      </c>
      <c r="I1428" s="148">
        <v>1</v>
      </c>
      <c r="J1428" s="148" t="s">
        <v>792</v>
      </c>
      <c r="U1428" s="149" t="s">
        <v>3629</v>
      </c>
      <c r="V1428" s="149" t="s">
        <v>3636</v>
      </c>
      <c r="W1428" s="148" t="s">
        <v>34</v>
      </c>
      <c r="X1428" s="148" t="s">
        <v>923</v>
      </c>
    </row>
    <row r="1429" spans="1:25" ht="15.75" hidden="1" customHeight="1" x14ac:dyDescent="0.25">
      <c r="A1429" s="148" t="s">
        <v>76</v>
      </c>
      <c r="B1429" s="148" t="s">
        <v>62</v>
      </c>
      <c r="C1429" s="148" t="s">
        <v>28</v>
      </c>
      <c r="D1429" s="148" t="s">
        <v>86</v>
      </c>
      <c r="E1429" s="148" t="s">
        <v>51</v>
      </c>
      <c r="F1429" s="148" t="s">
        <v>3183</v>
      </c>
      <c r="G1429" s="148" t="s">
        <v>130</v>
      </c>
      <c r="H1429" s="148">
        <v>2011</v>
      </c>
      <c r="I1429" s="148">
        <v>1</v>
      </c>
      <c r="J1429" s="148" t="s">
        <v>118</v>
      </c>
      <c r="K1429" s="148" t="s">
        <v>629</v>
      </c>
      <c r="M1429" s="148" t="s">
        <v>120</v>
      </c>
      <c r="N1429" s="148">
        <v>6</v>
      </c>
      <c r="O1429" s="148" t="s">
        <v>101</v>
      </c>
      <c r="P1429" s="148" t="s">
        <v>924</v>
      </c>
    </row>
    <row r="1430" spans="1:25" ht="15.75" hidden="1" customHeight="1" x14ac:dyDescent="0.25">
      <c r="A1430" s="148" t="s">
        <v>76</v>
      </c>
      <c r="B1430" s="148" t="s">
        <v>77</v>
      </c>
      <c r="C1430" s="148" t="s">
        <v>55</v>
      </c>
      <c r="D1430" s="148" t="s">
        <v>29</v>
      </c>
      <c r="E1430" s="148" t="s">
        <v>30</v>
      </c>
      <c r="F1430" s="148" t="s">
        <v>41</v>
      </c>
      <c r="G1430" s="148" t="s">
        <v>275</v>
      </c>
      <c r="H1430" s="148">
        <v>2011</v>
      </c>
      <c r="I1430" s="148">
        <v>1</v>
      </c>
      <c r="J1430" s="148" t="s">
        <v>118</v>
      </c>
      <c r="K1430" s="148" t="s">
        <v>327</v>
      </c>
      <c r="M1430" s="148" t="s">
        <v>82</v>
      </c>
      <c r="N1430" s="148">
        <v>8</v>
      </c>
      <c r="O1430" s="148" t="s">
        <v>101</v>
      </c>
      <c r="P1430" s="148" t="s">
        <v>146</v>
      </c>
    </row>
    <row r="1431" spans="1:25" ht="15.75" hidden="1" customHeight="1" x14ac:dyDescent="0.25">
      <c r="A1431" s="148" t="s">
        <v>76</v>
      </c>
      <c r="B1431" s="148" t="s">
        <v>44</v>
      </c>
      <c r="C1431" s="148" t="s">
        <v>45</v>
      </c>
      <c r="D1431" s="148" t="s">
        <v>29</v>
      </c>
      <c r="E1431" s="148" t="s">
        <v>46</v>
      </c>
      <c r="F1431" s="148" t="s">
        <v>47</v>
      </c>
      <c r="G1431" s="148" t="s">
        <v>48</v>
      </c>
      <c r="H1431" s="148">
        <v>2011</v>
      </c>
      <c r="I1431" s="148">
        <v>1</v>
      </c>
      <c r="J1431" s="148" t="s">
        <v>118</v>
      </c>
      <c r="K1431" s="148" t="s">
        <v>327</v>
      </c>
      <c r="M1431" s="148" t="s">
        <v>82</v>
      </c>
      <c r="N1431" s="148">
        <v>8</v>
      </c>
      <c r="O1431" s="148" t="s">
        <v>101</v>
      </c>
      <c r="P1431" s="148" t="s">
        <v>183</v>
      </c>
    </row>
    <row r="1432" spans="1:25" ht="15.75" hidden="1" customHeight="1" x14ac:dyDescent="0.25">
      <c r="A1432" s="148" t="s">
        <v>26</v>
      </c>
      <c r="B1432" s="148" t="s">
        <v>116</v>
      </c>
      <c r="C1432" s="148" t="s">
        <v>90</v>
      </c>
      <c r="D1432" s="148" t="s">
        <v>29</v>
      </c>
      <c r="E1432" s="148" t="s">
        <v>30</v>
      </c>
      <c r="F1432" s="148" t="s">
        <v>41</v>
      </c>
      <c r="G1432" s="148" t="s">
        <v>564</v>
      </c>
      <c r="H1432" s="148">
        <v>2011</v>
      </c>
      <c r="I1432" s="148">
        <v>2</v>
      </c>
      <c r="J1432" s="148" t="s">
        <v>792</v>
      </c>
      <c r="U1432" s="149" t="s">
        <v>3629</v>
      </c>
      <c r="V1432" s="149" t="s">
        <v>3636</v>
      </c>
      <c r="W1432" s="148" t="s">
        <v>34</v>
      </c>
      <c r="X1432" s="148" t="s">
        <v>923</v>
      </c>
    </row>
    <row r="1433" spans="1:25" ht="15.75" hidden="1" customHeight="1" x14ac:dyDescent="0.25">
      <c r="A1433" s="148" t="s">
        <v>76</v>
      </c>
      <c r="B1433" s="148" t="s">
        <v>77</v>
      </c>
      <c r="C1433" s="148" t="s">
        <v>55</v>
      </c>
      <c r="D1433" s="148" t="s">
        <v>478</v>
      </c>
      <c r="E1433" s="148" t="s">
        <v>30</v>
      </c>
      <c r="F1433" s="148" t="s">
        <v>41</v>
      </c>
      <c r="G1433" s="148" t="s">
        <v>159</v>
      </c>
      <c r="H1433" s="148">
        <v>2011</v>
      </c>
      <c r="I1433" s="148">
        <v>2</v>
      </c>
      <c r="J1433" s="148" t="s">
        <v>118</v>
      </c>
      <c r="K1433" s="148" t="s">
        <v>327</v>
      </c>
      <c r="M1433" s="148" t="s">
        <v>82</v>
      </c>
      <c r="N1433" s="148">
        <v>8</v>
      </c>
      <c r="O1433" s="148" t="s">
        <v>101</v>
      </c>
      <c r="P1433" s="148" t="s">
        <v>146</v>
      </c>
    </row>
    <row r="1434" spans="1:25" ht="15.75" hidden="1" customHeight="1" x14ac:dyDescent="0.25">
      <c r="A1434" s="148" t="s">
        <v>76</v>
      </c>
      <c r="B1434" s="148" t="s">
        <v>27</v>
      </c>
      <c r="C1434" s="148" t="s">
        <v>28</v>
      </c>
      <c r="D1434" s="148" t="s">
        <v>99</v>
      </c>
      <c r="E1434" s="148" t="s">
        <v>40</v>
      </c>
      <c r="F1434" s="148" t="s">
        <v>41</v>
      </c>
      <c r="G1434" s="148" t="s">
        <v>42</v>
      </c>
      <c r="H1434" s="148">
        <v>2011</v>
      </c>
      <c r="I1434" s="148">
        <v>2</v>
      </c>
      <c r="J1434" s="148" t="s">
        <v>118</v>
      </c>
      <c r="K1434" s="148" t="s">
        <v>455</v>
      </c>
      <c r="M1434" s="148" t="s">
        <v>132</v>
      </c>
      <c r="N1434" s="148">
        <v>8</v>
      </c>
      <c r="O1434" s="148" t="s">
        <v>101</v>
      </c>
    </row>
    <row r="1435" spans="1:25" ht="15.75" hidden="1" customHeight="1" x14ac:dyDescent="0.25">
      <c r="A1435" s="148" t="s">
        <v>76</v>
      </c>
      <c r="B1435" s="148" t="s">
        <v>103</v>
      </c>
      <c r="C1435" s="148" t="s">
        <v>55</v>
      </c>
      <c r="D1435" s="148" t="s">
        <v>99</v>
      </c>
      <c r="E1435" s="148" t="s">
        <v>95</v>
      </c>
      <c r="F1435" s="148" t="s">
        <v>56</v>
      </c>
      <c r="G1435" s="148" t="s">
        <v>270</v>
      </c>
      <c r="H1435" s="148">
        <v>2011</v>
      </c>
      <c r="I1435" s="148">
        <v>2</v>
      </c>
      <c r="J1435" s="148" t="s">
        <v>118</v>
      </c>
      <c r="K1435" s="148" t="s">
        <v>629</v>
      </c>
      <c r="M1435" s="148" t="s">
        <v>120</v>
      </c>
      <c r="N1435" s="148">
        <v>6</v>
      </c>
      <c r="O1435" s="148" t="s">
        <v>101</v>
      </c>
      <c r="P1435" s="148" t="s">
        <v>925</v>
      </c>
    </row>
    <row r="1436" spans="1:25" ht="15.75" hidden="1" customHeight="1" x14ac:dyDescent="0.25">
      <c r="A1436" s="148" t="s">
        <v>76</v>
      </c>
      <c r="B1436" s="148" t="s">
        <v>198</v>
      </c>
      <c r="C1436" s="148" t="s">
        <v>45</v>
      </c>
      <c r="D1436" s="148" t="s">
        <v>29</v>
      </c>
      <c r="E1436" s="148" t="s">
        <v>30</v>
      </c>
      <c r="F1436" s="148" t="s">
        <v>199</v>
      </c>
      <c r="G1436" s="148" t="s">
        <v>205</v>
      </c>
      <c r="H1436" s="148">
        <v>2011</v>
      </c>
      <c r="I1436" s="148">
        <v>3</v>
      </c>
      <c r="J1436" s="148" t="s">
        <v>150</v>
      </c>
      <c r="K1436" s="148" t="s">
        <v>629</v>
      </c>
      <c r="M1436" s="148" t="s">
        <v>120</v>
      </c>
      <c r="N1436" s="148">
        <v>6</v>
      </c>
      <c r="O1436" s="148" t="s">
        <v>83</v>
      </c>
      <c r="P1436" s="148" t="s">
        <v>146</v>
      </c>
    </row>
    <row r="1437" spans="1:25" ht="15.75" hidden="1" customHeight="1" x14ac:dyDescent="0.25">
      <c r="A1437" s="148" t="s">
        <v>26</v>
      </c>
      <c r="B1437" s="148" t="s">
        <v>103</v>
      </c>
      <c r="C1437" s="148" t="s">
        <v>55</v>
      </c>
      <c r="D1437" s="148" t="s">
        <v>478</v>
      </c>
      <c r="E1437" s="148" t="s">
        <v>95</v>
      </c>
      <c r="F1437" s="148" t="s">
        <v>56</v>
      </c>
      <c r="G1437" s="148" t="s">
        <v>153</v>
      </c>
      <c r="H1437" s="148">
        <v>2011</v>
      </c>
      <c r="I1437" s="148">
        <v>3</v>
      </c>
      <c r="J1437" s="148" t="s">
        <v>792</v>
      </c>
      <c r="U1437" s="149" t="s">
        <v>3629</v>
      </c>
      <c r="V1437" s="149" t="s">
        <v>3636</v>
      </c>
      <c r="W1437" s="148" t="s">
        <v>34</v>
      </c>
      <c r="X1437" s="148" t="s">
        <v>926</v>
      </c>
    </row>
    <row r="1438" spans="1:25" ht="15.75" hidden="1" customHeight="1" x14ac:dyDescent="0.25">
      <c r="A1438" s="148" t="s">
        <v>76</v>
      </c>
      <c r="B1438" s="148" t="s">
        <v>36</v>
      </c>
      <c r="C1438" s="148" t="s">
        <v>28</v>
      </c>
      <c r="D1438" s="148" t="s">
        <v>99</v>
      </c>
      <c r="E1438" s="148" t="s">
        <v>30</v>
      </c>
      <c r="F1438" s="148" t="s">
        <v>3183</v>
      </c>
      <c r="G1438" s="148" t="s">
        <v>59</v>
      </c>
      <c r="H1438" s="148">
        <v>2011</v>
      </c>
      <c r="I1438" s="148">
        <v>3</v>
      </c>
      <c r="J1438" s="148" t="s">
        <v>150</v>
      </c>
      <c r="K1438" s="148" t="s">
        <v>629</v>
      </c>
      <c r="M1438" s="148" t="s">
        <v>120</v>
      </c>
      <c r="N1438" s="148">
        <v>6</v>
      </c>
      <c r="O1438" s="148" t="s">
        <v>83</v>
      </c>
      <c r="P1438" s="148" t="s">
        <v>154</v>
      </c>
    </row>
    <row r="1439" spans="1:25" ht="15.75" hidden="1" customHeight="1" x14ac:dyDescent="0.25">
      <c r="A1439" s="148" t="s">
        <v>76</v>
      </c>
      <c r="B1439" s="148" t="s">
        <v>103</v>
      </c>
      <c r="C1439" s="148" t="s">
        <v>55</v>
      </c>
      <c r="D1439" s="148" t="s">
        <v>478</v>
      </c>
      <c r="E1439" s="148" t="s">
        <v>95</v>
      </c>
      <c r="F1439" s="148" t="s">
        <v>56</v>
      </c>
      <c r="G1439" s="148" t="s">
        <v>107</v>
      </c>
      <c r="H1439" s="148">
        <v>2011</v>
      </c>
      <c r="I1439" s="148">
        <v>3</v>
      </c>
      <c r="J1439" s="148" t="s">
        <v>118</v>
      </c>
      <c r="K1439" s="148" t="s">
        <v>327</v>
      </c>
      <c r="M1439" s="148" t="s">
        <v>82</v>
      </c>
      <c r="N1439" s="148">
        <v>8</v>
      </c>
      <c r="O1439" s="148" t="s">
        <v>101</v>
      </c>
      <c r="P1439" s="148" t="s">
        <v>365</v>
      </c>
    </row>
    <row r="1440" spans="1:25" ht="15.75" hidden="1" customHeight="1" x14ac:dyDescent="0.25">
      <c r="A1440" s="148" t="s">
        <v>76</v>
      </c>
      <c r="B1440" s="148" t="s">
        <v>77</v>
      </c>
      <c r="C1440" s="148" t="s">
        <v>55</v>
      </c>
      <c r="D1440" s="148" t="s">
        <v>478</v>
      </c>
      <c r="E1440" s="148" t="s">
        <v>30</v>
      </c>
      <c r="F1440" s="148" t="s">
        <v>41</v>
      </c>
      <c r="G1440" s="148" t="s">
        <v>159</v>
      </c>
      <c r="H1440" s="148">
        <v>2011</v>
      </c>
      <c r="I1440" s="148">
        <v>3</v>
      </c>
      <c r="J1440" s="148" t="s">
        <v>150</v>
      </c>
      <c r="K1440" s="148" t="s">
        <v>327</v>
      </c>
      <c r="M1440" s="148" t="s">
        <v>82</v>
      </c>
      <c r="N1440" s="148">
        <v>8</v>
      </c>
      <c r="O1440" s="148" t="s">
        <v>83</v>
      </c>
    </row>
    <row r="1441" spans="1:25" ht="15.75" hidden="1" customHeight="1" x14ac:dyDescent="0.25">
      <c r="A1441" s="148" t="s">
        <v>76</v>
      </c>
      <c r="B1441" s="148" t="s">
        <v>77</v>
      </c>
      <c r="C1441" s="148" t="s">
        <v>55</v>
      </c>
      <c r="D1441" s="148" t="s">
        <v>29</v>
      </c>
      <c r="E1441" s="148" t="s">
        <v>30</v>
      </c>
      <c r="F1441" s="148" t="s">
        <v>41</v>
      </c>
      <c r="G1441" s="148" t="s">
        <v>161</v>
      </c>
      <c r="H1441" s="148">
        <v>2011</v>
      </c>
      <c r="I1441" s="148">
        <v>3</v>
      </c>
      <c r="J1441" s="148" t="s">
        <v>640</v>
      </c>
      <c r="K1441" s="148" t="s">
        <v>327</v>
      </c>
      <c r="M1441" s="148" t="s">
        <v>82</v>
      </c>
      <c r="N1441" s="148">
        <v>8</v>
      </c>
      <c r="O1441" s="148" t="s">
        <v>83</v>
      </c>
      <c r="P1441" s="148" t="s">
        <v>146</v>
      </c>
    </row>
    <row r="1442" spans="1:25" ht="13.5" hidden="1" customHeight="1" x14ac:dyDescent="0.25">
      <c r="A1442" s="148" t="s">
        <v>76</v>
      </c>
      <c r="B1442" s="148" t="s">
        <v>36</v>
      </c>
      <c r="C1442" s="148" t="s">
        <v>28</v>
      </c>
      <c r="D1442" s="148" t="s">
        <v>342</v>
      </c>
      <c r="E1442" s="148" t="s">
        <v>30</v>
      </c>
      <c r="F1442" s="148" t="s">
        <v>3183</v>
      </c>
      <c r="G1442" s="148" t="s">
        <v>37</v>
      </c>
      <c r="H1442" s="148">
        <v>2011</v>
      </c>
      <c r="I1442" s="148">
        <v>3</v>
      </c>
      <c r="J1442" s="148" t="s">
        <v>150</v>
      </c>
      <c r="K1442" s="148" t="s">
        <v>927</v>
      </c>
      <c r="M1442" s="148" t="s">
        <v>464</v>
      </c>
      <c r="N1442" s="148">
        <v>6</v>
      </c>
      <c r="O1442" s="148" t="s">
        <v>83</v>
      </c>
    </row>
    <row r="1443" spans="1:25" ht="15.75" hidden="1" customHeight="1" x14ac:dyDescent="0.25">
      <c r="A1443" s="148" t="s">
        <v>76</v>
      </c>
      <c r="B1443" s="148" t="s">
        <v>27</v>
      </c>
      <c r="C1443" s="148" t="s">
        <v>28</v>
      </c>
      <c r="D1443" s="148" t="s">
        <v>3321</v>
      </c>
      <c r="E1443" s="148" t="s">
        <v>30</v>
      </c>
      <c r="F1443" s="148" t="s">
        <v>3183</v>
      </c>
      <c r="G1443" s="148" t="s">
        <v>163</v>
      </c>
      <c r="H1443" s="148">
        <v>2011</v>
      </c>
      <c r="I1443" s="148">
        <v>3</v>
      </c>
      <c r="J1443" s="148" t="s">
        <v>150</v>
      </c>
      <c r="K1443" s="148" t="s">
        <v>455</v>
      </c>
      <c r="M1443" s="148" t="s">
        <v>132</v>
      </c>
      <c r="N1443" s="148">
        <v>8</v>
      </c>
      <c r="O1443" s="148" t="s">
        <v>83</v>
      </c>
      <c r="P1443" s="148" t="s">
        <v>833</v>
      </c>
    </row>
    <row r="1444" spans="1:25" ht="15.75" hidden="1" customHeight="1" x14ac:dyDescent="0.25">
      <c r="A1444" s="148" t="s">
        <v>26</v>
      </c>
      <c r="B1444" s="148" t="s">
        <v>27</v>
      </c>
      <c r="C1444" s="148" t="s">
        <v>28</v>
      </c>
      <c r="D1444" s="148" t="s">
        <v>99</v>
      </c>
      <c r="E1444" s="148" t="s">
        <v>40</v>
      </c>
      <c r="F1444" s="148" t="s">
        <v>41</v>
      </c>
      <c r="G1444" s="148" t="s">
        <v>42</v>
      </c>
      <c r="H1444" s="148">
        <v>2011</v>
      </c>
      <c r="I1444" s="148">
        <v>3</v>
      </c>
      <c r="J1444" s="148" t="s">
        <v>817</v>
      </c>
      <c r="U1444" s="149" t="s">
        <v>3629</v>
      </c>
      <c r="V1444" s="149" t="s">
        <v>3637</v>
      </c>
      <c r="W1444" s="148" t="s">
        <v>34</v>
      </c>
      <c r="X1444" s="148" t="s">
        <v>841</v>
      </c>
    </row>
    <row r="1445" spans="1:25" ht="15.75" hidden="1" customHeight="1" x14ac:dyDescent="0.25">
      <c r="A1445" s="148" t="s">
        <v>307</v>
      </c>
      <c r="B1445" s="148" t="s">
        <v>27</v>
      </c>
      <c r="C1445" s="148" t="s">
        <v>28</v>
      </c>
      <c r="D1445" s="148" t="s">
        <v>99</v>
      </c>
      <c r="E1445" s="148" t="s">
        <v>40</v>
      </c>
      <c r="F1445" s="148" t="s">
        <v>41</v>
      </c>
      <c r="G1445" s="148" t="s">
        <v>42</v>
      </c>
      <c r="H1445" s="148">
        <v>2011</v>
      </c>
      <c r="I1445" s="148">
        <v>3</v>
      </c>
      <c r="J1445" s="148" t="s">
        <v>399</v>
      </c>
      <c r="Q1445" s="148" t="s">
        <v>426</v>
      </c>
      <c r="R1445" s="148" t="s">
        <v>693</v>
      </c>
      <c r="S1445" s="148" t="s">
        <v>427</v>
      </c>
      <c r="T1445" s="148" t="s">
        <v>928</v>
      </c>
    </row>
    <row r="1446" spans="1:25" ht="15.75" hidden="1" customHeight="1" x14ac:dyDescent="0.25">
      <c r="A1446" s="148" t="s">
        <v>307</v>
      </c>
      <c r="B1446" s="148" t="s">
        <v>27</v>
      </c>
      <c r="C1446" s="148" t="s">
        <v>28</v>
      </c>
      <c r="D1446" s="148" t="s">
        <v>99</v>
      </c>
      <c r="E1446" s="148" t="s">
        <v>40</v>
      </c>
      <c r="F1446" s="148" t="s">
        <v>41</v>
      </c>
      <c r="G1446" s="148" t="s">
        <v>42</v>
      </c>
      <c r="H1446" s="148">
        <v>2011</v>
      </c>
      <c r="I1446" s="148">
        <v>3</v>
      </c>
      <c r="J1446" s="148" t="s">
        <v>308</v>
      </c>
      <c r="Q1446" s="148" t="s">
        <v>818</v>
      </c>
      <c r="R1446" s="148" t="s">
        <v>929</v>
      </c>
      <c r="S1446" s="148" t="s">
        <v>427</v>
      </c>
      <c r="T1446" s="148" t="s">
        <v>930</v>
      </c>
    </row>
    <row r="1447" spans="1:25" ht="13.5" hidden="1" customHeight="1" x14ac:dyDescent="0.25">
      <c r="A1447" s="148" t="s">
        <v>307</v>
      </c>
      <c r="B1447" s="148" t="s">
        <v>27</v>
      </c>
      <c r="C1447" s="148" t="s">
        <v>28</v>
      </c>
      <c r="D1447" s="148" t="s">
        <v>99</v>
      </c>
      <c r="E1447" s="148" t="s">
        <v>40</v>
      </c>
      <c r="F1447" s="148" t="s">
        <v>41</v>
      </c>
      <c r="G1447" s="148" t="s">
        <v>42</v>
      </c>
      <c r="H1447" s="148">
        <v>2011</v>
      </c>
      <c r="I1447" s="148">
        <v>3</v>
      </c>
      <c r="J1447" s="148" t="s">
        <v>308</v>
      </c>
      <c r="Q1447" s="148" t="s">
        <v>594</v>
      </c>
      <c r="R1447" s="148" t="s">
        <v>931</v>
      </c>
      <c r="S1447" s="148" t="s">
        <v>885</v>
      </c>
      <c r="T1447" s="148" t="s">
        <v>886</v>
      </c>
    </row>
    <row r="1448" spans="1:25" ht="15.75" hidden="1" customHeight="1" x14ac:dyDescent="0.25">
      <c r="A1448" s="148" t="s">
        <v>76</v>
      </c>
      <c r="B1448" s="148" t="s">
        <v>36</v>
      </c>
      <c r="C1448" s="148" t="s">
        <v>28</v>
      </c>
      <c r="D1448" s="148" t="s">
        <v>86</v>
      </c>
      <c r="E1448" s="148" t="s">
        <v>51</v>
      </c>
      <c r="F1448" s="148" t="s">
        <v>3183</v>
      </c>
      <c r="G1448" s="148" t="s">
        <v>69</v>
      </c>
      <c r="H1448" s="148">
        <v>2011</v>
      </c>
      <c r="I1448" s="148">
        <v>3</v>
      </c>
      <c r="J1448" s="148" t="s">
        <v>150</v>
      </c>
      <c r="K1448" s="148" t="s">
        <v>927</v>
      </c>
      <c r="M1448" s="148" t="s">
        <v>464</v>
      </c>
      <c r="N1448" s="148">
        <v>6</v>
      </c>
      <c r="O1448" s="148" t="s">
        <v>83</v>
      </c>
    </row>
    <row r="1449" spans="1:25" ht="15.75" hidden="1" customHeight="1" x14ac:dyDescent="0.25">
      <c r="A1449" s="148" t="s">
        <v>76</v>
      </c>
      <c r="B1449" s="148" t="s">
        <v>77</v>
      </c>
      <c r="C1449" s="148" t="s">
        <v>55</v>
      </c>
      <c r="D1449" s="148" t="s">
        <v>78</v>
      </c>
      <c r="E1449" s="148" t="s">
        <v>30</v>
      </c>
      <c r="F1449" s="148" t="s">
        <v>41</v>
      </c>
      <c r="G1449" s="148" t="s">
        <v>79</v>
      </c>
      <c r="H1449" s="148">
        <v>2011</v>
      </c>
      <c r="I1449" s="148">
        <v>3</v>
      </c>
      <c r="J1449" s="148" t="s">
        <v>80</v>
      </c>
      <c r="K1449" s="148" t="s">
        <v>327</v>
      </c>
      <c r="M1449" s="148" t="s">
        <v>82</v>
      </c>
      <c r="N1449" s="148">
        <v>8</v>
      </c>
      <c r="O1449" s="148" t="s">
        <v>83</v>
      </c>
      <c r="P1449" s="148" t="s">
        <v>932</v>
      </c>
      <c r="Y1449" s="150" t="s">
        <v>933</v>
      </c>
    </row>
    <row r="1450" spans="1:25" ht="15.75" hidden="1" customHeight="1" x14ac:dyDescent="0.25">
      <c r="A1450" s="148" t="s">
        <v>76</v>
      </c>
      <c r="B1450" s="148" t="s">
        <v>103</v>
      </c>
      <c r="C1450" s="148" t="s">
        <v>55</v>
      </c>
      <c r="D1450" s="148" t="s">
        <v>478</v>
      </c>
      <c r="E1450" s="148" t="s">
        <v>95</v>
      </c>
      <c r="F1450" s="148" t="s">
        <v>56</v>
      </c>
      <c r="G1450" s="148" t="s">
        <v>108</v>
      </c>
      <c r="H1450" s="148">
        <v>2011</v>
      </c>
      <c r="I1450" s="148">
        <v>3</v>
      </c>
      <c r="J1450" s="148" t="s">
        <v>118</v>
      </c>
      <c r="K1450" s="148" t="s">
        <v>388</v>
      </c>
      <c r="M1450" s="148" t="s">
        <v>126</v>
      </c>
      <c r="N1450" s="148">
        <v>10</v>
      </c>
      <c r="O1450" s="148" t="s">
        <v>101</v>
      </c>
      <c r="P1450" s="148" t="s">
        <v>934</v>
      </c>
    </row>
    <row r="1451" spans="1:25" ht="15.75" hidden="1" customHeight="1" x14ac:dyDescent="0.25">
      <c r="A1451" s="148" t="s">
        <v>76</v>
      </c>
      <c r="B1451" s="148" t="s">
        <v>198</v>
      </c>
      <c r="C1451" s="148" t="s">
        <v>45</v>
      </c>
      <c r="D1451" s="148" t="s">
        <v>29</v>
      </c>
      <c r="E1451" s="148" t="s">
        <v>30</v>
      </c>
      <c r="F1451" s="148" t="s">
        <v>199</v>
      </c>
      <c r="G1451" s="148" t="s">
        <v>505</v>
      </c>
      <c r="H1451" s="148">
        <v>2011</v>
      </c>
      <c r="I1451" s="148">
        <v>3</v>
      </c>
      <c r="J1451" s="148" t="s">
        <v>150</v>
      </c>
      <c r="K1451" s="148" t="s">
        <v>629</v>
      </c>
      <c r="M1451" s="148" t="s">
        <v>120</v>
      </c>
      <c r="N1451" s="148">
        <v>6</v>
      </c>
      <c r="O1451" s="148" t="s">
        <v>83</v>
      </c>
      <c r="P1451" s="148" t="s">
        <v>146</v>
      </c>
    </row>
    <row r="1452" spans="1:25" ht="15.75" hidden="1" customHeight="1" x14ac:dyDescent="0.25">
      <c r="A1452" s="148" t="s">
        <v>76</v>
      </c>
      <c r="B1452" s="148" t="s">
        <v>77</v>
      </c>
      <c r="C1452" s="148" t="s">
        <v>55</v>
      </c>
      <c r="D1452" s="148" t="s">
        <v>29</v>
      </c>
      <c r="E1452" s="148" t="s">
        <v>30</v>
      </c>
      <c r="F1452" s="148" t="s">
        <v>41</v>
      </c>
      <c r="G1452" s="148" t="s">
        <v>363</v>
      </c>
      <c r="H1452" s="148">
        <v>2011</v>
      </c>
      <c r="I1452" s="148">
        <v>3</v>
      </c>
      <c r="J1452" s="148" t="s">
        <v>150</v>
      </c>
      <c r="K1452" s="148" t="s">
        <v>327</v>
      </c>
      <c r="M1452" s="148" t="s">
        <v>82</v>
      </c>
      <c r="N1452" s="148">
        <v>8</v>
      </c>
      <c r="O1452" s="148" t="s">
        <v>83</v>
      </c>
    </row>
    <row r="1453" spans="1:25" ht="15.75" hidden="1" customHeight="1" x14ac:dyDescent="0.25">
      <c r="A1453" s="148" t="s">
        <v>76</v>
      </c>
      <c r="B1453" s="148" t="s">
        <v>89</v>
      </c>
      <c r="C1453" s="148" t="s">
        <v>90</v>
      </c>
      <c r="D1453" s="148" t="s">
        <v>292</v>
      </c>
      <c r="E1453" s="148" t="s">
        <v>30</v>
      </c>
      <c r="F1453" s="148" t="s">
        <v>91</v>
      </c>
      <c r="G1453" s="148" t="s">
        <v>293</v>
      </c>
      <c r="H1453" s="148">
        <v>2011</v>
      </c>
      <c r="I1453" s="148">
        <v>4</v>
      </c>
      <c r="J1453" s="148" t="s">
        <v>118</v>
      </c>
      <c r="K1453" s="148" t="s">
        <v>379</v>
      </c>
      <c r="M1453" s="148" t="s">
        <v>126</v>
      </c>
      <c r="N1453" s="148">
        <v>10</v>
      </c>
      <c r="O1453" s="148" t="s">
        <v>101</v>
      </c>
      <c r="P1453" s="148" t="s">
        <v>146</v>
      </c>
    </row>
    <row r="1454" spans="1:25" ht="15.75" hidden="1" customHeight="1" x14ac:dyDescent="0.25">
      <c r="A1454" s="148" t="s">
        <v>76</v>
      </c>
      <c r="B1454" s="148" t="s">
        <v>103</v>
      </c>
      <c r="C1454" s="148" t="s">
        <v>55</v>
      </c>
      <c r="D1454" s="148" t="s">
        <v>29</v>
      </c>
      <c r="E1454" s="148" t="s">
        <v>30</v>
      </c>
      <c r="F1454" s="148" t="s">
        <v>56</v>
      </c>
      <c r="G1454" s="148" t="s">
        <v>452</v>
      </c>
      <c r="H1454" s="148">
        <v>2011</v>
      </c>
      <c r="I1454" s="148">
        <v>4</v>
      </c>
      <c r="J1454" s="148" t="s">
        <v>150</v>
      </c>
      <c r="K1454" s="148" t="s">
        <v>629</v>
      </c>
      <c r="M1454" s="148" t="s">
        <v>120</v>
      </c>
      <c r="N1454" s="148">
        <v>6</v>
      </c>
      <c r="O1454" s="148" t="s">
        <v>83</v>
      </c>
      <c r="P1454" s="148" t="s">
        <v>154</v>
      </c>
    </row>
    <row r="1455" spans="1:25" ht="15.75" hidden="1" customHeight="1" x14ac:dyDescent="0.25">
      <c r="A1455" s="148" t="s">
        <v>76</v>
      </c>
      <c r="B1455" s="148" t="s">
        <v>36</v>
      </c>
      <c r="C1455" s="148" t="s">
        <v>28</v>
      </c>
      <c r="D1455" s="148" t="s">
        <v>99</v>
      </c>
      <c r="E1455" s="148" t="s">
        <v>30</v>
      </c>
      <c r="F1455" s="148" t="s">
        <v>3183</v>
      </c>
      <c r="G1455" s="148" t="s">
        <v>59</v>
      </c>
      <c r="H1455" s="148">
        <v>2011</v>
      </c>
      <c r="I1455" s="148">
        <v>4</v>
      </c>
      <c r="J1455" s="148" t="s">
        <v>118</v>
      </c>
      <c r="K1455" s="148" t="s">
        <v>874</v>
      </c>
      <c r="M1455" s="148" t="s">
        <v>120</v>
      </c>
      <c r="N1455" s="148">
        <v>6</v>
      </c>
      <c r="O1455" s="148" t="s">
        <v>101</v>
      </c>
      <c r="P1455" s="148" t="s">
        <v>935</v>
      </c>
    </row>
    <row r="1456" spans="1:25" ht="15.75" hidden="1" customHeight="1" x14ac:dyDescent="0.25">
      <c r="A1456" s="148" t="s">
        <v>76</v>
      </c>
      <c r="B1456" s="148" t="s">
        <v>77</v>
      </c>
      <c r="C1456" s="148" t="s">
        <v>55</v>
      </c>
      <c r="D1456" s="148" t="s">
        <v>478</v>
      </c>
      <c r="E1456" s="148" t="s">
        <v>30</v>
      </c>
      <c r="F1456" s="148" t="s">
        <v>41</v>
      </c>
      <c r="G1456" s="148" t="s">
        <v>159</v>
      </c>
      <c r="H1456" s="148">
        <v>2011</v>
      </c>
      <c r="I1456" s="148">
        <v>4</v>
      </c>
      <c r="J1456" s="148" t="s">
        <v>640</v>
      </c>
      <c r="K1456" s="148" t="s">
        <v>455</v>
      </c>
      <c r="M1456" s="148" t="s">
        <v>132</v>
      </c>
      <c r="N1456" s="148">
        <v>8</v>
      </c>
      <c r="O1456" s="148" t="s">
        <v>101</v>
      </c>
      <c r="P1456" s="148" t="s">
        <v>609</v>
      </c>
    </row>
    <row r="1457" spans="1:25" ht="15.75" hidden="1" customHeight="1" x14ac:dyDescent="0.25">
      <c r="A1457" s="148" t="s">
        <v>76</v>
      </c>
      <c r="B1457" s="148" t="s">
        <v>77</v>
      </c>
      <c r="C1457" s="148" t="s">
        <v>55</v>
      </c>
      <c r="D1457" s="148" t="s">
        <v>29</v>
      </c>
      <c r="E1457" s="148" t="s">
        <v>30</v>
      </c>
      <c r="F1457" s="148" t="s">
        <v>41</v>
      </c>
      <c r="G1457" s="148" t="s">
        <v>161</v>
      </c>
      <c r="H1457" s="148">
        <v>2011</v>
      </c>
      <c r="I1457" s="148">
        <v>4</v>
      </c>
      <c r="J1457" s="148" t="s">
        <v>640</v>
      </c>
      <c r="K1457" s="148" t="s">
        <v>455</v>
      </c>
      <c r="M1457" s="148" t="s">
        <v>132</v>
      </c>
      <c r="N1457" s="148">
        <v>8</v>
      </c>
      <c r="O1457" s="148" t="s">
        <v>101</v>
      </c>
      <c r="P1457" s="148" t="s">
        <v>512</v>
      </c>
    </row>
    <row r="1458" spans="1:25" ht="15.75" hidden="1" customHeight="1" x14ac:dyDescent="0.25">
      <c r="A1458" s="148" t="s">
        <v>26</v>
      </c>
      <c r="B1458" s="148" t="s">
        <v>116</v>
      </c>
      <c r="C1458" s="148" t="s">
        <v>90</v>
      </c>
      <c r="D1458" s="148" t="s">
        <v>29</v>
      </c>
      <c r="E1458" s="148" t="s">
        <v>30</v>
      </c>
      <c r="F1458" s="148" t="s">
        <v>41</v>
      </c>
      <c r="G1458" s="148" t="s">
        <v>784</v>
      </c>
      <c r="H1458" s="148">
        <v>2011</v>
      </c>
      <c r="I1458" s="148">
        <v>4</v>
      </c>
      <c r="J1458" s="148" t="s">
        <v>792</v>
      </c>
      <c r="U1458" s="149" t="s">
        <v>3629</v>
      </c>
      <c r="V1458" s="149" t="s">
        <v>3636</v>
      </c>
      <c r="W1458" s="148" t="s">
        <v>34</v>
      </c>
      <c r="X1458" s="148" t="s">
        <v>926</v>
      </c>
    </row>
    <row r="1459" spans="1:25" ht="15.75" hidden="1" customHeight="1" x14ac:dyDescent="0.25">
      <c r="A1459" s="148" t="s">
        <v>76</v>
      </c>
      <c r="B1459" s="148" t="s">
        <v>103</v>
      </c>
      <c r="C1459" s="148" t="s">
        <v>55</v>
      </c>
      <c r="D1459" s="148" t="s">
        <v>490</v>
      </c>
      <c r="E1459" s="148" t="s">
        <v>95</v>
      </c>
      <c r="F1459" s="148" t="s">
        <v>56</v>
      </c>
      <c r="G1459" s="148" t="s">
        <v>168</v>
      </c>
      <c r="H1459" s="148">
        <v>2011</v>
      </c>
      <c r="I1459" s="148">
        <v>4</v>
      </c>
      <c r="J1459" s="148" t="s">
        <v>118</v>
      </c>
      <c r="K1459" s="148" t="s">
        <v>374</v>
      </c>
      <c r="M1459" s="148" t="s">
        <v>389</v>
      </c>
      <c r="N1459" s="148">
        <v>8</v>
      </c>
      <c r="O1459" s="148" t="s">
        <v>101</v>
      </c>
      <c r="P1459" s="148" t="s">
        <v>809</v>
      </c>
    </row>
    <row r="1460" spans="1:25" ht="15.75" hidden="1" customHeight="1" x14ac:dyDescent="0.25">
      <c r="A1460" s="148" t="s">
        <v>76</v>
      </c>
      <c r="B1460" s="148" t="s">
        <v>54</v>
      </c>
      <c r="C1460" s="148" t="s">
        <v>55</v>
      </c>
      <c r="D1460" s="148" t="s">
        <v>65</v>
      </c>
      <c r="E1460" s="148" t="s">
        <v>30</v>
      </c>
      <c r="F1460" s="148" t="s">
        <v>56</v>
      </c>
      <c r="G1460" s="148" t="s">
        <v>54</v>
      </c>
      <c r="H1460" s="148">
        <v>2011</v>
      </c>
      <c r="I1460" s="148">
        <v>4</v>
      </c>
      <c r="J1460" s="148" t="s">
        <v>640</v>
      </c>
      <c r="K1460" s="148" t="s">
        <v>455</v>
      </c>
      <c r="M1460" s="148" t="s">
        <v>132</v>
      </c>
      <c r="N1460" s="148">
        <v>8</v>
      </c>
      <c r="O1460" s="148" t="s">
        <v>101</v>
      </c>
      <c r="P1460" s="148" t="s">
        <v>936</v>
      </c>
    </row>
    <row r="1461" spans="1:25" ht="15.75" hidden="1" customHeight="1" x14ac:dyDescent="0.25">
      <c r="A1461" s="148" t="s">
        <v>76</v>
      </c>
      <c r="B1461" s="148" t="s">
        <v>77</v>
      </c>
      <c r="C1461" s="148" t="s">
        <v>55</v>
      </c>
      <c r="D1461" s="148" t="s">
        <v>78</v>
      </c>
      <c r="E1461" s="148" t="s">
        <v>30</v>
      </c>
      <c r="F1461" s="148" t="s">
        <v>41</v>
      </c>
      <c r="G1461" s="148" t="s">
        <v>79</v>
      </c>
      <c r="H1461" s="148">
        <v>2011</v>
      </c>
      <c r="I1461" s="148">
        <v>4</v>
      </c>
      <c r="J1461" s="148" t="s">
        <v>100</v>
      </c>
      <c r="K1461" s="148" t="s">
        <v>455</v>
      </c>
      <c r="M1461" s="148" t="s">
        <v>132</v>
      </c>
      <c r="N1461" s="148">
        <v>8</v>
      </c>
      <c r="O1461" s="148" t="s">
        <v>101</v>
      </c>
      <c r="P1461" s="148" t="s">
        <v>937</v>
      </c>
      <c r="Y1461" s="150" t="s">
        <v>938</v>
      </c>
    </row>
    <row r="1462" spans="1:25" ht="15.75" hidden="1" customHeight="1" x14ac:dyDescent="0.25">
      <c r="A1462" s="148" t="s">
        <v>26</v>
      </c>
      <c r="B1462" s="148" t="s">
        <v>89</v>
      </c>
      <c r="C1462" s="148" t="s">
        <v>90</v>
      </c>
      <c r="D1462" s="148" t="s">
        <v>29</v>
      </c>
      <c r="E1462" s="148" t="s">
        <v>30</v>
      </c>
      <c r="F1462" s="148" t="s">
        <v>91</v>
      </c>
      <c r="G1462" s="148" t="s">
        <v>743</v>
      </c>
      <c r="H1462" s="148">
        <v>2011</v>
      </c>
      <c r="I1462" s="148">
        <v>4</v>
      </c>
      <c r="J1462" s="148" t="s">
        <v>33</v>
      </c>
      <c r="U1462" s="149" t="s">
        <v>3629</v>
      </c>
      <c r="V1462" s="149" t="s">
        <v>3636</v>
      </c>
      <c r="W1462" s="148" t="s">
        <v>34</v>
      </c>
      <c r="X1462" s="148" t="s">
        <v>923</v>
      </c>
    </row>
    <row r="1463" spans="1:25" ht="15.75" hidden="1" customHeight="1" x14ac:dyDescent="0.25">
      <c r="A1463" s="148" t="s">
        <v>26</v>
      </c>
      <c r="B1463" s="148" t="s">
        <v>89</v>
      </c>
      <c r="C1463" s="148" t="s">
        <v>90</v>
      </c>
      <c r="D1463" s="148" t="s">
        <v>478</v>
      </c>
      <c r="E1463" s="148" t="s">
        <v>30</v>
      </c>
      <c r="F1463" s="148" t="s">
        <v>91</v>
      </c>
      <c r="G1463" s="148" t="s">
        <v>92</v>
      </c>
      <c r="H1463" s="148">
        <v>2011</v>
      </c>
      <c r="I1463" s="148">
        <v>4</v>
      </c>
      <c r="J1463" s="148" t="s">
        <v>33</v>
      </c>
      <c r="U1463" s="149" t="s">
        <v>3629</v>
      </c>
      <c r="V1463" s="149" t="s">
        <v>3636</v>
      </c>
      <c r="W1463" s="148" t="s">
        <v>34</v>
      </c>
      <c r="X1463" s="148" t="s">
        <v>923</v>
      </c>
    </row>
    <row r="1464" spans="1:25" ht="15.75" hidden="1" customHeight="1" x14ac:dyDescent="0.25">
      <c r="A1464" s="148" t="s">
        <v>76</v>
      </c>
      <c r="B1464" s="148" t="s">
        <v>27</v>
      </c>
      <c r="C1464" s="148" t="s">
        <v>28</v>
      </c>
      <c r="D1464" s="148" t="s">
        <v>158</v>
      </c>
      <c r="E1464" s="148" t="s">
        <v>30</v>
      </c>
      <c r="F1464" s="148" t="s">
        <v>3183</v>
      </c>
      <c r="G1464" s="148" t="s">
        <v>43</v>
      </c>
      <c r="H1464" s="148">
        <v>2011</v>
      </c>
      <c r="I1464" s="148">
        <v>4</v>
      </c>
      <c r="J1464" s="148" t="s">
        <v>118</v>
      </c>
      <c r="K1464" s="148" t="s">
        <v>939</v>
      </c>
      <c r="M1464" s="148" t="s">
        <v>492</v>
      </c>
      <c r="N1464" s="148">
        <v>5</v>
      </c>
      <c r="O1464" s="148" t="s">
        <v>101</v>
      </c>
    </row>
    <row r="1465" spans="1:25" ht="15.75" hidden="1" customHeight="1" x14ac:dyDescent="0.25">
      <c r="A1465" s="148" t="s">
        <v>76</v>
      </c>
      <c r="B1465" s="148" t="s">
        <v>77</v>
      </c>
      <c r="C1465" s="148" t="s">
        <v>55</v>
      </c>
      <c r="D1465" s="148" t="s">
        <v>29</v>
      </c>
      <c r="E1465" s="148" t="s">
        <v>30</v>
      </c>
      <c r="F1465" s="148" t="s">
        <v>41</v>
      </c>
      <c r="G1465" s="148" t="s">
        <v>275</v>
      </c>
      <c r="H1465" s="148">
        <v>2011</v>
      </c>
      <c r="I1465" s="148">
        <v>4</v>
      </c>
      <c r="J1465" s="148" t="s">
        <v>640</v>
      </c>
      <c r="K1465" s="148" t="s">
        <v>455</v>
      </c>
      <c r="M1465" s="148" t="s">
        <v>132</v>
      </c>
      <c r="N1465" s="148">
        <v>8</v>
      </c>
      <c r="O1465" s="148" t="s">
        <v>101</v>
      </c>
    </row>
    <row r="1466" spans="1:25" ht="15.75" hidden="1" customHeight="1" x14ac:dyDescent="0.25">
      <c r="A1466" s="148" t="s">
        <v>76</v>
      </c>
      <c r="B1466" s="148" t="s">
        <v>36</v>
      </c>
      <c r="C1466" s="148" t="s">
        <v>28</v>
      </c>
      <c r="D1466" s="148" t="s">
        <v>99</v>
      </c>
      <c r="E1466" s="148" t="s">
        <v>51</v>
      </c>
      <c r="F1466" s="148" t="s">
        <v>3183</v>
      </c>
      <c r="G1466" s="148" t="s">
        <v>52</v>
      </c>
      <c r="H1466" s="148">
        <v>2011</v>
      </c>
      <c r="I1466" s="148">
        <v>4</v>
      </c>
      <c r="J1466" s="148" t="s">
        <v>118</v>
      </c>
      <c r="K1466" s="148" t="s">
        <v>379</v>
      </c>
      <c r="M1466" s="148" t="s">
        <v>126</v>
      </c>
      <c r="N1466" s="148">
        <v>10</v>
      </c>
      <c r="O1466" s="148" t="s">
        <v>101</v>
      </c>
      <c r="P1466" s="148" t="s">
        <v>940</v>
      </c>
    </row>
    <row r="1467" spans="1:25" ht="15.75" hidden="1" customHeight="1" x14ac:dyDescent="0.25">
      <c r="A1467" s="148" t="s">
        <v>76</v>
      </c>
      <c r="B1467" s="148" t="s">
        <v>103</v>
      </c>
      <c r="C1467" s="148" t="s">
        <v>55</v>
      </c>
      <c r="D1467" s="148" t="s">
        <v>86</v>
      </c>
      <c r="E1467" s="148" t="s">
        <v>95</v>
      </c>
      <c r="F1467" s="148" t="s">
        <v>56</v>
      </c>
      <c r="G1467" s="148" t="s">
        <v>186</v>
      </c>
      <c r="H1467" s="148">
        <v>2011</v>
      </c>
      <c r="I1467" s="148">
        <v>4</v>
      </c>
      <c r="J1467" s="148" t="s">
        <v>150</v>
      </c>
      <c r="K1467" s="148" t="s">
        <v>629</v>
      </c>
      <c r="M1467" s="148" t="s">
        <v>120</v>
      </c>
      <c r="N1467" s="148">
        <v>6</v>
      </c>
      <c r="O1467" s="148" t="s">
        <v>83</v>
      </c>
    </row>
    <row r="1468" spans="1:25" ht="15.75" hidden="1" customHeight="1" x14ac:dyDescent="0.25">
      <c r="A1468" s="148" t="s">
        <v>76</v>
      </c>
      <c r="B1468" s="148" t="s">
        <v>103</v>
      </c>
      <c r="C1468" s="148" t="s">
        <v>55</v>
      </c>
      <c r="D1468" s="148" t="s">
        <v>478</v>
      </c>
      <c r="E1468" s="148" t="s">
        <v>95</v>
      </c>
      <c r="F1468" s="148" t="s">
        <v>56</v>
      </c>
      <c r="G1468" s="148" t="s">
        <v>108</v>
      </c>
      <c r="H1468" s="148">
        <v>2011</v>
      </c>
      <c r="I1468" s="148">
        <v>4</v>
      </c>
      <c r="J1468" s="148" t="s">
        <v>118</v>
      </c>
      <c r="K1468" s="148" t="s">
        <v>455</v>
      </c>
      <c r="M1468" s="148" t="s">
        <v>132</v>
      </c>
      <c r="N1468" s="148">
        <v>8</v>
      </c>
      <c r="O1468" s="148" t="s">
        <v>101</v>
      </c>
      <c r="P1468" s="148" t="s">
        <v>941</v>
      </c>
    </row>
    <row r="1469" spans="1:25" ht="15.75" hidden="1" customHeight="1" x14ac:dyDescent="0.25">
      <c r="A1469" s="148" t="s">
        <v>76</v>
      </c>
      <c r="B1469" s="148" t="s">
        <v>44</v>
      </c>
      <c r="C1469" s="148" t="s">
        <v>45</v>
      </c>
      <c r="D1469" s="148" t="s">
        <v>29</v>
      </c>
      <c r="E1469" s="148" t="s">
        <v>46</v>
      </c>
      <c r="F1469" s="148" t="s">
        <v>47</v>
      </c>
      <c r="G1469" s="148" t="s">
        <v>48</v>
      </c>
      <c r="H1469" s="148">
        <v>2011</v>
      </c>
      <c r="I1469" s="148">
        <v>4</v>
      </c>
      <c r="J1469" s="148" t="s">
        <v>118</v>
      </c>
      <c r="K1469" s="148" t="s">
        <v>455</v>
      </c>
      <c r="M1469" s="148" t="s">
        <v>132</v>
      </c>
      <c r="N1469" s="148">
        <v>8</v>
      </c>
      <c r="O1469" s="148" t="s">
        <v>101</v>
      </c>
    </row>
    <row r="1470" spans="1:25" ht="15.75" hidden="1" customHeight="1" x14ac:dyDescent="0.25">
      <c r="A1470" s="148" t="s">
        <v>76</v>
      </c>
      <c r="B1470" s="148" t="s">
        <v>77</v>
      </c>
      <c r="C1470" s="148" t="s">
        <v>55</v>
      </c>
      <c r="D1470" s="148" t="s">
        <v>29</v>
      </c>
      <c r="E1470" s="148" t="s">
        <v>30</v>
      </c>
      <c r="F1470" s="148" t="s">
        <v>41</v>
      </c>
      <c r="G1470" s="148" t="s">
        <v>363</v>
      </c>
      <c r="H1470" s="148">
        <v>2011</v>
      </c>
      <c r="I1470" s="148">
        <v>4</v>
      </c>
      <c r="J1470" s="148" t="s">
        <v>640</v>
      </c>
      <c r="K1470" s="148" t="s">
        <v>455</v>
      </c>
      <c r="M1470" s="148" t="s">
        <v>132</v>
      </c>
      <c r="N1470" s="148">
        <v>8</v>
      </c>
      <c r="O1470" s="148" t="s">
        <v>101</v>
      </c>
      <c r="P1470" s="148" t="s">
        <v>512</v>
      </c>
    </row>
    <row r="1471" spans="1:25" ht="15.75" hidden="1" customHeight="1" x14ac:dyDescent="0.25">
      <c r="A1471" s="148" t="s">
        <v>76</v>
      </c>
      <c r="B1471" s="148" t="s">
        <v>36</v>
      </c>
      <c r="C1471" s="148" t="s">
        <v>28</v>
      </c>
      <c r="D1471" s="148" t="s">
        <v>342</v>
      </c>
      <c r="E1471" s="148" t="s">
        <v>30</v>
      </c>
      <c r="F1471" s="148" t="s">
        <v>3183</v>
      </c>
      <c r="G1471" s="148" t="s">
        <v>114</v>
      </c>
      <c r="H1471" s="148">
        <v>2011</v>
      </c>
      <c r="I1471" s="148">
        <v>4</v>
      </c>
      <c r="J1471" s="148" t="s">
        <v>150</v>
      </c>
      <c r="K1471" s="148" t="s">
        <v>379</v>
      </c>
      <c r="M1471" s="148" t="s">
        <v>126</v>
      </c>
      <c r="N1471" s="148">
        <v>10</v>
      </c>
      <c r="O1471" s="148" t="s">
        <v>83</v>
      </c>
      <c r="P1471" s="148" t="s">
        <v>146</v>
      </c>
    </row>
    <row r="1472" spans="1:25" ht="15.75" hidden="1" customHeight="1" x14ac:dyDescent="0.25">
      <c r="A1472" s="148" t="s">
        <v>76</v>
      </c>
      <c r="B1472" s="148" t="s">
        <v>89</v>
      </c>
      <c r="C1472" s="148" t="s">
        <v>90</v>
      </c>
      <c r="D1472" s="148" t="s">
        <v>29</v>
      </c>
      <c r="E1472" s="148" t="s">
        <v>30</v>
      </c>
      <c r="F1472" s="148" t="s">
        <v>91</v>
      </c>
      <c r="G1472" s="148" t="s">
        <v>280</v>
      </c>
      <c r="H1472" s="148">
        <v>2011</v>
      </c>
      <c r="I1472" s="148">
        <v>4</v>
      </c>
      <c r="J1472" s="148" t="s">
        <v>118</v>
      </c>
      <c r="K1472" s="148" t="s">
        <v>327</v>
      </c>
      <c r="M1472" s="148" t="s">
        <v>82</v>
      </c>
      <c r="N1472" s="148">
        <v>8</v>
      </c>
      <c r="O1472" s="148" t="s">
        <v>101</v>
      </c>
      <c r="P1472" s="148" t="s">
        <v>942</v>
      </c>
    </row>
    <row r="1473" spans="1:26" ht="15.75" hidden="1" customHeight="1" x14ac:dyDescent="0.25">
      <c r="A1473" s="148" t="s">
        <v>76</v>
      </c>
      <c r="B1473" s="148" t="s">
        <v>36</v>
      </c>
      <c r="C1473" s="148" t="s">
        <v>28</v>
      </c>
      <c r="D1473" s="148" t="s">
        <v>887</v>
      </c>
      <c r="E1473" s="148" t="s">
        <v>30</v>
      </c>
      <c r="F1473" s="148" t="s">
        <v>3183</v>
      </c>
      <c r="G1473" s="148" t="s">
        <v>888</v>
      </c>
      <c r="H1473" s="148">
        <v>2011</v>
      </c>
      <c r="I1473" s="148">
        <v>5</v>
      </c>
      <c r="J1473" s="148" t="s">
        <v>80</v>
      </c>
      <c r="K1473" s="148" t="s">
        <v>327</v>
      </c>
      <c r="M1473" s="148" t="s">
        <v>82</v>
      </c>
      <c r="N1473" s="148">
        <v>8</v>
      </c>
      <c r="O1473" s="148" t="s">
        <v>83</v>
      </c>
      <c r="P1473" s="148" t="s">
        <v>943</v>
      </c>
      <c r="Y1473" s="150" t="s">
        <v>944</v>
      </c>
      <c r="Z1473" s="148" t="s">
        <v>891</v>
      </c>
    </row>
    <row r="1474" spans="1:26" ht="15.75" hidden="1" customHeight="1" x14ac:dyDescent="0.25">
      <c r="A1474" s="148" t="s">
        <v>76</v>
      </c>
      <c r="B1474" s="148" t="s">
        <v>103</v>
      </c>
      <c r="C1474" s="148" t="s">
        <v>55</v>
      </c>
      <c r="D1474" s="148" t="s">
        <v>99</v>
      </c>
      <c r="E1474" s="148" t="s">
        <v>95</v>
      </c>
      <c r="F1474" s="148" t="s">
        <v>56</v>
      </c>
      <c r="G1474" s="148" t="s">
        <v>104</v>
      </c>
      <c r="H1474" s="148">
        <v>2011</v>
      </c>
      <c r="I1474" s="148">
        <v>5</v>
      </c>
      <c r="J1474" s="148" t="s">
        <v>150</v>
      </c>
      <c r="K1474" s="148" t="s">
        <v>721</v>
      </c>
      <c r="M1474" s="148" t="s">
        <v>120</v>
      </c>
      <c r="N1474" s="148">
        <v>6</v>
      </c>
      <c r="O1474" s="148" t="s">
        <v>83</v>
      </c>
    </row>
    <row r="1475" spans="1:26" ht="15.75" hidden="1" customHeight="1" x14ac:dyDescent="0.25">
      <c r="A1475" s="148" t="s">
        <v>76</v>
      </c>
      <c r="B1475" s="148" t="s">
        <v>36</v>
      </c>
      <c r="C1475" s="148" t="s">
        <v>28</v>
      </c>
      <c r="D1475" s="148" t="s">
        <v>99</v>
      </c>
      <c r="E1475" s="148" t="s">
        <v>30</v>
      </c>
      <c r="F1475" s="148" t="s">
        <v>3183</v>
      </c>
      <c r="G1475" s="148" t="s">
        <v>59</v>
      </c>
      <c r="H1475" s="148">
        <v>2011</v>
      </c>
      <c r="I1475" s="148">
        <v>5</v>
      </c>
      <c r="J1475" s="148" t="s">
        <v>150</v>
      </c>
      <c r="K1475" s="148" t="s">
        <v>327</v>
      </c>
      <c r="M1475" s="148" t="s">
        <v>82</v>
      </c>
      <c r="N1475" s="148">
        <v>8</v>
      </c>
      <c r="O1475" s="148" t="s">
        <v>83</v>
      </c>
    </row>
    <row r="1476" spans="1:26" ht="15.75" hidden="1" customHeight="1" x14ac:dyDescent="0.25">
      <c r="A1476" s="148" t="s">
        <v>76</v>
      </c>
      <c r="B1476" s="148" t="s">
        <v>36</v>
      </c>
      <c r="C1476" s="148" t="s">
        <v>28</v>
      </c>
      <c r="D1476" s="148" t="s">
        <v>342</v>
      </c>
      <c r="E1476" s="148" t="s">
        <v>30</v>
      </c>
      <c r="F1476" s="148" t="s">
        <v>3183</v>
      </c>
      <c r="G1476" s="148" t="s">
        <v>242</v>
      </c>
      <c r="H1476" s="148">
        <v>2011</v>
      </c>
      <c r="I1476" s="148">
        <v>5</v>
      </c>
      <c r="J1476" s="148" t="s">
        <v>118</v>
      </c>
      <c r="K1476" s="148" t="s">
        <v>939</v>
      </c>
      <c r="M1476" s="148" t="s">
        <v>492</v>
      </c>
      <c r="N1476" s="148">
        <v>5</v>
      </c>
      <c r="O1476" s="148" t="s">
        <v>101</v>
      </c>
    </row>
    <row r="1477" spans="1:26" ht="15.75" hidden="1" customHeight="1" x14ac:dyDescent="0.25">
      <c r="A1477" s="148" t="s">
        <v>76</v>
      </c>
      <c r="B1477" s="148" t="s">
        <v>36</v>
      </c>
      <c r="C1477" s="148" t="s">
        <v>28</v>
      </c>
      <c r="D1477" s="148" t="s">
        <v>342</v>
      </c>
      <c r="E1477" s="148" t="s">
        <v>30</v>
      </c>
      <c r="F1477" s="148" t="s">
        <v>3183</v>
      </c>
      <c r="G1477" s="148" t="s">
        <v>37</v>
      </c>
      <c r="H1477" s="148">
        <v>2011</v>
      </c>
      <c r="I1477" s="148">
        <v>5</v>
      </c>
      <c r="J1477" s="148" t="s">
        <v>150</v>
      </c>
      <c r="K1477" s="148" t="s">
        <v>388</v>
      </c>
      <c r="M1477" s="148" t="s">
        <v>126</v>
      </c>
      <c r="N1477" s="148">
        <v>10</v>
      </c>
      <c r="O1477" s="148" t="s">
        <v>83</v>
      </c>
      <c r="P1477" s="148" t="s">
        <v>535</v>
      </c>
    </row>
    <row r="1478" spans="1:26" ht="15.75" hidden="1" customHeight="1" x14ac:dyDescent="0.25">
      <c r="A1478" s="148" t="s">
        <v>76</v>
      </c>
      <c r="B1478" s="148" t="s">
        <v>62</v>
      </c>
      <c r="C1478" s="148" t="s">
        <v>28</v>
      </c>
      <c r="D1478" s="148" t="s">
        <v>51</v>
      </c>
      <c r="E1478" s="148" t="s">
        <v>30</v>
      </c>
      <c r="F1478" s="148" t="s">
        <v>3183</v>
      </c>
      <c r="G1478" s="148" t="s">
        <v>63</v>
      </c>
      <c r="H1478" s="148">
        <v>2011</v>
      </c>
      <c r="I1478" s="148">
        <v>5</v>
      </c>
      <c r="J1478" s="148" t="s">
        <v>118</v>
      </c>
      <c r="K1478" s="148" t="s">
        <v>939</v>
      </c>
      <c r="M1478" s="148" t="s">
        <v>492</v>
      </c>
      <c r="N1478" s="148">
        <v>5</v>
      </c>
      <c r="O1478" s="148" t="s">
        <v>101</v>
      </c>
    </row>
    <row r="1479" spans="1:26" ht="15.75" hidden="1" customHeight="1" x14ac:dyDescent="0.25">
      <c r="A1479" s="148" t="s">
        <v>76</v>
      </c>
      <c r="B1479" s="148" t="s">
        <v>198</v>
      </c>
      <c r="C1479" s="148" t="s">
        <v>45</v>
      </c>
      <c r="D1479" s="148" t="s">
        <v>99</v>
      </c>
      <c r="E1479" s="148" t="s">
        <v>30</v>
      </c>
      <c r="F1479" s="148" t="s">
        <v>199</v>
      </c>
      <c r="G1479" s="148" t="s">
        <v>248</v>
      </c>
      <c r="H1479" s="148">
        <v>2011</v>
      </c>
      <c r="I1479" s="148">
        <v>5</v>
      </c>
      <c r="J1479" s="148" t="s">
        <v>118</v>
      </c>
      <c r="K1479" s="148" t="s">
        <v>327</v>
      </c>
      <c r="M1479" s="148" t="s">
        <v>82</v>
      </c>
      <c r="N1479" s="148">
        <v>8</v>
      </c>
      <c r="O1479" s="148" t="s">
        <v>101</v>
      </c>
      <c r="P1479" s="148" t="s">
        <v>146</v>
      </c>
    </row>
    <row r="1480" spans="1:26" ht="15.75" hidden="1" customHeight="1" x14ac:dyDescent="0.25">
      <c r="A1480" s="148" t="s">
        <v>76</v>
      </c>
      <c r="B1480" s="148" t="s">
        <v>36</v>
      </c>
      <c r="C1480" s="148" t="s">
        <v>28</v>
      </c>
      <c r="D1480" s="148" t="s">
        <v>86</v>
      </c>
      <c r="E1480" s="148" t="s">
        <v>51</v>
      </c>
      <c r="F1480" s="148" t="s">
        <v>3183</v>
      </c>
      <c r="G1480" s="148" t="s">
        <v>69</v>
      </c>
      <c r="H1480" s="148">
        <v>2011</v>
      </c>
      <c r="I1480" s="148">
        <v>5</v>
      </c>
      <c r="J1480" s="148" t="s">
        <v>150</v>
      </c>
      <c r="K1480" s="148" t="s">
        <v>327</v>
      </c>
      <c r="M1480" s="148" t="s">
        <v>82</v>
      </c>
      <c r="N1480" s="148">
        <v>8</v>
      </c>
      <c r="O1480" s="148" t="s">
        <v>83</v>
      </c>
    </row>
    <row r="1481" spans="1:26" ht="15.75" hidden="1" customHeight="1" x14ac:dyDescent="0.25">
      <c r="A1481" s="148" t="s">
        <v>307</v>
      </c>
      <c r="B1481" s="148" t="s">
        <v>77</v>
      </c>
      <c r="C1481" s="148" t="s">
        <v>55</v>
      </c>
      <c r="D1481" s="148" t="s">
        <v>78</v>
      </c>
      <c r="E1481" s="148" t="s">
        <v>30</v>
      </c>
      <c r="F1481" s="148" t="s">
        <v>41</v>
      </c>
      <c r="G1481" s="148" t="s">
        <v>79</v>
      </c>
      <c r="H1481" s="148">
        <v>2011</v>
      </c>
      <c r="I1481" s="148">
        <v>5</v>
      </c>
      <c r="J1481" s="148" t="s">
        <v>399</v>
      </c>
      <c r="Q1481" s="148" t="s">
        <v>309</v>
      </c>
      <c r="R1481" s="148" t="s">
        <v>945</v>
      </c>
      <c r="S1481" s="148" t="s">
        <v>660</v>
      </c>
      <c r="T1481" s="148" t="s">
        <v>946</v>
      </c>
      <c r="Y1481" s="150" t="s">
        <v>947</v>
      </c>
      <c r="Z1481" s="148" t="s">
        <v>948</v>
      </c>
    </row>
    <row r="1482" spans="1:26" ht="15.75" hidden="1" customHeight="1" x14ac:dyDescent="0.25">
      <c r="A1482" s="148" t="s">
        <v>76</v>
      </c>
      <c r="B1482" s="148" t="s">
        <v>103</v>
      </c>
      <c r="C1482" s="148" t="s">
        <v>55</v>
      </c>
      <c r="D1482" s="148" t="s">
        <v>99</v>
      </c>
      <c r="E1482" s="148" t="s">
        <v>30</v>
      </c>
      <c r="F1482" s="148" t="s">
        <v>56</v>
      </c>
      <c r="G1482" s="148" t="s">
        <v>519</v>
      </c>
      <c r="H1482" s="148">
        <v>2011</v>
      </c>
      <c r="I1482" s="148">
        <v>5</v>
      </c>
      <c r="J1482" s="148" t="s">
        <v>118</v>
      </c>
      <c r="K1482" s="148" t="s">
        <v>455</v>
      </c>
      <c r="M1482" s="148" t="s">
        <v>132</v>
      </c>
      <c r="N1482" s="148">
        <v>8</v>
      </c>
      <c r="O1482" s="148" t="s">
        <v>101</v>
      </c>
    </row>
    <row r="1483" spans="1:26" ht="15.75" customHeight="1" x14ac:dyDescent="0.25">
      <c r="A1483" s="148" t="s">
        <v>76</v>
      </c>
      <c r="B1483" s="148" t="s">
        <v>36</v>
      </c>
      <c r="C1483" s="148" t="s">
        <v>28</v>
      </c>
      <c r="D1483" s="148" t="s">
        <v>29</v>
      </c>
      <c r="E1483" s="148" t="s">
        <v>30</v>
      </c>
      <c r="F1483" s="148" t="s">
        <v>3183</v>
      </c>
      <c r="G1483" s="148" t="s">
        <v>194</v>
      </c>
      <c r="H1483" s="148">
        <v>2011</v>
      </c>
      <c r="I1483" s="148">
        <v>5</v>
      </c>
      <c r="J1483" s="148" t="s">
        <v>150</v>
      </c>
      <c r="K1483" s="148" t="s">
        <v>327</v>
      </c>
      <c r="M1483" s="148" t="s">
        <v>82</v>
      </c>
      <c r="N1483" s="148">
        <v>8</v>
      </c>
      <c r="O1483" s="148" t="s">
        <v>83</v>
      </c>
    </row>
    <row r="1484" spans="1:26" ht="13.5" hidden="1" customHeight="1" x14ac:dyDescent="0.25">
      <c r="A1484" s="148" t="s">
        <v>76</v>
      </c>
      <c r="B1484" s="148" t="s">
        <v>103</v>
      </c>
      <c r="C1484" s="148" t="s">
        <v>55</v>
      </c>
      <c r="D1484" s="148" t="s">
        <v>29</v>
      </c>
      <c r="E1484" s="148" t="s">
        <v>30</v>
      </c>
      <c r="F1484" s="148" t="s">
        <v>56</v>
      </c>
      <c r="G1484" s="148" t="s">
        <v>432</v>
      </c>
      <c r="H1484" s="148">
        <v>2011</v>
      </c>
      <c r="I1484" s="148">
        <v>5</v>
      </c>
      <c r="J1484" s="148" t="s">
        <v>150</v>
      </c>
      <c r="K1484" s="148" t="s">
        <v>455</v>
      </c>
      <c r="M1484" s="148" t="s">
        <v>132</v>
      </c>
      <c r="N1484" s="148">
        <v>8</v>
      </c>
      <c r="O1484" s="148" t="s">
        <v>83</v>
      </c>
      <c r="P1484" s="148" t="s">
        <v>649</v>
      </c>
    </row>
    <row r="1485" spans="1:26" ht="15.75" hidden="1" customHeight="1" x14ac:dyDescent="0.25">
      <c r="A1485" s="148" t="s">
        <v>76</v>
      </c>
      <c r="B1485" s="148" t="s">
        <v>103</v>
      </c>
      <c r="C1485" s="148" t="s">
        <v>55</v>
      </c>
      <c r="D1485" s="148" t="s">
        <v>478</v>
      </c>
      <c r="E1485" s="148" t="s">
        <v>95</v>
      </c>
      <c r="F1485" s="148" t="s">
        <v>56</v>
      </c>
      <c r="G1485" s="148" t="s">
        <v>108</v>
      </c>
      <c r="H1485" s="148">
        <v>2011</v>
      </c>
      <c r="I1485" s="148">
        <v>5</v>
      </c>
      <c r="J1485" s="148" t="s">
        <v>150</v>
      </c>
      <c r="K1485" s="148" t="s">
        <v>721</v>
      </c>
      <c r="M1485" s="148" t="s">
        <v>120</v>
      </c>
      <c r="N1485" s="148">
        <v>6</v>
      </c>
      <c r="O1485" s="148" t="s">
        <v>83</v>
      </c>
    </row>
    <row r="1486" spans="1:26" ht="15.75" hidden="1" customHeight="1" x14ac:dyDescent="0.25">
      <c r="A1486" s="148" t="s">
        <v>76</v>
      </c>
      <c r="B1486" s="148" t="s">
        <v>44</v>
      </c>
      <c r="C1486" s="148" t="s">
        <v>45</v>
      </c>
      <c r="D1486" s="148" t="s">
        <v>29</v>
      </c>
      <c r="E1486" s="148" t="s">
        <v>46</v>
      </c>
      <c r="F1486" s="148" t="s">
        <v>47</v>
      </c>
      <c r="G1486" s="148" t="s">
        <v>48</v>
      </c>
      <c r="H1486" s="148">
        <v>2011</v>
      </c>
      <c r="I1486" s="148">
        <v>5</v>
      </c>
      <c r="J1486" s="148" t="s">
        <v>150</v>
      </c>
      <c r="K1486" s="148" t="s">
        <v>455</v>
      </c>
      <c r="M1486" s="148" t="s">
        <v>132</v>
      </c>
      <c r="N1486" s="148">
        <v>8</v>
      </c>
      <c r="O1486" s="148" t="s">
        <v>83</v>
      </c>
    </row>
    <row r="1487" spans="1:26" ht="15.75" hidden="1" customHeight="1" x14ac:dyDescent="0.25">
      <c r="A1487" s="148" t="s">
        <v>76</v>
      </c>
      <c r="B1487" s="148" t="s">
        <v>71</v>
      </c>
      <c r="C1487" s="148" t="s">
        <v>45</v>
      </c>
      <c r="D1487" s="148" t="s">
        <v>29</v>
      </c>
      <c r="E1487" s="148" t="s">
        <v>72</v>
      </c>
      <c r="F1487" s="148" t="s">
        <v>3183</v>
      </c>
      <c r="G1487" s="148" t="s">
        <v>73</v>
      </c>
      <c r="H1487" s="148">
        <v>2011</v>
      </c>
      <c r="I1487" s="148">
        <v>6</v>
      </c>
      <c r="J1487" s="148" t="s">
        <v>640</v>
      </c>
      <c r="K1487" s="148" t="s">
        <v>327</v>
      </c>
      <c r="M1487" s="148" t="s">
        <v>82</v>
      </c>
      <c r="N1487" s="148">
        <v>8</v>
      </c>
      <c r="O1487" s="148" t="s">
        <v>83</v>
      </c>
      <c r="P1487" s="148" t="s">
        <v>146</v>
      </c>
      <c r="Z1487" s="148" t="s">
        <v>949</v>
      </c>
    </row>
    <row r="1488" spans="1:26" ht="15.75" hidden="1" customHeight="1" x14ac:dyDescent="0.25">
      <c r="A1488" s="148" t="s">
        <v>76</v>
      </c>
      <c r="B1488" s="148" t="s">
        <v>103</v>
      </c>
      <c r="C1488" s="148" t="s">
        <v>55</v>
      </c>
      <c r="D1488" s="148" t="s">
        <v>99</v>
      </c>
      <c r="E1488" s="148" t="s">
        <v>95</v>
      </c>
      <c r="F1488" s="148" t="s">
        <v>56</v>
      </c>
      <c r="G1488" s="148" t="s">
        <v>171</v>
      </c>
      <c r="H1488" s="148">
        <v>2011</v>
      </c>
      <c r="I1488" s="148">
        <v>6</v>
      </c>
      <c r="J1488" s="148" t="s">
        <v>118</v>
      </c>
      <c r="K1488" s="148" t="s">
        <v>455</v>
      </c>
      <c r="M1488" s="148" t="s">
        <v>132</v>
      </c>
      <c r="N1488" s="148">
        <v>8</v>
      </c>
      <c r="O1488" s="148" t="s">
        <v>101</v>
      </c>
      <c r="P1488" s="148" t="s">
        <v>435</v>
      </c>
    </row>
    <row r="1489" spans="1:26" ht="15.75" hidden="1" customHeight="1" x14ac:dyDescent="0.25">
      <c r="A1489" s="148" t="s">
        <v>76</v>
      </c>
      <c r="B1489" s="148" t="s">
        <v>36</v>
      </c>
      <c r="C1489" s="148" t="s">
        <v>28</v>
      </c>
      <c r="D1489" s="148" t="s">
        <v>342</v>
      </c>
      <c r="E1489" s="148" t="s">
        <v>30</v>
      </c>
      <c r="F1489" s="148" t="s">
        <v>3183</v>
      </c>
      <c r="G1489" s="148" t="s">
        <v>438</v>
      </c>
      <c r="H1489" s="148">
        <v>2011</v>
      </c>
      <c r="I1489" s="148">
        <v>6</v>
      </c>
      <c r="J1489" s="148" t="s">
        <v>118</v>
      </c>
      <c r="K1489" s="148" t="s">
        <v>327</v>
      </c>
      <c r="M1489" s="148" t="s">
        <v>82</v>
      </c>
      <c r="N1489" s="148">
        <v>8</v>
      </c>
      <c r="O1489" s="148" t="s">
        <v>101</v>
      </c>
    </row>
    <row r="1490" spans="1:26" ht="15.75" hidden="1" customHeight="1" x14ac:dyDescent="0.25">
      <c r="A1490" s="148" t="s">
        <v>76</v>
      </c>
      <c r="B1490" s="148" t="s">
        <v>198</v>
      </c>
      <c r="C1490" s="148" t="s">
        <v>45</v>
      </c>
      <c r="D1490" s="148" t="s">
        <v>94</v>
      </c>
      <c r="E1490" s="148" t="s">
        <v>30</v>
      </c>
      <c r="F1490" s="148" t="s">
        <v>199</v>
      </c>
      <c r="G1490" s="148" t="s">
        <v>296</v>
      </c>
      <c r="H1490" s="148">
        <v>2011</v>
      </c>
      <c r="I1490" s="148">
        <v>6</v>
      </c>
      <c r="J1490" s="148" t="s">
        <v>118</v>
      </c>
      <c r="K1490" s="148" t="s">
        <v>520</v>
      </c>
      <c r="M1490" s="148" t="s">
        <v>701</v>
      </c>
      <c r="N1490" s="148">
        <v>8</v>
      </c>
      <c r="O1490" s="148" t="s">
        <v>101</v>
      </c>
      <c r="P1490" s="148" t="s">
        <v>562</v>
      </c>
    </row>
    <row r="1491" spans="1:26" ht="15.75" hidden="1" customHeight="1" x14ac:dyDescent="0.25">
      <c r="A1491" s="148" t="s">
        <v>76</v>
      </c>
      <c r="B1491" s="148" t="s">
        <v>103</v>
      </c>
      <c r="C1491" s="148" t="s">
        <v>55</v>
      </c>
      <c r="D1491" s="148" t="s">
        <v>478</v>
      </c>
      <c r="E1491" s="148" t="s">
        <v>95</v>
      </c>
      <c r="F1491" s="148" t="s">
        <v>56</v>
      </c>
      <c r="G1491" s="148" t="s">
        <v>153</v>
      </c>
      <c r="H1491" s="148">
        <v>2011</v>
      </c>
      <c r="I1491" s="148">
        <v>6</v>
      </c>
      <c r="J1491" s="148" t="s">
        <v>118</v>
      </c>
      <c r="K1491" s="148" t="s">
        <v>327</v>
      </c>
      <c r="M1491" s="148" t="s">
        <v>82</v>
      </c>
      <c r="N1491" s="148">
        <v>8</v>
      </c>
      <c r="O1491" s="148" t="s">
        <v>101</v>
      </c>
      <c r="P1491" s="148" t="s">
        <v>435</v>
      </c>
    </row>
    <row r="1492" spans="1:26" ht="15.75" hidden="1" customHeight="1" x14ac:dyDescent="0.25">
      <c r="A1492" s="148" t="s">
        <v>76</v>
      </c>
      <c r="B1492" s="148" t="s">
        <v>36</v>
      </c>
      <c r="C1492" s="148" t="s">
        <v>28</v>
      </c>
      <c r="D1492" s="148" t="s">
        <v>29</v>
      </c>
      <c r="E1492" s="148" t="s">
        <v>30</v>
      </c>
      <c r="F1492" s="148" t="s">
        <v>3183</v>
      </c>
      <c r="G1492" s="148" t="s">
        <v>722</v>
      </c>
      <c r="H1492" s="148">
        <v>2011</v>
      </c>
      <c r="I1492" s="148">
        <v>6</v>
      </c>
      <c r="J1492" s="148" t="s">
        <v>80</v>
      </c>
      <c r="K1492" s="148" t="s">
        <v>327</v>
      </c>
      <c r="M1492" s="148" t="s">
        <v>82</v>
      </c>
      <c r="N1492" s="148">
        <v>8</v>
      </c>
      <c r="O1492" s="148" t="s">
        <v>83</v>
      </c>
      <c r="P1492" s="148" t="s">
        <v>949</v>
      </c>
    </row>
    <row r="1493" spans="1:26" ht="15.75" hidden="1" customHeight="1" x14ac:dyDescent="0.25">
      <c r="A1493" s="148" t="s">
        <v>76</v>
      </c>
      <c r="B1493" s="148" t="s">
        <v>27</v>
      </c>
      <c r="C1493" s="148" t="s">
        <v>28</v>
      </c>
      <c r="D1493" s="148" t="s">
        <v>566</v>
      </c>
      <c r="E1493" s="148" t="s">
        <v>30</v>
      </c>
      <c r="F1493" s="148" t="s">
        <v>3183</v>
      </c>
      <c r="G1493" s="148" t="s">
        <v>53</v>
      </c>
      <c r="H1493" s="148">
        <v>2011</v>
      </c>
      <c r="I1493" s="148">
        <v>6</v>
      </c>
      <c r="J1493" s="148" t="s">
        <v>640</v>
      </c>
      <c r="K1493" s="148" t="s">
        <v>327</v>
      </c>
      <c r="M1493" s="148" t="s">
        <v>82</v>
      </c>
      <c r="N1493" s="148">
        <v>8</v>
      </c>
      <c r="O1493" s="148" t="s">
        <v>83</v>
      </c>
      <c r="P1493" s="148" t="s">
        <v>647</v>
      </c>
      <c r="Z1493" s="148" t="s">
        <v>949</v>
      </c>
    </row>
    <row r="1494" spans="1:26" ht="15.75" hidden="1" customHeight="1" x14ac:dyDescent="0.25">
      <c r="A1494" s="148" t="s">
        <v>307</v>
      </c>
      <c r="B1494" s="148" t="s">
        <v>36</v>
      </c>
      <c r="C1494" s="148" t="s">
        <v>28</v>
      </c>
      <c r="D1494" s="148" t="s">
        <v>99</v>
      </c>
      <c r="E1494" s="148" t="s">
        <v>30</v>
      </c>
      <c r="F1494" s="148" t="s">
        <v>3183</v>
      </c>
      <c r="G1494" s="148" t="s">
        <v>59</v>
      </c>
      <c r="H1494" s="148">
        <v>2011</v>
      </c>
      <c r="I1494" s="148">
        <v>6</v>
      </c>
      <c r="J1494" s="148" t="s">
        <v>308</v>
      </c>
      <c r="Q1494" s="148" t="s">
        <v>309</v>
      </c>
      <c r="R1494" s="148" t="s">
        <v>950</v>
      </c>
      <c r="S1494" s="148" t="s">
        <v>885</v>
      </c>
      <c r="T1494" s="148" t="s">
        <v>951</v>
      </c>
    </row>
    <row r="1495" spans="1:26" ht="15.75" hidden="1" customHeight="1" x14ac:dyDescent="0.25">
      <c r="A1495" s="148" t="s">
        <v>76</v>
      </c>
      <c r="B1495" s="148" t="s">
        <v>116</v>
      </c>
      <c r="C1495" s="148" t="s">
        <v>90</v>
      </c>
      <c r="D1495" s="148" t="s">
        <v>29</v>
      </c>
      <c r="E1495" s="148" t="s">
        <v>40</v>
      </c>
      <c r="F1495" s="148" t="s">
        <v>41</v>
      </c>
      <c r="G1495" s="148" t="s">
        <v>469</v>
      </c>
      <c r="H1495" s="148">
        <v>2011</v>
      </c>
      <c r="I1495" s="148">
        <v>6</v>
      </c>
      <c r="J1495" s="148" t="s">
        <v>118</v>
      </c>
      <c r="K1495" s="148" t="s">
        <v>455</v>
      </c>
      <c r="M1495" s="148" t="s">
        <v>132</v>
      </c>
      <c r="N1495" s="148">
        <v>8</v>
      </c>
      <c r="O1495" s="148" t="s">
        <v>101</v>
      </c>
      <c r="P1495" s="148" t="s">
        <v>599</v>
      </c>
    </row>
    <row r="1496" spans="1:26" ht="15.75" hidden="1" customHeight="1" x14ac:dyDescent="0.25">
      <c r="A1496" s="148" t="s">
        <v>76</v>
      </c>
      <c r="B1496" s="148" t="s">
        <v>62</v>
      </c>
      <c r="C1496" s="148" t="s">
        <v>28</v>
      </c>
      <c r="D1496" s="148" t="s">
        <v>759</v>
      </c>
      <c r="E1496" s="148" t="s">
        <v>51</v>
      </c>
      <c r="F1496" s="148" t="s">
        <v>3183</v>
      </c>
      <c r="G1496" s="148" t="s">
        <v>409</v>
      </c>
      <c r="H1496" s="148">
        <v>2011</v>
      </c>
      <c r="I1496" s="148">
        <v>6</v>
      </c>
      <c r="J1496" s="148" t="s">
        <v>640</v>
      </c>
      <c r="K1496" s="148" t="s">
        <v>327</v>
      </c>
      <c r="M1496" s="148" t="s">
        <v>82</v>
      </c>
      <c r="N1496" s="148">
        <v>8</v>
      </c>
      <c r="O1496" s="148" t="s">
        <v>101</v>
      </c>
      <c r="P1496" s="148" t="s">
        <v>952</v>
      </c>
      <c r="Z1496" s="148" t="s">
        <v>949</v>
      </c>
    </row>
    <row r="1497" spans="1:26" ht="15.75" hidden="1" customHeight="1" x14ac:dyDescent="0.25">
      <c r="A1497" s="148" t="s">
        <v>76</v>
      </c>
      <c r="B1497" s="148" t="s">
        <v>71</v>
      </c>
      <c r="C1497" s="148" t="s">
        <v>45</v>
      </c>
      <c r="D1497" s="148" t="s">
        <v>29</v>
      </c>
      <c r="E1497" s="148" t="s">
        <v>72</v>
      </c>
      <c r="F1497" s="148" t="s">
        <v>3183</v>
      </c>
      <c r="G1497" s="148" t="s">
        <v>75</v>
      </c>
      <c r="H1497" s="148">
        <v>2011</v>
      </c>
      <c r="I1497" s="148">
        <v>6</v>
      </c>
      <c r="J1497" s="148" t="s">
        <v>640</v>
      </c>
      <c r="K1497" s="148" t="s">
        <v>327</v>
      </c>
      <c r="M1497" s="148" t="s">
        <v>82</v>
      </c>
      <c r="N1497" s="148">
        <v>8</v>
      </c>
      <c r="O1497" s="148" t="s">
        <v>83</v>
      </c>
      <c r="P1497" s="148" t="s">
        <v>146</v>
      </c>
      <c r="Z1497" s="148" t="s">
        <v>949</v>
      </c>
    </row>
    <row r="1498" spans="1:26" ht="15.75" hidden="1" customHeight="1" x14ac:dyDescent="0.25">
      <c r="A1498" s="148" t="s">
        <v>26</v>
      </c>
      <c r="B1498" s="148" t="s">
        <v>116</v>
      </c>
      <c r="C1498" s="148" t="s">
        <v>90</v>
      </c>
      <c r="D1498" s="148" t="s">
        <v>29</v>
      </c>
      <c r="E1498" s="148" t="s">
        <v>30</v>
      </c>
      <c r="F1498" s="148" t="s">
        <v>41</v>
      </c>
      <c r="G1498" s="148" t="s">
        <v>784</v>
      </c>
      <c r="H1498" s="148">
        <v>2011</v>
      </c>
      <c r="I1498" s="148">
        <v>6</v>
      </c>
      <c r="J1498" s="148" t="s">
        <v>792</v>
      </c>
      <c r="U1498" s="149" t="s">
        <v>3629</v>
      </c>
      <c r="V1498" s="149" t="s">
        <v>3637</v>
      </c>
      <c r="W1498" s="148" t="s">
        <v>34</v>
      </c>
      <c r="X1498" s="148" t="s">
        <v>841</v>
      </c>
    </row>
    <row r="1499" spans="1:26" ht="15.75" hidden="1" customHeight="1" x14ac:dyDescent="0.25">
      <c r="A1499" s="148" t="s">
        <v>76</v>
      </c>
      <c r="B1499" s="148" t="s">
        <v>103</v>
      </c>
      <c r="C1499" s="148" t="s">
        <v>55</v>
      </c>
      <c r="D1499" s="148" t="s">
        <v>478</v>
      </c>
      <c r="E1499" s="148" t="s">
        <v>95</v>
      </c>
      <c r="F1499" s="148" t="s">
        <v>56</v>
      </c>
      <c r="G1499" s="148" t="s">
        <v>225</v>
      </c>
      <c r="H1499" s="148">
        <v>2011</v>
      </c>
      <c r="I1499" s="148">
        <v>6</v>
      </c>
      <c r="J1499" s="148" t="s">
        <v>118</v>
      </c>
      <c r="K1499" s="148" t="s">
        <v>327</v>
      </c>
      <c r="M1499" s="148" t="s">
        <v>82</v>
      </c>
      <c r="N1499" s="148">
        <v>8</v>
      </c>
      <c r="O1499" s="148" t="s">
        <v>101</v>
      </c>
      <c r="P1499" s="148" t="s">
        <v>365</v>
      </c>
    </row>
    <row r="1500" spans="1:26" ht="15.75" hidden="1" customHeight="1" x14ac:dyDescent="0.25">
      <c r="A1500" s="148" t="s">
        <v>76</v>
      </c>
      <c r="B1500" s="148" t="s">
        <v>103</v>
      </c>
      <c r="C1500" s="148" t="s">
        <v>55</v>
      </c>
      <c r="D1500" s="148" t="s">
        <v>490</v>
      </c>
      <c r="E1500" s="148" t="s">
        <v>95</v>
      </c>
      <c r="F1500" s="148" t="s">
        <v>56</v>
      </c>
      <c r="G1500" s="148" t="s">
        <v>168</v>
      </c>
      <c r="H1500" s="148">
        <v>2011</v>
      </c>
      <c r="I1500" s="148">
        <v>6</v>
      </c>
      <c r="J1500" s="148" t="s">
        <v>118</v>
      </c>
      <c r="K1500" s="148" t="s">
        <v>327</v>
      </c>
      <c r="M1500" s="148" t="s">
        <v>82</v>
      </c>
      <c r="N1500" s="148">
        <v>8</v>
      </c>
      <c r="O1500" s="148" t="s">
        <v>101</v>
      </c>
      <c r="P1500" s="148" t="s">
        <v>953</v>
      </c>
    </row>
    <row r="1501" spans="1:26" ht="15.75" hidden="1" customHeight="1" x14ac:dyDescent="0.25">
      <c r="A1501" s="148" t="s">
        <v>76</v>
      </c>
      <c r="B1501" s="148" t="s">
        <v>54</v>
      </c>
      <c r="C1501" s="148" t="s">
        <v>55</v>
      </c>
      <c r="D1501" s="148" t="s">
        <v>65</v>
      </c>
      <c r="E1501" s="148" t="s">
        <v>30</v>
      </c>
      <c r="F1501" s="148" t="s">
        <v>56</v>
      </c>
      <c r="G1501" s="148" t="s">
        <v>54</v>
      </c>
      <c r="H1501" s="148">
        <v>2011</v>
      </c>
      <c r="I1501" s="148">
        <v>6</v>
      </c>
      <c r="J1501" s="148" t="s">
        <v>150</v>
      </c>
      <c r="K1501" s="148" t="s">
        <v>327</v>
      </c>
      <c r="M1501" s="148" t="s">
        <v>82</v>
      </c>
      <c r="N1501" s="148">
        <v>8</v>
      </c>
      <c r="O1501" s="148" t="s">
        <v>83</v>
      </c>
      <c r="P1501" s="148" t="s">
        <v>954</v>
      </c>
    </row>
    <row r="1502" spans="1:26" ht="15.75" customHeight="1" x14ac:dyDescent="0.25">
      <c r="A1502" s="148" t="s">
        <v>76</v>
      </c>
      <c r="B1502" s="148" t="s">
        <v>36</v>
      </c>
      <c r="C1502" s="148" t="s">
        <v>28</v>
      </c>
      <c r="D1502" s="148" t="s">
        <v>29</v>
      </c>
      <c r="E1502" s="148" t="s">
        <v>30</v>
      </c>
      <c r="F1502" s="148" t="s">
        <v>3183</v>
      </c>
      <c r="G1502" s="148" t="s">
        <v>194</v>
      </c>
      <c r="H1502" s="148">
        <v>2011</v>
      </c>
      <c r="I1502" s="148">
        <v>6</v>
      </c>
      <c r="J1502" s="148" t="s">
        <v>150</v>
      </c>
      <c r="K1502" s="148" t="s">
        <v>520</v>
      </c>
      <c r="M1502" s="148" t="s">
        <v>701</v>
      </c>
      <c r="N1502" s="148">
        <v>8</v>
      </c>
      <c r="O1502" s="148" t="s">
        <v>83</v>
      </c>
    </row>
    <row r="1503" spans="1:26" ht="15.75" hidden="1" customHeight="1" x14ac:dyDescent="0.25">
      <c r="A1503" s="148" t="s">
        <v>76</v>
      </c>
      <c r="B1503" s="148" t="s">
        <v>103</v>
      </c>
      <c r="C1503" s="148" t="s">
        <v>55</v>
      </c>
      <c r="D1503" s="148" t="s">
        <v>29</v>
      </c>
      <c r="E1503" s="148" t="s">
        <v>95</v>
      </c>
      <c r="F1503" s="148" t="s">
        <v>56</v>
      </c>
      <c r="G1503" s="148" t="s">
        <v>955</v>
      </c>
      <c r="H1503" s="148">
        <v>2011</v>
      </c>
      <c r="I1503" s="148">
        <v>6</v>
      </c>
      <c r="J1503" s="148" t="s">
        <v>118</v>
      </c>
      <c r="K1503" s="148" t="s">
        <v>388</v>
      </c>
      <c r="M1503" s="148" t="s">
        <v>126</v>
      </c>
      <c r="N1503" s="148">
        <v>10</v>
      </c>
      <c r="O1503" s="148" t="s">
        <v>101</v>
      </c>
      <c r="P1503" s="148" t="s">
        <v>146</v>
      </c>
    </row>
    <row r="1504" spans="1:26" ht="15.75" hidden="1" customHeight="1" x14ac:dyDescent="0.25">
      <c r="A1504" s="148" t="s">
        <v>76</v>
      </c>
      <c r="B1504" s="148" t="s">
        <v>89</v>
      </c>
      <c r="C1504" s="148" t="s">
        <v>90</v>
      </c>
      <c r="D1504" s="148" t="s">
        <v>29</v>
      </c>
      <c r="E1504" s="148" t="s">
        <v>30</v>
      </c>
      <c r="F1504" s="148" t="s">
        <v>91</v>
      </c>
      <c r="G1504" s="148" t="s">
        <v>93</v>
      </c>
      <c r="H1504" s="148">
        <v>2011</v>
      </c>
      <c r="I1504" s="148">
        <v>6</v>
      </c>
      <c r="J1504" s="148" t="s">
        <v>118</v>
      </c>
      <c r="K1504" s="148" t="s">
        <v>455</v>
      </c>
      <c r="M1504" s="148" t="s">
        <v>132</v>
      </c>
      <c r="N1504" s="148">
        <v>8</v>
      </c>
      <c r="O1504" s="148" t="s">
        <v>101</v>
      </c>
      <c r="P1504" s="148" t="s">
        <v>551</v>
      </c>
    </row>
    <row r="1505" spans="1:26" ht="15.75" hidden="1" customHeight="1" x14ac:dyDescent="0.25">
      <c r="A1505" s="148" t="s">
        <v>76</v>
      </c>
      <c r="B1505" s="148" t="s">
        <v>103</v>
      </c>
      <c r="C1505" s="148" t="s">
        <v>55</v>
      </c>
      <c r="D1505" s="148" t="s">
        <v>478</v>
      </c>
      <c r="E1505" s="148" t="s">
        <v>95</v>
      </c>
      <c r="F1505" s="148" t="s">
        <v>56</v>
      </c>
      <c r="G1505" s="148" t="s">
        <v>108</v>
      </c>
      <c r="H1505" s="148">
        <v>2011</v>
      </c>
      <c r="I1505" s="148">
        <v>6</v>
      </c>
      <c r="J1505" s="148" t="s">
        <v>118</v>
      </c>
      <c r="K1505" s="148" t="s">
        <v>629</v>
      </c>
      <c r="M1505" s="148" t="s">
        <v>120</v>
      </c>
      <c r="N1505" s="148">
        <v>6</v>
      </c>
      <c r="O1505" s="148" t="s">
        <v>101</v>
      </c>
      <c r="P1505" s="148" t="s">
        <v>956</v>
      </c>
    </row>
    <row r="1506" spans="1:26" ht="15.75" hidden="1" customHeight="1" x14ac:dyDescent="0.25">
      <c r="A1506" s="148" t="s">
        <v>76</v>
      </c>
      <c r="B1506" s="148" t="s">
        <v>44</v>
      </c>
      <c r="C1506" s="148" t="s">
        <v>45</v>
      </c>
      <c r="D1506" s="148" t="s">
        <v>29</v>
      </c>
      <c r="E1506" s="148" t="s">
        <v>46</v>
      </c>
      <c r="F1506" s="148" t="s">
        <v>47</v>
      </c>
      <c r="G1506" s="148" t="s">
        <v>48</v>
      </c>
      <c r="H1506" s="148">
        <v>2011</v>
      </c>
      <c r="I1506" s="148">
        <v>6</v>
      </c>
      <c r="J1506" s="148" t="s">
        <v>640</v>
      </c>
      <c r="K1506" s="148" t="s">
        <v>327</v>
      </c>
      <c r="M1506" s="148" t="s">
        <v>82</v>
      </c>
      <c r="N1506" s="148">
        <v>8</v>
      </c>
      <c r="O1506" s="148" t="s">
        <v>83</v>
      </c>
      <c r="P1506" s="148" t="s">
        <v>183</v>
      </c>
      <c r="Z1506" s="148" t="s">
        <v>949</v>
      </c>
    </row>
    <row r="1507" spans="1:26" ht="15.75" hidden="1" customHeight="1" x14ac:dyDescent="0.25">
      <c r="A1507" s="148" t="s">
        <v>76</v>
      </c>
      <c r="B1507" s="148" t="s">
        <v>36</v>
      </c>
      <c r="C1507" s="148" t="s">
        <v>28</v>
      </c>
      <c r="D1507" s="148" t="s">
        <v>342</v>
      </c>
      <c r="E1507" s="148" t="s">
        <v>30</v>
      </c>
      <c r="F1507" s="148" t="s">
        <v>3183</v>
      </c>
      <c r="G1507" s="148" t="s">
        <v>114</v>
      </c>
      <c r="H1507" s="148">
        <v>2011</v>
      </c>
      <c r="I1507" s="148">
        <v>6</v>
      </c>
      <c r="J1507" s="148" t="s">
        <v>640</v>
      </c>
      <c r="K1507" s="148" t="s">
        <v>327</v>
      </c>
      <c r="M1507" s="148" t="s">
        <v>82</v>
      </c>
      <c r="N1507" s="148">
        <v>8</v>
      </c>
      <c r="O1507" s="148" t="s">
        <v>83</v>
      </c>
      <c r="P1507" s="148" t="s">
        <v>146</v>
      </c>
      <c r="Z1507" s="148" t="s">
        <v>949</v>
      </c>
    </row>
    <row r="1508" spans="1:26" ht="15.75" hidden="1" customHeight="1" x14ac:dyDescent="0.25">
      <c r="A1508" s="148" t="s">
        <v>76</v>
      </c>
      <c r="B1508" s="148" t="s">
        <v>27</v>
      </c>
      <c r="C1508" s="148" t="s">
        <v>28</v>
      </c>
      <c r="D1508" s="148" t="s">
        <v>158</v>
      </c>
      <c r="E1508" s="148" t="s">
        <v>30</v>
      </c>
      <c r="F1508" s="148" t="s">
        <v>3183</v>
      </c>
      <c r="G1508" s="148" t="s">
        <v>32</v>
      </c>
      <c r="H1508" s="148">
        <v>2011</v>
      </c>
      <c r="I1508" s="148">
        <v>7</v>
      </c>
      <c r="J1508" s="148" t="s">
        <v>118</v>
      </c>
      <c r="K1508" s="148" t="s">
        <v>629</v>
      </c>
      <c r="M1508" s="148" t="s">
        <v>120</v>
      </c>
      <c r="N1508" s="148">
        <v>6</v>
      </c>
      <c r="O1508" s="148" t="s">
        <v>101</v>
      </c>
    </row>
    <row r="1509" spans="1:26" ht="15.75" hidden="1" customHeight="1" x14ac:dyDescent="0.25">
      <c r="A1509" s="148" t="s">
        <v>307</v>
      </c>
      <c r="B1509" s="148" t="s">
        <v>103</v>
      </c>
      <c r="C1509" s="148" t="s">
        <v>55</v>
      </c>
      <c r="D1509" s="148" t="s">
        <v>99</v>
      </c>
      <c r="E1509" s="148" t="s">
        <v>30</v>
      </c>
      <c r="F1509" s="148" t="s">
        <v>56</v>
      </c>
      <c r="G1509" s="148" t="s">
        <v>171</v>
      </c>
      <c r="H1509" s="148">
        <v>2011</v>
      </c>
      <c r="I1509" s="148">
        <v>7</v>
      </c>
      <c r="J1509" s="148" t="s">
        <v>308</v>
      </c>
      <c r="Q1509" s="148" t="s">
        <v>309</v>
      </c>
      <c r="R1509" s="148" t="s">
        <v>957</v>
      </c>
      <c r="S1509" s="148" t="s">
        <v>885</v>
      </c>
      <c r="T1509" s="148" t="s">
        <v>951</v>
      </c>
      <c r="Y1509" s="150" t="s">
        <v>958</v>
      </c>
    </row>
    <row r="1510" spans="1:26" ht="15.75" hidden="1" customHeight="1" x14ac:dyDescent="0.25">
      <c r="A1510" s="148" t="s">
        <v>76</v>
      </c>
      <c r="B1510" s="148" t="s">
        <v>116</v>
      </c>
      <c r="C1510" s="148" t="s">
        <v>90</v>
      </c>
      <c r="D1510" s="148" t="s">
        <v>29</v>
      </c>
      <c r="E1510" s="148" t="s">
        <v>30</v>
      </c>
      <c r="F1510" s="148" t="s">
        <v>41</v>
      </c>
      <c r="G1510" s="148" t="s">
        <v>564</v>
      </c>
      <c r="H1510" s="148">
        <v>2011</v>
      </c>
      <c r="I1510" s="148">
        <v>7</v>
      </c>
      <c r="J1510" s="148" t="s">
        <v>118</v>
      </c>
      <c r="K1510" s="148" t="s">
        <v>520</v>
      </c>
      <c r="M1510" s="148" t="s">
        <v>701</v>
      </c>
      <c r="N1510" s="148">
        <v>8</v>
      </c>
      <c r="O1510" s="148" t="s">
        <v>101</v>
      </c>
      <c r="P1510" s="148" t="s">
        <v>562</v>
      </c>
    </row>
    <row r="1511" spans="1:26" ht="15.75" hidden="1" customHeight="1" x14ac:dyDescent="0.25">
      <c r="A1511" s="148" t="s">
        <v>76</v>
      </c>
      <c r="B1511" s="148" t="s">
        <v>62</v>
      </c>
      <c r="C1511" s="148" t="s">
        <v>28</v>
      </c>
      <c r="D1511" s="148" t="s">
        <v>759</v>
      </c>
      <c r="E1511" s="148" t="s">
        <v>51</v>
      </c>
      <c r="F1511" s="148" t="s">
        <v>3183</v>
      </c>
      <c r="G1511" s="148" t="s">
        <v>409</v>
      </c>
      <c r="H1511" s="148">
        <v>2011</v>
      </c>
      <c r="I1511" s="148">
        <v>7</v>
      </c>
      <c r="J1511" s="148" t="s">
        <v>150</v>
      </c>
      <c r="K1511" s="148" t="s">
        <v>629</v>
      </c>
      <c r="M1511" s="148" t="s">
        <v>120</v>
      </c>
      <c r="N1511" s="148">
        <v>6</v>
      </c>
      <c r="O1511" s="148" t="s">
        <v>83</v>
      </c>
      <c r="P1511" s="148" t="s">
        <v>146</v>
      </c>
    </row>
    <row r="1512" spans="1:26" ht="15.75" hidden="1" customHeight="1" x14ac:dyDescent="0.25">
      <c r="A1512" s="148" t="s">
        <v>76</v>
      </c>
      <c r="B1512" s="148" t="s">
        <v>36</v>
      </c>
      <c r="C1512" s="148" t="s">
        <v>28</v>
      </c>
      <c r="D1512" s="148" t="s">
        <v>342</v>
      </c>
      <c r="E1512" s="148" t="s">
        <v>30</v>
      </c>
      <c r="F1512" s="148" t="s">
        <v>3183</v>
      </c>
      <c r="G1512" s="148" t="s">
        <v>242</v>
      </c>
      <c r="H1512" s="148">
        <v>2011</v>
      </c>
      <c r="I1512" s="148">
        <v>7</v>
      </c>
      <c r="J1512" s="148" t="s">
        <v>118</v>
      </c>
      <c r="K1512" s="148" t="s">
        <v>379</v>
      </c>
      <c r="M1512" s="148" t="s">
        <v>126</v>
      </c>
      <c r="N1512" s="148">
        <v>10</v>
      </c>
      <c r="O1512" s="148" t="s">
        <v>101</v>
      </c>
      <c r="P1512" s="148" t="s">
        <v>435</v>
      </c>
    </row>
    <row r="1513" spans="1:26" ht="15.75" hidden="1" customHeight="1" x14ac:dyDescent="0.25">
      <c r="A1513" s="148" t="s">
        <v>76</v>
      </c>
      <c r="B1513" s="148" t="s">
        <v>62</v>
      </c>
      <c r="C1513" s="148" t="s">
        <v>28</v>
      </c>
      <c r="D1513" s="148" t="s">
        <v>51</v>
      </c>
      <c r="E1513" s="148" t="s">
        <v>30</v>
      </c>
      <c r="F1513" s="148" t="s">
        <v>3183</v>
      </c>
      <c r="G1513" s="148" t="s">
        <v>63</v>
      </c>
      <c r="H1513" s="148">
        <v>2011</v>
      </c>
      <c r="I1513" s="148">
        <v>7</v>
      </c>
      <c r="J1513" s="148" t="s">
        <v>118</v>
      </c>
      <c r="K1513" s="148" t="s">
        <v>927</v>
      </c>
      <c r="M1513" s="148" t="s">
        <v>464</v>
      </c>
      <c r="N1513" s="148">
        <v>6</v>
      </c>
      <c r="O1513" s="148" t="s">
        <v>101</v>
      </c>
    </row>
    <row r="1514" spans="1:26" ht="15.75" hidden="1" customHeight="1" x14ac:dyDescent="0.25">
      <c r="A1514" s="148" t="s">
        <v>76</v>
      </c>
      <c r="B1514" s="148" t="s">
        <v>27</v>
      </c>
      <c r="C1514" s="148" t="s">
        <v>28</v>
      </c>
      <c r="D1514" s="148" t="s">
        <v>99</v>
      </c>
      <c r="E1514" s="148" t="s">
        <v>40</v>
      </c>
      <c r="F1514" s="148" t="s">
        <v>41</v>
      </c>
      <c r="G1514" s="148" t="s">
        <v>42</v>
      </c>
      <c r="H1514" s="148">
        <v>2011</v>
      </c>
      <c r="I1514" s="148">
        <v>7</v>
      </c>
      <c r="J1514" s="148" t="s">
        <v>118</v>
      </c>
      <c r="K1514" s="148" t="s">
        <v>629</v>
      </c>
      <c r="M1514" s="148" t="s">
        <v>120</v>
      </c>
      <c r="N1514" s="148">
        <v>6</v>
      </c>
      <c r="O1514" s="148" t="s">
        <v>101</v>
      </c>
      <c r="P1514" s="148" t="s">
        <v>757</v>
      </c>
    </row>
    <row r="1515" spans="1:26" ht="15.75" hidden="1" customHeight="1" x14ac:dyDescent="0.25">
      <c r="A1515" s="148" t="s">
        <v>76</v>
      </c>
      <c r="B1515" s="148" t="s">
        <v>62</v>
      </c>
      <c r="C1515" s="148" t="s">
        <v>28</v>
      </c>
      <c r="D1515" s="148" t="s">
        <v>86</v>
      </c>
      <c r="E1515" s="148" t="s">
        <v>51</v>
      </c>
      <c r="F1515" s="148" t="s">
        <v>3183</v>
      </c>
      <c r="G1515" s="148" t="s">
        <v>130</v>
      </c>
      <c r="H1515" s="148">
        <v>2011</v>
      </c>
      <c r="I1515" s="148">
        <v>7</v>
      </c>
      <c r="J1515" s="148" t="s">
        <v>118</v>
      </c>
      <c r="K1515" s="148" t="s">
        <v>327</v>
      </c>
      <c r="M1515" s="148" t="s">
        <v>82</v>
      </c>
      <c r="N1515" s="148">
        <v>8</v>
      </c>
      <c r="O1515" s="148" t="s">
        <v>101</v>
      </c>
      <c r="P1515" s="148" t="s">
        <v>146</v>
      </c>
    </row>
    <row r="1516" spans="1:26" ht="15.75" hidden="1" customHeight="1" x14ac:dyDescent="0.25">
      <c r="A1516" s="148" t="s">
        <v>76</v>
      </c>
      <c r="B1516" s="148" t="s">
        <v>103</v>
      </c>
      <c r="C1516" s="148" t="s">
        <v>55</v>
      </c>
      <c r="D1516" s="148" t="s">
        <v>29</v>
      </c>
      <c r="E1516" s="148" t="s">
        <v>30</v>
      </c>
      <c r="F1516" s="148" t="s">
        <v>56</v>
      </c>
      <c r="G1516" s="148" t="s">
        <v>381</v>
      </c>
      <c r="H1516" s="148">
        <v>2011</v>
      </c>
      <c r="I1516" s="148">
        <v>7</v>
      </c>
      <c r="J1516" s="148" t="s">
        <v>118</v>
      </c>
      <c r="K1516" s="148" t="s">
        <v>379</v>
      </c>
      <c r="M1516" s="148" t="s">
        <v>126</v>
      </c>
      <c r="N1516" s="148">
        <v>10</v>
      </c>
      <c r="O1516" s="148" t="s">
        <v>101</v>
      </c>
      <c r="P1516" s="148" t="s">
        <v>146</v>
      </c>
    </row>
    <row r="1517" spans="1:26" ht="15.75" hidden="1" customHeight="1" x14ac:dyDescent="0.25">
      <c r="A1517" s="148" t="s">
        <v>76</v>
      </c>
      <c r="B1517" s="148" t="s">
        <v>36</v>
      </c>
      <c r="C1517" s="148" t="s">
        <v>28</v>
      </c>
      <c r="D1517" s="148" t="s">
        <v>99</v>
      </c>
      <c r="E1517" s="148" t="s">
        <v>51</v>
      </c>
      <c r="F1517" s="148" t="s">
        <v>3183</v>
      </c>
      <c r="G1517" s="148" t="s">
        <v>52</v>
      </c>
      <c r="H1517" s="148">
        <v>2011</v>
      </c>
      <c r="I1517" s="148">
        <v>7</v>
      </c>
      <c r="J1517" s="148" t="s">
        <v>118</v>
      </c>
      <c r="K1517" s="148" t="s">
        <v>455</v>
      </c>
      <c r="M1517" s="148" t="s">
        <v>132</v>
      </c>
      <c r="N1517" s="148">
        <v>8</v>
      </c>
      <c r="O1517" s="148" t="s">
        <v>101</v>
      </c>
      <c r="P1517" s="148" t="s">
        <v>551</v>
      </c>
    </row>
    <row r="1518" spans="1:26" ht="15.75" hidden="1" customHeight="1" x14ac:dyDescent="0.25">
      <c r="A1518" s="148" t="s">
        <v>76</v>
      </c>
      <c r="B1518" s="148" t="s">
        <v>103</v>
      </c>
      <c r="C1518" s="148" t="s">
        <v>55</v>
      </c>
      <c r="D1518" s="148" t="s">
        <v>478</v>
      </c>
      <c r="E1518" s="148" t="s">
        <v>95</v>
      </c>
      <c r="F1518" s="148" t="s">
        <v>56</v>
      </c>
      <c r="G1518" s="148" t="s">
        <v>108</v>
      </c>
      <c r="H1518" s="148">
        <v>2011</v>
      </c>
      <c r="I1518" s="148">
        <v>7</v>
      </c>
      <c r="J1518" s="148" t="s">
        <v>118</v>
      </c>
      <c r="K1518" s="148" t="s">
        <v>327</v>
      </c>
      <c r="M1518" s="148" t="s">
        <v>82</v>
      </c>
      <c r="N1518" s="148">
        <v>8</v>
      </c>
      <c r="O1518" s="148" t="s">
        <v>101</v>
      </c>
      <c r="P1518" s="148" t="s">
        <v>156</v>
      </c>
    </row>
    <row r="1519" spans="1:26" ht="15.75" hidden="1" customHeight="1" x14ac:dyDescent="0.25">
      <c r="A1519" s="148" t="s">
        <v>76</v>
      </c>
      <c r="B1519" s="148" t="s">
        <v>44</v>
      </c>
      <c r="C1519" s="148" t="s">
        <v>45</v>
      </c>
      <c r="D1519" s="148" t="s">
        <v>29</v>
      </c>
      <c r="E1519" s="148" t="s">
        <v>46</v>
      </c>
      <c r="F1519" s="148" t="s">
        <v>47</v>
      </c>
      <c r="G1519" s="148" t="s">
        <v>48</v>
      </c>
      <c r="H1519" s="148">
        <v>2011</v>
      </c>
      <c r="I1519" s="148">
        <v>7</v>
      </c>
      <c r="J1519" s="148" t="s">
        <v>118</v>
      </c>
      <c r="K1519" s="148" t="s">
        <v>455</v>
      </c>
      <c r="M1519" s="148" t="s">
        <v>132</v>
      </c>
      <c r="N1519" s="148">
        <v>8</v>
      </c>
      <c r="O1519" s="148" t="s">
        <v>101</v>
      </c>
      <c r="P1519" s="148" t="s">
        <v>398</v>
      </c>
    </row>
    <row r="1520" spans="1:26" ht="15.75" hidden="1" customHeight="1" x14ac:dyDescent="0.25">
      <c r="A1520" s="148" t="s">
        <v>76</v>
      </c>
      <c r="B1520" s="148" t="s">
        <v>198</v>
      </c>
      <c r="C1520" s="148" t="s">
        <v>45</v>
      </c>
      <c r="D1520" s="148" t="s">
        <v>478</v>
      </c>
      <c r="E1520" s="148" t="s">
        <v>30</v>
      </c>
      <c r="F1520" s="148" t="s">
        <v>199</v>
      </c>
      <c r="G1520" s="148" t="s">
        <v>208</v>
      </c>
      <c r="H1520" s="148">
        <v>2011</v>
      </c>
      <c r="I1520" s="148">
        <v>8</v>
      </c>
      <c r="J1520" s="148" t="s">
        <v>150</v>
      </c>
      <c r="K1520" s="148" t="s">
        <v>959</v>
      </c>
      <c r="M1520" s="148" t="s">
        <v>464</v>
      </c>
      <c r="N1520" s="148">
        <v>6</v>
      </c>
      <c r="O1520" s="148" t="s">
        <v>83</v>
      </c>
    </row>
    <row r="1521" spans="1:26" ht="15.75" hidden="1" customHeight="1" x14ac:dyDescent="0.25">
      <c r="A1521" s="148" t="s">
        <v>76</v>
      </c>
      <c r="B1521" s="148" t="s">
        <v>44</v>
      </c>
      <c r="C1521" s="148" t="s">
        <v>45</v>
      </c>
      <c r="D1521" s="148" t="s">
        <v>99</v>
      </c>
      <c r="E1521" s="148" t="s">
        <v>95</v>
      </c>
      <c r="F1521" s="148" t="s">
        <v>47</v>
      </c>
      <c r="G1521" s="148" t="s">
        <v>96</v>
      </c>
      <c r="H1521" s="148">
        <v>2011</v>
      </c>
      <c r="I1521" s="148">
        <v>8</v>
      </c>
      <c r="J1521" s="148" t="s">
        <v>150</v>
      </c>
      <c r="K1521" s="148" t="s">
        <v>959</v>
      </c>
      <c r="M1521" s="148" t="s">
        <v>464</v>
      </c>
      <c r="N1521" s="148">
        <v>6</v>
      </c>
      <c r="O1521" s="148" t="s">
        <v>83</v>
      </c>
    </row>
    <row r="1522" spans="1:26" ht="15.75" hidden="1" customHeight="1" x14ac:dyDescent="0.25">
      <c r="A1522" s="148" t="s">
        <v>76</v>
      </c>
      <c r="B1522" s="148" t="s">
        <v>116</v>
      </c>
      <c r="C1522" s="148" t="s">
        <v>90</v>
      </c>
      <c r="D1522" s="148" t="s">
        <v>29</v>
      </c>
      <c r="E1522" s="148" t="s">
        <v>40</v>
      </c>
      <c r="F1522" s="148" t="s">
        <v>41</v>
      </c>
      <c r="G1522" s="148" t="s">
        <v>469</v>
      </c>
      <c r="H1522" s="148">
        <v>2011</v>
      </c>
      <c r="I1522" s="148">
        <v>8</v>
      </c>
      <c r="J1522" s="148" t="s">
        <v>150</v>
      </c>
      <c r="K1522" s="148" t="s">
        <v>455</v>
      </c>
      <c r="M1522" s="148" t="s">
        <v>132</v>
      </c>
      <c r="N1522" s="148">
        <v>8</v>
      </c>
      <c r="O1522" s="148" t="s">
        <v>83</v>
      </c>
    </row>
    <row r="1523" spans="1:26" ht="15.75" hidden="1" customHeight="1" x14ac:dyDescent="0.25">
      <c r="A1523" s="148" t="s">
        <v>26</v>
      </c>
      <c r="B1523" s="148" t="s">
        <v>116</v>
      </c>
      <c r="C1523" s="148" t="s">
        <v>90</v>
      </c>
      <c r="D1523" s="148" t="s">
        <v>29</v>
      </c>
      <c r="E1523" s="148" t="s">
        <v>30</v>
      </c>
      <c r="F1523" s="148" t="s">
        <v>41</v>
      </c>
      <c r="G1523" s="148" t="s">
        <v>784</v>
      </c>
      <c r="H1523" s="148">
        <v>2011</v>
      </c>
      <c r="I1523" s="148">
        <v>8</v>
      </c>
      <c r="J1523" s="148" t="s">
        <v>792</v>
      </c>
      <c r="U1523" s="149" t="s">
        <v>3629</v>
      </c>
      <c r="V1523" s="149" t="s">
        <v>3637</v>
      </c>
      <c r="W1523" s="148" t="s">
        <v>34</v>
      </c>
      <c r="X1523" s="148" t="s">
        <v>960</v>
      </c>
    </row>
    <row r="1524" spans="1:26" ht="15.75" hidden="1" customHeight="1" x14ac:dyDescent="0.25">
      <c r="A1524" s="148" t="s">
        <v>26</v>
      </c>
      <c r="B1524" s="148" t="s">
        <v>116</v>
      </c>
      <c r="C1524" s="148" t="s">
        <v>90</v>
      </c>
      <c r="D1524" s="148" t="s">
        <v>29</v>
      </c>
      <c r="E1524" s="148" t="s">
        <v>30</v>
      </c>
      <c r="F1524" s="148" t="s">
        <v>41</v>
      </c>
      <c r="G1524" s="148" t="s">
        <v>653</v>
      </c>
      <c r="H1524" s="148">
        <v>2011</v>
      </c>
      <c r="I1524" s="148">
        <v>8</v>
      </c>
      <c r="J1524" s="148" t="s">
        <v>33</v>
      </c>
      <c r="U1524" s="149" t="s">
        <v>3629</v>
      </c>
      <c r="V1524" s="149" t="s">
        <v>3637</v>
      </c>
      <c r="W1524" s="148" t="s">
        <v>34</v>
      </c>
      <c r="X1524" s="148" t="s">
        <v>841</v>
      </c>
    </row>
    <row r="1525" spans="1:26" ht="15.75" hidden="1" customHeight="1" x14ac:dyDescent="0.25">
      <c r="A1525" s="148" t="s">
        <v>76</v>
      </c>
      <c r="B1525" s="148" t="s">
        <v>54</v>
      </c>
      <c r="C1525" s="148" t="s">
        <v>55</v>
      </c>
      <c r="D1525" s="148" t="s">
        <v>65</v>
      </c>
      <c r="E1525" s="148" t="s">
        <v>30</v>
      </c>
      <c r="F1525" s="148" t="s">
        <v>56</v>
      </c>
      <c r="G1525" s="148" t="s">
        <v>54</v>
      </c>
      <c r="H1525" s="148">
        <v>2011</v>
      </c>
      <c r="I1525" s="148">
        <v>8</v>
      </c>
      <c r="J1525" s="148" t="s">
        <v>150</v>
      </c>
      <c r="K1525" s="148" t="s">
        <v>455</v>
      </c>
      <c r="M1525" s="148" t="s">
        <v>132</v>
      </c>
      <c r="N1525" s="148">
        <v>8</v>
      </c>
      <c r="O1525" s="148" t="s">
        <v>83</v>
      </c>
      <c r="P1525" s="148" t="s">
        <v>961</v>
      </c>
    </row>
    <row r="1526" spans="1:26" ht="15.75" hidden="1" customHeight="1" x14ac:dyDescent="0.25">
      <c r="A1526" s="148" t="s">
        <v>26</v>
      </c>
      <c r="B1526" s="148" t="s">
        <v>36</v>
      </c>
      <c r="C1526" s="148" t="s">
        <v>28</v>
      </c>
      <c r="D1526" s="148" t="s">
        <v>99</v>
      </c>
      <c r="E1526" s="148" t="s">
        <v>51</v>
      </c>
      <c r="F1526" s="148" t="s">
        <v>3183</v>
      </c>
      <c r="G1526" s="148" t="s">
        <v>52</v>
      </c>
      <c r="H1526" s="148">
        <v>2011</v>
      </c>
      <c r="I1526" s="148">
        <v>8</v>
      </c>
      <c r="J1526" s="148" t="s">
        <v>817</v>
      </c>
      <c r="U1526" s="149" t="s">
        <v>3629</v>
      </c>
      <c r="V1526" s="149" t="s">
        <v>3637</v>
      </c>
      <c r="W1526" s="148" t="s">
        <v>34</v>
      </c>
      <c r="X1526" s="148" t="s">
        <v>841</v>
      </c>
    </row>
    <row r="1527" spans="1:26" ht="15.75" hidden="1" customHeight="1" x14ac:dyDescent="0.25">
      <c r="A1527" s="148" t="s">
        <v>307</v>
      </c>
      <c r="B1527" s="148" t="s">
        <v>36</v>
      </c>
      <c r="C1527" s="148" t="s">
        <v>28</v>
      </c>
      <c r="D1527" s="148" t="s">
        <v>99</v>
      </c>
      <c r="E1527" s="148" t="s">
        <v>51</v>
      </c>
      <c r="F1527" s="148" t="s">
        <v>3183</v>
      </c>
      <c r="G1527" s="148" t="s">
        <v>52</v>
      </c>
      <c r="H1527" s="148">
        <v>2011</v>
      </c>
      <c r="I1527" s="148">
        <v>8</v>
      </c>
      <c r="J1527" s="148" t="s">
        <v>308</v>
      </c>
      <c r="Q1527" s="148" t="s">
        <v>818</v>
      </c>
      <c r="R1527" s="148" t="s">
        <v>962</v>
      </c>
      <c r="S1527" s="148" t="s">
        <v>427</v>
      </c>
      <c r="T1527" s="148" t="s">
        <v>963</v>
      </c>
    </row>
    <row r="1528" spans="1:26" ht="15.75" hidden="1" customHeight="1" x14ac:dyDescent="0.25">
      <c r="A1528" s="148" t="s">
        <v>76</v>
      </c>
      <c r="B1528" s="148" t="s">
        <v>103</v>
      </c>
      <c r="C1528" s="148" t="s">
        <v>55</v>
      </c>
      <c r="D1528" s="148" t="s">
        <v>86</v>
      </c>
      <c r="E1528" s="148" t="s">
        <v>30</v>
      </c>
      <c r="F1528" s="148" t="s">
        <v>56</v>
      </c>
      <c r="G1528" s="148" t="s">
        <v>137</v>
      </c>
      <c r="H1528" s="148">
        <v>2011</v>
      </c>
      <c r="I1528" s="148">
        <v>8</v>
      </c>
      <c r="J1528" s="148" t="s">
        <v>150</v>
      </c>
      <c r="K1528" s="148" t="s">
        <v>455</v>
      </c>
      <c r="M1528" s="148" t="s">
        <v>132</v>
      </c>
      <c r="N1528" s="148">
        <v>8</v>
      </c>
      <c r="O1528" s="148" t="s">
        <v>83</v>
      </c>
      <c r="P1528" s="148" t="s">
        <v>435</v>
      </c>
    </row>
    <row r="1529" spans="1:26" ht="15.75" hidden="1" customHeight="1" x14ac:dyDescent="0.25">
      <c r="A1529" s="148" t="s">
        <v>76</v>
      </c>
      <c r="B1529" s="148" t="s">
        <v>36</v>
      </c>
      <c r="C1529" s="148" t="s">
        <v>28</v>
      </c>
      <c r="D1529" s="148" t="s">
        <v>342</v>
      </c>
      <c r="E1529" s="148" t="s">
        <v>30</v>
      </c>
      <c r="F1529" s="148" t="s">
        <v>3183</v>
      </c>
      <c r="G1529" s="148" t="s">
        <v>114</v>
      </c>
      <c r="H1529" s="148">
        <v>2011</v>
      </c>
      <c r="I1529" s="148">
        <v>8</v>
      </c>
      <c r="J1529" s="148" t="s">
        <v>118</v>
      </c>
      <c r="K1529" s="148" t="s">
        <v>327</v>
      </c>
      <c r="M1529" s="148" t="s">
        <v>82</v>
      </c>
      <c r="N1529" s="148">
        <v>8</v>
      </c>
      <c r="O1529" s="148" t="s">
        <v>101</v>
      </c>
      <c r="P1529" s="148" t="s">
        <v>261</v>
      </c>
    </row>
    <row r="1530" spans="1:26" ht="15.75" hidden="1" customHeight="1" x14ac:dyDescent="0.25">
      <c r="A1530" s="148" t="s">
        <v>76</v>
      </c>
      <c r="B1530" s="148" t="s">
        <v>27</v>
      </c>
      <c r="C1530" s="148" t="s">
        <v>28</v>
      </c>
      <c r="D1530" s="148" t="s">
        <v>158</v>
      </c>
      <c r="E1530" s="148" t="s">
        <v>30</v>
      </c>
      <c r="F1530" s="148" t="s">
        <v>3183</v>
      </c>
      <c r="G1530" s="148" t="s">
        <v>32</v>
      </c>
      <c r="H1530" s="148">
        <v>2011</v>
      </c>
      <c r="I1530" s="148">
        <v>9</v>
      </c>
      <c r="J1530" s="148" t="s">
        <v>118</v>
      </c>
      <c r="K1530" s="148" t="s">
        <v>327</v>
      </c>
      <c r="M1530" s="148" t="s">
        <v>82</v>
      </c>
      <c r="N1530" s="148">
        <v>8</v>
      </c>
      <c r="O1530" s="148" t="s">
        <v>101</v>
      </c>
    </row>
    <row r="1531" spans="1:26" ht="15.75" hidden="1" customHeight="1" x14ac:dyDescent="0.25">
      <c r="A1531" s="148" t="s">
        <v>76</v>
      </c>
      <c r="B1531" s="148" t="s">
        <v>89</v>
      </c>
      <c r="C1531" s="148" t="s">
        <v>90</v>
      </c>
      <c r="D1531" s="148" t="s">
        <v>29</v>
      </c>
      <c r="E1531" s="148" t="s">
        <v>30</v>
      </c>
      <c r="F1531" s="148" t="s">
        <v>91</v>
      </c>
      <c r="G1531" s="148" t="s">
        <v>437</v>
      </c>
      <c r="H1531" s="148">
        <v>2011</v>
      </c>
      <c r="I1531" s="148">
        <v>9</v>
      </c>
      <c r="J1531" s="148" t="s">
        <v>150</v>
      </c>
      <c r="K1531" s="148" t="s">
        <v>692</v>
      </c>
      <c r="M1531" s="148" t="s">
        <v>441</v>
      </c>
      <c r="N1531" s="148">
        <v>6</v>
      </c>
      <c r="O1531" s="148" t="s">
        <v>83</v>
      </c>
    </row>
    <row r="1532" spans="1:26" ht="15.75" hidden="1" customHeight="1" x14ac:dyDescent="0.25">
      <c r="A1532" s="148" t="s">
        <v>76</v>
      </c>
      <c r="B1532" s="148" t="s">
        <v>89</v>
      </c>
      <c r="C1532" s="148" t="s">
        <v>90</v>
      </c>
      <c r="D1532" s="148" t="s">
        <v>29</v>
      </c>
      <c r="E1532" s="148" t="s">
        <v>30</v>
      </c>
      <c r="F1532" s="148" t="s">
        <v>91</v>
      </c>
      <c r="G1532" s="148" t="s">
        <v>145</v>
      </c>
      <c r="H1532" s="148">
        <v>2011</v>
      </c>
      <c r="I1532" s="148">
        <v>9</v>
      </c>
      <c r="J1532" s="148" t="s">
        <v>150</v>
      </c>
      <c r="K1532" s="148" t="s">
        <v>874</v>
      </c>
      <c r="M1532" s="148" t="s">
        <v>120</v>
      </c>
      <c r="N1532" s="148">
        <v>6</v>
      </c>
      <c r="O1532" s="148" t="s">
        <v>83</v>
      </c>
    </row>
    <row r="1533" spans="1:26" ht="15.75" hidden="1" customHeight="1" x14ac:dyDescent="0.25">
      <c r="A1533" s="148" t="s">
        <v>76</v>
      </c>
      <c r="B1533" s="148" t="s">
        <v>103</v>
      </c>
      <c r="C1533" s="148" t="s">
        <v>55</v>
      </c>
      <c r="D1533" s="148" t="s">
        <v>158</v>
      </c>
      <c r="E1533" s="148" t="s">
        <v>95</v>
      </c>
      <c r="F1533" s="148" t="s">
        <v>56</v>
      </c>
      <c r="G1533" s="148" t="s">
        <v>176</v>
      </c>
      <c r="H1533" s="148">
        <v>2011</v>
      </c>
      <c r="I1533" s="148">
        <v>9</v>
      </c>
      <c r="J1533" s="148" t="s">
        <v>150</v>
      </c>
      <c r="K1533" s="148" t="s">
        <v>388</v>
      </c>
      <c r="M1533" s="148" t="s">
        <v>126</v>
      </c>
      <c r="N1533" s="148">
        <v>10</v>
      </c>
      <c r="O1533" s="148" t="s">
        <v>83</v>
      </c>
      <c r="P1533" s="148" t="s">
        <v>146</v>
      </c>
    </row>
    <row r="1534" spans="1:26" ht="15.75" hidden="1" customHeight="1" x14ac:dyDescent="0.25">
      <c r="A1534" s="148" t="s">
        <v>76</v>
      </c>
      <c r="B1534" s="148" t="s">
        <v>103</v>
      </c>
      <c r="C1534" s="148" t="s">
        <v>55</v>
      </c>
      <c r="D1534" s="148" t="s">
        <v>478</v>
      </c>
      <c r="E1534" s="148" t="s">
        <v>95</v>
      </c>
      <c r="F1534" s="148" t="s">
        <v>56</v>
      </c>
      <c r="G1534" s="148" t="s">
        <v>111</v>
      </c>
      <c r="H1534" s="148">
        <v>2011</v>
      </c>
      <c r="I1534" s="148">
        <v>9</v>
      </c>
      <c r="J1534" s="148" t="s">
        <v>150</v>
      </c>
      <c r="K1534" s="148" t="s">
        <v>629</v>
      </c>
      <c r="M1534" s="148" t="s">
        <v>120</v>
      </c>
      <c r="N1534" s="148">
        <v>6</v>
      </c>
      <c r="O1534" s="148" t="s">
        <v>83</v>
      </c>
    </row>
    <row r="1535" spans="1:26" ht="15.75" hidden="1" customHeight="1" x14ac:dyDescent="0.25">
      <c r="A1535" s="148" t="s">
        <v>76</v>
      </c>
      <c r="B1535" s="148" t="s">
        <v>71</v>
      </c>
      <c r="C1535" s="148" t="s">
        <v>45</v>
      </c>
      <c r="D1535" s="148" t="s">
        <v>29</v>
      </c>
      <c r="E1535" s="148" t="s">
        <v>72</v>
      </c>
      <c r="F1535" s="148" t="s">
        <v>3183</v>
      </c>
      <c r="G1535" s="148" t="s">
        <v>75</v>
      </c>
      <c r="H1535" s="148">
        <v>2011</v>
      </c>
      <c r="I1535" s="148">
        <v>9</v>
      </c>
      <c r="J1535" s="148" t="s">
        <v>118</v>
      </c>
      <c r="K1535" s="148" t="s">
        <v>379</v>
      </c>
      <c r="M1535" s="148" t="s">
        <v>126</v>
      </c>
      <c r="N1535" s="148">
        <v>10</v>
      </c>
      <c r="O1535" s="148" t="s">
        <v>101</v>
      </c>
      <c r="P1535" s="148" t="s">
        <v>964</v>
      </c>
      <c r="Y1535" s="131" t="s">
        <v>3329</v>
      </c>
      <c r="Z1535" s="148" t="s">
        <v>3330</v>
      </c>
    </row>
    <row r="1536" spans="1:26" ht="15.75" hidden="1" customHeight="1" x14ac:dyDescent="0.25">
      <c r="A1536" s="148" t="s">
        <v>76</v>
      </c>
      <c r="B1536" s="148" t="s">
        <v>62</v>
      </c>
      <c r="C1536" s="148" t="s">
        <v>28</v>
      </c>
      <c r="D1536" s="148" t="s">
        <v>51</v>
      </c>
      <c r="E1536" s="148" t="s">
        <v>30</v>
      </c>
      <c r="F1536" s="148" t="s">
        <v>3183</v>
      </c>
      <c r="G1536" s="148" t="s">
        <v>63</v>
      </c>
      <c r="H1536" s="148">
        <v>2011</v>
      </c>
      <c r="I1536" s="148">
        <v>9</v>
      </c>
      <c r="J1536" s="148" t="s">
        <v>118</v>
      </c>
      <c r="K1536" s="148" t="s">
        <v>520</v>
      </c>
      <c r="M1536" s="148" t="s">
        <v>701</v>
      </c>
      <c r="N1536" s="148">
        <v>8</v>
      </c>
      <c r="O1536" s="148" t="s">
        <v>101</v>
      </c>
      <c r="P1536" s="148" t="s">
        <v>965</v>
      </c>
    </row>
    <row r="1537" spans="1:26" ht="15.75" hidden="1" customHeight="1" x14ac:dyDescent="0.25">
      <c r="A1537" s="148" t="s">
        <v>76</v>
      </c>
      <c r="B1537" s="148" t="s">
        <v>54</v>
      </c>
      <c r="C1537" s="148" t="s">
        <v>55</v>
      </c>
      <c r="D1537" s="148" t="s">
        <v>65</v>
      </c>
      <c r="E1537" s="148" t="s">
        <v>30</v>
      </c>
      <c r="F1537" s="148" t="s">
        <v>56</v>
      </c>
      <c r="G1537" s="148" t="s">
        <v>54</v>
      </c>
      <c r="H1537" s="148">
        <v>2011</v>
      </c>
      <c r="I1537" s="148">
        <v>9</v>
      </c>
      <c r="J1537" s="148" t="s">
        <v>150</v>
      </c>
      <c r="K1537" s="148" t="s">
        <v>379</v>
      </c>
      <c r="M1537" s="148" t="s">
        <v>126</v>
      </c>
      <c r="N1537" s="148">
        <v>10</v>
      </c>
      <c r="O1537" s="148" t="s">
        <v>83</v>
      </c>
    </row>
    <row r="1538" spans="1:26" ht="15.75" hidden="1" customHeight="1" x14ac:dyDescent="0.25">
      <c r="A1538" s="148" t="s">
        <v>26</v>
      </c>
      <c r="B1538" s="148" t="s">
        <v>116</v>
      </c>
      <c r="C1538" s="148" t="s">
        <v>90</v>
      </c>
      <c r="D1538" s="148" t="s">
        <v>29</v>
      </c>
      <c r="E1538" s="148" t="s">
        <v>30</v>
      </c>
      <c r="F1538" s="148" t="s">
        <v>41</v>
      </c>
      <c r="G1538" s="148" t="s">
        <v>756</v>
      </c>
      <c r="H1538" s="148">
        <v>2011</v>
      </c>
      <c r="I1538" s="148">
        <v>9</v>
      </c>
      <c r="J1538" s="148" t="s">
        <v>792</v>
      </c>
      <c r="U1538" s="149" t="s">
        <v>3629</v>
      </c>
      <c r="V1538" s="149" t="s">
        <v>3638</v>
      </c>
      <c r="W1538" s="148" t="s">
        <v>87</v>
      </c>
      <c r="X1538" s="148" t="s">
        <v>966</v>
      </c>
    </row>
    <row r="1539" spans="1:26" ht="15.75" hidden="1" customHeight="1" x14ac:dyDescent="0.25">
      <c r="A1539" s="148" t="s">
        <v>76</v>
      </c>
      <c r="B1539" s="148" t="s">
        <v>103</v>
      </c>
      <c r="C1539" s="148" t="s">
        <v>55</v>
      </c>
      <c r="D1539" s="148" t="s">
        <v>99</v>
      </c>
      <c r="E1539" s="148" t="s">
        <v>30</v>
      </c>
      <c r="F1539" s="148" t="s">
        <v>56</v>
      </c>
      <c r="G1539" s="148" t="s">
        <v>519</v>
      </c>
      <c r="H1539" s="148">
        <v>2011</v>
      </c>
      <c r="I1539" s="148">
        <v>9</v>
      </c>
      <c r="J1539" s="148" t="s">
        <v>150</v>
      </c>
      <c r="K1539" s="148" t="s">
        <v>388</v>
      </c>
      <c r="M1539" s="148" t="s">
        <v>126</v>
      </c>
      <c r="N1539" s="148">
        <v>10</v>
      </c>
      <c r="O1539" s="148" t="s">
        <v>83</v>
      </c>
    </row>
    <row r="1540" spans="1:26" ht="15.75" hidden="1" customHeight="1" x14ac:dyDescent="0.25">
      <c r="A1540" s="148" t="s">
        <v>76</v>
      </c>
      <c r="B1540" s="148" t="s">
        <v>89</v>
      </c>
      <c r="C1540" s="148" t="s">
        <v>90</v>
      </c>
      <c r="D1540" s="148" t="s">
        <v>29</v>
      </c>
      <c r="E1540" s="148" t="s">
        <v>30</v>
      </c>
      <c r="F1540" s="148" t="s">
        <v>91</v>
      </c>
      <c r="G1540" s="148" t="s">
        <v>93</v>
      </c>
      <c r="H1540" s="148">
        <v>2011</v>
      </c>
      <c r="I1540" s="148">
        <v>9</v>
      </c>
      <c r="J1540" s="148" t="s">
        <v>150</v>
      </c>
      <c r="K1540" s="148" t="s">
        <v>692</v>
      </c>
      <c r="M1540" s="148" t="s">
        <v>441</v>
      </c>
      <c r="N1540" s="148">
        <v>6</v>
      </c>
      <c r="O1540" s="148" t="s">
        <v>83</v>
      </c>
    </row>
    <row r="1541" spans="1:26" ht="15.75" hidden="1" customHeight="1" x14ac:dyDescent="0.25">
      <c r="A1541" s="148" t="s">
        <v>76</v>
      </c>
      <c r="B1541" s="148" t="s">
        <v>44</v>
      </c>
      <c r="C1541" s="148" t="s">
        <v>45</v>
      </c>
      <c r="D1541" s="148" t="s">
        <v>29</v>
      </c>
      <c r="E1541" s="148" t="s">
        <v>46</v>
      </c>
      <c r="F1541" s="148" t="s">
        <v>47</v>
      </c>
      <c r="G1541" s="148" t="s">
        <v>48</v>
      </c>
      <c r="H1541" s="148">
        <v>2011</v>
      </c>
      <c r="I1541" s="148">
        <v>9</v>
      </c>
      <c r="J1541" s="148" t="s">
        <v>150</v>
      </c>
      <c r="K1541" s="148" t="s">
        <v>502</v>
      </c>
      <c r="M1541" s="148" t="s">
        <v>456</v>
      </c>
      <c r="N1541" s="148">
        <v>6</v>
      </c>
      <c r="O1541" s="148" t="s">
        <v>83</v>
      </c>
    </row>
    <row r="1542" spans="1:26" ht="15.75" hidden="1" customHeight="1" x14ac:dyDescent="0.25">
      <c r="A1542" s="148" t="s">
        <v>76</v>
      </c>
      <c r="B1542" s="148" t="s">
        <v>36</v>
      </c>
      <c r="C1542" s="148" t="s">
        <v>28</v>
      </c>
      <c r="D1542" s="148" t="s">
        <v>342</v>
      </c>
      <c r="E1542" s="148" t="s">
        <v>30</v>
      </c>
      <c r="F1542" s="148" t="s">
        <v>3183</v>
      </c>
      <c r="G1542" s="148" t="s">
        <v>114</v>
      </c>
      <c r="H1542" s="148">
        <v>2011</v>
      </c>
      <c r="I1542" s="148">
        <v>9</v>
      </c>
      <c r="J1542" s="148" t="s">
        <v>118</v>
      </c>
      <c r="K1542" s="148" t="s">
        <v>374</v>
      </c>
      <c r="M1542" s="148" t="s">
        <v>389</v>
      </c>
      <c r="N1542" s="148">
        <v>8</v>
      </c>
      <c r="O1542" s="148" t="s">
        <v>101</v>
      </c>
      <c r="P1542" s="148" t="s">
        <v>967</v>
      </c>
    </row>
    <row r="1543" spans="1:26" ht="15.75" hidden="1" customHeight="1" x14ac:dyDescent="0.25">
      <c r="A1543" s="148" t="s">
        <v>76</v>
      </c>
      <c r="B1543" s="148" t="s">
        <v>89</v>
      </c>
      <c r="C1543" s="148" t="s">
        <v>90</v>
      </c>
      <c r="D1543" s="148" t="s">
        <v>29</v>
      </c>
      <c r="E1543" s="148" t="s">
        <v>30</v>
      </c>
      <c r="F1543" s="148" t="s">
        <v>91</v>
      </c>
      <c r="G1543" s="148" t="s">
        <v>646</v>
      </c>
      <c r="H1543" s="148">
        <v>2011</v>
      </c>
      <c r="I1543" s="148">
        <v>10</v>
      </c>
      <c r="J1543" s="148" t="s">
        <v>118</v>
      </c>
      <c r="K1543" s="148" t="s">
        <v>379</v>
      </c>
      <c r="M1543" s="148" t="s">
        <v>126</v>
      </c>
      <c r="N1543" s="148">
        <v>10</v>
      </c>
      <c r="O1543" s="148" t="s">
        <v>101</v>
      </c>
      <c r="P1543" s="148" t="s">
        <v>146</v>
      </c>
    </row>
    <row r="1544" spans="1:26" ht="15.75" hidden="1" customHeight="1" x14ac:dyDescent="0.25">
      <c r="A1544" s="148" t="s">
        <v>76</v>
      </c>
      <c r="B1544" s="148" t="s">
        <v>198</v>
      </c>
      <c r="C1544" s="148" t="s">
        <v>45</v>
      </c>
      <c r="D1544" s="148" t="s">
        <v>29</v>
      </c>
      <c r="E1544" s="148" t="s">
        <v>30</v>
      </c>
      <c r="F1544" s="148" t="s">
        <v>199</v>
      </c>
      <c r="G1544" s="148" t="s">
        <v>214</v>
      </c>
      <c r="H1544" s="148">
        <v>2011</v>
      </c>
      <c r="I1544" s="148">
        <v>10</v>
      </c>
      <c r="J1544" s="148" t="s">
        <v>150</v>
      </c>
      <c r="K1544" s="148" t="s">
        <v>379</v>
      </c>
      <c r="M1544" s="148" t="s">
        <v>126</v>
      </c>
      <c r="N1544" s="148">
        <v>10</v>
      </c>
      <c r="O1544" s="148" t="s">
        <v>83</v>
      </c>
    </row>
    <row r="1545" spans="1:26" ht="15.75" hidden="1" customHeight="1" x14ac:dyDescent="0.25">
      <c r="A1545" s="148" t="s">
        <v>76</v>
      </c>
      <c r="B1545" s="148" t="s">
        <v>198</v>
      </c>
      <c r="C1545" s="148" t="s">
        <v>45</v>
      </c>
      <c r="D1545" s="148" t="s">
        <v>29</v>
      </c>
      <c r="E1545" s="148" t="s">
        <v>30</v>
      </c>
      <c r="F1545" s="148" t="s">
        <v>199</v>
      </c>
      <c r="G1545" s="148" t="s">
        <v>232</v>
      </c>
      <c r="H1545" s="148">
        <v>2011</v>
      </c>
      <c r="I1545" s="148">
        <v>10</v>
      </c>
      <c r="J1545" s="148" t="s">
        <v>150</v>
      </c>
      <c r="K1545" s="148" t="s">
        <v>379</v>
      </c>
      <c r="M1545" s="148" t="s">
        <v>126</v>
      </c>
      <c r="N1545" s="148">
        <v>10</v>
      </c>
      <c r="O1545" s="148" t="s">
        <v>83</v>
      </c>
      <c r="P1545" s="148" t="s">
        <v>146</v>
      </c>
    </row>
    <row r="1546" spans="1:26" ht="15.75" hidden="1" customHeight="1" x14ac:dyDescent="0.25">
      <c r="A1546" s="148" t="s">
        <v>26</v>
      </c>
      <c r="B1546" s="148" t="s">
        <v>198</v>
      </c>
      <c r="C1546" s="148" t="s">
        <v>45</v>
      </c>
      <c r="D1546" s="148" t="s">
        <v>29</v>
      </c>
      <c r="E1546" s="148" t="s">
        <v>30</v>
      </c>
      <c r="F1546" s="148" t="s">
        <v>199</v>
      </c>
      <c r="G1546" s="148" t="s">
        <v>232</v>
      </c>
      <c r="H1546" s="148">
        <v>2011</v>
      </c>
      <c r="I1546" s="148">
        <v>10</v>
      </c>
      <c r="J1546" s="148" t="s">
        <v>895</v>
      </c>
      <c r="U1546" s="149" t="s">
        <v>112</v>
      </c>
      <c r="V1546" s="148" t="s">
        <v>3668</v>
      </c>
      <c r="W1546" s="148" t="s">
        <v>34</v>
      </c>
      <c r="X1546" s="148" t="s">
        <v>968</v>
      </c>
      <c r="Z1546" s="148" t="s">
        <v>896</v>
      </c>
    </row>
    <row r="1547" spans="1:26" ht="15.75" hidden="1" customHeight="1" x14ac:dyDescent="0.25">
      <c r="A1547" s="148" t="s">
        <v>26</v>
      </c>
      <c r="B1547" s="148" t="s">
        <v>116</v>
      </c>
      <c r="C1547" s="148" t="s">
        <v>90</v>
      </c>
      <c r="D1547" s="148" t="s">
        <v>29</v>
      </c>
      <c r="E1547" s="148" t="s">
        <v>30</v>
      </c>
      <c r="F1547" s="148" t="s">
        <v>41</v>
      </c>
      <c r="G1547" s="148" t="s">
        <v>564</v>
      </c>
      <c r="H1547" s="148">
        <v>2011</v>
      </c>
      <c r="I1547" s="148">
        <v>10</v>
      </c>
      <c r="J1547" s="148" t="s">
        <v>792</v>
      </c>
      <c r="U1547" s="149" t="s">
        <v>3629</v>
      </c>
      <c r="V1547" s="149" t="s">
        <v>3638</v>
      </c>
      <c r="W1547" s="148" t="s">
        <v>87</v>
      </c>
      <c r="X1547" s="148" t="s">
        <v>966</v>
      </c>
    </row>
    <row r="1548" spans="1:26" ht="15.75" hidden="1" customHeight="1" x14ac:dyDescent="0.25">
      <c r="A1548" s="148" t="s">
        <v>76</v>
      </c>
      <c r="B1548" s="148" t="s">
        <v>103</v>
      </c>
      <c r="C1548" s="148" t="s">
        <v>55</v>
      </c>
      <c r="D1548" s="148" t="s">
        <v>478</v>
      </c>
      <c r="E1548" s="148" t="s">
        <v>95</v>
      </c>
      <c r="F1548" s="148" t="s">
        <v>56</v>
      </c>
      <c r="G1548" s="148" t="s">
        <v>153</v>
      </c>
      <c r="H1548" s="148">
        <v>2011</v>
      </c>
      <c r="I1548" s="148">
        <v>10</v>
      </c>
      <c r="J1548" s="148" t="s">
        <v>150</v>
      </c>
      <c r="K1548" s="148" t="s">
        <v>725</v>
      </c>
      <c r="M1548" s="148" t="s">
        <v>464</v>
      </c>
      <c r="N1548" s="148">
        <v>6</v>
      </c>
      <c r="O1548" s="148" t="s">
        <v>83</v>
      </c>
    </row>
    <row r="1549" spans="1:26" ht="15.75" hidden="1" customHeight="1" x14ac:dyDescent="0.25">
      <c r="A1549" s="148" t="s">
        <v>76</v>
      </c>
      <c r="B1549" s="148" t="s">
        <v>103</v>
      </c>
      <c r="C1549" s="148" t="s">
        <v>55</v>
      </c>
      <c r="D1549" s="148" t="s">
        <v>29</v>
      </c>
      <c r="E1549" s="148" t="s">
        <v>95</v>
      </c>
      <c r="F1549" s="148" t="s">
        <v>56</v>
      </c>
      <c r="G1549" s="148" t="s">
        <v>407</v>
      </c>
      <c r="H1549" s="148">
        <v>2011</v>
      </c>
      <c r="I1549" s="148">
        <v>10</v>
      </c>
      <c r="J1549" s="148" t="s">
        <v>150</v>
      </c>
      <c r="K1549" s="148" t="s">
        <v>725</v>
      </c>
      <c r="M1549" s="148" t="s">
        <v>464</v>
      </c>
      <c r="N1549" s="148">
        <v>6</v>
      </c>
      <c r="O1549" s="148" t="s">
        <v>83</v>
      </c>
    </row>
    <row r="1550" spans="1:26" ht="15.75" hidden="1" customHeight="1" x14ac:dyDescent="0.25">
      <c r="A1550" s="148" t="s">
        <v>26</v>
      </c>
      <c r="B1550" s="148" t="s">
        <v>198</v>
      </c>
      <c r="C1550" s="148" t="s">
        <v>45</v>
      </c>
      <c r="D1550" s="148" t="s">
        <v>780</v>
      </c>
      <c r="E1550" s="148" t="s">
        <v>30</v>
      </c>
      <c r="F1550" s="148" t="s">
        <v>199</v>
      </c>
      <c r="G1550" s="148" t="s">
        <v>781</v>
      </c>
      <c r="H1550" s="148">
        <v>2011</v>
      </c>
      <c r="I1550" s="148">
        <v>10</v>
      </c>
      <c r="J1550" s="148" t="s">
        <v>895</v>
      </c>
      <c r="U1550" s="149" t="s">
        <v>112</v>
      </c>
      <c r="V1550" s="148" t="s">
        <v>3668</v>
      </c>
      <c r="W1550" s="148" t="s">
        <v>34</v>
      </c>
      <c r="Z1550" s="148" t="s">
        <v>896</v>
      </c>
    </row>
    <row r="1551" spans="1:26" ht="15.75" hidden="1" customHeight="1" x14ac:dyDescent="0.25">
      <c r="A1551" s="148" t="s">
        <v>76</v>
      </c>
      <c r="B1551" s="148" t="s">
        <v>36</v>
      </c>
      <c r="C1551" s="148" t="s">
        <v>28</v>
      </c>
      <c r="D1551" s="148" t="s">
        <v>342</v>
      </c>
      <c r="E1551" s="148" t="s">
        <v>30</v>
      </c>
      <c r="F1551" s="148" t="s">
        <v>3183</v>
      </c>
      <c r="G1551" s="148" t="s">
        <v>242</v>
      </c>
      <c r="H1551" s="148">
        <v>2011</v>
      </c>
      <c r="I1551" s="148">
        <v>10</v>
      </c>
      <c r="J1551" s="148" t="s">
        <v>118</v>
      </c>
      <c r="K1551" s="148" t="s">
        <v>327</v>
      </c>
      <c r="M1551" s="148" t="s">
        <v>82</v>
      </c>
      <c r="N1551" s="148">
        <v>8</v>
      </c>
      <c r="O1551" s="148" t="s">
        <v>101</v>
      </c>
      <c r="P1551" s="148" t="s">
        <v>146</v>
      </c>
    </row>
    <row r="1552" spans="1:26" ht="15.75" hidden="1" customHeight="1" x14ac:dyDescent="0.25">
      <c r="A1552" s="148" t="s">
        <v>76</v>
      </c>
      <c r="B1552" s="148" t="s">
        <v>103</v>
      </c>
      <c r="C1552" s="148" t="s">
        <v>55</v>
      </c>
      <c r="D1552" s="148" t="s">
        <v>29</v>
      </c>
      <c r="E1552" s="148" t="s">
        <v>30</v>
      </c>
      <c r="F1552" s="148" t="s">
        <v>56</v>
      </c>
      <c r="G1552" s="148" t="s">
        <v>969</v>
      </c>
      <c r="H1552" s="148">
        <v>2011</v>
      </c>
      <c r="I1552" s="148">
        <v>10</v>
      </c>
      <c r="J1552" s="148" t="s">
        <v>118</v>
      </c>
      <c r="K1552" s="148" t="s">
        <v>379</v>
      </c>
      <c r="M1552" s="148" t="s">
        <v>126</v>
      </c>
      <c r="N1552" s="148">
        <v>10</v>
      </c>
      <c r="O1552" s="148" t="s">
        <v>101</v>
      </c>
      <c r="P1552" s="148" t="s">
        <v>146</v>
      </c>
    </row>
    <row r="1553" spans="1:26" ht="15.75" hidden="1" customHeight="1" x14ac:dyDescent="0.25">
      <c r="A1553" s="148" t="s">
        <v>76</v>
      </c>
      <c r="B1553" s="148" t="s">
        <v>89</v>
      </c>
      <c r="C1553" s="148" t="s">
        <v>90</v>
      </c>
      <c r="D1553" s="148" t="s">
        <v>29</v>
      </c>
      <c r="E1553" s="148" t="s">
        <v>30</v>
      </c>
      <c r="F1553" s="148" t="s">
        <v>91</v>
      </c>
      <c r="G1553" s="148" t="s">
        <v>329</v>
      </c>
      <c r="H1553" s="148">
        <v>2011</v>
      </c>
      <c r="I1553" s="148">
        <v>10</v>
      </c>
      <c r="J1553" s="148" t="s">
        <v>118</v>
      </c>
      <c r="K1553" s="148" t="s">
        <v>388</v>
      </c>
      <c r="M1553" s="148" t="s">
        <v>126</v>
      </c>
      <c r="N1553" s="148">
        <v>10</v>
      </c>
      <c r="O1553" s="148" t="s">
        <v>101</v>
      </c>
      <c r="P1553" s="148" t="s">
        <v>146</v>
      </c>
    </row>
    <row r="1554" spans="1:26" ht="13.5" hidden="1" customHeight="1" x14ac:dyDescent="0.25">
      <c r="A1554" s="148" t="s">
        <v>76</v>
      </c>
      <c r="B1554" s="148" t="s">
        <v>27</v>
      </c>
      <c r="C1554" s="148" t="s">
        <v>28</v>
      </c>
      <c r="D1554" s="148" t="s">
        <v>3321</v>
      </c>
      <c r="E1554" s="148" t="s">
        <v>30</v>
      </c>
      <c r="F1554" s="148" t="s">
        <v>3183</v>
      </c>
      <c r="G1554" s="148" t="s">
        <v>163</v>
      </c>
      <c r="H1554" s="148">
        <v>2011</v>
      </c>
      <c r="I1554" s="148">
        <v>10</v>
      </c>
      <c r="J1554" s="148" t="s">
        <v>118</v>
      </c>
      <c r="K1554" s="148" t="s">
        <v>388</v>
      </c>
      <c r="M1554" s="148" t="s">
        <v>126</v>
      </c>
      <c r="N1554" s="148">
        <v>10</v>
      </c>
      <c r="O1554" s="148" t="s">
        <v>101</v>
      </c>
      <c r="P1554" s="148" t="s">
        <v>365</v>
      </c>
      <c r="Z1554" s="148" t="s">
        <v>166</v>
      </c>
    </row>
    <row r="1555" spans="1:26" ht="15.75" hidden="1" customHeight="1" x14ac:dyDescent="0.25">
      <c r="A1555" s="148" t="s">
        <v>76</v>
      </c>
      <c r="B1555" s="148" t="s">
        <v>198</v>
      </c>
      <c r="C1555" s="148" t="s">
        <v>45</v>
      </c>
      <c r="D1555" s="148" t="s">
        <v>99</v>
      </c>
      <c r="E1555" s="148" t="s">
        <v>30</v>
      </c>
      <c r="F1555" s="148" t="s">
        <v>199</v>
      </c>
      <c r="G1555" s="148" t="s">
        <v>248</v>
      </c>
      <c r="H1555" s="148">
        <v>2011</v>
      </c>
      <c r="I1555" s="148">
        <v>10</v>
      </c>
      <c r="J1555" s="148" t="s">
        <v>150</v>
      </c>
      <c r="K1555" s="148" t="s">
        <v>379</v>
      </c>
      <c r="M1555" s="148" t="s">
        <v>126</v>
      </c>
      <c r="N1555" s="148">
        <v>10</v>
      </c>
      <c r="O1555" s="148" t="s">
        <v>83</v>
      </c>
    </row>
    <row r="1556" spans="1:26" ht="15.75" hidden="1" customHeight="1" x14ac:dyDescent="0.25">
      <c r="A1556" s="148" t="s">
        <v>76</v>
      </c>
      <c r="B1556" s="148" t="s">
        <v>54</v>
      </c>
      <c r="C1556" s="148" t="s">
        <v>55</v>
      </c>
      <c r="D1556" s="148" t="s">
        <v>65</v>
      </c>
      <c r="E1556" s="148" t="s">
        <v>30</v>
      </c>
      <c r="F1556" s="148" t="s">
        <v>56</v>
      </c>
      <c r="G1556" s="148" t="s">
        <v>54</v>
      </c>
      <c r="H1556" s="148">
        <v>2011</v>
      </c>
      <c r="I1556" s="148">
        <v>10</v>
      </c>
      <c r="J1556" s="148" t="s">
        <v>118</v>
      </c>
      <c r="K1556" s="148" t="s">
        <v>455</v>
      </c>
      <c r="M1556" s="148" t="s">
        <v>132</v>
      </c>
      <c r="N1556" s="148">
        <v>8</v>
      </c>
      <c r="O1556" s="148" t="s">
        <v>101</v>
      </c>
      <c r="P1556" s="148" t="s">
        <v>556</v>
      </c>
    </row>
    <row r="1557" spans="1:26" ht="13.5" hidden="1" customHeight="1" x14ac:dyDescent="0.25">
      <c r="A1557" s="148" t="s">
        <v>76</v>
      </c>
      <c r="B1557" s="148" t="s">
        <v>71</v>
      </c>
      <c r="C1557" s="148" t="s">
        <v>45</v>
      </c>
      <c r="D1557" s="148" t="s">
        <v>29</v>
      </c>
      <c r="E1557" s="148" t="s">
        <v>72</v>
      </c>
      <c r="F1557" s="148" t="s">
        <v>3183</v>
      </c>
      <c r="G1557" s="148" t="s">
        <v>73</v>
      </c>
      <c r="H1557" s="148">
        <v>2011</v>
      </c>
      <c r="I1557" s="148">
        <v>11</v>
      </c>
      <c r="J1557" s="151" t="s">
        <v>118</v>
      </c>
      <c r="K1557" s="148" t="s">
        <v>455</v>
      </c>
      <c r="M1557" s="148" t="s">
        <v>132</v>
      </c>
      <c r="N1557" s="148">
        <v>8</v>
      </c>
      <c r="O1557" s="148" t="s">
        <v>101</v>
      </c>
      <c r="P1557" s="148" t="s">
        <v>970</v>
      </c>
    </row>
    <row r="1558" spans="1:26" ht="15.75" hidden="1" customHeight="1" x14ac:dyDescent="0.25">
      <c r="A1558" s="148" t="s">
        <v>307</v>
      </c>
      <c r="B1558" s="148" t="s">
        <v>71</v>
      </c>
      <c r="C1558" s="148" t="s">
        <v>45</v>
      </c>
      <c r="D1558" s="148" t="s">
        <v>29</v>
      </c>
      <c r="E1558" s="148" t="s">
        <v>72</v>
      </c>
      <c r="F1558" s="148" t="s">
        <v>3183</v>
      </c>
      <c r="G1558" s="148" t="s">
        <v>73</v>
      </c>
      <c r="H1558" s="148">
        <v>2011</v>
      </c>
      <c r="I1558" s="148">
        <v>11</v>
      </c>
      <c r="J1558" s="148" t="s">
        <v>308</v>
      </c>
      <c r="Q1558" s="148" t="s">
        <v>426</v>
      </c>
      <c r="R1558" s="148" t="s">
        <v>971</v>
      </c>
      <c r="S1558" s="148" t="s">
        <v>311</v>
      </c>
      <c r="T1558" s="148" t="s">
        <v>972</v>
      </c>
      <c r="Y1558" s="150" t="s">
        <v>973</v>
      </c>
    </row>
    <row r="1559" spans="1:26" ht="15.75" hidden="1" customHeight="1" x14ac:dyDescent="0.25">
      <c r="A1559" s="148" t="s">
        <v>76</v>
      </c>
      <c r="B1559" s="148" t="s">
        <v>198</v>
      </c>
      <c r="C1559" s="148" t="s">
        <v>45</v>
      </c>
      <c r="D1559" s="148" t="s">
        <v>94</v>
      </c>
      <c r="E1559" s="148" t="s">
        <v>30</v>
      </c>
      <c r="F1559" s="148" t="s">
        <v>199</v>
      </c>
      <c r="G1559" s="148" t="s">
        <v>296</v>
      </c>
      <c r="H1559" s="148">
        <v>2011</v>
      </c>
      <c r="I1559" s="148">
        <v>11</v>
      </c>
      <c r="J1559" s="148" t="s">
        <v>150</v>
      </c>
      <c r="K1559" s="148" t="s">
        <v>708</v>
      </c>
      <c r="M1559" s="148" t="s">
        <v>173</v>
      </c>
      <c r="N1559" s="148">
        <v>8</v>
      </c>
      <c r="O1559" s="148" t="s">
        <v>83</v>
      </c>
      <c r="P1559" s="148" t="s">
        <v>974</v>
      </c>
    </row>
    <row r="1560" spans="1:26" ht="15.75" hidden="1" customHeight="1" x14ac:dyDescent="0.25">
      <c r="A1560" s="148" t="s">
        <v>26</v>
      </c>
      <c r="B1560" s="148" t="s">
        <v>198</v>
      </c>
      <c r="C1560" s="148" t="s">
        <v>45</v>
      </c>
      <c r="D1560" s="148" t="s">
        <v>29</v>
      </c>
      <c r="E1560" s="148" t="s">
        <v>30</v>
      </c>
      <c r="F1560" s="148" t="s">
        <v>199</v>
      </c>
      <c r="G1560" s="148" t="s">
        <v>975</v>
      </c>
      <c r="H1560" s="148">
        <v>2011</v>
      </c>
      <c r="I1560" s="148">
        <v>11</v>
      </c>
      <c r="J1560" s="148" t="s">
        <v>895</v>
      </c>
      <c r="U1560" s="149" t="s">
        <v>112</v>
      </c>
      <c r="V1560" s="148" t="s">
        <v>3668</v>
      </c>
      <c r="W1560" s="148" t="s">
        <v>34</v>
      </c>
      <c r="Z1560" s="148" t="s">
        <v>896</v>
      </c>
    </row>
    <row r="1561" spans="1:26" ht="15.75" hidden="1" customHeight="1" x14ac:dyDescent="0.25">
      <c r="A1561" s="148" t="s">
        <v>76</v>
      </c>
      <c r="B1561" s="148" t="s">
        <v>103</v>
      </c>
      <c r="C1561" s="148" t="s">
        <v>55</v>
      </c>
      <c r="D1561" s="148" t="s">
        <v>99</v>
      </c>
      <c r="E1561" s="148" t="s">
        <v>95</v>
      </c>
      <c r="F1561" s="148" t="s">
        <v>56</v>
      </c>
      <c r="G1561" s="148" t="s">
        <v>104</v>
      </c>
      <c r="H1561" s="148">
        <v>2011</v>
      </c>
      <c r="I1561" s="148">
        <v>11</v>
      </c>
      <c r="J1561" s="148" t="s">
        <v>118</v>
      </c>
      <c r="K1561" s="148" t="s">
        <v>721</v>
      </c>
      <c r="M1561" s="148" t="s">
        <v>120</v>
      </c>
      <c r="N1561" s="148">
        <v>6</v>
      </c>
      <c r="O1561" s="148" t="s">
        <v>101</v>
      </c>
      <c r="P1561" s="148" t="s">
        <v>976</v>
      </c>
    </row>
    <row r="1562" spans="1:26" ht="13.5" hidden="1" customHeight="1" x14ac:dyDescent="0.25">
      <c r="A1562" s="148" t="s">
        <v>76</v>
      </c>
      <c r="B1562" s="148" t="s">
        <v>89</v>
      </c>
      <c r="C1562" s="148" t="s">
        <v>90</v>
      </c>
      <c r="D1562" s="148" t="s">
        <v>29</v>
      </c>
      <c r="E1562" s="148" t="s">
        <v>30</v>
      </c>
      <c r="F1562" s="148" t="s">
        <v>91</v>
      </c>
      <c r="G1562" s="148" t="s">
        <v>417</v>
      </c>
      <c r="H1562" s="148">
        <v>2011</v>
      </c>
      <c r="I1562" s="148">
        <v>11</v>
      </c>
      <c r="J1562" s="148" t="s">
        <v>150</v>
      </c>
      <c r="K1562" s="148" t="s">
        <v>327</v>
      </c>
      <c r="M1562" s="148" t="s">
        <v>82</v>
      </c>
      <c r="N1562" s="148">
        <v>8</v>
      </c>
      <c r="O1562" s="148" t="s">
        <v>83</v>
      </c>
    </row>
    <row r="1563" spans="1:26" ht="15.75" hidden="1" customHeight="1" x14ac:dyDescent="0.25">
      <c r="A1563" s="148" t="s">
        <v>26</v>
      </c>
      <c r="B1563" s="148" t="s">
        <v>116</v>
      </c>
      <c r="C1563" s="148" t="s">
        <v>90</v>
      </c>
      <c r="D1563" s="148" t="s">
        <v>29</v>
      </c>
      <c r="E1563" s="148" t="s">
        <v>40</v>
      </c>
      <c r="F1563" s="148" t="s">
        <v>41</v>
      </c>
      <c r="G1563" s="148" t="s">
        <v>345</v>
      </c>
      <c r="H1563" s="148">
        <v>2011</v>
      </c>
      <c r="I1563" s="148">
        <v>11</v>
      </c>
      <c r="J1563" s="148" t="s">
        <v>33</v>
      </c>
      <c r="U1563" s="149" t="s">
        <v>3629</v>
      </c>
      <c r="V1563" s="149" t="s">
        <v>3638</v>
      </c>
      <c r="W1563" s="148" t="s">
        <v>87</v>
      </c>
      <c r="X1563" s="148" t="s">
        <v>966</v>
      </c>
    </row>
    <row r="1564" spans="1:26" ht="13.5" hidden="1" customHeight="1" x14ac:dyDescent="0.25">
      <c r="A1564" s="148" t="s">
        <v>76</v>
      </c>
      <c r="B1564" s="148" t="s">
        <v>36</v>
      </c>
      <c r="C1564" s="148" t="s">
        <v>28</v>
      </c>
      <c r="D1564" s="148" t="s">
        <v>342</v>
      </c>
      <c r="E1564" s="148" t="s">
        <v>30</v>
      </c>
      <c r="F1564" s="148" t="s">
        <v>3183</v>
      </c>
      <c r="G1564" s="148" t="s">
        <v>37</v>
      </c>
      <c r="H1564" s="148">
        <v>2011</v>
      </c>
      <c r="I1564" s="148">
        <v>11</v>
      </c>
      <c r="J1564" s="148" t="s">
        <v>150</v>
      </c>
      <c r="K1564" s="148" t="s">
        <v>455</v>
      </c>
      <c r="M1564" s="148" t="s">
        <v>132</v>
      </c>
      <c r="N1564" s="148">
        <v>8</v>
      </c>
      <c r="O1564" s="148" t="s">
        <v>83</v>
      </c>
    </row>
    <row r="1565" spans="1:26" ht="15.75" hidden="1" customHeight="1" x14ac:dyDescent="0.25">
      <c r="A1565" s="148" t="s">
        <v>76</v>
      </c>
      <c r="B1565" s="148" t="s">
        <v>62</v>
      </c>
      <c r="C1565" s="148" t="s">
        <v>28</v>
      </c>
      <c r="D1565" s="148" t="s">
        <v>51</v>
      </c>
      <c r="E1565" s="148" t="s">
        <v>30</v>
      </c>
      <c r="F1565" s="148" t="s">
        <v>3183</v>
      </c>
      <c r="G1565" s="148" t="s">
        <v>63</v>
      </c>
      <c r="H1565" s="148">
        <v>2011</v>
      </c>
      <c r="I1565" s="148">
        <v>11</v>
      </c>
      <c r="J1565" s="151" t="s">
        <v>118</v>
      </c>
      <c r="K1565" s="148" t="s">
        <v>374</v>
      </c>
      <c r="M1565" s="148" t="s">
        <v>389</v>
      </c>
      <c r="N1565" s="148">
        <v>8</v>
      </c>
      <c r="O1565" s="148" t="s">
        <v>101</v>
      </c>
      <c r="P1565" s="148" t="s">
        <v>977</v>
      </c>
    </row>
    <row r="1566" spans="1:26" ht="15.75" hidden="1" customHeight="1" x14ac:dyDescent="0.25">
      <c r="A1566" s="148" t="s">
        <v>26</v>
      </c>
      <c r="B1566" s="148" t="s">
        <v>116</v>
      </c>
      <c r="C1566" s="148" t="s">
        <v>90</v>
      </c>
      <c r="D1566" s="148" t="s">
        <v>29</v>
      </c>
      <c r="E1566" s="148" t="s">
        <v>30</v>
      </c>
      <c r="F1566" s="148" t="s">
        <v>41</v>
      </c>
      <c r="G1566" s="148" t="s">
        <v>784</v>
      </c>
      <c r="H1566" s="148">
        <v>2011</v>
      </c>
      <c r="I1566" s="148">
        <v>11</v>
      </c>
      <c r="J1566" s="148" t="s">
        <v>792</v>
      </c>
      <c r="U1566" s="149" t="s">
        <v>3629</v>
      </c>
      <c r="V1566" s="149" t="s">
        <v>3638</v>
      </c>
      <c r="W1566" s="148" t="s">
        <v>87</v>
      </c>
      <c r="X1566" s="148" t="s">
        <v>978</v>
      </c>
    </row>
    <row r="1567" spans="1:26" ht="15.75" hidden="1" customHeight="1" x14ac:dyDescent="0.25">
      <c r="A1567" s="148" t="s">
        <v>307</v>
      </c>
      <c r="B1567" s="148" t="s">
        <v>27</v>
      </c>
      <c r="C1567" s="148" t="s">
        <v>28</v>
      </c>
      <c r="D1567" s="148" t="s">
        <v>99</v>
      </c>
      <c r="E1567" s="148" t="s">
        <v>40</v>
      </c>
      <c r="F1567" s="148" t="s">
        <v>41</v>
      </c>
      <c r="G1567" s="148" t="s">
        <v>42</v>
      </c>
      <c r="H1567" s="148">
        <v>2011</v>
      </c>
      <c r="I1567" s="148">
        <v>11</v>
      </c>
      <c r="J1567" s="148" t="s">
        <v>308</v>
      </c>
      <c r="Q1567" s="148" t="s">
        <v>309</v>
      </c>
      <c r="R1567" s="148" t="s">
        <v>979</v>
      </c>
      <c r="S1567" s="148" t="s">
        <v>311</v>
      </c>
      <c r="T1567" s="148" t="s">
        <v>309</v>
      </c>
    </row>
    <row r="1568" spans="1:26" ht="15.75" hidden="1" customHeight="1" x14ac:dyDescent="0.25">
      <c r="A1568" s="148" t="s">
        <v>76</v>
      </c>
      <c r="B1568" s="148" t="s">
        <v>89</v>
      </c>
      <c r="C1568" s="148" t="s">
        <v>90</v>
      </c>
      <c r="D1568" s="148" t="s">
        <v>29</v>
      </c>
      <c r="E1568" s="148" t="s">
        <v>30</v>
      </c>
      <c r="F1568" s="148" t="s">
        <v>91</v>
      </c>
      <c r="G1568" s="148" t="s">
        <v>743</v>
      </c>
      <c r="H1568" s="148">
        <v>2011</v>
      </c>
      <c r="I1568" s="148">
        <v>11</v>
      </c>
      <c r="J1568" s="148" t="s">
        <v>150</v>
      </c>
      <c r="K1568" s="148" t="s">
        <v>327</v>
      </c>
      <c r="M1568" s="148" t="s">
        <v>82</v>
      </c>
      <c r="N1568" s="148">
        <v>8</v>
      </c>
      <c r="O1568" s="148" t="s">
        <v>83</v>
      </c>
    </row>
    <row r="1569" spans="1:26" ht="15.75" hidden="1" customHeight="1" x14ac:dyDescent="0.25">
      <c r="A1569" s="148" t="s">
        <v>76</v>
      </c>
      <c r="B1569" s="148" t="s">
        <v>89</v>
      </c>
      <c r="C1569" s="148" t="s">
        <v>90</v>
      </c>
      <c r="D1569" s="148" t="s">
        <v>478</v>
      </c>
      <c r="E1569" s="148" t="s">
        <v>30</v>
      </c>
      <c r="F1569" s="148" t="s">
        <v>91</v>
      </c>
      <c r="G1569" s="148" t="s">
        <v>92</v>
      </c>
      <c r="H1569" s="148">
        <v>2011</v>
      </c>
      <c r="I1569" s="148">
        <v>11</v>
      </c>
      <c r="J1569" s="148" t="s">
        <v>118</v>
      </c>
      <c r="K1569" s="148" t="s">
        <v>939</v>
      </c>
      <c r="M1569" s="148" t="s">
        <v>492</v>
      </c>
      <c r="N1569" s="148">
        <v>5</v>
      </c>
      <c r="O1569" s="148" t="s">
        <v>101</v>
      </c>
    </row>
    <row r="1570" spans="1:26" ht="15.75" hidden="1" customHeight="1" x14ac:dyDescent="0.25">
      <c r="A1570" s="148" t="s">
        <v>76</v>
      </c>
      <c r="B1570" s="148" t="s">
        <v>89</v>
      </c>
      <c r="C1570" s="148" t="s">
        <v>90</v>
      </c>
      <c r="D1570" s="148" t="s">
        <v>29</v>
      </c>
      <c r="E1570" s="148" t="s">
        <v>30</v>
      </c>
      <c r="F1570" s="148" t="s">
        <v>91</v>
      </c>
      <c r="G1570" s="148" t="s">
        <v>369</v>
      </c>
      <c r="H1570" s="148">
        <v>2011</v>
      </c>
      <c r="I1570" s="148">
        <v>11</v>
      </c>
      <c r="J1570" s="148" t="s">
        <v>118</v>
      </c>
      <c r="K1570" s="148" t="s">
        <v>327</v>
      </c>
      <c r="M1570" s="148" t="s">
        <v>82</v>
      </c>
      <c r="N1570" s="148">
        <v>8</v>
      </c>
      <c r="O1570" s="148" t="s">
        <v>101</v>
      </c>
      <c r="P1570" s="148" t="s">
        <v>146</v>
      </c>
    </row>
    <row r="1571" spans="1:26" ht="15.75" hidden="1" customHeight="1" x14ac:dyDescent="0.25">
      <c r="A1571" s="148" t="s">
        <v>76</v>
      </c>
      <c r="B1571" s="148" t="s">
        <v>103</v>
      </c>
      <c r="C1571" s="148" t="s">
        <v>55</v>
      </c>
      <c r="D1571" s="148" t="s">
        <v>29</v>
      </c>
      <c r="E1571" s="148" t="s">
        <v>30</v>
      </c>
      <c r="F1571" s="148" t="s">
        <v>56</v>
      </c>
      <c r="G1571" s="148" t="s">
        <v>432</v>
      </c>
      <c r="H1571" s="148">
        <v>2011</v>
      </c>
      <c r="I1571" s="148">
        <v>11</v>
      </c>
      <c r="J1571" s="148" t="s">
        <v>118</v>
      </c>
      <c r="K1571" s="148" t="s">
        <v>520</v>
      </c>
      <c r="M1571" s="148" t="s">
        <v>701</v>
      </c>
      <c r="N1571" s="148">
        <v>8</v>
      </c>
      <c r="O1571" s="148" t="s">
        <v>101</v>
      </c>
      <c r="P1571" s="148" t="s">
        <v>980</v>
      </c>
    </row>
    <row r="1572" spans="1:26" ht="15.75" hidden="1" customHeight="1" x14ac:dyDescent="0.25">
      <c r="A1572" s="148" t="s">
        <v>26</v>
      </c>
      <c r="B1572" s="148" t="s">
        <v>198</v>
      </c>
      <c r="C1572" s="148" t="s">
        <v>45</v>
      </c>
      <c r="D1572" s="148" t="s">
        <v>29</v>
      </c>
      <c r="E1572" s="148" t="s">
        <v>30</v>
      </c>
      <c r="F1572" s="148" t="s">
        <v>199</v>
      </c>
      <c r="G1572" s="148" t="s">
        <v>370</v>
      </c>
      <c r="H1572" s="148">
        <v>2011</v>
      </c>
      <c r="I1572" s="148">
        <v>11</v>
      </c>
      <c r="J1572" s="148" t="s">
        <v>895</v>
      </c>
      <c r="U1572" s="149" t="s">
        <v>112</v>
      </c>
      <c r="V1572" s="148" t="s">
        <v>3668</v>
      </c>
      <c r="W1572" s="148" t="s">
        <v>34</v>
      </c>
      <c r="Z1572" s="148" t="s">
        <v>896</v>
      </c>
    </row>
    <row r="1573" spans="1:26" ht="15.75" hidden="1" customHeight="1" x14ac:dyDescent="0.25">
      <c r="A1573" s="148" t="s">
        <v>76</v>
      </c>
      <c r="B1573" s="148" t="s">
        <v>89</v>
      </c>
      <c r="C1573" s="148" t="s">
        <v>90</v>
      </c>
      <c r="D1573" s="148" t="s">
        <v>29</v>
      </c>
      <c r="E1573" s="148" t="s">
        <v>30</v>
      </c>
      <c r="F1573" s="148" t="s">
        <v>91</v>
      </c>
      <c r="G1573" s="148" t="s">
        <v>451</v>
      </c>
      <c r="H1573" s="148">
        <v>2011</v>
      </c>
      <c r="I1573" s="148">
        <v>11</v>
      </c>
      <c r="J1573" s="148" t="s">
        <v>150</v>
      </c>
      <c r="K1573" s="148" t="s">
        <v>327</v>
      </c>
      <c r="M1573" s="148" t="s">
        <v>82</v>
      </c>
      <c r="N1573" s="148">
        <v>8</v>
      </c>
      <c r="O1573" s="148" t="s">
        <v>83</v>
      </c>
    </row>
    <row r="1574" spans="1:26" ht="15.75" hidden="1" customHeight="1" x14ac:dyDescent="0.25">
      <c r="A1574" s="148" t="s">
        <v>307</v>
      </c>
      <c r="B1574" s="148" t="s">
        <v>198</v>
      </c>
      <c r="C1574" s="148" t="s">
        <v>45</v>
      </c>
      <c r="D1574" s="148" t="s">
        <v>257</v>
      </c>
      <c r="E1574" s="148" t="s">
        <v>30</v>
      </c>
      <c r="F1574" s="148" t="s">
        <v>199</v>
      </c>
      <c r="G1574" s="148" t="s">
        <v>258</v>
      </c>
      <c r="H1574" s="148">
        <v>2011</v>
      </c>
      <c r="I1574" s="148">
        <v>11</v>
      </c>
      <c r="J1574" s="148" t="s">
        <v>308</v>
      </c>
      <c r="K1574" s="148" t="s">
        <v>543</v>
      </c>
      <c r="M1574" s="148" t="s">
        <v>543</v>
      </c>
      <c r="N1574" s="148" t="s">
        <v>543</v>
      </c>
      <c r="O1574" s="148" t="s">
        <v>543</v>
      </c>
      <c r="Q1574" s="148" t="s">
        <v>594</v>
      </c>
      <c r="R1574" s="148" t="s">
        <v>981</v>
      </c>
      <c r="S1574" s="148" t="s">
        <v>311</v>
      </c>
      <c r="T1574" s="148" t="s">
        <v>982</v>
      </c>
      <c r="Y1574" s="150" t="s">
        <v>366</v>
      </c>
    </row>
    <row r="1575" spans="1:26" ht="15.75" hidden="1" customHeight="1" x14ac:dyDescent="0.25">
      <c r="A1575" s="148" t="s">
        <v>76</v>
      </c>
      <c r="B1575" s="148" t="s">
        <v>27</v>
      </c>
      <c r="C1575" s="148" t="s">
        <v>28</v>
      </c>
      <c r="D1575" s="148" t="s">
        <v>158</v>
      </c>
      <c r="E1575" s="148" t="s">
        <v>30</v>
      </c>
      <c r="F1575" s="148" t="s">
        <v>3183</v>
      </c>
      <c r="G1575" s="148" t="s">
        <v>32</v>
      </c>
      <c r="H1575" s="148">
        <v>2011</v>
      </c>
      <c r="I1575" s="148">
        <v>12</v>
      </c>
      <c r="J1575" s="148" t="s">
        <v>150</v>
      </c>
      <c r="K1575" s="148" t="s">
        <v>629</v>
      </c>
      <c r="M1575" s="148" t="s">
        <v>120</v>
      </c>
      <c r="N1575" s="148">
        <v>6</v>
      </c>
      <c r="O1575" s="148" t="s">
        <v>83</v>
      </c>
      <c r="P1575" s="148" t="s">
        <v>365</v>
      </c>
    </row>
    <row r="1576" spans="1:26" ht="15.75" hidden="1" customHeight="1" x14ac:dyDescent="0.25">
      <c r="A1576" s="148" t="s">
        <v>76</v>
      </c>
      <c r="B1576" s="148" t="s">
        <v>103</v>
      </c>
      <c r="C1576" s="148" t="s">
        <v>55</v>
      </c>
      <c r="D1576" s="148" t="s">
        <v>29</v>
      </c>
      <c r="E1576" s="148" t="s">
        <v>30</v>
      </c>
      <c r="F1576" s="148" t="s">
        <v>56</v>
      </c>
      <c r="G1576" s="148" t="s">
        <v>458</v>
      </c>
      <c r="H1576" s="148">
        <v>2011</v>
      </c>
      <c r="I1576" s="148">
        <v>12</v>
      </c>
      <c r="J1576" s="148" t="s">
        <v>118</v>
      </c>
      <c r="K1576" s="148" t="s">
        <v>379</v>
      </c>
      <c r="M1576" s="148" t="s">
        <v>126</v>
      </c>
      <c r="N1576" s="148">
        <v>10</v>
      </c>
      <c r="O1576" s="148" t="s">
        <v>101</v>
      </c>
      <c r="P1576" s="148" t="s">
        <v>146</v>
      </c>
    </row>
    <row r="1577" spans="1:26" ht="15.75" hidden="1" customHeight="1" x14ac:dyDescent="0.25">
      <c r="A1577" s="148" t="s">
        <v>76</v>
      </c>
      <c r="B1577" s="148" t="s">
        <v>36</v>
      </c>
      <c r="C1577" s="148" t="s">
        <v>28</v>
      </c>
      <c r="D1577" s="148" t="s">
        <v>86</v>
      </c>
      <c r="E1577" s="148" t="s">
        <v>30</v>
      </c>
      <c r="F1577" s="148" t="s">
        <v>3183</v>
      </c>
      <c r="G1577" s="148" t="s">
        <v>67</v>
      </c>
      <c r="H1577" s="148">
        <v>2011</v>
      </c>
      <c r="I1577" s="148">
        <v>12</v>
      </c>
      <c r="J1577" s="148" t="s">
        <v>118</v>
      </c>
      <c r="K1577" s="148" t="s">
        <v>379</v>
      </c>
      <c r="M1577" s="148" t="s">
        <v>126</v>
      </c>
      <c r="N1577" s="148">
        <v>10</v>
      </c>
      <c r="O1577" s="148" t="s">
        <v>101</v>
      </c>
      <c r="P1577" s="148" t="s">
        <v>954</v>
      </c>
    </row>
    <row r="1578" spans="1:26" ht="15.75" hidden="1" customHeight="1" x14ac:dyDescent="0.25">
      <c r="A1578" s="148" t="s">
        <v>76</v>
      </c>
      <c r="B1578" s="148" t="s">
        <v>27</v>
      </c>
      <c r="C1578" s="148" t="s">
        <v>28</v>
      </c>
      <c r="D1578" s="148" t="s">
        <v>3321</v>
      </c>
      <c r="E1578" s="148" t="s">
        <v>30</v>
      </c>
      <c r="F1578" s="148" t="s">
        <v>3183</v>
      </c>
      <c r="G1578" s="148" t="s">
        <v>163</v>
      </c>
      <c r="H1578" s="148">
        <v>2011</v>
      </c>
      <c r="I1578" s="148">
        <v>12</v>
      </c>
      <c r="J1578" s="148" t="s">
        <v>118</v>
      </c>
      <c r="K1578" s="148" t="s">
        <v>327</v>
      </c>
      <c r="M1578" s="148" t="s">
        <v>82</v>
      </c>
      <c r="N1578" s="148">
        <v>8</v>
      </c>
      <c r="O1578" s="148" t="s">
        <v>101</v>
      </c>
      <c r="P1578" s="148" t="s">
        <v>954</v>
      </c>
    </row>
    <row r="1579" spans="1:26" ht="15.75" hidden="1" customHeight="1" x14ac:dyDescent="0.25">
      <c r="A1579" s="148" t="s">
        <v>26</v>
      </c>
      <c r="B1579" s="148" t="s">
        <v>116</v>
      </c>
      <c r="C1579" s="148" t="s">
        <v>90</v>
      </c>
      <c r="D1579" s="148" t="s">
        <v>29</v>
      </c>
      <c r="E1579" s="148" t="s">
        <v>30</v>
      </c>
      <c r="F1579" s="148" t="s">
        <v>41</v>
      </c>
      <c r="G1579" s="148" t="s">
        <v>784</v>
      </c>
      <c r="H1579" s="148">
        <v>2011</v>
      </c>
      <c r="I1579" s="148">
        <v>12</v>
      </c>
      <c r="J1579" s="148" t="s">
        <v>33</v>
      </c>
      <c r="U1579" s="149" t="s">
        <v>3629</v>
      </c>
      <c r="V1579" s="149" t="s">
        <v>3638</v>
      </c>
      <c r="W1579" s="148" t="s">
        <v>87</v>
      </c>
      <c r="X1579" s="148" t="s">
        <v>966</v>
      </c>
    </row>
    <row r="1580" spans="1:26" ht="13.5" hidden="1" customHeight="1" x14ac:dyDescent="0.25">
      <c r="A1580" s="148" t="s">
        <v>26</v>
      </c>
      <c r="B1580" s="148" t="s">
        <v>36</v>
      </c>
      <c r="C1580" s="148" t="s">
        <v>28</v>
      </c>
      <c r="D1580" s="148" t="s">
        <v>29</v>
      </c>
      <c r="E1580" s="148" t="s">
        <v>30</v>
      </c>
      <c r="F1580" s="148" t="s">
        <v>3183</v>
      </c>
      <c r="G1580" s="148" t="s">
        <v>194</v>
      </c>
      <c r="H1580" s="148">
        <v>2011</v>
      </c>
      <c r="I1580" s="148">
        <v>12</v>
      </c>
      <c r="J1580" s="148" t="s">
        <v>983</v>
      </c>
      <c r="U1580" s="149" t="s">
        <v>3629</v>
      </c>
      <c r="V1580" s="148" t="s">
        <v>984</v>
      </c>
      <c r="W1580" s="148" t="s">
        <v>87</v>
      </c>
      <c r="X1580" s="148" t="s">
        <v>985</v>
      </c>
    </row>
    <row r="1581" spans="1:26" ht="15.75" hidden="1" customHeight="1" x14ac:dyDescent="0.25">
      <c r="A1581" s="148" t="s">
        <v>76</v>
      </c>
      <c r="B1581" s="148" t="s">
        <v>27</v>
      </c>
      <c r="C1581" s="148" t="s">
        <v>28</v>
      </c>
      <c r="D1581" s="148" t="s">
        <v>158</v>
      </c>
      <c r="E1581" s="148" t="s">
        <v>30</v>
      </c>
      <c r="F1581" s="148" t="s">
        <v>3183</v>
      </c>
      <c r="G1581" s="148" t="s">
        <v>43</v>
      </c>
      <c r="H1581" s="148">
        <v>2011</v>
      </c>
      <c r="I1581" s="148">
        <v>12</v>
      </c>
      <c r="J1581" s="148" t="s">
        <v>150</v>
      </c>
      <c r="K1581" s="148" t="s">
        <v>629</v>
      </c>
      <c r="M1581" s="148" t="s">
        <v>120</v>
      </c>
      <c r="N1581" s="148">
        <v>6</v>
      </c>
      <c r="O1581" s="148" t="s">
        <v>83</v>
      </c>
      <c r="P1581" s="148" t="s">
        <v>206</v>
      </c>
    </row>
    <row r="1582" spans="1:26" ht="13.5" hidden="1" customHeight="1" x14ac:dyDescent="0.25">
      <c r="A1582" s="148" t="s">
        <v>76</v>
      </c>
      <c r="B1582" s="148" t="s">
        <v>103</v>
      </c>
      <c r="C1582" s="148" t="s">
        <v>55</v>
      </c>
      <c r="D1582" s="148" t="s">
        <v>478</v>
      </c>
      <c r="E1582" s="148" t="s">
        <v>95</v>
      </c>
      <c r="F1582" s="148" t="s">
        <v>56</v>
      </c>
      <c r="G1582" s="148" t="s">
        <v>108</v>
      </c>
      <c r="H1582" s="148">
        <v>2011</v>
      </c>
      <c r="I1582" s="148">
        <v>12</v>
      </c>
      <c r="J1582" s="148" t="s">
        <v>118</v>
      </c>
      <c r="K1582" s="148" t="s">
        <v>579</v>
      </c>
      <c r="M1582" s="148" t="s">
        <v>554</v>
      </c>
      <c r="N1582" s="148">
        <v>8</v>
      </c>
      <c r="O1582" s="148" t="s">
        <v>101</v>
      </c>
      <c r="P1582" s="148" t="s">
        <v>986</v>
      </c>
    </row>
    <row r="1583" spans="1:26" ht="13.5" hidden="1" customHeight="1" x14ac:dyDescent="0.25">
      <c r="A1583" s="148" t="s">
        <v>76</v>
      </c>
      <c r="B1583" s="148" t="s">
        <v>44</v>
      </c>
      <c r="C1583" s="148" t="s">
        <v>45</v>
      </c>
      <c r="D1583" s="148" t="s">
        <v>29</v>
      </c>
      <c r="E1583" s="148" t="s">
        <v>46</v>
      </c>
      <c r="F1583" s="148" t="s">
        <v>47</v>
      </c>
      <c r="G1583" s="148" t="s">
        <v>48</v>
      </c>
      <c r="H1583" s="148">
        <v>2011</v>
      </c>
      <c r="I1583" s="148">
        <v>12</v>
      </c>
      <c r="J1583" s="148" t="s">
        <v>118</v>
      </c>
      <c r="K1583" s="148" t="s">
        <v>629</v>
      </c>
      <c r="M1583" s="148" t="s">
        <v>120</v>
      </c>
      <c r="N1583" s="148">
        <v>6</v>
      </c>
      <c r="O1583" s="148" t="s">
        <v>101</v>
      </c>
    </row>
    <row r="1584" spans="1:26" ht="15.75" hidden="1" customHeight="1" x14ac:dyDescent="0.25">
      <c r="A1584" s="148" t="s">
        <v>76</v>
      </c>
      <c r="B1584" s="148" t="s">
        <v>36</v>
      </c>
      <c r="C1584" s="148" t="s">
        <v>28</v>
      </c>
      <c r="D1584" s="148" t="s">
        <v>99</v>
      </c>
      <c r="E1584" s="148" t="s">
        <v>30</v>
      </c>
      <c r="F1584" s="148" t="s">
        <v>3183</v>
      </c>
      <c r="G1584" s="148" t="s">
        <v>59</v>
      </c>
      <c r="H1584" s="148">
        <v>2012</v>
      </c>
      <c r="I1584" s="148">
        <v>1</v>
      </c>
      <c r="J1584" s="148" t="s">
        <v>118</v>
      </c>
      <c r="K1584" s="148" t="s">
        <v>327</v>
      </c>
      <c r="M1584" s="148" t="s">
        <v>82</v>
      </c>
      <c r="N1584" s="148">
        <v>8</v>
      </c>
      <c r="O1584" s="148" t="s">
        <v>101</v>
      </c>
      <c r="P1584" s="148" t="s">
        <v>987</v>
      </c>
    </row>
    <row r="1585" spans="1:26" ht="15.75" hidden="1" customHeight="1" x14ac:dyDescent="0.25">
      <c r="A1585" s="148" t="s">
        <v>76</v>
      </c>
      <c r="B1585" s="148" t="s">
        <v>27</v>
      </c>
      <c r="C1585" s="148" t="s">
        <v>28</v>
      </c>
      <c r="D1585" s="148" t="s">
        <v>99</v>
      </c>
      <c r="E1585" s="148" t="s">
        <v>40</v>
      </c>
      <c r="F1585" s="148" t="s">
        <v>41</v>
      </c>
      <c r="G1585" s="148" t="s">
        <v>42</v>
      </c>
      <c r="H1585" s="148">
        <v>2012</v>
      </c>
      <c r="I1585" s="148">
        <v>1</v>
      </c>
      <c r="J1585" s="148" t="s">
        <v>118</v>
      </c>
      <c r="K1585" s="148" t="s">
        <v>455</v>
      </c>
      <c r="M1585" s="148" t="s">
        <v>132</v>
      </c>
      <c r="N1585" s="148">
        <v>8</v>
      </c>
      <c r="O1585" s="148" t="s">
        <v>101</v>
      </c>
      <c r="P1585" s="148" t="s">
        <v>365</v>
      </c>
    </row>
    <row r="1586" spans="1:26" ht="13.5" hidden="1" customHeight="1" x14ac:dyDescent="0.25">
      <c r="A1586" s="148" t="s">
        <v>76</v>
      </c>
      <c r="B1586" s="148" t="s">
        <v>103</v>
      </c>
      <c r="C1586" s="148" t="s">
        <v>55</v>
      </c>
      <c r="D1586" s="148" t="s">
        <v>99</v>
      </c>
      <c r="E1586" s="148" t="s">
        <v>95</v>
      </c>
      <c r="F1586" s="148" t="s">
        <v>56</v>
      </c>
      <c r="G1586" s="148" t="s">
        <v>104</v>
      </c>
      <c r="H1586" s="148">
        <v>2012</v>
      </c>
      <c r="I1586" s="148">
        <v>2</v>
      </c>
      <c r="J1586" s="148" t="s">
        <v>118</v>
      </c>
      <c r="K1586" s="148" t="s">
        <v>629</v>
      </c>
      <c r="M1586" s="148" t="s">
        <v>120</v>
      </c>
      <c r="N1586" s="148">
        <v>6</v>
      </c>
      <c r="O1586" s="148" t="s">
        <v>101</v>
      </c>
      <c r="P1586" s="148" t="s">
        <v>988</v>
      </c>
    </row>
    <row r="1587" spans="1:26" ht="15.75" hidden="1" customHeight="1" x14ac:dyDescent="0.25">
      <c r="A1587" s="148" t="s">
        <v>76</v>
      </c>
      <c r="B1587" s="148" t="s">
        <v>36</v>
      </c>
      <c r="C1587" s="148" t="s">
        <v>28</v>
      </c>
      <c r="D1587" s="148" t="s">
        <v>99</v>
      </c>
      <c r="E1587" s="148" t="s">
        <v>30</v>
      </c>
      <c r="F1587" s="148" t="s">
        <v>3183</v>
      </c>
      <c r="G1587" s="148" t="s">
        <v>59</v>
      </c>
      <c r="H1587" s="148">
        <v>2012</v>
      </c>
      <c r="I1587" s="148">
        <v>2</v>
      </c>
      <c r="J1587" s="148" t="s">
        <v>118</v>
      </c>
      <c r="K1587" s="148" t="s">
        <v>327</v>
      </c>
      <c r="M1587" s="148" t="s">
        <v>82</v>
      </c>
      <c r="N1587" s="148">
        <v>8</v>
      </c>
      <c r="O1587" s="148" t="s">
        <v>101</v>
      </c>
      <c r="P1587" s="148" t="s">
        <v>146</v>
      </c>
    </row>
    <row r="1588" spans="1:26" ht="15.75" hidden="1" customHeight="1" x14ac:dyDescent="0.25">
      <c r="A1588" s="148" t="s">
        <v>76</v>
      </c>
      <c r="B1588" s="148" t="s">
        <v>103</v>
      </c>
      <c r="C1588" s="148" t="s">
        <v>55</v>
      </c>
      <c r="D1588" s="148" t="s">
        <v>478</v>
      </c>
      <c r="E1588" s="148" t="s">
        <v>95</v>
      </c>
      <c r="F1588" s="148" t="s">
        <v>56</v>
      </c>
      <c r="G1588" s="148" t="s">
        <v>107</v>
      </c>
      <c r="H1588" s="148">
        <v>2012</v>
      </c>
      <c r="I1588" s="148">
        <v>2</v>
      </c>
      <c r="J1588" s="148" t="s">
        <v>118</v>
      </c>
      <c r="K1588" s="148" t="s">
        <v>708</v>
      </c>
      <c r="M1588" s="148" t="s">
        <v>173</v>
      </c>
      <c r="N1588" s="148">
        <v>8</v>
      </c>
      <c r="O1588" s="148" t="s">
        <v>101</v>
      </c>
      <c r="P1588" s="148" t="s">
        <v>989</v>
      </c>
    </row>
    <row r="1589" spans="1:26" ht="13.5" hidden="1" customHeight="1" x14ac:dyDescent="0.25">
      <c r="A1589" s="148" t="s">
        <v>76</v>
      </c>
      <c r="B1589" s="148" t="s">
        <v>62</v>
      </c>
      <c r="C1589" s="148" t="s">
        <v>28</v>
      </c>
      <c r="D1589" s="148" t="s">
        <v>759</v>
      </c>
      <c r="E1589" s="148" t="s">
        <v>51</v>
      </c>
      <c r="F1589" s="148" t="s">
        <v>3183</v>
      </c>
      <c r="G1589" s="148" t="s">
        <v>409</v>
      </c>
      <c r="H1589" s="148">
        <v>2012</v>
      </c>
      <c r="I1589" s="148">
        <v>2</v>
      </c>
      <c r="J1589" s="148" t="s">
        <v>118</v>
      </c>
      <c r="K1589" s="148" t="s">
        <v>327</v>
      </c>
      <c r="M1589" s="148" t="s">
        <v>82</v>
      </c>
      <c r="N1589" s="148">
        <v>8</v>
      </c>
      <c r="O1589" s="148" t="s">
        <v>101</v>
      </c>
      <c r="P1589" s="148" t="s">
        <v>990</v>
      </c>
    </row>
    <row r="1590" spans="1:26" ht="15.75" hidden="1" customHeight="1" x14ac:dyDescent="0.25">
      <c r="A1590" s="148" t="s">
        <v>76</v>
      </c>
      <c r="B1590" s="148" t="s">
        <v>36</v>
      </c>
      <c r="C1590" s="148" t="s">
        <v>28</v>
      </c>
      <c r="D1590" s="148" t="s">
        <v>342</v>
      </c>
      <c r="E1590" s="148" t="s">
        <v>30</v>
      </c>
      <c r="F1590" s="148" t="s">
        <v>3183</v>
      </c>
      <c r="G1590" s="148" t="s">
        <v>37</v>
      </c>
      <c r="H1590" s="148">
        <v>2012</v>
      </c>
      <c r="I1590" s="148">
        <v>2</v>
      </c>
      <c r="J1590" s="148" t="s">
        <v>118</v>
      </c>
      <c r="K1590" s="148" t="s">
        <v>455</v>
      </c>
      <c r="M1590" s="148" t="s">
        <v>132</v>
      </c>
      <c r="N1590" s="148">
        <v>8</v>
      </c>
      <c r="O1590" s="148" t="s">
        <v>101</v>
      </c>
      <c r="P1590" s="148" t="s">
        <v>991</v>
      </c>
    </row>
    <row r="1591" spans="1:26" ht="15.75" hidden="1" customHeight="1" x14ac:dyDescent="0.25">
      <c r="A1591" s="148" t="s">
        <v>76</v>
      </c>
      <c r="B1591" s="148" t="s">
        <v>103</v>
      </c>
      <c r="C1591" s="148" t="s">
        <v>55</v>
      </c>
      <c r="D1591" s="148" t="s">
        <v>29</v>
      </c>
      <c r="E1591" s="148" t="s">
        <v>95</v>
      </c>
      <c r="F1591" s="148" t="s">
        <v>56</v>
      </c>
      <c r="G1591" s="148" t="s">
        <v>95</v>
      </c>
      <c r="H1591" s="148">
        <v>2012</v>
      </c>
      <c r="I1591" s="148">
        <v>2</v>
      </c>
      <c r="J1591" s="148" t="s">
        <v>118</v>
      </c>
      <c r="K1591" s="148" t="s">
        <v>629</v>
      </c>
      <c r="M1591" s="148" t="s">
        <v>120</v>
      </c>
      <c r="N1591" s="148">
        <v>6</v>
      </c>
      <c r="O1591" s="148" t="s">
        <v>101</v>
      </c>
      <c r="P1591" s="148" t="s">
        <v>992</v>
      </c>
      <c r="Y1591" s="150" t="s">
        <v>3326</v>
      </c>
      <c r="Z1591" s="148" t="s">
        <v>3327</v>
      </c>
    </row>
    <row r="1592" spans="1:26" ht="15.75" hidden="1" customHeight="1" x14ac:dyDescent="0.25">
      <c r="A1592" s="148" t="s">
        <v>26</v>
      </c>
      <c r="B1592" s="148" t="s">
        <v>116</v>
      </c>
      <c r="C1592" s="148" t="s">
        <v>90</v>
      </c>
      <c r="D1592" s="148" t="s">
        <v>29</v>
      </c>
      <c r="E1592" s="148" t="s">
        <v>30</v>
      </c>
      <c r="F1592" s="148" t="s">
        <v>41</v>
      </c>
      <c r="G1592" s="148" t="s">
        <v>784</v>
      </c>
      <c r="H1592" s="148">
        <v>2012</v>
      </c>
      <c r="I1592" s="148">
        <v>2</v>
      </c>
      <c r="J1592" s="148" t="s">
        <v>792</v>
      </c>
      <c r="U1592" s="149" t="s">
        <v>3629</v>
      </c>
      <c r="V1592" s="148" t="s">
        <v>993</v>
      </c>
      <c r="W1592" s="148" t="s">
        <v>87</v>
      </c>
      <c r="X1592" s="148" t="s">
        <v>994</v>
      </c>
    </row>
    <row r="1593" spans="1:26" ht="15.75" hidden="1" customHeight="1" x14ac:dyDescent="0.25">
      <c r="A1593" s="148" t="s">
        <v>76</v>
      </c>
      <c r="B1593" s="148" t="s">
        <v>54</v>
      </c>
      <c r="C1593" s="148" t="s">
        <v>55</v>
      </c>
      <c r="D1593" s="148" t="s">
        <v>65</v>
      </c>
      <c r="E1593" s="148" t="s">
        <v>30</v>
      </c>
      <c r="F1593" s="148" t="s">
        <v>56</v>
      </c>
      <c r="G1593" s="148" t="s">
        <v>54</v>
      </c>
      <c r="H1593" s="148">
        <v>2012</v>
      </c>
      <c r="I1593" s="148">
        <v>2</v>
      </c>
      <c r="J1593" s="148" t="s">
        <v>118</v>
      </c>
      <c r="K1593" s="148" t="s">
        <v>455</v>
      </c>
      <c r="M1593" s="148" t="s">
        <v>132</v>
      </c>
      <c r="N1593" s="148">
        <v>8</v>
      </c>
      <c r="O1593" s="148" t="s">
        <v>101</v>
      </c>
      <c r="P1593" s="148" t="s">
        <v>556</v>
      </c>
    </row>
    <row r="1594" spans="1:26" ht="15.75" hidden="1" customHeight="1" x14ac:dyDescent="0.25">
      <c r="A1594" s="148" t="s">
        <v>76</v>
      </c>
      <c r="B1594" s="148" t="s">
        <v>27</v>
      </c>
      <c r="C1594" s="148" t="s">
        <v>28</v>
      </c>
      <c r="D1594" s="148" t="s">
        <v>158</v>
      </c>
      <c r="E1594" s="148" t="s">
        <v>30</v>
      </c>
      <c r="F1594" s="148" t="s">
        <v>3183</v>
      </c>
      <c r="G1594" s="148" t="s">
        <v>43</v>
      </c>
      <c r="H1594" s="148">
        <v>2012</v>
      </c>
      <c r="I1594" s="148">
        <v>2</v>
      </c>
      <c r="J1594" s="148" t="s">
        <v>118</v>
      </c>
      <c r="K1594" s="148" t="s">
        <v>629</v>
      </c>
      <c r="M1594" s="148" t="s">
        <v>120</v>
      </c>
      <c r="N1594" s="148">
        <v>6</v>
      </c>
      <c r="O1594" s="148" t="s">
        <v>101</v>
      </c>
      <c r="P1594" s="148" t="s">
        <v>995</v>
      </c>
    </row>
    <row r="1595" spans="1:26" ht="15.75" hidden="1" customHeight="1" x14ac:dyDescent="0.25">
      <c r="A1595" s="148" t="s">
        <v>76</v>
      </c>
      <c r="B1595" s="148" t="s">
        <v>36</v>
      </c>
      <c r="C1595" s="148" t="s">
        <v>28</v>
      </c>
      <c r="D1595" s="148" t="s">
        <v>342</v>
      </c>
      <c r="E1595" s="148" t="s">
        <v>51</v>
      </c>
      <c r="F1595" s="148" t="s">
        <v>3183</v>
      </c>
      <c r="G1595" s="148" t="s">
        <v>52</v>
      </c>
      <c r="H1595" s="148">
        <v>2012</v>
      </c>
      <c r="I1595" s="148">
        <v>2</v>
      </c>
      <c r="J1595" s="148" t="s">
        <v>118</v>
      </c>
      <c r="K1595" s="148" t="s">
        <v>327</v>
      </c>
      <c r="M1595" s="148" t="s">
        <v>82</v>
      </c>
      <c r="N1595" s="148">
        <v>8</v>
      </c>
      <c r="O1595" s="148" t="s">
        <v>101</v>
      </c>
      <c r="P1595" s="148" t="s">
        <v>449</v>
      </c>
    </row>
    <row r="1596" spans="1:26" ht="15.75" hidden="1" customHeight="1" x14ac:dyDescent="0.25">
      <c r="A1596" s="148" t="s">
        <v>76</v>
      </c>
      <c r="B1596" s="148" t="s">
        <v>103</v>
      </c>
      <c r="C1596" s="148" t="s">
        <v>55</v>
      </c>
      <c r="D1596" s="148" t="s">
        <v>86</v>
      </c>
      <c r="E1596" s="148" t="s">
        <v>30</v>
      </c>
      <c r="F1596" s="148" t="s">
        <v>56</v>
      </c>
      <c r="G1596" s="148" t="s">
        <v>137</v>
      </c>
      <c r="H1596" s="148">
        <v>2012</v>
      </c>
      <c r="I1596" s="148">
        <v>2</v>
      </c>
      <c r="J1596" s="148" t="s">
        <v>118</v>
      </c>
      <c r="K1596" s="148" t="s">
        <v>520</v>
      </c>
      <c r="M1596" s="148" t="s">
        <v>701</v>
      </c>
      <c r="N1596" s="148">
        <v>8</v>
      </c>
      <c r="O1596" s="148" t="s">
        <v>101</v>
      </c>
      <c r="P1596" s="148" t="s">
        <v>562</v>
      </c>
    </row>
    <row r="1597" spans="1:26" ht="13.5" hidden="1" customHeight="1" x14ac:dyDescent="0.25">
      <c r="A1597" s="148" t="s">
        <v>76</v>
      </c>
      <c r="B1597" s="148" t="s">
        <v>36</v>
      </c>
      <c r="C1597" s="148" t="s">
        <v>28</v>
      </c>
      <c r="D1597" s="148" t="s">
        <v>29</v>
      </c>
      <c r="E1597" s="148" t="s">
        <v>30</v>
      </c>
      <c r="F1597" s="148" t="s">
        <v>3183</v>
      </c>
      <c r="G1597" s="148" t="s">
        <v>211</v>
      </c>
      <c r="H1597" s="148">
        <v>2012</v>
      </c>
      <c r="I1597" s="148">
        <v>3</v>
      </c>
      <c r="J1597" s="148" t="s">
        <v>118</v>
      </c>
      <c r="K1597" s="148" t="s">
        <v>327</v>
      </c>
      <c r="M1597" s="148" t="s">
        <v>82</v>
      </c>
      <c r="N1597" s="148">
        <v>8</v>
      </c>
      <c r="O1597" s="148" t="s">
        <v>101</v>
      </c>
      <c r="P1597" s="148" t="s">
        <v>512</v>
      </c>
    </row>
    <row r="1598" spans="1:26" ht="15.75" hidden="1" customHeight="1" x14ac:dyDescent="0.25">
      <c r="A1598" s="148" t="s">
        <v>76</v>
      </c>
      <c r="B1598" s="148" t="s">
        <v>44</v>
      </c>
      <c r="C1598" s="148" t="s">
        <v>45</v>
      </c>
      <c r="D1598" s="148" t="s">
        <v>99</v>
      </c>
      <c r="E1598" s="148" t="s">
        <v>95</v>
      </c>
      <c r="F1598" s="148" t="s">
        <v>47</v>
      </c>
      <c r="G1598" s="148" t="s">
        <v>96</v>
      </c>
      <c r="H1598" s="148">
        <v>2012</v>
      </c>
      <c r="I1598" s="148">
        <v>3</v>
      </c>
      <c r="J1598" s="148" t="s">
        <v>118</v>
      </c>
      <c r="K1598" s="148" t="s">
        <v>379</v>
      </c>
      <c r="M1598" s="148" t="s">
        <v>126</v>
      </c>
      <c r="N1598" s="148">
        <v>10</v>
      </c>
      <c r="O1598" s="148" t="s">
        <v>101</v>
      </c>
      <c r="P1598" s="148" t="s">
        <v>283</v>
      </c>
    </row>
    <row r="1599" spans="1:26" ht="15.75" hidden="1" customHeight="1" x14ac:dyDescent="0.25">
      <c r="A1599" s="148" t="s">
        <v>26</v>
      </c>
      <c r="B1599" s="148" t="s">
        <v>116</v>
      </c>
      <c r="C1599" s="148" t="s">
        <v>90</v>
      </c>
      <c r="D1599" s="148" t="s">
        <v>29</v>
      </c>
      <c r="E1599" s="148" t="s">
        <v>30</v>
      </c>
      <c r="F1599" s="148" t="s">
        <v>41</v>
      </c>
      <c r="G1599" s="148" t="s">
        <v>564</v>
      </c>
      <c r="H1599" s="148">
        <v>2012</v>
      </c>
      <c r="I1599" s="148">
        <v>3</v>
      </c>
      <c r="J1599" s="148" t="s">
        <v>792</v>
      </c>
      <c r="U1599" s="149" t="s">
        <v>3629</v>
      </c>
      <c r="V1599" s="148" t="s">
        <v>984</v>
      </c>
      <c r="W1599" s="148" t="s">
        <v>87</v>
      </c>
      <c r="X1599" s="148" t="s">
        <v>996</v>
      </c>
    </row>
    <row r="1600" spans="1:26" ht="15.75" hidden="1" customHeight="1" x14ac:dyDescent="0.25">
      <c r="A1600" s="148" t="s">
        <v>76</v>
      </c>
      <c r="B1600" s="148" t="s">
        <v>103</v>
      </c>
      <c r="C1600" s="148" t="s">
        <v>55</v>
      </c>
      <c r="D1600" s="148" t="s">
        <v>478</v>
      </c>
      <c r="E1600" s="148" t="s">
        <v>95</v>
      </c>
      <c r="F1600" s="148" t="s">
        <v>56</v>
      </c>
      <c r="G1600" s="148" t="s">
        <v>111</v>
      </c>
      <c r="H1600" s="148">
        <v>2012</v>
      </c>
      <c r="I1600" s="148">
        <v>3</v>
      </c>
      <c r="J1600" s="148" t="s">
        <v>118</v>
      </c>
      <c r="K1600" s="148" t="s">
        <v>629</v>
      </c>
      <c r="M1600" s="148" t="s">
        <v>120</v>
      </c>
      <c r="N1600" s="148">
        <v>6</v>
      </c>
      <c r="O1600" s="148" t="s">
        <v>101</v>
      </c>
      <c r="P1600" s="148" t="s">
        <v>997</v>
      </c>
    </row>
    <row r="1601" spans="1:26" ht="13.5" hidden="1" customHeight="1" x14ac:dyDescent="0.25">
      <c r="A1601" s="148" t="s">
        <v>76</v>
      </c>
      <c r="B1601" s="148" t="s">
        <v>103</v>
      </c>
      <c r="C1601" s="148" t="s">
        <v>55</v>
      </c>
      <c r="D1601" s="148" t="s">
        <v>99</v>
      </c>
      <c r="E1601" s="148" t="s">
        <v>95</v>
      </c>
      <c r="F1601" s="148" t="s">
        <v>56</v>
      </c>
      <c r="G1601" s="148" t="s">
        <v>104</v>
      </c>
      <c r="H1601" s="148">
        <v>2012</v>
      </c>
      <c r="I1601" s="148">
        <v>3</v>
      </c>
      <c r="J1601" s="148" t="s">
        <v>118</v>
      </c>
      <c r="K1601" s="148" t="s">
        <v>455</v>
      </c>
      <c r="M1601" s="148" t="s">
        <v>132</v>
      </c>
      <c r="N1601" s="148">
        <v>8</v>
      </c>
      <c r="O1601" s="148" t="s">
        <v>101</v>
      </c>
      <c r="P1601" s="148" t="s">
        <v>998</v>
      </c>
    </row>
    <row r="1602" spans="1:26" ht="15.75" hidden="1" customHeight="1" x14ac:dyDescent="0.25">
      <c r="A1602" s="148" t="s">
        <v>76</v>
      </c>
      <c r="B1602" s="148" t="s">
        <v>103</v>
      </c>
      <c r="C1602" s="148" t="s">
        <v>55</v>
      </c>
      <c r="D1602" s="148" t="s">
        <v>478</v>
      </c>
      <c r="E1602" s="148" t="s">
        <v>95</v>
      </c>
      <c r="F1602" s="148" t="s">
        <v>56</v>
      </c>
      <c r="G1602" s="148" t="s">
        <v>107</v>
      </c>
      <c r="H1602" s="148">
        <v>2012</v>
      </c>
      <c r="I1602" s="148">
        <v>3</v>
      </c>
      <c r="J1602" s="148" t="s">
        <v>118</v>
      </c>
      <c r="K1602" s="148" t="s">
        <v>629</v>
      </c>
      <c r="M1602" s="148" t="s">
        <v>120</v>
      </c>
      <c r="N1602" s="148">
        <v>6</v>
      </c>
      <c r="O1602" s="148" t="s">
        <v>101</v>
      </c>
      <c r="P1602" s="148" t="s">
        <v>999</v>
      </c>
    </row>
    <row r="1603" spans="1:26" ht="15.75" hidden="1" customHeight="1" x14ac:dyDescent="0.25">
      <c r="A1603" s="148" t="s">
        <v>76</v>
      </c>
      <c r="B1603" s="148" t="s">
        <v>103</v>
      </c>
      <c r="C1603" s="148" t="s">
        <v>55</v>
      </c>
      <c r="D1603" s="148" t="s">
        <v>29</v>
      </c>
      <c r="E1603" s="148" t="s">
        <v>30</v>
      </c>
      <c r="F1603" s="148" t="s">
        <v>56</v>
      </c>
      <c r="G1603" s="148" t="s">
        <v>432</v>
      </c>
      <c r="H1603" s="148">
        <v>2012</v>
      </c>
      <c r="I1603" s="148">
        <v>3</v>
      </c>
      <c r="J1603" s="148" t="s">
        <v>118</v>
      </c>
      <c r="K1603" s="148" t="s">
        <v>455</v>
      </c>
      <c r="M1603" s="148" t="s">
        <v>132</v>
      </c>
      <c r="N1603" s="148">
        <v>8</v>
      </c>
      <c r="O1603" s="148" t="s">
        <v>101</v>
      </c>
      <c r="P1603" s="148" t="s">
        <v>649</v>
      </c>
    </row>
    <row r="1604" spans="1:26" ht="15.75" hidden="1" customHeight="1" x14ac:dyDescent="0.25">
      <c r="A1604" s="148" t="s">
        <v>76</v>
      </c>
      <c r="B1604" s="148" t="s">
        <v>89</v>
      </c>
      <c r="C1604" s="148" t="s">
        <v>90</v>
      </c>
      <c r="D1604" s="148" t="s">
        <v>29</v>
      </c>
      <c r="E1604" s="148" t="s">
        <v>30</v>
      </c>
      <c r="F1604" s="148" t="s">
        <v>91</v>
      </c>
      <c r="G1604" s="148" t="s">
        <v>414</v>
      </c>
      <c r="H1604" s="148">
        <v>2012</v>
      </c>
      <c r="I1604" s="148">
        <v>3</v>
      </c>
      <c r="J1604" s="148" t="s">
        <v>150</v>
      </c>
      <c r="K1604" s="148" t="s">
        <v>725</v>
      </c>
      <c r="M1604" s="148" t="s">
        <v>464</v>
      </c>
      <c r="N1604" s="148">
        <v>6</v>
      </c>
      <c r="O1604" s="148" t="s">
        <v>83</v>
      </c>
    </row>
    <row r="1605" spans="1:26" ht="15.75" hidden="1" customHeight="1" x14ac:dyDescent="0.25">
      <c r="A1605" s="148" t="s">
        <v>76</v>
      </c>
      <c r="B1605" s="148" t="s">
        <v>103</v>
      </c>
      <c r="C1605" s="148" t="s">
        <v>55</v>
      </c>
      <c r="D1605" s="148" t="s">
        <v>29</v>
      </c>
      <c r="E1605" s="148" t="s">
        <v>30</v>
      </c>
      <c r="F1605" s="148" t="s">
        <v>56</v>
      </c>
      <c r="G1605" s="148" t="s">
        <v>285</v>
      </c>
      <c r="H1605" s="148">
        <v>2012</v>
      </c>
      <c r="I1605" s="148">
        <v>4</v>
      </c>
      <c r="J1605" s="148" t="s">
        <v>118</v>
      </c>
      <c r="K1605" s="148" t="s">
        <v>629</v>
      </c>
      <c r="M1605" s="148" t="s">
        <v>120</v>
      </c>
      <c r="N1605" s="148">
        <v>6</v>
      </c>
      <c r="O1605" s="148" t="s">
        <v>101</v>
      </c>
      <c r="P1605" s="148" t="s">
        <v>1000</v>
      </c>
    </row>
    <row r="1606" spans="1:26" ht="15.75" hidden="1" customHeight="1" x14ac:dyDescent="0.25">
      <c r="A1606" s="148" t="s">
        <v>76</v>
      </c>
      <c r="B1606" s="148" t="s">
        <v>103</v>
      </c>
      <c r="C1606" s="148" t="s">
        <v>55</v>
      </c>
      <c r="D1606" s="148" t="s">
        <v>99</v>
      </c>
      <c r="E1606" s="148" t="s">
        <v>95</v>
      </c>
      <c r="F1606" s="148" t="s">
        <v>56</v>
      </c>
      <c r="G1606" s="148" t="s">
        <v>104</v>
      </c>
      <c r="H1606" s="148">
        <v>2012</v>
      </c>
      <c r="I1606" s="148">
        <v>4</v>
      </c>
      <c r="J1606" s="148" t="s">
        <v>118</v>
      </c>
      <c r="K1606" s="148" t="s">
        <v>379</v>
      </c>
      <c r="M1606" s="148" t="s">
        <v>126</v>
      </c>
      <c r="N1606" s="148">
        <v>10</v>
      </c>
      <c r="O1606" s="148" t="s">
        <v>101</v>
      </c>
      <c r="P1606" s="148" t="s">
        <v>1001</v>
      </c>
    </row>
    <row r="1607" spans="1:26" ht="15.75" hidden="1" customHeight="1" x14ac:dyDescent="0.25">
      <c r="A1607" s="148" t="s">
        <v>76</v>
      </c>
      <c r="B1607" s="148" t="s">
        <v>77</v>
      </c>
      <c r="C1607" s="148" t="s">
        <v>55</v>
      </c>
      <c r="D1607" s="148" t="s">
        <v>478</v>
      </c>
      <c r="E1607" s="148" t="s">
        <v>30</v>
      </c>
      <c r="F1607" s="148" t="s">
        <v>41</v>
      </c>
      <c r="G1607" s="148" t="s">
        <v>159</v>
      </c>
      <c r="H1607" s="148">
        <v>2012</v>
      </c>
      <c r="I1607" s="148">
        <v>4</v>
      </c>
      <c r="J1607" s="148" t="s">
        <v>640</v>
      </c>
      <c r="K1607" s="148" t="s">
        <v>327</v>
      </c>
      <c r="M1607" s="148" t="s">
        <v>82</v>
      </c>
      <c r="N1607" s="148">
        <v>8</v>
      </c>
      <c r="O1607" s="148" t="s">
        <v>101</v>
      </c>
      <c r="P1607" s="148" t="s">
        <v>146</v>
      </c>
      <c r="Z1607" s="148" t="s">
        <v>1002</v>
      </c>
    </row>
    <row r="1608" spans="1:26" ht="15.75" hidden="1" customHeight="1" x14ac:dyDescent="0.25">
      <c r="A1608" s="148" t="s">
        <v>76</v>
      </c>
      <c r="B1608" s="148" t="s">
        <v>89</v>
      </c>
      <c r="C1608" s="148" t="s">
        <v>90</v>
      </c>
      <c r="D1608" s="148" t="s">
        <v>29</v>
      </c>
      <c r="E1608" s="148" t="s">
        <v>30</v>
      </c>
      <c r="F1608" s="148" t="s">
        <v>91</v>
      </c>
      <c r="G1608" s="148" t="s">
        <v>762</v>
      </c>
      <c r="H1608" s="148">
        <v>2012</v>
      </c>
      <c r="I1608" s="148">
        <v>4</v>
      </c>
      <c r="J1608" s="148" t="s">
        <v>118</v>
      </c>
      <c r="K1608" s="148" t="s">
        <v>327</v>
      </c>
      <c r="M1608" s="148" t="s">
        <v>82</v>
      </c>
      <c r="N1608" s="148">
        <v>8</v>
      </c>
      <c r="O1608" s="148" t="s">
        <v>101</v>
      </c>
      <c r="P1608" s="148" t="s">
        <v>390</v>
      </c>
    </row>
    <row r="1609" spans="1:26" ht="15.75" hidden="1" customHeight="1" x14ac:dyDescent="0.25">
      <c r="A1609" s="148" t="s">
        <v>26</v>
      </c>
      <c r="B1609" s="148" t="s">
        <v>89</v>
      </c>
      <c r="C1609" s="148" t="s">
        <v>90</v>
      </c>
      <c r="D1609" s="148" t="s">
        <v>29</v>
      </c>
      <c r="E1609" s="148" t="s">
        <v>30</v>
      </c>
      <c r="F1609" s="148" t="s">
        <v>91</v>
      </c>
      <c r="G1609" s="148" t="s">
        <v>411</v>
      </c>
      <c r="H1609" s="148">
        <v>2012</v>
      </c>
      <c r="I1609" s="148">
        <v>4</v>
      </c>
      <c r="J1609" s="148" t="s">
        <v>33</v>
      </c>
      <c r="U1609" s="149" t="s">
        <v>3629</v>
      </c>
      <c r="V1609" s="148" t="s">
        <v>993</v>
      </c>
      <c r="W1609" s="148" t="s">
        <v>87</v>
      </c>
      <c r="X1609" s="148" t="s">
        <v>994</v>
      </c>
    </row>
    <row r="1610" spans="1:26" ht="15.75" hidden="1" customHeight="1" x14ac:dyDescent="0.25">
      <c r="A1610" s="148" t="s">
        <v>76</v>
      </c>
      <c r="B1610" s="148" t="s">
        <v>27</v>
      </c>
      <c r="C1610" s="148" t="s">
        <v>28</v>
      </c>
      <c r="D1610" s="148" t="s">
        <v>99</v>
      </c>
      <c r="E1610" s="148" t="s">
        <v>40</v>
      </c>
      <c r="F1610" s="148" t="s">
        <v>41</v>
      </c>
      <c r="G1610" s="148" t="s">
        <v>42</v>
      </c>
      <c r="H1610" s="148">
        <v>2012</v>
      </c>
      <c r="I1610" s="148">
        <v>4</v>
      </c>
      <c r="J1610" s="148" t="s">
        <v>118</v>
      </c>
      <c r="K1610" s="148" t="s">
        <v>327</v>
      </c>
      <c r="M1610" s="148" t="s">
        <v>82</v>
      </c>
      <c r="N1610" s="148">
        <v>8</v>
      </c>
      <c r="O1610" s="148" t="s">
        <v>101</v>
      </c>
      <c r="P1610" s="148" t="s">
        <v>398</v>
      </c>
    </row>
    <row r="1611" spans="1:26" ht="15.75" hidden="1" customHeight="1" x14ac:dyDescent="0.25">
      <c r="A1611" s="148" t="s">
        <v>76</v>
      </c>
      <c r="B1611" s="148" t="s">
        <v>54</v>
      </c>
      <c r="C1611" s="148" t="s">
        <v>55</v>
      </c>
      <c r="D1611" s="148" t="s">
        <v>65</v>
      </c>
      <c r="E1611" s="148" t="s">
        <v>30</v>
      </c>
      <c r="F1611" s="148" t="s">
        <v>56</v>
      </c>
      <c r="G1611" s="148" t="s">
        <v>54</v>
      </c>
      <c r="H1611" s="148">
        <v>2012</v>
      </c>
      <c r="I1611" s="148">
        <v>4</v>
      </c>
      <c r="J1611" s="148" t="s">
        <v>118</v>
      </c>
      <c r="K1611" s="148" t="s">
        <v>379</v>
      </c>
      <c r="M1611" s="148" t="s">
        <v>126</v>
      </c>
      <c r="N1611" s="148">
        <v>10</v>
      </c>
      <c r="O1611" s="148" t="s">
        <v>101</v>
      </c>
      <c r="P1611" s="148" t="s">
        <v>1003</v>
      </c>
    </row>
    <row r="1612" spans="1:26" ht="15.75" hidden="1" customHeight="1" x14ac:dyDescent="0.25">
      <c r="A1612" s="148" t="s">
        <v>307</v>
      </c>
      <c r="B1612" s="148" t="s">
        <v>54</v>
      </c>
      <c r="C1612" s="148" t="s">
        <v>55</v>
      </c>
      <c r="D1612" s="148" t="s">
        <v>65</v>
      </c>
      <c r="E1612" s="148" t="s">
        <v>30</v>
      </c>
      <c r="F1612" s="148" t="s">
        <v>56</v>
      </c>
      <c r="G1612" s="148" t="s">
        <v>54</v>
      </c>
      <c r="H1612" s="148">
        <v>2012</v>
      </c>
      <c r="I1612" s="148">
        <v>4</v>
      </c>
      <c r="J1612" s="148" t="s">
        <v>308</v>
      </c>
      <c r="Q1612" s="148" t="s">
        <v>594</v>
      </c>
      <c r="R1612" s="148" t="s">
        <v>1004</v>
      </c>
      <c r="S1612" s="148" t="s">
        <v>427</v>
      </c>
      <c r="T1612" s="148" t="s">
        <v>1005</v>
      </c>
    </row>
    <row r="1613" spans="1:26" ht="13.5" hidden="1" customHeight="1" x14ac:dyDescent="0.25">
      <c r="A1613" s="148" t="s">
        <v>76</v>
      </c>
      <c r="B1613" s="148" t="s">
        <v>77</v>
      </c>
      <c r="C1613" s="148" t="s">
        <v>55</v>
      </c>
      <c r="D1613" s="148" t="s">
        <v>78</v>
      </c>
      <c r="E1613" s="148" t="s">
        <v>30</v>
      </c>
      <c r="F1613" s="148" t="s">
        <v>41</v>
      </c>
      <c r="G1613" s="148" t="s">
        <v>79</v>
      </c>
      <c r="H1613" s="148">
        <v>2012</v>
      </c>
      <c r="I1613" s="148">
        <v>4</v>
      </c>
      <c r="J1613" s="148" t="s">
        <v>100</v>
      </c>
      <c r="K1613" s="148" t="s">
        <v>327</v>
      </c>
      <c r="M1613" s="148" t="s">
        <v>82</v>
      </c>
      <c r="N1613" s="148">
        <v>8</v>
      </c>
      <c r="O1613" s="148" t="s">
        <v>83</v>
      </c>
      <c r="P1613" s="148" t="s">
        <v>1006</v>
      </c>
      <c r="Y1613" s="150" t="s">
        <v>1007</v>
      </c>
    </row>
    <row r="1614" spans="1:26" ht="15.75" hidden="1" customHeight="1" x14ac:dyDescent="0.25">
      <c r="A1614" s="148" t="s">
        <v>76</v>
      </c>
      <c r="B1614" s="148" t="s">
        <v>77</v>
      </c>
      <c r="C1614" s="148" t="s">
        <v>55</v>
      </c>
      <c r="D1614" s="148" t="s">
        <v>29</v>
      </c>
      <c r="E1614" s="148" t="s">
        <v>30</v>
      </c>
      <c r="F1614" s="148" t="s">
        <v>41</v>
      </c>
      <c r="G1614" s="148" t="s">
        <v>275</v>
      </c>
      <c r="H1614" s="148">
        <v>2012</v>
      </c>
      <c r="I1614" s="148">
        <v>4</v>
      </c>
      <c r="J1614" s="148" t="s">
        <v>640</v>
      </c>
      <c r="K1614" s="148" t="s">
        <v>327</v>
      </c>
      <c r="M1614" s="148" t="s">
        <v>82</v>
      </c>
      <c r="N1614" s="148">
        <v>8</v>
      </c>
      <c r="O1614" s="148" t="s">
        <v>101</v>
      </c>
      <c r="P1614" s="148" t="s">
        <v>146</v>
      </c>
      <c r="Y1614" s="150" t="s">
        <v>1008</v>
      </c>
      <c r="Z1614" s="148" t="s">
        <v>1002</v>
      </c>
    </row>
    <row r="1615" spans="1:26" ht="15.75" hidden="1" customHeight="1" x14ac:dyDescent="0.25">
      <c r="A1615" s="148" t="s">
        <v>26</v>
      </c>
      <c r="B1615" s="148" t="s">
        <v>36</v>
      </c>
      <c r="C1615" s="148" t="s">
        <v>28</v>
      </c>
      <c r="D1615" s="148" t="s">
        <v>342</v>
      </c>
      <c r="E1615" s="148" t="s">
        <v>51</v>
      </c>
      <c r="F1615" s="148" t="s">
        <v>3183</v>
      </c>
      <c r="G1615" s="148" t="s">
        <v>52</v>
      </c>
      <c r="H1615" s="148">
        <v>2012</v>
      </c>
      <c r="I1615" s="148">
        <v>4</v>
      </c>
      <c r="J1615" s="148" t="s">
        <v>33</v>
      </c>
      <c r="U1615" s="149" t="s">
        <v>3629</v>
      </c>
      <c r="V1615" s="148" t="s">
        <v>993</v>
      </c>
      <c r="W1615" s="148" t="s">
        <v>87</v>
      </c>
      <c r="X1615" s="148" t="s">
        <v>994</v>
      </c>
    </row>
    <row r="1616" spans="1:26" ht="15.75" hidden="1" customHeight="1" x14ac:dyDescent="0.25">
      <c r="A1616" s="148" t="s">
        <v>76</v>
      </c>
      <c r="B1616" s="148" t="s">
        <v>198</v>
      </c>
      <c r="C1616" s="148" t="s">
        <v>45</v>
      </c>
      <c r="D1616" s="148" t="s">
        <v>29</v>
      </c>
      <c r="E1616" s="148" t="s">
        <v>30</v>
      </c>
      <c r="F1616" s="148" t="s">
        <v>199</v>
      </c>
      <c r="G1616" s="148" t="s">
        <v>370</v>
      </c>
      <c r="H1616" s="148">
        <v>2012</v>
      </c>
      <c r="I1616" s="148">
        <v>4</v>
      </c>
      <c r="J1616" s="148" t="s">
        <v>118</v>
      </c>
      <c r="K1616" s="148" t="s">
        <v>327</v>
      </c>
      <c r="M1616" s="148" t="s">
        <v>82</v>
      </c>
      <c r="N1616" s="148">
        <v>8</v>
      </c>
      <c r="O1616" s="148" t="s">
        <v>101</v>
      </c>
      <c r="P1616" s="148" t="s">
        <v>146</v>
      </c>
    </row>
    <row r="1617" spans="1:25" ht="13.5" hidden="1" customHeight="1" x14ac:dyDescent="0.25">
      <c r="A1617" s="148" t="s">
        <v>76</v>
      </c>
      <c r="B1617" s="148" t="s">
        <v>77</v>
      </c>
      <c r="C1617" s="148" t="s">
        <v>55</v>
      </c>
      <c r="D1617" s="148" t="s">
        <v>99</v>
      </c>
      <c r="E1617" s="148" t="s">
        <v>30</v>
      </c>
      <c r="F1617" s="148" t="s">
        <v>41</v>
      </c>
      <c r="G1617" s="148" t="s">
        <v>363</v>
      </c>
      <c r="H1617" s="148">
        <v>2012</v>
      </c>
      <c r="I1617" s="148">
        <v>4</v>
      </c>
      <c r="J1617" s="148" t="s">
        <v>118</v>
      </c>
      <c r="K1617" s="148" t="s">
        <v>388</v>
      </c>
      <c r="M1617" s="148" t="s">
        <v>126</v>
      </c>
      <c r="N1617" s="148">
        <v>10</v>
      </c>
      <c r="O1617" s="148" t="s">
        <v>101</v>
      </c>
      <c r="P1617" s="148" t="s">
        <v>1009</v>
      </c>
    </row>
    <row r="1618" spans="1:25" ht="15.75" hidden="1" customHeight="1" x14ac:dyDescent="0.25">
      <c r="A1618" s="148" t="s">
        <v>76</v>
      </c>
      <c r="B1618" s="148" t="s">
        <v>36</v>
      </c>
      <c r="C1618" s="148" t="s">
        <v>28</v>
      </c>
      <c r="D1618" s="148" t="s">
        <v>342</v>
      </c>
      <c r="E1618" s="148" t="s">
        <v>30</v>
      </c>
      <c r="F1618" s="148" t="s">
        <v>3183</v>
      </c>
      <c r="G1618" s="148" t="s">
        <v>114</v>
      </c>
      <c r="H1618" s="148">
        <v>2012</v>
      </c>
      <c r="I1618" s="148">
        <v>4</v>
      </c>
      <c r="J1618" s="148" t="s">
        <v>118</v>
      </c>
      <c r="K1618" s="148" t="s">
        <v>455</v>
      </c>
      <c r="M1618" s="148" t="s">
        <v>132</v>
      </c>
      <c r="N1618" s="148">
        <v>8</v>
      </c>
      <c r="O1618" s="148" t="s">
        <v>101</v>
      </c>
      <c r="P1618" s="148" t="s">
        <v>691</v>
      </c>
    </row>
    <row r="1619" spans="1:25" ht="15.75" hidden="1" customHeight="1" x14ac:dyDescent="0.25">
      <c r="A1619" s="148" t="s">
        <v>26</v>
      </c>
      <c r="B1619" s="148" t="s">
        <v>116</v>
      </c>
      <c r="C1619" s="148" t="s">
        <v>90</v>
      </c>
      <c r="D1619" s="148" t="s">
        <v>29</v>
      </c>
      <c r="E1619" s="148" t="s">
        <v>30</v>
      </c>
      <c r="F1619" s="148" t="s">
        <v>41</v>
      </c>
      <c r="G1619" s="148" t="s">
        <v>564</v>
      </c>
      <c r="H1619" s="148">
        <v>2012</v>
      </c>
      <c r="I1619" s="148">
        <v>5</v>
      </c>
      <c r="J1619" s="148" t="s">
        <v>792</v>
      </c>
      <c r="U1619" s="149" t="s">
        <v>3629</v>
      </c>
      <c r="V1619" s="148" t="s">
        <v>1010</v>
      </c>
      <c r="W1619" s="148" t="s">
        <v>49</v>
      </c>
      <c r="X1619" s="148" t="s">
        <v>1011</v>
      </c>
    </row>
    <row r="1620" spans="1:25" ht="15.75" hidden="1" customHeight="1" x14ac:dyDescent="0.25">
      <c r="A1620" s="148" t="s">
        <v>76</v>
      </c>
      <c r="B1620" s="148" t="s">
        <v>89</v>
      </c>
      <c r="C1620" s="148" t="s">
        <v>90</v>
      </c>
      <c r="D1620" s="148" t="s">
        <v>29</v>
      </c>
      <c r="E1620" s="148" t="s">
        <v>30</v>
      </c>
      <c r="F1620" s="148" t="s">
        <v>91</v>
      </c>
      <c r="G1620" s="148" t="s">
        <v>443</v>
      </c>
      <c r="H1620" s="148">
        <v>2012</v>
      </c>
      <c r="I1620" s="148">
        <v>5</v>
      </c>
      <c r="J1620" s="148" t="s">
        <v>150</v>
      </c>
      <c r="K1620" s="148" t="s">
        <v>763</v>
      </c>
      <c r="M1620" s="148" t="s">
        <v>501</v>
      </c>
      <c r="N1620" s="148">
        <v>6</v>
      </c>
      <c r="O1620" s="148" t="s">
        <v>83</v>
      </c>
    </row>
    <row r="1621" spans="1:25" ht="15.75" hidden="1" customHeight="1" x14ac:dyDescent="0.25">
      <c r="A1621" s="148" t="s">
        <v>76</v>
      </c>
      <c r="B1621" s="148" t="s">
        <v>103</v>
      </c>
      <c r="C1621" s="148" t="s">
        <v>55</v>
      </c>
      <c r="D1621" s="148" t="s">
        <v>29</v>
      </c>
      <c r="E1621" s="148" t="s">
        <v>30</v>
      </c>
      <c r="F1621" s="148" t="s">
        <v>56</v>
      </c>
      <c r="G1621" s="148" t="s">
        <v>405</v>
      </c>
      <c r="H1621" s="148">
        <v>2012</v>
      </c>
      <c r="I1621" s="148">
        <v>5</v>
      </c>
      <c r="J1621" s="148" t="s">
        <v>118</v>
      </c>
      <c r="K1621" s="148" t="s">
        <v>768</v>
      </c>
      <c r="M1621" s="148" t="s">
        <v>492</v>
      </c>
      <c r="N1621" s="148">
        <v>5</v>
      </c>
      <c r="O1621" s="148" t="s">
        <v>101</v>
      </c>
      <c r="P1621" s="148" t="s">
        <v>556</v>
      </c>
    </row>
    <row r="1622" spans="1:25" ht="15.75" hidden="1" customHeight="1" x14ac:dyDescent="0.25">
      <c r="A1622" s="148" t="s">
        <v>76</v>
      </c>
      <c r="B1622" s="148" t="s">
        <v>116</v>
      </c>
      <c r="C1622" s="148" t="s">
        <v>90</v>
      </c>
      <c r="D1622" s="148" t="s">
        <v>29</v>
      </c>
      <c r="E1622" s="148" t="s">
        <v>40</v>
      </c>
      <c r="F1622" s="148" t="s">
        <v>41</v>
      </c>
      <c r="G1622" s="148" t="s">
        <v>469</v>
      </c>
      <c r="H1622" s="148">
        <v>2012</v>
      </c>
      <c r="I1622" s="148">
        <v>5</v>
      </c>
      <c r="J1622" s="148" t="s">
        <v>118</v>
      </c>
      <c r="K1622" s="148" t="s">
        <v>455</v>
      </c>
      <c r="M1622" s="148" t="s">
        <v>132</v>
      </c>
      <c r="N1622" s="148">
        <v>8</v>
      </c>
      <c r="O1622" s="148" t="s">
        <v>101</v>
      </c>
      <c r="P1622" s="148" t="s">
        <v>1012</v>
      </c>
    </row>
    <row r="1623" spans="1:25" ht="13.5" hidden="1" customHeight="1" x14ac:dyDescent="0.25">
      <c r="A1623" s="148" t="s">
        <v>76</v>
      </c>
      <c r="B1623" s="148" t="s">
        <v>103</v>
      </c>
      <c r="C1623" s="148" t="s">
        <v>55</v>
      </c>
      <c r="D1623" s="148" t="s">
        <v>478</v>
      </c>
      <c r="E1623" s="148" t="s">
        <v>95</v>
      </c>
      <c r="F1623" s="148" t="s">
        <v>56</v>
      </c>
      <c r="G1623" s="148" t="s">
        <v>107</v>
      </c>
      <c r="H1623" s="148">
        <v>2012</v>
      </c>
      <c r="I1623" s="148">
        <v>5</v>
      </c>
      <c r="J1623" s="148" t="s">
        <v>118</v>
      </c>
      <c r="K1623" s="148" t="s">
        <v>374</v>
      </c>
      <c r="M1623" s="148" t="s">
        <v>389</v>
      </c>
      <c r="N1623" s="148">
        <v>8</v>
      </c>
      <c r="O1623" s="148" t="s">
        <v>101</v>
      </c>
      <c r="P1623" s="148" t="s">
        <v>425</v>
      </c>
    </row>
    <row r="1624" spans="1:25" ht="15.75" hidden="1" customHeight="1" x14ac:dyDescent="0.25">
      <c r="A1624" s="148" t="s">
        <v>76</v>
      </c>
      <c r="B1624" s="148" t="s">
        <v>103</v>
      </c>
      <c r="C1624" s="148" t="s">
        <v>55</v>
      </c>
      <c r="D1624" s="148" t="s">
        <v>516</v>
      </c>
      <c r="E1624" s="148" t="s">
        <v>95</v>
      </c>
      <c r="F1624" s="148" t="s">
        <v>56</v>
      </c>
      <c r="G1624" s="148" t="s">
        <v>1013</v>
      </c>
      <c r="H1624" s="148">
        <v>2012</v>
      </c>
      <c r="I1624" s="148">
        <v>5</v>
      </c>
      <c r="J1624" s="148" t="s">
        <v>150</v>
      </c>
      <c r="K1624" s="148" t="s">
        <v>327</v>
      </c>
      <c r="M1624" s="148" t="s">
        <v>82</v>
      </c>
      <c r="N1624" s="148">
        <v>8</v>
      </c>
      <c r="O1624" s="148" t="s">
        <v>83</v>
      </c>
    </row>
    <row r="1625" spans="1:25" ht="15.75" hidden="1" customHeight="1" x14ac:dyDescent="0.25">
      <c r="A1625" s="148" t="s">
        <v>76</v>
      </c>
      <c r="B1625" s="148" t="s">
        <v>62</v>
      </c>
      <c r="C1625" s="148" t="s">
        <v>28</v>
      </c>
      <c r="D1625" s="148" t="s">
        <v>99</v>
      </c>
      <c r="E1625" s="148" t="s">
        <v>30</v>
      </c>
      <c r="F1625" s="148" t="s">
        <v>3183</v>
      </c>
      <c r="G1625" s="148" t="s">
        <v>244</v>
      </c>
      <c r="H1625" s="148">
        <v>2012</v>
      </c>
      <c r="I1625" s="148">
        <v>5</v>
      </c>
      <c r="J1625" s="148" t="s">
        <v>150</v>
      </c>
      <c r="K1625" s="148" t="s">
        <v>388</v>
      </c>
      <c r="M1625" s="148" t="s">
        <v>126</v>
      </c>
      <c r="N1625" s="148">
        <v>10</v>
      </c>
      <c r="O1625" s="148" t="s">
        <v>83</v>
      </c>
    </row>
    <row r="1626" spans="1:25" ht="15.75" hidden="1" customHeight="1" x14ac:dyDescent="0.25">
      <c r="A1626" s="148" t="s">
        <v>76</v>
      </c>
      <c r="B1626" s="148" t="s">
        <v>89</v>
      </c>
      <c r="C1626" s="148" t="s">
        <v>90</v>
      </c>
      <c r="D1626" s="148" t="s">
        <v>29</v>
      </c>
      <c r="E1626" s="148" t="s">
        <v>30</v>
      </c>
      <c r="F1626" s="148" t="s">
        <v>91</v>
      </c>
      <c r="G1626" s="148" t="s">
        <v>411</v>
      </c>
      <c r="H1626" s="148">
        <v>2012</v>
      </c>
      <c r="I1626" s="148">
        <v>5</v>
      </c>
      <c r="J1626" s="148" t="s">
        <v>118</v>
      </c>
      <c r="K1626" s="148" t="s">
        <v>327</v>
      </c>
      <c r="M1626" s="148" t="s">
        <v>82</v>
      </c>
      <c r="N1626" s="148">
        <v>8</v>
      </c>
      <c r="O1626" s="148" t="s">
        <v>101</v>
      </c>
      <c r="P1626" s="148" t="s">
        <v>146</v>
      </c>
    </row>
    <row r="1627" spans="1:25" ht="15.75" hidden="1" customHeight="1" x14ac:dyDescent="0.25">
      <c r="A1627" s="148" t="s">
        <v>76</v>
      </c>
      <c r="B1627" s="148" t="s">
        <v>36</v>
      </c>
      <c r="C1627" s="148" t="s">
        <v>28</v>
      </c>
      <c r="D1627" s="148" t="s">
        <v>342</v>
      </c>
      <c r="E1627" s="148" t="s">
        <v>30</v>
      </c>
      <c r="F1627" s="148" t="s">
        <v>3183</v>
      </c>
      <c r="G1627" s="148" t="s">
        <v>37</v>
      </c>
      <c r="H1627" s="148">
        <v>2012</v>
      </c>
      <c r="I1627" s="148">
        <v>5</v>
      </c>
      <c r="J1627" s="148" t="s">
        <v>118</v>
      </c>
      <c r="K1627" s="148" t="s">
        <v>768</v>
      </c>
      <c r="M1627" s="148" t="s">
        <v>492</v>
      </c>
      <c r="N1627" s="148">
        <v>5</v>
      </c>
      <c r="O1627" s="148" t="s">
        <v>101</v>
      </c>
      <c r="P1627" s="148" t="s">
        <v>1014</v>
      </c>
    </row>
    <row r="1628" spans="1:25" ht="15.75" hidden="1" customHeight="1" x14ac:dyDescent="0.25">
      <c r="A1628" s="148" t="s">
        <v>76</v>
      </c>
      <c r="B1628" s="148" t="s">
        <v>103</v>
      </c>
      <c r="C1628" s="148" t="s">
        <v>55</v>
      </c>
      <c r="D1628" s="148" t="s">
        <v>99</v>
      </c>
      <c r="E1628" s="148" t="s">
        <v>95</v>
      </c>
      <c r="F1628" s="148" t="s">
        <v>56</v>
      </c>
      <c r="G1628" s="148" t="s">
        <v>270</v>
      </c>
      <c r="H1628" s="148">
        <v>2012</v>
      </c>
      <c r="I1628" s="148">
        <v>5</v>
      </c>
      <c r="J1628" s="148" t="s">
        <v>118</v>
      </c>
      <c r="K1628" s="148" t="s">
        <v>327</v>
      </c>
      <c r="M1628" s="148" t="s">
        <v>82</v>
      </c>
      <c r="N1628" s="148">
        <v>8</v>
      </c>
      <c r="O1628" s="148" t="s">
        <v>101</v>
      </c>
      <c r="P1628" s="148" t="s">
        <v>146</v>
      </c>
    </row>
    <row r="1629" spans="1:25" ht="15.75" hidden="1" customHeight="1" x14ac:dyDescent="0.25">
      <c r="A1629" s="148" t="s">
        <v>76</v>
      </c>
      <c r="B1629" s="148" t="s">
        <v>77</v>
      </c>
      <c r="C1629" s="148" t="s">
        <v>55</v>
      </c>
      <c r="D1629" s="148" t="s">
        <v>78</v>
      </c>
      <c r="E1629" s="148" t="s">
        <v>30</v>
      </c>
      <c r="F1629" s="148" t="s">
        <v>41</v>
      </c>
      <c r="G1629" s="148" t="s">
        <v>79</v>
      </c>
      <c r="H1629" s="148">
        <v>2012</v>
      </c>
      <c r="I1629" s="148">
        <v>5</v>
      </c>
      <c r="J1629" s="148" t="s">
        <v>80</v>
      </c>
      <c r="K1629" s="148" t="s">
        <v>455</v>
      </c>
      <c r="M1629" s="148" t="s">
        <v>132</v>
      </c>
      <c r="N1629" s="148">
        <v>8</v>
      </c>
      <c r="O1629" s="148" t="s">
        <v>83</v>
      </c>
      <c r="P1629" s="148" t="s">
        <v>1015</v>
      </c>
      <c r="Y1629" s="150" t="s">
        <v>1016</v>
      </c>
    </row>
    <row r="1630" spans="1:25" ht="15.75" hidden="1" customHeight="1" x14ac:dyDescent="0.25">
      <c r="A1630" s="148" t="s">
        <v>76</v>
      </c>
      <c r="B1630" s="148" t="s">
        <v>27</v>
      </c>
      <c r="C1630" s="148" t="s">
        <v>28</v>
      </c>
      <c r="D1630" s="148" t="s">
        <v>158</v>
      </c>
      <c r="E1630" s="148" t="s">
        <v>30</v>
      </c>
      <c r="F1630" s="148" t="s">
        <v>3183</v>
      </c>
      <c r="G1630" s="148" t="s">
        <v>43</v>
      </c>
      <c r="H1630" s="148">
        <v>2012</v>
      </c>
      <c r="I1630" s="148">
        <v>5</v>
      </c>
      <c r="J1630" s="148" t="s">
        <v>118</v>
      </c>
      <c r="K1630" s="148" t="s">
        <v>327</v>
      </c>
      <c r="M1630" s="148" t="s">
        <v>82</v>
      </c>
      <c r="N1630" s="148">
        <v>8</v>
      </c>
      <c r="O1630" s="148" t="s">
        <v>101</v>
      </c>
      <c r="P1630" s="148" t="s">
        <v>206</v>
      </c>
    </row>
    <row r="1631" spans="1:25" ht="15.75" hidden="1" customHeight="1" x14ac:dyDescent="0.25">
      <c r="A1631" s="148" t="s">
        <v>76</v>
      </c>
      <c r="B1631" s="148" t="s">
        <v>77</v>
      </c>
      <c r="C1631" s="148" t="s">
        <v>55</v>
      </c>
      <c r="D1631" s="148" t="s">
        <v>29</v>
      </c>
      <c r="E1631" s="148" t="s">
        <v>30</v>
      </c>
      <c r="F1631" s="148" t="s">
        <v>41</v>
      </c>
      <c r="G1631" s="148" t="s">
        <v>275</v>
      </c>
      <c r="H1631" s="148">
        <v>2012</v>
      </c>
      <c r="I1631" s="148">
        <v>5</v>
      </c>
      <c r="J1631" s="148" t="s">
        <v>150</v>
      </c>
      <c r="K1631" s="148" t="s">
        <v>455</v>
      </c>
      <c r="M1631" s="148" t="s">
        <v>132</v>
      </c>
      <c r="N1631" s="148">
        <v>8</v>
      </c>
      <c r="O1631" s="148" t="s">
        <v>83</v>
      </c>
    </row>
    <row r="1632" spans="1:25" ht="15.75" hidden="1" customHeight="1" x14ac:dyDescent="0.25">
      <c r="A1632" s="148" t="s">
        <v>307</v>
      </c>
      <c r="B1632" s="148" t="s">
        <v>36</v>
      </c>
      <c r="C1632" s="148" t="s">
        <v>28</v>
      </c>
      <c r="D1632" s="148" t="s">
        <v>342</v>
      </c>
      <c r="E1632" s="148" t="s">
        <v>51</v>
      </c>
      <c r="F1632" s="148" t="s">
        <v>3183</v>
      </c>
      <c r="G1632" s="148" t="s">
        <v>52</v>
      </c>
      <c r="H1632" s="148">
        <v>2012</v>
      </c>
      <c r="I1632" s="148">
        <v>5</v>
      </c>
      <c r="J1632" s="148" t="s">
        <v>308</v>
      </c>
      <c r="Q1632" s="148" t="s">
        <v>866</v>
      </c>
      <c r="R1632" s="148" t="s">
        <v>1017</v>
      </c>
      <c r="S1632" s="148" t="s">
        <v>427</v>
      </c>
      <c r="T1632" s="148" t="s">
        <v>912</v>
      </c>
    </row>
    <row r="1633" spans="1:25" ht="15.75" hidden="1" customHeight="1" x14ac:dyDescent="0.25">
      <c r="A1633" s="148" t="s">
        <v>76</v>
      </c>
      <c r="B1633" s="148" t="s">
        <v>77</v>
      </c>
      <c r="C1633" s="148" t="s">
        <v>55</v>
      </c>
      <c r="D1633" s="148" t="s">
        <v>29</v>
      </c>
      <c r="E1633" s="148" t="s">
        <v>30</v>
      </c>
      <c r="F1633" s="148" t="s">
        <v>41</v>
      </c>
      <c r="G1633" s="148" t="s">
        <v>252</v>
      </c>
      <c r="H1633" s="148">
        <v>2012</v>
      </c>
      <c r="I1633" s="148">
        <v>5</v>
      </c>
      <c r="J1633" s="148" t="s">
        <v>150</v>
      </c>
      <c r="K1633" s="148" t="s">
        <v>455</v>
      </c>
      <c r="M1633" s="148" t="s">
        <v>132</v>
      </c>
      <c r="N1633" s="148">
        <v>8</v>
      </c>
      <c r="O1633" s="148" t="s">
        <v>83</v>
      </c>
    </row>
    <row r="1634" spans="1:25" ht="13.5" hidden="1" customHeight="1" x14ac:dyDescent="0.25">
      <c r="A1634" s="148" t="s">
        <v>76</v>
      </c>
      <c r="B1634" s="148" t="s">
        <v>44</v>
      </c>
      <c r="C1634" s="148" t="s">
        <v>45</v>
      </c>
      <c r="D1634" s="148" t="s">
        <v>29</v>
      </c>
      <c r="E1634" s="148" t="s">
        <v>46</v>
      </c>
      <c r="F1634" s="148" t="s">
        <v>47</v>
      </c>
      <c r="G1634" s="148" t="s">
        <v>48</v>
      </c>
      <c r="H1634" s="148">
        <v>2012</v>
      </c>
      <c r="I1634" s="148">
        <v>5</v>
      </c>
      <c r="J1634" s="148" t="s">
        <v>150</v>
      </c>
      <c r="K1634" s="148" t="s">
        <v>327</v>
      </c>
      <c r="M1634" s="148" t="s">
        <v>82</v>
      </c>
      <c r="N1634" s="148">
        <v>8</v>
      </c>
      <c r="O1634" s="148" t="s">
        <v>83</v>
      </c>
      <c r="Y1634" s="150" t="s">
        <v>1018</v>
      </c>
    </row>
    <row r="1635" spans="1:25" ht="15.75" hidden="1" customHeight="1" x14ac:dyDescent="0.25">
      <c r="A1635" s="148" t="s">
        <v>76</v>
      </c>
      <c r="B1635" s="148" t="s">
        <v>77</v>
      </c>
      <c r="C1635" s="148" t="s">
        <v>55</v>
      </c>
      <c r="D1635" s="148" t="s">
        <v>99</v>
      </c>
      <c r="E1635" s="148" t="s">
        <v>30</v>
      </c>
      <c r="F1635" s="148" t="s">
        <v>41</v>
      </c>
      <c r="G1635" s="148" t="s">
        <v>363</v>
      </c>
      <c r="H1635" s="148">
        <v>2012</v>
      </c>
      <c r="I1635" s="148">
        <v>5</v>
      </c>
      <c r="J1635" s="148" t="s">
        <v>150</v>
      </c>
      <c r="K1635" s="148" t="s">
        <v>455</v>
      </c>
      <c r="M1635" s="148" t="s">
        <v>132</v>
      </c>
      <c r="N1635" s="148">
        <v>8</v>
      </c>
      <c r="O1635" s="148" t="s">
        <v>83</v>
      </c>
    </row>
    <row r="1636" spans="1:25" ht="15.75" hidden="1" customHeight="1" x14ac:dyDescent="0.25">
      <c r="A1636" s="148" t="s">
        <v>76</v>
      </c>
      <c r="B1636" s="148" t="s">
        <v>89</v>
      </c>
      <c r="C1636" s="148" t="s">
        <v>90</v>
      </c>
      <c r="D1636" s="148" t="s">
        <v>29</v>
      </c>
      <c r="E1636" s="148" t="s">
        <v>30</v>
      </c>
      <c r="F1636" s="148" t="s">
        <v>91</v>
      </c>
      <c r="G1636" s="148" t="s">
        <v>280</v>
      </c>
      <c r="H1636" s="148">
        <v>2012</v>
      </c>
      <c r="I1636" s="148">
        <v>5</v>
      </c>
      <c r="J1636" s="148" t="s">
        <v>150</v>
      </c>
      <c r="K1636" s="148" t="s">
        <v>763</v>
      </c>
      <c r="M1636" s="148" t="s">
        <v>501</v>
      </c>
      <c r="N1636" s="148">
        <v>6</v>
      </c>
      <c r="O1636" s="148" t="s">
        <v>83</v>
      </c>
    </row>
    <row r="1637" spans="1:25" ht="15.75" hidden="1" customHeight="1" x14ac:dyDescent="0.25">
      <c r="A1637" s="148" t="s">
        <v>76</v>
      </c>
      <c r="B1637" s="148" t="s">
        <v>198</v>
      </c>
      <c r="C1637" s="148" t="s">
        <v>45</v>
      </c>
      <c r="D1637" s="148" t="s">
        <v>99</v>
      </c>
      <c r="E1637" s="148" t="s">
        <v>40</v>
      </c>
      <c r="F1637" s="148" t="s">
        <v>199</v>
      </c>
      <c r="G1637" s="148" t="s">
        <v>282</v>
      </c>
      <c r="H1637" s="148">
        <v>2012</v>
      </c>
      <c r="I1637" s="148">
        <v>6</v>
      </c>
      <c r="J1637" s="148" t="s">
        <v>118</v>
      </c>
      <c r="K1637" s="148" t="s">
        <v>379</v>
      </c>
      <c r="M1637" s="148" t="s">
        <v>126</v>
      </c>
      <c r="N1637" s="148">
        <v>10</v>
      </c>
      <c r="O1637" s="148" t="s">
        <v>101</v>
      </c>
      <c r="P1637" s="148" t="s">
        <v>146</v>
      </c>
    </row>
    <row r="1638" spans="1:25" ht="15.75" hidden="1" customHeight="1" x14ac:dyDescent="0.25">
      <c r="A1638" s="148" t="s">
        <v>76</v>
      </c>
      <c r="B1638" s="148" t="s">
        <v>36</v>
      </c>
      <c r="C1638" s="148" t="s">
        <v>28</v>
      </c>
      <c r="D1638" s="148" t="s">
        <v>29</v>
      </c>
      <c r="E1638" s="148" t="s">
        <v>30</v>
      </c>
      <c r="F1638" s="148" t="s">
        <v>3183</v>
      </c>
      <c r="G1638" s="148" t="s">
        <v>722</v>
      </c>
      <c r="H1638" s="148">
        <v>2012</v>
      </c>
      <c r="I1638" s="148">
        <v>6</v>
      </c>
      <c r="J1638" s="148" t="s">
        <v>80</v>
      </c>
      <c r="K1638" s="148" t="s">
        <v>1019</v>
      </c>
      <c r="M1638" s="148" t="s">
        <v>1020</v>
      </c>
      <c r="N1638" s="148">
        <v>6</v>
      </c>
      <c r="O1638" s="148" t="s">
        <v>83</v>
      </c>
      <c r="P1638" s="148" t="s">
        <v>1021</v>
      </c>
    </row>
    <row r="1639" spans="1:25" ht="15.75" hidden="1" customHeight="1" x14ac:dyDescent="0.25">
      <c r="A1639" s="148" t="s">
        <v>76</v>
      </c>
      <c r="B1639" s="148" t="s">
        <v>36</v>
      </c>
      <c r="C1639" s="148" t="s">
        <v>28</v>
      </c>
      <c r="D1639" s="148" t="s">
        <v>99</v>
      </c>
      <c r="E1639" s="148" t="s">
        <v>30</v>
      </c>
      <c r="F1639" s="148" t="s">
        <v>3183</v>
      </c>
      <c r="G1639" s="148" t="s">
        <v>59</v>
      </c>
      <c r="H1639" s="148">
        <v>2012</v>
      </c>
      <c r="I1639" s="148">
        <v>6</v>
      </c>
      <c r="J1639" s="148" t="s">
        <v>150</v>
      </c>
      <c r="K1639" s="148" t="s">
        <v>610</v>
      </c>
      <c r="M1639" s="148" t="s">
        <v>611</v>
      </c>
      <c r="N1639" s="148">
        <v>8</v>
      </c>
      <c r="O1639" s="148" t="s">
        <v>83</v>
      </c>
      <c r="P1639" s="148" t="s">
        <v>146</v>
      </c>
    </row>
    <row r="1640" spans="1:25" ht="15.75" hidden="1" customHeight="1" x14ac:dyDescent="0.25">
      <c r="A1640" s="148" t="s">
        <v>26</v>
      </c>
      <c r="B1640" s="148" t="s">
        <v>116</v>
      </c>
      <c r="C1640" s="148" t="s">
        <v>90</v>
      </c>
      <c r="D1640" s="148" t="s">
        <v>29</v>
      </c>
      <c r="E1640" s="148" t="s">
        <v>30</v>
      </c>
      <c r="F1640" s="148" t="s">
        <v>41</v>
      </c>
      <c r="G1640" s="148" t="s">
        <v>756</v>
      </c>
      <c r="H1640" s="148">
        <v>2012</v>
      </c>
      <c r="I1640" s="148">
        <v>6</v>
      </c>
      <c r="J1640" s="148" t="s">
        <v>792</v>
      </c>
      <c r="U1640" s="149" t="s">
        <v>3629</v>
      </c>
      <c r="V1640" s="148" t="s">
        <v>1010</v>
      </c>
      <c r="W1640" s="148" t="s">
        <v>49</v>
      </c>
      <c r="X1640" s="148" t="s">
        <v>1011</v>
      </c>
    </row>
    <row r="1641" spans="1:25" ht="13.5" hidden="1" customHeight="1" x14ac:dyDescent="0.25">
      <c r="A1641" s="148" t="s">
        <v>307</v>
      </c>
      <c r="B1641" s="148" t="s">
        <v>77</v>
      </c>
      <c r="C1641" s="148" t="s">
        <v>55</v>
      </c>
      <c r="D1641" s="148" t="s">
        <v>78</v>
      </c>
      <c r="E1641" s="148" t="s">
        <v>30</v>
      </c>
      <c r="F1641" s="148" t="s">
        <v>41</v>
      </c>
      <c r="G1641" s="148" t="s">
        <v>79</v>
      </c>
      <c r="H1641" s="148">
        <v>2012</v>
      </c>
      <c r="I1641" s="148">
        <v>6</v>
      </c>
      <c r="J1641" s="148" t="s">
        <v>399</v>
      </c>
      <c r="Q1641" s="148" t="s">
        <v>594</v>
      </c>
      <c r="R1641" s="148" t="s">
        <v>1022</v>
      </c>
      <c r="S1641" s="148" t="s">
        <v>596</v>
      </c>
      <c r="T1641" s="148" t="s">
        <v>1023</v>
      </c>
      <c r="Y1641" s="150" t="s">
        <v>1024</v>
      </c>
    </row>
    <row r="1642" spans="1:25" ht="15.75" customHeight="1" x14ac:dyDescent="0.25">
      <c r="A1642" s="148" t="s">
        <v>76</v>
      </c>
      <c r="B1642" s="148" t="s">
        <v>36</v>
      </c>
      <c r="C1642" s="148" t="s">
        <v>28</v>
      </c>
      <c r="D1642" s="148" t="s">
        <v>29</v>
      </c>
      <c r="E1642" s="148" t="s">
        <v>30</v>
      </c>
      <c r="F1642" s="148" t="s">
        <v>3183</v>
      </c>
      <c r="G1642" s="148" t="s">
        <v>194</v>
      </c>
      <c r="H1642" s="148">
        <v>2012</v>
      </c>
      <c r="I1642" s="148">
        <v>6</v>
      </c>
      <c r="J1642" s="148" t="s">
        <v>118</v>
      </c>
      <c r="K1642" s="148" t="s">
        <v>388</v>
      </c>
      <c r="M1642" s="148" t="s">
        <v>126</v>
      </c>
      <c r="N1642" s="148">
        <v>10</v>
      </c>
      <c r="O1642" s="148" t="s">
        <v>101</v>
      </c>
      <c r="P1642" s="148" t="s">
        <v>146</v>
      </c>
    </row>
    <row r="1643" spans="1:25" ht="15.75" hidden="1" customHeight="1" x14ac:dyDescent="0.25">
      <c r="A1643" s="148" t="s">
        <v>76</v>
      </c>
      <c r="B1643" s="148" t="s">
        <v>62</v>
      </c>
      <c r="C1643" s="148" t="s">
        <v>28</v>
      </c>
      <c r="D1643" s="148" t="s">
        <v>86</v>
      </c>
      <c r="E1643" s="148" t="s">
        <v>51</v>
      </c>
      <c r="F1643" s="148" t="s">
        <v>3183</v>
      </c>
      <c r="G1643" s="148" t="s">
        <v>130</v>
      </c>
      <c r="H1643" s="148">
        <v>2012</v>
      </c>
      <c r="I1643" s="148">
        <v>6</v>
      </c>
      <c r="J1643" s="148" t="s">
        <v>118</v>
      </c>
      <c r="K1643" s="148" t="s">
        <v>327</v>
      </c>
      <c r="M1643" s="148" t="s">
        <v>82</v>
      </c>
      <c r="N1643" s="148">
        <v>8</v>
      </c>
      <c r="O1643" s="148" t="s">
        <v>101</v>
      </c>
    </row>
    <row r="1644" spans="1:25" ht="15.75" hidden="1" customHeight="1" x14ac:dyDescent="0.25">
      <c r="A1644" s="148" t="s">
        <v>76</v>
      </c>
      <c r="B1644" s="148" t="s">
        <v>36</v>
      </c>
      <c r="C1644" s="148" t="s">
        <v>28</v>
      </c>
      <c r="D1644" s="148" t="s">
        <v>342</v>
      </c>
      <c r="E1644" s="148" t="s">
        <v>51</v>
      </c>
      <c r="F1644" s="148" t="s">
        <v>3183</v>
      </c>
      <c r="G1644" s="148" t="s">
        <v>52</v>
      </c>
      <c r="H1644" s="148">
        <v>2012</v>
      </c>
      <c r="I1644" s="148">
        <v>6</v>
      </c>
      <c r="J1644" s="148" t="s">
        <v>150</v>
      </c>
      <c r="K1644" s="148" t="s">
        <v>610</v>
      </c>
      <c r="M1644" s="148" t="s">
        <v>611</v>
      </c>
      <c r="N1644" s="148">
        <v>8</v>
      </c>
      <c r="O1644" s="148" t="s">
        <v>83</v>
      </c>
      <c r="P1644" s="148" t="s">
        <v>146</v>
      </c>
    </row>
    <row r="1645" spans="1:25" ht="13.5" hidden="1" customHeight="1" x14ac:dyDescent="0.25">
      <c r="A1645" s="148" t="s">
        <v>76</v>
      </c>
      <c r="B1645" s="148" t="s">
        <v>44</v>
      </c>
      <c r="C1645" s="148" t="s">
        <v>45</v>
      </c>
      <c r="D1645" s="148" t="s">
        <v>29</v>
      </c>
      <c r="E1645" s="148" t="s">
        <v>46</v>
      </c>
      <c r="F1645" s="148" t="s">
        <v>47</v>
      </c>
      <c r="G1645" s="148" t="s">
        <v>48</v>
      </c>
      <c r="H1645" s="148">
        <v>2012</v>
      </c>
      <c r="I1645" s="148">
        <v>6</v>
      </c>
      <c r="J1645" s="148" t="s">
        <v>118</v>
      </c>
      <c r="K1645" s="148" t="s">
        <v>327</v>
      </c>
      <c r="M1645" s="148" t="s">
        <v>82</v>
      </c>
      <c r="N1645" s="148">
        <v>8</v>
      </c>
      <c r="O1645" s="148" t="s">
        <v>101</v>
      </c>
      <c r="P1645" s="148" t="s">
        <v>1025</v>
      </c>
      <c r="Y1645" s="150" t="s">
        <v>1018</v>
      </c>
    </row>
    <row r="1646" spans="1:25" ht="13.5" hidden="1" customHeight="1" x14ac:dyDescent="0.25">
      <c r="A1646" s="148" t="s">
        <v>76</v>
      </c>
      <c r="B1646" s="148" t="s">
        <v>27</v>
      </c>
      <c r="C1646" s="148" t="s">
        <v>55</v>
      </c>
      <c r="D1646" s="148" t="s">
        <v>99</v>
      </c>
      <c r="E1646" s="148" t="s">
        <v>40</v>
      </c>
      <c r="F1646" s="148" t="s">
        <v>41</v>
      </c>
      <c r="G1646" s="148" t="s">
        <v>604</v>
      </c>
      <c r="H1646" s="148">
        <v>2012</v>
      </c>
      <c r="I1646" s="148">
        <v>7</v>
      </c>
      <c r="J1646" s="148" t="s">
        <v>118</v>
      </c>
      <c r="K1646" s="148" t="s">
        <v>379</v>
      </c>
      <c r="M1646" s="148" t="s">
        <v>126</v>
      </c>
      <c r="N1646" s="148">
        <v>10</v>
      </c>
      <c r="O1646" s="148" t="s">
        <v>101</v>
      </c>
      <c r="P1646" s="148" t="s">
        <v>146</v>
      </c>
    </row>
    <row r="1647" spans="1:25" ht="15.75" hidden="1" customHeight="1" x14ac:dyDescent="0.25">
      <c r="A1647" s="148" t="s">
        <v>76</v>
      </c>
      <c r="B1647" s="148" t="s">
        <v>71</v>
      </c>
      <c r="C1647" s="148" t="s">
        <v>45</v>
      </c>
      <c r="D1647" s="148" t="s">
        <v>29</v>
      </c>
      <c r="E1647" s="148" t="s">
        <v>72</v>
      </c>
      <c r="F1647" s="148" t="s">
        <v>3183</v>
      </c>
      <c r="G1647" s="148" t="s">
        <v>73</v>
      </c>
      <c r="H1647" s="148">
        <v>2012</v>
      </c>
      <c r="I1647" s="148">
        <v>7</v>
      </c>
      <c r="J1647" s="148" t="s">
        <v>118</v>
      </c>
      <c r="K1647" s="148" t="s">
        <v>629</v>
      </c>
      <c r="M1647" s="148" t="s">
        <v>120</v>
      </c>
      <c r="N1647" s="148">
        <v>6</v>
      </c>
      <c r="O1647" s="148" t="s">
        <v>101</v>
      </c>
      <c r="P1647" s="148" t="s">
        <v>1026</v>
      </c>
    </row>
    <row r="1648" spans="1:25" ht="15.75" hidden="1" customHeight="1" x14ac:dyDescent="0.25">
      <c r="A1648" s="148" t="s">
        <v>76</v>
      </c>
      <c r="B1648" s="148" t="s">
        <v>103</v>
      </c>
      <c r="C1648" s="148" t="s">
        <v>55</v>
      </c>
      <c r="D1648" s="148" t="s">
        <v>158</v>
      </c>
      <c r="E1648" s="148" t="s">
        <v>30</v>
      </c>
      <c r="F1648" s="148" t="s">
        <v>56</v>
      </c>
      <c r="G1648" s="148" t="s">
        <v>1027</v>
      </c>
      <c r="H1648" s="148">
        <v>2012</v>
      </c>
      <c r="I1648" s="148">
        <v>7</v>
      </c>
      <c r="J1648" s="148" t="s">
        <v>118</v>
      </c>
      <c r="K1648" s="148" t="s">
        <v>327</v>
      </c>
      <c r="M1648" s="148" t="s">
        <v>82</v>
      </c>
      <c r="N1648" s="148">
        <v>8</v>
      </c>
      <c r="O1648" s="148" t="s">
        <v>101</v>
      </c>
      <c r="P1648" s="148" t="s">
        <v>1028</v>
      </c>
    </row>
    <row r="1649" spans="1:26" ht="15.75" hidden="1" customHeight="1" x14ac:dyDescent="0.25">
      <c r="A1649" s="148" t="s">
        <v>307</v>
      </c>
      <c r="B1649" s="148" t="s">
        <v>36</v>
      </c>
      <c r="C1649" s="148" t="s">
        <v>28</v>
      </c>
      <c r="D1649" s="148" t="s">
        <v>99</v>
      </c>
      <c r="E1649" s="148" t="s">
        <v>30</v>
      </c>
      <c r="F1649" s="148" t="s">
        <v>3183</v>
      </c>
      <c r="G1649" s="148" t="s">
        <v>59</v>
      </c>
      <c r="H1649" s="148">
        <v>2012</v>
      </c>
      <c r="I1649" s="148">
        <v>7</v>
      </c>
      <c r="J1649" s="148" t="s">
        <v>308</v>
      </c>
      <c r="Q1649" s="148" t="s">
        <v>309</v>
      </c>
      <c r="R1649" s="148" t="s">
        <v>1029</v>
      </c>
      <c r="S1649" s="148" t="s">
        <v>885</v>
      </c>
      <c r="T1649" s="148" t="s">
        <v>951</v>
      </c>
    </row>
    <row r="1650" spans="1:26" ht="15.75" hidden="1" customHeight="1" x14ac:dyDescent="0.25">
      <c r="A1650" s="148" t="s">
        <v>76</v>
      </c>
      <c r="B1650" s="148" t="s">
        <v>103</v>
      </c>
      <c r="C1650" s="148" t="s">
        <v>55</v>
      </c>
      <c r="D1650" s="148" t="s">
        <v>516</v>
      </c>
      <c r="E1650" s="148" t="s">
        <v>95</v>
      </c>
      <c r="F1650" s="148" t="s">
        <v>56</v>
      </c>
      <c r="G1650" s="148" t="s">
        <v>517</v>
      </c>
      <c r="H1650" s="148">
        <v>2012</v>
      </c>
      <c r="I1650" s="148">
        <v>7</v>
      </c>
      <c r="J1650" s="148" t="s">
        <v>150</v>
      </c>
      <c r="K1650" s="148" t="s">
        <v>388</v>
      </c>
      <c r="M1650" s="148" t="s">
        <v>126</v>
      </c>
      <c r="N1650" s="148">
        <v>10</v>
      </c>
      <c r="O1650" s="148" t="s">
        <v>83</v>
      </c>
    </row>
    <row r="1651" spans="1:26" ht="15.75" hidden="1" customHeight="1" x14ac:dyDescent="0.25">
      <c r="A1651" s="148" t="s">
        <v>26</v>
      </c>
      <c r="B1651" s="148" t="s">
        <v>116</v>
      </c>
      <c r="C1651" s="148" t="s">
        <v>90</v>
      </c>
      <c r="D1651" s="148" t="s">
        <v>29</v>
      </c>
      <c r="E1651" s="148" t="s">
        <v>30</v>
      </c>
      <c r="F1651" s="148" t="s">
        <v>41</v>
      </c>
      <c r="G1651" s="148" t="s">
        <v>784</v>
      </c>
      <c r="H1651" s="148">
        <v>2012</v>
      </c>
      <c r="I1651" s="148">
        <v>7</v>
      </c>
      <c r="J1651" s="148" t="s">
        <v>792</v>
      </c>
      <c r="U1651" s="149" t="s">
        <v>3629</v>
      </c>
      <c r="V1651" s="148" t="s">
        <v>1010</v>
      </c>
      <c r="W1651" s="148" t="s">
        <v>49</v>
      </c>
      <c r="X1651" s="148" t="s">
        <v>1011</v>
      </c>
    </row>
    <row r="1652" spans="1:26" ht="15.75" hidden="1" customHeight="1" x14ac:dyDescent="0.25">
      <c r="A1652" s="148" t="s">
        <v>26</v>
      </c>
      <c r="B1652" s="148" t="s">
        <v>116</v>
      </c>
      <c r="C1652" s="148" t="s">
        <v>90</v>
      </c>
      <c r="D1652" s="148" t="s">
        <v>29</v>
      </c>
      <c r="E1652" s="148" t="s">
        <v>30</v>
      </c>
      <c r="F1652" s="148" t="s">
        <v>41</v>
      </c>
      <c r="G1652" s="148" t="s">
        <v>784</v>
      </c>
      <c r="H1652" s="148">
        <v>2012</v>
      </c>
      <c r="I1652" s="148">
        <v>7</v>
      </c>
      <c r="J1652" s="148" t="s">
        <v>792</v>
      </c>
      <c r="U1652" s="149" t="s">
        <v>3629</v>
      </c>
      <c r="V1652" s="148" t="s">
        <v>1030</v>
      </c>
      <c r="W1652" s="148" t="s">
        <v>49</v>
      </c>
      <c r="X1652" s="148" t="s">
        <v>1031</v>
      </c>
    </row>
    <row r="1653" spans="1:26" ht="15.75" hidden="1" customHeight="1" x14ac:dyDescent="0.25">
      <c r="A1653" s="148" t="s">
        <v>76</v>
      </c>
      <c r="B1653" s="148" t="s">
        <v>103</v>
      </c>
      <c r="C1653" s="148" t="s">
        <v>55</v>
      </c>
      <c r="D1653" s="148" t="s">
        <v>490</v>
      </c>
      <c r="E1653" s="148" t="s">
        <v>95</v>
      </c>
      <c r="F1653" s="148" t="s">
        <v>56</v>
      </c>
      <c r="G1653" s="148" t="s">
        <v>168</v>
      </c>
      <c r="H1653" s="148">
        <v>2012</v>
      </c>
      <c r="I1653" s="148">
        <v>7</v>
      </c>
      <c r="J1653" s="148" t="s">
        <v>118</v>
      </c>
      <c r="K1653" s="148" t="s">
        <v>939</v>
      </c>
      <c r="M1653" s="148" t="s">
        <v>492</v>
      </c>
      <c r="N1653" s="148">
        <v>5</v>
      </c>
      <c r="O1653" s="148" t="s">
        <v>101</v>
      </c>
      <c r="P1653" s="148" t="s">
        <v>1032</v>
      </c>
    </row>
    <row r="1654" spans="1:26" ht="15.75" hidden="1" customHeight="1" x14ac:dyDescent="0.25">
      <c r="A1654" s="148" t="s">
        <v>76</v>
      </c>
      <c r="B1654" s="148" t="s">
        <v>89</v>
      </c>
      <c r="C1654" s="148" t="s">
        <v>90</v>
      </c>
      <c r="D1654" s="148" t="s">
        <v>478</v>
      </c>
      <c r="E1654" s="148" t="s">
        <v>30</v>
      </c>
      <c r="F1654" s="148" t="s">
        <v>91</v>
      </c>
      <c r="G1654" s="148" t="s">
        <v>92</v>
      </c>
      <c r="H1654" s="148">
        <v>2012</v>
      </c>
      <c r="I1654" s="148">
        <v>7</v>
      </c>
      <c r="J1654" s="148" t="s">
        <v>150</v>
      </c>
      <c r="K1654" s="148" t="s">
        <v>629</v>
      </c>
      <c r="M1654" s="148" t="s">
        <v>120</v>
      </c>
      <c r="N1654" s="148">
        <v>6</v>
      </c>
      <c r="O1654" s="148" t="s">
        <v>83</v>
      </c>
      <c r="P1654" s="148" t="s">
        <v>146</v>
      </c>
    </row>
    <row r="1655" spans="1:26" ht="15.75" hidden="1" customHeight="1" x14ac:dyDescent="0.25">
      <c r="A1655" s="148" t="s">
        <v>26</v>
      </c>
      <c r="B1655" s="148" t="s">
        <v>103</v>
      </c>
      <c r="C1655" s="148" t="s">
        <v>55</v>
      </c>
      <c r="D1655" s="148" t="s">
        <v>29</v>
      </c>
      <c r="E1655" s="148" t="s">
        <v>95</v>
      </c>
      <c r="F1655" s="148" t="s">
        <v>56</v>
      </c>
      <c r="G1655" s="148" t="s">
        <v>382</v>
      </c>
      <c r="H1655" s="148">
        <v>2012</v>
      </c>
      <c r="I1655" s="148">
        <v>8</v>
      </c>
      <c r="J1655" s="148" t="s">
        <v>33</v>
      </c>
      <c r="U1655" s="149" t="s">
        <v>3629</v>
      </c>
      <c r="V1655" s="148" t="s">
        <v>1010</v>
      </c>
      <c r="W1655" s="148" t="s">
        <v>49</v>
      </c>
      <c r="X1655" s="148" t="s">
        <v>1011</v>
      </c>
    </row>
    <row r="1656" spans="1:26" ht="15.75" hidden="1" customHeight="1" x14ac:dyDescent="0.25">
      <c r="A1656" s="148" t="s">
        <v>76</v>
      </c>
      <c r="B1656" s="148" t="s">
        <v>103</v>
      </c>
      <c r="C1656" s="148" t="s">
        <v>55</v>
      </c>
      <c r="D1656" s="148" t="s">
        <v>158</v>
      </c>
      <c r="E1656" s="148" t="s">
        <v>95</v>
      </c>
      <c r="F1656" s="148" t="s">
        <v>56</v>
      </c>
      <c r="G1656" s="148" t="s">
        <v>176</v>
      </c>
      <c r="H1656" s="148">
        <v>2012</v>
      </c>
      <c r="I1656" s="148">
        <v>8</v>
      </c>
      <c r="J1656" s="148" t="s">
        <v>118</v>
      </c>
      <c r="K1656" s="148" t="s">
        <v>388</v>
      </c>
      <c r="M1656" s="148" t="s">
        <v>126</v>
      </c>
      <c r="N1656" s="148">
        <v>10</v>
      </c>
      <c r="O1656" s="148" t="s">
        <v>101</v>
      </c>
      <c r="P1656" s="148" t="s">
        <v>146</v>
      </c>
    </row>
    <row r="1657" spans="1:26" ht="15.75" hidden="1" customHeight="1" x14ac:dyDescent="0.25">
      <c r="A1657" s="148" t="s">
        <v>26</v>
      </c>
      <c r="B1657" s="148" t="s">
        <v>116</v>
      </c>
      <c r="C1657" s="148" t="s">
        <v>90</v>
      </c>
      <c r="D1657" s="148" t="s">
        <v>29</v>
      </c>
      <c r="E1657" s="148" t="s">
        <v>30</v>
      </c>
      <c r="F1657" s="148" t="s">
        <v>41</v>
      </c>
      <c r="G1657" s="148" t="s">
        <v>564</v>
      </c>
      <c r="H1657" s="148">
        <v>2012</v>
      </c>
      <c r="I1657" s="148">
        <v>8</v>
      </c>
      <c r="J1657" s="148" t="s">
        <v>792</v>
      </c>
      <c r="U1657" s="149" t="s">
        <v>3629</v>
      </c>
      <c r="V1657" s="148" t="s">
        <v>1030</v>
      </c>
      <c r="W1657" s="148" t="s">
        <v>49</v>
      </c>
      <c r="X1657" s="148" t="s">
        <v>1033</v>
      </c>
    </row>
    <row r="1658" spans="1:26" ht="15.75" hidden="1" customHeight="1" x14ac:dyDescent="0.25">
      <c r="A1658" s="148" t="s">
        <v>26</v>
      </c>
      <c r="B1658" s="148" t="s">
        <v>116</v>
      </c>
      <c r="C1658" s="148" t="s">
        <v>90</v>
      </c>
      <c r="D1658" s="148" t="s">
        <v>29</v>
      </c>
      <c r="E1658" s="148" t="s">
        <v>40</v>
      </c>
      <c r="F1658" s="148" t="s">
        <v>41</v>
      </c>
      <c r="G1658" s="148" t="s">
        <v>469</v>
      </c>
      <c r="H1658" s="148">
        <v>2012</v>
      </c>
      <c r="I1658" s="148">
        <v>8</v>
      </c>
      <c r="J1658" s="148" t="s">
        <v>33</v>
      </c>
      <c r="U1658" s="149" t="s">
        <v>3629</v>
      </c>
      <c r="V1658" s="148" t="s">
        <v>1010</v>
      </c>
      <c r="W1658" s="148" t="s">
        <v>49</v>
      </c>
      <c r="X1658" s="148" t="s">
        <v>1011</v>
      </c>
    </row>
    <row r="1659" spans="1:26" ht="15.75" hidden="1" customHeight="1" x14ac:dyDescent="0.25">
      <c r="A1659" s="148" t="s">
        <v>26</v>
      </c>
      <c r="B1659" s="148" t="s">
        <v>103</v>
      </c>
      <c r="C1659" s="148" t="s">
        <v>55</v>
      </c>
      <c r="D1659" s="148" t="s">
        <v>490</v>
      </c>
      <c r="E1659" s="148" t="s">
        <v>95</v>
      </c>
      <c r="F1659" s="148" t="s">
        <v>56</v>
      </c>
      <c r="G1659" s="148" t="s">
        <v>168</v>
      </c>
      <c r="H1659" s="148">
        <v>2012</v>
      </c>
      <c r="I1659" s="148">
        <v>8</v>
      </c>
      <c r="J1659" s="148" t="s">
        <v>33</v>
      </c>
      <c r="U1659" s="149" t="s">
        <v>3629</v>
      </c>
      <c r="V1659" s="148" t="s">
        <v>1010</v>
      </c>
      <c r="W1659" s="148" t="s">
        <v>49</v>
      </c>
      <c r="X1659" s="148" t="s">
        <v>1011</v>
      </c>
    </row>
    <row r="1660" spans="1:26" ht="15.75" hidden="1" customHeight="1" x14ac:dyDescent="0.25">
      <c r="A1660" s="148" t="s">
        <v>26</v>
      </c>
      <c r="B1660" s="148" t="s">
        <v>103</v>
      </c>
      <c r="C1660" s="148" t="s">
        <v>55</v>
      </c>
      <c r="D1660" s="148" t="s">
        <v>86</v>
      </c>
      <c r="E1660" s="148" t="s">
        <v>95</v>
      </c>
      <c r="F1660" s="148" t="s">
        <v>56</v>
      </c>
      <c r="G1660" s="148" t="s">
        <v>186</v>
      </c>
      <c r="H1660" s="148">
        <v>2012</v>
      </c>
      <c r="I1660" s="148">
        <v>8</v>
      </c>
      <c r="J1660" s="148" t="s">
        <v>33</v>
      </c>
      <c r="U1660" s="149" t="s">
        <v>3629</v>
      </c>
      <c r="V1660" s="148" t="s">
        <v>1010</v>
      </c>
      <c r="W1660" s="148" t="s">
        <v>49</v>
      </c>
      <c r="X1660" s="148" t="s">
        <v>1011</v>
      </c>
    </row>
    <row r="1661" spans="1:26" ht="15.75" hidden="1" customHeight="1" x14ac:dyDescent="0.25">
      <c r="A1661" s="148" t="s">
        <v>26</v>
      </c>
      <c r="B1661" s="148" t="s">
        <v>103</v>
      </c>
      <c r="C1661" s="148" t="s">
        <v>55</v>
      </c>
      <c r="D1661" s="148" t="s">
        <v>86</v>
      </c>
      <c r="E1661" s="148" t="s">
        <v>30</v>
      </c>
      <c r="F1661" s="148" t="s">
        <v>56</v>
      </c>
      <c r="G1661" s="148" t="s">
        <v>137</v>
      </c>
      <c r="H1661" s="148">
        <v>2012</v>
      </c>
      <c r="I1661" s="148">
        <v>8</v>
      </c>
      <c r="J1661" s="148" t="s">
        <v>33</v>
      </c>
      <c r="U1661" s="149" t="s">
        <v>3629</v>
      </c>
      <c r="V1661" s="148" t="s">
        <v>1010</v>
      </c>
      <c r="W1661" s="148" t="s">
        <v>49</v>
      </c>
      <c r="X1661" s="148" t="s">
        <v>1011</v>
      </c>
    </row>
    <row r="1662" spans="1:26" ht="15.75" hidden="1" customHeight="1" x14ac:dyDescent="0.25">
      <c r="A1662" s="148" t="s">
        <v>76</v>
      </c>
      <c r="B1662" s="148" t="s">
        <v>44</v>
      </c>
      <c r="C1662" s="148" t="s">
        <v>45</v>
      </c>
      <c r="D1662" s="148" t="s">
        <v>29</v>
      </c>
      <c r="E1662" s="148" t="s">
        <v>46</v>
      </c>
      <c r="F1662" s="148" t="s">
        <v>47</v>
      </c>
      <c r="G1662" s="148" t="s">
        <v>48</v>
      </c>
      <c r="H1662" s="148">
        <v>2012</v>
      </c>
      <c r="I1662" s="148">
        <v>8</v>
      </c>
      <c r="J1662" s="148" t="s">
        <v>150</v>
      </c>
      <c r="K1662" s="148" t="s">
        <v>1034</v>
      </c>
      <c r="M1662" s="148" t="s">
        <v>120</v>
      </c>
      <c r="N1662" s="148">
        <v>6</v>
      </c>
      <c r="O1662" s="148" t="s">
        <v>83</v>
      </c>
      <c r="P1662" s="148" t="s">
        <v>543</v>
      </c>
      <c r="X1662" s="148" t="s">
        <v>543</v>
      </c>
      <c r="Y1662" s="150" t="s">
        <v>1018</v>
      </c>
      <c r="Z1662" s="148" t="s">
        <v>1035</v>
      </c>
    </row>
    <row r="1663" spans="1:26" ht="15.75" hidden="1" customHeight="1" x14ac:dyDescent="0.25">
      <c r="A1663" s="148" t="s">
        <v>76</v>
      </c>
      <c r="B1663" s="148" t="s">
        <v>198</v>
      </c>
      <c r="C1663" s="148" t="s">
        <v>45</v>
      </c>
      <c r="D1663" s="148" t="s">
        <v>99</v>
      </c>
      <c r="E1663" s="148" t="s">
        <v>30</v>
      </c>
      <c r="F1663" s="148" t="s">
        <v>199</v>
      </c>
      <c r="G1663" s="148" t="s">
        <v>296</v>
      </c>
      <c r="H1663" s="148">
        <v>2012</v>
      </c>
      <c r="I1663" s="148">
        <v>9</v>
      </c>
      <c r="J1663" s="148" t="s">
        <v>118</v>
      </c>
      <c r="K1663" s="148" t="s">
        <v>579</v>
      </c>
      <c r="M1663" s="148" t="s">
        <v>554</v>
      </c>
      <c r="N1663" s="148">
        <v>8</v>
      </c>
      <c r="O1663" s="148" t="s">
        <v>101</v>
      </c>
      <c r="P1663" s="148" t="s">
        <v>537</v>
      </c>
    </row>
    <row r="1664" spans="1:26" ht="13.5" hidden="1" customHeight="1" x14ac:dyDescent="0.25">
      <c r="A1664" s="148" t="s">
        <v>76</v>
      </c>
      <c r="B1664" s="148" t="s">
        <v>27</v>
      </c>
      <c r="C1664" s="148" t="s">
        <v>28</v>
      </c>
      <c r="D1664" s="148" t="s">
        <v>566</v>
      </c>
      <c r="E1664" s="148" t="s">
        <v>30</v>
      </c>
      <c r="F1664" s="148" t="s">
        <v>3183</v>
      </c>
      <c r="G1664" s="148" t="s">
        <v>53</v>
      </c>
      <c r="H1664" s="148">
        <v>2012</v>
      </c>
      <c r="I1664" s="148">
        <v>9</v>
      </c>
      <c r="J1664" s="148" t="s">
        <v>150</v>
      </c>
      <c r="K1664" s="148" t="s">
        <v>327</v>
      </c>
      <c r="M1664" s="148" t="s">
        <v>82</v>
      </c>
      <c r="N1664" s="148">
        <v>8</v>
      </c>
      <c r="O1664" s="148" t="s">
        <v>83</v>
      </c>
    </row>
    <row r="1665" spans="1:26" ht="15.75" hidden="1" customHeight="1" x14ac:dyDescent="0.25">
      <c r="A1665" s="148" t="s">
        <v>76</v>
      </c>
      <c r="B1665" s="148" t="s">
        <v>36</v>
      </c>
      <c r="C1665" s="148" t="s">
        <v>28</v>
      </c>
      <c r="D1665" s="148" t="s">
        <v>342</v>
      </c>
      <c r="E1665" s="148" t="s">
        <v>30</v>
      </c>
      <c r="F1665" s="148" t="s">
        <v>3183</v>
      </c>
      <c r="G1665" s="148" t="s">
        <v>242</v>
      </c>
      <c r="H1665" s="148">
        <v>2012</v>
      </c>
      <c r="I1665" s="148">
        <v>9</v>
      </c>
      <c r="J1665" s="148" t="s">
        <v>150</v>
      </c>
      <c r="K1665" s="148" t="s">
        <v>327</v>
      </c>
      <c r="M1665" s="148" t="s">
        <v>82</v>
      </c>
      <c r="N1665" s="148">
        <v>8</v>
      </c>
      <c r="O1665" s="148" t="s">
        <v>83</v>
      </c>
    </row>
    <row r="1666" spans="1:26" ht="15.75" hidden="1" customHeight="1" x14ac:dyDescent="0.25">
      <c r="A1666" s="148" t="s">
        <v>76</v>
      </c>
      <c r="B1666" s="148" t="s">
        <v>36</v>
      </c>
      <c r="C1666" s="148" t="s">
        <v>28</v>
      </c>
      <c r="D1666" s="148" t="s">
        <v>86</v>
      </c>
      <c r="E1666" s="148" t="s">
        <v>30</v>
      </c>
      <c r="F1666" s="148" t="s">
        <v>3183</v>
      </c>
      <c r="G1666" s="148" t="s">
        <v>67</v>
      </c>
      <c r="H1666" s="148">
        <v>2012</v>
      </c>
      <c r="I1666" s="148">
        <v>9</v>
      </c>
      <c r="J1666" s="148" t="s">
        <v>150</v>
      </c>
      <c r="K1666" s="148" t="s">
        <v>629</v>
      </c>
      <c r="M1666" s="148" t="s">
        <v>120</v>
      </c>
      <c r="N1666" s="148">
        <v>6</v>
      </c>
      <c r="O1666" s="148" t="s">
        <v>83</v>
      </c>
      <c r="P1666" s="148" t="s">
        <v>1036</v>
      </c>
    </row>
    <row r="1667" spans="1:26" ht="13.5" hidden="1" customHeight="1" x14ac:dyDescent="0.25">
      <c r="A1667" s="148" t="s">
        <v>76</v>
      </c>
      <c r="B1667" s="148" t="s">
        <v>36</v>
      </c>
      <c r="C1667" s="148" t="s">
        <v>28</v>
      </c>
      <c r="D1667" s="148" t="s">
        <v>342</v>
      </c>
      <c r="E1667" s="148" t="s">
        <v>30</v>
      </c>
      <c r="F1667" s="148" t="s">
        <v>3183</v>
      </c>
      <c r="G1667" s="148" t="s">
        <v>37</v>
      </c>
      <c r="H1667" s="148">
        <v>2012</v>
      </c>
      <c r="I1667" s="148">
        <v>9</v>
      </c>
      <c r="J1667" s="148" t="s">
        <v>150</v>
      </c>
      <c r="K1667" s="148" t="s">
        <v>629</v>
      </c>
      <c r="M1667" s="148" t="s">
        <v>120</v>
      </c>
      <c r="N1667" s="148">
        <v>6</v>
      </c>
      <c r="O1667" s="148" t="s">
        <v>83</v>
      </c>
      <c r="P1667" s="148" t="s">
        <v>1037</v>
      </c>
    </row>
    <row r="1668" spans="1:26" ht="15.75" hidden="1" customHeight="1" x14ac:dyDescent="0.25">
      <c r="A1668" s="148" t="s">
        <v>76</v>
      </c>
      <c r="B1668" s="148" t="s">
        <v>27</v>
      </c>
      <c r="C1668" s="148" t="s">
        <v>28</v>
      </c>
      <c r="D1668" s="148" t="s">
        <v>99</v>
      </c>
      <c r="E1668" s="148" t="s">
        <v>40</v>
      </c>
      <c r="F1668" s="148" t="s">
        <v>41</v>
      </c>
      <c r="G1668" s="148" t="s">
        <v>42</v>
      </c>
      <c r="H1668" s="148">
        <v>2012</v>
      </c>
      <c r="I1668" s="148">
        <v>9</v>
      </c>
      <c r="J1668" s="148" t="s">
        <v>150</v>
      </c>
      <c r="K1668" s="148" t="s">
        <v>629</v>
      </c>
      <c r="M1668" s="148" t="s">
        <v>120</v>
      </c>
      <c r="N1668" s="148">
        <v>6</v>
      </c>
      <c r="O1668" s="148" t="s">
        <v>83</v>
      </c>
      <c r="P1668" s="148" t="s">
        <v>398</v>
      </c>
    </row>
    <row r="1669" spans="1:26" ht="15.75" hidden="1" customHeight="1" x14ac:dyDescent="0.25">
      <c r="A1669" s="148" t="s">
        <v>26</v>
      </c>
      <c r="B1669" s="148" t="s">
        <v>27</v>
      </c>
      <c r="C1669" s="148" t="s">
        <v>28</v>
      </c>
      <c r="D1669" s="148" t="s">
        <v>99</v>
      </c>
      <c r="E1669" s="148" t="s">
        <v>40</v>
      </c>
      <c r="F1669" s="148" t="s">
        <v>41</v>
      </c>
      <c r="G1669" s="148" t="s">
        <v>42</v>
      </c>
      <c r="H1669" s="148">
        <v>2012</v>
      </c>
      <c r="I1669" s="148">
        <v>9</v>
      </c>
      <c r="J1669" s="148" t="s">
        <v>792</v>
      </c>
      <c r="U1669" s="149" t="s">
        <v>3629</v>
      </c>
      <c r="V1669" s="148" t="s">
        <v>1010</v>
      </c>
      <c r="W1669" s="148" t="s">
        <v>49</v>
      </c>
      <c r="X1669" s="148" t="s">
        <v>1011</v>
      </c>
    </row>
    <row r="1670" spans="1:26" ht="15.75" customHeight="1" x14ac:dyDescent="0.25">
      <c r="A1670" s="148" t="s">
        <v>76</v>
      </c>
      <c r="B1670" s="148" t="s">
        <v>36</v>
      </c>
      <c r="C1670" s="148" t="s">
        <v>28</v>
      </c>
      <c r="D1670" s="148" t="s">
        <v>29</v>
      </c>
      <c r="E1670" s="148" t="s">
        <v>30</v>
      </c>
      <c r="F1670" s="148" t="s">
        <v>3183</v>
      </c>
      <c r="G1670" s="148" t="s">
        <v>194</v>
      </c>
      <c r="H1670" s="148">
        <v>2012</v>
      </c>
      <c r="I1670" s="148">
        <v>9</v>
      </c>
      <c r="J1670" s="148" t="s">
        <v>150</v>
      </c>
      <c r="K1670" s="148" t="s">
        <v>629</v>
      </c>
      <c r="M1670" s="148" t="s">
        <v>120</v>
      </c>
      <c r="N1670" s="148">
        <v>6</v>
      </c>
      <c r="O1670" s="148" t="s">
        <v>83</v>
      </c>
    </row>
    <row r="1671" spans="1:26" ht="15.75" hidden="1" customHeight="1" x14ac:dyDescent="0.25">
      <c r="A1671" s="148" t="s">
        <v>76</v>
      </c>
      <c r="B1671" s="148" t="s">
        <v>27</v>
      </c>
      <c r="C1671" s="148" t="s">
        <v>28</v>
      </c>
      <c r="D1671" s="148" t="s">
        <v>158</v>
      </c>
      <c r="E1671" s="148" t="s">
        <v>30</v>
      </c>
      <c r="F1671" s="148" t="s">
        <v>3183</v>
      </c>
      <c r="G1671" s="148" t="s">
        <v>43</v>
      </c>
      <c r="H1671" s="148">
        <v>2012</v>
      </c>
      <c r="I1671" s="148">
        <v>9</v>
      </c>
      <c r="J1671" s="148" t="s">
        <v>150</v>
      </c>
      <c r="K1671" s="148" t="s">
        <v>327</v>
      </c>
      <c r="M1671" s="148" t="s">
        <v>82</v>
      </c>
      <c r="N1671" s="148">
        <v>8</v>
      </c>
      <c r="O1671" s="148" t="s">
        <v>83</v>
      </c>
    </row>
    <row r="1672" spans="1:26" ht="15.75" hidden="1" customHeight="1" x14ac:dyDescent="0.25">
      <c r="A1672" s="148" t="s">
        <v>307</v>
      </c>
      <c r="B1672" s="148" t="s">
        <v>27</v>
      </c>
      <c r="C1672" s="148" t="s">
        <v>28</v>
      </c>
      <c r="D1672" s="148" t="s">
        <v>158</v>
      </c>
      <c r="E1672" s="148" t="s">
        <v>30</v>
      </c>
      <c r="F1672" s="148" t="s">
        <v>3183</v>
      </c>
      <c r="G1672" s="148" t="s">
        <v>43</v>
      </c>
      <c r="H1672" s="148">
        <v>2012</v>
      </c>
      <c r="I1672" s="148">
        <v>9</v>
      </c>
      <c r="J1672" s="148" t="s">
        <v>308</v>
      </c>
      <c r="Q1672" s="148" t="s">
        <v>309</v>
      </c>
      <c r="R1672" s="148" t="s">
        <v>1038</v>
      </c>
      <c r="S1672" s="148" t="s">
        <v>311</v>
      </c>
      <c r="T1672" s="148" t="s">
        <v>1039</v>
      </c>
    </row>
    <row r="1673" spans="1:26" ht="15.75" hidden="1" customHeight="1" x14ac:dyDescent="0.25">
      <c r="A1673" s="148" t="s">
        <v>307</v>
      </c>
      <c r="B1673" s="148" t="s">
        <v>27</v>
      </c>
      <c r="C1673" s="148" t="s">
        <v>28</v>
      </c>
      <c r="D1673" s="148" t="s">
        <v>158</v>
      </c>
      <c r="E1673" s="148" t="s">
        <v>30</v>
      </c>
      <c r="F1673" s="148" t="s">
        <v>3183</v>
      </c>
      <c r="G1673" s="148" t="s">
        <v>43</v>
      </c>
      <c r="H1673" s="148">
        <v>2012</v>
      </c>
      <c r="I1673" s="148">
        <v>9</v>
      </c>
      <c r="J1673" s="148" t="s">
        <v>399</v>
      </c>
      <c r="K1673" s="148" t="s">
        <v>543</v>
      </c>
      <c r="M1673" s="148" t="s">
        <v>543</v>
      </c>
      <c r="N1673" s="148" t="s">
        <v>543</v>
      </c>
      <c r="O1673" s="148" t="s">
        <v>543</v>
      </c>
      <c r="Q1673" s="148" t="s">
        <v>594</v>
      </c>
      <c r="R1673" s="148" t="s">
        <v>1040</v>
      </c>
      <c r="S1673" s="148" t="s">
        <v>311</v>
      </c>
      <c r="T1673" s="148" t="s">
        <v>1041</v>
      </c>
      <c r="Y1673" s="150" t="s">
        <v>1042</v>
      </c>
      <c r="Z1673" s="148" t="s">
        <v>1043</v>
      </c>
    </row>
    <row r="1674" spans="1:26" ht="13.5" hidden="1" customHeight="1" x14ac:dyDescent="0.25">
      <c r="A1674" s="148" t="s">
        <v>76</v>
      </c>
      <c r="B1674" s="148" t="s">
        <v>44</v>
      </c>
      <c r="C1674" s="148" t="s">
        <v>45</v>
      </c>
      <c r="D1674" s="148" t="s">
        <v>29</v>
      </c>
      <c r="E1674" s="148" t="s">
        <v>46</v>
      </c>
      <c r="F1674" s="148" t="s">
        <v>47</v>
      </c>
      <c r="G1674" s="148" t="s">
        <v>48</v>
      </c>
      <c r="H1674" s="148">
        <v>2012</v>
      </c>
      <c r="I1674" s="148">
        <v>9</v>
      </c>
      <c r="J1674" s="148" t="s">
        <v>118</v>
      </c>
      <c r="K1674" s="148" t="s">
        <v>327</v>
      </c>
      <c r="M1674" s="148" t="s">
        <v>82</v>
      </c>
      <c r="N1674" s="148">
        <v>8</v>
      </c>
      <c r="O1674" s="148" t="s">
        <v>101</v>
      </c>
      <c r="P1674" s="148" t="s">
        <v>1044</v>
      </c>
      <c r="Y1674" s="150" t="s">
        <v>1018</v>
      </c>
    </row>
    <row r="1675" spans="1:26" ht="15.75" hidden="1" customHeight="1" x14ac:dyDescent="0.25">
      <c r="A1675" s="148" t="s">
        <v>307</v>
      </c>
      <c r="B1675" s="148" t="s">
        <v>44</v>
      </c>
      <c r="C1675" s="148" t="s">
        <v>45</v>
      </c>
      <c r="D1675" s="148" t="s">
        <v>29</v>
      </c>
      <c r="E1675" s="148" t="s">
        <v>46</v>
      </c>
      <c r="F1675" s="148" t="s">
        <v>47</v>
      </c>
      <c r="G1675" s="148" t="s">
        <v>48</v>
      </c>
      <c r="H1675" s="148">
        <v>2012</v>
      </c>
      <c r="I1675" s="148">
        <v>9</v>
      </c>
      <c r="J1675" s="148" t="s">
        <v>308</v>
      </c>
      <c r="Q1675" s="148" t="s">
        <v>818</v>
      </c>
      <c r="S1675" s="148" t="s">
        <v>427</v>
      </c>
      <c r="T1675" s="148" t="s">
        <v>1045</v>
      </c>
      <c r="X1675" s="156" t="s">
        <v>1046</v>
      </c>
      <c r="Y1675" s="150" t="s">
        <v>1018</v>
      </c>
    </row>
    <row r="1676" spans="1:26" ht="15.75" hidden="1" customHeight="1" x14ac:dyDescent="0.25">
      <c r="A1676" s="148" t="s">
        <v>307</v>
      </c>
      <c r="B1676" s="148" t="s">
        <v>71</v>
      </c>
      <c r="C1676" s="148" t="s">
        <v>45</v>
      </c>
      <c r="D1676" s="148" t="s">
        <v>29</v>
      </c>
      <c r="E1676" s="148" t="s">
        <v>72</v>
      </c>
      <c r="F1676" s="148" t="s">
        <v>3183</v>
      </c>
      <c r="G1676" s="148" t="s">
        <v>73</v>
      </c>
      <c r="H1676" s="148">
        <v>2012</v>
      </c>
      <c r="I1676" s="148">
        <v>10</v>
      </c>
      <c r="J1676" s="148" t="s">
        <v>399</v>
      </c>
      <c r="Q1676" s="148" t="s">
        <v>426</v>
      </c>
      <c r="R1676" s="148" t="s">
        <v>1047</v>
      </c>
      <c r="S1676" s="148" t="s">
        <v>311</v>
      </c>
      <c r="T1676" s="148" t="s">
        <v>1048</v>
      </c>
      <c r="Y1676" s="150" t="s">
        <v>1049</v>
      </c>
    </row>
    <row r="1677" spans="1:26" ht="15.75" hidden="1" customHeight="1" x14ac:dyDescent="0.25">
      <c r="A1677" s="148" t="s">
        <v>76</v>
      </c>
      <c r="B1677" s="148" t="s">
        <v>103</v>
      </c>
      <c r="C1677" s="148" t="s">
        <v>55</v>
      </c>
      <c r="D1677" s="148" t="s">
        <v>29</v>
      </c>
      <c r="E1677" s="148" t="s">
        <v>30</v>
      </c>
      <c r="F1677" s="148" t="s">
        <v>56</v>
      </c>
      <c r="G1677" s="148" t="s">
        <v>405</v>
      </c>
      <c r="H1677" s="148">
        <v>2012</v>
      </c>
      <c r="I1677" s="148">
        <v>10</v>
      </c>
      <c r="J1677" s="148" t="s">
        <v>118</v>
      </c>
      <c r="K1677" s="148" t="s">
        <v>327</v>
      </c>
      <c r="M1677" s="148" t="s">
        <v>82</v>
      </c>
      <c r="N1677" s="148">
        <v>8</v>
      </c>
      <c r="O1677" s="148" t="s">
        <v>101</v>
      </c>
      <c r="P1677" s="148" t="s">
        <v>390</v>
      </c>
    </row>
    <row r="1678" spans="1:26" ht="15.75" hidden="1" customHeight="1" x14ac:dyDescent="0.25">
      <c r="A1678" s="148" t="s">
        <v>76</v>
      </c>
      <c r="B1678" s="148" t="s">
        <v>36</v>
      </c>
      <c r="C1678" s="148" t="s">
        <v>28</v>
      </c>
      <c r="D1678" s="148" t="s">
        <v>342</v>
      </c>
      <c r="E1678" s="148" t="s">
        <v>30</v>
      </c>
      <c r="F1678" s="148" t="s">
        <v>3183</v>
      </c>
      <c r="G1678" s="148" t="s">
        <v>242</v>
      </c>
      <c r="H1678" s="148">
        <v>2012</v>
      </c>
      <c r="I1678" s="148">
        <v>10</v>
      </c>
      <c r="J1678" s="148" t="s">
        <v>118</v>
      </c>
      <c r="K1678" s="148" t="s">
        <v>629</v>
      </c>
      <c r="M1678" s="148" t="s">
        <v>120</v>
      </c>
      <c r="N1678" s="148">
        <v>6</v>
      </c>
      <c r="O1678" s="148" t="s">
        <v>101</v>
      </c>
      <c r="P1678" s="148" t="s">
        <v>1050</v>
      </c>
    </row>
    <row r="1679" spans="1:26" ht="15.75" hidden="1" customHeight="1" x14ac:dyDescent="0.25">
      <c r="A1679" s="148" t="s">
        <v>76</v>
      </c>
      <c r="B1679" s="148" t="s">
        <v>36</v>
      </c>
      <c r="C1679" s="148" t="s">
        <v>28</v>
      </c>
      <c r="D1679" s="148" t="s">
        <v>887</v>
      </c>
      <c r="E1679" s="148" t="s">
        <v>30</v>
      </c>
      <c r="F1679" s="148" t="s">
        <v>3183</v>
      </c>
      <c r="G1679" s="148" t="s">
        <v>888</v>
      </c>
      <c r="H1679" s="148">
        <v>2012</v>
      </c>
      <c r="I1679" s="148">
        <v>11</v>
      </c>
      <c r="J1679" s="148" t="s">
        <v>80</v>
      </c>
      <c r="K1679" s="148" t="s">
        <v>327</v>
      </c>
      <c r="M1679" s="148" t="s">
        <v>82</v>
      </c>
      <c r="N1679" s="148">
        <v>8</v>
      </c>
      <c r="O1679" s="148" t="s">
        <v>83</v>
      </c>
      <c r="P1679" s="148" t="s">
        <v>1051</v>
      </c>
      <c r="Y1679" s="150" t="s">
        <v>1052</v>
      </c>
      <c r="Z1679" s="148" t="s">
        <v>891</v>
      </c>
    </row>
    <row r="1680" spans="1:26" ht="15.75" hidden="1" customHeight="1" x14ac:dyDescent="0.25">
      <c r="A1680" s="148" t="s">
        <v>307</v>
      </c>
      <c r="B1680" s="148" t="s">
        <v>103</v>
      </c>
      <c r="C1680" s="148" t="s">
        <v>55</v>
      </c>
      <c r="D1680" s="148" t="s">
        <v>99</v>
      </c>
      <c r="E1680" s="148" t="s">
        <v>95</v>
      </c>
      <c r="F1680" s="148" t="s">
        <v>56</v>
      </c>
      <c r="G1680" s="148" t="s">
        <v>171</v>
      </c>
      <c r="H1680" s="148">
        <v>2012</v>
      </c>
      <c r="I1680" s="148">
        <v>11</v>
      </c>
      <c r="J1680" s="148" t="s">
        <v>308</v>
      </c>
      <c r="K1680" s="148" t="s">
        <v>543</v>
      </c>
      <c r="M1680" s="148" t="s">
        <v>543</v>
      </c>
      <c r="N1680" s="148" t="s">
        <v>543</v>
      </c>
      <c r="O1680" s="148" t="s">
        <v>543</v>
      </c>
      <c r="P1680" s="148" t="s">
        <v>543</v>
      </c>
      <c r="Q1680" s="148" t="s">
        <v>1053</v>
      </c>
      <c r="R1680" s="148" t="s">
        <v>1054</v>
      </c>
      <c r="S1680" s="148" t="s">
        <v>885</v>
      </c>
      <c r="T1680" s="148" t="s">
        <v>1055</v>
      </c>
      <c r="Y1680" s="150" t="s">
        <v>1056</v>
      </c>
    </row>
    <row r="1681" spans="1:25" ht="15.75" hidden="1" customHeight="1" x14ac:dyDescent="0.25">
      <c r="A1681" s="148" t="s">
        <v>76</v>
      </c>
      <c r="B1681" s="148" t="s">
        <v>36</v>
      </c>
      <c r="C1681" s="148" t="s">
        <v>28</v>
      </c>
      <c r="D1681" s="148" t="s">
        <v>342</v>
      </c>
      <c r="E1681" s="148" t="s">
        <v>30</v>
      </c>
      <c r="F1681" s="148" t="s">
        <v>3183</v>
      </c>
      <c r="G1681" s="148" t="s">
        <v>438</v>
      </c>
      <c r="H1681" s="148">
        <v>2012</v>
      </c>
      <c r="I1681" s="148">
        <v>11</v>
      </c>
      <c r="J1681" s="148" t="s">
        <v>118</v>
      </c>
      <c r="K1681" s="148" t="s">
        <v>768</v>
      </c>
      <c r="M1681" s="148" t="s">
        <v>120</v>
      </c>
      <c r="N1681" s="148">
        <v>6</v>
      </c>
      <c r="O1681" s="148" t="s">
        <v>101</v>
      </c>
    </row>
    <row r="1682" spans="1:25" ht="15.75" hidden="1" customHeight="1" x14ac:dyDescent="0.25">
      <c r="A1682" s="148" t="s">
        <v>76</v>
      </c>
      <c r="B1682" s="148" t="s">
        <v>198</v>
      </c>
      <c r="C1682" s="148" t="s">
        <v>45</v>
      </c>
      <c r="D1682" s="148" t="s">
        <v>29</v>
      </c>
      <c r="E1682" s="148" t="s">
        <v>30</v>
      </c>
      <c r="F1682" s="148" t="s">
        <v>199</v>
      </c>
      <c r="G1682" s="148" t="s">
        <v>1057</v>
      </c>
      <c r="H1682" s="148">
        <v>2012</v>
      </c>
      <c r="I1682" s="148">
        <v>11</v>
      </c>
      <c r="J1682" s="148" t="s">
        <v>100</v>
      </c>
      <c r="K1682" s="148" t="s">
        <v>327</v>
      </c>
      <c r="M1682" s="148" t="s">
        <v>82</v>
      </c>
      <c r="N1682" s="148">
        <v>8</v>
      </c>
      <c r="O1682" s="148" t="s">
        <v>101</v>
      </c>
      <c r="P1682" s="148" t="s">
        <v>1058</v>
      </c>
      <c r="Y1682" s="150" t="s">
        <v>1059</v>
      </c>
    </row>
    <row r="1683" spans="1:25" ht="15.75" hidden="1" customHeight="1" x14ac:dyDescent="0.25">
      <c r="A1683" s="148" t="s">
        <v>307</v>
      </c>
      <c r="B1683" s="148" t="s">
        <v>198</v>
      </c>
      <c r="C1683" s="148" t="s">
        <v>45</v>
      </c>
      <c r="D1683" s="148" t="s">
        <v>29</v>
      </c>
      <c r="E1683" s="148" t="s">
        <v>30</v>
      </c>
      <c r="F1683" s="148" t="s">
        <v>199</v>
      </c>
      <c r="G1683" s="148" t="s">
        <v>214</v>
      </c>
      <c r="H1683" s="148">
        <v>2012</v>
      </c>
      <c r="I1683" s="148">
        <v>11</v>
      </c>
      <c r="J1683" s="148" t="s">
        <v>308</v>
      </c>
      <c r="Q1683" s="148" t="s">
        <v>426</v>
      </c>
      <c r="R1683" s="148" t="s">
        <v>1060</v>
      </c>
      <c r="S1683" s="148" t="s">
        <v>311</v>
      </c>
      <c r="T1683" s="148" t="s">
        <v>801</v>
      </c>
      <c r="Y1683" s="150" t="s">
        <v>366</v>
      </c>
    </row>
    <row r="1684" spans="1:25" ht="15.75" hidden="1" customHeight="1" x14ac:dyDescent="0.25">
      <c r="A1684" s="148" t="s">
        <v>76</v>
      </c>
      <c r="B1684" s="148" t="s">
        <v>103</v>
      </c>
      <c r="C1684" s="148" t="s">
        <v>55</v>
      </c>
      <c r="D1684" s="148" t="s">
        <v>29</v>
      </c>
      <c r="E1684" s="148" t="s">
        <v>30</v>
      </c>
      <c r="F1684" s="148" t="s">
        <v>56</v>
      </c>
      <c r="G1684" s="148" t="s">
        <v>405</v>
      </c>
      <c r="H1684" s="148">
        <v>2012</v>
      </c>
      <c r="I1684" s="148">
        <v>11</v>
      </c>
      <c r="J1684" s="148" t="s">
        <v>118</v>
      </c>
      <c r="K1684" s="148" t="s">
        <v>768</v>
      </c>
      <c r="M1684" s="148" t="s">
        <v>120</v>
      </c>
      <c r="N1684" s="148">
        <v>6</v>
      </c>
      <c r="O1684" s="148" t="s">
        <v>101</v>
      </c>
    </row>
    <row r="1685" spans="1:25" ht="15.75" hidden="1" customHeight="1" x14ac:dyDescent="0.25">
      <c r="A1685" s="148" t="s">
        <v>307</v>
      </c>
      <c r="B1685" s="148" t="s">
        <v>116</v>
      </c>
      <c r="C1685" s="148" t="s">
        <v>90</v>
      </c>
      <c r="D1685" s="148" t="s">
        <v>29</v>
      </c>
      <c r="E1685" s="148" t="s">
        <v>40</v>
      </c>
      <c r="F1685" s="148" t="s">
        <v>41</v>
      </c>
      <c r="G1685" s="148" t="s">
        <v>473</v>
      </c>
      <c r="H1685" s="148">
        <v>2012</v>
      </c>
      <c r="I1685" s="148">
        <v>11</v>
      </c>
      <c r="J1685" s="148" t="s">
        <v>308</v>
      </c>
      <c r="K1685" s="148" t="s">
        <v>543</v>
      </c>
      <c r="M1685" s="148" t="s">
        <v>543</v>
      </c>
      <c r="N1685" s="148" t="s">
        <v>543</v>
      </c>
      <c r="O1685" s="148" t="s">
        <v>543</v>
      </c>
      <c r="Q1685" s="148" t="s">
        <v>309</v>
      </c>
      <c r="S1685" s="148" t="s">
        <v>311</v>
      </c>
      <c r="T1685" s="148" t="s">
        <v>1061</v>
      </c>
      <c r="Y1685" s="150" t="s">
        <v>366</v>
      </c>
    </row>
    <row r="1686" spans="1:25" ht="13.5" hidden="1" customHeight="1" x14ac:dyDescent="0.25">
      <c r="A1686" s="148" t="s">
        <v>76</v>
      </c>
      <c r="B1686" s="148" t="s">
        <v>103</v>
      </c>
      <c r="C1686" s="148" t="s">
        <v>55</v>
      </c>
      <c r="D1686" s="148" t="s">
        <v>516</v>
      </c>
      <c r="E1686" s="148" t="s">
        <v>95</v>
      </c>
      <c r="F1686" s="148" t="s">
        <v>56</v>
      </c>
      <c r="G1686" s="148" t="s">
        <v>1013</v>
      </c>
      <c r="H1686" s="148">
        <v>2012</v>
      </c>
      <c r="I1686" s="148">
        <v>11</v>
      </c>
      <c r="J1686" s="148" t="s">
        <v>118</v>
      </c>
      <c r="K1686" s="148" t="s">
        <v>502</v>
      </c>
      <c r="M1686" s="148" t="s">
        <v>126</v>
      </c>
      <c r="N1686" s="148">
        <v>10</v>
      </c>
      <c r="O1686" s="148" t="s">
        <v>101</v>
      </c>
      <c r="P1686" s="148" t="s">
        <v>146</v>
      </c>
    </row>
    <row r="1687" spans="1:25" ht="15.75" hidden="1" customHeight="1" x14ac:dyDescent="0.25">
      <c r="A1687" s="148" t="s">
        <v>76</v>
      </c>
      <c r="B1687" s="148" t="s">
        <v>36</v>
      </c>
      <c r="C1687" s="148" t="s">
        <v>28</v>
      </c>
      <c r="D1687" s="148" t="s">
        <v>342</v>
      </c>
      <c r="E1687" s="148" t="s">
        <v>30</v>
      </c>
      <c r="F1687" s="148" t="s">
        <v>3183</v>
      </c>
      <c r="G1687" s="148" t="s">
        <v>37</v>
      </c>
      <c r="H1687" s="148">
        <v>2012</v>
      </c>
      <c r="I1687" s="148">
        <v>11</v>
      </c>
      <c r="J1687" s="148" t="s">
        <v>118</v>
      </c>
      <c r="K1687" s="148" t="s">
        <v>768</v>
      </c>
      <c r="M1687" s="148" t="s">
        <v>120</v>
      </c>
      <c r="N1687" s="148">
        <v>6</v>
      </c>
      <c r="O1687" s="148" t="s">
        <v>101</v>
      </c>
      <c r="P1687" s="148" t="s">
        <v>1062</v>
      </c>
    </row>
    <row r="1688" spans="1:25" ht="15.75" hidden="1" customHeight="1" x14ac:dyDescent="0.25">
      <c r="A1688" s="148" t="s">
        <v>76</v>
      </c>
      <c r="B1688" s="148" t="s">
        <v>71</v>
      </c>
      <c r="C1688" s="148" t="s">
        <v>45</v>
      </c>
      <c r="D1688" s="148" t="s">
        <v>29</v>
      </c>
      <c r="E1688" s="148" t="s">
        <v>72</v>
      </c>
      <c r="F1688" s="148" t="s">
        <v>3183</v>
      </c>
      <c r="G1688" s="148" t="s">
        <v>75</v>
      </c>
      <c r="H1688" s="148">
        <v>2012</v>
      </c>
      <c r="I1688" s="148">
        <v>11</v>
      </c>
      <c r="J1688" s="148" t="s">
        <v>118</v>
      </c>
      <c r="K1688" s="148" t="s">
        <v>629</v>
      </c>
      <c r="M1688" s="148" t="s">
        <v>554</v>
      </c>
      <c r="N1688" s="148">
        <v>8</v>
      </c>
      <c r="O1688" s="148" t="s">
        <v>101</v>
      </c>
      <c r="P1688" s="148" t="s">
        <v>1063</v>
      </c>
    </row>
    <row r="1689" spans="1:25" ht="15.75" hidden="1" customHeight="1" x14ac:dyDescent="0.25">
      <c r="A1689" s="148" t="s">
        <v>76</v>
      </c>
      <c r="B1689" s="148" t="s">
        <v>54</v>
      </c>
      <c r="C1689" s="148" t="s">
        <v>55</v>
      </c>
      <c r="D1689" s="148" t="s">
        <v>65</v>
      </c>
      <c r="E1689" s="148" t="s">
        <v>30</v>
      </c>
      <c r="F1689" s="148" t="s">
        <v>56</v>
      </c>
      <c r="G1689" s="148" t="s">
        <v>54</v>
      </c>
      <c r="H1689" s="148">
        <v>2012</v>
      </c>
      <c r="I1689" s="148">
        <v>11</v>
      </c>
      <c r="J1689" s="148" t="s">
        <v>118</v>
      </c>
      <c r="K1689" s="148" t="s">
        <v>579</v>
      </c>
      <c r="M1689" s="148" t="s">
        <v>126</v>
      </c>
      <c r="N1689" s="148">
        <v>10</v>
      </c>
      <c r="O1689" s="148" t="s">
        <v>101</v>
      </c>
      <c r="P1689" s="148" t="s">
        <v>537</v>
      </c>
    </row>
    <row r="1690" spans="1:25" ht="13.5" hidden="1" customHeight="1" x14ac:dyDescent="0.25">
      <c r="A1690" s="148" t="s">
        <v>76</v>
      </c>
      <c r="B1690" s="148" t="s">
        <v>103</v>
      </c>
      <c r="C1690" s="148" t="s">
        <v>55</v>
      </c>
      <c r="D1690" s="148" t="s">
        <v>29</v>
      </c>
      <c r="E1690" s="148" t="s">
        <v>95</v>
      </c>
      <c r="F1690" s="148" t="s">
        <v>56</v>
      </c>
      <c r="G1690" s="148" t="s">
        <v>195</v>
      </c>
      <c r="H1690" s="148">
        <v>2012</v>
      </c>
      <c r="I1690" s="148">
        <v>11</v>
      </c>
      <c r="J1690" s="148" t="s">
        <v>118</v>
      </c>
      <c r="K1690" s="148" t="s">
        <v>851</v>
      </c>
      <c r="M1690" s="148" t="s">
        <v>132</v>
      </c>
      <c r="N1690" s="148">
        <v>8</v>
      </c>
      <c r="O1690" s="148" t="s">
        <v>101</v>
      </c>
      <c r="P1690" s="148" t="s">
        <v>435</v>
      </c>
    </row>
    <row r="1691" spans="1:25" ht="15.75" hidden="1" customHeight="1" x14ac:dyDescent="0.25">
      <c r="A1691" s="148" t="s">
        <v>76</v>
      </c>
      <c r="B1691" s="148" t="s">
        <v>27</v>
      </c>
      <c r="C1691" s="148" t="s">
        <v>28</v>
      </c>
      <c r="D1691" s="148" t="s">
        <v>158</v>
      </c>
      <c r="E1691" s="148" t="s">
        <v>30</v>
      </c>
      <c r="F1691" s="148" t="s">
        <v>3183</v>
      </c>
      <c r="G1691" s="148" t="s">
        <v>43</v>
      </c>
      <c r="H1691" s="148">
        <v>2012</v>
      </c>
      <c r="I1691" s="148">
        <v>11</v>
      </c>
      <c r="J1691" s="148" t="s">
        <v>118</v>
      </c>
      <c r="K1691" s="148" t="s">
        <v>327</v>
      </c>
      <c r="M1691" s="148" t="s">
        <v>82</v>
      </c>
      <c r="N1691" s="148">
        <v>8</v>
      </c>
      <c r="O1691" s="148" t="s">
        <v>101</v>
      </c>
      <c r="P1691" s="148" t="s">
        <v>1064</v>
      </c>
    </row>
    <row r="1692" spans="1:25" ht="13.5" hidden="1" customHeight="1" x14ac:dyDescent="0.25">
      <c r="A1692" s="148" t="s">
        <v>76</v>
      </c>
      <c r="B1692" s="148" t="s">
        <v>44</v>
      </c>
      <c r="C1692" s="148" t="s">
        <v>45</v>
      </c>
      <c r="D1692" s="148" t="s">
        <v>29</v>
      </c>
      <c r="E1692" s="148" t="s">
        <v>46</v>
      </c>
      <c r="F1692" s="148" t="s">
        <v>47</v>
      </c>
      <c r="G1692" s="148" t="s">
        <v>48</v>
      </c>
      <c r="H1692" s="148">
        <v>2012</v>
      </c>
      <c r="I1692" s="148">
        <v>11</v>
      </c>
      <c r="J1692" s="148" t="s">
        <v>118</v>
      </c>
      <c r="K1692" s="148" t="s">
        <v>520</v>
      </c>
      <c r="M1692" s="148" t="s">
        <v>701</v>
      </c>
      <c r="N1692" s="148">
        <v>8</v>
      </c>
      <c r="O1692" s="148" t="s">
        <v>101</v>
      </c>
      <c r="P1692" s="148" t="s">
        <v>1065</v>
      </c>
      <c r="Y1692" s="150" t="s">
        <v>1018</v>
      </c>
    </row>
    <row r="1693" spans="1:25" ht="15.75" hidden="1" customHeight="1" x14ac:dyDescent="0.25">
      <c r="A1693" s="148" t="s">
        <v>76</v>
      </c>
      <c r="B1693" s="148" t="s">
        <v>71</v>
      </c>
      <c r="C1693" s="148" t="s">
        <v>45</v>
      </c>
      <c r="D1693" s="148" t="s">
        <v>29</v>
      </c>
      <c r="E1693" s="148" t="s">
        <v>72</v>
      </c>
      <c r="F1693" s="148" t="s">
        <v>3183</v>
      </c>
      <c r="G1693" s="148" t="s">
        <v>73</v>
      </c>
      <c r="H1693" s="148">
        <v>2012</v>
      </c>
      <c r="I1693" s="148">
        <v>12</v>
      </c>
      <c r="J1693" s="148" t="s">
        <v>118</v>
      </c>
      <c r="K1693" s="148" t="s">
        <v>579</v>
      </c>
      <c r="M1693" s="148" t="s">
        <v>126</v>
      </c>
      <c r="N1693" s="148">
        <v>10</v>
      </c>
      <c r="O1693" s="148" t="s">
        <v>101</v>
      </c>
      <c r="P1693" s="148" t="s">
        <v>1066</v>
      </c>
    </row>
    <row r="1694" spans="1:25" ht="15.75" hidden="1" customHeight="1" x14ac:dyDescent="0.25">
      <c r="A1694" s="148" t="s">
        <v>26</v>
      </c>
      <c r="B1694" s="148" t="s">
        <v>71</v>
      </c>
      <c r="C1694" s="148" t="s">
        <v>45</v>
      </c>
      <c r="D1694" s="148" t="s">
        <v>29</v>
      </c>
      <c r="E1694" s="148" t="s">
        <v>72</v>
      </c>
      <c r="F1694" s="148" t="s">
        <v>3183</v>
      </c>
      <c r="G1694" s="148" t="s">
        <v>73</v>
      </c>
      <c r="H1694" s="148">
        <v>2012</v>
      </c>
      <c r="I1694" s="148">
        <v>12</v>
      </c>
      <c r="J1694" s="148" t="s">
        <v>33</v>
      </c>
      <c r="U1694" s="149" t="s">
        <v>3629</v>
      </c>
      <c r="V1694" s="148" t="s">
        <v>1067</v>
      </c>
      <c r="W1694" s="148" t="s">
        <v>34</v>
      </c>
      <c r="X1694" s="148" t="s">
        <v>1068</v>
      </c>
    </row>
    <row r="1695" spans="1:25" ht="15.75" hidden="1" customHeight="1" x14ac:dyDescent="0.25">
      <c r="A1695" s="148" t="s">
        <v>76</v>
      </c>
      <c r="B1695" s="148" t="s">
        <v>103</v>
      </c>
      <c r="C1695" s="148" t="s">
        <v>55</v>
      </c>
      <c r="D1695" s="148" t="s">
        <v>99</v>
      </c>
      <c r="E1695" s="148" t="s">
        <v>95</v>
      </c>
      <c r="F1695" s="148" t="s">
        <v>56</v>
      </c>
      <c r="G1695" s="148" t="s">
        <v>171</v>
      </c>
      <c r="H1695" s="148">
        <v>2012</v>
      </c>
      <c r="I1695" s="148">
        <v>12</v>
      </c>
      <c r="J1695" s="148" t="s">
        <v>118</v>
      </c>
      <c r="K1695" s="148" t="s">
        <v>579</v>
      </c>
      <c r="M1695" s="148" t="s">
        <v>126</v>
      </c>
      <c r="N1695" s="148">
        <v>10</v>
      </c>
      <c r="O1695" s="148" t="s">
        <v>101</v>
      </c>
      <c r="P1695" s="148" t="s">
        <v>146</v>
      </c>
    </row>
    <row r="1696" spans="1:25" ht="15.75" hidden="1" customHeight="1" x14ac:dyDescent="0.25">
      <c r="A1696" s="148" t="s">
        <v>307</v>
      </c>
      <c r="B1696" s="148" t="s">
        <v>103</v>
      </c>
      <c r="C1696" s="148" t="s">
        <v>55</v>
      </c>
      <c r="D1696" s="148" t="s">
        <v>99</v>
      </c>
      <c r="E1696" s="148" t="s">
        <v>30</v>
      </c>
      <c r="F1696" s="148" t="s">
        <v>56</v>
      </c>
      <c r="G1696" s="148" t="s">
        <v>171</v>
      </c>
      <c r="H1696" s="148">
        <v>2012</v>
      </c>
      <c r="I1696" s="148">
        <v>12</v>
      </c>
      <c r="J1696" s="148" t="s">
        <v>308</v>
      </c>
      <c r="Q1696" s="148" t="s">
        <v>309</v>
      </c>
      <c r="R1696" s="148" t="s">
        <v>1054</v>
      </c>
      <c r="S1696" s="148" t="s">
        <v>885</v>
      </c>
      <c r="T1696" s="148" t="s">
        <v>951</v>
      </c>
    </row>
    <row r="1697" spans="1:26" ht="15.75" hidden="1" customHeight="1" x14ac:dyDescent="0.25">
      <c r="A1697" s="148" t="s">
        <v>76</v>
      </c>
      <c r="B1697" s="148" t="s">
        <v>198</v>
      </c>
      <c r="C1697" s="148" t="s">
        <v>45</v>
      </c>
      <c r="D1697" s="148" t="s">
        <v>29</v>
      </c>
      <c r="E1697" s="148" t="s">
        <v>30</v>
      </c>
      <c r="F1697" s="148" t="s">
        <v>199</v>
      </c>
      <c r="G1697" s="148" t="s">
        <v>232</v>
      </c>
      <c r="H1697" s="148">
        <v>2012</v>
      </c>
      <c r="I1697" s="148">
        <v>12</v>
      </c>
      <c r="J1697" s="148" t="s">
        <v>150</v>
      </c>
      <c r="K1697" s="148" t="s">
        <v>768</v>
      </c>
      <c r="M1697" s="148" t="s">
        <v>120</v>
      </c>
      <c r="N1697" s="148">
        <v>6</v>
      </c>
      <c r="O1697" s="148" t="s">
        <v>83</v>
      </c>
      <c r="P1697" s="148" t="s">
        <v>1069</v>
      </c>
    </row>
    <row r="1698" spans="1:26" ht="15.75" hidden="1" customHeight="1" x14ac:dyDescent="0.25">
      <c r="A1698" s="148" t="s">
        <v>26</v>
      </c>
      <c r="B1698" s="148" t="s">
        <v>116</v>
      </c>
      <c r="C1698" s="148" t="s">
        <v>90</v>
      </c>
      <c r="D1698" s="148" t="s">
        <v>29</v>
      </c>
      <c r="E1698" s="148" t="s">
        <v>30</v>
      </c>
      <c r="F1698" s="148" t="s">
        <v>41</v>
      </c>
      <c r="G1698" s="148" t="s">
        <v>564</v>
      </c>
      <c r="H1698" s="148">
        <v>2012</v>
      </c>
      <c r="I1698" s="148">
        <v>12</v>
      </c>
      <c r="J1698" s="148" t="s">
        <v>792</v>
      </c>
      <c r="U1698" s="149" t="s">
        <v>3629</v>
      </c>
      <c r="V1698" s="148" t="s">
        <v>1070</v>
      </c>
      <c r="W1698" s="148" t="s">
        <v>34</v>
      </c>
      <c r="X1698" s="148" t="s">
        <v>1071</v>
      </c>
    </row>
    <row r="1699" spans="1:26" ht="15.75" hidden="1" customHeight="1" x14ac:dyDescent="0.25">
      <c r="A1699" s="148" t="s">
        <v>76</v>
      </c>
      <c r="B1699" s="148" t="s">
        <v>77</v>
      </c>
      <c r="C1699" s="148" t="s">
        <v>55</v>
      </c>
      <c r="D1699" s="148" t="s">
        <v>478</v>
      </c>
      <c r="E1699" s="148" t="s">
        <v>30</v>
      </c>
      <c r="F1699" s="148" t="s">
        <v>41</v>
      </c>
      <c r="G1699" s="148" t="s">
        <v>159</v>
      </c>
      <c r="H1699" s="148">
        <v>2012</v>
      </c>
      <c r="I1699" s="148">
        <v>12</v>
      </c>
      <c r="J1699" s="148" t="s">
        <v>118</v>
      </c>
      <c r="K1699" s="148" t="s">
        <v>502</v>
      </c>
      <c r="M1699" s="148" t="s">
        <v>126</v>
      </c>
      <c r="N1699" s="148">
        <v>10</v>
      </c>
      <c r="O1699" s="148" t="s">
        <v>101</v>
      </c>
      <c r="P1699" s="148" t="s">
        <v>146</v>
      </c>
    </row>
    <row r="1700" spans="1:26" ht="15.75" hidden="1" customHeight="1" x14ac:dyDescent="0.25">
      <c r="A1700" s="148" t="s">
        <v>76</v>
      </c>
      <c r="B1700" s="148" t="s">
        <v>36</v>
      </c>
      <c r="C1700" s="148" t="s">
        <v>28</v>
      </c>
      <c r="D1700" s="148" t="s">
        <v>342</v>
      </c>
      <c r="E1700" s="148" t="s">
        <v>30</v>
      </c>
      <c r="F1700" s="148" t="s">
        <v>3183</v>
      </c>
      <c r="G1700" s="148" t="s">
        <v>242</v>
      </c>
      <c r="H1700" s="148">
        <v>2012</v>
      </c>
      <c r="I1700" s="148">
        <v>12</v>
      </c>
      <c r="J1700" s="148" t="s">
        <v>118</v>
      </c>
      <c r="K1700" s="148" t="s">
        <v>768</v>
      </c>
      <c r="M1700" s="148" t="s">
        <v>120</v>
      </c>
      <c r="N1700" s="148">
        <v>6</v>
      </c>
      <c r="O1700" s="148" t="s">
        <v>101</v>
      </c>
      <c r="P1700" s="148" t="s">
        <v>1072</v>
      </c>
    </row>
    <row r="1701" spans="1:26" ht="13.5" hidden="1" customHeight="1" x14ac:dyDescent="0.25">
      <c r="A1701" s="148" t="s">
        <v>76</v>
      </c>
      <c r="B1701" s="148" t="s">
        <v>27</v>
      </c>
      <c r="C1701" s="148" t="s">
        <v>90</v>
      </c>
      <c r="D1701" s="148" t="s">
        <v>29</v>
      </c>
      <c r="E1701" s="148" t="s">
        <v>30</v>
      </c>
      <c r="F1701" s="148" t="s">
        <v>3183</v>
      </c>
      <c r="G1701" s="148" t="s">
        <v>791</v>
      </c>
      <c r="H1701" s="148">
        <v>2012</v>
      </c>
      <c r="I1701" s="148">
        <v>12</v>
      </c>
      <c r="J1701" s="148" t="s">
        <v>118</v>
      </c>
      <c r="K1701" s="148" t="s">
        <v>579</v>
      </c>
      <c r="M1701" s="148" t="s">
        <v>126</v>
      </c>
      <c r="N1701" s="148">
        <v>10</v>
      </c>
      <c r="O1701" s="148" t="s">
        <v>101</v>
      </c>
      <c r="P1701" s="148" t="s">
        <v>146</v>
      </c>
    </row>
    <row r="1702" spans="1:26" ht="15.75" hidden="1" customHeight="1" x14ac:dyDescent="0.25">
      <c r="A1702" s="148" t="s">
        <v>76</v>
      </c>
      <c r="B1702" s="148" t="s">
        <v>103</v>
      </c>
      <c r="C1702" s="148" t="s">
        <v>55</v>
      </c>
      <c r="D1702" s="148" t="s">
        <v>99</v>
      </c>
      <c r="E1702" s="148" t="s">
        <v>95</v>
      </c>
      <c r="F1702" s="148" t="s">
        <v>56</v>
      </c>
      <c r="G1702" s="148" t="s">
        <v>270</v>
      </c>
      <c r="H1702" s="148">
        <v>2012</v>
      </c>
      <c r="I1702" s="148">
        <v>12</v>
      </c>
      <c r="J1702" s="148" t="s">
        <v>118</v>
      </c>
      <c r="K1702" s="148" t="s">
        <v>520</v>
      </c>
      <c r="M1702" s="148" t="s">
        <v>701</v>
      </c>
      <c r="N1702" s="148">
        <v>8</v>
      </c>
      <c r="O1702" s="148" t="s">
        <v>101</v>
      </c>
      <c r="P1702" s="148" t="s">
        <v>562</v>
      </c>
    </row>
    <row r="1703" spans="1:26" ht="15.75" hidden="1" customHeight="1" x14ac:dyDescent="0.25">
      <c r="A1703" s="148" t="s">
        <v>76</v>
      </c>
      <c r="B1703" s="148" t="s">
        <v>89</v>
      </c>
      <c r="C1703" s="148" t="s">
        <v>90</v>
      </c>
      <c r="D1703" s="148" t="s">
        <v>342</v>
      </c>
      <c r="E1703" s="148" t="s">
        <v>30</v>
      </c>
      <c r="F1703" s="148" t="s">
        <v>91</v>
      </c>
      <c r="G1703" s="148" t="s">
        <v>450</v>
      </c>
      <c r="H1703" s="148">
        <v>2012</v>
      </c>
      <c r="I1703" s="148">
        <v>12</v>
      </c>
      <c r="J1703" s="148" t="s">
        <v>118</v>
      </c>
      <c r="K1703" s="148" t="s">
        <v>851</v>
      </c>
      <c r="M1703" s="148" t="s">
        <v>132</v>
      </c>
      <c r="N1703" s="148">
        <v>8</v>
      </c>
      <c r="O1703" s="148" t="s">
        <v>101</v>
      </c>
      <c r="P1703" s="148" t="s">
        <v>435</v>
      </c>
    </row>
    <row r="1704" spans="1:26" ht="15.75" hidden="1" customHeight="1" x14ac:dyDescent="0.25">
      <c r="A1704" s="148" t="s">
        <v>76</v>
      </c>
      <c r="B1704" s="148" t="s">
        <v>44</v>
      </c>
      <c r="C1704" s="148" t="s">
        <v>45</v>
      </c>
      <c r="D1704" s="148" t="s">
        <v>29</v>
      </c>
      <c r="E1704" s="148" t="s">
        <v>46</v>
      </c>
      <c r="F1704" s="148" t="s">
        <v>47</v>
      </c>
      <c r="G1704" s="148" t="s">
        <v>48</v>
      </c>
      <c r="H1704" s="148">
        <v>2012</v>
      </c>
      <c r="I1704" s="148">
        <v>12</v>
      </c>
      <c r="J1704" s="148" t="s">
        <v>150</v>
      </c>
      <c r="K1704" s="148" t="s">
        <v>768</v>
      </c>
      <c r="M1704" s="148" t="s">
        <v>120</v>
      </c>
      <c r="N1704" s="148">
        <v>6</v>
      </c>
      <c r="O1704" s="148" t="s">
        <v>83</v>
      </c>
      <c r="P1704" s="148" t="s">
        <v>1073</v>
      </c>
      <c r="Y1704" s="150" t="s">
        <v>1074</v>
      </c>
      <c r="Z1704" s="148" t="s">
        <v>1075</v>
      </c>
    </row>
    <row r="1705" spans="1:26" ht="15.75" hidden="1" customHeight="1" x14ac:dyDescent="0.25">
      <c r="A1705" s="148" t="s">
        <v>76</v>
      </c>
      <c r="B1705" s="148" t="s">
        <v>36</v>
      </c>
      <c r="C1705" s="148" t="s">
        <v>28</v>
      </c>
      <c r="D1705" s="148" t="s">
        <v>342</v>
      </c>
      <c r="E1705" s="148" t="s">
        <v>30</v>
      </c>
      <c r="F1705" s="148" t="s">
        <v>3183</v>
      </c>
      <c r="G1705" s="148" t="s">
        <v>438</v>
      </c>
      <c r="H1705" s="148">
        <v>2013</v>
      </c>
      <c r="I1705" s="148">
        <v>1</v>
      </c>
      <c r="J1705" s="148" t="s">
        <v>150</v>
      </c>
      <c r="K1705" s="148" t="s">
        <v>768</v>
      </c>
      <c r="M1705" s="148" t="s">
        <v>120</v>
      </c>
      <c r="N1705" s="148">
        <v>6</v>
      </c>
      <c r="O1705" s="148" t="s">
        <v>83</v>
      </c>
    </row>
    <row r="1706" spans="1:26" ht="15.75" hidden="1" customHeight="1" x14ac:dyDescent="0.25">
      <c r="A1706" s="148" t="s">
        <v>76</v>
      </c>
      <c r="B1706" s="148" t="s">
        <v>103</v>
      </c>
      <c r="C1706" s="148" t="s">
        <v>55</v>
      </c>
      <c r="D1706" s="148" t="s">
        <v>478</v>
      </c>
      <c r="E1706" s="148" t="s">
        <v>95</v>
      </c>
      <c r="F1706" s="148" t="s">
        <v>56</v>
      </c>
      <c r="G1706" s="148" t="s">
        <v>111</v>
      </c>
      <c r="H1706" s="148">
        <v>2013</v>
      </c>
      <c r="I1706" s="148">
        <v>1</v>
      </c>
      <c r="J1706" s="148" t="s">
        <v>118</v>
      </c>
      <c r="K1706" s="148" t="s">
        <v>768</v>
      </c>
      <c r="M1706" s="148" t="s">
        <v>120</v>
      </c>
      <c r="N1706" s="148">
        <v>6</v>
      </c>
      <c r="O1706" s="148" t="s">
        <v>101</v>
      </c>
      <c r="P1706" s="148" t="s">
        <v>1076</v>
      </c>
    </row>
    <row r="1707" spans="1:26" ht="13.5" hidden="1" customHeight="1" x14ac:dyDescent="0.25">
      <c r="A1707" s="148" t="s">
        <v>76</v>
      </c>
      <c r="B1707" s="148" t="s">
        <v>27</v>
      </c>
      <c r="C1707" s="148" t="s">
        <v>28</v>
      </c>
      <c r="D1707" s="148" t="s">
        <v>566</v>
      </c>
      <c r="E1707" s="148" t="s">
        <v>30</v>
      </c>
      <c r="F1707" s="148" t="s">
        <v>3183</v>
      </c>
      <c r="G1707" s="148" t="s">
        <v>53</v>
      </c>
      <c r="H1707" s="148">
        <v>2013</v>
      </c>
      <c r="I1707" s="148">
        <v>1</v>
      </c>
      <c r="J1707" s="148" t="s">
        <v>118</v>
      </c>
      <c r="K1707" s="148" t="s">
        <v>579</v>
      </c>
      <c r="M1707" s="148" t="s">
        <v>126</v>
      </c>
      <c r="N1707" s="148">
        <v>10</v>
      </c>
      <c r="O1707" s="148" t="s">
        <v>101</v>
      </c>
      <c r="P1707" s="148" t="s">
        <v>524</v>
      </c>
    </row>
    <row r="1708" spans="1:26" ht="15.75" hidden="1" customHeight="1" x14ac:dyDescent="0.25">
      <c r="A1708" s="148" t="s">
        <v>76</v>
      </c>
      <c r="B1708" s="148" t="s">
        <v>36</v>
      </c>
      <c r="C1708" s="148" t="s">
        <v>28</v>
      </c>
      <c r="D1708" s="148" t="s">
        <v>478</v>
      </c>
      <c r="E1708" s="148" t="s">
        <v>30</v>
      </c>
      <c r="F1708" s="148" t="s">
        <v>3183</v>
      </c>
      <c r="G1708" s="148" t="s">
        <v>59</v>
      </c>
      <c r="H1708" s="148">
        <v>2013</v>
      </c>
      <c r="I1708" s="148">
        <v>1</v>
      </c>
      <c r="J1708" s="148" t="s">
        <v>118</v>
      </c>
      <c r="K1708" s="148" t="s">
        <v>502</v>
      </c>
      <c r="M1708" s="148" t="s">
        <v>126</v>
      </c>
      <c r="N1708" s="148">
        <v>10</v>
      </c>
      <c r="O1708" s="148" t="s">
        <v>101</v>
      </c>
      <c r="P1708" s="148" t="s">
        <v>512</v>
      </c>
    </row>
    <row r="1709" spans="1:26" ht="15.75" hidden="1" customHeight="1" x14ac:dyDescent="0.25">
      <c r="A1709" s="148" t="s">
        <v>76</v>
      </c>
      <c r="B1709" s="148" t="s">
        <v>116</v>
      </c>
      <c r="C1709" s="148" t="s">
        <v>90</v>
      </c>
      <c r="D1709" s="148" t="s">
        <v>29</v>
      </c>
      <c r="E1709" s="148" t="s">
        <v>30</v>
      </c>
      <c r="F1709" s="148" t="s">
        <v>41</v>
      </c>
      <c r="G1709" s="148" t="s">
        <v>784</v>
      </c>
      <c r="H1709" s="148">
        <v>2013</v>
      </c>
      <c r="I1709" s="148">
        <v>1</v>
      </c>
      <c r="J1709" s="148" t="s">
        <v>118</v>
      </c>
      <c r="K1709" s="148" t="s">
        <v>520</v>
      </c>
      <c r="M1709" s="148" t="s">
        <v>701</v>
      </c>
      <c r="N1709" s="148">
        <v>8</v>
      </c>
      <c r="O1709" s="148" t="s">
        <v>101</v>
      </c>
      <c r="P1709" s="148" t="s">
        <v>562</v>
      </c>
    </row>
    <row r="1710" spans="1:26" ht="15.75" hidden="1" customHeight="1" x14ac:dyDescent="0.25">
      <c r="A1710" s="148" t="s">
        <v>26</v>
      </c>
      <c r="B1710" s="148" t="s">
        <v>116</v>
      </c>
      <c r="C1710" s="148" t="s">
        <v>90</v>
      </c>
      <c r="D1710" s="148" t="s">
        <v>29</v>
      </c>
      <c r="E1710" s="148" t="s">
        <v>30</v>
      </c>
      <c r="F1710" s="148" t="s">
        <v>41</v>
      </c>
      <c r="G1710" s="148" t="s">
        <v>756</v>
      </c>
      <c r="H1710" s="148">
        <v>2013</v>
      </c>
      <c r="I1710" s="148">
        <v>1</v>
      </c>
      <c r="J1710" s="148" t="s">
        <v>792</v>
      </c>
      <c r="U1710" s="149" t="s">
        <v>3629</v>
      </c>
      <c r="V1710" s="148" t="s">
        <v>1070</v>
      </c>
      <c r="W1710" s="148" t="s">
        <v>34</v>
      </c>
      <c r="X1710" s="148" t="s">
        <v>1071</v>
      </c>
    </row>
    <row r="1711" spans="1:26" ht="15.75" hidden="1" customHeight="1" x14ac:dyDescent="0.25">
      <c r="A1711" s="148" t="s">
        <v>26</v>
      </c>
      <c r="B1711" s="148" t="s">
        <v>36</v>
      </c>
      <c r="C1711" s="148" t="s">
        <v>28</v>
      </c>
      <c r="D1711" s="148" t="s">
        <v>342</v>
      </c>
      <c r="E1711" s="148" t="s">
        <v>30</v>
      </c>
      <c r="F1711" s="148" t="s">
        <v>3183</v>
      </c>
      <c r="G1711" s="148" t="s">
        <v>114</v>
      </c>
      <c r="H1711" s="148">
        <v>2013</v>
      </c>
      <c r="I1711" s="148">
        <v>1</v>
      </c>
      <c r="J1711" s="148" t="s">
        <v>33</v>
      </c>
      <c r="U1711" s="149" t="s">
        <v>3629</v>
      </c>
      <c r="V1711" s="148" t="s">
        <v>1067</v>
      </c>
      <c r="W1711" s="148" t="s">
        <v>34</v>
      </c>
      <c r="X1711" s="148" t="s">
        <v>1068</v>
      </c>
    </row>
    <row r="1712" spans="1:26" ht="15.75" hidden="1" customHeight="1" x14ac:dyDescent="0.25">
      <c r="A1712" s="148" t="s">
        <v>76</v>
      </c>
      <c r="B1712" s="148" t="s">
        <v>71</v>
      </c>
      <c r="C1712" s="148" t="s">
        <v>45</v>
      </c>
      <c r="D1712" s="148" t="s">
        <v>29</v>
      </c>
      <c r="E1712" s="148" t="s">
        <v>72</v>
      </c>
      <c r="F1712" s="148" t="s">
        <v>3183</v>
      </c>
      <c r="G1712" s="148" t="s">
        <v>73</v>
      </c>
      <c r="H1712" s="148">
        <v>2013</v>
      </c>
      <c r="I1712" s="148">
        <v>3</v>
      </c>
      <c r="J1712" s="148" t="s">
        <v>118</v>
      </c>
      <c r="K1712" s="148" t="s">
        <v>851</v>
      </c>
      <c r="M1712" s="148" t="s">
        <v>132</v>
      </c>
      <c r="N1712" s="148">
        <v>8</v>
      </c>
      <c r="O1712" s="148" t="s">
        <v>101</v>
      </c>
      <c r="P1712" s="148" t="s">
        <v>1077</v>
      </c>
    </row>
    <row r="1713" spans="1:24" ht="15.75" hidden="1" customHeight="1" x14ac:dyDescent="0.25">
      <c r="A1713" s="148" t="s">
        <v>26</v>
      </c>
      <c r="B1713" s="148" t="s">
        <v>103</v>
      </c>
      <c r="C1713" s="148" t="s">
        <v>55</v>
      </c>
      <c r="D1713" s="148" t="s">
        <v>29</v>
      </c>
      <c r="E1713" s="148" t="s">
        <v>30</v>
      </c>
      <c r="F1713" s="148" t="s">
        <v>56</v>
      </c>
      <c r="G1713" s="148" t="s">
        <v>789</v>
      </c>
      <c r="H1713" s="148">
        <v>2013</v>
      </c>
      <c r="I1713" s="148">
        <v>3</v>
      </c>
      <c r="J1713" s="148" t="s">
        <v>33</v>
      </c>
      <c r="U1713" s="149" t="s">
        <v>3629</v>
      </c>
      <c r="V1713" s="148" t="s">
        <v>1078</v>
      </c>
      <c r="W1713" s="148" t="s">
        <v>87</v>
      </c>
      <c r="X1713" s="148" t="s">
        <v>1079</v>
      </c>
    </row>
    <row r="1714" spans="1:24" ht="15.75" hidden="1" customHeight="1" x14ac:dyDescent="0.25">
      <c r="A1714" s="148" t="s">
        <v>26</v>
      </c>
      <c r="B1714" s="148" t="s">
        <v>116</v>
      </c>
      <c r="C1714" s="148" t="s">
        <v>90</v>
      </c>
      <c r="D1714" s="148" t="s">
        <v>29</v>
      </c>
      <c r="E1714" s="148" t="s">
        <v>30</v>
      </c>
      <c r="F1714" s="148" t="s">
        <v>41</v>
      </c>
      <c r="G1714" s="148" t="s">
        <v>784</v>
      </c>
      <c r="H1714" s="148">
        <v>2013</v>
      </c>
      <c r="I1714" s="148">
        <v>3</v>
      </c>
      <c r="J1714" s="148" t="s">
        <v>792</v>
      </c>
      <c r="U1714" s="149" t="s">
        <v>3629</v>
      </c>
      <c r="V1714" s="148" t="s">
        <v>1080</v>
      </c>
      <c r="W1714" s="148" t="s">
        <v>87</v>
      </c>
      <c r="X1714" s="148" t="s">
        <v>1081</v>
      </c>
    </row>
    <row r="1715" spans="1:24" ht="15.75" hidden="1" customHeight="1" x14ac:dyDescent="0.25">
      <c r="A1715" s="148" t="s">
        <v>76</v>
      </c>
      <c r="B1715" s="148" t="s">
        <v>54</v>
      </c>
      <c r="C1715" s="148" t="s">
        <v>55</v>
      </c>
      <c r="D1715" s="148" t="s">
        <v>1082</v>
      </c>
      <c r="E1715" s="148" t="s">
        <v>30</v>
      </c>
      <c r="F1715" s="148" t="s">
        <v>56</v>
      </c>
      <c r="G1715" s="148" t="s">
        <v>54</v>
      </c>
      <c r="H1715" s="148">
        <v>2013</v>
      </c>
      <c r="I1715" s="148">
        <v>3</v>
      </c>
      <c r="J1715" s="148" t="s">
        <v>150</v>
      </c>
      <c r="K1715" s="148" t="s">
        <v>708</v>
      </c>
      <c r="M1715" s="148" t="s">
        <v>82</v>
      </c>
      <c r="N1715" s="148">
        <v>8</v>
      </c>
      <c r="O1715" s="148" t="s">
        <v>83</v>
      </c>
      <c r="P1715" s="148" t="s">
        <v>146</v>
      </c>
    </row>
    <row r="1716" spans="1:24" ht="15.75" hidden="1" customHeight="1" x14ac:dyDescent="0.25">
      <c r="A1716" s="148" t="s">
        <v>26</v>
      </c>
      <c r="B1716" s="148" t="s">
        <v>89</v>
      </c>
      <c r="C1716" s="148" t="s">
        <v>90</v>
      </c>
      <c r="D1716" s="148" t="s">
        <v>99</v>
      </c>
      <c r="E1716" s="148" t="s">
        <v>30</v>
      </c>
      <c r="F1716" s="148" t="s">
        <v>91</v>
      </c>
      <c r="G1716" s="148" t="s">
        <v>371</v>
      </c>
      <c r="H1716" s="148">
        <v>2013</v>
      </c>
      <c r="I1716" s="148">
        <v>4</v>
      </c>
      <c r="J1716" s="148" t="s">
        <v>33</v>
      </c>
      <c r="U1716" s="149" t="s">
        <v>3629</v>
      </c>
      <c r="V1716" s="148" t="s">
        <v>1078</v>
      </c>
      <c r="W1716" s="148" t="s">
        <v>87</v>
      </c>
      <c r="X1716" s="148" t="s">
        <v>1079</v>
      </c>
    </row>
    <row r="1717" spans="1:24" ht="15.75" hidden="1" customHeight="1" x14ac:dyDescent="0.25">
      <c r="A1717" s="148" t="s">
        <v>76</v>
      </c>
      <c r="B1717" s="148" t="s">
        <v>198</v>
      </c>
      <c r="C1717" s="148" t="s">
        <v>45</v>
      </c>
      <c r="D1717" s="148" t="s">
        <v>478</v>
      </c>
      <c r="E1717" s="148" t="s">
        <v>30</v>
      </c>
      <c r="F1717" s="148" t="s">
        <v>199</v>
      </c>
      <c r="G1717" s="148" t="s">
        <v>208</v>
      </c>
      <c r="H1717" s="148">
        <v>2013</v>
      </c>
      <c r="I1717" s="148">
        <v>4</v>
      </c>
      <c r="J1717" s="148" t="s">
        <v>118</v>
      </c>
      <c r="K1717" s="148" t="s">
        <v>708</v>
      </c>
      <c r="M1717" s="148" t="s">
        <v>82</v>
      </c>
      <c r="N1717" s="148">
        <v>8</v>
      </c>
      <c r="O1717" s="148" t="s">
        <v>101</v>
      </c>
      <c r="P1717" s="148" t="s">
        <v>1083</v>
      </c>
    </row>
    <row r="1718" spans="1:24" ht="15.75" hidden="1" customHeight="1" x14ac:dyDescent="0.25">
      <c r="A1718" s="148" t="s">
        <v>76</v>
      </c>
      <c r="B1718" s="148" t="s">
        <v>103</v>
      </c>
      <c r="C1718" s="148" t="s">
        <v>55</v>
      </c>
      <c r="D1718" s="148" t="s">
        <v>29</v>
      </c>
      <c r="E1718" s="148" t="s">
        <v>95</v>
      </c>
      <c r="F1718" s="148" t="s">
        <v>56</v>
      </c>
      <c r="G1718" s="148" t="s">
        <v>382</v>
      </c>
      <c r="H1718" s="148">
        <v>2013</v>
      </c>
      <c r="I1718" s="148">
        <v>4</v>
      </c>
      <c r="J1718" s="148" t="s">
        <v>118</v>
      </c>
      <c r="K1718" s="148" t="s">
        <v>708</v>
      </c>
      <c r="M1718" s="148" t="s">
        <v>82</v>
      </c>
      <c r="N1718" s="148">
        <v>8</v>
      </c>
      <c r="O1718" s="148" t="s">
        <v>101</v>
      </c>
      <c r="P1718" s="148" t="s">
        <v>545</v>
      </c>
    </row>
    <row r="1719" spans="1:24" ht="15.75" hidden="1" customHeight="1" x14ac:dyDescent="0.25">
      <c r="A1719" s="148" t="s">
        <v>76</v>
      </c>
      <c r="B1719" s="148" t="s">
        <v>36</v>
      </c>
      <c r="C1719" s="148" t="s">
        <v>28</v>
      </c>
      <c r="D1719" s="148" t="s">
        <v>342</v>
      </c>
      <c r="E1719" s="148" t="s">
        <v>30</v>
      </c>
      <c r="F1719" s="148" t="s">
        <v>3183</v>
      </c>
      <c r="G1719" s="148" t="s">
        <v>438</v>
      </c>
      <c r="H1719" s="148">
        <v>2013</v>
      </c>
      <c r="I1719" s="148">
        <v>4</v>
      </c>
      <c r="J1719" s="148" t="s">
        <v>118</v>
      </c>
      <c r="K1719" s="148" t="s">
        <v>708</v>
      </c>
      <c r="M1719" s="148" t="s">
        <v>82</v>
      </c>
      <c r="N1719" s="148">
        <v>8</v>
      </c>
      <c r="O1719" s="148" t="s">
        <v>101</v>
      </c>
      <c r="P1719" s="148" t="s">
        <v>1084</v>
      </c>
    </row>
    <row r="1720" spans="1:24" ht="15.75" hidden="1" customHeight="1" x14ac:dyDescent="0.25">
      <c r="A1720" s="148" t="s">
        <v>26</v>
      </c>
      <c r="B1720" s="148" t="s">
        <v>103</v>
      </c>
      <c r="C1720" s="148" t="s">
        <v>55</v>
      </c>
      <c r="D1720" s="148" t="s">
        <v>478</v>
      </c>
      <c r="E1720" s="148" t="s">
        <v>95</v>
      </c>
      <c r="F1720" s="148" t="s">
        <v>56</v>
      </c>
      <c r="G1720" s="148" t="s">
        <v>111</v>
      </c>
      <c r="H1720" s="148">
        <v>2013</v>
      </c>
      <c r="I1720" s="148">
        <v>4</v>
      </c>
      <c r="J1720" s="148" t="s">
        <v>33</v>
      </c>
      <c r="U1720" s="149" t="s">
        <v>3629</v>
      </c>
      <c r="V1720" s="148" t="s">
        <v>1078</v>
      </c>
      <c r="W1720" s="148" t="s">
        <v>87</v>
      </c>
      <c r="X1720" s="148" t="s">
        <v>1079</v>
      </c>
    </row>
    <row r="1721" spans="1:24" ht="15.75" hidden="1" customHeight="1" x14ac:dyDescent="0.25">
      <c r="A1721" s="148" t="s">
        <v>26</v>
      </c>
      <c r="B1721" s="148" t="s">
        <v>27</v>
      </c>
      <c r="C1721" s="148" t="s">
        <v>28</v>
      </c>
      <c r="D1721" s="148" t="s">
        <v>566</v>
      </c>
      <c r="E1721" s="148" t="s">
        <v>30</v>
      </c>
      <c r="F1721" s="148" t="s">
        <v>3183</v>
      </c>
      <c r="G1721" s="148" t="s">
        <v>53</v>
      </c>
      <c r="H1721" s="148">
        <v>2013</v>
      </c>
      <c r="I1721" s="148">
        <v>4</v>
      </c>
      <c r="J1721" s="148" t="s">
        <v>33</v>
      </c>
      <c r="U1721" s="149" t="s">
        <v>112</v>
      </c>
      <c r="V1721" s="148" t="s">
        <v>3669</v>
      </c>
      <c r="W1721" s="148" t="s">
        <v>49</v>
      </c>
      <c r="X1721" s="148" t="s">
        <v>1085</v>
      </c>
    </row>
    <row r="1722" spans="1:24" ht="15.75" hidden="1" customHeight="1" x14ac:dyDescent="0.25">
      <c r="A1722" s="148" t="s">
        <v>26</v>
      </c>
      <c r="B1722" s="148" t="s">
        <v>36</v>
      </c>
      <c r="C1722" s="148" t="s">
        <v>28</v>
      </c>
      <c r="D1722" s="148" t="s">
        <v>478</v>
      </c>
      <c r="E1722" s="148" t="s">
        <v>30</v>
      </c>
      <c r="F1722" s="148" t="s">
        <v>3183</v>
      </c>
      <c r="G1722" s="148" t="s">
        <v>59</v>
      </c>
      <c r="H1722" s="148">
        <v>2013</v>
      </c>
      <c r="I1722" s="148">
        <v>4</v>
      </c>
      <c r="J1722" s="148" t="s">
        <v>33</v>
      </c>
      <c r="U1722" s="149" t="s">
        <v>112</v>
      </c>
      <c r="V1722" s="148" t="s">
        <v>3669</v>
      </c>
      <c r="W1722" s="148" t="s">
        <v>49</v>
      </c>
      <c r="X1722" s="148" t="s">
        <v>1085</v>
      </c>
    </row>
    <row r="1723" spans="1:24" ht="15.75" hidden="1" customHeight="1" x14ac:dyDescent="0.25">
      <c r="A1723" s="148" t="s">
        <v>76</v>
      </c>
      <c r="B1723" s="148" t="s">
        <v>116</v>
      </c>
      <c r="C1723" s="148" t="s">
        <v>90</v>
      </c>
      <c r="D1723" s="148" t="s">
        <v>29</v>
      </c>
      <c r="E1723" s="148" t="s">
        <v>40</v>
      </c>
      <c r="F1723" s="148" t="s">
        <v>41</v>
      </c>
      <c r="G1723" s="148" t="s">
        <v>473</v>
      </c>
      <c r="H1723" s="148">
        <v>2013</v>
      </c>
      <c r="I1723" s="148">
        <v>4</v>
      </c>
      <c r="J1723" s="148" t="s">
        <v>118</v>
      </c>
      <c r="K1723" s="148" t="s">
        <v>939</v>
      </c>
      <c r="M1723" s="148" t="s">
        <v>492</v>
      </c>
      <c r="N1723" s="148">
        <v>5</v>
      </c>
      <c r="O1723" s="148" t="s">
        <v>101</v>
      </c>
    </row>
    <row r="1724" spans="1:24" ht="13.5" hidden="1" customHeight="1" x14ac:dyDescent="0.25">
      <c r="A1724" s="148" t="s">
        <v>26</v>
      </c>
      <c r="B1724" s="148" t="s">
        <v>89</v>
      </c>
      <c r="C1724" s="148" t="s">
        <v>90</v>
      </c>
      <c r="D1724" s="148" t="s">
        <v>29</v>
      </c>
      <c r="E1724" s="148" t="s">
        <v>40</v>
      </c>
      <c r="F1724" s="148" t="s">
        <v>91</v>
      </c>
      <c r="G1724" s="148" t="s">
        <v>142</v>
      </c>
      <c r="H1724" s="148">
        <v>2013</v>
      </c>
      <c r="I1724" s="148">
        <v>4</v>
      </c>
      <c r="J1724" s="148" t="s">
        <v>33</v>
      </c>
      <c r="U1724" s="149" t="s">
        <v>3629</v>
      </c>
      <c r="V1724" s="148" t="s">
        <v>1078</v>
      </c>
      <c r="W1724" s="148" t="s">
        <v>87</v>
      </c>
      <c r="X1724" s="148" t="s">
        <v>1079</v>
      </c>
    </row>
    <row r="1725" spans="1:24" ht="15.75" hidden="1" customHeight="1" x14ac:dyDescent="0.25">
      <c r="A1725" s="148" t="s">
        <v>26</v>
      </c>
      <c r="B1725" s="148" t="s">
        <v>36</v>
      </c>
      <c r="C1725" s="148" t="s">
        <v>28</v>
      </c>
      <c r="D1725" s="148" t="s">
        <v>342</v>
      </c>
      <c r="E1725" s="148" t="s">
        <v>30</v>
      </c>
      <c r="F1725" s="148" t="s">
        <v>3183</v>
      </c>
      <c r="G1725" s="148" t="s">
        <v>37</v>
      </c>
      <c r="H1725" s="148">
        <v>2013</v>
      </c>
      <c r="I1725" s="148">
        <v>4</v>
      </c>
      <c r="J1725" s="148" t="s">
        <v>33</v>
      </c>
      <c r="U1725" s="149" t="s">
        <v>112</v>
      </c>
      <c r="V1725" s="148" t="s">
        <v>3669</v>
      </c>
      <c r="W1725" s="148" t="s">
        <v>49</v>
      </c>
      <c r="X1725" s="148" t="s">
        <v>1085</v>
      </c>
    </row>
    <row r="1726" spans="1:24" ht="15.75" hidden="1" customHeight="1" x14ac:dyDescent="0.25">
      <c r="A1726" s="148" t="s">
        <v>76</v>
      </c>
      <c r="B1726" s="148" t="s">
        <v>36</v>
      </c>
      <c r="C1726" s="148" t="s">
        <v>28</v>
      </c>
      <c r="D1726" s="148" t="s">
        <v>86</v>
      </c>
      <c r="E1726" s="148" t="s">
        <v>51</v>
      </c>
      <c r="F1726" s="148" t="s">
        <v>3183</v>
      </c>
      <c r="G1726" s="148" t="s">
        <v>69</v>
      </c>
      <c r="H1726" s="148">
        <v>2013</v>
      </c>
      <c r="I1726" s="148">
        <v>4</v>
      </c>
      <c r="J1726" s="148" t="s">
        <v>118</v>
      </c>
      <c r="K1726" s="148" t="s">
        <v>708</v>
      </c>
      <c r="M1726" s="148" t="s">
        <v>82</v>
      </c>
      <c r="N1726" s="148">
        <v>8</v>
      </c>
      <c r="O1726" s="148" t="s">
        <v>101</v>
      </c>
      <c r="P1726" s="148" t="s">
        <v>1086</v>
      </c>
    </row>
    <row r="1727" spans="1:24" ht="15.75" hidden="1" customHeight="1" x14ac:dyDescent="0.25">
      <c r="A1727" s="148" t="s">
        <v>26</v>
      </c>
      <c r="B1727" s="148" t="s">
        <v>103</v>
      </c>
      <c r="C1727" s="148" t="s">
        <v>55</v>
      </c>
      <c r="D1727" s="148" t="s">
        <v>478</v>
      </c>
      <c r="E1727" s="148" t="s">
        <v>95</v>
      </c>
      <c r="F1727" s="148" t="s">
        <v>56</v>
      </c>
      <c r="G1727" s="148" t="s">
        <v>225</v>
      </c>
      <c r="H1727" s="148">
        <v>2013</v>
      </c>
      <c r="I1727" s="148">
        <v>4</v>
      </c>
      <c r="J1727" s="148" t="s">
        <v>33</v>
      </c>
      <c r="U1727" s="149" t="s">
        <v>3629</v>
      </c>
      <c r="V1727" s="148" t="s">
        <v>1078</v>
      </c>
      <c r="W1727" s="148" t="s">
        <v>87</v>
      </c>
      <c r="X1727" s="148" t="s">
        <v>1079</v>
      </c>
    </row>
    <row r="1728" spans="1:24" ht="15.75" hidden="1" customHeight="1" x14ac:dyDescent="0.25">
      <c r="A1728" s="148" t="s">
        <v>307</v>
      </c>
      <c r="B1728" s="148" t="s">
        <v>54</v>
      </c>
      <c r="C1728" s="148" t="s">
        <v>55</v>
      </c>
      <c r="D1728" s="148" t="s">
        <v>1082</v>
      </c>
      <c r="E1728" s="148" t="s">
        <v>30</v>
      </c>
      <c r="F1728" s="148" t="s">
        <v>56</v>
      </c>
      <c r="G1728" s="148" t="s">
        <v>54</v>
      </c>
      <c r="H1728" s="148">
        <v>2013</v>
      </c>
      <c r="I1728" s="148">
        <v>4</v>
      </c>
      <c r="J1728" s="148" t="s">
        <v>308</v>
      </c>
      <c r="Q1728" s="148" t="s">
        <v>309</v>
      </c>
      <c r="R1728" s="148" t="s">
        <v>1087</v>
      </c>
      <c r="S1728" s="148" t="s">
        <v>660</v>
      </c>
      <c r="T1728" s="148" t="s">
        <v>1088</v>
      </c>
    </row>
    <row r="1729" spans="1:26" ht="15.75" hidden="1" customHeight="1" x14ac:dyDescent="0.25">
      <c r="A1729" s="148" t="s">
        <v>76</v>
      </c>
      <c r="B1729" s="148" t="s">
        <v>116</v>
      </c>
      <c r="C1729" s="148" t="s">
        <v>90</v>
      </c>
      <c r="D1729" s="148" t="s">
        <v>29</v>
      </c>
      <c r="E1729" s="148" t="s">
        <v>30</v>
      </c>
      <c r="F1729" s="148" t="s">
        <v>41</v>
      </c>
      <c r="G1729" s="148" t="s">
        <v>756</v>
      </c>
      <c r="H1729" s="148">
        <v>2013</v>
      </c>
      <c r="I1729" s="148">
        <v>4</v>
      </c>
      <c r="J1729" s="148" t="s">
        <v>118</v>
      </c>
      <c r="K1729" s="148" t="s">
        <v>708</v>
      </c>
      <c r="M1729" s="148" t="s">
        <v>82</v>
      </c>
      <c r="N1729" s="148">
        <v>8</v>
      </c>
      <c r="O1729" s="148" t="s">
        <v>101</v>
      </c>
      <c r="P1729" s="148" t="s">
        <v>512</v>
      </c>
    </row>
    <row r="1730" spans="1:26" ht="13.5" hidden="1" customHeight="1" x14ac:dyDescent="0.25">
      <c r="A1730" s="148" t="s">
        <v>26</v>
      </c>
      <c r="B1730" s="148" t="s">
        <v>116</v>
      </c>
      <c r="C1730" s="148" t="s">
        <v>90</v>
      </c>
      <c r="D1730" s="148" t="s">
        <v>29</v>
      </c>
      <c r="E1730" s="148" t="s">
        <v>30</v>
      </c>
      <c r="F1730" s="148" t="s">
        <v>41</v>
      </c>
      <c r="G1730" s="148" t="s">
        <v>756</v>
      </c>
      <c r="H1730" s="148">
        <v>2013</v>
      </c>
      <c r="I1730" s="148">
        <v>4</v>
      </c>
      <c r="J1730" s="148" t="s">
        <v>792</v>
      </c>
      <c r="U1730" s="149" t="s">
        <v>3629</v>
      </c>
      <c r="V1730" s="148" t="s">
        <v>1089</v>
      </c>
      <c r="W1730" s="148" t="s">
        <v>49</v>
      </c>
      <c r="X1730" s="148" t="s">
        <v>1090</v>
      </c>
    </row>
    <row r="1731" spans="1:26" ht="15.75" hidden="1" customHeight="1" x14ac:dyDescent="0.25">
      <c r="A1731" s="148" t="s">
        <v>76</v>
      </c>
      <c r="B1731" s="148" t="s">
        <v>89</v>
      </c>
      <c r="C1731" s="148" t="s">
        <v>90</v>
      </c>
      <c r="D1731" s="148" t="s">
        <v>478</v>
      </c>
      <c r="E1731" s="148" t="s">
        <v>30</v>
      </c>
      <c r="F1731" s="148" t="s">
        <v>91</v>
      </c>
      <c r="G1731" s="148" t="s">
        <v>92</v>
      </c>
      <c r="H1731" s="148">
        <v>2013</v>
      </c>
      <c r="I1731" s="148">
        <v>4</v>
      </c>
      <c r="J1731" s="148" t="s">
        <v>118</v>
      </c>
      <c r="K1731" s="148" t="s">
        <v>927</v>
      </c>
      <c r="M1731" s="148" t="s">
        <v>464</v>
      </c>
      <c r="N1731" s="148">
        <v>6</v>
      </c>
      <c r="O1731" s="148" t="s">
        <v>101</v>
      </c>
      <c r="P1731" s="148" t="s">
        <v>1091</v>
      </c>
    </row>
    <row r="1732" spans="1:26" ht="15.75" hidden="1" customHeight="1" x14ac:dyDescent="0.25">
      <c r="A1732" s="148" t="s">
        <v>76</v>
      </c>
      <c r="B1732" s="148" t="s">
        <v>27</v>
      </c>
      <c r="C1732" s="148" t="s">
        <v>28</v>
      </c>
      <c r="D1732" s="148" t="s">
        <v>86</v>
      </c>
      <c r="E1732" s="148" t="s">
        <v>30</v>
      </c>
      <c r="F1732" s="148" t="s">
        <v>3183</v>
      </c>
      <c r="G1732" s="148" t="s">
        <v>43</v>
      </c>
      <c r="H1732" s="148">
        <v>2013</v>
      </c>
      <c r="I1732" s="148">
        <v>4</v>
      </c>
      <c r="J1732" s="148" t="s">
        <v>118</v>
      </c>
      <c r="K1732" s="148" t="s">
        <v>520</v>
      </c>
      <c r="M1732" s="148" t="s">
        <v>701</v>
      </c>
      <c r="N1732" s="148">
        <v>8</v>
      </c>
      <c r="O1732" s="148" t="s">
        <v>101</v>
      </c>
      <c r="P1732" s="148" t="s">
        <v>562</v>
      </c>
    </row>
    <row r="1733" spans="1:26" ht="15.75" hidden="1" customHeight="1" x14ac:dyDescent="0.25">
      <c r="A1733" s="148" t="s">
        <v>76</v>
      </c>
      <c r="B1733" s="148" t="s">
        <v>103</v>
      </c>
      <c r="C1733" s="148" t="s">
        <v>55</v>
      </c>
      <c r="D1733" s="148" t="s">
        <v>29</v>
      </c>
      <c r="E1733" s="148" t="s">
        <v>30</v>
      </c>
      <c r="F1733" s="148" t="s">
        <v>56</v>
      </c>
      <c r="G1733" s="148" t="s">
        <v>432</v>
      </c>
      <c r="H1733" s="148">
        <v>2013</v>
      </c>
      <c r="I1733" s="148">
        <v>4</v>
      </c>
      <c r="J1733" s="148" t="s">
        <v>118</v>
      </c>
      <c r="K1733" s="148" t="s">
        <v>708</v>
      </c>
      <c r="M1733" s="148" t="s">
        <v>82</v>
      </c>
      <c r="N1733" s="148">
        <v>8</v>
      </c>
      <c r="O1733" s="148" t="s">
        <v>101</v>
      </c>
      <c r="P1733" s="148" t="s">
        <v>418</v>
      </c>
    </row>
    <row r="1734" spans="1:26" ht="15.75" hidden="1" customHeight="1" x14ac:dyDescent="0.25">
      <c r="A1734" s="148" t="s">
        <v>76</v>
      </c>
      <c r="B1734" s="148" t="s">
        <v>89</v>
      </c>
      <c r="C1734" s="148" t="s">
        <v>90</v>
      </c>
      <c r="D1734" s="148" t="s">
        <v>158</v>
      </c>
      <c r="E1734" s="148" t="s">
        <v>30</v>
      </c>
      <c r="F1734" s="148" t="s">
        <v>91</v>
      </c>
      <c r="G1734" s="148" t="s">
        <v>93</v>
      </c>
      <c r="H1734" s="148">
        <v>2013</v>
      </c>
      <c r="I1734" s="148">
        <v>4</v>
      </c>
      <c r="J1734" s="148" t="s">
        <v>118</v>
      </c>
      <c r="K1734" s="148" t="s">
        <v>502</v>
      </c>
      <c r="M1734" s="148" t="s">
        <v>126</v>
      </c>
      <c r="N1734" s="148">
        <v>10</v>
      </c>
      <c r="O1734" s="148" t="s">
        <v>101</v>
      </c>
      <c r="P1734" s="148" t="s">
        <v>146</v>
      </c>
    </row>
    <row r="1735" spans="1:26" ht="13.5" hidden="1" customHeight="1" x14ac:dyDescent="0.25">
      <c r="A1735" s="148" t="s">
        <v>76</v>
      </c>
      <c r="B1735" s="148" t="s">
        <v>44</v>
      </c>
      <c r="C1735" s="148" t="s">
        <v>45</v>
      </c>
      <c r="D1735" s="148" t="s">
        <v>29</v>
      </c>
      <c r="E1735" s="148" t="s">
        <v>46</v>
      </c>
      <c r="F1735" s="148" t="s">
        <v>47</v>
      </c>
      <c r="G1735" s="148" t="s">
        <v>48</v>
      </c>
      <c r="H1735" s="148">
        <v>2013</v>
      </c>
      <c r="I1735" s="148">
        <v>4</v>
      </c>
      <c r="J1735" s="148" t="s">
        <v>118</v>
      </c>
      <c r="K1735" s="148" t="s">
        <v>502</v>
      </c>
      <c r="M1735" s="148" t="s">
        <v>126</v>
      </c>
      <c r="N1735" s="148">
        <v>10</v>
      </c>
      <c r="O1735" s="148" t="s">
        <v>101</v>
      </c>
      <c r="P1735" s="148" t="s">
        <v>1092</v>
      </c>
      <c r="Y1735" s="150" t="s">
        <v>1093</v>
      </c>
    </row>
    <row r="1736" spans="1:26" ht="15.75" hidden="1" customHeight="1" x14ac:dyDescent="0.25">
      <c r="A1736" s="148" t="s">
        <v>26</v>
      </c>
      <c r="B1736" s="148" t="s">
        <v>36</v>
      </c>
      <c r="C1736" s="148" t="s">
        <v>28</v>
      </c>
      <c r="D1736" s="148" t="s">
        <v>342</v>
      </c>
      <c r="E1736" s="148" t="s">
        <v>30</v>
      </c>
      <c r="F1736" s="148" t="s">
        <v>3183</v>
      </c>
      <c r="G1736" s="148" t="s">
        <v>114</v>
      </c>
      <c r="H1736" s="148">
        <v>2013</v>
      </c>
      <c r="I1736" s="148">
        <v>4</v>
      </c>
      <c r="J1736" s="148" t="s">
        <v>33</v>
      </c>
      <c r="U1736" s="149" t="s">
        <v>112</v>
      </c>
      <c r="V1736" s="148" t="s">
        <v>3669</v>
      </c>
      <c r="W1736" s="148" t="s">
        <v>49</v>
      </c>
      <c r="X1736" s="148" t="s">
        <v>1085</v>
      </c>
    </row>
    <row r="1737" spans="1:26" ht="15.75" hidden="1" customHeight="1" x14ac:dyDescent="0.25">
      <c r="A1737" s="148" t="s">
        <v>76</v>
      </c>
      <c r="B1737" s="148" t="s">
        <v>36</v>
      </c>
      <c r="C1737" s="148" t="s">
        <v>28</v>
      </c>
      <c r="D1737" s="148" t="s">
        <v>887</v>
      </c>
      <c r="E1737" s="148" t="s">
        <v>30</v>
      </c>
      <c r="F1737" s="148" t="s">
        <v>3183</v>
      </c>
      <c r="G1737" s="148" t="s">
        <v>888</v>
      </c>
      <c r="H1737" s="148">
        <v>2013</v>
      </c>
      <c r="I1737" s="148">
        <v>5</v>
      </c>
      <c r="J1737" s="148" t="s">
        <v>80</v>
      </c>
      <c r="K1737" s="148" t="s">
        <v>708</v>
      </c>
      <c r="M1737" s="148" t="s">
        <v>82</v>
      </c>
      <c r="N1737" s="148">
        <v>8</v>
      </c>
      <c r="O1737" s="148" t="s">
        <v>83</v>
      </c>
      <c r="P1737" s="148" t="s">
        <v>1094</v>
      </c>
      <c r="Y1737" s="150" t="s">
        <v>1095</v>
      </c>
      <c r="Z1737" s="148" t="s">
        <v>891</v>
      </c>
    </row>
    <row r="1738" spans="1:26" ht="15.75" hidden="1" customHeight="1" x14ac:dyDescent="0.25">
      <c r="A1738" s="148" t="s">
        <v>76</v>
      </c>
      <c r="B1738" s="148" t="s">
        <v>103</v>
      </c>
      <c r="C1738" s="148" t="s">
        <v>55</v>
      </c>
      <c r="D1738" s="148" t="s">
        <v>478</v>
      </c>
      <c r="E1738" s="148" t="s">
        <v>30</v>
      </c>
      <c r="F1738" s="148" t="s">
        <v>56</v>
      </c>
      <c r="G1738" s="148" t="s">
        <v>171</v>
      </c>
      <c r="H1738" s="148">
        <v>2013</v>
      </c>
      <c r="I1738" s="148">
        <v>5</v>
      </c>
      <c r="J1738" s="148" t="s">
        <v>150</v>
      </c>
      <c r="K1738" s="148" t="s">
        <v>579</v>
      </c>
      <c r="M1738" s="148" t="s">
        <v>126</v>
      </c>
      <c r="N1738" s="148">
        <v>10</v>
      </c>
      <c r="O1738" s="148" t="s">
        <v>83</v>
      </c>
    </row>
    <row r="1739" spans="1:26" ht="15.75" hidden="1" customHeight="1" x14ac:dyDescent="0.25">
      <c r="A1739" s="148" t="s">
        <v>76</v>
      </c>
      <c r="B1739" s="148" t="s">
        <v>198</v>
      </c>
      <c r="C1739" s="148" t="s">
        <v>45</v>
      </c>
      <c r="D1739" s="148" t="s">
        <v>29</v>
      </c>
      <c r="E1739" s="148" t="s">
        <v>30</v>
      </c>
      <c r="F1739" s="148" t="s">
        <v>199</v>
      </c>
      <c r="G1739" s="148" t="s">
        <v>205</v>
      </c>
      <c r="H1739" s="148">
        <v>2013</v>
      </c>
      <c r="I1739" s="148">
        <v>5</v>
      </c>
      <c r="J1739" s="148" t="s">
        <v>150</v>
      </c>
      <c r="K1739" s="148" t="s">
        <v>1096</v>
      </c>
      <c r="M1739" s="148" t="s">
        <v>120</v>
      </c>
      <c r="N1739" s="148">
        <v>6</v>
      </c>
      <c r="O1739" s="148" t="s">
        <v>83</v>
      </c>
    </row>
    <row r="1740" spans="1:26" ht="15.75" hidden="1" customHeight="1" x14ac:dyDescent="0.25">
      <c r="A1740" s="148" t="s">
        <v>76</v>
      </c>
      <c r="B1740" s="148" t="s">
        <v>36</v>
      </c>
      <c r="C1740" s="148" t="s">
        <v>28</v>
      </c>
      <c r="D1740" s="148" t="s">
        <v>29</v>
      </c>
      <c r="E1740" s="148" t="s">
        <v>30</v>
      </c>
      <c r="F1740" s="148" t="s">
        <v>3183</v>
      </c>
      <c r="G1740" s="148" t="s">
        <v>211</v>
      </c>
      <c r="H1740" s="148">
        <v>2013</v>
      </c>
      <c r="I1740" s="148">
        <v>5</v>
      </c>
      <c r="J1740" s="148" t="s">
        <v>150</v>
      </c>
      <c r="K1740" s="148" t="s">
        <v>708</v>
      </c>
      <c r="M1740" s="148" t="s">
        <v>82</v>
      </c>
      <c r="N1740" s="148">
        <v>8</v>
      </c>
      <c r="O1740" s="148" t="s">
        <v>83</v>
      </c>
    </row>
    <row r="1741" spans="1:26" ht="15.75" hidden="1" customHeight="1" x14ac:dyDescent="0.25">
      <c r="A1741" s="148" t="s">
        <v>76</v>
      </c>
      <c r="B1741" s="148" t="s">
        <v>116</v>
      </c>
      <c r="C1741" s="148" t="s">
        <v>90</v>
      </c>
      <c r="D1741" s="148" t="s">
        <v>86</v>
      </c>
      <c r="E1741" s="148" t="s">
        <v>40</v>
      </c>
      <c r="F1741" s="148" t="s">
        <v>41</v>
      </c>
      <c r="G1741" s="148" t="s">
        <v>117</v>
      </c>
      <c r="H1741" s="148">
        <v>2013</v>
      </c>
      <c r="I1741" s="148">
        <v>5</v>
      </c>
      <c r="J1741" s="148" t="s">
        <v>118</v>
      </c>
      <c r="K1741" s="148" t="s">
        <v>629</v>
      </c>
      <c r="M1741" s="148" t="s">
        <v>554</v>
      </c>
      <c r="N1741" s="148">
        <v>8</v>
      </c>
      <c r="O1741" s="148" t="s">
        <v>101</v>
      </c>
      <c r="P1741" s="148" t="s">
        <v>537</v>
      </c>
    </row>
    <row r="1742" spans="1:26" ht="15.75" hidden="1" customHeight="1" x14ac:dyDescent="0.25">
      <c r="A1742" s="148" t="s">
        <v>76</v>
      </c>
      <c r="B1742" s="148" t="s">
        <v>103</v>
      </c>
      <c r="C1742" s="148" t="s">
        <v>55</v>
      </c>
      <c r="D1742" s="148" t="s">
        <v>29</v>
      </c>
      <c r="E1742" s="148" t="s">
        <v>30</v>
      </c>
      <c r="F1742" s="148" t="s">
        <v>56</v>
      </c>
      <c r="G1742" s="148" t="s">
        <v>405</v>
      </c>
      <c r="H1742" s="148">
        <v>2013</v>
      </c>
      <c r="I1742" s="148">
        <v>5</v>
      </c>
      <c r="J1742" s="148" t="s">
        <v>118</v>
      </c>
      <c r="K1742" s="148" t="s">
        <v>579</v>
      </c>
      <c r="M1742" s="148" t="s">
        <v>126</v>
      </c>
      <c r="N1742" s="148">
        <v>10</v>
      </c>
      <c r="O1742" s="148" t="s">
        <v>101</v>
      </c>
      <c r="P1742" s="148" t="s">
        <v>545</v>
      </c>
    </row>
    <row r="1743" spans="1:26" ht="15.75" hidden="1" customHeight="1" x14ac:dyDescent="0.25">
      <c r="A1743" s="148" t="s">
        <v>76</v>
      </c>
      <c r="B1743" s="148" t="s">
        <v>198</v>
      </c>
      <c r="C1743" s="148" t="s">
        <v>45</v>
      </c>
      <c r="D1743" s="148" t="s">
        <v>780</v>
      </c>
      <c r="E1743" s="148" t="s">
        <v>30</v>
      </c>
      <c r="F1743" s="148" t="s">
        <v>199</v>
      </c>
      <c r="G1743" s="148" t="s">
        <v>781</v>
      </c>
      <c r="H1743" s="148">
        <v>2013</v>
      </c>
      <c r="I1743" s="148">
        <v>5</v>
      </c>
      <c r="J1743" s="148" t="s">
        <v>118</v>
      </c>
      <c r="K1743" s="148" t="s">
        <v>851</v>
      </c>
      <c r="M1743" s="148" t="s">
        <v>132</v>
      </c>
      <c r="N1743" s="148">
        <v>8</v>
      </c>
      <c r="O1743" s="148" t="s">
        <v>101</v>
      </c>
      <c r="P1743" s="148" t="s">
        <v>1097</v>
      </c>
    </row>
    <row r="1744" spans="1:26" ht="15.75" hidden="1" customHeight="1" x14ac:dyDescent="0.25">
      <c r="A1744" s="148" t="s">
        <v>76</v>
      </c>
      <c r="B1744" s="148" t="s">
        <v>77</v>
      </c>
      <c r="C1744" s="148" t="s">
        <v>55</v>
      </c>
      <c r="D1744" s="148" t="s">
        <v>478</v>
      </c>
      <c r="E1744" s="148" t="s">
        <v>30</v>
      </c>
      <c r="F1744" s="148" t="s">
        <v>41</v>
      </c>
      <c r="G1744" s="148" t="s">
        <v>159</v>
      </c>
      <c r="H1744" s="148">
        <v>2013</v>
      </c>
      <c r="I1744" s="148">
        <v>5</v>
      </c>
      <c r="J1744" s="148" t="s">
        <v>118</v>
      </c>
      <c r="K1744" s="148" t="s">
        <v>502</v>
      </c>
      <c r="M1744" s="148" t="s">
        <v>126</v>
      </c>
      <c r="N1744" s="148">
        <v>10</v>
      </c>
      <c r="O1744" s="148" t="s">
        <v>101</v>
      </c>
      <c r="P1744" s="148" t="s">
        <v>435</v>
      </c>
    </row>
    <row r="1745" spans="1:25" ht="15.75" hidden="1" customHeight="1" x14ac:dyDescent="0.25">
      <c r="A1745" s="148" t="s">
        <v>76</v>
      </c>
      <c r="B1745" s="148" t="s">
        <v>89</v>
      </c>
      <c r="C1745" s="148" t="s">
        <v>90</v>
      </c>
      <c r="D1745" s="148" t="s">
        <v>29</v>
      </c>
      <c r="E1745" s="148" t="s">
        <v>30</v>
      </c>
      <c r="F1745" s="148" t="s">
        <v>91</v>
      </c>
      <c r="G1745" s="148" t="s">
        <v>411</v>
      </c>
      <c r="H1745" s="148">
        <v>2013</v>
      </c>
      <c r="I1745" s="148">
        <v>5</v>
      </c>
      <c r="J1745" s="148" t="s">
        <v>118</v>
      </c>
      <c r="K1745" s="148" t="s">
        <v>708</v>
      </c>
      <c r="M1745" s="148" t="s">
        <v>82</v>
      </c>
      <c r="N1745" s="148">
        <v>8</v>
      </c>
      <c r="O1745" s="148" t="s">
        <v>101</v>
      </c>
      <c r="P1745" s="148" t="s">
        <v>435</v>
      </c>
    </row>
    <row r="1746" spans="1:25" ht="15.75" hidden="1" customHeight="1" x14ac:dyDescent="0.25">
      <c r="A1746" s="148" t="s">
        <v>76</v>
      </c>
      <c r="B1746" s="148" t="s">
        <v>71</v>
      </c>
      <c r="C1746" s="148" t="s">
        <v>45</v>
      </c>
      <c r="D1746" s="148" t="s">
        <v>29</v>
      </c>
      <c r="E1746" s="148" t="s">
        <v>72</v>
      </c>
      <c r="F1746" s="148" t="s">
        <v>3183</v>
      </c>
      <c r="G1746" s="148" t="s">
        <v>75</v>
      </c>
      <c r="H1746" s="148">
        <v>2013</v>
      </c>
      <c r="I1746" s="148">
        <v>5</v>
      </c>
      <c r="J1746" s="148" t="s">
        <v>118</v>
      </c>
      <c r="K1746" s="148" t="s">
        <v>629</v>
      </c>
      <c r="M1746" s="148" t="s">
        <v>554</v>
      </c>
      <c r="N1746" s="148">
        <v>8</v>
      </c>
      <c r="O1746" s="148" t="s">
        <v>101</v>
      </c>
      <c r="P1746" s="148" t="s">
        <v>537</v>
      </c>
    </row>
    <row r="1747" spans="1:25" ht="15.75" hidden="1" customHeight="1" x14ac:dyDescent="0.25">
      <c r="A1747" s="148" t="s">
        <v>76</v>
      </c>
      <c r="B1747" s="148" t="s">
        <v>62</v>
      </c>
      <c r="C1747" s="148" t="s">
        <v>28</v>
      </c>
      <c r="D1747" s="148" t="s">
        <v>51</v>
      </c>
      <c r="E1747" s="148" t="s">
        <v>30</v>
      </c>
      <c r="F1747" s="148" t="s">
        <v>3183</v>
      </c>
      <c r="G1747" s="148" t="s">
        <v>63</v>
      </c>
      <c r="H1747" s="148">
        <v>2013</v>
      </c>
      <c r="I1747" s="148">
        <v>5</v>
      </c>
      <c r="J1747" s="148" t="s">
        <v>118</v>
      </c>
      <c r="K1747" s="148" t="s">
        <v>502</v>
      </c>
      <c r="M1747" s="148" t="s">
        <v>126</v>
      </c>
      <c r="N1747" s="148">
        <v>10</v>
      </c>
      <c r="O1747" s="148" t="s">
        <v>101</v>
      </c>
      <c r="P1747" s="148" t="s">
        <v>1098</v>
      </c>
    </row>
    <row r="1748" spans="1:25" ht="15.75" hidden="1" customHeight="1" x14ac:dyDescent="0.25">
      <c r="A1748" s="148" t="s">
        <v>76</v>
      </c>
      <c r="B1748" s="148" t="s">
        <v>27</v>
      </c>
      <c r="C1748" s="148" t="s">
        <v>28</v>
      </c>
      <c r="D1748" s="148" t="s">
        <v>99</v>
      </c>
      <c r="E1748" s="148" t="s">
        <v>40</v>
      </c>
      <c r="F1748" s="148" t="s">
        <v>41</v>
      </c>
      <c r="G1748" s="148" t="s">
        <v>42</v>
      </c>
      <c r="H1748" s="148">
        <v>2013</v>
      </c>
      <c r="I1748" s="148">
        <v>5</v>
      </c>
      <c r="J1748" s="148" t="s">
        <v>118</v>
      </c>
      <c r="K1748" s="148" t="s">
        <v>629</v>
      </c>
      <c r="M1748" s="148" t="s">
        <v>554</v>
      </c>
      <c r="N1748" s="148">
        <v>8</v>
      </c>
      <c r="O1748" s="148" t="s">
        <v>101</v>
      </c>
      <c r="P1748" s="148" t="s">
        <v>1099</v>
      </c>
    </row>
    <row r="1749" spans="1:25" ht="15.75" hidden="1" customHeight="1" x14ac:dyDescent="0.25">
      <c r="A1749" s="148" t="s">
        <v>76</v>
      </c>
      <c r="B1749" s="148" t="s">
        <v>103</v>
      </c>
      <c r="C1749" s="148" t="s">
        <v>55</v>
      </c>
      <c r="D1749" s="148" t="s">
        <v>99</v>
      </c>
      <c r="E1749" s="148" t="s">
        <v>95</v>
      </c>
      <c r="F1749" s="148" t="s">
        <v>56</v>
      </c>
      <c r="G1749" s="148" t="s">
        <v>270</v>
      </c>
      <c r="H1749" s="148">
        <v>2013</v>
      </c>
      <c r="I1749" s="148">
        <v>5</v>
      </c>
      <c r="J1749" s="148" t="s">
        <v>118</v>
      </c>
      <c r="K1749" s="148" t="s">
        <v>502</v>
      </c>
      <c r="M1749" s="148" t="s">
        <v>126</v>
      </c>
      <c r="N1749" s="148">
        <v>10</v>
      </c>
      <c r="O1749" s="148" t="s">
        <v>101</v>
      </c>
      <c r="P1749" s="148" t="s">
        <v>146</v>
      </c>
    </row>
    <row r="1750" spans="1:25" ht="15.75" hidden="1" customHeight="1" x14ac:dyDescent="0.25">
      <c r="A1750" s="148" t="s">
        <v>76</v>
      </c>
      <c r="B1750" s="148" t="s">
        <v>103</v>
      </c>
      <c r="C1750" s="148" t="s">
        <v>55</v>
      </c>
      <c r="D1750" s="148" t="s">
        <v>478</v>
      </c>
      <c r="E1750" s="148" t="s">
        <v>95</v>
      </c>
      <c r="F1750" s="148" t="s">
        <v>56</v>
      </c>
      <c r="G1750" s="148" t="s">
        <v>338</v>
      </c>
      <c r="H1750" s="148">
        <v>2013</v>
      </c>
      <c r="I1750" s="148">
        <v>5</v>
      </c>
      <c r="J1750" s="148" t="s">
        <v>118</v>
      </c>
      <c r="K1750" s="148" t="s">
        <v>851</v>
      </c>
      <c r="M1750" s="148" t="s">
        <v>132</v>
      </c>
      <c r="N1750" s="148">
        <v>8</v>
      </c>
      <c r="O1750" s="148" t="s">
        <v>101</v>
      </c>
      <c r="P1750" s="148" t="s">
        <v>1100</v>
      </c>
    </row>
    <row r="1751" spans="1:25" ht="15.75" hidden="1" customHeight="1" x14ac:dyDescent="0.25">
      <c r="A1751" s="148" t="s">
        <v>76</v>
      </c>
      <c r="B1751" s="148" t="s">
        <v>198</v>
      </c>
      <c r="C1751" s="148" t="s">
        <v>45</v>
      </c>
      <c r="D1751" s="148" t="s">
        <v>29</v>
      </c>
      <c r="E1751" s="148" t="s">
        <v>30</v>
      </c>
      <c r="F1751" s="148" t="s">
        <v>199</v>
      </c>
      <c r="G1751" s="148" t="s">
        <v>430</v>
      </c>
      <c r="H1751" s="148">
        <v>2013</v>
      </c>
      <c r="I1751" s="148">
        <v>5</v>
      </c>
      <c r="J1751" s="148" t="s">
        <v>118</v>
      </c>
      <c r="K1751" s="148" t="s">
        <v>851</v>
      </c>
      <c r="M1751" s="148" t="s">
        <v>132</v>
      </c>
      <c r="N1751" s="148">
        <v>8</v>
      </c>
      <c r="O1751" s="148" t="s">
        <v>101</v>
      </c>
      <c r="P1751" s="148" t="s">
        <v>1101</v>
      </c>
    </row>
    <row r="1752" spans="1:25" ht="15.75" hidden="1" customHeight="1" x14ac:dyDescent="0.25">
      <c r="A1752" s="148" t="s">
        <v>76</v>
      </c>
      <c r="B1752" s="148" t="s">
        <v>103</v>
      </c>
      <c r="C1752" s="148" t="s">
        <v>55</v>
      </c>
      <c r="D1752" s="148" t="s">
        <v>86</v>
      </c>
      <c r="E1752" s="148" t="s">
        <v>95</v>
      </c>
      <c r="F1752" s="148" t="s">
        <v>56</v>
      </c>
      <c r="G1752" s="148" t="s">
        <v>186</v>
      </c>
      <c r="H1752" s="148">
        <v>2013</v>
      </c>
      <c r="I1752" s="148">
        <v>5</v>
      </c>
      <c r="J1752" s="148" t="s">
        <v>118</v>
      </c>
      <c r="K1752" s="148" t="s">
        <v>579</v>
      </c>
      <c r="M1752" s="148" t="s">
        <v>126</v>
      </c>
      <c r="N1752" s="148">
        <v>10</v>
      </c>
      <c r="O1752" s="148" t="s">
        <v>101</v>
      </c>
      <c r="P1752" s="148" t="s">
        <v>556</v>
      </c>
    </row>
    <row r="1753" spans="1:25" ht="15.75" hidden="1" customHeight="1" x14ac:dyDescent="0.25">
      <c r="A1753" s="148" t="s">
        <v>76</v>
      </c>
      <c r="B1753" s="148" t="s">
        <v>103</v>
      </c>
      <c r="C1753" s="148" t="s">
        <v>55</v>
      </c>
      <c r="D1753" s="148" t="s">
        <v>86</v>
      </c>
      <c r="E1753" s="148" t="s">
        <v>30</v>
      </c>
      <c r="F1753" s="148" t="s">
        <v>56</v>
      </c>
      <c r="G1753" s="148" t="s">
        <v>137</v>
      </c>
      <c r="H1753" s="148">
        <v>2013</v>
      </c>
      <c r="I1753" s="148">
        <v>5</v>
      </c>
      <c r="J1753" s="148" t="s">
        <v>118</v>
      </c>
      <c r="K1753" s="148" t="s">
        <v>579</v>
      </c>
      <c r="M1753" s="148" t="s">
        <v>126</v>
      </c>
      <c r="N1753" s="148">
        <v>10</v>
      </c>
      <c r="O1753" s="148" t="s">
        <v>101</v>
      </c>
      <c r="P1753" s="148" t="s">
        <v>609</v>
      </c>
    </row>
    <row r="1754" spans="1:25" ht="15.75" hidden="1" customHeight="1" x14ac:dyDescent="0.25">
      <c r="A1754" s="148" t="s">
        <v>76</v>
      </c>
      <c r="B1754" s="148" t="s">
        <v>44</v>
      </c>
      <c r="C1754" s="148" t="s">
        <v>45</v>
      </c>
      <c r="D1754" s="148" t="s">
        <v>29</v>
      </c>
      <c r="E1754" s="148" t="s">
        <v>46</v>
      </c>
      <c r="F1754" s="148" t="s">
        <v>47</v>
      </c>
      <c r="G1754" s="148" t="s">
        <v>48</v>
      </c>
      <c r="H1754" s="148">
        <v>2013</v>
      </c>
      <c r="I1754" s="148">
        <v>5</v>
      </c>
      <c r="J1754" s="148" t="s">
        <v>118</v>
      </c>
      <c r="K1754" s="148" t="s">
        <v>520</v>
      </c>
      <c r="M1754" s="148" t="s">
        <v>701</v>
      </c>
      <c r="N1754" s="148">
        <v>8</v>
      </c>
      <c r="O1754" s="148" t="s">
        <v>101</v>
      </c>
      <c r="P1754" s="148" t="s">
        <v>1102</v>
      </c>
      <c r="Y1754" s="150" t="s">
        <v>1093</v>
      </c>
    </row>
    <row r="1755" spans="1:25" ht="15.75" hidden="1" customHeight="1" x14ac:dyDescent="0.25">
      <c r="A1755" s="148" t="s">
        <v>76</v>
      </c>
      <c r="B1755" s="148" t="s">
        <v>89</v>
      </c>
      <c r="C1755" s="148" t="s">
        <v>90</v>
      </c>
      <c r="D1755" s="148" t="s">
        <v>29</v>
      </c>
      <c r="E1755" s="148" t="s">
        <v>30</v>
      </c>
      <c r="F1755" s="148" t="s">
        <v>91</v>
      </c>
      <c r="G1755" s="148" t="s">
        <v>280</v>
      </c>
      <c r="H1755" s="148">
        <v>2013</v>
      </c>
      <c r="I1755" s="148">
        <v>5</v>
      </c>
      <c r="J1755" s="148" t="s">
        <v>118</v>
      </c>
      <c r="K1755" s="148" t="s">
        <v>708</v>
      </c>
      <c r="M1755" s="148" t="s">
        <v>82</v>
      </c>
      <c r="N1755" s="148">
        <v>8</v>
      </c>
      <c r="O1755" s="148" t="s">
        <v>101</v>
      </c>
      <c r="P1755" s="148" t="s">
        <v>206</v>
      </c>
    </row>
    <row r="1756" spans="1:25" ht="15.75" hidden="1" customHeight="1" x14ac:dyDescent="0.25">
      <c r="A1756" s="148" t="s">
        <v>307</v>
      </c>
      <c r="B1756" s="148" t="s">
        <v>36</v>
      </c>
      <c r="C1756" s="148" t="s">
        <v>28</v>
      </c>
      <c r="D1756" s="148" t="s">
        <v>887</v>
      </c>
      <c r="E1756" s="148" t="s">
        <v>30</v>
      </c>
      <c r="F1756" s="148" t="s">
        <v>3183</v>
      </c>
      <c r="G1756" s="148" t="s">
        <v>888</v>
      </c>
      <c r="H1756" s="148">
        <v>2013</v>
      </c>
      <c r="I1756" s="148">
        <v>6</v>
      </c>
      <c r="J1756" s="148" t="s">
        <v>399</v>
      </c>
      <c r="K1756" s="148" t="s">
        <v>543</v>
      </c>
      <c r="M1756" s="148" t="s">
        <v>543</v>
      </c>
      <c r="N1756" s="148" t="s">
        <v>543</v>
      </c>
      <c r="O1756" s="148" t="s">
        <v>543</v>
      </c>
      <c r="P1756" s="148" t="s">
        <v>543</v>
      </c>
      <c r="Q1756" s="148" t="s">
        <v>426</v>
      </c>
      <c r="R1756" s="148" t="s">
        <v>1103</v>
      </c>
      <c r="S1756" s="148" t="s">
        <v>427</v>
      </c>
      <c r="T1756" s="148" t="s">
        <v>1104</v>
      </c>
      <c r="X1756" s="148" t="s">
        <v>1105</v>
      </c>
      <c r="Y1756" s="150" t="s">
        <v>891</v>
      </c>
    </row>
    <row r="1757" spans="1:25" ht="15.75" hidden="1" customHeight="1" x14ac:dyDescent="0.25">
      <c r="A1757" s="148" t="s">
        <v>26</v>
      </c>
      <c r="B1757" s="148" t="s">
        <v>36</v>
      </c>
      <c r="C1757" s="148" t="s">
        <v>28</v>
      </c>
      <c r="D1757" s="148" t="s">
        <v>29</v>
      </c>
      <c r="E1757" s="148" t="s">
        <v>30</v>
      </c>
      <c r="F1757" s="148" t="s">
        <v>3183</v>
      </c>
      <c r="G1757" s="148" t="s">
        <v>211</v>
      </c>
      <c r="H1757" s="148">
        <v>2013</v>
      </c>
      <c r="I1757" s="148">
        <v>6</v>
      </c>
      <c r="J1757" s="148" t="s">
        <v>895</v>
      </c>
      <c r="U1757" s="149" t="s">
        <v>112</v>
      </c>
      <c r="V1757" s="148" t="s">
        <v>3670</v>
      </c>
      <c r="W1757" s="148" t="s">
        <v>34</v>
      </c>
      <c r="X1757" s="148" t="s">
        <v>1106</v>
      </c>
    </row>
    <row r="1758" spans="1:25" ht="15.75" hidden="1" customHeight="1" x14ac:dyDescent="0.25">
      <c r="A1758" s="148" t="s">
        <v>76</v>
      </c>
      <c r="B1758" s="148" t="s">
        <v>44</v>
      </c>
      <c r="C1758" s="148" t="s">
        <v>45</v>
      </c>
      <c r="D1758" s="148" t="s">
        <v>99</v>
      </c>
      <c r="E1758" s="148" t="s">
        <v>95</v>
      </c>
      <c r="F1758" s="148" t="s">
        <v>47</v>
      </c>
      <c r="G1758" s="148" t="s">
        <v>96</v>
      </c>
      <c r="H1758" s="148">
        <v>2013</v>
      </c>
      <c r="I1758" s="148">
        <v>6</v>
      </c>
      <c r="J1758" s="148" t="s">
        <v>118</v>
      </c>
      <c r="K1758" s="148" t="s">
        <v>708</v>
      </c>
      <c r="M1758" s="148" t="s">
        <v>82</v>
      </c>
      <c r="N1758" s="148">
        <v>8</v>
      </c>
      <c r="O1758" s="148" t="s">
        <v>101</v>
      </c>
      <c r="P1758" s="148" t="s">
        <v>146</v>
      </c>
    </row>
    <row r="1759" spans="1:25" ht="15.75" hidden="1" customHeight="1" x14ac:dyDescent="0.25">
      <c r="A1759" s="148" t="s">
        <v>26</v>
      </c>
      <c r="B1759" s="148" t="s">
        <v>116</v>
      </c>
      <c r="C1759" s="148" t="s">
        <v>90</v>
      </c>
      <c r="D1759" s="148" t="s">
        <v>29</v>
      </c>
      <c r="E1759" s="148" t="s">
        <v>30</v>
      </c>
      <c r="F1759" s="148" t="s">
        <v>41</v>
      </c>
      <c r="G1759" s="148" t="s">
        <v>564</v>
      </c>
      <c r="H1759" s="148">
        <v>2013</v>
      </c>
      <c r="I1759" s="148">
        <v>6</v>
      </c>
      <c r="J1759" s="148" t="s">
        <v>792</v>
      </c>
      <c r="U1759" s="149" t="s">
        <v>3629</v>
      </c>
      <c r="V1759" s="148" t="s">
        <v>1107</v>
      </c>
      <c r="W1759" s="148" t="s">
        <v>49</v>
      </c>
      <c r="X1759" s="148" t="s">
        <v>1108</v>
      </c>
    </row>
    <row r="1760" spans="1:25" ht="15.75" hidden="1" customHeight="1" x14ac:dyDescent="0.25">
      <c r="A1760" s="148" t="s">
        <v>76</v>
      </c>
      <c r="B1760" s="148" t="s">
        <v>103</v>
      </c>
      <c r="C1760" s="148" t="s">
        <v>55</v>
      </c>
      <c r="D1760" s="148" t="s">
        <v>29</v>
      </c>
      <c r="E1760" s="148" t="s">
        <v>95</v>
      </c>
      <c r="F1760" s="148" t="s">
        <v>56</v>
      </c>
      <c r="G1760" s="148" t="s">
        <v>407</v>
      </c>
      <c r="H1760" s="148">
        <v>2013</v>
      </c>
      <c r="I1760" s="148">
        <v>6</v>
      </c>
      <c r="J1760" s="148" t="s">
        <v>150</v>
      </c>
      <c r="K1760" s="148" t="s">
        <v>927</v>
      </c>
      <c r="M1760" s="148" t="s">
        <v>464</v>
      </c>
      <c r="N1760" s="148">
        <v>6</v>
      </c>
      <c r="O1760" s="148" t="s">
        <v>83</v>
      </c>
    </row>
    <row r="1761" spans="1:26" ht="15.75" hidden="1" customHeight="1" x14ac:dyDescent="0.25">
      <c r="A1761" s="148" t="s">
        <v>76</v>
      </c>
      <c r="B1761" s="148" t="s">
        <v>36</v>
      </c>
      <c r="C1761" s="148" t="s">
        <v>28</v>
      </c>
      <c r="D1761" s="148" t="s">
        <v>29</v>
      </c>
      <c r="E1761" s="148" t="s">
        <v>30</v>
      </c>
      <c r="F1761" s="148" t="s">
        <v>3183</v>
      </c>
      <c r="G1761" s="148" t="s">
        <v>722</v>
      </c>
      <c r="H1761" s="148">
        <v>2013</v>
      </c>
      <c r="I1761" s="148">
        <v>6</v>
      </c>
      <c r="J1761" s="148" t="s">
        <v>80</v>
      </c>
      <c r="K1761" s="148" t="s">
        <v>768</v>
      </c>
      <c r="M1761" s="148" t="s">
        <v>120</v>
      </c>
      <c r="N1761" s="148">
        <v>6</v>
      </c>
      <c r="O1761" s="148" t="s">
        <v>83</v>
      </c>
      <c r="P1761" s="148" t="s">
        <v>1109</v>
      </c>
    </row>
    <row r="1762" spans="1:26" ht="15.75" hidden="1" customHeight="1" x14ac:dyDescent="0.25">
      <c r="A1762" s="148" t="s">
        <v>76</v>
      </c>
      <c r="B1762" s="148" t="s">
        <v>77</v>
      </c>
      <c r="C1762" s="148" t="s">
        <v>55</v>
      </c>
      <c r="D1762" s="148" t="s">
        <v>99</v>
      </c>
      <c r="E1762" s="148" t="s">
        <v>30</v>
      </c>
      <c r="F1762" s="148" t="s">
        <v>41</v>
      </c>
      <c r="G1762" s="148" t="s">
        <v>161</v>
      </c>
      <c r="H1762" s="148">
        <v>2013</v>
      </c>
      <c r="I1762" s="148">
        <v>6</v>
      </c>
      <c r="J1762" s="148" t="s">
        <v>150</v>
      </c>
      <c r="K1762" s="148" t="s">
        <v>708</v>
      </c>
      <c r="M1762" s="148" t="s">
        <v>82</v>
      </c>
      <c r="N1762" s="148">
        <v>8</v>
      </c>
      <c r="O1762" s="148" t="s">
        <v>83</v>
      </c>
    </row>
    <row r="1763" spans="1:26" ht="13.5" hidden="1" customHeight="1" x14ac:dyDescent="0.25">
      <c r="A1763" s="148" t="s">
        <v>76</v>
      </c>
      <c r="B1763" s="148" t="s">
        <v>116</v>
      </c>
      <c r="C1763" s="148" t="s">
        <v>90</v>
      </c>
      <c r="D1763" s="148" t="s">
        <v>29</v>
      </c>
      <c r="E1763" s="148" t="s">
        <v>30</v>
      </c>
      <c r="F1763" s="148" t="s">
        <v>41</v>
      </c>
      <c r="G1763" s="148" t="s">
        <v>513</v>
      </c>
      <c r="H1763" s="148">
        <v>2013</v>
      </c>
      <c r="I1763" s="148">
        <v>6</v>
      </c>
      <c r="J1763" s="148" t="s">
        <v>118</v>
      </c>
      <c r="K1763" s="148" t="s">
        <v>851</v>
      </c>
      <c r="M1763" s="148" t="s">
        <v>132</v>
      </c>
      <c r="N1763" s="148">
        <v>8</v>
      </c>
      <c r="O1763" s="148" t="s">
        <v>101</v>
      </c>
      <c r="P1763" s="148" t="s">
        <v>1110</v>
      </c>
    </row>
    <row r="1764" spans="1:26" ht="15.75" hidden="1" customHeight="1" x14ac:dyDescent="0.25">
      <c r="A1764" s="148" t="s">
        <v>26</v>
      </c>
      <c r="B1764" s="148" t="s">
        <v>27</v>
      </c>
      <c r="C1764" s="148" t="s">
        <v>90</v>
      </c>
      <c r="D1764" s="148" t="s">
        <v>29</v>
      </c>
      <c r="E1764" s="148" t="s">
        <v>30</v>
      </c>
      <c r="F1764" s="148" t="s">
        <v>3183</v>
      </c>
      <c r="G1764" s="148" t="s">
        <v>791</v>
      </c>
      <c r="H1764" s="148">
        <v>2013</v>
      </c>
      <c r="I1764" s="148">
        <v>6</v>
      </c>
      <c r="J1764" s="148" t="s">
        <v>895</v>
      </c>
      <c r="U1764" s="149" t="s">
        <v>112</v>
      </c>
      <c r="V1764" s="148" t="s">
        <v>3670</v>
      </c>
      <c r="W1764" s="148" t="s">
        <v>34</v>
      </c>
      <c r="X1764" s="148" t="s">
        <v>1106</v>
      </c>
    </row>
    <row r="1765" spans="1:26" ht="15.75" hidden="1" customHeight="1" x14ac:dyDescent="0.25">
      <c r="A1765" s="148" t="s">
        <v>26</v>
      </c>
      <c r="B1765" s="148" t="s">
        <v>27</v>
      </c>
      <c r="C1765" s="148" t="s">
        <v>28</v>
      </c>
      <c r="D1765" s="148" t="s">
        <v>99</v>
      </c>
      <c r="E1765" s="148" t="s">
        <v>40</v>
      </c>
      <c r="F1765" s="148" t="s">
        <v>41</v>
      </c>
      <c r="G1765" s="148" t="s">
        <v>42</v>
      </c>
      <c r="H1765" s="148">
        <v>2013</v>
      </c>
      <c r="I1765" s="148">
        <v>6</v>
      </c>
      <c r="J1765" s="148" t="s">
        <v>895</v>
      </c>
      <c r="U1765" s="149" t="s">
        <v>112</v>
      </c>
      <c r="V1765" s="148" t="s">
        <v>3670</v>
      </c>
      <c r="W1765" s="148" t="s">
        <v>34</v>
      </c>
      <c r="X1765" s="148" t="s">
        <v>1106</v>
      </c>
      <c r="Z1765" s="148" t="s">
        <v>896</v>
      </c>
    </row>
    <row r="1766" spans="1:26" ht="15.75" hidden="1" customHeight="1" x14ac:dyDescent="0.25">
      <c r="A1766" s="148" t="s">
        <v>307</v>
      </c>
      <c r="B1766" s="148" t="s">
        <v>54</v>
      </c>
      <c r="C1766" s="148" t="s">
        <v>55</v>
      </c>
      <c r="D1766" s="148" t="s">
        <v>1082</v>
      </c>
      <c r="E1766" s="148" t="s">
        <v>30</v>
      </c>
      <c r="F1766" s="148" t="s">
        <v>56</v>
      </c>
      <c r="G1766" s="148" t="s">
        <v>54</v>
      </c>
      <c r="H1766" s="148">
        <v>2013</v>
      </c>
      <c r="I1766" s="148">
        <v>6</v>
      </c>
      <c r="J1766" s="148" t="s">
        <v>308</v>
      </c>
      <c r="Q1766" s="148" t="s">
        <v>309</v>
      </c>
      <c r="R1766" s="148" t="s">
        <v>1111</v>
      </c>
      <c r="S1766" s="148" t="s">
        <v>660</v>
      </c>
      <c r="T1766" s="148" t="s">
        <v>1112</v>
      </c>
      <c r="Y1766" s="150" t="s">
        <v>1113</v>
      </c>
    </row>
    <row r="1767" spans="1:26" ht="15.75" hidden="1" customHeight="1" x14ac:dyDescent="0.25">
      <c r="A1767" s="148" t="s">
        <v>76</v>
      </c>
      <c r="B1767" s="148" t="s">
        <v>77</v>
      </c>
      <c r="C1767" s="148" t="s">
        <v>55</v>
      </c>
      <c r="D1767" s="148" t="s">
        <v>78</v>
      </c>
      <c r="E1767" s="148" t="s">
        <v>30</v>
      </c>
      <c r="F1767" s="148" t="s">
        <v>41</v>
      </c>
      <c r="G1767" s="148" t="s">
        <v>79</v>
      </c>
      <c r="H1767" s="148">
        <v>2013</v>
      </c>
      <c r="I1767" s="148">
        <v>6</v>
      </c>
      <c r="J1767" s="148" t="s">
        <v>80</v>
      </c>
      <c r="K1767" s="148" t="s">
        <v>708</v>
      </c>
      <c r="M1767" s="148" t="s">
        <v>82</v>
      </c>
      <c r="N1767" s="148">
        <v>8</v>
      </c>
      <c r="O1767" s="148" t="s">
        <v>83</v>
      </c>
      <c r="P1767" s="148" t="s">
        <v>1114</v>
      </c>
      <c r="Y1767" s="150" t="s">
        <v>1115</v>
      </c>
    </row>
    <row r="1768" spans="1:26" ht="15.75" hidden="1" customHeight="1" x14ac:dyDescent="0.25">
      <c r="A1768" s="148" t="s">
        <v>26</v>
      </c>
      <c r="B1768" s="148" t="s">
        <v>89</v>
      </c>
      <c r="C1768" s="148" t="s">
        <v>90</v>
      </c>
      <c r="D1768" s="148" t="s">
        <v>29</v>
      </c>
      <c r="E1768" s="148" t="s">
        <v>30</v>
      </c>
      <c r="F1768" s="148" t="s">
        <v>91</v>
      </c>
      <c r="G1768" s="148" t="s">
        <v>743</v>
      </c>
      <c r="H1768" s="148">
        <v>2013</v>
      </c>
      <c r="I1768" s="148">
        <v>6</v>
      </c>
      <c r="J1768" s="148" t="s">
        <v>33</v>
      </c>
      <c r="U1768" s="149" t="s">
        <v>3629</v>
      </c>
      <c r="V1768" s="148" t="s">
        <v>1107</v>
      </c>
      <c r="W1768" s="148" t="s">
        <v>49</v>
      </c>
      <c r="X1768" s="148" t="s">
        <v>1108</v>
      </c>
    </row>
    <row r="1769" spans="1:26" ht="13.5" hidden="1" customHeight="1" x14ac:dyDescent="0.25">
      <c r="A1769" s="148" t="s">
        <v>76</v>
      </c>
      <c r="B1769" s="148" t="s">
        <v>62</v>
      </c>
      <c r="C1769" s="148" t="s">
        <v>28</v>
      </c>
      <c r="D1769" s="148" t="s">
        <v>86</v>
      </c>
      <c r="E1769" s="148" t="s">
        <v>51</v>
      </c>
      <c r="F1769" s="148" t="s">
        <v>3183</v>
      </c>
      <c r="G1769" s="148" t="s">
        <v>130</v>
      </c>
      <c r="H1769" s="148">
        <v>2013</v>
      </c>
      <c r="I1769" s="148">
        <v>6</v>
      </c>
      <c r="J1769" s="148" t="s">
        <v>118</v>
      </c>
      <c r="K1769" s="148" t="s">
        <v>502</v>
      </c>
      <c r="M1769" s="148" t="s">
        <v>126</v>
      </c>
      <c r="N1769" s="148">
        <v>10</v>
      </c>
      <c r="O1769" s="148" t="s">
        <v>101</v>
      </c>
      <c r="P1769" s="148" t="s">
        <v>398</v>
      </c>
    </row>
    <row r="1770" spans="1:26" ht="15.75" hidden="1" customHeight="1" x14ac:dyDescent="0.25">
      <c r="A1770" s="148" t="s">
        <v>76</v>
      </c>
      <c r="B1770" s="148" t="s">
        <v>36</v>
      </c>
      <c r="C1770" s="148" t="s">
        <v>28</v>
      </c>
      <c r="D1770" s="148" t="s">
        <v>342</v>
      </c>
      <c r="E1770" s="148" t="s">
        <v>51</v>
      </c>
      <c r="F1770" s="148" t="s">
        <v>3183</v>
      </c>
      <c r="G1770" s="148" t="s">
        <v>52</v>
      </c>
      <c r="H1770" s="148">
        <v>2013</v>
      </c>
      <c r="I1770" s="148">
        <v>6</v>
      </c>
      <c r="J1770" s="148" t="s">
        <v>118</v>
      </c>
      <c r="K1770" s="148" t="s">
        <v>502</v>
      </c>
      <c r="M1770" s="148" t="s">
        <v>126</v>
      </c>
      <c r="N1770" s="148">
        <v>10</v>
      </c>
      <c r="O1770" s="148" t="s">
        <v>101</v>
      </c>
      <c r="P1770" s="148" t="s">
        <v>649</v>
      </c>
    </row>
    <row r="1771" spans="1:26" ht="15.75" hidden="1" customHeight="1" x14ac:dyDescent="0.25">
      <c r="A1771" s="148" t="s">
        <v>76</v>
      </c>
      <c r="B1771" s="148" t="s">
        <v>36</v>
      </c>
      <c r="C1771" s="148" t="s">
        <v>28</v>
      </c>
      <c r="D1771" s="148" t="s">
        <v>342</v>
      </c>
      <c r="E1771" s="148" t="s">
        <v>30</v>
      </c>
      <c r="F1771" s="148" t="s">
        <v>3183</v>
      </c>
      <c r="G1771" s="148" t="s">
        <v>114</v>
      </c>
      <c r="H1771" s="148">
        <v>2013</v>
      </c>
      <c r="I1771" s="148">
        <v>6</v>
      </c>
      <c r="J1771" s="148" t="s">
        <v>118</v>
      </c>
      <c r="K1771" s="148" t="s">
        <v>708</v>
      </c>
      <c r="M1771" s="148" t="s">
        <v>82</v>
      </c>
      <c r="N1771" s="148">
        <v>8</v>
      </c>
      <c r="O1771" s="148" t="s">
        <v>101</v>
      </c>
      <c r="P1771" s="148" t="s">
        <v>512</v>
      </c>
    </row>
    <row r="1772" spans="1:26" ht="15.75" hidden="1" customHeight="1" x14ac:dyDescent="0.25">
      <c r="A1772" s="148" t="s">
        <v>26</v>
      </c>
      <c r="B1772" s="148" t="s">
        <v>116</v>
      </c>
      <c r="C1772" s="148" t="s">
        <v>90</v>
      </c>
      <c r="D1772" s="148" t="s">
        <v>29</v>
      </c>
      <c r="E1772" s="148" t="s">
        <v>30</v>
      </c>
      <c r="F1772" s="148" t="s">
        <v>41</v>
      </c>
      <c r="G1772" s="148" t="s">
        <v>564</v>
      </c>
      <c r="H1772" s="148">
        <v>2013</v>
      </c>
      <c r="I1772" s="148">
        <v>7</v>
      </c>
      <c r="J1772" s="148" t="s">
        <v>792</v>
      </c>
      <c r="U1772" s="149" t="s">
        <v>3629</v>
      </c>
      <c r="V1772" s="148" t="s">
        <v>1107</v>
      </c>
      <c r="W1772" s="148" t="s">
        <v>49</v>
      </c>
      <c r="X1772" s="148" t="s">
        <v>1108</v>
      </c>
    </row>
    <row r="1773" spans="1:26" ht="15.75" hidden="1" customHeight="1" x14ac:dyDescent="0.25">
      <c r="A1773" s="148" t="s">
        <v>76</v>
      </c>
      <c r="B1773" s="148" t="s">
        <v>27</v>
      </c>
      <c r="C1773" s="148" t="s">
        <v>28</v>
      </c>
      <c r="D1773" s="148" t="s">
        <v>566</v>
      </c>
      <c r="E1773" s="148" t="s">
        <v>30</v>
      </c>
      <c r="F1773" s="148" t="s">
        <v>3183</v>
      </c>
      <c r="G1773" s="148" t="s">
        <v>53</v>
      </c>
      <c r="H1773" s="148">
        <v>2013</v>
      </c>
      <c r="I1773" s="148">
        <v>7</v>
      </c>
      <c r="J1773" s="148" t="s">
        <v>118</v>
      </c>
      <c r="K1773" s="148" t="s">
        <v>708</v>
      </c>
      <c r="M1773" s="148" t="s">
        <v>82</v>
      </c>
      <c r="N1773" s="148">
        <v>8</v>
      </c>
      <c r="O1773" s="148" t="s">
        <v>101</v>
      </c>
      <c r="P1773" s="148" t="s">
        <v>146</v>
      </c>
    </row>
    <row r="1774" spans="1:26" ht="15.75" hidden="1" customHeight="1" x14ac:dyDescent="0.25">
      <c r="A1774" s="148" t="s">
        <v>76</v>
      </c>
      <c r="B1774" s="148" t="s">
        <v>103</v>
      </c>
      <c r="C1774" s="148" t="s">
        <v>55</v>
      </c>
      <c r="D1774" s="148" t="s">
        <v>478</v>
      </c>
      <c r="E1774" s="148" t="s">
        <v>95</v>
      </c>
      <c r="F1774" s="148" t="s">
        <v>56</v>
      </c>
      <c r="G1774" s="148" t="s">
        <v>107</v>
      </c>
      <c r="H1774" s="148">
        <v>2013</v>
      </c>
      <c r="I1774" s="148">
        <v>7</v>
      </c>
      <c r="J1774" s="148" t="s">
        <v>150</v>
      </c>
      <c r="K1774" s="148" t="s">
        <v>710</v>
      </c>
      <c r="M1774" s="148" t="s">
        <v>173</v>
      </c>
      <c r="N1774" s="148">
        <v>8</v>
      </c>
      <c r="O1774" s="148" t="s">
        <v>83</v>
      </c>
    </row>
    <row r="1775" spans="1:26" ht="15.75" hidden="1" customHeight="1" x14ac:dyDescent="0.25">
      <c r="A1775" s="148" t="s">
        <v>76</v>
      </c>
      <c r="B1775" s="148" t="s">
        <v>77</v>
      </c>
      <c r="C1775" s="148" t="s">
        <v>55</v>
      </c>
      <c r="D1775" s="148" t="s">
        <v>478</v>
      </c>
      <c r="E1775" s="148" t="s">
        <v>30</v>
      </c>
      <c r="F1775" s="148" t="s">
        <v>41</v>
      </c>
      <c r="G1775" s="148" t="s">
        <v>159</v>
      </c>
      <c r="H1775" s="148">
        <v>2013</v>
      </c>
      <c r="I1775" s="148">
        <v>7</v>
      </c>
      <c r="J1775" s="148" t="s">
        <v>150</v>
      </c>
      <c r="K1775" s="148" t="s">
        <v>502</v>
      </c>
      <c r="M1775" s="148" t="s">
        <v>126</v>
      </c>
      <c r="N1775" s="148">
        <v>10</v>
      </c>
      <c r="O1775" s="148" t="s">
        <v>83</v>
      </c>
    </row>
    <row r="1776" spans="1:26" ht="15.75" hidden="1" customHeight="1" x14ac:dyDescent="0.25">
      <c r="A1776" s="148" t="s">
        <v>76</v>
      </c>
      <c r="B1776" s="148" t="s">
        <v>36</v>
      </c>
      <c r="C1776" s="148" t="s">
        <v>28</v>
      </c>
      <c r="D1776" s="148" t="s">
        <v>342</v>
      </c>
      <c r="E1776" s="148" t="s">
        <v>30</v>
      </c>
      <c r="F1776" s="148" t="s">
        <v>3183</v>
      </c>
      <c r="G1776" s="148" t="s">
        <v>242</v>
      </c>
      <c r="H1776" s="148">
        <v>2013</v>
      </c>
      <c r="I1776" s="148">
        <v>7</v>
      </c>
      <c r="J1776" s="148" t="s">
        <v>118</v>
      </c>
      <c r="K1776" s="148" t="s">
        <v>708</v>
      </c>
      <c r="M1776" s="148" t="s">
        <v>82</v>
      </c>
      <c r="N1776" s="148">
        <v>8</v>
      </c>
      <c r="O1776" s="148" t="s">
        <v>101</v>
      </c>
      <c r="P1776" s="148" t="s">
        <v>1084</v>
      </c>
    </row>
    <row r="1777" spans="1:26" ht="13.5" hidden="1" customHeight="1" x14ac:dyDescent="0.25">
      <c r="A1777" s="148" t="s">
        <v>76</v>
      </c>
      <c r="B1777" s="148" t="s">
        <v>89</v>
      </c>
      <c r="C1777" s="148" t="s">
        <v>90</v>
      </c>
      <c r="D1777" s="148" t="s">
        <v>99</v>
      </c>
      <c r="E1777" s="148" t="s">
        <v>30</v>
      </c>
      <c r="F1777" s="148" t="s">
        <v>91</v>
      </c>
      <c r="G1777" s="148" t="s">
        <v>178</v>
      </c>
      <c r="H1777" s="148">
        <v>2013</v>
      </c>
      <c r="I1777" s="148">
        <v>7</v>
      </c>
      <c r="J1777" s="148" t="s">
        <v>118</v>
      </c>
      <c r="K1777" s="148" t="s">
        <v>708</v>
      </c>
      <c r="M1777" s="148" t="s">
        <v>82</v>
      </c>
      <c r="N1777" s="148">
        <v>8</v>
      </c>
      <c r="O1777" s="148" t="s">
        <v>101</v>
      </c>
      <c r="P1777" s="148" t="s">
        <v>1116</v>
      </c>
    </row>
    <row r="1778" spans="1:26" ht="15.75" hidden="1" customHeight="1" x14ac:dyDescent="0.25">
      <c r="A1778" s="148" t="s">
        <v>76</v>
      </c>
      <c r="B1778" s="148" t="s">
        <v>54</v>
      </c>
      <c r="C1778" s="148" t="s">
        <v>55</v>
      </c>
      <c r="D1778" s="148" t="s">
        <v>1082</v>
      </c>
      <c r="E1778" s="148" t="s">
        <v>30</v>
      </c>
      <c r="F1778" s="148" t="s">
        <v>56</v>
      </c>
      <c r="G1778" s="148" t="s">
        <v>54</v>
      </c>
      <c r="H1778" s="148">
        <v>2013</v>
      </c>
      <c r="I1778" s="148">
        <v>7</v>
      </c>
      <c r="J1778" s="148" t="s">
        <v>150</v>
      </c>
      <c r="K1778" s="148" t="s">
        <v>851</v>
      </c>
      <c r="M1778" s="148" t="s">
        <v>132</v>
      </c>
      <c r="N1778" s="148">
        <v>8</v>
      </c>
      <c r="O1778" s="148" t="s">
        <v>83</v>
      </c>
      <c r="P1778" s="148" t="s">
        <v>435</v>
      </c>
    </row>
    <row r="1779" spans="1:26" ht="15.75" hidden="1" customHeight="1" x14ac:dyDescent="0.25">
      <c r="A1779" s="148" t="s">
        <v>307</v>
      </c>
      <c r="B1779" s="148" t="s">
        <v>54</v>
      </c>
      <c r="C1779" s="148" t="s">
        <v>55</v>
      </c>
      <c r="D1779" s="148" t="s">
        <v>1082</v>
      </c>
      <c r="E1779" s="148" t="s">
        <v>30</v>
      </c>
      <c r="F1779" s="148" t="s">
        <v>56</v>
      </c>
      <c r="G1779" s="148" t="s">
        <v>54</v>
      </c>
      <c r="H1779" s="148">
        <v>2013</v>
      </c>
      <c r="I1779" s="148">
        <v>7</v>
      </c>
      <c r="J1779" s="148" t="s">
        <v>308</v>
      </c>
      <c r="Q1779" s="148" t="s">
        <v>594</v>
      </c>
      <c r="R1779" s="148" t="s">
        <v>1117</v>
      </c>
      <c r="S1779" s="148" t="s">
        <v>427</v>
      </c>
      <c r="T1779" s="148" t="s">
        <v>1118</v>
      </c>
    </row>
    <row r="1780" spans="1:26" ht="15.75" hidden="1" customHeight="1" x14ac:dyDescent="0.25">
      <c r="A1780" s="148" t="s">
        <v>307</v>
      </c>
      <c r="B1780" s="148" t="s">
        <v>54</v>
      </c>
      <c r="C1780" s="148" t="s">
        <v>55</v>
      </c>
      <c r="D1780" s="148" t="s">
        <v>1082</v>
      </c>
      <c r="E1780" s="148" t="s">
        <v>30</v>
      </c>
      <c r="F1780" s="148" t="s">
        <v>56</v>
      </c>
      <c r="G1780" s="148" t="s">
        <v>54</v>
      </c>
      <c r="H1780" s="148">
        <v>2013</v>
      </c>
      <c r="I1780" s="148">
        <v>7</v>
      </c>
      <c r="J1780" s="148" t="s">
        <v>308</v>
      </c>
      <c r="Q1780" s="148" t="s">
        <v>594</v>
      </c>
      <c r="R1780" s="148" t="s">
        <v>1119</v>
      </c>
      <c r="S1780" s="148" t="s">
        <v>596</v>
      </c>
      <c r="T1780" s="148" t="s">
        <v>1120</v>
      </c>
    </row>
    <row r="1781" spans="1:26" ht="15.75" customHeight="1" x14ac:dyDescent="0.25">
      <c r="A1781" s="148" t="s">
        <v>76</v>
      </c>
      <c r="B1781" s="148" t="s">
        <v>36</v>
      </c>
      <c r="C1781" s="148" t="s">
        <v>28</v>
      </c>
      <c r="D1781" s="148" t="s">
        <v>29</v>
      </c>
      <c r="E1781" s="148" t="s">
        <v>30</v>
      </c>
      <c r="F1781" s="148" t="s">
        <v>3183</v>
      </c>
      <c r="G1781" s="148" t="s">
        <v>194</v>
      </c>
      <c r="H1781" s="148">
        <v>2013</v>
      </c>
      <c r="I1781" s="148">
        <v>7</v>
      </c>
      <c r="J1781" s="148" t="s">
        <v>118</v>
      </c>
      <c r="K1781" s="148" t="s">
        <v>520</v>
      </c>
      <c r="M1781" s="148" t="s">
        <v>701</v>
      </c>
      <c r="N1781" s="148">
        <v>8</v>
      </c>
      <c r="O1781" s="148" t="s">
        <v>101</v>
      </c>
      <c r="P1781" s="148" t="s">
        <v>562</v>
      </c>
    </row>
    <row r="1782" spans="1:26" ht="15.75" hidden="1" customHeight="1" x14ac:dyDescent="0.25">
      <c r="A1782" s="148" t="s">
        <v>76</v>
      </c>
      <c r="B1782" s="148" t="s">
        <v>62</v>
      </c>
      <c r="C1782" s="148" t="s">
        <v>28</v>
      </c>
      <c r="D1782" s="148" t="s">
        <v>86</v>
      </c>
      <c r="E1782" s="148" t="s">
        <v>51</v>
      </c>
      <c r="F1782" s="148" t="s">
        <v>3183</v>
      </c>
      <c r="G1782" s="148" t="s">
        <v>130</v>
      </c>
      <c r="H1782" s="148">
        <v>2013</v>
      </c>
      <c r="I1782" s="148">
        <v>7</v>
      </c>
      <c r="J1782" s="148" t="s">
        <v>118</v>
      </c>
      <c r="K1782" s="148" t="s">
        <v>520</v>
      </c>
      <c r="M1782" s="148" t="s">
        <v>701</v>
      </c>
      <c r="N1782" s="148">
        <v>8</v>
      </c>
      <c r="O1782" s="148" t="s">
        <v>101</v>
      </c>
      <c r="P1782" s="148" t="s">
        <v>1121</v>
      </c>
    </row>
    <row r="1783" spans="1:26" ht="13.5" hidden="1" customHeight="1" x14ac:dyDescent="0.25">
      <c r="A1783" s="148" t="s">
        <v>76</v>
      </c>
      <c r="B1783" s="148" t="s">
        <v>36</v>
      </c>
      <c r="C1783" s="148" t="s">
        <v>28</v>
      </c>
      <c r="D1783" s="148" t="s">
        <v>342</v>
      </c>
      <c r="E1783" s="148" t="s">
        <v>51</v>
      </c>
      <c r="F1783" s="148" t="s">
        <v>3183</v>
      </c>
      <c r="G1783" s="148" t="s">
        <v>52</v>
      </c>
      <c r="H1783" s="148">
        <v>2013</v>
      </c>
      <c r="I1783" s="148">
        <v>7</v>
      </c>
      <c r="J1783" s="148" t="s">
        <v>150</v>
      </c>
      <c r="K1783" s="148" t="s">
        <v>502</v>
      </c>
      <c r="M1783" s="148" t="s">
        <v>126</v>
      </c>
      <c r="N1783" s="148">
        <v>10</v>
      </c>
      <c r="O1783" s="148" t="s">
        <v>83</v>
      </c>
    </row>
    <row r="1784" spans="1:26" ht="15.75" hidden="1" customHeight="1" x14ac:dyDescent="0.25">
      <c r="A1784" s="148" t="s">
        <v>307</v>
      </c>
      <c r="B1784" s="148" t="s">
        <v>36</v>
      </c>
      <c r="C1784" s="148" t="s">
        <v>28</v>
      </c>
      <c r="D1784" s="148" t="s">
        <v>342</v>
      </c>
      <c r="E1784" s="148" t="s">
        <v>51</v>
      </c>
      <c r="F1784" s="148" t="s">
        <v>3183</v>
      </c>
      <c r="G1784" s="148" t="s">
        <v>52</v>
      </c>
      <c r="H1784" s="148">
        <v>2013</v>
      </c>
      <c r="I1784" s="148">
        <v>7</v>
      </c>
      <c r="J1784" s="148" t="s">
        <v>308</v>
      </c>
      <c r="Q1784" s="148" t="s">
        <v>309</v>
      </c>
      <c r="R1784" s="148" t="s">
        <v>1122</v>
      </c>
      <c r="S1784" s="148" t="s">
        <v>311</v>
      </c>
      <c r="T1784" s="148" t="s">
        <v>309</v>
      </c>
    </row>
    <row r="1785" spans="1:26" ht="15.75" hidden="1" customHeight="1" x14ac:dyDescent="0.25">
      <c r="A1785" s="148" t="s">
        <v>76</v>
      </c>
      <c r="B1785" s="148" t="s">
        <v>89</v>
      </c>
      <c r="C1785" s="148" t="s">
        <v>90</v>
      </c>
      <c r="D1785" s="148" t="s">
        <v>99</v>
      </c>
      <c r="E1785" s="148" t="s">
        <v>30</v>
      </c>
      <c r="F1785" s="148" t="s">
        <v>91</v>
      </c>
      <c r="G1785" s="148" t="s">
        <v>499</v>
      </c>
      <c r="H1785" s="148">
        <v>2013</v>
      </c>
      <c r="I1785" s="148">
        <v>8</v>
      </c>
      <c r="J1785" s="148" t="s">
        <v>118</v>
      </c>
      <c r="K1785" s="148" t="s">
        <v>927</v>
      </c>
      <c r="M1785" s="148" t="s">
        <v>464</v>
      </c>
      <c r="N1785" s="148">
        <v>6</v>
      </c>
      <c r="O1785" s="148" t="s">
        <v>101</v>
      </c>
      <c r="P1785" s="148" t="s">
        <v>1123</v>
      </c>
    </row>
    <row r="1786" spans="1:26" ht="15.75" hidden="1" customHeight="1" x14ac:dyDescent="0.25">
      <c r="A1786" s="148" t="s">
        <v>76</v>
      </c>
      <c r="B1786" s="148" t="s">
        <v>36</v>
      </c>
      <c r="C1786" s="148" t="s">
        <v>28</v>
      </c>
      <c r="D1786" s="148" t="s">
        <v>887</v>
      </c>
      <c r="E1786" s="148" t="s">
        <v>30</v>
      </c>
      <c r="F1786" s="148" t="s">
        <v>3183</v>
      </c>
      <c r="G1786" s="148" t="s">
        <v>888</v>
      </c>
      <c r="H1786" s="148">
        <v>2013</v>
      </c>
      <c r="I1786" s="148">
        <v>8</v>
      </c>
      <c r="J1786" s="148" t="s">
        <v>80</v>
      </c>
      <c r="K1786" s="148" t="s">
        <v>708</v>
      </c>
      <c r="M1786" s="148" t="s">
        <v>82</v>
      </c>
      <c r="N1786" s="148">
        <v>8</v>
      </c>
      <c r="O1786" s="148" t="s">
        <v>83</v>
      </c>
      <c r="P1786" s="148" t="s">
        <v>1124</v>
      </c>
      <c r="Y1786" s="150" t="s">
        <v>1105</v>
      </c>
      <c r="Z1786" s="148" t="s">
        <v>891</v>
      </c>
    </row>
    <row r="1787" spans="1:26" ht="15.75" hidden="1" customHeight="1" x14ac:dyDescent="0.25">
      <c r="A1787" s="148" t="s">
        <v>76</v>
      </c>
      <c r="B1787" s="148" t="s">
        <v>71</v>
      </c>
      <c r="C1787" s="148" t="s">
        <v>45</v>
      </c>
      <c r="D1787" s="148" t="s">
        <v>29</v>
      </c>
      <c r="E1787" s="148" t="s">
        <v>72</v>
      </c>
      <c r="F1787" s="148" t="s">
        <v>3183</v>
      </c>
      <c r="G1787" s="148" t="s">
        <v>73</v>
      </c>
      <c r="H1787" s="148">
        <v>2013</v>
      </c>
      <c r="I1787" s="148">
        <v>8</v>
      </c>
      <c r="J1787" s="148" t="s">
        <v>118</v>
      </c>
      <c r="K1787" s="148" t="s">
        <v>520</v>
      </c>
      <c r="M1787" s="148" t="s">
        <v>701</v>
      </c>
      <c r="N1787" s="148">
        <v>8</v>
      </c>
      <c r="O1787" s="148" t="s">
        <v>101</v>
      </c>
      <c r="P1787" s="148" t="s">
        <v>562</v>
      </c>
    </row>
    <row r="1788" spans="1:26" ht="15.75" hidden="1" customHeight="1" x14ac:dyDescent="0.25">
      <c r="A1788" s="148" t="s">
        <v>26</v>
      </c>
      <c r="B1788" s="148" t="s">
        <v>71</v>
      </c>
      <c r="C1788" s="148" t="s">
        <v>45</v>
      </c>
      <c r="D1788" s="148" t="s">
        <v>29</v>
      </c>
      <c r="E1788" s="148" t="s">
        <v>72</v>
      </c>
      <c r="F1788" s="148" t="s">
        <v>3183</v>
      </c>
      <c r="G1788" s="148" t="s">
        <v>73</v>
      </c>
      <c r="H1788" s="148">
        <v>2013</v>
      </c>
      <c r="I1788" s="148">
        <v>8</v>
      </c>
      <c r="J1788" s="148" t="s">
        <v>33</v>
      </c>
      <c r="U1788" s="149" t="s">
        <v>112</v>
      </c>
      <c r="V1788" s="148" t="s">
        <v>3671</v>
      </c>
      <c r="W1788" s="148" t="s">
        <v>49</v>
      </c>
      <c r="X1788" s="148" t="s">
        <v>1125</v>
      </c>
    </row>
    <row r="1789" spans="1:26" ht="15.75" hidden="1" customHeight="1" x14ac:dyDescent="0.25">
      <c r="A1789" s="148" t="s">
        <v>26</v>
      </c>
      <c r="B1789" s="148" t="s">
        <v>27</v>
      </c>
      <c r="C1789" s="148" t="s">
        <v>28</v>
      </c>
      <c r="D1789" s="148" t="s">
        <v>158</v>
      </c>
      <c r="E1789" s="148" t="s">
        <v>30</v>
      </c>
      <c r="F1789" s="148" t="s">
        <v>3183</v>
      </c>
      <c r="G1789" s="148" t="s">
        <v>32</v>
      </c>
      <c r="H1789" s="148">
        <v>2013</v>
      </c>
      <c r="I1789" s="148">
        <v>8</v>
      </c>
      <c r="J1789" s="148" t="s">
        <v>895</v>
      </c>
      <c r="U1789" s="149" t="s">
        <v>112</v>
      </c>
      <c r="V1789" s="148" t="s">
        <v>3670</v>
      </c>
      <c r="W1789" s="148" t="s">
        <v>34</v>
      </c>
      <c r="X1789" s="148" t="s">
        <v>1106</v>
      </c>
    </row>
    <row r="1790" spans="1:26" ht="15.75" hidden="1" customHeight="1" x14ac:dyDescent="0.25">
      <c r="A1790" s="148" t="s">
        <v>76</v>
      </c>
      <c r="B1790" s="148" t="s">
        <v>36</v>
      </c>
      <c r="C1790" s="148" t="s">
        <v>28</v>
      </c>
      <c r="D1790" s="148" t="s">
        <v>29</v>
      </c>
      <c r="E1790" s="148" t="s">
        <v>30</v>
      </c>
      <c r="F1790" s="148" t="s">
        <v>3183</v>
      </c>
      <c r="G1790" s="148" t="s">
        <v>211</v>
      </c>
      <c r="H1790" s="148">
        <v>2013</v>
      </c>
      <c r="I1790" s="148">
        <v>8</v>
      </c>
      <c r="J1790" s="148" t="s">
        <v>150</v>
      </c>
      <c r="K1790" s="148" t="s">
        <v>708</v>
      </c>
      <c r="M1790" s="148" t="s">
        <v>82</v>
      </c>
      <c r="N1790" s="148">
        <v>8</v>
      </c>
      <c r="O1790" s="148" t="s">
        <v>83</v>
      </c>
      <c r="P1790" s="148" t="s">
        <v>1126</v>
      </c>
      <c r="Y1790" s="150" t="s">
        <v>1127</v>
      </c>
      <c r="Z1790" s="148" t="s">
        <v>1128</v>
      </c>
    </row>
    <row r="1791" spans="1:26" ht="15.75" hidden="1" customHeight="1" x14ac:dyDescent="0.25">
      <c r="A1791" s="148" t="s">
        <v>76</v>
      </c>
      <c r="B1791" s="148" t="s">
        <v>44</v>
      </c>
      <c r="C1791" s="148" t="s">
        <v>45</v>
      </c>
      <c r="D1791" s="148" t="s">
        <v>99</v>
      </c>
      <c r="E1791" s="148" t="s">
        <v>95</v>
      </c>
      <c r="F1791" s="148" t="s">
        <v>47</v>
      </c>
      <c r="G1791" s="148" t="s">
        <v>96</v>
      </c>
      <c r="H1791" s="148">
        <v>2013</v>
      </c>
      <c r="I1791" s="148">
        <v>8</v>
      </c>
      <c r="J1791" s="148" t="s">
        <v>150</v>
      </c>
      <c r="K1791" s="148" t="s">
        <v>708</v>
      </c>
      <c r="M1791" s="148" t="s">
        <v>82</v>
      </c>
      <c r="N1791" s="148">
        <v>8</v>
      </c>
      <c r="O1791" s="148" t="s">
        <v>83</v>
      </c>
      <c r="P1791" s="148" t="s">
        <v>146</v>
      </c>
    </row>
    <row r="1792" spans="1:26" ht="15.75" hidden="1" customHeight="1" x14ac:dyDescent="0.25">
      <c r="A1792" s="148" t="s">
        <v>26</v>
      </c>
      <c r="B1792" s="148" t="s">
        <v>103</v>
      </c>
      <c r="C1792" s="148" t="s">
        <v>55</v>
      </c>
      <c r="D1792" s="148" t="s">
        <v>478</v>
      </c>
      <c r="E1792" s="148" t="s">
        <v>95</v>
      </c>
      <c r="F1792" s="148" t="s">
        <v>56</v>
      </c>
      <c r="G1792" s="148" t="s">
        <v>153</v>
      </c>
      <c r="H1792" s="148">
        <v>2013</v>
      </c>
      <c r="I1792" s="148">
        <v>8</v>
      </c>
      <c r="J1792" s="148" t="s">
        <v>33</v>
      </c>
      <c r="U1792" s="149" t="s">
        <v>3629</v>
      </c>
      <c r="V1792" s="148" t="s">
        <v>1089</v>
      </c>
      <c r="W1792" s="148" t="s">
        <v>49</v>
      </c>
      <c r="X1792" s="148" t="s">
        <v>1129</v>
      </c>
    </row>
    <row r="1793" spans="1:26" ht="13.5" hidden="1" customHeight="1" x14ac:dyDescent="0.25">
      <c r="A1793" s="148" t="s">
        <v>26</v>
      </c>
      <c r="B1793" s="148" t="s">
        <v>27</v>
      </c>
      <c r="C1793" s="148" t="s">
        <v>28</v>
      </c>
      <c r="D1793" s="148" t="s">
        <v>566</v>
      </c>
      <c r="E1793" s="148" t="s">
        <v>30</v>
      </c>
      <c r="F1793" s="148" t="s">
        <v>3183</v>
      </c>
      <c r="G1793" s="148" t="s">
        <v>53</v>
      </c>
      <c r="H1793" s="148">
        <v>2013</v>
      </c>
      <c r="I1793" s="148">
        <v>8</v>
      </c>
      <c r="J1793" s="148" t="s">
        <v>895</v>
      </c>
      <c r="U1793" s="149" t="s">
        <v>112</v>
      </c>
      <c r="V1793" s="148" t="s">
        <v>3670</v>
      </c>
      <c r="W1793" s="148" t="s">
        <v>34</v>
      </c>
      <c r="X1793" s="148" t="s">
        <v>1106</v>
      </c>
    </row>
    <row r="1794" spans="1:26" ht="15.75" hidden="1" customHeight="1" x14ac:dyDescent="0.25">
      <c r="A1794" s="148" t="s">
        <v>307</v>
      </c>
      <c r="B1794" s="148" t="s">
        <v>77</v>
      </c>
      <c r="C1794" s="148" t="s">
        <v>55</v>
      </c>
      <c r="D1794" s="148" t="s">
        <v>99</v>
      </c>
      <c r="E1794" s="148" t="s">
        <v>30</v>
      </c>
      <c r="F1794" s="148" t="s">
        <v>41</v>
      </c>
      <c r="G1794" s="148" t="s">
        <v>161</v>
      </c>
      <c r="H1794" s="148">
        <v>2013</v>
      </c>
      <c r="I1794" s="148">
        <v>8</v>
      </c>
      <c r="J1794" s="148" t="s">
        <v>308</v>
      </c>
      <c r="Q1794" s="148" t="s">
        <v>309</v>
      </c>
      <c r="R1794" s="148" t="s">
        <v>1130</v>
      </c>
      <c r="S1794" s="148" t="s">
        <v>660</v>
      </c>
      <c r="T1794" s="148" t="s">
        <v>1131</v>
      </c>
      <c r="Y1794" s="150" t="s">
        <v>1132</v>
      </c>
    </row>
    <row r="1795" spans="1:26" ht="15.75" hidden="1" customHeight="1" x14ac:dyDescent="0.25">
      <c r="A1795" s="148" t="s">
        <v>26</v>
      </c>
      <c r="B1795" s="148" t="s">
        <v>36</v>
      </c>
      <c r="C1795" s="148" t="s">
        <v>28</v>
      </c>
      <c r="D1795" s="148" t="s">
        <v>478</v>
      </c>
      <c r="E1795" s="148" t="s">
        <v>30</v>
      </c>
      <c r="F1795" s="148" t="s">
        <v>3183</v>
      </c>
      <c r="G1795" s="148" t="s">
        <v>67</v>
      </c>
      <c r="H1795" s="148">
        <v>2013</v>
      </c>
      <c r="I1795" s="148">
        <v>8</v>
      </c>
      <c r="J1795" s="148" t="s">
        <v>33</v>
      </c>
      <c r="U1795" s="149" t="s">
        <v>112</v>
      </c>
      <c r="V1795" s="148" t="s">
        <v>3672</v>
      </c>
      <c r="W1795" s="148" t="s">
        <v>49</v>
      </c>
      <c r="X1795" s="148" t="s">
        <v>1085</v>
      </c>
    </row>
    <row r="1796" spans="1:26" ht="15.75" hidden="1" customHeight="1" x14ac:dyDescent="0.25">
      <c r="A1796" s="148" t="s">
        <v>26</v>
      </c>
      <c r="B1796" s="148" t="s">
        <v>36</v>
      </c>
      <c r="C1796" s="148" t="s">
        <v>28</v>
      </c>
      <c r="D1796" s="148" t="s">
        <v>342</v>
      </c>
      <c r="E1796" s="148" t="s">
        <v>30</v>
      </c>
      <c r="F1796" s="148" t="s">
        <v>3183</v>
      </c>
      <c r="G1796" s="148" t="s">
        <v>37</v>
      </c>
      <c r="H1796" s="148">
        <v>2013</v>
      </c>
      <c r="I1796" s="148">
        <v>8</v>
      </c>
      <c r="J1796" s="148" t="s">
        <v>895</v>
      </c>
      <c r="U1796" s="149" t="s">
        <v>112</v>
      </c>
      <c r="V1796" s="148" t="s">
        <v>3670</v>
      </c>
      <c r="W1796" s="148" t="s">
        <v>34</v>
      </c>
      <c r="X1796" s="148" t="s">
        <v>1106</v>
      </c>
    </row>
    <row r="1797" spans="1:26" ht="15.75" hidden="1" customHeight="1" x14ac:dyDescent="0.25">
      <c r="A1797" s="148" t="s">
        <v>76</v>
      </c>
      <c r="B1797" s="148" t="s">
        <v>71</v>
      </c>
      <c r="C1797" s="148" t="s">
        <v>45</v>
      </c>
      <c r="D1797" s="148" t="s">
        <v>29</v>
      </c>
      <c r="E1797" s="148" t="s">
        <v>72</v>
      </c>
      <c r="F1797" s="148" t="s">
        <v>3183</v>
      </c>
      <c r="G1797" s="148" t="s">
        <v>75</v>
      </c>
      <c r="H1797" s="148">
        <v>2013</v>
      </c>
      <c r="I1797" s="148">
        <v>8</v>
      </c>
      <c r="J1797" s="148" t="s">
        <v>150</v>
      </c>
      <c r="K1797" s="148" t="s">
        <v>1133</v>
      </c>
      <c r="M1797" s="148" t="s">
        <v>464</v>
      </c>
      <c r="N1797" s="148">
        <v>6</v>
      </c>
      <c r="O1797" s="148" t="s">
        <v>83</v>
      </c>
    </row>
    <row r="1798" spans="1:26" ht="15.75" hidden="1" customHeight="1" x14ac:dyDescent="0.25">
      <c r="A1798" s="148" t="s">
        <v>26</v>
      </c>
      <c r="B1798" s="148" t="s">
        <v>71</v>
      </c>
      <c r="C1798" s="148" t="s">
        <v>45</v>
      </c>
      <c r="D1798" s="148" t="s">
        <v>29</v>
      </c>
      <c r="E1798" s="148" t="s">
        <v>72</v>
      </c>
      <c r="F1798" s="148" t="s">
        <v>3183</v>
      </c>
      <c r="G1798" s="148" t="s">
        <v>75</v>
      </c>
      <c r="H1798" s="148">
        <v>2013</v>
      </c>
      <c r="I1798" s="148">
        <v>8</v>
      </c>
      <c r="J1798" s="148" t="s">
        <v>33</v>
      </c>
      <c r="U1798" s="149" t="s">
        <v>112</v>
      </c>
      <c r="V1798" s="148" t="s">
        <v>3671</v>
      </c>
      <c r="W1798" s="148" t="s">
        <v>49</v>
      </c>
      <c r="X1798" s="148" t="s">
        <v>1125</v>
      </c>
    </row>
    <row r="1799" spans="1:26" ht="15.75" hidden="1" customHeight="1" x14ac:dyDescent="0.25">
      <c r="A1799" s="148" t="s">
        <v>307</v>
      </c>
      <c r="B1799" s="148" t="s">
        <v>71</v>
      </c>
      <c r="C1799" s="148" t="s">
        <v>45</v>
      </c>
      <c r="D1799" s="148" t="s">
        <v>29</v>
      </c>
      <c r="E1799" s="148" t="s">
        <v>72</v>
      </c>
      <c r="F1799" s="148" t="s">
        <v>3183</v>
      </c>
      <c r="G1799" s="148" t="s">
        <v>75</v>
      </c>
      <c r="H1799" s="148">
        <v>2013</v>
      </c>
      <c r="I1799" s="148">
        <v>8</v>
      </c>
      <c r="J1799" s="148" t="s">
        <v>399</v>
      </c>
      <c r="Q1799" s="148" t="s">
        <v>426</v>
      </c>
      <c r="R1799" s="148" t="s">
        <v>1134</v>
      </c>
      <c r="S1799" s="148" t="s">
        <v>311</v>
      </c>
      <c r="T1799" s="148" t="s">
        <v>1135</v>
      </c>
    </row>
    <row r="1800" spans="1:26" ht="15.75" hidden="1" customHeight="1" x14ac:dyDescent="0.25">
      <c r="A1800" s="148" t="s">
        <v>307</v>
      </c>
      <c r="B1800" s="148" t="s">
        <v>27</v>
      </c>
      <c r="C1800" s="148" t="s">
        <v>28</v>
      </c>
      <c r="D1800" s="148" t="s">
        <v>99</v>
      </c>
      <c r="E1800" s="148" t="s">
        <v>40</v>
      </c>
      <c r="F1800" s="148" t="s">
        <v>41</v>
      </c>
      <c r="G1800" s="148" t="s">
        <v>42</v>
      </c>
      <c r="H1800" s="148">
        <v>2013</v>
      </c>
      <c r="I1800" s="148">
        <v>8</v>
      </c>
      <c r="J1800" s="148" t="s">
        <v>308</v>
      </c>
      <c r="Q1800" s="148" t="s">
        <v>594</v>
      </c>
      <c r="R1800" s="148" t="s">
        <v>1136</v>
      </c>
      <c r="S1800" s="148" t="s">
        <v>885</v>
      </c>
      <c r="T1800" s="148" t="s">
        <v>886</v>
      </c>
    </row>
    <row r="1801" spans="1:26" ht="15.75" hidden="1" customHeight="1" x14ac:dyDescent="0.25">
      <c r="A1801" s="148" t="s">
        <v>76</v>
      </c>
      <c r="B1801" s="148" t="s">
        <v>27</v>
      </c>
      <c r="C1801" s="148" t="s">
        <v>28</v>
      </c>
      <c r="D1801" s="148" t="s">
        <v>99</v>
      </c>
      <c r="E1801" s="148" t="s">
        <v>40</v>
      </c>
      <c r="F1801" s="148" t="s">
        <v>41</v>
      </c>
      <c r="G1801" s="148" t="s">
        <v>42</v>
      </c>
      <c r="H1801" s="148">
        <v>2013</v>
      </c>
      <c r="I1801" s="148">
        <v>8</v>
      </c>
      <c r="J1801" s="148" t="s">
        <v>118</v>
      </c>
      <c r="K1801" s="148" t="s">
        <v>579</v>
      </c>
      <c r="M1801" s="148" t="s">
        <v>126</v>
      </c>
      <c r="N1801" s="148">
        <v>10</v>
      </c>
      <c r="O1801" s="148" t="s">
        <v>101</v>
      </c>
      <c r="P1801" s="148" t="s">
        <v>398</v>
      </c>
    </row>
    <row r="1802" spans="1:26" ht="15.75" customHeight="1" x14ac:dyDescent="0.25">
      <c r="A1802" s="148" t="s">
        <v>76</v>
      </c>
      <c r="B1802" s="148" t="s">
        <v>36</v>
      </c>
      <c r="C1802" s="148" t="s">
        <v>28</v>
      </c>
      <c r="D1802" s="148" t="s">
        <v>29</v>
      </c>
      <c r="E1802" s="148" t="s">
        <v>30</v>
      </c>
      <c r="F1802" s="148" t="s">
        <v>3183</v>
      </c>
      <c r="G1802" s="148" t="s">
        <v>194</v>
      </c>
      <c r="H1802" s="148">
        <v>2013</v>
      </c>
      <c r="I1802" s="148">
        <v>8</v>
      </c>
      <c r="J1802" s="148" t="s">
        <v>640</v>
      </c>
      <c r="K1802" s="148" t="s">
        <v>708</v>
      </c>
      <c r="M1802" s="148" t="s">
        <v>82</v>
      </c>
      <c r="N1802" s="148">
        <v>8</v>
      </c>
      <c r="O1802" s="148" t="s">
        <v>83</v>
      </c>
      <c r="P1802" s="148" t="s">
        <v>1137</v>
      </c>
      <c r="Y1802" s="150" t="s">
        <v>1138</v>
      </c>
      <c r="Z1802" s="148" t="s">
        <v>543</v>
      </c>
    </row>
    <row r="1803" spans="1:26" ht="15.75" hidden="1" customHeight="1" x14ac:dyDescent="0.25">
      <c r="A1803" s="148" t="s">
        <v>76</v>
      </c>
      <c r="B1803" s="148" t="s">
        <v>62</v>
      </c>
      <c r="C1803" s="148" t="s">
        <v>28</v>
      </c>
      <c r="D1803" s="148" t="s">
        <v>86</v>
      </c>
      <c r="E1803" s="148" t="s">
        <v>51</v>
      </c>
      <c r="F1803" s="148" t="s">
        <v>3183</v>
      </c>
      <c r="G1803" s="148" t="s">
        <v>130</v>
      </c>
      <c r="H1803" s="148">
        <v>2013</v>
      </c>
      <c r="I1803" s="148">
        <v>8</v>
      </c>
      <c r="J1803" s="148" t="s">
        <v>640</v>
      </c>
      <c r="K1803" s="148" t="s">
        <v>708</v>
      </c>
      <c r="M1803" s="148" t="s">
        <v>82</v>
      </c>
      <c r="N1803" s="148">
        <v>8</v>
      </c>
      <c r="O1803" s="148" t="s">
        <v>83</v>
      </c>
      <c r="P1803" s="148" t="s">
        <v>1139</v>
      </c>
      <c r="Y1803" s="150" t="s">
        <v>1140</v>
      </c>
      <c r="Z1803" s="148" t="s">
        <v>543</v>
      </c>
    </row>
    <row r="1804" spans="1:26" ht="15.75" hidden="1" customHeight="1" x14ac:dyDescent="0.25">
      <c r="A1804" s="148" t="s">
        <v>26</v>
      </c>
      <c r="B1804" s="148" t="s">
        <v>62</v>
      </c>
      <c r="C1804" s="148" t="s">
        <v>28</v>
      </c>
      <c r="D1804" s="148" t="s">
        <v>86</v>
      </c>
      <c r="E1804" s="148" t="s">
        <v>51</v>
      </c>
      <c r="F1804" s="148" t="s">
        <v>3183</v>
      </c>
      <c r="G1804" s="148" t="s">
        <v>130</v>
      </c>
      <c r="H1804" s="148">
        <v>2013</v>
      </c>
      <c r="I1804" s="148">
        <v>8</v>
      </c>
      <c r="J1804" s="148" t="s">
        <v>33</v>
      </c>
      <c r="U1804" s="149" t="s">
        <v>112</v>
      </c>
      <c r="V1804" s="148" t="s">
        <v>3672</v>
      </c>
      <c r="W1804" s="148" t="s">
        <v>49</v>
      </c>
      <c r="X1804" s="148" t="s">
        <v>1085</v>
      </c>
    </row>
    <row r="1805" spans="1:26" ht="15.75" hidden="1" customHeight="1" x14ac:dyDescent="0.25">
      <c r="A1805" s="148" t="s">
        <v>76</v>
      </c>
      <c r="B1805" s="148" t="s">
        <v>71</v>
      </c>
      <c r="C1805" s="148" t="s">
        <v>45</v>
      </c>
      <c r="D1805" s="148" t="s">
        <v>29</v>
      </c>
      <c r="E1805" s="148" t="s">
        <v>30</v>
      </c>
      <c r="F1805" s="148" t="s">
        <v>3183</v>
      </c>
      <c r="G1805" s="148" t="s">
        <v>769</v>
      </c>
      <c r="H1805" s="148">
        <v>2013</v>
      </c>
      <c r="I1805" s="148">
        <v>8</v>
      </c>
      <c r="J1805" s="148" t="s">
        <v>150</v>
      </c>
      <c r="K1805" s="148" t="s">
        <v>1133</v>
      </c>
      <c r="M1805" s="148" t="s">
        <v>464</v>
      </c>
      <c r="N1805" s="148">
        <v>6</v>
      </c>
      <c r="O1805" s="148" t="s">
        <v>83</v>
      </c>
    </row>
    <row r="1806" spans="1:26" ht="15.75" hidden="1" customHeight="1" x14ac:dyDescent="0.25">
      <c r="A1806" s="148" t="s">
        <v>76</v>
      </c>
      <c r="B1806" s="148" t="s">
        <v>44</v>
      </c>
      <c r="C1806" s="148" t="s">
        <v>45</v>
      </c>
      <c r="D1806" s="148" t="s">
        <v>29</v>
      </c>
      <c r="E1806" s="148" t="s">
        <v>46</v>
      </c>
      <c r="F1806" s="148" t="s">
        <v>47</v>
      </c>
      <c r="G1806" s="148" t="s">
        <v>48</v>
      </c>
      <c r="H1806" s="148">
        <v>2013</v>
      </c>
      <c r="I1806" s="148">
        <v>8</v>
      </c>
      <c r="J1806" s="148" t="s">
        <v>150</v>
      </c>
      <c r="K1806" s="148" t="s">
        <v>708</v>
      </c>
      <c r="M1806" s="148" t="s">
        <v>82</v>
      </c>
      <c r="N1806" s="148">
        <v>8</v>
      </c>
      <c r="O1806" s="148" t="s">
        <v>83</v>
      </c>
      <c r="P1806" s="148" t="s">
        <v>1141</v>
      </c>
      <c r="Y1806" s="150" t="s">
        <v>1093</v>
      </c>
    </row>
    <row r="1807" spans="1:26" ht="15.75" hidden="1" customHeight="1" x14ac:dyDescent="0.25">
      <c r="A1807" s="148" t="s">
        <v>307</v>
      </c>
      <c r="B1807" s="148" t="s">
        <v>44</v>
      </c>
      <c r="C1807" s="148" t="s">
        <v>45</v>
      </c>
      <c r="D1807" s="148" t="s">
        <v>29</v>
      </c>
      <c r="E1807" s="148" t="s">
        <v>46</v>
      </c>
      <c r="F1807" s="148" t="s">
        <v>47</v>
      </c>
      <c r="G1807" s="148" t="s">
        <v>48</v>
      </c>
      <c r="H1807" s="148">
        <v>2013</v>
      </c>
      <c r="I1807" s="148">
        <v>8</v>
      </c>
      <c r="J1807" s="148" t="s">
        <v>308</v>
      </c>
      <c r="Q1807" s="148" t="s">
        <v>818</v>
      </c>
      <c r="S1807" s="148" t="s">
        <v>427</v>
      </c>
      <c r="T1807" s="148" t="s">
        <v>1142</v>
      </c>
      <c r="Y1807" s="150" t="s">
        <v>1046</v>
      </c>
    </row>
    <row r="1808" spans="1:26" ht="15.75" hidden="1" customHeight="1" x14ac:dyDescent="0.25">
      <c r="A1808" s="148" t="s">
        <v>76</v>
      </c>
      <c r="B1808" s="148" t="s">
        <v>89</v>
      </c>
      <c r="C1808" s="148" t="s">
        <v>90</v>
      </c>
      <c r="D1808" s="148" t="s">
        <v>29</v>
      </c>
      <c r="E1808" s="148" t="s">
        <v>30</v>
      </c>
      <c r="F1808" s="148" t="s">
        <v>91</v>
      </c>
      <c r="G1808" s="148" t="s">
        <v>280</v>
      </c>
      <c r="H1808" s="148">
        <v>2013</v>
      </c>
      <c r="I1808" s="148">
        <v>8</v>
      </c>
      <c r="J1808" s="148" t="s">
        <v>118</v>
      </c>
      <c r="K1808" s="148" t="s">
        <v>629</v>
      </c>
      <c r="M1808" s="148" t="s">
        <v>554</v>
      </c>
      <c r="N1808" s="148">
        <v>8</v>
      </c>
      <c r="O1808" s="148" t="s">
        <v>101</v>
      </c>
      <c r="P1808" s="148" t="s">
        <v>537</v>
      </c>
    </row>
    <row r="1809" spans="1:25" ht="15.75" hidden="1" customHeight="1" x14ac:dyDescent="0.25">
      <c r="A1809" s="148" t="s">
        <v>26</v>
      </c>
      <c r="B1809" s="148" t="s">
        <v>198</v>
      </c>
      <c r="C1809" s="148" t="s">
        <v>45</v>
      </c>
      <c r="D1809" s="148" t="s">
        <v>99</v>
      </c>
      <c r="E1809" s="148" t="s">
        <v>40</v>
      </c>
      <c r="F1809" s="148" t="s">
        <v>199</v>
      </c>
      <c r="G1809" s="148" t="s">
        <v>282</v>
      </c>
      <c r="H1809" s="148">
        <v>2013</v>
      </c>
      <c r="I1809" s="148">
        <v>9</v>
      </c>
      <c r="J1809" s="148" t="s">
        <v>33</v>
      </c>
      <c r="U1809" s="149" t="s">
        <v>112</v>
      </c>
      <c r="V1809" s="148" t="s">
        <v>3673</v>
      </c>
      <c r="W1809" s="148" t="s">
        <v>87</v>
      </c>
      <c r="X1809" s="148" t="s">
        <v>1125</v>
      </c>
    </row>
    <row r="1810" spans="1:25" ht="15.75" hidden="1" customHeight="1" x14ac:dyDescent="0.25">
      <c r="A1810" s="148" t="s">
        <v>76</v>
      </c>
      <c r="B1810" s="148" t="s">
        <v>27</v>
      </c>
      <c r="C1810" s="148" t="s">
        <v>28</v>
      </c>
      <c r="D1810" s="148" t="s">
        <v>158</v>
      </c>
      <c r="E1810" s="148" t="s">
        <v>30</v>
      </c>
      <c r="F1810" s="148" t="s">
        <v>3183</v>
      </c>
      <c r="G1810" s="148" t="s">
        <v>32</v>
      </c>
      <c r="H1810" s="148">
        <v>2013</v>
      </c>
      <c r="I1810" s="148">
        <v>9</v>
      </c>
      <c r="J1810" s="148" t="s">
        <v>118</v>
      </c>
      <c r="K1810" s="148" t="s">
        <v>629</v>
      </c>
      <c r="M1810" s="148" t="s">
        <v>554</v>
      </c>
      <c r="N1810" s="148">
        <v>8</v>
      </c>
      <c r="O1810" s="148" t="s">
        <v>101</v>
      </c>
      <c r="P1810" s="148" t="s">
        <v>425</v>
      </c>
    </row>
    <row r="1811" spans="1:25" ht="15.75" hidden="1" customHeight="1" x14ac:dyDescent="0.25">
      <c r="A1811" s="148" t="s">
        <v>76</v>
      </c>
      <c r="B1811" s="148" t="s">
        <v>103</v>
      </c>
      <c r="C1811" s="148" t="s">
        <v>55</v>
      </c>
      <c r="D1811" s="148" t="s">
        <v>29</v>
      </c>
      <c r="E1811" s="148" t="s">
        <v>95</v>
      </c>
      <c r="F1811" s="148" t="s">
        <v>56</v>
      </c>
      <c r="G1811" s="148" t="s">
        <v>303</v>
      </c>
      <c r="H1811" s="148">
        <v>2013</v>
      </c>
      <c r="I1811" s="148">
        <v>9</v>
      </c>
      <c r="J1811" s="148" t="s">
        <v>150</v>
      </c>
      <c r="K1811" s="148" t="s">
        <v>959</v>
      </c>
      <c r="M1811" s="148" t="s">
        <v>464</v>
      </c>
      <c r="N1811" s="148">
        <v>6</v>
      </c>
      <c r="O1811" s="148" t="s">
        <v>83</v>
      </c>
    </row>
    <row r="1812" spans="1:25" ht="15.75" hidden="1" customHeight="1" x14ac:dyDescent="0.25">
      <c r="A1812" s="148" t="s">
        <v>26</v>
      </c>
      <c r="B1812" s="148" t="s">
        <v>198</v>
      </c>
      <c r="C1812" s="148" t="s">
        <v>45</v>
      </c>
      <c r="D1812" s="148" t="s">
        <v>478</v>
      </c>
      <c r="E1812" s="148" t="s">
        <v>30</v>
      </c>
      <c r="F1812" s="148" t="s">
        <v>199</v>
      </c>
      <c r="G1812" s="148" t="s">
        <v>208</v>
      </c>
      <c r="H1812" s="148">
        <v>2013</v>
      </c>
      <c r="I1812" s="148">
        <v>9</v>
      </c>
      <c r="J1812" s="148" t="s">
        <v>33</v>
      </c>
      <c r="U1812" s="149" t="s">
        <v>112</v>
      </c>
      <c r="V1812" s="148" t="s">
        <v>3673</v>
      </c>
      <c r="W1812" s="148" t="s">
        <v>87</v>
      </c>
      <c r="X1812" s="148" t="s">
        <v>1125</v>
      </c>
    </row>
    <row r="1813" spans="1:25" ht="15.75" hidden="1" customHeight="1" x14ac:dyDescent="0.25">
      <c r="A1813" s="148" t="s">
        <v>26</v>
      </c>
      <c r="B1813" s="148" t="s">
        <v>36</v>
      </c>
      <c r="C1813" s="148" t="s">
        <v>28</v>
      </c>
      <c r="D1813" s="148" t="s">
        <v>342</v>
      </c>
      <c r="E1813" s="148" t="s">
        <v>30</v>
      </c>
      <c r="F1813" s="148" t="s">
        <v>3183</v>
      </c>
      <c r="G1813" s="148" t="s">
        <v>438</v>
      </c>
      <c r="H1813" s="148">
        <v>2013</v>
      </c>
      <c r="I1813" s="148">
        <v>9</v>
      </c>
      <c r="J1813" s="148" t="s">
        <v>895</v>
      </c>
      <c r="U1813" s="149" t="s">
        <v>112</v>
      </c>
      <c r="V1813" s="148" t="s">
        <v>3670</v>
      </c>
      <c r="W1813" s="148" t="s">
        <v>34</v>
      </c>
      <c r="X1813" s="148" t="s">
        <v>1106</v>
      </c>
    </row>
    <row r="1814" spans="1:25" ht="15.75" hidden="1" customHeight="1" x14ac:dyDescent="0.25">
      <c r="A1814" s="148" t="s">
        <v>26</v>
      </c>
      <c r="B1814" s="148" t="s">
        <v>198</v>
      </c>
      <c r="C1814" s="148" t="s">
        <v>45</v>
      </c>
      <c r="D1814" s="148" t="s">
        <v>99</v>
      </c>
      <c r="E1814" s="148" t="s">
        <v>30</v>
      </c>
      <c r="F1814" s="148" t="s">
        <v>199</v>
      </c>
      <c r="G1814" s="148" t="s">
        <v>296</v>
      </c>
      <c r="H1814" s="148">
        <v>2013</v>
      </c>
      <c r="I1814" s="148">
        <v>9</v>
      </c>
      <c r="J1814" s="148" t="s">
        <v>33</v>
      </c>
      <c r="U1814" s="149" t="s">
        <v>112</v>
      </c>
      <c r="V1814" s="148" t="s">
        <v>3673</v>
      </c>
      <c r="W1814" s="148" t="s">
        <v>87</v>
      </c>
      <c r="X1814" s="148" t="s">
        <v>1125</v>
      </c>
    </row>
    <row r="1815" spans="1:25" ht="15.75" hidden="1" customHeight="1" x14ac:dyDescent="0.25">
      <c r="A1815" s="148" t="s">
        <v>76</v>
      </c>
      <c r="B1815" s="148" t="s">
        <v>103</v>
      </c>
      <c r="C1815" s="148" t="s">
        <v>55</v>
      </c>
      <c r="D1815" s="148" t="s">
        <v>158</v>
      </c>
      <c r="E1815" s="148" t="s">
        <v>95</v>
      </c>
      <c r="F1815" s="148" t="s">
        <v>56</v>
      </c>
      <c r="G1815" s="148" t="s">
        <v>176</v>
      </c>
      <c r="H1815" s="148">
        <v>2013</v>
      </c>
      <c r="I1815" s="148">
        <v>9</v>
      </c>
      <c r="J1815" s="148" t="s">
        <v>150</v>
      </c>
      <c r="K1815" s="148" t="s">
        <v>959</v>
      </c>
      <c r="M1815" s="148" t="s">
        <v>464</v>
      </c>
      <c r="N1815" s="148">
        <v>6</v>
      </c>
      <c r="O1815" s="148" t="s">
        <v>83</v>
      </c>
    </row>
    <row r="1816" spans="1:25" ht="15.75" hidden="1" customHeight="1" x14ac:dyDescent="0.25">
      <c r="A1816" s="148" t="s">
        <v>76</v>
      </c>
      <c r="B1816" s="148" t="s">
        <v>103</v>
      </c>
      <c r="C1816" s="148" t="s">
        <v>55</v>
      </c>
      <c r="D1816" s="148" t="s">
        <v>99</v>
      </c>
      <c r="E1816" s="148" t="s">
        <v>95</v>
      </c>
      <c r="F1816" s="148" t="s">
        <v>56</v>
      </c>
      <c r="G1816" s="148" t="s">
        <v>104</v>
      </c>
      <c r="H1816" s="148">
        <v>2013</v>
      </c>
      <c r="I1816" s="148">
        <v>9</v>
      </c>
      <c r="J1816" s="148" t="s">
        <v>118</v>
      </c>
      <c r="K1816" s="148" t="s">
        <v>874</v>
      </c>
      <c r="M1816" s="148" t="s">
        <v>120</v>
      </c>
      <c r="N1816" s="148">
        <v>6</v>
      </c>
      <c r="O1816" s="148" t="s">
        <v>101</v>
      </c>
      <c r="P1816" s="148" t="s">
        <v>1143</v>
      </c>
    </row>
    <row r="1817" spans="1:25" ht="15.75" hidden="1" customHeight="1" x14ac:dyDescent="0.25">
      <c r="A1817" s="148" t="s">
        <v>76</v>
      </c>
      <c r="B1817" s="148" t="s">
        <v>27</v>
      </c>
      <c r="C1817" s="148" t="s">
        <v>28</v>
      </c>
      <c r="D1817" s="148" t="s">
        <v>566</v>
      </c>
      <c r="E1817" s="148" t="s">
        <v>30</v>
      </c>
      <c r="F1817" s="148" t="s">
        <v>3183</v>
      </c>
      <c r="G1817" s="148" t="s">
        <v>53</v>
      </c>
      <c r="H1817" s="148">
        <v>2013</v>
      </c>
      <c r="I1817" s="148">
        <v>9</v>
      </c>
      <c r="J1817" s="148" t="s">
        <v>118</v>
      </c>
      <c r="K1817" s="148" t="s">
        <v>874</v>
      </c>
      <c r="M1817" s="148" t="s">
        <v>120</v>
      </c>
      <c r="N1817" s="148">
        <v>6</v>
      </c>
      <c r="O1817" s="148" t="s">
        <v>101</v>
      </c>
      <c r="P1817" s="148" t="s">
        <v>1144</v>
      </c>
    </row>
    <row r="1818" spans="1:25" ht="15.75" hidden="1" customHeight="1" x14ac:dyDescent="0.25">
      <c r="A1818" s="148" t="s">
        <v>26</v>
      </c>
      <c r="B1818" s="148" t="s">
        <v>36</v>
      </c>
      <c r="C1818" s="148" t="s">
        <v>28</v>
      </c>
      <c r="D1818" s="148" t="s">
        <v>478</v>
      </c>
      <c r="E1818" s="148" t="s">
        <v>30</v>
      </c>
      <c r="F1818" s="148" t="s">
        <v>3183</v>
      </c>
      <c r="G1818" s="148" t="s">
        <v>59</v>
      </c>
      <c r="H1818" s="148">
        <v>2013</v>
      </c>
      <c r="I1818" s="148">
        <v>9</v>
      </c>
      <c r="J1818" s="148" t="s">
        <v>895</v>
      </c>
      <c r="U1818" s="149" t="s">
        <v>112</v>
      </c>
      <c r="V1818" s="148" t="s">
        <v>3670</v>
      </c>
      <c r="W1818" s="148" t="s">
        <v>34</v>
      </c>
      <c r="X1818" s="148" t="s">
        <v>1106</v>
      </c>
    </row>
    <row r="1819" spans="1:25" ht="15.75" hidden="1" customHeight="1" x14ac:dyDescent="0.25">
      <c r="A1819" s="148" t="s">
        <v>307</v>
      </c>
      <c r="B1819" s="148" t="s">
        <v>62</v>
      </c>
      <c r="C1819" s="148" t="s">
        <v>28</v>
      </c>
      <c r="D1819" s="148" t="s">
        <v>99</v>
      </c>
      <c r="E1819" s="148" t="s">
        <v>30</v>
      </c>
      <c r="F1819" s="148" t="s">
        <v>3183</v>
      </c>
      <c r="G1819" s="148" t="s">
        <v>244</v>
      </c>
      <c r="H1819" s="148">
        <v>2013</v>
      </c>
      <c r="I1819" s="148">
        <v>9</v>
      </c>
      <c r="J1819" s="148" t="s">
        <v>308</v>
      </c>
      <c r="Q1819" s="148" t="s">
        <v>426</v>
      </c>
      <c r="R1819" s="148" t="s">
        <v>1145</v>
      </c>
      <c r="S1819" s="148" t="s">
        <v>311</v>
      </c>
      <c r="T1819" s="148" t="s">
        <v>1146</v>
      </c>
      <c r="Y1819" s="150" t="s">
        <v>1147</v>
      </c>
    </row>
    <row r="1820" spans="1:25" ht="15.75" hidden="1" customHeight="1" x14ac:dyDescent="0.25">
      <c r="A1820" s="148" t="s">
        <v>307</v>
      </c>
      <c r="B1820" s="148" t="s">
        <v>54</v>
      </c>
      <c r="C1820" s="148" t="s">
        <v>55</v>
      </c>
      <c r="D1820" s="148" t="s">
        <v>1082</v>
      </c>
      <c r="E1820" s="148" t="s">
        <v>30</v>
      </c>
      <c r="F1820" s="148" t="s">
        <v>56</v>
      </c>
      <c r="G1820" s="148" t="s">
        <v>54</v>
      </c>
      <c r="H1820" s="148">
        <v>2013</v>
      </c>
      <c r="I1820" s="148">
        <v>9</v>
      </c>
      <c r="J1820" s="148" t="s">
        <v>308</v>
      </c>
      <c r="Q1820" s="148" t="s">
        <v>426</v>
      </c>
      <c r="R1820" s="148" t="s">
        <v>1087</v>
      </c>
      <c r="S1820" s="148" t="s">
        <v>660</v>
      </c>
      <c r="T1820" s="148" t="s">
        <v>1148</v>
      </c>
      <c r="Y1820" s="150" t="s">
        <v>1149</v>
      </c>
    </row>
    <row r="1821" spans="1:25" ht="15.75" hidden="1" customHeight="1" x14ac:dyDescent="0.25">
      <c r="A1821" s="148" t="s">
        <v>26</v>
      </c>
      <c r="B1821" s="148" t="s">
        <v>116</v>
      </c>
      <c r="C1821" s="148" t="s">
        <v>90</v>
      </c>
      <c r="D1821" s="148" t="s">
        <v>29</v>
      </c>
      <c r="E1821" s="148" t="s">
        <v>30</v>
      </c>
      <c r="F1821" s="148" t="s">
        <v>41</v>
      </c>
      <c r="G1821" s="148" t="s">
        <v>756</v>
      </c>
      <c r="H1821" s="148">
        <v>2013</v>
      </c>
      <c r="I1821" s="148">
        <v>9</v>
      </c>
      <c r="J1821" s="148" t="s">
        <v>792</v>
      </c>
      <c r="U1821" s="149" t="s">
        <v>3629</v>
      </c>
      <c r="V1821" s="148" t="s">
        <v>1150</v>
      </c>
      <c r="W1821" s="148" t="s">
        <v>87</v>
      </c>
      <c r="X1821" s="148" t="s">
        <v>1151</v>
      </c>
    </row>
    <row r="1822" spans="1:25" ht="15.75" hidden="1" customHeight="1" x14ac:dyDescent="0.25">
      <c r="A1822" s="148" t="s">
        <v>26</v>
      </c>
      <c r="B1822" s="148" t="s">
        <v>36</v>
      </c>
      <c r="C1822" s="148" t="s">
        <v>28</v>
      </c>
      <c r="D1822" s="148" t="s">
        <v>29</v>
      </c>
      <c r="E1822" s="148" t="s">
        <v>30</v>
      </c>
      <c r="F1822" s="148" t="s">
        <v>3183</v>
      </c>
      <c r="G1822" s="148" t="s">
        <v>194</v>
      </c>
      <c r="H1822" s="148">
        <v>2013</v>
      </c>
      <c r="I1822" s="148">
        <v>9</v>
      </c>
      <c r="J1822" s="148" t="s">
        <v>33</v>
      </c>
      <c r="U1822" s="149" t="s">
        <v>3629</v>
      </c>
      <c r="V1822" s="148" t="s">
        <v>1107</v>
      </c>
      <c r="W1822" s="148" t="s">
        <v>49</v>
      </c>
      <c r="X1822" s="148" t="s">
        <v>1108</v>
      </c>
    </row>
    <row r="1823" spans="1:25" ht="15.75" hidden="1" customHeight="1" x14ac:dyDescent="0.25">
      <c r="A1823" s="148" t="s">
        <v>76</v>
      </c>
      <c r="B1823" s="148" t="s">
        <v>103</v>
      </c>
      <c r="C1823" s="148" t="s">
        <v>55</v>
      </c>
      <c r="D1823" s="148" t="s">
        <v>478</v>
      </c>
      <c r="E1823" s="148" t="s">
        <v>95</v>
      </c>
      <c r="F1823" s="148" t="s">
        <v>56</v>
      </c>
      <c r="G1823" s="148" t="s">
        <v>338</v>
      </c>
      <c r="H1823" s="148">
        <v>2013</v>
      </c>
      <c r="I1823" s="148">
        <v>9</v>
      </c>
      <c r="J1823" s="148" t="s">
        <v>150</v>
      </c>
      <c r="K1823" s="148" t="s">
        <v>1152</v>
      </c>
      <c r="M1823" s="148" t="s">
        <v>611</v>
      </c>
      <c r="N1823" s="148">
        <v>8</v>
      </c>
      <c r="O1823" s="148" t="s">
        <v>83</v>
      </c>
    </row>
    <row r="1824" spans="1:25" ht="15.75" hidden="1" customHeight="1" x14ac:dyDescent="0.25">
      <c r="A1824" s="148" t="s">
        <v>76</v>
      </c>
      <c r="B1824" s="148" t="s">
        <v>27</v>
      </c>
      <c r="C1824" s="148" t="s">
        <v>28</v>
      </c>
      <c r="D1824" s="148" t="s">
        <v>86</v>
      </c>
      <c r="E1824" s="148" t="s">
        <v>30</v>
      </c>
      <c r="F1824" s="148" t="s">
        <v>3183</v>
      </c>
      <c r="G1824" s="148" t="s">
        <v>43</v>
      </c>
      <c r="H1824" s="148">
        <v>2013</v>
      </c>
      <c r="I1824" s="148">
        <v>9</v>
      </c>
      <c r="J1824" s="148" t="s">
        <v>118</v>
      </c>
      <c r="K1824" s="148" t="s">
        <v>629</v>
      </c>
      <c r="M1824" s="148" t="s">
        <v>554</v>
      </c>
      <c r="N1824" s="148">
        <v>8</v>
      </c>
      <c r="O1824" s="148" t="s">
        <v>101</v>
      </c>
      <c r="P1824" s="148" t="s">
        <v>1153</v>
      </c>
    </row>
    <row r="1825" spans="1:26" ht="15.75" hidden="1" customHeight="1" x14ac:dyDescent="0.25">
      <c r="A1825" s="148" t="s">
        <v>76</v>
      </c>
      <c r="B1825" s="148" t="s">
        <v>103</v>
      </c>
      <c r="C1825" s="148" t="s">
        <v>55</v>
      </c>
      <c r="D1825" s="148" t="s">
        <v>29</v>
      </c>
      <c r="E1825" s="148" t="s">
        <v>30</v>
      </c>
      <c r="F1825" s="148" t="s">
        <v>56</v>
      </c>
      <c r="G1825" s="148" t="s">
        <v>381</v>
      </c>
      <c r="H1825" s="148">
        <v>2013</v>
      </c>
      <c r="I1825" s="148">
        <v>9</v>
      </c>
      <c r="J1825" s="148" t="s">
        <v>150</v>
      </c>
      <c r="K1825" s="148" t="s">
        <v>1152</v>
      </c>
      <c r="M1825" s="148" t="s">
        <v>611</v>
      </c>
      <c r="N1825" s="148">
        <v>8</v>
      </c>
      <c r="O1825" s="148" t="s">
        <v>83</v>
      </c>
    </row>
    <row r="1826" spans="1:26" ht="15.75" hidden="1" customHeight="1" x14ac:dyDescent="0.25">
      <c r="A1826" s="148" t="s">
        <v>26</v>
      </c>
      <c r="B1826" s="148" t="s">
        <v>36</v>
      </c>
      <c r="C1826" s="148" t="s">
        <v>28</v>
      </c>
      <c r="D1826" s="148" t="s">
        <v>342</v>
      </c>
      <c r="E1826" s="148" t="s">
        <v>51</v>
      </c>
      <c r="F1826" s="148" t="s">
        <v>3183</v>
      </c>
      <c r="G1826" s="148" t="s">
        <v>52</v>
      </c>
      <c r="H1826" s="148">
        <v>2013</v>
      </c>
      <c r="I1826" s="148">
        <v>9</v>
      </c>
      <c r="J1826" s="148" t="s">
        <v>33</v>
      </c>
      <c r="U1826" s="149" t="s">
        <v>3629</v>
      </c>
      <c r="V1826" s="148" t="s">
        <v>1107</v>
      </c>
      <c r="W1826" s="148" t="s">
        <v>49</v>
      </c>
      <c r="X1826" s="148" t="s">
        <v>1108</v>
      </c>
    </row>
    <row r="1827" spans="1:26" ht="15.75" hidden="1" customHeight="1" x14ac:dyDescent="0.25">
      <c r="A1827" s="148" t="s">
        <v>76</v>
      </c>
      <c r="B1827" s="148" t="s">
        <v>44</v>
      </c>
      <c r="C1827" s="148" t="s">
        <v>45</v>
      </c>
      <c r="D1827" s="148" t="s">
        <v>29</v>
      </c>
      <c r="E1827" s="148" t="s">
        <v>46</v>
      </c>
      <c r="F1827" s="148" t="s">
        <v>47</v>
      </c>
      <c r="G1827" s="148" t="s">
        <v>48</v>
      </c>
      <c r="H1827" s="148">
        <v>2013</v>
      </c>
      <c r="I1827" s="148">
        <v>9</v>
      </c>
      <c r="J1827" s="148" t="s">
        <v>150</v>
      </c>
      <c r="K1827" s="148" t="s">
        <v>520</v>
      </c>
      <c r="M1827" s="148" t="s">
        <v>701</v>
      </c>
      <c r="N1827" s="148">
        <v>8</v>
      </c>
      <c r="O1827" s="148" t="s">
        <v>83</v>
      </c>
      <c r="P1827" s="148" t="s">
        <v>1154</v>
      </c>
      <c r="Y1827" s="150" t="s">
        <v>1046</v>
      </c>
      <c r="Z1827" s="148" t="s">
        <v>1155</v>
      </c>
    </row>
    <row r="1828" spans="1:26" ht="15.75" hidden="1" customHeight="1" x14ac:dyDescent="0.25">
      <c r="A1828" s="148" t="s">
        <v>26</v>
      </c>
      <c r="B1828" s="148" t="s">
        <v>44</v>
      </c>
      <c r="C1828" s="148" t="s">
        <v>45</v>
      </c>
      <c r="D1828" s="148" t="s">
        <v>29</v>
      </c>
      <c r="E1828" s="148" t="s">
        <v>46</v>
      </c>
      <c r="F1828" s="148" t="s">
        <v>47</v>
      </c>
      <c r="G1828" s="148" t="s">
        <v>48</v>
      </c>
      <c r="H1828" s="148">
        <v>2013</v>
      </c>
      <c r="I1828" s="148">
        <v>9</v>
      </c>
      <c r="J1828" s="148" t="s">
        <v>33</v>
      </c>
      <c r="U1828" s="149" t="s">
        <v>112</v>
      </c>
      <c r="V1828" s="148" t="s">
        <v>3671</v>
      </c>
      <c r="W1828" s="148" t="s">
        <v>49</v>
      </c>
      <c r="X1828" s="148" t="s">
        <v>1156</v>
      </c>
      <c r="Y1828" s="150" t="s">
        <v>1093</v>
      </c>
    </row>
    <row r="1829" spans="1:26" ht="15.75" hidden="1" customHeight="1" x14ac:dyDescent="0.25">
      <c r="A1829" s="148" t="s">
        <v>76</v>
      </c>
      <c r="B1829" s="148" t="s">
        <v>44</v>
      </c>
      <c r="C1829" s="148" t="s">
        <v>45</v>
      </c>
      <c r="D1829" s="148" t="s">
        <v>29</v>
      </c>
      <c r="E1829" s="148" t="s">
        <v>46</v>
      </c>
      <c r="F1829" s="148" t="s">
        <v>47</v>
      </c>
      <c r="G1829" s="148" t="s">
        <v>48</v>
      </c>
      <c r="H1829" s="148">
        <v>2013</v>
      </c>
      <c r="I1829" s="148">
        <v>9</v>
      </c>
      <c r="J1829" s="148" t="s">
        <v>118</v>
      </c>
      <c r="K1829" s="148" t="s">
        <v>629</v>
      </c>
      <c r="M1829" s="148" t="s">
        <v>554</v>
      </c>
      <c r="N1829" s="148">
        <v>8</v>
      </c>
      <c r="O1829" s="148" t="s">
        <v>101</v>
      </c>
      <c r="P1829" s="148" t="s">
        <v>1157</v>
      </c>
      <c r="Y1829" s="150" t="s">
        <v>1093</v>
      </c>
    </row>
    <row r="1830" spans="1:26" ht="15.75" hidden="1" customHeight="1" x14ac:dyDescent="0.25">
      <c r="A1830" s="148" t="s">
        <v>76</v>
      </c>
      <c r="B1830" s="148" t="s">
        <v>116</v>
      </c>
      <c r="C1830" s="148" t="s">
        <v>90</v>
      </c>
      <c r="D1830" s="148" t="s">
        <v>29</v>
      </c>
      <c r="E1830" s="148" t="s">
        <v>30</v>
      </c>
      <c r="F1830" s="148" t="s">
        <v>41</v>
      </c>
      <c r="G1830" s="148" t="s">
        <v>683</v>
      </c>
      <c r="H1830" s="148">
        <v>2013</v>
      </c>
      <c r="I1830" s="148">
        <v>9</v>
      </c>
      <c r="J1830" s="148" t="s">
        <v>118</v>
      </c>
      <c r="K1830" s="148" t="s">
        <v>579</v>
      </c>
      <c r="M1830" s="148" t="s">
        <v>126</v>
      </c>
      <c r="N1830" s="148">
        <v>10</v>
      </c>
      <c r="O1830" s="148" t="s">
        <v>101</v>
      </c>
      <c r="P1830" s="148" t="s">
        <v>146</v>
      </c>
    </row>
    <row r="1831" spans="1:26" ht="15.75" hidden="1" customHeight="1" x14ac:dyDescent="0.25">
      <c r="A1831" s="148" t="s">
        <v>76</v>
      </c>
      <c r="B1831" s="148" t="s">
        <v>89</v>
      </c>
      <c r="C1831" s="148" t="s">
        <v>90</v>
      </c>
      <c r="D1831" s="148" t="s">
        <v>99</v>
      </c>
      <c r="E1831" s="148" t="s">
        <v>30</v>
      </c>
      <c r="F1831" s="148" t="s">
        <v>91</v>
      </c>
      <c r="G1831" s="148" t="s">
        <v>499</v>
      </c>
      <c r="H1831" s="148">
        <v>2013</v>
      </c>
      <c r="I1831" s="148">
        <v>10</v>
      </c>
      <c r="J1831" s="148" t="s">
        <v>118</v>
      </c>
      <c r="K1831" s="148" t="s">
        <v>851</v>
      </c>
      <c r="M1831" s="148" t="s">
        <v>132</v>
      </c>
      <c r="N1831" s="148">
        <v>8</v>
      </c>
      <c r="O1831" s="148" t="s">
        <v>101</v>
      </c>
      <c r="P1831" s="148" t="s">
        <v>435</v>
      </c>
    </row>
    <row r="1832" spans="1:26" ht="15.75" hidden="1" customHeight="1" x14ac:dyDescent="0.25">
      <c r="A1832" s="148" t="s">
        <v>76</v>
      </c>
      <c r="B1832" s="148" t="s">
        <v>71</v>
      </c>
      <c r="C1832" s="148" t="s">
        <v>45</v>
      </c>
      <c r="D1832" s="148" t="s">
        <v>29</v>
      </c>
      <c r="E1832" s="148" t="s">
        <v>72</v>
      </c>
      <c r="F1832" s="148" t="s">
        <v>3183</v>
      </c>
      <c r="G1832" s="148" t="s">
        <v>73</v>
      </c>
      <c r="H1832" s="148">
        <v>2013</v>
      </c>
      <c r="I1832" s="148">
        <v>10</v>
      </c>
      <c r="J1832" s="148" t="s">
        <v>150</v>
      </c>
      <c r="K1832" s="148" t="s">
        <v>692</v>
      </c>
      <c r="M1832" s="148" t="s">
        <v>696</v>
      </c>
      <c r="N1832" s="148">
        <v>8</v>
      </c>
      <c r="O1832" s="148" t="s">
        <v>83</v>
      </c>
    </row>
    <row r="1833" spans="1:26" ht="15.75" hidden="1" customHeight="1" x14ac:dyDescent="0.25">
      <c r="A1833" s="148" t="s">
        <v>76</v>
      </c>
      <c r="B1833" s="148" t="s">
        <v>71</v>
      </c>
      <c r="C1833" s="148" t="s">
        <v>55</v>
      </c>
      <c r="D1833" s="148" t="s">
        <v>29</v>
      </c>
      <c r="E1833" s="148" t="s">
        <v>30</v>
      </c>
      <c r="F1833" s="148" t="s">
        <v>56</v>
      </c>
      <c r="G1833" s="148" t="s">
        <v>612</v>
      </c>
      <c r="H1833" s="148">
        <v>2013</v>
      </c>
      <c r="I1833" s="148">
        <v>10</v>
      </c>
      <c r="J1833" s="148" t="s">
        <v>118</v>
      </c>
      <c r="K1833" s="148" t="s">
        <v>579</v>
      </c>
      <c r="M1833" s="148" t="s">
        <v>126</v>
      </c>
      <c r="N1833" s="148">
        <v>10</v>
      </c>
      <c r="O1833" s="148" t="s">
        <v>101</v>
      </c>
      <c r="P1833" s="148" t="s">
        <v>146</v>
      </c>
    </row>
    <row r="1834" spans="1:26" ht="15.75" hidden="1" customHeight="1" x14ac:dyDescent="0.25">
      <c r="A1834" s="148" t="s">
        <v>76</v>
      </c>
      <c r="B1834" s="148" t="s">
        <v>71</v>
      </c>
      <c r="C1834" s="148" t="s">
        <v>45</v>
      </c>
      <c r="D1834" s="148" t="s">
        <v>99</v>
      </c>
      <c r="E1834" s="148" t="s">
        <v>30</v>
      </c>
      <c r="F1834" s="148" t="s">
        <v>199</v>
      </c>
      <c r="G1834" s="148" t="s">
        <v>296</v>
      </c>
      <c r="H1834" s="148">
        <v>2013</v>
      </c>
      <c r="I1834" s="148">
        <v>10</v>
      </c>
      <c r="J1834" s="148" t="s">
        <v>118</v>
      </c>
      <c r="K1834" s="148" t="s">
        <v>1158</v>
      </c>
      <c r="M1834" s="148" t="s">
        <v>120</v>
      </c>
      <c r="N1834" s="148">
        <v>6</v>
      </c>
      <c r="O1834" s="148" t="s">
        <v>101</v>
      </c>
      <c r="P1834" s="148" t="s">
        <v>449</v>
      </c>
    </row>
    <row r="1835" spans="1:26" ht="15.75" hidden="1" customHeight="1" x14ac:dyDescent="0.25">
      <c r="A1835" s="148" t="s">
        <v>76</v>
      </c>
      <c r="B1835" s="148" t="s">
        <v>71</v>
      </c>
      <c r="C1835" s="148" t="s">
        <v>90</v>
      </c>
      <c r="D1835" s="148" t="s">
        <v>29</v>
      </c>
      <c r="E1835" s="148" t="s">
        <v>30</v>
      </c>
      <c r="F1835" s="148" t="s">
        <v>91</v>
      </c>
      <c r="G1835" s="148" t="s">
        <v>145</v>
      </c>
      <c r="H1835" s="148">
        <v>2013</v>
      </c>
      <c r="I1835" s="148">
        <v>10</v>
      </c>
      <c r="J1835" s="148" t="s">
        <v>118</v>
      </c>
      <c r="K1835" s="148" t="s">
        <v>579</v>
      </c>
      <c r="M1835" s="148" t="s">
        <v>126</v>
      </c>
      <c r="N1835" s="148">
        <v>10</v>
      </c>
      <c r="O1835" s="148" t="s">
        <v>101</v>
      </c>
      <c r="P1835" s="148" t="s">
        <v>146</v>
      </c>
    </row>
    <row r="1836" spans="1:26" ht="15.75" hidden="1" customHeight="1" x14ac:dyDescent="0.25">
      <c r="A1836" s="148" t="s">
        <v>26</v>
      </c>
      <c r="B1836" s="148" t="s">
        <v>71</v>
      </c>
      <c r="C1836" s="148" t="s">
        <v>90</v>
      </c>
      <c r="D1836" s="148" t="s">
        <v>29</v>
      </c>
      <c r="E1836" s="148" t="s">
        <v>30</v>
      </c>
      <c r="F1836" s="148" t="s">
        <v>41</v>
      </c>
      <c r="G1836" s="148" t="s">
        <v>564</v>
      </c>
      <c r="H1836" s="148">
        <v>2013</v>
      </c>
      <c r="I1836" s="148">
        <v>10</v>
      </c>
      <c r="J1836" s="148" t="s">
        <v>792</v>
      </c>
      <c r="U1836" s="149" t="s">
        <v>3629</v>
      </c>
      <c r="V1836" s="148" t="s">
        <v>1150</v>
      </c>
      <c r="W1836" s="148" t="s">
        <v>87</v>
      </c>
      <c r="X1836" s="148" t="s">
        <v>1151</v>
      </c>
    </row>
    <row r="1837" spans="1:26" ht="15.75" hidden="1" customHeight="1" x14ac:dyDescent="0.25">
      <c r="A1837" s="148" t="s">
        <v>76</v>
      </c>
      <c r="B1837" s="148" t="s">
        <v>71</v>
      </c>
      <c r="C1837" s="148" t="s">
        <v>55</v>
      </c>
      <c r="D1837" s="148" t="s">
        <v>478</v>
      </c>
      <c r="E1837" s="148" t="s">
        <v>95</v>
      </c>
      <c r="F1837" s="148" t="s">
        <v>56</v>
      </c>
      <c r="G1837" s="148" t="s">
        <v>107</v>
      </c>
      <c r="H1837" s="148">
        <v>2013</v>
      </c>
      <c r="I1837" s="148">
        <v>10</v>
      </c>
      <c r="J1837" s="148" t="s">
        <v>118</v>
      </c>
      <c r="K1837" s="148" t="s">
        <v>874</v>
      </c>
      <c r="M1837" s="148" t="s">
        <v>120</v>
      </c>
      <c r="N1837" s="148">
        <v>6</v>
      </c>
      <c r="O1837" s="148" t="s">
        <v>101</v>
      </c>
      <c r="P1837" s="148" t="s">
        <v>1159</v>
      </c>
    </row>
    <row r="1838" spans="1:26" ht="15.75" hidden="1" customHeight="1" x14ac:dyDescent="0.25">
      <c r="A1838" s="148" t="s">
        <v>76</v>
      </c>
      <c r="B1838" s="148" t="s">
        <v>71</v>
      </c>
      <c r="C1838" s="148" t="s">
        <v>28</v>
      </c>
      <c r="D1838" s="148" t="s">
        <v>478</v>
      </c>
      <c r="E1838" s="148" t="s">
        <v>30</v>
      </c>
      <c r="F1838" s="148" t="s">
        <v>3183</v>
      </c>
      <c r="G1838" s="148" t="s">
        <v>67</v>
      </c>
      <c r="H1838" s="148">
        <v>2013</v>
      </c>
      <c r="I1838" s="148">
        <v>10</v>
      </c>
      <c r="J1838" s="148" t="s">
        <v>118</v>
      </c>
      <c r="K1838" s="148" t="s">
        <v>579</v>
      </c>
      <c r="M1838" s="148" t="s">
        <v>126</v>
      </c>
      <c r="N1838" s="148">
        <v>10</v>
      </c>
      <c r="O1838" s="148" t="s">
        <v>101</v>
      </c>
      <c r="P1838" s="148" t="s">
        <v>146</v>
      </c>
    </row>
    <row r="1839" spans="1:26" ht="15.75" hidden="1" customHeight="1" x14ac:dyDescent="0.25">
      <c r="A1839" s="148" t="s">
        <v>76</v>
      </c>
      <c r="B1839" s="148" t="s">
        <v>36</v>
      </c>
      <c r="C1839" s="148" t="s">
        <v>28</v>
      </c>
      <c r="D1839" s="148" t="s">
        <v>342</v>
      </c>
      <c r="E1839" s="148" t="s">
        <v>30</v>
      </c>
      <c r="F1839" s="148" t="s">
        <v>3183</v>
      </c>
      <c r="G1839" s="148" t="s">
        <v>37</v>
      </c>
      <c r="H1839" s="148">
        <v>2013</v>
      </c>
      <c r="I1839" s="148">
        <v>10</v>
      </c>
      <c r="J1839" s="148" t="s">
        <v>118</v>
      </c>
      <c r="K1839" s="148" t="s">
        <v>502</v>
      </c>
      <c r="M1839" s="148" t="s">
        <v>126</v>
      </c>
      <c r="N1839" s="148">
        <v>10</v>
      </c>
      <c r="O1839" s="148" t="s">
        <v>101</v>
      </c>
      <c r="P1839" s="148" t="s">
        <v>1160</v>
      </c>
    </row>
    <row r="1840" spans="1:26" ht="15.75" hidden="1" customHeight="1" x14ac:dyDescent="0.25">
      <c r="A1840" s="148" t="s">
        <v>76</v>
      </c>
      <c r="B1840" s="148" t="s">
        <v>71</v>
      </c>
      <c r="C1840" s="148" t="s">
        <v>45</v>
      </c>
      <c r="D1840" s="148" t="s">
        <v>29</v>
      </c>
      <c r="E1840" s="148" t="s">
        <v>72</v>
      </c>
      <c r="F1840" s="148" t="s">
        <v>3183</v>
      </c>
      <c r="G1840" s="148" t="s">
        <v>75</v>
      </c>
      <c r="H1840" s="148">
        <v>2013</v>
      </c>
      <c r="I1840" s="148">
        <v>10</v>
      </c>
      <c r="J1840" s="148" t="s">
        <v>150</v>
      </c>
      <c r="K1840" s="148" t="s">
        <v>692</v>
      </c>
      <c r="M1840" s="148" t="s">
        <v>696</v>
      </c>
      <c r="N1840" s="148">
        <v>8</v>
      </c>
      <c r="O1840" s="148" t="s">
        <v>83</v>
      </c>
    </row>
    <row r="1841" spans="1:26" ht="15.75" hidden="1" customHeight="1" x14ac:dyDescent="0.25">
      <c r="A1841" s="148" t="s">
        <v>76</v>
      </c>
      <c r="B1841" s="148" t="s">
        <v>27</v>
      </c>
      <c r="C1841" s="148" t="s">
        <v>28</v>
      </c>
      <c r="D1841" s="148" t="s">
        <v>99</v>
      </c>
      <c r="E1841" s="148" t="s">
        <v>40</v>
      </c>
      <c r="F1841" s="148" t="s">
        <v>41</v>
      </c>
      <c r="G1841" s="148" t="s">
        <v>42</v>
      </c>
      <c r="H1841" s="148">
        <v>2013</v>
      </c>
      <c r="I1841" s="148">
        <v>10</v>
      </c>
      <c r="J1841" s="148" t="s">
        <v>118</v>
      </c>
      <c r="K1841" s="148" t="s">
        <v>502</v>
      </c>
      <c r="M1841" s="148" t="s">
        <v>126</v>
      </c>
      <c r="N1841" s="148">
        <v>10</v>
      </c>
      <c r="O1841" s="148" t="s">
        <v>101</v>
      </c>
      <c r="P1841" s="148" t="s">
        <v>203</v>
      </c>
    </row>
    <row r="1842" spans="1:26" ht="15.75" hidden="1" customHeight="1" x14ac:dyDescent="0.25">
      <c r="A1842" s="148" t="s">
        <v>76</v>
      </c>
      <c r="B1842" s="148" t="s">
        <v>54</v>
      </c>
      <c r="C1842" s="148" t="s">
        <v>55</v>
      </c>
      <c r="D1842" s="148" t="s">
        <v>1082</v>
      </c>
      <c r="E1842" s="148" t="s">
        <v>30</v>
      </c>
      <c r="F1842" s="148" t="s">
        <v>56</v>
      </c>
      <c r="G1842" s="148" t="s">
        <v>54</v>
      </c>
      <c r="H1842" s="148">
        <v>2013</v>
      </c>
      <c r="I1842" s="148">
        <v>10</v>
      </c>
      <c r="J1842" s="148" t="s">
        <v>150</v>
      </c>
      <c r="K1842" s="148" t="s">
        <v>579</v>
      </c>
      <c r="M1842" s="148" t="s">
        <v>126</v>
      </c>
      <c r="N1842" s="148">
        <v>10</v>
      </c>
      <c r="O1842" s="148" t="s">
        <v>83</v>
      </c>
    </row>
    <row r="1843" spans="1:26" ht="15.75" hidden="1" customHeight="1" x14ac:dyDescent="0.25">
      <c r="A1843" s="148" t="s">
        <v>76</v>
      </c>
      <c r="B1843" s="148" t="s">
        <v>71</v>
      </c>
      <c r="C1843" s="148" t="s">
        <v>45</v>
      </c>
      <c r="D1843" s="148" t="s">
        <v>29</v>
      </c>
      <c r="E1843" s="148" t="s">
        <v>72</v>
      </c>
      <c r="F1843" s="148" t="s">
        <v>3183</v>
      </c>
      <c r="G1843" s="148" t="s">
        <v>73</v>
      </c>
      <c r="H1843" s="148">
        <v>2013</v>
      </c>
      <c r="I1843" s="148">
        <v>11</v>
      </c>
      <c r="J1843" s="148" t="s">
        <v>118</v>
      </c>
      <c r="K1843" s="148" t="s">
        <v>692</v>
      </c>
      <c r="M1843" s="148" t="s">
        <v>696</v>
      </c>
      <c r="N1843" s="148">
        <v>8</v>
      </c>
      <c r="O1843" s="148" t="s">
        <v>101</v>
      </c>
    </row>
    <row r="1844" spans="1:26" ht="15.75" hidden="1" customHeight="1" x14ac:dyDescent="0.25">
      <c r="A1844" s="148" t="s">
        <v>76</v>
      </c>
      <c r="B1844" s="148" t="s">
        <v>71</v>
      </c>
      <c r="C1844" s="148" t="s">
        <v>28</v>
      </c>
      <c r="D1844" s="148" t="s">
        <v>158</v>
      </c>
      <c r="E1844" s="148" t="s">
        <v>30</v>
      </c>
      <c r="F1844" s="148" t="s">
        <v>3183</v>
      </c>
      <c r="G1844" s="148" t="s">
        <v>32</v>
      </c>
      <c r="H1844" s="148">
        <v>2013</v>
      </c>
      <c r="I1844" s="148">
        <v>11</v>
      </c>
      <c r="J1844" s="148" t="s">
        <v>118</v>
      </c>
      <c r="K1844" s="148" t="s">
        <v>874</v>
      </c>
      <c r="M1844" s="148" t="s">
        <v>120</v>
      </c>
      <c r="N1844" s="148">
        <v>6</v>
      </c>
      <c r="O1844" s="148" t="s">
        <v>101</v>
      </c>
      <c r="P1844" s="148" t="s">
        <v>1144</v>
      </c>
    </row>
    <row r="1845" spans="1:26" ht="15.75" hidden="1" customHeight="1" x14ac:dyDescent="0.25">
      <c r="A1845" s="148" t="s">
        <v>76</v>
      </c>
      <c r="B1845" s="148" t="s">
        <v>71</v>
      </c>
      <c r="C1845" s="148" t="s">
        <v>55</v>
      </c>
      <c r="D1845" s="148" t="s">
        <v>490</v>
      </c>
      <c r="E1845" s="148" t="s">
        <v>95</v>
      </c>
      <c r="F1845" s="148" t="s">
        <v>56</v>
      </c>
      <c r="G1845" s="148" t="s">
        <v>382</v>
      </c>
      <c r="H1845" s="148">
        <v>2013</v>
      </c>
      <c r="I1845" s="148">
        <v>11</v>
      </c>
      <c r="J1845" s="148" t="s">
        <v>150</v>
      </c>
      <c r="K1845" s="148" t="s">
        <v>1096</v>
      </c>
      <c r="M1845" s="148" t="s">
        <v>120</v>
      </c>
      <c r="N1845" s="148">
        <v>6</v>
      </c>
      <c r="O1845" s="148" t="s">
        <v>83</v>
      </c>
    </row>
    <row r="1846" spans="1:26" ht="15.75" hidden="1" customHeight="1" x14ac:dyDescent="0.25">
      <c r="A1846" s="148" t="s">
        <v>76</v>
      </c>
      <c r="B1846" s="148" t="s">
        <v>71</v>
      </c>
      <c r="C1846" s="148" t="s">
        <v>28</v>
      </c>
      <c r="D1846" s="148" t="s">
        <v>342</v>
      </c>
      <c r="E1846" s="148" t="s">
        <v>30</v>
      </c>
      <c r="F1846" s="148" t="s">
        <v>3183</v>
      </c>
      <c r="G1846" s="148" t="s">
        <v>438</v>
      </c>
      <c r="H1846" s="148">
        <v>2013</v>
      </c>
      <c r="I1846" s="148">
        <v>11</v>
      </c>
      <c r="J1846" s="148" t="s">
        <v>118</v>
      </c>
      <c r="K1846" s="148" t="s">
        <v>708</v>
      </c>
      <c r="M1846" s="148" t="s">
        <v>82</v>
      </c>
      <c r="N1846" s="148">
        <v>8</v>
      </c>
      <c r="O1846" s="148" t="s">
        <v>101</v>
      </c>
      <c r="P1846" s="148" t="s">
        <v>1161</v>
      </c>
    </row>
    <row r="1847" spans="1:26" ht="15.75" hidden="1" customHeight="1" x14ac:dyDescent="0.25">
      <c r="A1847" s="148" t="s">
        <v>76</v>
      </c>
      <c r="B1847" s="148" t="s">
        <v>198</v>
      </c>
      <c r="C1847" s="148" t="s">
        <v>45</v>
      </c>
      <c r="D1847" s="148" t="s">
        <v>29</v>
      </c>
      <c r="E1847" s="148" t="s">
        <v>30</v>
      </c>
      <c r="F1847" s="148" t="s">
        <v>199</v>
      </c>
      <c r="G1847" s="148" t="s">
        <v>232</v>
      </c>
      <c r="H1847" s="148">
        <v>2013</v>
      </c>
      <c r="I1847" s="148">
        <v>11</v>
      </c>
      <c r="J1847" s="148" t="s">
        <v>118</v>
      </c>
      <c r="K1847" s="148" t="s">
        <v>692</v>
      </c>
      <c r="M1847" s="148" t="s">
        <v>696</v>
      </c>
      <c r="N1847" s="148">
        <v>8</v>
      </c>
      <c r="O1847" s="148" t="s">
        <v>101</v>
      </c>
      <c r="P1847" s="148" t="s">
        <v>1162</v>
      </c>
    </row>
    <row r="1848" spans="1:26" ht="15.75" hidden="1" customHeight="1" x14ac:dyDescent="0.25">
      <c r="A1848" s="148" t="s">
        <v>76</v>
      </c>
      <c r="B1848" s="148" t="s">
        <v>71</v>
      </c>
      <c r="C1848" s="148" t="s">
        <v>45</v>
      </c>
      <c r="D1848" s="148" t="s">
        <v>29</v>
      </c>
      <c r="E1848" s="148" t="s">
        <v>30</v>
      </c>
      <c r="F1848" s="148" t="s">
        <v>3183</v>
      </c>
      <c r="G1848" s="148" t="s">
        <v>621</v>
      </c>
      <c r="H1848" s="148">
        <v>2013</v>
      </c>
      <c r="I1848" s="148">
        <v>11</v>
      </c>
      <c r="J1848" s="148" t="s">
        <v>118</v>
      </c>
      <c r="K1848" s="148" t="s">
        <v>708</v>
      </c>
      <c r="M1848" s="148" t="s">
        <v>82</v>
      </c>
      <c r="N1848" s="148">
        <v>8</v>
      </c>
      <c r="O1848" s="148" t="s">
        <v>101</v>
      </c>
      <c r="P1848" s="148" t="s">
        <v>146</v>
      </c>
      <c r="Z1848" s="148" t="s">
        <v>623</v>
      </c>
    </row>
    <row r="1849" spans="1:26" ht="15.75" hidden="1" customHeight="1" x14ac:dyDescent="0.25">
      <c r="A1849" s="148" t="s">
        <v>76</v>
      </c>
      <c r="B1849" s="148" t="s">
        <v>103</v>
      </c>
      <c r="C1849" s="148" t="s">
        <v>55</v>
      </c>
      <c r="D1849" s="148" t="s">
        <v>478</v>
      </c>
      <c r="E1849" s="148" t="s">
        <v>95</v>
      </c>
      <c r="F1849" s="148" t="s">
        <v>56</v>
      </c>
      <c r="G1849" s="148" t="s">
        <v>153</v>
      </c>
      <c r="H1849" s="148">
        <v>2013</v>
      </c>
      <c r="I1849" s="148">
        <v>11</v>
      </c>
      <c r="J1849" s="148" t="s">
        <v>118</v>
      </c>
      <c r="K1849" s="148" t="s">
        <v>520</v>
      </c>
      <c r="M1849" s="148" t="s">
        <v>701</v>
      </c>
      <c r="N1849" s="148">
        <v>8</v>
      </c>
      <c r="O1849" s="148" t="s">
        <v>101</v>
      </c>
      <c r="P1849" s="148" t="s">
        <v>123</v>
      </c>
    </row>
    <row r="1850" spans="1:26" ht="15.75" hidden="1" customHeight="1" x14ac:dyDescent="0.25">
      <c r="A1850" s="148" t="s">
        <v>76</v>
      </c>
      <c r="B1850" s="148" t="s">
        <v>103</v>
      </c>
      <c r="C1850" s="148" t="s">
        <v>55</v>
      </c>
      <c r="D1850" s="148" t="s">
        <v>29</v>
      </c>
      <c r="E1850" s="148" t="s">
        <v>95</v>
      </c>
      <c r="F1850" s="148" t="s">
        <v>56</v>
      </c>
      <c r="G1850" s="148" t="s">
        <v>407</v>
      </c>
      <c r="H1850" s="148">
        <v>2013</v>
      </c>
      <c r="I1850" s="148">
        <v>11</v>
      </c>
      <c r="J1850" s="148" t="s">
        <v>118</v>
      </c>
      <c r="K1850" s="148" t="s">
        <v>579</v>
      </c>
      <c r="M1850" s="148" t="s">
        <v>126</v>
      </c>
      <c r="N1850" s="148">
        <v>10</v>
      </c>
      <c r="O1850" s="148" t="s">
        <v>101</v>
      </c>
      <c r="P1850" s="148" t="s">
        <v>146</v>
      </c>
    </row>
    <row r="1851" spans="1:26" ht="15.75" hidden="1" customHeight="1" x14ac:dyDescent="0.25">
      <c r="A1851" s="148" t="s">
        <v>307</v>
      </c>
      <c r="B1851" s="148" t="s">
        <v>27</v>
      </c>
      <c r="C1851" s="148" t="s">
        <v>28</v>
      </c>
      <c r="D1851" s="148" t="s">
        <v>566</v>
      </c>
      <c r="E1851" s="148" t="s">
        <v>30</v>
      </c>
      <c r="F1851" s="148" t="s">
        <v>3183</v>
      </c>
      <c r="G1851" s="148" t="s">
        <v>53</v>
      </c>
      <c r="H1851" s="148">
        <v>2013</v>
      </c>
      <c r="I1851" s="148">
        <v>11</v>
      </c>
      <c r="J1851" s="148" t="s">
        <v>308</v>
      </c>
      <c r="Q1851" s="148" t="s">
        <v>309</v>
      </c>
      <c r="R1851" s="148" t="s">
        <v>1163</v>
      </c>
      <c r="S1851" s="148" t="s">
        <v>311</v>
      </c>
      <c r="T1851" s="148" t="s">
        <v>309</v>
      </c>
    </row>
    <row r="1852" spans="1:26" ht="15.75" hidden="1" customHeight="1" x14ac:dyDescent="0.25">
      <c r="A1852" s="148" t="s">
        <v>307</v>
      </c>
      <c r="B1852" s="148" t="s">
        <v>36</v>
      </c>
      <c r="C1852" s="148" t="s">
        <v>28</v>
      </c>
      <c r="D1852" s="148" t="s">
        <v>478</v>
      </c>
      <c r="E1852" s="148" t="s">
        <v>30</v>
      </c>
      <c r="F1852" s="148" t="s">
        <v>3183</v>
      </c>
      <c r="G1852" s="148" t="s">
        <v>59</v>
      </c>
      <c r="H1852" s="148">
        <v>2013</v>
      </c>
      <c r="I1852" s="148">
        <v>11</v>
      </c>
      <c r="J1852" s="148" t="s">
        <v>308</v>
      </c>
      <c r="Q1852" s="148" t="s">
        <v>309</v>
      </c>
      <c r="R1852" s="148" t="s">
        <v>1164</v>
      </c>
      <c r="S1852" s="148" t="s">
        <v>885</v>
      </c>
      <c r="Y1852" s="150" t="s">
        <v>1165</v>
      </c>
    </row>
    <row r="1853" spans="1:26" ht="15.75" hidden="1" customHeight="1" x14ac:dyDescent="0.25">
      <c r="A1853" s="148" t="s">
        <v>76</v>
      </c>
      <c r="B1853" s="148" t="s">
        <v>77</v>
      </c>
      <c r="C1853" s="148" t="s">
        <v>55</v>
      </c>
      <c r="D1853" s="148" t="s">
        <v>99</v>
      </c>
      <c r="E1853" s="148" t="s">
        <v>30</v>
      </c>
      <c r="F1853" s="148" t="s">
        <v>41</v>
      </c>
      <c r="G1853" s="148" t="s">
        <v>161</v>
      </c>
      <c r="H1853" s="148">
        <v>2013</v>
      </c>
      <c r="I1853" s="148">
        <v>11</v>
      </c>
      <c r="J1853" s="148" t="s">
        <v>118</v>
      </c>
      <c r="K1853" s="148" t="s">
        <v>708</v>
      </c>
      <c r="M1853" s="148" t="s">
        <v>82</v>
      </c>
      <c r="N1853" s="148">
        <v>8</v>
      </c>
      <c r="O1853" s="148" t="s">
        <v>101</v>
      </c>
      <c r="P1853" s="148" t="s">
        <v>1166</v>
      </c>
    </row>
    <row r="1854" spans="1:26" ht="15.75" hidden="1" customHeight="1" x14ac:dyDescent="0.25">
      <c r="A1854" s="148" t="s">
        <v>76</v>
      </c>
      <c r="B1854" s="148" t="s">
        <v>89</v>
      </c>
      <c r="C1854" s="148" t="s">
        <v>90</v>
      </c>
      <c r="D1854" s="148" t="s">
        <v>292</v>
      </c>
      <c r="E1854" s="148" t="s">
        <v>30</v>
      </c>
      <c r="F1854" s="148" t="s">
        <v>91</v>
      </c>
      <c r="G1854" s="148" t="s">
        <v>1167</v>
      </c>
      <c r="H1854" s="148">
        <v>2013</v>
      </c>
      <c r="I1854" s="148">
        <v>11</v>
      </c>
      <c r="J1854" s="148" t="s">
        <v>118</v>
      </c>
      <c r="K1854" s="148" t="s">
        <v>851</v>
      </c>
      <c r="M1854" s="148" t="s">
        <v>132</v>
      </c>
      <c r="N1854" s="148">
        <v>8</v>
      </c>
      <c r="O1854" s="148" t="s">
        <v>101</v>
      </c>
      <c r="P1854" s="148" t="s">
        <v>435</v>
      </c>
    </row>
    <row r="1855" spans="1:26" ht="15.75" hidden="1" customHeight="1" x14ac:dyDescent="0.25">
      <c r="A1855" s="148" t="s">
        <v>76</v>
      </c>
      <c r="B1855" s="148" t="s">
        <v>103</v>
      </c>
      <c r="C1855" s="148" t="s">
        <v>55</v>
      </c>
      <c r="D1855" s="148" t="s">
        <v>29</v>
      </c>
      <c r="E1855" s="148" t="s">
        <v>95</v>
      </c>
      <c r="F1855" s="148" t="s">
        <v>56</v>
      </c>
      <c r="G1855" s="148" t="s">
        <v>559</v>
      </c>
      <c r="H1855" s="148">
        <v>2013</v>
      </c>
      <c r="I1855" s="148">
        <v>11</v>
      </c>
      <c r="J1855" s="148" t="s">
        <v>118</v>
      </c>
      <c r="K1855" s="148" t="s">
        <v>851</v>
      </c>
      <c r="M1855" s="148" t="s">
        <v>132</v>
      </c>
      <c r="N1855" s="148">
        <v>8</v>
      </c>
      <c r="O1855" s="148" t="s">
        <v>101</v>
      </c>
      <c r="P1855" s="148" t="s">
        <v>551</v>
      </c>
    </row>
    <row r="1856" spans="1:26" ht="15.75" hidden="1" customHeight="1" x14ac:dyDescent="0.25">
      <c r="A1856" s="148" t="s">
        <v>76</v>
      </c>
      <c r="B1856" s="148" t="s">
        <v>71</v>
      </c>
      <c r="C1856" s="148" t="s">
        <v>45</v>
      </c>
      <c r="D1856" s="148" t="s">
        <v>29</v>
      </c>
      <c r="E1856" s="148" t="s">
        <v>72</v>
      </c>
      <c r="F1856" s="148" t="s">
        <v>3183</v>
      </c>
      <c r="G1856" s="148" t="s">
        <v>75</v>
      </c>
      <c r="H1856" s="148">
        <v>2013</v>
      </c>
      <c r="I1856" s="148">
        <v>11</v>
      </c>
      <c r="J1856" s="148" t="s">
        <v>118</v>
      </c>
      <c r="K1856" s="148" t="s">
        <v>692</v>
      </c>
      <c r="M1856" s="148" t="s">
        <v>696</v>
      </c>
      <c r="N1856" s="148">
        <v>8</v>
      </c>
      <c r="O1856" s="148" t="s">
        <v>101</v>
      </c>
      <c r="P1856" s="148" t="s">
        <v>146</v>
      </c>
    </row>
    <row r="1857" spans="1:26" ht="15.75" hidden="1" customHeight="1" x14ac:dyDescent="0.25">
      <c r="A1857" s="148" t="s">
        <v>26</v>
      </c>
      <c r="B1857" s="148" t="s">
        <v>36</v>
      </c>
      <c r="C1857" s="148" t="s">
        <v>28</v>
      </c>
      <c r="D1857" s="148" t="s">
        <v>86</v>
      </c>
      <c r="E1857" s="148" t="s">
        <v>51</v>
      </c>
      <c r="F1857" s="148" t="s">
        <v>3183</v>
      </c>
      <c r="G1857" s="148" t="s">
        <v>69</v>
      </c>
      <c r="H1857" s="148">
        <v>2013</v>
      </c>
      <c r="I1857" s="148">
        <v>11</v>
      </c>
      <c r="J1857" s="148" t="s">
        <v>895</v>
      </c>
      <c r="U1857" s="149" t="s">
        <v>112</v>
      </c>
      <c r="V1857" s="148" t="s">
        <v>3674</v>
      </c>
      <c r="W1857" s="148" t="s">
        <v>34</v>
      </c>
      <c r="X1857" s="148" t="s">
        <v>1168</v>
      </c>
    </row>
    <row r="1858" spans="1:26" ht="15.75" hidden="1" customHeight="1" x14ac:dyDescent="0.25">
      <c r="A1858" s="148" t="s">
        <v>76</v>
      </c>
      <c r="B1858" s="148" t="s">
        <v>54</v>
      </c>
      <c r="C1858" s="148" t="s">
        <v>55</v>
      </c>
      <c r="D1858" s="148" t="s">
        <v>1082</v>
      </c>
      <c r="E1858" s="148" t="s">
        <v>30</v>
      </c>
      <c r="F1858" s="148" t="s">
        <v>56</v>
      </c>
      <c r="G1858" s="148" t="s">
        <v>54</v>
      </c>
      <c r="H1858" s="148">
        <v>2013</v>
      </c>
      <c r="I1858" s="148">
        <v>11</v>
      </c>
      <c r="J1858" s="148" t="s">
        <v>118</v>
      </c>
      <c r="K1858" s="148" t="s">
        <v>851</v>
      </c>
      <c r="M1858" s="148" t="s">
        <v>132</v>
      </c>
      <c r="N1858" s="148">
        <v>8</v>
      </c>
      <c r="O1858" s="148" t="s">
        <v>101</v>
      </c>
      <c r="P1858" s="148" t="s">
        <v>556</v>
      </c>
    </row>
    <row r="1859" spans="1:26" ht="15.75" hidden="1" customHeight="1" x14ac:dyDescent="0.25">
      <c r="A1859" s="148" t="s">
        <v>26</v>
      </c>
      <c r="B1859" s="148" t="s">
        <v>116</v>
      </c>
      <c r="C1859" s="148" t="s">
        <v>90</v>
      </c>
      <c r="D1859" s="148" t="s">
        <v>29</v>
      </c>
      <c r="E1859" s="148" t="s">
        <v>30</v>
      </c>
      <c r="F1859" s="148" t="s">
        <v>41</v>
      </c>
      <c r="G1859" s="148" t="s">
        <v>756</v>
      </c>
      <c r="H1859" s="148">
        <v>2013</v>
      </c>
      <c r="I1859" s="148">
        <v>11</v>
      </c>
      <c r="J1859" s="148" t="s">
        <v>792</v>
      </c>
      <c r="U1859" s="149" t="s">
        <v>3629</v>
      </c>
      <c r="V1859" s="148" t="s">
        <v>1150</v>
      </c>
      <c r="W1859" s="148" t="s">
        <v>87</v>
      </c>
      <c r="X1859" s="148" t="s">
        <v>1151</v>
      </c>
    </row>
    <row r="1860" spans="1:26" ht="15.75" hidden="1" customHeight="1" x14ac:dyDescent="0.25">
      <c r="A1860" s="148" t="s">
        <v>76</v>
      </c>
      <c r="B1860" s="148" t="s">
        <v>62</v>
      </c>
      <c r="C1860" s="148" t="s">
        <v>28</v>
      </c>
      <c r="D1860" s="148" t="s">
        <v>86</v>
      </c>
      <c r="E1860" s="148" t="s">
        <v>51</v>
      </c>
      <c r="F1860" s="148" t="s">
        <v>3183</v>
      </c>
      <c r="G1860" s="148" t="s">
        <v>130</v>
      </c>
      <c r="H1860" s="148">
        <v>2013</v>
      </c>
      <c r="I1860" s="148">
        <v>11</v>
      </c>
      <c r="J1860" s="148" t="s">
        <v>118</v>
      </c>
      <c r="K1860" s="148" t="s">
        <v>629</v>
      </c>
      <c r="M1860" s="148" t="s">
        <v>554</v>
      </c>
      <c r="N1860" s="148">
        <v>8</v>
      </c>
      <c r="O1860" s="148" t="s">
        <v>101</v>
      </c>
      <c r="P1860" s="148" t="s">
        <v>425</v>
      </c>
    </row>
    <row r="1861" spans="1:26" ht="15.75" hidden="1" customHeight="1" x14ac:dyDescent="0.25">
      <c r="A1861" s="148" t="s">
        <v>76</v>
      </c>
      <c r="B1861" s="148" t="s">
        <v>27</v>
      </c>
      <c r="C1861" s="148" t="s">
        <v>28</v>
      </c>
      <c r="D1861" s="148" t="s">
        <v>86</v>
      </c>
      <c r="E1861" s="148" t="s">
        <v>30</v>
      </c>
      <c r="F1861" s="148" t="s">
        <v>3183</v>
      </c>
      <c r="G1861" s="148" t="s">
        <v>43</v>
      </c>
      <c r="H1861" s="148">
        <v>2013</v>
      </c>
      <c r="I1861" s="148">
        <v>11</v>
      </c>
      <c r="J1861" s="148" t="s">
        <v>150</v>
      </c>
      <c r="K1861" s="148" t="s">
        <v>1096</v>
      </c>
      <c r="M1861" s="148" t="s">
        <v>120</v>
      </c>
      <c r="N1861" s="148">
        <v>6</v>
      </c>
      <c r="O1861" s="148" t="s">
        <v>83</v>
      </c>
    </row>
    <row r="1862" spans="1:26" ht="15.75" hidden="1" customHeight="1" x14ac:dyDescent="0.25">
      <c r="A1862" s="148" t="s">
        <v>76</v>
      </c>
      <c r="B1862" s="148" t="s">
        <v>36</v>
      </c>
      <c r="C1862" s="148" t="s">
        <v>28</v>
      </c>
      <c r="D1862" s="148" t="s">
        <v>342</v>
      </c>
      <c r="E1862" s="148" t="s">
        <v>51</v>
      </c>
      <c r="F1862" s="148" t="s">
        <v>3183</v>
      </c>
      <c r="G1862" s="148" t="s">
        <v>52</v>
      </c>
      <c r="H1862" s="148">
        <v>2013</v>
      </c>
      <c r="I1862" s="148">
        <v>11</v>
      </c>
      <c r="J1862" s="148" t="s">
        <v>118</v>
      </c>
      <c r="K1862" s="148" t="s">
        <v>629</v>
      </c>
      <c r="M1862" s="148" t="s">
        <v>554</v>
      </c>
      <c r="N1862" s="148">
        <v>8</v>
      </c>
      <c r="O1862" s="148" t="s">
        <v>101</v>
      </c>
      <c r="P1862" s="148" t="s">
        <v>1169</v>
      </c>
    </row>
    <row r="1863" spans="1:26" ht="15.75" hidden="1" customHeight="1" x14ac:dyDescent="0.25">
      <c r="A1863" s="148" t="s">
        <v>76</v>
      </c>
      <c r="B1863" s="148" t="s">
        <v>77</v>
      </c>
      <c r="C1863" s="148" t="s">
        <v>55</v>
      </c>
      <c r="D1863" s="148" t="s">
        <v>99</v>
      </c>
      <c r="E1863" s="148" t="s">
        <v>30</v>
      </c>
      <c r="F1863" s="148" t="s">
        <v>41</v>
      </c>
      <c r="G1863" s="148" t="s">
        <v>252</v>
      </c>
      <c r="H1863" s="148">
        <v>2013</v>
      </c>
      <c r="I1863" s="148">
        <v>11</v>
      </c>
      <c r="J1863" s="148" t="s">
        <v>118</v>
      </c>
      <c r="K1863" s="148" t="s">
        <v>502</v>
      </c>
      <c r="M1863" s="148" t="s">
        <v>126</v>
      </c>
      <c r="N1863" s="148">
        <v>10</v>
      </c>
      <c r="O1863" s="148" t="s">
        <v>101</v>
      </c>
      <c r="P1863" s="148" t="s">
        <v>146</v>
      </c>
    </row>
    <row r="1864" spans="1:26" ht="15.75" hidden="1" customHeight="1" x14ac:dyDescent="0.25">
      <c r="A1864" s="148" t="s">
        <v>76</v>
      </c>
      <c r="B1864" s="148" t="s">
        <v>44</v>
      </c>
      <c r="C1864" s="148" t="s">
        <v>45</v>
      </c>
      <c r="D1864" s="148" t="s">
        <v>29</v>
      </c>
      <c r="E1864" s="148" t="s">
        <v>46</v>
      </c>
      <c r="F1864" s="148" t="s">
        <v>47</v>
      </c>
      <c r="G1864" s="148" t="s">
        <v>48</v>
      </c>
      <c r="H1864" s="148">
        <v>2013</v>
      </c>
      <c r="I1864" s="148">
        <v>11</v>
      </c>
      <c r="J1864" s="148" t="s">
        <v>150</v>
      </c>
      <c r="K1864" s="148" t="s">
        <v>1170</v>
      </c>
      <c r="M1864" s="148" t="s">
        <v>639</v>
      </c>
      <c r="N1864" s="148">
        <v>6</v>
      </c>
      <c r="O1864" s="148" t="s">
        <v>83</v>
      </c>
      <c r="P1864" s="148" t="s">
        <v>543</v>
      </c>
      <c r="Y1864" s="150" t="s">
        <v>1046</v>
      </c>
      <c r="Z1864" s="148" t="s">
        <v>1171</v>
      </c>
    </row>
    <row r="1865" spans="1:26" ht="15.75" hidden="1" customHeight="1" x14ac:dyDescent="0.25">
      <c r="A1865" s="148" t="s">
        <v>307</v>
      </c>
      <c r="B1865" s="148" t="s">
        <v>44</v>
      </c>
      <c r="C1865" s="148" t="s">
        <v>45</v>
      </c>
      <c r="D1865" s="148" t="s">
        <v>29</v>
      </c>
      <c r="E1865" s="148" t="s">
        <v>46</v>
      </c>
      <c r="F1865" s="148" t="s">
        <v>47</v>
      </c>
      <c r="G1865" s="148" t="s">
        <v>48</v>
      </c>
      <c r="H1865" s="148">
        <v>2013</v>
      </c>
      <c r="I1865" s="148">
        <v>11</v>
      </c>
      <c r="J1865" s="148" t="s">
        <v>308</v>
      </c>
      <c r="Q1865" s="148" t="s">
        <v>426</v>
      </c>
      <c r="R1865" s="148" t="s">
        <v>1172</v>
      </c>
      <c r="S1865" s="148" t="s">
        <v>311</v>
      </c>
      <c r="T1865" s="148" t="s">
        <v>1173</v>
      </c>
      <c r="Y1865" s="150" t="s">
        <v>1174</v>
      </c>
      <c r="Z1865" s="148" t="s">
        <v>1175</v>
      </c>
    </row>
    <row r="1866" spans="1:26" ht="15.75" hidden="1" customHeight="1" x14ac:dyDescent="0.25">
      <c r="A1866" s="148" t="s">
        <v>76</v>
      </c>
      <c r="B1866" s="148" t="s">
        <v>103</v>
      </c>
      <c r="C1866" s="148" t="s">
        <v>55</v>
      </c>
      <c r="D1866" s="148" t="s">
        <v>29</v>
      </c>
      <c r="E1866" s="148" t="s">
        <v>30</v>
      </c>
      <c r="F1866" s="148" t="s">
        <v>56</v>
      </c>
      <c r="G1866" s="148" t="s">
        <v>285</v>
      </c>
      <c r="H1866" s="148">
        <v>2013</v>
      </c>
      <c r="I1866" s="148">
        <v>12</v>
      </c>
      <c r="J1866" s="148" t="s">
        <v>118</v>
      </c>
      <c r="K1866" s="148" t="s">
        <v>579</v>
      </c>
      <c r="M1866" s="148" t="s">
        <v>126</v>
      </c>
      <c r="N1866" s="148">
        <v>10</v>
      </c>
      <c r="O1866" s="148" t="s">
        <v>101</v>
      </c>
      <c r="P1866" s="148" t="s">
        <v>849</v>
      </c>
    </row>
    <row r="1867" spans="1:26" ht="13.5" hidden="1" customHeight="1" x14ac:dyDescent="0.25">
      <c r="A1867" s="148" t="s">
        <v>76</v>
      </c>
      <c r="B1867" s="148" t="s">
        <v>116</v>
      </c>
      <c r="C1867" s="148" t="s">
        <v>90</v>
      </c>
      <c r="D1867" s="148" t="s">
        <v>29</v>
      </c>
      <c r="E1867" s="148" t="s">
        <v>30</v>
      </c>
      <c r="F1867" s="148" t="s">
        <v>41</v>
      </c>
      <c r="G1867" s="148" t="s">
        <v>564</v>
      </c>
      <c r="H1867" s="148">
        <v>2013</v>
      </c>
      <c r="I1867" s="148">
        <v>12</v>
      </c>
      <c r="J1867" s="148" t="s">
        <v>118</v>
      </c>
      <c r="K1867" s="148" t="s">
        <v>502</v>
      </c>
      <c r="M1867" s="148" t="s">
        <v>126</v>
      </c>
      <c r="N1867" s="148">
        <v>10</v>
      </c>
      <c r="O1867" s="148" t="s">
        <v>101</v>
      </c>
      <c r="P1867" s="148" t="s">
        <v>146</v>
      </c>
    </row>
    <row r="1868" spans="1:26" ht="15.75" hidden="1" customHeight="1" x14ac:dyDescent="0.25">
      <c r="A1868" s="148" t="s">
        <v>76</v>
      </c>
      <c r="B1868" s="148" t="s">
        <v>36</v>
      </c>
      <c r="C1868" s="148" t="s">
        <v>28</v>
      </c>
      <c r="D1868" s="148" t="s">
        <v>478</v>
      </c>
      <c r="E1868" s="148" t="s">
        <v>30</v>
      </c>
      <c r="F1868" s="148" t="s">
        <v>3183</v>
      </c>
      <c r="G1868" s="148" t="s">
        <v>59</v>
      </c>
      <c r="H1868" s="148">
        <v>2013</v>
      </c>
      <c r="I1868" s="148">
        <v>12</v>
      </c>
      <c r="J1868" s="148" t="s">
        <v>150</v>
      </c>
      <c r="K1868" s="148" t="s">
        <v>708</v>
      </c>
      <c r="M1868" s="148" t="s">
        <v>82</v>
      </c>
      <c r="N1868" s="148">
        <v>8</v>
      </c>
      <c r="O1868" s="148" t="s">
        <v>83</v>
      </c>
      <c r="P1868" s="148" t="s">
        <v>850</v>
      </c>
    </row>
    <row r="1869" spans="1:26" ht="15.75" hidden="1" customHeight="1" x14ac:dyDescent="0.25">
      <c r="A1869" s="148" t="s">
        <v>76</v>
      </c>
      <c r="B1869" s="148" t="s">
        <v>36</v>
      </c>
      <c r="C1869" s="148" t="s">
        <v>28</v>
      </c>
      <c r="D1869" s="148" t="s">
        <v>478</v>
      </c>
      <c r="E1869" s="148" t="s">
        <v>30</v>
      </c>
      <c r="F1869" s="148" t="s">
        <v>3183</v>
      </c>
      <c r="G1869" s="148" t="s">
        <v>67</v>
      </c>
      <c r="H1869" s="148">
        <v>2013</v>
      </c>
      <c r="I1869" s="148">
        <v>12</v>
      </c>
      <c r="J1869" s="148" t="s">
        <v>118</v>
      </c>
      <c r="K1869" s="148" t="s">
        <v>708</v>
      </c>
      <c r="M1869" s="148" t="s">
        <v>82</v>
      </c>
      <c r="N1869" s="148">
        <v>8</v>
      </c>
      <c r="O1869" s="148" t="s">
        <v>101</v>
      </c>
      <c r="P1869" s="148" t="s">
        <v>656</v>
      </c>
    </row>
    <row r="1870" spans="1:26" ht="15.75" hidden="1" customHeight="1" x14ac:dyDescent="0.25">
      <c r="A1870" s="148" t="s">
        <v>76</v>
      </c>
      <c r="B1870" s="148" t="s">
        <v>103</v>
      </c>
      <c r="C1870" s="148" t="s">
        <v>55</v>
      </c>
      <c r="D1870" s="148" t="s">
        <v>99</v>
      </c>
      <c r="E1870" s="148" t="s">
        <v>95</v>
      </c>
      <c r="F1870" s="148" t="s">
        <v>56</v>
      </c>
      <c r="G1870" s="148" t="s">
        <v>270</v>
      </c>
      <c r="H1870" s="148">
        <v>2013</v>
      </c>
      <c r="I1870" s="148">
        <v>12</v>
      </c>
      <c r="J1870" s="148" t="s">
        <v>118</v>
      </c>
      <c r="K1870" s="148" t="s">
        <v>1096</v>
      </c>
      <c r="M1870" s="148" t="s">
        <v>120</v>
      </c>
      <c r="N1870" s="148">
        <v>6</v>
      </c>
      <c r="O1870" s="148" t="s">
        <v>101</v>
      </c>
      <c r="P1870" s="148" t="s">
        <v>1176</v>
      </c>
    </row>
    <row r="1871" spans="1:26" ht="15.75" hidden="1" customHeight="1" x14ac:dyDescent="0.25">
      <c r="A1871" s="148" t="s">
        <v>76</v>
      </c>
      <c r="B1871" s="148" t="s">
        <v>103</v>
      </c>
      <c r="C1871" s="148" t="s">
        <v>55</v>
      </c>
      <c r="D1871" s="148" t="s">
        <v>478</v>
      </c>
      <c r="E1871" s="148" t="s">
        <v>95</v>
      </c>
      <c r="F1871" s="148" t="s">
        <v>56</v>
      </c>
      <c r="G1871" s="148" t="s">
        <v>558</v>
      </c>
      <c r="H1871" s="148">
        <v>2014</v>
      </c>
      <c r="I1871" s="148">
        <v>1</v>
      </c>
      <c r="J1871" s="148" t="s">
        <v>118</v>
      </c>
      <c r="K1871" s="148" t="s">
        <v>579</v>
      </c>
      <c r="M1871" s="148" t="s">
        <v>126</v>
      </c>
      <c r="N1871" s="148">
        <v>10</v>
      </c>
      <c r="O1871" s="148" t="s">
        <v>101</v>
      </c>
      <c r="P1871" s="148" t="s">
        <v>146</v>
      </c>
    </row>
    <row r="1872" spans="1:26" ht="13.5" hidden="1" customHeight="1" x14ac:dyDescent="0.25">
      <c r="A1872" s="148" t="s">
        <v>26</v>
      </c>
      <c r="B1872" s="148" t="s">
        <v>89</v>
      </c>
      <c r="C1872" s="148" t="s">
        <v>90</v>
      </c>
      <c r="D1872" s="148" t="s">
        <v>158</v>
      </c>
      <c r="E1872" s="148" t="s">
        <v>30</v>
      </c>
      <c r="F1872" s="148" t="s">
        <v>91</v>
      </c>
      <c r="G1872" s="148" t="s">
        <v>222</v>
      </c>
      <c r="H1872" s="148">
        <v>2014</v>
      </c>
      <c r="I1872" s="148">
        <v>1</v>
      </c>
      <c r="J1872" s="148" t="s">
        <v>33</v>
      </c>
      <c r="U1872" s="149" t="s">
        <v>3629</v>
      </c>
      <c r="V1872" s="148" t="s">
        <v>1150</v>
      </c>
      <c r="W1872" s="148" t="s">
        <v>87</v>
      </c>
      <c r="X1872" s="148" t="s">
        <v>1151</v>
      </c>
    </row>
    <row r="1873" spans="1:26" ht="15.75" hidden="1" customHeight="1" x14ac:dyDescent="0.25">
      <c r="A1873" s="148" t="s">
        <v>307</v>
      </c>
      <c r="B1873" s="148" t="s">
        <v>54</v>
      </c>
      <c r="C1873" s="148" t="s">
        <v>55</v>
      </c>
      <c r="D1873" s="148" t="s">
        <v>1082</v>
      </c>
      <c r="E1873" s="148" t="s">
        <v>30</v>
      </c>
      <c r="F1873" s="148" t="s">
        <v>56</v>
      </c>
      <c r="G1873" s="148" t="s">
        <v>54</v>
      </c>
      <c r="H1873" s="148">
        <v>2014</v>
      </c>
      <c r="I1873" s="148">
        <v>1</v>
      </c>
      <c r="J1873" s="148" t="s">
        <v>308</v>
      </c>
      <c r="Q1873" s="148" t="s">
        <v>594</v>
      </c>
      <c r="R1873" s="148" t="s">
        <v>30</v>
      </c>
      <c r="S1873" s="148" t="s">
        <v>427</v>
      </c>
      <c r="T1873" s="148" t="s">
        <v>1177</v>
      </c>
    </row>
    <row r="1874" spans="1:26" ht="15.75" hidden="1" customHeight="1" x14ac:dyDescent="0.25">
      <c r="A1874" s="148" t="s">
        <v>26</v>
      </c>
      <c r="B1874" s="148" t="s">
        <v>27</v>
      </c>
      <c r="C1874" s="148" t="s">
        <v>28</v>
      </c>
      <c r="D1874" s="148" t="s">
        <v>86</v>
      </c>
      <c r="E1874" s="148" t="s">
        <v>30</v>
      </c>
      <c r="F1874" s="148" t="s">
        <v>3183</v>
      </c>
      <c r="G1874" s="148" t="s">
        <v>43</v>
      </c>
      <c r="H1874" s="148">
        <v>2014</v>
      </c>
      <c r="I1874" s="148">
        <v>1</v>
      </c>
      <c r="J1874" s="148" t="s">
        <v>33</v>
      </c>
      <c r="U1874" s="149" t="s">
        <v>3629</v>
      </c>
      <c r="V1874" s="148" t="s">
        <v>1178</v>
      </c>
      <c r="W1874" s="148" t="s">
        <v>49</v>
      </c>
      <c r="X1874" s="148" t="s">
        <v>1179</v>
      </c>
    </row>
    <row r="1875" spans="1:26" ht="15.75" hidden="1" customHeight="1" x14ac:dyDescent="0.25">
      <c r="A1875" s="148" t="s">
        <v>26</v>
      </c>
      <c r="B1875" s="148" t="s">
        <v>89</v>
      </c>
      <c r="C1875" s="148" t="s">
        <v>90</v>
      </c>
      <c r="D1875" s="148" t="s">
        <v>158</v>
      </c>
      <c r="E1875" s="148" t="s">
        <v>30</v>
      </c>
      <c r="F1875" s="148" t="s">
        <v>91</v>
      </c>
      <c r="G1875" s="148" t="s">
        <v>93</v>
      </c>
      <c r="H1875" s="148">
        <v>2014</v>
      </c>
      <c r="I1875" s="148">
        <v>1</v>
      </c>
      <c r="J1875" s="148" t="s">
        <v>33</v>
      </c>
      <c r="U1875" s="149" t="s">
        <v>3629</v>
      </c>
      <c r="V1875" s="148" t="s">
        <v>1150</v>
      </c>
      <c r="W1875" s="148" t="s">
        <v>87</v>
      </c>
      <c r="X1875" s="148" t="s">
        <v>1151</v>
      </c>
    </row>
    <row r="1876" spans="1:26" ht="15.75" hidden="1" customHeight="1" x14ac:dyDescent="0.25">
      <c r="A1876" s="148" t="s">
        <v>76</v>
      </c>
      <c r="B1876" s="148" t="s">
        <v>44</v>
      </c>
      <c r="C1876" s="148" t="s">
        <v>45</v>
      </c>
      <c r="D1876" s="148" t="s">
        <v>29</v>
      </c>
      <c r="E1876" s="148" t="s">
        <v>46</v>
      </c>
      <c r="F1876" s="148" t="s">
        <v>47</v>
      </c>
      <c r="G1876" s="148" t="s">
        <v>48</v>
      </c>
      <c r="H1876" s="148">
        <v>2014</v>
      </c>
      <c r="I1876" s="148">
        <v>1</v>
      </c>
      <c r="J1876" s="148" t="s">
        <v>118</v>
      </c>
      <c r="K1876" s="148" t="s">
        <v>1096</v>
      </c>
      <c r="M1876" s="148" t="s">
        <v>120</v>
      </c>
      <c r="N1876" s="148">
        <v>6</v>
      </c>
      <c r="O1876" s="148" t="s">
        <v>101</v>
      </c>
      <c r="P1876" s="148" t="s">
        <v>1180</v>
      </c>
      <c r="Y1876" s="150" t="s">
        <v>1181</v>
      </c>
      <c r="Z1876" s="148" t="s">
        <v>1182</v>
      </c>
    </row>
    <row r="1877" spans="1:26" ht="15.75" hidden="1" customHeight="1" x14ac:dyDescent="0.25">
      <c r="A1877" s="148" t="s">
        <v>76</v>
      </c>
      <c r="B1877" s="148" t="s">
        <v>71</v>
      </c>
      <c r="C1877" s="148" t="s">
        <v>45</v>
      </c>
      <c r="D1877" s="148" t="s">
        <v>99</v>
      </c>
      <c r="E1877" s="148" t="s">
        <v>30</v>
      </c>
      <c r="F1877" s="148" t="s">
        <v>3183</v>
      </c>
      <c r="G1877" s="148" t="s">
        <v>588</v>
      </c>
      <c r="H1877" s="148">
        <v>2014</v>
      </c>
      <c r="I1877" s="148">
        <v>1</v>
      </c>
      <c r="J1877" s="148" t="s">
        <v>150</v>
      </c>
      <c r="K1877" s="148" t="s">
        <v>1096</v>
      </c>
      <c r="M1877" s="148" t="s">
        <v>120</v>
      </c>
      <c r="N1877" s="148">
        <v>6</v>
      </c>
      <c r="O1877" s="148" t="s">
        <v>83</v>
      </c>
    </row>
    <row r="1878" spans="1:26" ht="15.75" hidden="1" customHeight="1" x14ac:dyDescent="0.25">
      <c r="A1878" s="148" t="s">
        <v>76</v>
      </c>
      <c r="B1878" s="148" t="s">
        <v>116</v>
      </c>
      <c r="C1878" s="148" t="s">
        <v>90</v>
      </c>
      <c r="D1878" s="148" t="s">
        <v>29</v>
      </c>
      <c r="E1878" s="148" t="s">
        <v>30</v>
      </c>
      <c r="F1878" s="148" t="s">
        <v>41</v>
      </c>
      <c r="G1878" s="148" t="s">
        <v>564</v>
      </c>
      <c r="H1878" s="148">
        <v>2014</v>
      </c>
      <c r="I1878" s="148">
        <v>2</v>
      </c>
      <c r="J1878" s="148" t="s">
        <v>150</v>
      </c>
      <c r="K1878" s="148" t="s">
        <v>708</v>
      </c>
      <c r="M1878" s="148" t="s">
        <v>82</v>
      </c>
      <c r="N1878" s="148">
        <v>8</v>
      </c>
      <c r="O1878" s="148" t="s">
        <v>83</v>
      </c>
      <c r="P1878" s="148" t="s">
        <v>146</v>
      </c>
    </row>
    <row r="1879" spans="1:26" ht="15.75" hidden="1" customHeight="1" x14ac:dyDescent="0.25">
      <c r="A1879" s="148" t="s">
        <v>26</v>
      </c>
      <c r="B1879" s="148" t="s">
        <v>116</v>
      </c>
      <c r="C1879" s="148" t="s">
        <v>90</v>
      </c>
      <c r="D1879" s="148" t="s">
        <v>29</v>
      </c>
      <c r="E1879" s="148" t="s">
        <v>30</v>
      </c>
      <c r="F1879" s="148" t="s">
        <v>41</v>
      </c>
      <c r="G1879" s="148" t="s">
        <v>564</v>
      </c>
      <c r="H1879" s="148">
        <v>2014</v>
      </c>
      <c r="I1879" s="148">
        <v>2</v>
      </c>
      <c r="J1879" s="148" t="s">
        <v>792</v>
      </c>
      <c r="U1879" s="149" t="s">
        <v>3629</v>
      </c>
      <c r="V1879" s="148" t="s">
        <v>1178</v>
      </c>
      <c r="W1879" s="148" t="s">
        <v>49</v>
      </c>
      <c r="X1879" s="148" t="s">
        <v>1179</v>
      </c>
    </row>
    <row r="1880" spans="1:26" ht="15.75" hidden="1" customHeight="1" x14ac:dyDescent="0.25">
      <c r="A1880" s="148" t="s">
        <v>76</v>
      </c>
      <c r="B1880" s="148" t="s">
        <v>36</v>
      </c>
      <c r="C1880" s="148" t="s">
        <v>28</v>
      </c>
      <c r="D1880" s="148" t="s">
        <v>478</v>
      </c>
      <c r="E1880" s="148" t="s">
        <v>30</v>
      </c>
      <c r="F1880" s="148" t="s">
        <v>3183</v>
      </c>
      <c r="G1880" s="148" t="s">
        <v>59</v>
      </c>
      <c r="H1880" s="148">
        <v>2014</v>
      </c>
      <c r="I1880" s="148">
        <v>2</v>
      </c>
      <c r="J1880" s="148" t="s">
        <v>118</v>
      </c>
      <c r="K1880" s="148" t="s">
        <v>851</v>
      </c>
      <c r="M1880" s="148" t="s">
        <v>132</v>
      </c>
      <c r="N1880" s="148">
        <v>8</v>
      </c>
      <c r="O1880" s="148" t="s">
        <v>101</v>
      </c>
      <c r="P1880" s="148" t="s">
        <v>212</v>
      </c>
    </row>
    <row r="1881" spans="1:26" ht="15.75" hidden="1" customHeight="1" x14ac:dyDescent="0.25">
      <c r="A1881" s="148" t="s">
        <v>76</v>
      </c>
      <c r="B1881" s="148" t="s">
        <v>27</v>
      </c>
      <c r="C1881" s="148" t="s">
        <v>28</v>
      </c>
      <c r="D1881" s="148" t="s">
        <v>99</v>
      </c>
      <c r="E1881" s="148" t="s">
        <v>40</v>
      </c>
      <c r="F1881" s="148" t="s">
        <v>41</v>
      </c>
      <c r="G1881" s="148" t="s">
        <v>42</v>
      </c>
      <c r="H1881" s="148">
        <v>2014</v>
      </c>
      <c r="I1881" s="148">
        <v>2</v>
      </c>
      <c r="J1881" s="148" t="s">
        <v>150</v>
      </c>
      <c r="K1881" s="148" t="s">
        <v>708</v>
      </c>
      <c r="M1881" s="148" t="s">
        <v>82</v>
      </c>
      <c r="N1881" s="148">
        <v>8</v>
      </c>
      <c r="O1881" s="148" t="s">
        <v>83</v>
      </c>
      <c r="P1881" s="148" t="s">
        <v>146</v>
      </c>
    </row>
    <row r="1882" spans="1:26" ht="15.75" hidden="1" customHeight="1" x14ac:dyDescent="0.25">
      <c r="A1882" s="148" t="s">
        <v>307</v>
      </c>
      <c r="B1882" s="148" t="s">
        <v>36</v>
      </c>
      <c r="C1882" s="148" t="s">
        <v>28</v>
      </c>
      <c r="D1882" s="148" t="s">
        <v>342</v>
      </c>
      <c r="E1882" s="148" t="s">
        <v>51</v>
      </c>
      <c r="F1882" s="148" t="s">
        <v>3183</v>
      </c>
      <c r="G1882" s="148" t="s">
        <v>52</v>
      </c>
      <c r="H1882" s="148">
        <v>2014</v>
      </c>
      <c r="I1882" s="148">
        <v>2</v>
      </c>
      <c r="J1882" s="148" t="s">
        <v>399</v>
      </c>
      <c r="Q1882" s="148" t="s">
        <v>426</v>
      </c>
      <c r="R1882" s="148" t="s">
        <v>1183</v>
      </c>
      <c r="S1882" s="148" t="s">
        <v>427</v>
      </c>
      <c r="T1882" s="148" t="s">
        <v>1184</v>
      </c>
      <c r="Y1882" s="150" t="s">
        <v>1185</v>
      </c>
    </row>
    <row r="1883" spans="1:26" ht="15.75" hidden="1" customHeight="1" x14ac:dyDescent="0.25">
      <c r="A1883" s="148" t="s">
        <v>76</v>
      </c>
      <c r="B1883" s="148" t="s">
        <v>44</v>
      </c>
      <c r="C1883" s="148" t="s">
        <v>45</v>
      </c>
      <c r="D1883" s="148" t="s">
        <v>29</v>
      </c>
      <c r="E1883" s="148" t="s">
        <v>46</v>
      </c>
      <c r="F1883" s="148" t="s">
        <v>47</v>
      </c>
      <c r="G1883" s="148" t="s">
        <v>48</v>
      </c>
      <c r="H1883" s="148">
        <v>2014</v>
      </c>
      <c r="I1883" s="148">
        <v>2</v>
      </c>
      <c r="J1883" s="148" t="s">
        <v>118</v>
      </c>
      <c r="K1883" s="148" t="s">
        <v>502</v>
      </c>
      <c r="M1883" s="148" t="s">
        <v>126</v>
      </c>
      <c r="N1883" s="148">
        <v>10</v>
      </c>
      <c r="O1883" s="148" t="s">
        <v>101</v>
      </c>
      <c r="P1883" s="148" t="s">
        <v>1186</v>
      </c>
      <c r="Y1883" s="150" t="s">
        <v>1181</v>
      </c>
    </row>
    <row r="1884" spans="1:26" ht="15.75" hidden="1" customHeight="1" x14ac:dyDescent="0.25">
      <c r="A1884" s="148" t="s">
        <v>307</v>
      </c>
      <c r="B1884" s="148" t="s">
        <v>36</v>
      </c>
      <c r="C1884" s="148" t="s">
        <v>28</v>
      </c>
      <c r="D1884" s="148" t="s">
        <v>478</v>
      </c>
      <c r="E1884" s="148" t="s">
        <v>30</v>
      </c>
      <c r="F1884" s="148" t="s">
        <v>3183</v>
      </c>
      <c r="G1884" s="148" t="s">
        <v>59</v>
      </c>
      <c r="H1884" s="148">
        <v>2014</v>
      </c>
      <c r="I1884" s="148">
        <v>3</v>
      </c>
      <c r="J1884" s="148" t="s">
        <v>399</v>
      </c>
      <c r="Q1884" s="148" t="s">
        <v>866</v>
      </c>
      <c r="R1884" s="148" t="s">
        <v>1187</v>
      </c>
      <c r="S1884" s="148" t="s">
        <v>427</v>
      </c>
      <c r="T1884" s="148" t="s">
        <v>1188</v>
      </c>
      <c r="Y1884" s="150" t="s">
        <v>1189</v>
      </c>
    </row>
    <row r="1885" spans="1:26" ht="15.75" hidden="1" customHeight="1" x14ac:dyDescent="0.25">
      <c r="A1885" s="148" t="s">
        <v>76</v>
      </c>
      <c r="B1885" s="148" t="s">
        <v>116</v>
      </c>
      <c r="C1885" s="148" t="s">
        <v>90</v>
      </c>
      <c r="D1885" s="148" t="s">
        <v>29</v>
      </c>
      <c r="E1885" s="148" t="s">
        <v>40</v>
      </c>
      <c r="F1885" s="148" t="s">
        <v>41</v>
      </c>
      <c r="G1885" s="148" t="s">
        <v>469</v>
      </c>
      <c r="H1885" s="148">
        <v>2014</v>
      </c>
      <c r="I1885" s="148">
        <v>3</v>
      </c>
      <c r="J1885" s="148" t="s">
        <v>118</v>
      </c>
      <c r="K1885" s="148" t="s">
        <v>692</v>
      </c>
      <c r="M1885" s="148" t="s">
        <v>696</v>
      </c>
      <c r="N1885" s="148">
        <v>8</v>
      </c>
      <c r="O1885" s="148" t="s">
        <v>101</v>
      </c>
      <c r="P1885" s="148" t="s">
        <v>1190</v>
      </c>
    </row>
    <row r="1886" spans="1:26" ht="15.75" hidden="1" customHeight="1" x14ac:dyDescent="0.25">
      <c r="A1886" s="148" t="s">
        <v>76</v>
      </c>
      <c r="B1886" s="148" t="s">
        <v>77</v>
      </c>
      <c r="C1886" s="148" t="s">
        <v>55</v>
      </c>
      <c r="D1886" s="148" t="s">
        <v>78</v>
      </c>
      <c r="E1886" s="148" t="s">
        <v>30</v>
      </c>
      <c r="F1886" s="148" t="s">
        <v>41</v>
      </c>
      <c r="G1886" s="148" t="s">
        <v>79</v>
      </c>
      <c r="H1886" s="148">
        <v>2014</v>
      </c>
      <c r="I1886" s="148">
        <v>3</v>
      </c>
      <c r="J1886" s="148" t="s">
        <v>80</v>
      </c>
      <c r="K1886" s="148" t="s">
        <v>708</v>
      </c>
      <c r="M1886" s="148" t="s">
        <v>82</v>
      </c>
      <c r="N1886" s="148">
        <v>8</v>
      </c>
      <c r="O1886" s="148" t="s">
        <v>83</v>
      </c>
      <c r="P1886" s="148" t="s">
        <v>1191</v>
      </c>
      <c r="Y1886" s="150" t="s">
        <v>1192</v>
      </c>
    </row>
    <row r="1887" spans="1:26" ht="15.75" hidden="1" customHeight="1" x14ac:dyDescent="0.25">
      <c r="A1887" s="148" t="s">
        <v>76</v>
      </c>
      <c r="B1887" s="148" t="s">
        <v>62</v>
      </c>
      <c r="C1887" s="148" t="s">
        <v>28</v>
      </c>
      <c r="D1887" s="148" t="s">
        <v>86</v>
      </c>
      <c r="E1887" s="148" t="s">
        <v>51</v>
      </c>
      <c r="F1887" s="148" t="s">
        <v>3183</v>
      </c>
      <c r="G1887" s="148" t="s">
        <v>130</v>
      </c>
      <c r="H1887" s="148">
        <v>2014</v>
      </c>
      <c r="I1887" s="148">
        <v>3</v>
      </c>
      <c r="J1887" s="148" t="s">
        <v>118</v>
      </c>
      <c r="K1887" s="148" t="s">
        <v>1096</v>
      </c>
      <c r="M1887" s="148" t="s">
        <v>120</v>
      </c>
      <c r="N1887" s="148">
        <v>6</v>
      </c>
      <c r="O1887" s="148" t="s">
        <v>101</v>
      </c>
      <c r="P1887" s="148" t="s">
        <v>320</v>
      </c>
    </row>
    <row r="1888" spans="1:26" ht="15.75" hidden="1" customHeight="1" x14ac:dyDescent="0.25">
      <c r="A1888" s="148" t="s">
        <v>76</v>
      </c>
      <c r="B1888" s="148" t="s">
        <v>77</v>
      </c>
      <c r="C1888" s="148" t="s">
        <v>55</v>
      </c>
      <c r="D1888" s="148" t="s">
        <v>99</v>
      </c>
      <c r="E1888" s="148" t="s">
        <v>30</v>
      </c>
      <c r="F1888" s="148" t="s">
        <v>41</v>
      </c>
      <c r="G1888" s="148" t="s">
        <v>275</v>
      </c>
      <c r="H1888" s="148">
        <v>2014</v>
      </c>
      <c r="I1888" s="148">
        <v>3</v>
      </c>
      <c r="J1888" s="148" t="s">
        <v>150</v>
      </c>
      <c r="K1888" s="148" t="s">
        <v>708</v>
      </c>
      <c r="M1888" s="148" t="s">
        <v>82</v>
      </c>
      <c r="N1888" s="148">
        <v>8</v>
      </c>
      <c r="O1888" s="148" t="s">
        <v>83</v>
      </c>
    </row>
    <row r="1889" spans="1:26" ht="15.75" hidden="1" customHeight="1" x14ac:dyDescent="0.25">
      <c r="A1889" s="148" t="s">
        <v>307</v>
      </c>
      <c r="B1889" s="148" t="s">
        <v>36</v>
      </c>
      <c r="C1889" s="148" t="s">
        <v>28</v>
      </c>
      <c r="D1889" s="148" t="s">
        <v>887</v>
      </c>
      <c r="E1889" s="148" t="s">
        <v>30</v>
      </c>
      <c r="F1889" s="148" t="s">
        <v>3183</v>
      </c>
      <c r="G1889" s="148" t="s">
        <v>888</v>
      </c>
      <c r="H1889" s="148">
        <v>2014</v>
      </c>
      <c r="I1889" s="148">
        <v>4</v>
      </c>
      <c r="J1889" s="148" t="s">
        <v>399</v>
      </c>
      <c r="Q1889" s="148" t="s">
        <v>426</v>
      </c>
      <c r="R1889" s="148" t="s">
        <v>1193</v>
      </c>
      <c r="S1889" s="148" t="s">
        <v>311</v>
      </c>
      <c r="T1889" s="148" t="s">
        <v>1194</v>
      </c>
      <c r="Z1889" s="148" t="s">
        <v>891</v>
      </c>
    </row>
    <row r="1890" spans="1:26" ht="15.75" hidden="1" customHeight="1" x14ac:dyDescent="0.25">
      <c r="A1890" s="148" t="s">
        <v>26</v>
      </c>
      <c r="B1890" s="148" t="s">
        <v>71</v>
      </c>
      <c r="C1890" s="148" t="s">
        <v>45</v>
      </c>
      <c r="D1890" s="148" t="s">
        <v>478</v>
      </c>
      <c r="E1890" s="148" t="s">
        <v>72</v>
      </c>
      <c r="F1890" s="148" t="s">
        <v>3183</v>
      </c>
      <c r="G1890" s="148" t="s">
        <v>73</v>
      </c>
      <c r="H1890" s="148">
        <v>2014</v>
      </c>
      <c r="I1890" s="148">
        <v>4</v>
      </c>
      <c r="J1890" s="148" t="s">
        <v>33</v>
      </c>
      <c r="U1890" s="149" t="s">
        <v>112</v>
      </c>
      <c r="V1890" s="148" t="s">
        <v>3675</v>
      </c>
      <c r="W1890" s="148" t="s">
        <v>49</v>
      </c>
      <c r="X1890" s="148" t="s">
        <v>1085</v>
      </c>
    </row>
    <row r="1891" spans="1:26" ht="15.75" hidden="1" customHeight="1" x14ac:dyDescent="0.25">
      <c r="A1891" s="148" t="s">
        <v>26</v>
      </c>
      <c r="B1891" s="148" t="s">
        <v>27</v>
      </c>
      <c r="C1891" s="148" t="s">
        <v>28</v>
      </c>
      <c r="D1891" s="148" t="s">
        <v>158</v>
      </c>
      <c r="E1891" s="148" t="s">
        <v>30</v>
      </c>
      <c r="F1891" s="148" t="s">
        <v>3183</v>
      </c>
      <c r="G1891" s="148" t="s">
        <v>32</v>
      </c>
      <c r="H1891" s="148">
        <v>2014</v>
      </c>
      <c r="I1891" s="148">
        <v>4</v>
      </c>
      <c r="J1891" s="148" t="s">
        <v>33</v>
      </c>
      <c r="U1891" s="149" t="s">
        <v>112</v>
      </c>
      <c r="V1891" s="148" t="s">
        <v>3675</v>
      </c>
      <c r="W1891" s="148" t="s">
        <v>49</v>
      </c>
      <c r="X1891" s="148" t="s">
        <v>1085</v>
      </c>
    </row>
    <row r="1892" spans="1:26" ht="15.75" hidden="1" customHeight="1" x14ac:dyDescent="0.25">
      <c r="A1892" s="148" t="s">
        <v>76</v>
      </c>
      <c r="B1892" s="148" t="s">
        <v>103</v>
      </c>
      <c r="C1892" s="148" t="s">
        <v>55</v>
      </c>
      <c r="D1892" s="148" t="s">
        <v>478</v>
      </c>
      <c r="E1892" s="148" t="s">
        <v>30</v>
      </c>
      <c r="F1892" s="148" t="s">
        <v>56</v>
      </c>
      <c r="G1892" s="148" t="s">
        <v>171</v>
      </c>
      <c r="H1892" s="148">
        <v>2014</v>
      </c>
      <c r="I1892" s="148">
        <v>4</v>
      </c>
      <c r="J1892" s="148" t="s">
        <v>118</v>
      </c>
      <c r="K1892" s="148" t="s">
        <v>579</v>
      </c>
      <c r="M1892" s="148" t="s">
        <v>126</v>
      </c>
      <c r="N1892" s="148">
        <v>10</v>
      </c>
      <c r="O1892" s="148" t="s">
        <v>101</v>
      </c>
      <c r="P1892" s="148" t="s">
        <v>1195</v>
      </c>
    </row>
    <row r="1893" spans="1:26" ht="15.75" hidden="1" customHeight="1" x14ac:dyDescent="0.25">
      <c r="A1893" s="148" t="s">
        <v>26</v>
      </c>
      <c r="B1893" s="148" t="s">
        <v>116</v>
      </c>
      <c r="C1893" s="148" t="s">
        <v>90</v>
      </c>
      <c r="D1893" s="148" t="s">
        <v>29</v>
      </c>
      <c r="E1893" s="148" t="s">
        <v>30</v>
      </c>
      <c r="F1893" s="148" t="s">
        <v>41</v>
      </c>
      <c r="G1893" s="148" t="s">
        <v>564</v>
      </c>
      <c r="H1893" s="148">
        <v>2014</v>
      </c>
      <c r="I1893" s="148">
        <v>4</v>
      </c>
      <c r="J1893" s="148" t="s">
        <v>792</v>
      </c>
      <c r="U1893" s="149" t="s">
        <v>3629</v>
      </c>
      <c r="V1893" s="148" t="s">
        <v>1178</v>
      </c>
      <c r="W1893" s="148" t="s">
        <v>49</v>
      </c>
      <c r="X1893" s="148" t="s">
        <v>1179</v>
      </c>
    </row>
    <row r="1894" spans="1:26" ht="15.75" hidden="1" customHeight="1" x14ac:dyDescent="0.25">
      <c r="A1894" s="148" t="s">
        <v>76</v>
      </c>
      <c r="B1894" s="148" t="s">
        <v>103</v>
      </c>
      <c r="C1894" s="148" t="s">
        <v>55</v>
      </c>
      <c r="D1894" s="148" t="s">
        <v>478</v>
      </c>
      <c r="E1894" s="148" t="s">
        <v>95</v>
      </c>
      <c r="F1894" s="148" t="s">
        <v>56</v>
      </c>
      <c r="G1894" s="148" t="s">
        <v>111</v>
      </c>
      <c r="H1894" s="148">
        <v>2014</v>
      </c>
      <c r="I1894" s="148">
        <v>4</v>
      </c>
      <c r="J1894" s="148" t="s">
        <v>118</v>
      </c>
      <c r="K1894" s="148" t="s">
        <v>629</v>
      </c>
      <c r="M1894" s="148" t="s">
        <v>554</v>
      </c>
      <c r="N1894" s="148">
        <v>8</v>
      </c>
      <c r="O1894" s="148" t="s">
        <v>101</v>
      </c>
      <c r="P1894" s="148" t="s">
        <v>425</v>
      </c>
    </row>
    <row r="1895" spans="1:26" ht="15.75" hidden="1" customHeight="1" x14ac:dyDescent="0.25">
      <c r="A1895" s="148" t="s">
        <v>76</v>
      </c>
      <c r="B1895" s="148" t="s">
        <v>27</v>
      </c>
      <c r="C1895" s="148" t="s">
        <v>28</v>
      </c>
      <c r="D1895" s="148" t="s">
        <v>566</v>
      </c>
      <c r="E1895" s="148" t="s">
        <v>30</v>
      </c>
      <c r="F1895" s="148" t="s">
        <v>3183</v>
      </c>
      <c r="G1895" s="148" t="s">
        <v>53</v>
      </c>
      <c r="H1895" s="148">
        <v>2014</v>
      </c>
      <c r="I1895" s="148">
        <v>4</v>
      </c>
      <c r="J1895" s="148" t="s">
        <v>150</v>
      </c>
      <c r="K1895" s="148" t="s">
        <v>768</v>
      </c>
      <c r="M1895" s="148" t="s">
        <v>120</v>
      </c>
      <c r="N1895" s="148">
        <v>6</v>
      </c>
      <c r="O1895" s="148" t="s">
        <v>83</v>
      </c>
    </row>
    <row r="1896" spans="1:26" ht="13.5" hidden="1" customHeight="1" x14ac:dyDescent="0.25">
      <c r="A1896" s="148" t="s">
        <v>76</v>
      </c>
      <c r="B1896" s="148" t="s">
        <v>103</v>
      </c>
      <c r="C1896" s="148" t="s">
        <v>55</v>
      </c>
      <c r="D1896" s="148" t="s">
        <v>158</v>
      </c>
      <c r="E1896" s="148" t="s">
        <v>95</v>
      </c>
      <c r="F1896" s="148" t="s">
        <v>56</v>
      </c>
      <c r="G1896" s="148" t="s">
        <v>559</v>
      </c>
      <c r="H1896" s="148">
        <v>2014</v>
      </c>
      <c r="I1896" s="148">
        <v>4</v>
      </c>
      <c r="J1896" s="148" t="s">
        <v>118</v>
      </c>
      <c r="K1896" s="148" t="s">
        <v>579</v>
      </c>
      <c r="M1896" s="148" t="s">
        <v>126</v>
      </c>
      <c r="N1896" s="148">
        <v>10</v>
      </c>
      <c r="O1896" s="148" t="s">
        <v>101</v>
      </c>
      <c r="P1896" s="148" t="s">
        <v>146</v>
      </c>
    </row>
    <row r="1897" spans="1:26" ht="15.75" hidden="1" customHeight="1" x14ac:dyDescent="0.25">
      <c r="A1897" s="148" t="s">
        <v>26</v>
      </c>
      <c r="B1897" s="148" t="s">
        <v>71</v>
      </c>
      <c r="C1897" s="148" t="s">
        <v>45</v>
      </c>
      <c r="D1897" s="148" t="s">
        <v>478</v>
      </c>
      <c r="E1897" s="148" t="s">
        <v>72</v>
      </c>
      <c r="F1897" s="148" t="s">
        <v>3183</v>
      </c>
      <c r="G1897" s="148" t="s">
        <v>75</v>
      </c>
      <c r="H1897" s="148">
        <v>2014</v>
      </c>
      <c r="I1897" s="148">
        <v>4</v>
      </c>
      <c r="J1897" s="148" t="s">
        <v>33</v>
      </c>
      <c r="U1897" s="149" t="s">
        <v>112</v>
      </c>
      <c r="V1897" s="148" t="s">
        <v>3675</v>
      </c>
      <c r="W1897" s="148" t="s">
        <v>49</v>
      </c>
      <c r="X1897" s="148" t="s">
        <v>1085</v>
      </c>
    </row>
    <row r="1898" spans="1:26" ht="15.75" hidden="1" customHeight="1" x14ac:dyDescent="0.25">
      <c r="A1898" s="148" t="s">
        <v>26</v>
      </c>
      <c r="B1898" s="148" t="s">
        <v>116</v>
      </c>
      <c r="C1898" s="148" t="s">
        <v>90</v>
      </c>
      <c r="D1898" s="148" t="s">
        <v>29</v>
      </c>
      <c r="E1898" s="148" t="s">
        <v>30</v>
      </c>
      <c r="F1898" s="148" t="s">
        <v>41</v>
      </c>
      <c r="G1898" s="148" t="s">
        <v>784</v>
      </c>
      <c r="H1898" s="148">
        <v>2014</v>
      </c>
      <c r="I1898" s="148">
        <v>4</v>
      </c>
      <c r="J1898" s="148" t="s">
        <v>792</v>
      </c>
      <c r="U1898" s="149" t="s">
        <v>3629</v>
      </c>
      <c r="V1898" s="148" t="s">
        <v>1178</v>
      </c>
      <c r="W1898" s="148" t="s">
        <v>49</v>
      </c>
      <c r="X1898" s="148" t="s">
        <v>1179</v>
      </c>
    </row>
    <row r="1899" spans="1:26" ht="15.75" hidden="1" customHeight="1" x14ac:dyDescent="0.25">
      <c r="A1899" s="148" t="s">
        <v>307</v>
      </c>
      <c r="B1899" s="148" t="s">
        <v>27</v>
      </c>
      <c r="C1899" s="148" t="s">
        <v>28</v>
      </c>
      <c r="D1899" s="148" t="s">
        <v>99</v>
      </c>
      <c r="E1899" s="148" t="s">
        <v>40</v>
      </c>
      <c r="F1899" s="148" t="s">
        <v>41</v>
      </c>
      <c r="G1899" s="148" t="s">
        <v>42</v>
      </c>
      <c r="H1899" s="148">
        <v>2014</v>
      </c>
      <c r="I1899" s="148">
        <v>4</v>
      </c>
      <c r="J1899" s="148" t="s">
        <v>308</v>
      </c>
      <c r="Q1899" s="148" t="s">
        <v>866</v>
      </c>
      <c r="R1899" s="148" t="s">
        <v>1196</v>
      </c>
      <c r="S1899" s="148" t="s">
        <v>311</v>
      </c>
      <c r="T1899" s="148" t="s">
        <v>1197</v>
      </c>
    </row>
    <row r="1900" spans="1:26" ht="15.75" hidden="1" customHeight="1" x14ac:dyDescent="0.25">
      <c r="A1900" s="148" t="s">
        <v>76</v>
      </c>
      <c r="B1900" s="148" t="s">
        <v>116</v>
      </c>
      <c r="C1900" s="148" t="s">
        <v>90</v>
      </c>
      <c r="D1900" s="148" t="s">
        <v>29</v>
      </c>
      <c r="E1900" s="148" t="s">
        <v>30</v>
      </c>
      <c r="F1900" s="148" t="s">
        <v>41</v>
      </c>
      <c r="G1900" s="148" t="s">
        <v>756</v>
      </c>
      <c r="H1900" s="148">
        <v>2014</v>
      </c>
      <c r="I1900" s="148">
        <v>4</v>
      </c>
      <c r="J1900" s="148" t="s">
        <v>118</v>
      </c>
      <c r="K1900" s="148" t="s">
        <v>1096</v>
      </c>
      <c r="M1900" s="148" t="s">
        <v>120</v>
      </c>
      <c r="N1900" s="148">
        <v>6</v>
      </c>
      <c r="O1900" s="148" t="s">
        <v>101</v>
      </c>
      <c r="P1900" s="148" t="s">
        <v>1198</v>
      </c>
    </row>
    <row r="1901" spans="1:26" ht="15.75" hidden="1" customHeight="1" x14ac:dyDescent="0.25">
      <c r="A1901" s="148" t="s">
        <v>26</v>
      </c>
      <c r="B1901" s="148" t="s">
        <v>36</v>
      </c>
      <c r="C1901" s="148" t="s">
        <v>28</v>
      </c>
      <c r="D1901" s="148" t="s">
        <v>29</v>
      </c>
      <c r="E1901" s="148" t="s">
        <v>30</v>
      </c>
      <c r="F1901" s="148" t="s">
        <v>3183</v>
      </c>
      <c r="G1901" s="148" t="s">
        <v>194</v>
      </c>
      <c r="H1901" s="148">
        <v>2014</v>
      </c>
      <c r="I1901" s="148">
        <v>4</v>
      </c>
      <c r="J1901" s="148" t="s">
        <v>33</v>
      </c>
      <c r="U1901" s="149" t="s">
        <v>112</v>
      </c>
      <c r="V1901" s="148" t="s">
        <v>3675</v>
      </c>
      <c r="W1901" s="148" t="s">
        <v>49</v>
      </c>
      <c r="X1901" s="148" t="s">
        <v>1085</v>
      </c>
    </row>
    <row r="1902" spans="1:26" ht="15.75" hidden="1" customHeight="1" x14ac:dyDescent="0.25">
      <c r="A1902" s="148" t="s">
        <v>76</v>
      </c>
      <c r="B1902" s="148" t="s">
        <v>103</v>
      </c>
      <c r="C1902" s="148" t="s">
        <v>55</v>
      </c>
      <c r="D1902" s="148" t="s">
        <v>29</v>
      </c>
      <c r="E1902" s="148" t="s">
        <v>30</v>
      </c>
      <c r="F1902" s="148" t="s">
        <v>56</v>
      </c>
      <c r="G1902" s="148" t="s">
        <v>381</v>
      </c>
      <c r="H1902" s="148">
        <v>2014</v>
      </c>
      <c r="I1902" s="148">
        <v>4</v>
      </c>
      <c r="J1902" s="148" t="s">
        <v>118</v>
      </c>
      <c r="K1902" s="148" t="s">
        <v>874</v>
      </c>
      <c r="M1902" s="148" t="s">
        <v>120</v>
      </c>
      <c r="N1902" s="148">
        <v>6</v>
      </c>
      <c r="O1902" s="148" t="s">
        <v>101</v>
      </c>
      <c r="P1902" s="148" t="s">
        <v>1199</v>
      </c>
    </row>
    <row r="1903" spans="1:26" ht="15.75" hidden="1" customHeight="1" x14ac:dyDescent="0.25">
      <c r="A1903" s="148" t="s">
        <v>26</v>
      </c>
      <c r="B1903" s="148" t="s">
        <v>36</v>
      </c>
      <c r="C1903" s="148" t="s">
        <v>28</v>
      </c>
      <c r="D1903" s="148" t="s">
        <v>342</v>
      </c>
      <c r="E1903" s="148" t="s">
        <v>51</v>
      </c>
      <c r="F1903" s="148" t="s">
        <v>3183</v>
      </c>
      <c r="G1903" s="148" t="s">
        <v>52</v>
      </c>
      <c r="H1903" s="148">
        <v>2014</v>
      </c>
      <c r="I1903" s="148">
        <v>4</v>
      </c>
      <c r="J1903" s="148" t="s">
        <v>33</v>
      </c>
      <c r="U1903" s="149" t="s">
        <v>112</v>
      </c>
      <c r="V1903" s="148" t="s">
        <v>3675</v>
      </c>
      <c r="W1903" s="148" t="s">
        <v>49</v>
      </c>
      <c r="X1903" s="148" t="s">
        <v>1085</v>
      </c>
    </row>
    <row r="1904" spans="1:26" ht="15.75" hidden="1" customHeight="1" x14ac:dyDescent="0.25">
      <c r="A1904" s="148" t="s">
        <v>76</v>
      </c>
      <c r="B1904" s="148" t="s">
        <v>44</v>
      </c>
      <c r="C1904" s="148" t="s">
        <v>45</v>
      </c>
      <c r="D1904" s="148" t="s">
        <v>29</v>
      </c>
      <c r="E1904" s="148" t="s">
        <v>46</v>
      </c>
      <c r="F1904" s="148" t="s">
        <v>47</v>
      </c>
      <c r="G1904" s="148" t="s">
        <v>48</v>
      </c>
      <c r="H1904" s="148">
        <v>2014</v>
      </c>
      <c r="I1904" s="148">
        <v>4</v>
      </c>
      <c r="J1904" s="148" t="s">
        <v>118</v>
      </c>
      <c r="K1904" s="148" t="s">
        <v>708</v>
      </c>
      <c r="M1904" s="148" t="s">
        <v>82</v>
      </c>
      <c r="N1904" s="148">
        <v>8</v>
      </c>
      <c r="O1904" s="148" t="s">
        <v>101</v>
      </c>
      <c r="P1904" s="148" t="s">
        <v>1141</v>
      </c>
      <c r="Y1904" s="150" t="s">
        <v>1181</v>
      </c>
    </row>
    <row r="1905" spans="1:26" ht="15.75" hidden="1" customHeight="1" x14ac:dyDescent="0.25">
      <c r="A1905" s="148" t="s">
        <v>76</v>
      </c>
      <c r="B1905" s="148" t="s">
        <v>44</v>
      </c>
      <c r="C1905" s="148" t="s">
        <v>45</v>
      </c>
      <c r="D1905" s="148" t="s">
        <v>29</v>
      </c>
      <c r="E1905" s="148" t="s">
        <v>46</v>
      </c>
      <c r="F1905" s="148" t="s">
        <v>47</v>
      </c>
      <c r="G1905" s="148" t="s">
        <v>48</v>
      </c>
      <c r="H1905" s="148">
        <v>2014</v>
      </c>
      <c r="I1905" s="148">
        <v>4</v>
      </c>
      <c r="J1905" s="148" t="s">
        <v>640</v>
      </c>
      <c r="K1905" s="148" t="s">
        <v>520</v>
      </c>
      <c r="M1905" s="148" t="s">
        <v>701</v>
      </c>
      <c r="N1905" s="148">
        <v>8</v>
      </c>
      <c r="O1905" s="148" t="s">
        <v>83</v>
      </c>
      <c r="P1905" s="148" t="s">
        <v>1121</v>
      </c>
      <c r="X1905" s="148" t="s">
        <v>1181</v>
      </c>
      <c r="Y1905" s="150" t="s">
        <v>1181</v>
      </c>
      <c r="Z1905" s="148" t="s">
        <v>1200</v>
      </c>
    </row>
    <row r="1906" spans="1:26" ht="15.75" hidden="1" customHeight="1" x14ac:dyDescent="0.25">
      <c r="A1906" s="148" t="s">
        <v>76</v>
      </c>
      <c r="B1906" s="148" t="s">
        <v>62</v>
      </c>
      <c r="C1906" s="148" t="s">
        <v>46</v>
      </c>
      <c r="D1906" s="148" t="s">
        <v>78</v>
      </c>
      <c r="E1906" s="148" t="s">
        <v>30</v>
      </c>
      <c r="F1906" s="148" t="s">
        <v>3183</v>
      </c>
      <c r="G1906" s="148" t="s">
        <v>716</v>
      </c>
      <c r="H1906" s="148">
        <v>2014</v>
      </c>
      <c r="I1906" s="148">
        <v>4</v>
      </c>
      <c r="J1906" s="148" t="s">
        <v>100</v>
      </c>
      <c r="K1906" s="148" t="s">
        <v>502</v>
      </c>
      <c r="M1906" s="148" t="s">
        <v>126</v>
      </c>
      <c r="N1906" s="148">
        <v>10</v>
      </c>
      <c r="O1906" s="148" t="s">
        <v>101</v>
      </c>
      <c r="P1906" s="148" t="s">
        <v>1201</v>
      </c>
      <c r="Y1906" s="150" t="s">
        <v>1202</v>
      </c>
      <c r="Z1906" s="148" t="s">
        <v>1203</v>
      </c>
    </row>
    <row r="1907" spans="1:26" ht="15.75" hidden="1" customHeight="1" x14ac:dyDescent="0.25">
      <c r="A1907" s="148" t="s">
        <v>307</v>
      </c>
      <c r="B1907" s="148" t="s">
        <v>62</v>
      </c>
      <c r="C1907" s="148" t="s">
        <v>46</v>
      </c>
      <c r="D1907" s="148" t="s">
        <v>78</v>
      </c>
      <c r="E1907" s="148" t="s">
        <v>30</v>
      </c>
      <c r="F1907" s="148" t="s">
        <v>3183</v>
      </c>
      <c r="G1907" s="148" t="s">
        <v>716</v>
      </c>
      <c r="H1907" s="148">
        <v>2014</v>
      </c>
      <c r="I1907" s="148">
        <v>4</v>
      </c>
      <c r="J1907" s="148" t="s">
        <v>399</v>
      </c>
      <c r="Q1907" s="148" t="s">
        <v>818</v>
      </c>
      <c r="R1907" s="148" t="s">
        <v>1204</v>
      </c>
      <c r="S1907" s="148" t="s">
        <v>427</v>
      </c>
      <c r="T1907" s="148" t="s">
        <v>1205</v>
      </c>
      <c r="Y1907" s="150" t="s">
        <v>1206</v>
      </c>
    </row>
    <row r="1908" spans="1:26" ht="15.75" hidden="1" customHeight="1" x14ac:dyDescent="0.25">
      <c r="A1908" s="148" t="s">
        <v>76</v>
      </c>
      <c r="B1908" s="148" t="s">
        <v>89</v>
      </c>
      <c r="C1908" s="148" t="s">
        <v>90</v>
      </c>
      <c r="D1908" s="148" t="s">
        <v>99</v>
      </c>
      <c r="E1908" s="148" t="s">
        <v>30</v>
      </c>
      <c r="F1908" s="148" t="s">
        <v>91</v>
      </c>
      <c r="G1908" s="148" t="s">
        <v>371</v>
      </c>
      <c r="H1908" s="148">
        <v>2014</v>
      </c>
      <c r="I1908" s="148">
        <v>5</v>
      </c>
      <c r="J1908" s="148" t="s">
        <v>150</v>
      </c>
      <c r="K1908" s="148" t="s">
        <v>1158</v>
      </c>
      <c r="M1908" s="148" t="s">
        <v>120</v>
      </c>
      <c r="N1908" s="148">
        <v>6</v>
      </c>
      <c r="O1908" s="148" t="s">
        <v>83</v>
      </c>
    </row>
    <row r="1909" spans="1:26" ht="15.75" hidden="1" customHeight="1" x14ac:dyDescent="0.25">
      <c r="A1909" s="148" t="s">
        <v>76</v>
      </c>
      <c r="B1909" s="148" t="s">
        <v>36</v>
      </c>
      <c r="C1909" s="148" t="s">
        <v>28</v>
      </c>
      <c r="D1909" s="148" t="s">
        <v>887</v>
      </c>
      <c r="E1909" s="148" t="s">
        <v>30</v>
      </c>
      <c r="F1909" s="148" t="s">
        <v>3183</v>
      </c>
      <c r="G1909" s="148" t="s">
        <v>888</v>
      </c>
      <c r="H1909" s="148">
        <v>2014</v>
      </c>
      <c r="I1909" s="148">
        <v>5</v>
      </c>
      <c r="J1909" s="148" t="s">
        <v>80</v>
      </c>
      <c r="K1909" s="148" t="s">
        <v>708</v>
      </c>
      <c r="M1909" s="148" t="s">
        <v>82</v>
      </c>
      <c r="N1909" s="148">
        <v>8</v>
      </c>
      <c r="O1909" s="148" t="s">
        <v>83</v>
      </c>
      <c r="P1909" s="148" t="s">
        <v>1207</v>
      </c>
      <c r="Y1909" s="150" t="s">
        <v>1095</v>
      </c>
      <c r="Z1909" s="148" t="s">
        <v>891</v>
      </c>
    </row>
    <row r="1910" spans="1:26" ht="15.75" hidden="1" customHeight="1" x14ac:dyDescent="0.25">
      <c r="A1910" s="148" t="s">
        <v>76</v>
      </c>
      <c r="B1910" s="148" t="s">
        <v>71</v>
      </c>
      <c r="C1910" s="148" t="s">
        <v>45</v>
      </c>
      <c r="D1910" s="148" t="s">
        <v>478</v>
      </c>
      <c r="E1910" s="148" t="s">
        <v>72</v>
      </c>
      <c r="F1910" s="148" t="s">
        <v>3183</v>
      </c>
      <c r="G1910" s="148" t="s">
        <v>73</v>
      </c>
      <c r="H1910" s="148">
        <v>2014</v>
      </c>
      <c r="I1910" s="148">
        <v>5</v>
      </c>
      <c r="J1910" s="148" t="s">
        <v>118</v>
      </c>
      <c r="K1910" s="148" t="s">
        <v>708</v>
      </c>
      <c r="M1910" s="148" t="s">
        <v>82</v>
      </c>
      <c r="N1910" s="148">
        <v>8</v>
      </c>
      <c r="O1910" s="148" t="s">
        <v>101</v>
      </c>
      <c r="P1910" s="148" t="s">
        <v>1208</v>
      </c>
    </row>
    <row r="1911" spans="1:26" ht="15.75" hidden="1" customHeight="1" x14ac:dyDescent="0.25">
      <c r="A1911" s="148" t="s">
        <v>76</v>
      </c>
      <c r="B1911" s="148" t="s">
        <v>27</v>
      </c>
      <c r="C1911" s="148" t="s">
        <v>28</v>
      </c>
      <c r="D1911" s="148" t="s">
        <v>158</v>
      </c>
      <c r="E1911" s="148" t="s">
        <v>30</v>
      </c>
      <c r="F1911" s="148" t="s">
        <v>3183</v>
      </c>
      <c r="G1911" s="148" t="s">
        <v>32</v>
      </c>
      <c r="H1911" s="148">
        <v>2014</v>
      </c>
      <c r="I1911" s="148">
        <v>5</v>
      </c>
      <c r="J1911" s="148" t="s">
        <v>150</v>
      </c>
      <c r="K1911" s="148" t="s">
        <v>579</v>
      </c>
      <c r="M1911" s="148" t="s">
        <v>126</v>
      </c>
      <c r="N1911" s="148">
        <v>10</v>
      </c>
      <c r="O1911" s="148" t="s">
        <v>83</v>
      </c>
    </row>
    <row r="1912" spans="1:26" ht="15.75" hidden="1" customHeight="1" x14ac:dyDescent="0.25">
      <c r="A1912" s="148" t="s">
        <v>76</v>
      </c>
      <c r="B1912" s="148" t="s">
        <v>103</v>
      </c>
      <c r="C1912" s="148" t="s">
        <v>55</v>
      </c>
      <c r="D1912" s="148" t="s">
        <v>478</v>
      </c>
      <c r="E1912" s="148" t="s">
        <v>30</v>
      </c>
      <c r="F1912" s="148" t="s">
        <v>56</v>
      </c>
      <c r="G1912" s="148" t="s">
        <v>171</v>
      </c>
      <c r="H1912" s="148">
        <v>2014</v>
      </c>
      <c r="I1912" s="148">
        <v>5</v>
      </c>
      <c r="J1912" s="148" t="s">
        <v>118</v>
      </c>
      <c r="K1912" s="148" t="s">
        <v>708</v>
      </c>
      <c r="M1912" s="148" t="s">
        <v>82</v>
      </c>
      <c r="N1912" s="148">
        <v>8</v>
      </c>
      <c r="O1912" s="148" t="s">
        <v>101</v>
      </c>
      <c r="P1912" s="148" t="s">
        <v>537</v>
      </c>
    </row>
    <row r="1913" spans="1:26" ht="15.75" hidden="1" customHeight="1" x14ac:dyDescent="0.25">
      <c r="A1913" s="148" t="s">
        <v>76</v>
      </c>
      <c r="B1913" s="148" t="s">
        <v>36</v>
      </c>
      <c r="C1913" s="148" t="s">
        <v>28</v>
      </c>
      <c r="D1913" s="148" t="s">
        <v>342</v>
      </c>
      <c r="E1913" s="148" t="s">
        <v>30</v>
      </c>
      <c r="F1913" s="148" t="s">
        <v>3183</v>
      </c>
      <c r="G1913" s="148" t="s">
        <v>438</v>
      </c>
      <c r="H1913" s="148">
        <v>2014</v>
      </c>
      <c r="I1913" s="148">
        <v>5</v>
      </c>
      <c r="J1913" s="148" t="s">
        <v>150</v>
      </c>
      <c r="K1913" s="148" t="s">
        <v>579</v>
      </c>
      <c r="M1913" s="148" t="s">
        <v>126</v>
      </c>
      <c r="N1913" s="148">
        <v>10</v>
      </c>
      <c r="O1913" s="148" t="s">
        <v>83</v>
      </c>
    </row>
    <row r="1914" spans="1:26" ht="15.75" hidden="1" customHeight="1" x14ac:dyDescent="0.25">
      <c r="A1914" s="148" t="s">
        <v>76</v>
      </c>
      <c r="B1914" s="148" t="s">
        <v>198</v>
      </c>
      <c r="C1914" s="148" t="s">
        <v>45</v>
      </c>
      <c r="D1914" s="148" t="s">
        <v>29</v>
      </c>
      <c r="E1914" s="148" t="s">
        <v>30</v>
      </c>
      <c r="F1914" s="148" t="s">
        <v>199</v>
      </c>
      <c r="G1914" s="148" t="s">
        <v>232</v>
      </c>
      <c r="H1914" s="148">
        <v>2014</v>
      </c>
      <c r="I1914" s="148">
        <v>5</v>
      </c>
      <c r="J1914" s="148" t="s">
        <v>150</v>
      </c>
      <c r="K1914" s="148" t="s">
        <v>851</v>
      </c>
      <c r="M1914" s="148" t="s">
        <v>132</v>
      </c>
      <c r="N1914" s="148">
        <v>8</v>
      </c>
      <c r="O1914" s="148" t="s">
        <v>83</v>
      </c>
    </row>
    <row r="1915" spans="1:26" ht="15.75" hidden="1" customHeight="1" x14ac:dyDescent="0.25">
      <c r="A1915" s="148" t="s">
        <v>76</v>
      </c>
      <c r="B1915" s="148" t="s">
        <v>103</v>
      </c>
      <c r="C1915" s="148" t="s">
        <v>55</v>
      </c>
      <c r="D1915" s="148" t="s">
        <v>478</v>
      </c>
      <c r="E1915" s="148" t="s">
        <v>95</v>
      </c>
      <c r="F1915" s="148" t="s">
        <v>56</v>
      </c>
      <c r="G1915" s="148" t="s">
        <v>104</v>
      </c>
      <c r="H1915" s="148">
        <v>2014</v>
      </c>
      <c r="I1915" s="148">
        <v>5</v>
      </c>
      <c r="J1915" s="148" t="s">
        <v>150</v>
      </c>
      <c r="K1915" s="148" t="s">
        <v>1096</v>
      </c>
      <c r="M1915" s="148" t="s">
        <v>120</v>
      </c>
      <c r="N1915" s="148">
        <v>6</v>
      </c>
      <c r="O1915" s="148" t="s">
        <v>83</v>
      </c>
    </row>
    <row r="1916" spans="1:26" ht="15.75" hidden="1" customHeight="1" x14ac:dyDescent="0.25">
      <c r="A1916" s="148" t="s">
        <v>76</v>
      </c>
      <c r="B1916" s="148" t="s">
        <v>116</v>
      </c>
      <c r="C1916" s="148" t="s">
        <v>90</v>
      </c>
      <c r="D1916" s="148" t="s">
        <v>29</v>
      </c>
      <c r="E1916" s="148" t="s">
        <v>30</v>
      </c>
      <c r="F1916" s="148" t="s">
        <v>41</v>
      </c>
      <c r="G1916" s="148" t="s">
        <v>421</v>
      </c>
      <c r="H1916" s="148">
        <v>2014</v>
      </c>
      <c r="I1916" s="148">
        <v>5</v>
      </c>
      <c r="J1916" s="148" t="s">
        <v>118</v>
      </c>
      <c r="K1916" s="148" t="s">
        <v>502</v>
      </c>
      <c r="M1916" s="148" t="s">
        <v>126</v>
      </c>
      <c r="N1916" s="148">
        <v>10</v>
      </c>
      <c r="O1916" s="148" t="s">
        <v>101</v>
      </c>
      <c r="P1916" s="148" t="s">
        <v>1209</v>
      </c>
    </row>
    <row r="1917" spans="1:26" ht="15.75" hidden="1" customHeight="1" x14ac:dyDescent="0.25">
      <c r="A1917" s="148" t="s">
        <v>26</v>
      </c>
      <c r="B1917" s="148" t="s">
        <v>89</v>
      </c>
      <c r="C1917" s="148" t="s">
        <v>90</v>
      </c>
      <c r="D1917" s="148" t="s">
        <v>29</v>
      </c>
      <c r="E1917" s="148" t="s">
        <v>30</v>
      </c>
      <c r="F1917" s="148" t="s">
        <v>91</v>
      </c>
      <c r="G1917" s="148" t="s">
        <v>747</v>
      </c>
      <c r="H1917" s="148">
        <v>2014</v>
      </c>
      <c r="I1917" s="148">
        <v>5</v>
      </c>
      <c r="J1917" s="148" t="s">
        <v>33</v>
      </c>
      <c r="U1917" s="149" t="s">
        <v>3629</v>
      </c>
      <c r="V1917" s="148" t="s">
        <v>1178</v>
      </c>
      <c r="W1917" s="148" t="s">
        <v>49</v>
      </c>
      <c r="X1917" s="148" t="s">
        <v>1179</v>
      </c>
    </row>
    <row r="1918" spans="1:26" ht="15.75" hidden="1" customHeight="1" x14ac:dyDescent="0.25">
      <c r="A1918" s="148" t="s">
        <v>76</v>
      </c>
      <c r="B1918" s="148" t="s">
        <v>36</v>
      </c>
      <c r="C1918" s="148" t="s">
        <v>28</v>
      </c>
      <c r="D1918" s="148" t="s">
        <v>342</v>
      </c>
      <c r="E1918" s="148" t="s">
        <v>30</v>
      </c>
      <c r="F1918" s="148" t="s">
        <v>3183</v>
      </c>
      <c r="G1918" s="148" t="s">
        <v>242</v>
      </c>
      <c r="H1918" s="148">
        <v>2014</v>
      </c>
      <c r="I1918" s="148">
        <v>5</v>
      </c>
      <c r="J1918" s="148" t="s">
        <v>150</v>
      </c>
      <c r="K1918" s="148" t="s">
        <v>708</v>
      </c>
      <c r="M1918" s="148" t="s">
        <v>82</v>
      </c>
      <c r="N1918" s="148">
        <v>8</v>
      </c>
      <c r="O1918" s="148" t="s">
        <v>83</v>
      </c>
    </row>
    <row r="1919" spans="1:26" ht="15.75" hidden="1" customHeight="1" x14ac:dyDescent="0.25">
      <c r="A1919" s="148" t="s">
        <v>76</v>
      </c>
      <c r="B1919" s="148" t="s">
        <v>89</v>
      </c>
      <c r="C1919" s="148" t="s">
        <v>90</v>
      </c>
      <c r="D1919" s="148" t="s">
        <v>29</v>
      </c>
      <c r="E1919" s="148" t="s">
        <v>40</v>
      </c>
      <c r="F1919" s="148" t="s">
        <v>91</v>
      </c>
      <c r="G1919" s="148" t="s">
        <v>142</v>
      </c>
      <c r="H1919" s="148">
        <v>2014</v>
      </c>
      <c r="I1919" s="148">
        <v>5</v>
      </c>
      <c r="J1919" s="148" t="s">
        <v>150</v>
      </c>
      <c r="K1919" s="148" t="s">
        <v>1158</v>
      </c>
      <c r="M1919" s="148" t="s">
        <v>120</v>
      </c>
      <c r="N1919" s="148">
        <v>6</v>
      </c>
      <c r="O1919" s="148" t="s">
        <v>83</v>
      </c>
    </row>
    <row r="1920" spans="1:26" ht="15.75" hidden="1" customHeight="1" x14ac:dyDescent="0.25">
      <c r="A1920" s="148" t="s">
        <v>76</v>
      </c>
      <c r="B1920" s="148" t="s">
        <v>36</v>
      </c>
      <c r="C1920" s="148" t="s">
        <v>28</v>
      </c>
      <c r="D1920" s="148" t="s">
        <v>342</v>
      </c>
      <c r="E1920" s="148" t="s">
        <v>30</v>
      </c>
      <c r="F1920" s="148" t="s">
        <v>3183</v>
      </c>
      <c r="G1920" s="148" t="s">
        <v>37</v>
      </c>
      <c r="H1920" s="148">
        <v>2014</v>
      </c>
      <c r="I1920" s="148">
        <v>5</v>
      </c>
      <c r="J1920" s="148" t="s">
        <v>118</v>
      </c>
      <c r="K1920" s="148" t="s">
        <v>629</v>
      </c>
      <c r="M1920" s="148" t="s">
        <v>554</v>
      </c>
      <c r="N1920" s="148">
        <v>8</v>
      </c>
      <c r="O1920" s="148" t="s">
        <v>101</v>
      </c>
      <c r="P1920" s="148" t="s">
        <v>537</v>
      </c>
    </row>
    <row r="1921" spans="1:25" ht="15.75" hidden="1" customHeight="1" x14ac:dyDescent="0.25">
      <c r="A1921" s="148" t="s">
        <v>307</v>
      </c>
      <c r="B1921" s="148" t="s">
        <v>89</v>
      </c>
      <c r="C1921" s="148" t="s">
        <v>90</v>
      </c>
      <c r="D1921" s="148" t="s">
        <v>99</v>
      </c>
      <c r="E1921" s="148" t="s">
        <v>30</v>
      </c>
      <c r="F1921" s="148" t="s">
        <v>91</v>
      </c>
      <c r="G1921" s="148" t="s">
        <v>178</v>
      </c>
      <c r="H1921" s="148">
        <v>2014</v>
      </c>
      <c r="I1921" s="148">
        <v>5</v>
      </c>
      <c r="J1921" s="148" t="s">
        <v>308</v>
      </c>
      <c r="Q1921" s="148" t="s">
        <v>818</v>
      </c>
      <c r="R1921" s="148" t="s">
        <v>30</v>
      </c>
      <c r="S1921" s="148" t="s">
        <v>427</v>
      </c>
      <c r="T1921" s="148" t="s">
        <v>1210</v>
      </c>
    </row>
    <row r="1922" spans="1:25" ht="15.75" hidden="1" customHeight="1" x14ac:dyDescent="0.25">
      <c r="A1922" s="148" t="s">
        <v>26</v>
      </c>
      <c r="B1922" s="148" t="s">
        <v>89</v>
      </c>
      <c r="C1922" s="148" t="s">
        <v>90</v>
      </c>
      <c r="D1922" s="148" t="s">
        <v>99</v>
      </c>
      <c r="E1922" s="148" t="s">
        <v>30</v>
      </c>
      <c r="F1922" s="148" t="s">
        <v>91</v>
      </c>
      <c r="G1922" s="148" t="s">
        <v>178</v>
      </c>
      <c r="H1922" s="148">
        <v>2014</v>
      </c>
      <c r="I1922" s="148">
        <v>5</v>
      </c>
      <c r="J1922" s="148" t="s">
        <v>33</v>
      </c>
      <c r="U1922" s="149" t="s">
        <v>3629</v>
      </c>
      <c r="V1922" s="148" t="s">
        <v>1178</v>
      </c>
      <c r="W1922" s="148" t="s">
        <v>49</v>
      </c>
      <c r="X1922" s="148" t="s">
        <v>1179</v>
      </c>
    </row>
    <row r="1923" spans="1:25" ht="15.75" hidden="1" customHeight="1" x14ac:dyDescent="0.25">
      <c r="A1923" s="148" t="s">
        <v>26</v>
      </c>
      <c r="B1923" s="148" t="s">
        <v>116</v>
      </c>
      <c r="C1923" s="148" t="s">
        <v>90</v>
      </c>
      <c r="D1923" s="148" t="s">
        <v>29</v>
      </c>
      <c r="E1923" s="148" t="s">
        <v>30</v>
      </c>
      <c r="F1923" s="148" t="s">
        <v>41</v>
      </c>
      <c r="G1923" s="148" t="s">
        <v>784</v>
      </c>
      <c r="H1923" s="148">
        <v>2014</v>
      </c>
      <c r="I1923" s="148">
        <v>5</v>
      </c>
      <c r="J1923" s="148" t="s">
        <v>792</v>
      </c>
      <c r="U1923" s="149" t="s">
        <v>3629</v>
      </c>
      <c r="V1923" s="148" t="s">
        <v>1211</v>
      </c>
      <c r="W1923" s="148" t="s">
        <v>49</v>
      </c>
      <c r="X1923" s="148" t="s">
        <v>1212</v>
      </c>
    </row>
    <row r="1924" spans="1:25" ht="15.75" hidden="1" customHeight="1" x14ac:dyDescent="0.25">
      <c r="A1924" s="148" t="s">
        <v>307</v>
      </c>
      <c r="B1924" s="148" t="s">
        <v>27</v>
      </c>
      <c r="C1924" s="148" t="s">
        <v>28</v>
      </c>
      <c r="D1924" s="148" t="s">
        <v>99</v>
      </c>
      <c r="E1924" s="148" t="s">
        <v>40</v>
      </c>
      <c r="F1924" s="148" t="s">
        <v>41</v>
      </c>
      <c r="G1924" s="148" t="s">
        <v>42</v>
      </c>
      <c r="H1924" s="148">
        <v>2014</v>
      </c>
      <c r="I1924" s="148">
        <v>5</v>
      </c>
      <c r="J1924" s="148" t="s">
        <v>308</v>
      </c>
      <c r="Q1924" s="148" t="s">
        <v>594</v>
      </c>
      <c r="R1924" s="148" t="s">
        <v>1213</v>
      </c>
      <c r="S1924" s="148" t="s">
        <v>885</v>
      </c>
      <c r="T1924" s="148" t="s">
        <v>886</v>
      </c>
    </row>
    <row r="1925" spans="1:25" ht="13.5" hidden="1" customHeight="1" x14ac:dyDescent="0.25">
      <c r="A1925" s="148" t="s">
        <v>76</v>
      </c>
      <c r="B1925" s="148" t="s">
        <v>54</v>
      </c>
      <c r="C1925" s="148" t="s">
        <v>55</v>
      </c>
      <c r="D1925" s="148" t="s">
        <v>1082</v>
      </c>
      <c r="E1925" s="148" t="s">
        <v>30</v>
      </c>
      <c r="F1925" s="148" t="s">
        <v>56</v>
      </c>
      <c r="G1925" s="148" t="s">
        <v>54</v>
      </c>
      <c r="H1925" s="148">
        <v>2014</v>
      </c>
      <c r="I1925" s="148">
        <v>5</v>
      </c>
      <c r="J1925" s="148" t="s">
        <v>118</v>
      </c>
      <c r="K1925" s="148" t="s">
        <v>520</v>
      </c>
      <c r="M1925" s="148" t="s">
        <v>701</v>
      </c>
      <c r="N1925" s="148">
        <v>8</v>
      </c>
      <c r="O1925" s="148" t="s">
        <v>101</v>
      </c>
      <c r="P1925" s="148" t="s">
        <v>562</v>
      </c>
    </row>
    <row r="1926" spans="1:25" ht="15.75" hidden="1" customHeight="1" x14ac:dyDescent="0.25">
      <c r="A1926" s="148" t="s">
        <v>307</v>
      </c>
      <c r="B1926" s="148" t="s">
        <v>54</v>
      </c>
      <c r="C1926" s="148" t="s">
        <v>55</v>
      </c>
      <c r="D1926" s="148" t="s">
        <v>1082</v>
      </c>
      <c r="E1926" s="148" t="s">
        <v>30</v>
      </c>
      <c r="F1926" s="148" t="s">
        <v>56</v>
      </c>
      <c r="G1926" s="148" t="s">
        <v>54</v>
      </c>
      <c r="H1926" s="148">
        <v>2014</v>
      </c>
      <c r="I1926" s="148">
        <v>5</v>
      </c>
      <c r="J1926" s="148" t="s">
        <v>308</v>
      </c>
      <c r="Q1926" s="148" t="s">
        <v>594</v>
      </c>
      <c r="R1926" s="148" t="s">
        <v>1214</v>
      </c>
      <c r="S1926" s="148" t="s">
        <v>427</v>
      </c>
      <c r="T1926" s="148" t="s">
        <v>1215</v>
      </c>
    </row>
    <row r="1927" spans="1:25" ht="15.75" hidden="1" customHeight="1" x14ac:dyDescent="0.25">
      <c r="A1927" s="148" t="s">
        <v>26</v>
      </c>
      <c r="B1927" s="148" t="s">
        <v>89</v>
      </c>
      <c r="C1927" s="148" t="s">
        <v>90</v>
      </c>
      <c r="D1927" s="148" t="s">
        <v>29</v>
      </c>
      <c r="E1927" s="148" t="s">
        <v>30</v>
      </c>
      <c r="F1927" s="148" t="s">
        <v>91</v>
      </c>
      <c r="G1927" s="148" t="s">
        <v>836</v>
      </c>
      <c r="H1927" s="148">
        <v>2014</v>
      </c>
      <c r="I1927" s="148">
        <v>5</v>
      </c>
      <c r="J1927" s="148" t="s">
        <v>33</v>
      </c>
      <c r="U1927" s="149" t="s">
        <v>3629</v>
      </c>
      <c r="V1927" s="148" t="s">
        <v>1178</v>
      </c>
      <c r="W1927" s="148" t="s">
        <v>49</v>
      </c>
      <c r="X1927" s="148" t="s">
        <v>1179</v>
      </c>
    </row>
    <row r="1928" spans="1:25" ht="15.75" hidden="1" customHeight="1" x14ac:dyDescent="0.25">
      <c r="A1928" s="148" t="s">
        <v>76</v>
      </c>
      <c r="B1928" s="148" t="s">
        <v>27</v>
      </c>
      <c r="C1928" s="148" t="s">
        <v>28</v>
      </c>
      <c r="D1928" s="148" t="s">
        <v>86</v>
      </c>
      <c r="E1928" s="148" t="s">
        <v>30</v>
      </c>
      <c r="F1928" s="148" t="s">
        <v>3183</v>
      </c>
      <c r="G1928" s="148" t="s">
        <v>43</v>
      </c>
      <c r="H1928" s="148">
        <v>2014</v>
      </c>
      <c r="I1928" s="148">
        <v>5</v>
      </c>
      <c r="J1928" s="148" t="s">
        <v>150</v>
      </c>
      <c r="K1928" s="148" t="s">
        <v>579</v>
      </c>
      <c r="M1928" s="148" t="s">
        <v>126</v>
      </c>
      <c r="N1928" s="148">
        <v>10</v>
      </c>
      <c r="O1928" s="148" t="s">
        <v>83</v>
      </c>
    </row>
    <row r="1929" spans="1:25" ht="15.75" hidden="1" customHeight="1" x14ac:dyDescent="0.25">
      <c r="A1929" s="148" t="s">
        <v>76</v>
      </c>
      <c r="B1929" s="148" t="s">
        <v>36</v>
      </c>
      <c r="C1929" s="148" t="s">
        <v>28</v>
      </c>
      <c r="D1929" s="148" t="s">
        <v>342</v>
      </c>
      <c r="E1929" s="148" t="s">
        <v>51</v>
      </c>
      <c r="F1929" s="148" t="s">
        <v>3183</v>
      </c>
      <c r="G1929" s="148" t="s">
        <v>52</v>
      </c>
      <c r="H1929" s="148">
        <v>2014</v>
      </c>
      <c r="I1929" s="148">
        <v>5</v>
      </c>
      <c r="J1929" s="148" t="s">
        <v>118</v>
      </c>
      <c r="K1929" s="148" t="s">
        <v>1096</v>
      </c>
      <c r="M1929" s="148" t="s">
        <v>120</v>
      </c>
      <c r="N1929" s="148">
        <v>6</v>
      </c>
      <c r="O1929" s="148" t="s">
        <v>101</v>
      </c>
      <c r="P1929" s="148" t="s">
        <v>1009</v>
      </c>
    </row>
    <row r="1930" spans="1:25" ht="15.75" hidden="1" customHeight="1" x14ac:dyDescent="0.25">
      <c r="A1930" s="148" t="s">
        <v>26</v>
      </c>
      <c r="B1930" s="148" t="s">
        <v>89</v>
      </c>
      <c r="C1930" s="148" t="s">
        <v>90</v>
      </c>
      <c r="D1930" s="148" t="s">
        <v>29</v>
      </c>
      <c r="E1930" s="148" t="s">
        <v>40</v>
      </c>
      <c r="F1930" s="148" t="s">
        <v>91</v>
      </c>
      <c r="G1930" s="148" t="s">
        <v>413</v>
      </c>
      <c r="H1930" s="148">
        <v>2014</v>
      </c>
      <c r="I1930" s="148">
        <v>5</v>
      </c>
      <c r="J1930" s="148" t="s">
        <v>33</v>
      </c>
      <c r="U1930" s="149" t="s">
        <v>3629</v>
      </c>
      <c r="V1930" s="148" t="s">
        <v>1178</v>
      </c>
      <c r="W1930" s="148" t="s">
        <v>49</v>
      </c>
      <c r="X1930" s="148" t="s">
        <v>1179</v>
      </c>
    </row>
    <row r="1931" spans="1:25" ht="15.75" hidden="1" customHeight="1" x14ac:dyDescent="0.25">
      <c r="A1931" s="148" t="s">
        <v>76</v>
      </c>
      <c r="B1931" s="148" t="s">
        <v>44</v>
      </c>
      <c r="C1931" s="148" t="s">
        <v>45</v>
      </c>
      <c r="D1931" s="148" t="s">
        <v>29</v>
      </c>
      <c r="E1931" s="148" t="s">
        <v>46</v>
      </c>
      <c r="F1931" s="148" t="s">
        <v>47</v>
      </c>
      <c r="G1931" s="148" t="s">
        <v>48</v>
      </c>
      <c r="H1931" s="148">
        <v>2014</v>
      </c>
      <c r="I1931" s="148">
        <v>5</v>
      </c>
      <c r="J1931" s="148" t="s">
        <v>150</v>
      </c>
      <c r="K1931" s="148" t="s">
        <v>851</v>
      </c>
      <c r="M1931" s="148" t="s">
        <v>132</v>
      </c>
      <c r="N1931" s="148">
        <v>8</v>
      </c>
      <c r="O1931" s="148" t="s">
        <v>83</v>
      </c>
      <c r="P1931" s="148" t="s">
        <v>1092</v>
      </c>
      <c r="Y1931" s="150" t="s">
        <v>1181</v>
      </c>
    </row>
    <row r="1932" spans="1:25" ht="15.75" hidden="1" customHeight="1" x14ac:dyDescent="0.25">
      <c r="A1932" s="148" t="s">
        <v>76</v>
      </c>
      <c r="B1932" s="148" t="s">
        <v>36</v>
      </c>
      <c r="C1932" s="148" t="s">
        <v>28</v>
      </c>
      <c r="D1932" s="148" t="s">
        <v>342</v>
      </c>
      <c r="E1932" s="148" t="s">
        <v>30</v>
      </c>
      <c r="F1932" s="148" t="s">
        <v>3183</v>
      </c>
      <c r="G1932" s="148" t="s">
        <v>114</v>
      </c>
      <c r="H1932" s="148">
        <v>2014</v>
      </c>
      <c r="I1932" s="148">
        <v>5</v>
      </c>
      <c r="J1932" s="148" t="s">
        <v>150</v>
      </c>
      <c r="K1932" s="148" t="s">
        <v>708</v>
      </c>
      <c r="M1932" s="148" t="s">
        <v>82</v>
      </c>
      <c r="N1932" s="148">
        <v>8</v>
      </c>
      <c r="O1932" s="148" t="s">
        <v>83</v>
      </c>
    </row>
    <row r="1933" spans="1:25" ht="15.75" hidden="1" customHeight="1" x14ac:dyDescent="0.25">
      <c r="A1933" s="148" t="s">
        <v>26</v>
      </c>
      <c r="B1933" s="148" t="s">
        <v>89</v>
      </c>
      <c r="C1933" s="148" t="s">
        <v>90</v>
      </c>
      <c r="D1933" s="148" t="s">
        <v>99</v>
      </c>
      <c r="E1933" s="148" t="s">
        <v>30</v>
      </c>
      <c r="F1933" s="148" t="s">
        <v>91</v>
      </c>
      <c r="G1933" s="148" t="s">
        <v>371</v>
      </c>
      <c r="H1933" s="148">
        <v>2014</v>
      </c>
      <c r="I1933" s="148">
        <v>6</v>
      </c>
      <c r="J1933" s="148" t="s">
        <v>33</v>
      </c>
      <c r="U1933" s="149" t="s">
        <v>3629</v>
      </c>
      <c r="V1933" s="148" t="s">
        <v>1178</v>
      </c>
      <c r="W1933" s="148" t="s">
        <v>49</v>
      </c>
      <c r="X1933" s="148" t="s">
        <v>1179</v>
      </c>
    </row>
    <row r="1934" spans="1:25" ht="15.75" hidden="1" customHeight="1" x14ac:dyDescent="0.25">
      <c r="A1934" s="148" t="s">
        <v>26</v>
      </c>
      <c r="B1934" s="148" t="s">
        <v>89</v>
      </c>
      <c r="C1934" s="148" t="s">
        <v>90</v>
      </c>
      <c r="D1934" s="148" t="s">
        <v>99</v>
      </c>
      <c r="E1934" s="148" t="s">
        <v>30</v>
      </c>
      <c r="F1934" s="148" t="s">
        <v>91</v>
      </c>
      <c r="G1934" s="148" t="s">
        <v>499</v>
      </c>
      <c r="H1934" s="148">
        <v>2014</v>
      </c>
      <c r="I1934" s="148">
        <v>6</v>
      </c>
      <c r="J1934" s="148" t="s">
        <v>33</v>
      </c>
      <c r="U1934" s="149" t="s">
        <v>3629</v>
      </c>
      <c r="V1934" s="148" t="s">
        <v>1178</v>
      </c>
      <c r="W1934" s="148" t="s">
        <v>49</v>
      </c>
      <c r="X1934" s="148" t="s">
        <v>1179</v>
      </c>
    </row>
    <row r="1935" spans="1:25" ht="15.75" hidden="1" customHeight="1" x14ac:dyDescent="0.25">
      <c r="A1935" s="148" t="s">
        <v>76</v>
      </c>
      <c r="B1935" s="148" t="s">
        <v>71</v>
      </c>
      <c r="C1935" s="148" t="s">
        <v>45</v>
      </c>
      <c r="D1935" s="148" t="s">
        <v>478</v>
      </c>
      <c r="E1935" s="148" t="s">
        <v>72</v>
      </c>
      <c r="F1935" s="148" t="s">
        <v>3183</v>
      </c>
      <c r="G1935" s="148" t="s">
        <v>73</v>
      </c>
      <c r="H1935" s="148">
        <v>2014</v>
      </c>
      <c r="I1935" s="148">
        <v>6</v>
      </c>
      <c r="J1935" s="148" t="s">
        <v>118</v>
      </c>
      <c r="K1935" s="148" t="s">
        <v>579</v>
      </c>
      <c r="M1935" s="148" t="s">
        <v>126</v>
      </c>
      <c r="N1935" s="148">
        <v>10</v>
      </c>
      <c r="O1935" s="148" t="s">
        <v>101</v>
      </c>
      <c r="P1935" s="148" t="s">
        <v>1216</v>
      </c>
    </row>
    <row r="1936" spans="1:25" ht="15.75" hidden="1" customHeight="1" x14ac:dyDescent="0.25">
      <c r="A1936" s="148" t="s">
        <v>76</v>
      </c>
      <c r="B1936" s="148" t="s">
        <v>36</v>
      </c>
      <c r="C1936" s="148" t="s">
        <v>28</v>
      </c>
      <c r="D1936" s="148" t="s">
        <v>29</v>
      </c>
      <c r="E1936" s="148" t="s">
        <v>30</v>
      </c>
      <c r="F1936" s="148" t="s">
        <v>3183</v>
      </c>
      <c r="G1936" s="148" t="s">
        <v>211</v>
      </c>
      <c r="H1936" s="148">
        <v>2014</v>
      </c>
      <c r="I1936" s="148">
        <v>6</v>
      </c>
      <c r="J1936" s="148" t="s">
        <v>150</v>
      </c>
      <c r="K1936" s="148" t="s">
        <v>708</v>
      </c>
      <c r="M1936" s="148" t="s">
        <v>82</v>
      </c>
      <c r="N1936" s="148">
        <v>8</v>
      </c>
      <c r="O1936" s="148" t="s">
        <v>83</v>
      </c>
    </row>
    <row r="1937" spans="1:25" ht="15.75" hidden="1" customHeight="1" x14ac:dyDescent="0.25">
      <c r="A1937" s="148" t="s">
        <v>307</v>
      </c>
      <c r="B1937" s="148" t="s">
        <v>89</v>
      </c>
      <c r="C1937" s="148" t="s">
        <v>90</v>
      </c>
      <c r="D1937" s="148" t="s">
        <v>292</v>
      </c>
      <c r="E1937" s="148" t="s">
        <v>30</v>
      </c>
      <c r="F1937" s="148" t="s">
        <v>91</v>
      </c>
      <c r="G1937" s="148" t="s">
        <v>293</v>
      </c>
      <c r="H1937" s="148">
        <v>2014</v>
      </c>
      <c r="I1937" s="148">
        <v>6</v>
      </c>
      <c r="J1937" s="148" t="s">
        <v>308</v>
      </c>
      <c r="Q1937" s="148" t="s">
        <v>818</v>
      </c>
      <c r="R1937" s="148" t="s">
        <v>30</v>
      </c>
      <c r="S1937" s="148" t="s">
        <v>427</v>
      </c>
      <c r="T1937" s="148" t="s">
        <v>1210</v>
      </c>
    </row>
    <row r="1938" spans="1:25" ht="15.75" hidden="1" customHeight="1" x14ac:dyDescent="0.25">
      <c r="A1938" s="148" t="s">
        <v>26</v>
      </c>
      <c r="B1938" s="148" t="s">
        <v>89</v>
      </c>
      <c r="C1938" s="148" t="s">
        <v>90</v>
      </c>
      <c r="D1938" s="148" t="s">
        <v>292</v>
      </c>
      <c r="E1938" s="148" t="s">
        <v>30</v>
      </c>
      <c r="F1938" s="148" t="s">
        <v>91</v>
      </c>
      <c r="G1938" s="148" t="s">
        <v>293</v>
      </c>
      <c r="H1938" s="148">
        <v>2014</v>
      </c>
      <c r="I1938" s="148">
        <v>6</v>
      </c>
      <c r="J1938" s="148" t="s">
        <v>33</v>
      </c>
      <c r="U1938" s="149" t="s">
        <v>3629</v>
      </c>
      <c r="V1938" s="148" t="s">
        <v>1178</v>
      </c>
      <c r="W1938" s="148" t="s">
        <v>49</v>
      </c>
      <c r="X1938" s="148" t="s">
        <v>1179</v>
      </c>
    </row>
    <row r="1939" spans="1:25" ht="13.5" hidden="1" customHeight="1" x14ac:dyDescent="0.25">
      <c r="A1939" s="148" t="s">
        <v>76</v>
      </c>
      <c r="B1939" s="148" t="s">
        <v>89</v>
      </c>
      <c r="C1939" s="148" t="s">
        <v>90</v>
      </c>
      <c r="D1939" s="148" t="s">
        <v>478</v>
      </c>
      <c r="E1939" s="148" t="s">
        <v>30</v>
      </c>
      <c r="F1939" s="148" t="s">
        <v>91</v>
      </c>
      <c r="G1939" s="148" t="s">
        <v>620</v>
      </c>
      <c r="H1939" s="148">
        <v>2014</v>
      </c>
      <c r="I1939" s="148">
        <v>6</v>
      </c>
      <c r="J1939" s="148" t="s">
        <v>118</v>
      </c>
      <c r="K1939" s="148" t="s">
        <v>579</v>
      </c>
      <c r="M1939" s="148" t="s">
        <v>126</v>
      </c>
      <c r="N1939" s="148">
        <v>10</v>
      </c>
      <c r="O1939" s="148" t="s">
        <v>101</v>
      </c>
      <c r="P1939" s="148" t="s">
        <v>1161</v>
      </c>
    </row>
    <row r="1940" spans="1:25" ht="15.75" hidden="1" customHeight="1" x14ac:dyDescent="0.25">
      <c r="A1940" s="148" t="s">
        <v>76</v>
      </c>
      <c r="B1940" s="148" t="s">
        <v>36</v>
      </c>
      <c r="C1940" s="148" t="s">
        <v>28</v>
      </c>
      <c r="D1940" s="148" t="s">
        <v>29</v>
      </c>
      <c r="E1940" s="148" t="s">
        <v>30</v>
      </c>
      <c r="F1940" s="148" t="s">
        <v>3183</v>
      </c>
      <c r="G1940" s="148" t="s">
        <v>722</v>
      </c>
      <c r="H1940" s="148">
        <v>2014</v>
      </c>
      <c r="I1940" s="148">
        <v>6</v>
      </c>
      <c r="J1940" s="148" t="s">
        <v>80</v>
      </c>
      <c r="K1940" s="148" t="s">
        <v>1096</v>
      </c>
      <c r="M1940" s="148" t="s">
        <v>120</v>
      </c>
      <c r="N1940" s="148">
        <v>6</v>
      </c>
      <c r="O1940" s="148" t="s">
        <v>83</v>
      </c>
      <c r="P1940" s="148" t="s">
        <v>1217</v>
      </c>
    </row>
    <row r="1941" spans="1:25" ht="15.75" hidden="1" customHeight="1" x14ac:dyDescent="0.25">
      <c r="A1941" s="148" t="s">
        <v>307</v>
      </c>
      <c r="B1941" s="148" t="s">
        <v>36</v>
      </c>
      <c r="C1941" s="148" t="s">
        <v>28</v>
      </c>
      <c r="D1941" s="148" t="s">
        <v>478</v>
      </c>
      <c r="E1941" s="148" t="s">
        <v>30</v>
      </c>
      <c r="F1941" s="148" t="s">
        <v>3183</v>
      </c>
      <c r="G1941" s="148" t="s">
        <v>59</v>
      </c>
      <c r="H1941" s="148">
        <v>2014</v>
      </c>
      <c r="I1941" s="148">
        <v>6</v>
      </c>
      <c r="J1941" s="148" t="s">
        <v>308</v>
      </c>
      <c r="Q1941" s="148" t="s">
        <v>426</v>
      </c>
      <c r="R1941" s="148" t="s">
        <v>30</v>
      </c>
      <c r="S1941" s="148" t="s">
        <v>427</v>
      </c>
      <c r="T1941" s="148" t="s">
        <v>1218</v>
      </c>
    </row>
    <row r="1942" spans="1:25" ht="15.75" hidden="1" customHeight="1" x14ac:dyDescent="0.25">
      <c r="A1942" s="148" t="s">
        <v>76</v>
      </c>
      <c r="B1942" s="148" t="s">
        <v>62</v>
      </c>
      <c r="C1942" s="148" t="s">
        <v>28</v>
      </c>
      <c r="D1942" s="148" t="s">
        <v>759</v>
      </c>
      <c r="E1942" s="148" t="s">
        <v>51</v>
      </c>
      <c r="F1942" s="148" t="s">
        <v>3183</v>
      </c>
      <c r="G1942" s="148" t="s">
        <v>409</v>
      </c>
      <c r="H1942" s="148">
        <v>2014</v>
      </c>
      <c r="I1942" s="148">
        <v>6</v>
      </c>
      <c r="J1942" s="148" t="s">
        <v>118</v>
      </c>
      <c r="K1942" s="148" t="s">
        <v>706</v>
      </c>
      <c r="M1942" s="148" t="s">
        <v>389</v>
      </c>
      <c r="N1942" s="148">
        <v>8</v>
      </c>
      <c r="O1942" s="148" t="s">
        <v>101</v>
      </c>
      <c r="P1942" s="148" t="s">
        <v>1219</v>
      </c>
    </row>
    <row r="1943" spans="1:25" ht="15.75" hidden="1" customHeight="1" x14ac:dyDescent="0.25">
      <c r="A1943" s="148" t="s">
        <v>76</v>
      </c>
      <c r="B1943" s="148" t="s">
        <v>36</v>
      </c>
      <c r="C1943" s="148" t="s">
        <v>28</v>
      </c>
      <c r="D1943" s="148" t="s">
        <v>342</v>
      </c>
      <c r="E1943" s="148" t="s">
        <v>30</v>
      </c>
      <c r="F1943" s="148" t="s">
        <v>3183</v>
      </c>
      <c r="G1943" s="148" t="s">
        <v>37</v>
      </c>
      <c r="H1943" s="148">
        <v>2014</v>
      </c>
      <c r="I1943" s="148">
        <v>6</v>
      </c>
      <c r="J1943" s="148" t="s">
        <v>640</v>
      </c>
      <c r="K1943" s="148" t="s">
        <v>1096</v>
      </c>
      <c r="M1943" s="148" t="s">
        <v>120</v>
      </c>
      <c r="N1943" s="148">
        <v>6</v>
      </c>
      <c r="O1943" s="148" t="s">
        <v>83</v>
      </c>
    </row>
    <row r="1944" spans="1:25" ht="15.75" hidden="1" customHeight="1" x14ac:dyDescent="0.25">
      <c r="A1944" s="148" t="s">
        <v>26</v>
      </c>
      <c r="B1944" s="148" t="s">
        <v>89</v>
      </c>
      <c r="C1944" s="148" t="s">
        <v>90</v>
      </c>
      <c r="D1944" s="148" t="s">
        <v>29</v>
      </c>
      <c r="E1944" s="148" t="s">
        <v>30</v>
      </c>
      <c r="F1944" s="148" t="s">
        <v>91</v>
      </c>
      <c r="G1944" s="148" t="s">
        <v>329</v>
      </c>
      <c r="H1944" s="148">
        <v>2014</v>
      </c>
      <c r="I1944" s="148">
        <v>6</v>
      </c>
      <c r="J1944" s="148" t="s">
        <v>33</v>
      </c>
      <c r="U1944" s="149" t="s">
        <v>3629</v>
      </c>
      <c r="V1944" s="148" t="s">
        <v>1178</v>
      </c>
      <c r="W1944" s="148" t="s">
        <v>49</v>
      </c>
      <c r="X1944" s="148" t="s">
        <v>1179</v>
      </c>
    </row>
    <row r="1945" spans="1:25" ht="15.75" hidden="1" customHeight="1" x14ac:dyDescent="0.25">
      <c r="A1945" s="148" t="s">
        <v>307</v>
      </c>
      <c r="B1945" s="148" t="s">
        <v>89</v>
      </c>
      <c r="C1945" s="148" t="s">
        <v>90</v>
      </c>
      <c r="D1945" s="148" t="s">
        <v>29</v>
      </c>
      <c r="E1945" s="148" t="s">
        <v>30</v>
      </c>
      <c r="F1945" s="148" t="s">
        <v>91</v>
      </c>
      <c r="G1945" s="148" t="s">
        <v>329</v>
      </c>
      <c r="H1945" s="148">
        <v>2014</v>
      </c>
      <c r="I1945" s="148">
        <v>6</v>
      </c>
      <c r="J1945" s="148" t="s">
        <v>308</v>
      </c>
      <c r="Q1945" s="148" t="s">
        <v>426</v>
      </c>
      <c r="R1945" s="148" t="s">
        <v>30</v>
      </c>
      <c r="S1945" s="148" t="s">
        <v>427</v>
      </c>
      <c r="T1945" s="148" t="s">
        <v>1220</v>
      </c>
    </row>
    <row r="1946" spans="1:25" ht="15.75" hidden="1" customHeight="1" x14ac:dyDescent="0.25">
      <c r="A1946" s="148" t="s">
        <v>76</v>
      </c>
      <c r="B1946" s="148" t="s">
        <v>27</v>
      </c>
      <c r="C1946" s="148" t="s">
        <v>28</v>
      </c>
      <c r="D1946" s="148" t="s">
        <v>99</v>
      </c>
      <c r="E1946" s="148" t="s">
        <v>40</v>
      </c>
      <c r="F1946" s="148" t="s">
        <v>41</v>
      </c>
      <c r="G1946" s="148" t="s">
        <v>42</v>
      </c>
      <c r="H1946" s="148">
        <v>2014</v>
      </c>
      <c r="I1946" s="148">
        <v>6</v>
      </c>
      <c r="J1946" s="148" t="s">
        <v>118</v>
      </c>
      <c r="K1946" s="148" t="s">
        <v>502</v>
      </c>
      <c r="M1946" s="148" t="s">
        <v>126</v>
      </c>
      <c r="N1946" s="148">
        <v>10</v>
      </c>
      <c r="O1946" s="148" t="s">
        <v>101</v>
      </c>
      <c r="P1946" s="148" t="s">
        <v>203</v>
      </c>
    </row>
    <row r="1947" spans="1:25" ht="13.5" hidden="1" customHeight="1" x14ac:dyDescent="0.25">
      <c r="A1947" s="148" t="s">
        <v>76</v>
      </c>
      <c r="B1947" s="148" t="s">
        <v>54</v>
      </c>
      <c r="C1947" s="148" t="s">
        <v>55</v>
      </c>
      <c r="D1947" s="148" t="s">
        <v>1082</v>
      </c>
      <c r="E1947" s="148" t="s">
        <v>30</v>
      </c>
      <c r="F1947" s="148" t="s">
        <v>56</v>
      </c>
      <c r="G1947" s="148" t="s">
        <v>54</v>
      </c>
      <c r="H1947" s="148">
        <v>2014</v>
      </c>
      <c r="I1947" s="148">
        <v>6</v>
      </c>
      <c r="J1947" s="148" t="s">
        <v>150</v>
      </c>
      <c r="K1947" s="148" t="s">
        <v>710</v>
      </c>
      <c r="M1947" s="148" t="s">
        <v>173</v>
      </c>
      <c r="N1947" s="148">
        <v>8</v>
      </c>
      <c r="O1947" s="148" t="s">
        <v>83</v>
      </c>
    </row>
    <row r="1948" spans="1:25" ht="15.75" customHeight="1" x14ac:dyDescent="0.25">
      <c r="A1948" s="148" t="s">
        <v>76</v>
      </c>
      <c r="B1948" s="148" t="s">
        <v>36</v>
      </c>
      <c r="C1948" s="148" t="s">
        <v>28</v>
      </c>
      <c r="D1948" s="148" t="s">
        <v>29</v>
      </c>
      <c r="E1948" s="148" t="s">
        <v>30</v>
      </c>
      <c r="F1948" s="148" t="s">
        <v>3183</v>
      </c>
      <c r="G1948" s="148" t="s">
        <v>194</v>
      </c>
      <c r="H1948" s="148">
        <v>2014</v>
      </c>
      <c r="I1948" s="148">
        <v>6</v>
      </c>
      <c r="J1948" s="148" t="s">
        <v>150</v>
      </c>
      <c r="K1948" s="148" t="s">
        <v>1096</v>
      </c>
      <c r="M1948" s="148" t="s">
        <v>120</v>
      </c>
      <c r="N1948" s="148">
        <v>6</v>
      </c>
      <c r="O1948" s="148" t="s">
        <v>83</v>
      </c>
      <c r="Y1948" s="150" t="s">
        <v>1221</v>
      </c>
    </row>
    <row r="1949" spans="1:25" ht="15.75" hidden="1" customHeight="1" x14ac:dyDescent="0.25">
      <c r="A1949" s="148" t="s">
        <v>26</v>
      </c>
      <c r="B1949" s="148" t="s">
        <v>89</v>
      </c>
      <c r="C1949" s="148" t="s">
        <v>90</v>
      </c>
      <c r="D1949" s="148" t="s">
        <v>478</v>
      </c>
      <c r="E1949" s="148" t="s">
        <v>30</v>
      </c>
      <c r="F1949" s="148" t="s">
        <v>91</v>
      </c>
      <c r="G1949" s="148" t="s">
        <v>92</v>
      </c>
      <c r="H1949" s="148">
        <v>2014</v>
      </c>
      <c r="I1949" s="148">
        <v>6</v>
      </c>
      <c r="J1949" s="148" t="s">
        <v>33</v>
      </c>
      <c r="U1949" s="149" t="s">
        <v>3629</v>
      </c>
      <c r="V1949" s="148" t="s">
        <v>1178</v>
      </c>
      <c r="W1949" s="148" t="s">
        <v>49</v>
      </c>
      <c r="X1949" s="148" t="s">
        <v>1179</v>
      </c>
    </row>
    <row r="1950" spans="1:25" ht="15.75" hidden="1" customHeight="1" x14ac:dyDescent="0.25">
      <c r="A1950" s="148" t="s">
        <v>76</v>
      </c>
      <c r="B1950" s="148" t="s">
        <v>62</v>
      </c>
      <c r="C1950" s="148" t="s">
        <v>28</v>
      </c>
      <c r="D1950" s="148" t="s">
        <v>86</v>
      </c>
      <c r="E1950" s="148" t="s">
        <v>51</v>
      </c>
      <c r="F1950" s="148" t="s">
        <v>3183</v>
      </c>
      <c r="G1950" s="148" t="s">
        <v>130</v>
      </c>
      <c r="H1950" s="148">
        <v>2014</v>
      </c>
      <c r="I1950" s="148">
        <v>6</v>
      </c>
      <c r="J1950" s="148" t="s">
        <v>118</v>
      </c>
      <c r="K1950" s="148" t="s">
        <v>874</v>
      </c>
      <c r="M1950" s="148" t="s">
        <v>120</v>
      </c>
      <c r="N1950" s="148">
        <v>6</v>
      </c>
      <c r="O1950" s="148" t="s">
        <v>101</v>
      </c>
      <c r="P1950" s="148" t="s">
        <v>1222</v>
      </c>
    </row>
    <row r="1951" spans="1:25" ht="15.75" hidden="1" customHeight="1" x14ac:dyDescent="0.25">
      <c r="A1951" s="148" t="s">
        <v>76</v>
      </c>
      <c r="B1951" s="148" t="s">
        <v>36</v>
      </c>
      <c r="C1951" s="148" t="s">
        <v>28</v>
      </c>
      <c r="D1951" s="152" t="s">
        <v>342</v>
      </c>
      <c r="E1951" s="148" t="s">
        <v>51</v>
      </c>
      <c r="F1951" s="148" t="s">
        <v>3183</v>
      </c>
      <c r="G1951" s="148" t="s">
        <v>52</v>
      </c>
      <c r="H1951" s="148">
        <v>2014</v>
      </c>
      <c r="I1951" s="148">
        <v>6</v>
      </c>
      <c r="J1951" s="148" t="s">
        <v>118</v>
      </c>
      <c r="K1951" s="148" t="s">
        <v>1096</v>
      </c>
      <c r="M1951" s="148" t="s">
        <v>120</v>
      </c>
      <c r="N1951" s="148">
        <v>6</v>
      </c>
      <c r="O1951" s="148" t="s">
        <v>101</v>
      </c>
    </row>
    <row r="1952" spans="1:25" ht="15.75" hidden="1" customHeight="1" x14ac:dyDescent="0.25">
      <c r="A1952" s="148" t="s">
        <v>76</v>
      </c>
      <c r="B1952" s="148" t="s">
        <v>71</v>
      </c>
      <c r="C1952" s="148" t="s">
        <v>45</v>
      </c>
      <c r="D1952" s="148" t="s">
        <v>478</v>
      </c>
      <c r="E1952" s="148" t="s">
        <v>72</v>
      </c>
      <c r="F1952" s="148" t="s">
        <v>3183</v>
      </c>
      <c r="G1952" s="148" t="s">
        <v>73</v>
      </c>
      <c r="H1952" s="148">
        <v>2014</v>
      </c>
      <c r="I1952" s="148">
        <v>7</v>
      </c>
      <c r="J1952" s="148" t="s">
        <v>150</v>
      </c>
      <c r="K1952" s="148" t="s">
        <v>502</v>
      </c>
      <c r="M1952" s="148" t="s">
        <v>126</v>
      </c>
      <c r="N1952" s="148">
        <v>10</v>
      </c>
      <c r="O1952" s="148" t="s">
        <v>83</v>
      </c>
    </row>
    <row r="1953" spans="1:26" ht="15.75" hidden="1" customHeight="1" x14ac:dyDescent="0.25">
      <c r="A1953" s="148" t="s">
        <v>76</v>
      </c>
      <c r="B1953" s="148" t="s">
        <v>198</v>
      </c>
      <c r="C1953" s="148" t="s">
        <v>45</v>
      </c>
      <c r="D1953" s="148" t="s">
        <v>158</v>
      </c>
      <c r="E1953" s="148" t="s">
        <v>30</v>
      </c>
      <c r="F1953" s="148" t="s">
        <v>199</v>
      </c>
      <c r="G1953" s="148" t="s">
        <v>1057</v>
      </c>
      <c r="H1953" s="148">
        <v>2014</v>
      </c>
      <c r="I1953" s="148">
        <v>7</v>
      </c>
      <c r="J1953" s="148" t="s">
        <v>100</v>
      </c>
      <c r="K1953" s="148" t="s">
        <v>1096</v>
      </c>
      <c r="M1953" s="148" t="s">
        <v>120</v>
      </c>
      <c r="N1953" s="148">
        <v>6</v>
      </c>
      <c r="O1953" s="148" t="s">
        <v>101</v>
      </c>
      <c r="P1953" s="148" t="s">
        <v>1223</v>
      </c>
      <c r="Y1953" s="150" t="s">
        <v>1224</v>
      </c>
    </row>
    <row r="1954" spans="1:26" ht="15.75" hidden="1" customHeight="1" x14ac:dyDescent="0.25">
      <c r="A1954" s="148" t="s">
        <v>26</v>
      </c>
      <c r="B1954" s="148" t="s">
        <v>116</v>
      </c>
      <c r="C1954" s="148" t="s">
        <v>90</v>
      </c>
      <c r="D1954" s="148" t="s">
        <v>29</v>
      </c>
      <c r="E1954" s="148" t="s">
        <v>30</v>
      </c>
      <c r="F1954" s="148" t="s">
        <v>41</v>
      </c>
      <c r="G1954" s="148" t="s">
        <v>564</v>
      </c>
      <c r="H1954" s="148">
        <v>2014</v>
      </c>
      <c r="I1954" s="148">
        <v>7</v>
      </c>
      <c r="J1954" s="148" t="s">
        <v>792</v>
      </c>
      <c r="U1954" s="149" t="s">
        <v>3629</v>
      </c>
      <c r="V1954" s="148" t="s">
        <v>1211</v>
      </c>
      <c r="W1954" s="148" t="s">
        <v>49</v>
      </c>
      <c r="X1954" s="157" t="s">
        <v>1212</v>
      </c>
    </row>
    <row r="1955" spans="1:26" ht="15.75" hidden="1" customHeight="1" x14ac:dyDescent="0.25">
      <c r="A1955" s="148" t="s">
        <v>307</v>
      </c>
      <c r="B1955" s="148" t="s">
        <v>103</v>
      </c>
      <c r="C1955" s="148" t="s">
        <v>55</v>
      </c>
      <c r="D1955" s="148" t="s">
        <v>158</v>
      </c>
      <c r="E1955" s="148" t="s">
        <v>30</v>
      </c>
      <c r="F1955" s="148" t="s">
        <v>56</v>
      </c>
      <c r="G1955" s="148" t="s">
        <v>1027</v>
      </c>
      <c r="H1955" s="148">
        <v>2014</v>
      </c>
      <c r="I1955" s="148">
        <v>7</v>
      </c>
      <c r="J1955" s="148" t="s">
        <v>399</v>
      </c>
      <c r="Q1955" s="148" t="s">
        <v>818</v>
      </c>
      <c r="R1955" s="148" t="s">
        <v>1225</v>
      </c>
      <c r="S1955" s="148" t="s">
        <v>427</v>
      </c>
      <c r="T1955" s="148" t="s">
        <v>1226</v>
      </c>
    </row>
    <row r="1956" spans="1:26" ht="15.75" hidden="1" customHeight="1" x14ac:dyDescent="0.25">
      <c r="A1956" s="148" t="s">
        <v>26</v>
      </c>
      <c r="B1956" s="148" t="s">
        <v>71</v>
      </c>
      <c r="C1956" s="148" t="s">
        <v>45</v>
      </c>
      <c r="D1956" s="148" t="s">
        <v>99</v>
      </c>
      <c r="E1956" s="148" t="s">
        <v>30</v>
      </c>
      <c r="F1956" s="148" t="s">
        <v>3183</v>
      </c>
      <c r="G1956" s="148" t="s">
        <v>621</v>
      </c>
      <c r="H1956" s="148">
        <v>2014</v>
      </c>
      <c r="I1956" s="148">
        <v>7</v>
      </c>
      <c r="J1956" s="148" t="s">
        <v>895</v>
      </c>
      <c r="U1956" s="149" t="s">
        <v>112</v>
      </c>
      <c r="V1956" s="148" t="s">
        <v>3676</v>
      </c>
      <c r="W1956" s="148" t="s">
        <v>34</v>
      </c>
      <c r="X1956" s="148" t="s">
        <v>1227</v>
      </c>
      <c r="Z1956" s="148" t="s">
        <v>623</v>
      </c>
    </row>
    <row r="1957" spans="1:26" ht="15.75" hidden="1" customHeight="1" x14ac:dyDescent="0.25">
      <c r="A1957" s="148" t="s">
        <v>76</v>
      </c>
      <c r="B1957" s="148" t="s">
        <v>36</v>
      </c>
      <c r="C1957" s="148" t="s">
        <v>28</v>
      </c>
      <c r="D1957" s="148" t="s">
        <v>478</v>
      </c>
      <c r="E1957" s="148" t="s">
        <v>30</v>
      </c>
      <c r="F1957" s="148" t="s">
        <v>3183</v>
      </c>
      <c r="G1957" s="148" t="s">
        <v>59</v>
      </c>
      <c r="H1957" s="148">
        <v>2014</v>
      </c>
      <c r="I1957" s="148">
        <v>7</v>
      </c>
      <c r="J1957" s="148" t="s">
        <v>150</v>
      </c>
      <c r="K1957" s="148" t="s">
        <v>502</v>
      </c>
      <c r="M1957" s="148" t="s">
        <v>126</v>
      </c>
      <c r="N1957" s="148">
        <v>10</v>
      </c>
      <c r="O1957" s="148" t="s">
        <v>83</v>
      </c>
    </row>
    <row r="1958" spans="1:26" ht="15.75" hidden="1" customHeight="1" x14ac:dyDescent="0.25">
      <c r="A1958" s="148" t="s">
        <v>76</v>
      </c>
      <c r="B1958" s="148" t="s">
        <v>103</v>
      </c>
      <c r="C1958" s="148" t="s">
        <v>55</v>
      </c>
      <c r="D1958" s="148" t="s">
        <v>478</v>
      </c>
      <c r="E1958" s="148" t="s">
        <v>95</v>
      </c>
      <c r="F1958" s="148" t="s">
        <v>56</v>
      </c>
      <c r="G1958" s="148" t="s">
        <v>107</v>
      </c>
      <c r="H1958" s="148">
        <v>2014</v>
      </c>
      <c r="I1958" s="148">
        <v>7</v>
      </c>
      <c r="J1958" s="148" t="s">
        <v>118</v>
      </c>
      <c r="K1958" s="148" t="s">
        <v>579</v>
      </c>
      <c r="M1958" s="148" t="s">
        <v>126</v>
      </c>
      <c r="N1958" s="148">
        <v>10</v>
      </c>
      <c r="O1958" s="148" t="s">
        <v>101</v>
      </c>
      <c r="P1958" s="148" t="s">
        <v>1228</v>
      </c>
    </row>
    <row r="1959" spans="1:26" ht="15.75" hidden="1" customHeight="1" x14ac:dyDescent="0.25">
      <c r="A1959" s="148" t="s">
        <v>76</v>
      </c>
      <c r="B1959" s="148" t="s">
        <v>103</v>
      </c>
      <c r="C1959" s="148" t="s">
        <v>55</v>
      </c>
      <c r="D1959" s="148" t="s">
        <v>158</v>
      </c>
      <c r="E1959" s="148" t="s">
        <v>95</v>
      </c>
      <c r="F1959" s="148" t="s">
        <v>56</v>
      </c>
      <c r="G1959" s="148" t="s">
        <v>559</v>
      </c>
      <c r="H1959" s="148">
        <v>2014</v>
      </c>
      <c r="I1959" s="148">
        <v>7</v>
      </c>
      <c r="J1959" s="148" t="s">
        <v>150</v>
      </c>
      <c r="K1959" s="148" t="s">
        <v>1158</v>
      </c>
      <c r="M1959" s="148" t="s">
        <v>120</v>
      </c>
      <c r="N1959" s="148">
        <v>6</v>
      </c>
      <c r="O1959" s="148" t="s">
        <v>83</v>
      </c>
    </row>
    <row r="1960" spans="1:26" ht="15.75" hidden="1" customHeight="1" x14ac:dyDescent="0.25">
      <c r="A1960" s="148" t="s">
        <v>26</v>
      </c>
      <c r="B1960" s="148" t="s">
        <v>36</v>
      </c>
      <c r="C1960" s="148" t="s">
        <v>45</v>
      </c>
      <c r="D1960" s="148" t="s">
        <v>99</v>
      </c>
      <c r="E1960" s="148" t="s">
        <v>30</v>
      </c>
      <c r="F1960" s="148" t="s">
        <v>3183</v>
      </c>
      <c r="G1960" s="148" t="s">
        <v>600</v>
      </c>
      <c r="H1960" s="148">
        <v>2014</v>
      </c>
      <c r="I1960" s="148">
        <v>7</v>
      </c>
      <c r="J1960" s="148" t="s">
        <v>895</v>
      </c>
      <c r="U1960" s="149" t="s">
        <v>112</v>
      </c>
      <c r="V1960" s="148" t="s">
        <v>3676</v>
      </c>
      <c r="W1960" s="148" t="s">
        <v>34</v>
      </c>
      <c r="X1960" s="148" t="s">
        <v>1227</v>
      </c>
    </row>
    <row r="1961" spans="1:26" ht="15.75" hidden="1" customHeight="1" x14ac:dyDescent="0.25">
      <c r="A1961" s="148" t="s">
        <v>76</v>
      </c>
      <c r="B1961" s="148" t="s">
        <v>103</v>
      </c>
      <c r="C1961" s="148" t="s">
        <v>55</v>
      </c>
      <c r="D1961" s="148" t="s">
        <v>478</v>
      </c>
      <c r="E1961" s="148" t="s">
        <v>95</v>
      </c>
      <c r="F1961" s="148" t="s">
        <v>56</v>
      </c>
      <c r="G1961" s="148" t="s">
        <v>225</v>
      </c>
      <c r="H1961" s="148">
        <v>2014</v>
      </c>
      <c r="I1961" s="148">
        <v>7</v>
      </c>
      <c r="J1961" s="148" t="s">
        <v>150</v>
      </c>
      <c r="K1961" s="148" t="s">
        <v>706</v>
      </c>
      <c r="M1961" s="148" t="s">
        <v>389</v>
      </c>
      <c r="N1961" s="148">
        <v>8</v>
      </c>
      <c r="O1961" s="148" t="s">
        <v>83</v>
      </c>
    </row>
    <row r="1962" spans="1:26" ht="15.75" hidden="1" customHeight="1" x14ac:dyDescent="0.25">
      <c r="A1962" s="148" t="s">
        <v>76</v>
      </c>
      <c r="B1962" s="148" t="s">
        <v>103</v>
      </c>
      <c r="C1962" s="148" t="s">
        <v>55</v>
      </c>
      <c r="D1962" s="148" t="s">
        <v>490</v>
      </c>
      <c r="E1962" s="148" t="s">
        <v>95</v>
      </c>
      <c r="F1962" s="148" t="s">
        <v>56</v>
      </c>
      <c r="G1962" s="148" t="s">
        <v>168</v>
      </c>
      <c r="H1962" s="148">
        <v>2014</v>
      </c>
      <c r="I1962" s="148">
        <v>7</v>
      </c>
      <c r="J1962" s="148" t="s">
        <v>150</v>
      </c>
      <c r="K1962" s="148" t="s">
        <v>1158</v>
      </c>
      <c r="M1962" s="148" t="s">
        <v>120</v>
      </c>
      <c r="N1962" s="148">
        <v>6</v>
      </c>
      <c r="O1962" s="148" t="s">
        <v>83</v>
      </c>
    </row>
    <row r="1963" spans="1:26" ht="15.75" hidden="1" customHeight="1" x14ac:dyDescent="0.25">
      <c r="A1963" s="148" t="s">
        <v>307</v>
      </c>
      <c r="B1963" s="148" t="s">
        <v>54</v>
      </c>
      <c r="C1963" s="148" t="s">
        <v>55</v>
      </c>
      <c r="D1963" s="148" t="s">
        <v>1082</v>
      </c>
      <c r="E1963" s="148" t="s">
        <v>30</v>
      </c>
      <c r="F1963" s="148" t="s">
        <v>56</v>
      </c>
      <c r="G1963" s="148" t="s">
        <v>54</v>
      </c>
      <c r="H1963" s="148">
        <v>2014</v>
      </c>
      <c r="I1963" s="148">
        <v>7</v>
      </c>
      <c r="J1963" s="148" t="s">
        <v>399</v>
      </c>
      <c r="Q1963" s="148" t="s">
        <v>1229</v>
      </c>
      <c r="R1963" s="148" t="s">
        <v>1230</v>
      </c>
      <c r="S1963" s="148" t="s">
        <v>885</v>
      </c>
      <c r="T1963" s="148" t="s">
        <v>1231</v>
      </c>
      <c r="Y1963" s="150" t="s">
        <v>1232</v>
      </c>
    </row>
    <row r="1964" spans="1:26" ht="15.75" hidden="1" customHeight="1" x14ac:dyDescent="0.25">
      <c r="A1964" s="148" t="s">
        <v>76</v>
      </c>
      <c r="B1964" s="148" t="s">
        <v>89</v>
      </c>
      <c r="C1964" s="148" t="s">
        <v>90</v>
      </c>
      <c r="D1964" s="148" t="s">
        <v>478</v>
      </c>
      <c r="E1964" s="148" t="s">
        <v>30</v>
      </c>
      <c r="F1964" s="148" t="s">
        <v>91</v>
      </c>
      <c r="G1964" s="148" t="s">
        <v>92</v>
      </c>
      <c r="H1964" s="148">
        <v>2014</v>
      </c>
      <c r="I1964" s="148">
        <v>7</v>
      </c>
      <c r="J1964" s="148" t="s">
        <v>150</v>
      </c>
      <c r="K1964" s="148" t="s">
        <v>708</v>
      </c>
      <c r="M1964" s="148" t="s">
        <v>82</v>
      </c>
      <c r="N1964" s="148">
        <v>8</v>
      </c>
      <c r="O1964" s="148" t="s">
        <v>83</v>
      </c>
    </row>
    <row r="1965" spans="1:26" ht="15.75" hidden="1" customHeight="1" x14ac:dyDescent="0.25">
      <c r="A1965" s="148" t="s">
        <v>76</v>
      </c>
      <c r="B1965" s="148" t="s">
        <v>62</v>
      </c>
      <c r="C1965" s="148" t="s">
        <v>28</v>
      </c>
      <c r="D1965" s="148" t="s">
        <v>86</v>
      </c>
      <c r="E1965" s="148" t="s">
        <v>51</v>
      </c>
      <c r="F1965" s="148" t="s">
        <v>3183</v>
      </c>
      <c r="G1965" s="148" t="s">
        <v>130</v>
      </c>
      <c r="H1965" s="148">
        <v>2014</v>
      </c>
      <c r="I1965" s="148">
        <v>7</v>
      </c>
      <c r="J1965" s="148" t="s">
        <v>118</v>
      </c>
      <c r="K1965" s="148" t="s">
        <v>708</v>
      </c>
      <c r="M1965" s="148" t="s">
        <v>82</v>
      </c>
      <c r="N1965" s="148">
        <v>8</v>
      </c>
      <c r="O1965" s="148" t="s">
        <v>101</v>
      </c>
      <c r="P1965" s="148" t="s">
        <v>261</v>
      </c>
    </row>
    <row r="1966" spans="1:26" ht="15.75" hidden="1" customHeight="1" x14ac:dyDescent="0.25">
      <c r="A1966" s="148" t="s">
        <v>76</v>
      </c>
      <c r="B1966" s="148" t="s">
        <v>103</v>
      </c>
      <c r="C1966" s="148" t="s">
        <v>55</v>
      </c>
      <c r="D1966" s="148" t="s">
        <v>29</v>
      </c>
      <c r="E1966" s="148" t="s">
        <v>30</v>
      </c>
      <c r="F1966" s="148" t="s">
        <v>56</v>
      </c>
      <c r="G1966" s="148" t="s">
        <v>381</v>
      </c>
      <c r="H1966" s="148">
        <v>2014</v>
      </c>
      <c r="I1966" s="148">
        <v>7</v>
      </c>
      <c r="J1966" s="148" t="s">
        <v>150</v>
      </c>
      <c r="K1966" s="148" t="s">
        <v>706</v>
      </c>
      <c r="M1966" s="148" t="s">
        <v>389</v>
      </c>
      <c r="N1966" s="148">
        <v>8</v>
      </c>
      <c r="O1966" s="148" t="s">
        <v>83</v>
      </c>
    </row>
    <row r="1967" spans="1:26" ht="15.75" hidden="1" customHeight="1" x14ac:dyDescent="0.25">
      <c r="A1967" s="148" t="s">
        <v>76</v>
      </c>
      <c r="B1967" s="148" t="s">
        <v>89</v>
      </c>
      <c r="C1967" s="148" t="s">
        <v>90</v>
      </c>
      <c r="D1967" s="148" t="s">
        <v>158</v>
      </c>
      <c r="E1967" s="148" t="s">
        <v>30</v>
      </c>
      <c r="F1967" s="148" t="s">
        <v>91</v>
      </c>
      <c r="G1967" s="148" t="s">
        <v>93</v>
      </c>
      <c r="H1967" s="148">
        <v>2014</v>
      </c>
      <c r="I1967" s="148">
        <v>7</v>
      </c>
      <c r="J1967" s="148" t="s">
        <v>150</v>
      </c>
      <c r="K1967" s="148" t="s">
        <v>708</v>
      </c>
      <c r="M1967" s="148" t="s">
        <v>82</v>
      </c>
      <c r="N1967" s="148">
        <v>8</v>
      </c>
      <c r="O1967" s="148" t="s">
        <v>83</v>
      </c>
    </row>
    <row r="1968" spans="1:26" ht="15.75" hidden="1" customHeight="1" x14ac:dyDescent="0.25">
      <c r="A1968" s="148" t="s">
        <v>26</v>
      </c>
      <c r="B1968" s="148" t="s">
        <v>71</v>
      </c>
      <c r="C1968" s="148" t="s">
        <v>45</v>
      </c>
      <c r="D1968" s="148" t="s">
        <v>99</v>
      </c>
      <c r="E1968" s="148" t="s">
        <v>30</v>
      </c>
      <c r="F1968" s="148" t="s">
        <v>3183</v>
      </c>
      <c r="G1968" s="148" t="s">
        <v>769</v>
      </c>
      <c r="H1968" s="148">
        <v>2014</v>
      </c>
      <c r="I1968" s="148">
        <v>7</v>
      </c>
      <c r="J1968" s="148" t="s">
        <v>895</v>
      </c>
      <c r="U1968" s="149" t="s">
        <v>112</v>
      </c>
      <c r="V1968" s="148" t="s">
        <v>3676</v>
      </c>
      <c r="W1968" s="148" t="s">
        <v>34</v>
      </c>
      <c r="X1968" s="148" t="s">
        <v>1227</v>
      </c>
    </row>
    <row r="1969" spans="1:25" ht="15.75" hidden="1" customHeight="1" x14ac:dyDescent="0.25">
      <c r="A1969" s="148" t="s">
        <v>76</v>
      </c>
      <c r="B1969" s="148" t="s">
        <v>103</v>
      </c>
      <c r="C1969" s="148" t="s">
        <v>55</v>
      </c>
      <c r="D1969" s="148" t="s">
        <v>86</v>
      </c>
      <c r="E1969" s="148" t="s">
        <v>95</v>
      </c>
      <c r="F1969" s="148" t="s">
        <v>56</v>
      </c>
      <c r="G1969" s="148" t="s">
        <v>186</v>
      </c>
      <c r="H1969" s="148">
        <v>2014</v>
      </c>
      <c r="I1969" s="148">
        <v>7</v>
      </c>
      <c r="J1969" s="148" t="s">
        <v>118</v>
      </c>
      <c r="K1969" s="148" t="s">
        <v>520</v>
      </c>
      <c r="M1969" s="148" t="s">
        <v>701</v>
      </c>
      <c r="N1969" s="148">
        <v>8</v>
      </c>
      <c r="O1969" s="148" t="s">
        <v>101</v>
      </c>
      <c r="P1969" s="148" t="s">
        <v>562</v>
      </c>
    </row>
    <row r="1970" spans="1:25" ht="15.75" hidden="1" customHeight="1" x14ac:dyDescent="0.25">
      <c r="A1970" s="148" t="s">
        <v>76</v>
      </c>
      <c r="B1970" s="148" t="s">
        <v>44</v>
      </c>
      <c r="C1970" s="148" t="s">
        <v>45</v>
      </c>
      <c r="D1970" s="148" t="s">
        <v>29</v>
      </c>
      <c r="E1970" s="148" t="s">
        <v>46</v>
      </c>
      <c r="F1970" s="148" t="s">
        <v>47</v>
      </c>
      <c r="G1970" s="148" t="s">
        <v>48</v>
      </c>
      <c r="H1970" s="148">
        <v>2014</v>
      </c>
      <c r="I1970" s="148">
        <v>7</v>
      </c>
      <c r="J1970" s="148" t="s">
        <v>118</v>
      </c>
      <c r="K1970" s="148" t="s">
        <v>520</v>
      </c>
      <c r="M1970" s="148" t="s">
        <v>701</v>
      </c>
      <c r="N1970" s="148">
        <v>8</v>
      </c>
      <c r="O1970" s="148" t="s">
        <v>101</v>
      </c>
      <c r="P1970" s="148" t="s">
        <v>1233</v>
      </c>
      <c r="Y1970" s="150" t="s">
        <v>1181</v>
      </c>
    </row>
    <row r="1971" spans="1:25" ht="15.75" hidden="1" customHeight="1" x14ac:dyDescent="0.25">
      <c r="A1971" s="148" t="s">
        <v>307</v>
      </c>
      <c r="B1971" s="148" t="s">
        <v>44</v>
      </c>
      <c r="C1971" s="148" t="s">
        <v>45</v>
      </c>
      <c r="D1971" s="148" t="s">
        <v>29</v>
      </c>
      <c r="E1971" s="148" t="s">
        <v>46</v>
      </c>
      <c r="F1971" s="148" t="s">
        <v>47</v>
      </c>
      <c r="G1971" s="148" t="s">
        <v>48</v>
      </c>
      <c r="H1971" s="148">
        <v>2014</v>
      </c>
      <c r="I1971" s="148">
        <v>7</v>
      </c>
      <c r="J1971" s="148" t="s">
        <v>399</v>
      </c>
      <c r="Q1971" s="148" t="s">
        <v>594</v>
      </c>
      <c r="R1971" s="148" t="s">
        <v>1234</v>
      </c>
      <c r="S1971" s="148" t="s">
        <v>427</v>
      </c>
      <c r="T1971" s="148" t="s">
        <v>1235</v>
      </c>
    </row>
    <row r="1972" spans="1:25" ht="15.75" hidden="1" customHeight="1" x14ac:dyDescent="0.25">
      <c r="A1972" s="148" t="s">
        <v>26</v>
      </c>
      <c r="B1972" s="148" t="s">
        <v>71</v>
      </c>
      <c r="C1972" s="148" t="s">
        <v>45</v>
      </c>
      <c r="D1972" s="148" t="s">
        <v>99</v>
      </c>
      <c r="E1972" s="148" t="s">
        <v>30</v>
      </c>
      <c r="F1972" s="148" t="s">
        <v>3183</v>
      </c>
      <c r="G1972" s="148" t="s">
        <v>588</v>
      </c>
      <c r="H1972" s="148">
        <v>2014</v>
      </c>
      <c r="I1972" s="148">
        <v>7</v>
      </c>
      <c r="J1972" s="148" t="s">
        <v>895</v>
      </c>
      <c r="U1972" s="149" t="s">
        <v>112</v>
      </c>
      <c r="V1972" s="148" t="s">
        <v>3676</v>
      </c>
      <c r="W1972" s="148" t="s">
        <v>34</v>
      </c>
      <c r="X1972" s="148" t="s">
        <v>1227</v>
      </c>
    </row>
    <row r="1973" spans="1:25" ht="15.75" hidden="1" customHeight="1" x14ac:dyDescent="0.25">
      <c r="A1973" s="148" t="s">
        <v>76</v>
      </c>
      <c r="B1973" s="148" t="s">
        <v>198</v>
      </c>
      <c r="C1973" s="148" t="s">
        <v>45</v>
      </c>
      <c r="D1973" s="148" t="s">
        <v>478</v>
      </c>
      <c r="E1973" s="148" t="s">
        <v>40</v>
      </c>
      <c r="F1973" s="148" t="s">
        <v>199</v>
      </c>
      <c r="G1973" s="148" t="s">
        <v>282</v>
      </c>
      <c r="H1973" s="148">
        <v>2014</v>
      </c>
      <c r="I1973" s="148">
        <v>8</v>
      </c>
      <c r="J1973" s="148" t="s">
        <v>150</v>
      </c>
      <c r="K1973" s="148" t="s">
        <v>692</v>
      </c>
      <c r="M1973" s="148" t="s">
        <v>696</v>
      </c>
      <c r="N1973" s="148">
        <v>8</v>
      </c>
      <c r="O1973" s="148" t="s">
        <v>83</v>
      </c>
    </row>
    <row r="1974" spans="1:25" ht="15.75" hidden="1" customHeight="1" x14ac:dyDescent="0.25">
      <c r="A1974" s="148" t="s">
        <v>307</v>
      </c>
      <c r="B1974" s="148" t="s">
        <v>71</v>
      </c>
      <c r="C1974" s="148" t="s">
        <v>45</v>
      </c>
      <c r="D1974" s="148" t="s">
        <v>478</v>
      </c>
      <c r="E1974" s="148" t="s">
        <v>72</v>
      </c>
      <c r="F1974" s="148" t="s">
        <v>3183</v>
      </c>
      <c r="G1974" s="148" t="s">
        <v>73</v>
      </c>
      <c r="H1974" s="148">
        <v>2014</v>
      </c>
      <c r="I1974" s="148">
        <v>8</v>
      </c>
      <c r="J1974" s="148" t="s">
        <v>399</v>
      </c>
      <c r="Q1974" s="148" t="s">
        <v>866</v>
      </c>
      <c r="R1974" s="148" t="s">
        <v>1236</v>
      </c>
      <c r="S1974" s="148" t="s">
        <v>427</v>
      </c>
      <c r="T1974" s="148" t="s">
        <v>1237</v>
      </c>
    </row>
    <row r="1975" spans="1:25" ht="15.75" hidden="1" customHeight="1" x14ac:dyDescent="0.25">
      <c r="A1975" s="148" t="s">
        <v>76</v>
      </c>
      <c r="B1975" s="148" t="s">
        <v>198</v>
      </c>
      <c r="C1975" s="148" t="s">
        <v>45</v>
      </c>
      <c r="D1975" s="148" t="s">
        <v>478</v>
      </c>
      <c r="E1975" s="148" t="s">
        <v>30</v>
      </c>
      <c r="F1975" s="148" t="s">
        <v>199</v>
      </c>
      <c r="G1975" s="148" t="s">
        <v>208</v>
      </c>
      <c r="H1975" s="148">
        <v>2014</v>
      </c>
      <c r="I1975" s="148">
        <v>8</v>
      </c>
      <c r="J1975" s="148" t="s">
        <v>150</v>
      </c>
      <c r="K1975" s="148" t="s">
        <v>692</v>
      </c>
      <c r="M1975" s="148" t="s">
        <v>696</v>
      </c>
      <c r="N1975" s="148">
        <v>8</v>
      </c>
      <c r="O1975" s="148" t="s">
        <v>83</v>
      </c>
    </row>
    <row r="1976" spans="1:25" ht="15.75" hidden="1" customHeight="1" x14ac:dyDescent="0.25">
      <c r="A1976" s="148" t="s">
        <v>76</v>
      </c>
      <c r="B1976" s="148" t="s">
        <v>116</v>
      </c>
      <c r="C1976" s="148" t="s">
        <v>90</v>
      </c>
      <c r="D1976" s="148" t="s">
        <v>478</v>
      </c>
      <c r="E1976" s="148" t="s">
        <v>40</v>
      </c>
      <c r="F1976" s="148" t="s">
        <v>41</v>
      </c>
      <c r="G1976" s="148" t="s">
        <v>117</v>
      </c>
      <c r="H1976" s="148">
        <v>2014</v>
      </c>
      <c r="I1976" s="148">
        <v>8</v>
      </c>
      <c r="J1976" s="148" t="s">
        <v>118</v>
      </c>
      <c r="K1976" s="148" t="s">
        <v>708</v>
      </c>
      <c r="M1976" s="148" t="s">
        <v>82</v>
      </c>
      <c r="N1976" s="148">
        <v>8</v>
      </c>
      <c r="O1976" s="148" t="s">
        <v>101</v>
      </c>
      <c r="P1976" s="148" t="s">
        <v>261</v>
      </c>
    </row>
    <row r="1977" spans="1:25" ht="15.75" hidden="1" customHeight="1" x14ac:dyDescent="0.25">
      <c r="A1977" s="148" t="s">
        <v>76</v>
      </c>
      <c r="B1977" s="148" t="s">
        <v>36</v>
      </c>
      <c r="C1977" s="148" t="s">
        <v>28</v>
      </c>
      <c r="D1977" s="148" t="s">
        <v>478</v>
      </c>
      <c r="E1977" s="148" t="s">
        <v>30</v>
      </c>
      <c r="F1977" s="148" t="s">
        <v>3183</v>
      </c>
      <c r="G1977" s="148" t="s">
        <v>59</v>
      </c>
      <c r="H1977" s="148">
        <v>2014</v>
      </c>
      <c r="I1977" s="148">
        <v>8</v>
      </c>
      <c r="J1977" s="148" t="s">
        <v>118</v>
      </c>
      <c r="K1977" s="148" t="s">
        <v>502</v>
      </c>
      <c r="M1977" s="148" t="s">
        <v>126</v>
      </c>
      <c r="N1977" s="148">
        <v>10</v>
      </c>
      <c r="O1977" s="148" t="s">
        <v>101</v>
      </c>
      <c r="P1977" s="148" t="s">
        <v>512</v>
      </c>
    </row>
    <row r="1978" spans="1:25" ht="15.75" hidden="1" customHeight="1" x14ac:dyDescent="0.25">
      <c r="A1978" s="148" t="s">
        <v>76</v>
      </c>
      <c r="B1978" s="148" t="s">
        <v>77</v>
      </c>
      <c r="C1978" s="148" t="s">
        <v>55</v>
      </c>
      <c r="D1978" s="148" t="s">
        <v>478</v>
      </c>
      <c r="E1978" s="148" t="s">
        <v>30</v>
      </c>
      <c r="F1978" s="148" t="s">
        <v>41</v>
      </c>
      <c r="G1978" s="148" t="s">
        <v>159</v>
      </c>
      <c r="H1978" s="148">
        <v>2014</v>
      </c>
      <c r="I1978" s="148">
        <v>8</v>
      </c>
      <c r="J1978" s="148" t="s">
        <v>640</v>
      </c>
      <c r="K1978" s="148" t="s">
        <v>851</v>
      </c>
      <c r="M1978" s="148" t="s">
        <v>132</v>
      </c>
      <c r="N1978" s="148">
        <v>8</v>
      </c>
      <c r="O1978" s="148" t="s">
        <v>101</v>
      </c>
      <c r="P1978" s="148" t="s">
        <v>1195</v>
      </c>
    </row>
    <row r="1979" spans="1:25" ht="15.75" hidden="1" customHeight="1" x14ac:dyDescent="0.25">
      <c r="A1979" s="148" t="s">
        <v>307</v>
      </c>
      <c r="B1979" s="148" t="s">
        <v>54</v>
      </c>
      <c r="C1979" s="148" t="s">
        <v>55</v>
      </c>
      <c r="D1979" s="148" t="s">
        <v>1082</v>
      </c>
      <c r="E1979" s="148" t="s">
        <v>30</v>
      </c>
      <c r="F1979" s="148" t="s">
        <v>56</v>
      </c>
      <c r="G1979" s="148" t="s">
        <v>54</v>
      </c>
      <c r="H1979" s="148">
        <v>2014</v>
      </c>
      <c r="I1979" s="148">
        <v>8</v>
      </c>
      <c r="J1979" s="148" t="s">
        <v>399</v>
      </c>
      <c r="Q1979" s="148" t="s">
        <v>1229</v>
      </c>
      <c r="R1979" s="148" t="s">
        <v>1238</v>
      </c>
      <c r="S1979" s="148" t="s">
        <v>311</v>
      </c>
      <c r="T1979" s="148" t="s">
        <v>1239</v>
      </c>
    </row>
    <row r="1980" spans="1:25" ht="15.75" hidden="1" customHeight="1" x14ac:dyDescent="0.25">
      <c r="A1980" s="148" t="s">
        <v>76</v>
      </c>
      <c r="B1980" s="148" t="s">
        <v>77</v>
      </c>
      <c r="C1980" s="148" t="s">
        <v>55</v>
      </c>
      <c r="D1980" s="148" t="s">
        <v>78</v>
      </c>
      <c r="E1980" s="148" t="s">
        <v>30</v>
      </c>
      <c r="F1980" s="148" t="s">
        <v>41</v>
      </c>
      <c r="G1980" s="148" t="s">
        <v>79</v>
      </c>
      <c r="H1980" s="148">
        <v>2014</v>
      </c>
      <c r="I1980" s="148">
        <v>8</v>
      </c>
      <c r="J1980" s="148" t="s">
        <v>80</v>
      </c>
      <c r="K1980" s="148" t="s">
        <v>851</v>
      </c>
      <c r="M1980" s="148" t="s">
        <v>132</v>
      </c>
      <c r="N1980" s="148">
        <v>8</v>
      </c>
      <c r="O1980" s="148" t="s">
        <v>83</v>
      </c>
      <c r="P1980" s="148" t="s">
        <v>1240</v>
      </c>
      <c r="Y1980" s="150" t="s">
        <v>1241</v>
      </c>
    </row>
    <row r="1981" spans="1:25" ht="15.75" hidden="1" customHeight="1" x14ac:dyDescent="0.25">
      <c r="A1981" s="148" t="s">
        <v>307</v>
      </c>
      <c r="B1981" s="148" t="s">
        <v>77</v>
      </c>
      <c r="C1981" s="148" t="s">
        <v>55</v>
      </c>
      <c r="D1981" s="148" t="s">
        <v>78</v>
      </c>
      <c r="E1981" s="148" t="s">
        <v>30</v>
      </c>
      <c r="F1981" s="148" t="s">
        <v>41</v>
      </c>
      <c r="G1981" s="148" t="s">
        <v>79</v>
      </c>
      <c r="H1981" s="148">
        <v>2014</v>
      </c>
      <c r="I1981" s="148">
        <v>8</v>
      </c>
      <c r="J1981" s="148" t="s">
        <v>399</v>
      </c>
      <c r="Q1981" s="148" t="s">
        <v>594</v>
      </c>
      <c r="R1981" s="148" t="s">
        <v>1242</v>
      </c>
      <c r="S1981" s="148" t="s">
        <v>596</v>
      </c>
      <c r="T1981" s="148" t="s">
        <v>1243</v>
      </c>
      <c r="Y1981" s="150" t="s">
        <v>1244</v>
      </c>
    </row>
    <row r="1982" spans="1:25" ht="15.75" hidden="1" customHeight="1" x14ac:dyDescent="0.25">
      <c r="A1982" s="148" t="s">
        <v>76</v>
      </c>
      <c r="B1982" s="148" t="s">
        <v>89</v>
      </c>
      <c r="C1982" s="148" t="s">
        <v>90</v>
      </c>
      <c r="D1982" s="148" t="s">
        <v>478</v>
      </c>
      <c r="E1982" s="148" t="s">
        <v>30</v>
      </c>
      <c r="F1982" s="148" t="s">
        <v>91</v>
      </c>
      <c r="G1982" s="148" t="s">
        <v>92</v>
      </c>
      <c r="H1982" s="148">
        <v>2014</v>
      </c>
      <c r="I1982" s="148">
        <v>8</v>
      </c>
      <c r="J1982" s="148" t="s">
        <v>118</v>
      </c>
      <c r="K1982" s="148" t="s">
        <v>708</v>
      </c>
      <c r="M1982" s="148" t="s">
        <v>82</v>
      </c>
      <c r="N1982" s="148">
        <v>8</v>
      </c>
      <c r="O1982" s="148" t="s">
        <v>101</v>
      </c>
      <c r="P1982" s="148" t="s">
        <v>700</v>
      </c>
    </row>
    <row r="1983" spans="1:25" ht="15.75" hidden="1" customHeight="1" x14ac:dyDescent="0.25">
      <c r="A1983" s="148" t="s">
        <v>26</v>
      </c>
      <c r="B1983" s="148" t="s">
        <v>27</v>
      </c>
      <c r="C1983" s="148" t="s">
        <v>28</v>
      </c>
      <c r="D1983" s="148" t="s">
        <v>86</v>
      </c>
      <c r="E1983" s="148" t="s">
        <v>30</v>
      </c>
      <c r="F1983" s="148" t="s">
        <v>3183</v>
      </c>
      <c r="G1983" s="148" t="s">
        <v>43</v>
      </c>
      <c r="H1983" s="148">
        <v>2014</v>
      </c>
      <c r="I1983" s="148">
        <v>8</v>
      </c>
      <c r="J1983" s="148" t="s">
        <v>792</v>
      </c>
      <c r="U1983" s="149" t="s">
        <v>3629</v>
      </c>
      <c r="V1983" s="148" t="s">
        <v>1245</v>
      </c>
      <c r="W1983" s="148" t="s">
        <v>34</v>
      </c>
      <c r="X1983" s="148" t="s">
        <v>1246</v>
      </c>
    </row>
    <row r="1984" spans="1:25" ht="13.5" hidden="1" customHeight="1" x14ac:dyDescent="0.25">
      <c r="A1984" s="148" t="s">
        <v>76</v>
      </c>
      <c r="B1984" s="148" t="s">
        <v>77</v>
      </c>
      <c r="C1984" s="148" t="s">
        <v>55</v>
      </c>
      <c r="D1984" s="148" t="s">
        <v>99</v>
      </c>
      <c r="E1984" s="148" t="s">
        <v>30</v>
      </c>
      <c r="F1984" s="148" t="s">
        <v>41</v>
      </c>
      <c r="G1984" s="148" t="s">
        <v>275</v>
      </c>
      <c r="H1984" s="148">
        <v>2014</v>
      </c>
      <c r="I1984" s="148">
        <v>8</v>
      </c>
      <c r="J1984" s="148" t="s">
        <v>640</v>
      </c>
      <c r="K1984" s="148" t="s">
        <v>851</v>
      </c>
      <c r="M1984" s="148" t="s">
        <v>132</v>
      </c>
      <c r="N1984" s="148">
        <v>8</v>
      </c>
      <c r="O1984" s="148" t="s">
        <v>101</v>
      </c>
      <c r="P1984" s="148" t="s">
        <v>1195</v>
      </c>
    </row>
    <row r="1985" spans="1:24" ht="15.75" hidden="1" customHeight="1" x14ac:dyDescent="0.25">
      <c r="A1985" s="148" t="s">
        <v>76</v>
      </c>
      <c r="B1985" s="148" t="s">
        <v>77</v>
      </c>
      <c r="C1985" s="148" t="s">
        <v>55</v>
      </c>
      <c r="D1985" s="148" t="s">
        <v>99</v>
      </c>
      <c r="E1985" s="148" t="s">
        <v>30</v>
      </c>
      <c r="F1985" s="148" t="s">
        <v>41</v>
      </c>
      <c r="G1985" s="148" t="s">
        <v>363</v>
      </c>
      <c r="H1985" s="148">
        <v>2014</v>
      </c>
      <c r="I1985" s="148">
        <v>8</v>
      </c>
      <c r="J1985" s="148" t="s">
        <v>640</v>
      </c>
      <c r="K1985" s="148" t="s">
        <v>851</v>
      </c>
      <c r="M1985" s="148" t="s">
        <v>132</v>
      </c>
      <c r="N1985" s="148">
        <v>8</v>
      </c>
      <c r="O1985" s="148" t="s">
        <v>101</v>
      </c>
      <c r="P1985" s="148" t="s">
        <v>1195</v>
      </c>
    </row>
    <row r="1986" spans="1:24" ht="15.75" hidden="1" customHeight="1" x14ac:dyDescent="0.25">
      <c r="A1986" s="148" t="s">
        <v>76</v>
      </c>
      <c r="B1986" s="148" t="s">
        <v>103</v>
      </c>
      <c r="C1986" s="148" t="s">
        <v>55</v>
      </c>
      <c r="D1986" s="148" t="s">
        <v>29</v>
      </c>
      <c r="E1986" s="148" t="s">
        <v>30</v>
      </c>
      <c r="F1986" s="148" t="s">
        <v>56</v>
      </c>
      <c r="G1986" s="148" t="s">
        <v>452</v>
      </c>
      <c r="H1986" s="148">
        <v>2014</v>
      </c>
      <c r="I1986" s="148">
        <v>9</v>
      </c>
      <c r="J1986" s="148" t="s">
        <v>118</v>
      </c>
      <c r="K1986" s="148" t="s">
        <v>1247</v>
      </c>
      <c r="M1986" s="148" t="s">
        <v>126</v>
      </c>
      <c r="N1986" s="148">
        <v>10</v>
      </c>
      <c r="O1986" s="148" t="s">
        <v>101</v>
      </c>
      <c r="P1986" s="148" t="s">
        <v>146</v>
      </c>
    </row>
    <row r="1987" spans="1:24" ht="15.75" hidden="1" customHeight="1" x14ac:dyDescent="0.25">
      <c r="A1987" s="148" t="s">
        <v>26</v>
      </c>
      <c r="B1987" s="148" t="s">
        <v>116</v>
      </c>
      <c r="C1987" s="148" t="s">
        <v>90</v>
      </c>
      <c r="D1987" s="148" t="s">
        <v>29</v>
      </c>
      <c r="E1987" s="148" t="s">
        <v>30</v>
      </c>
      <c r="F1987" s="148" t="s">
        <v>41</v>
      </c>
      <c r="G1987" s="148" t="s">
        <v>564</v>
      </c>
      <c r="H1987" s="148">
        <v>2014</v>
      </c>
      <c r="I1987" s="148">
        <v>9</v>
      </c>
      <c r="J1987" s="148" t="s">
        <v>792</v>
      </c>
      <c r="U1987" s="149" t="s">
        <v>3629</v>
      </c>
      <c r="V1987" s="148" t="s">
        <v>1245</v>
      </c>
      <c r="W1987" s="148" t="s">
        <v>34</v>
      </c>
      <c r="X1987" s="148" t="s">
        <v>1246</v>
      </c>
    </row>
    <row r="1988" spans="1:24" ht="15.75" hidden="1" customHeight="1" x14ac:dyDescent="0.25">
      <c r="A1988" s="148" t="s">
        <v>76</v>
      </c>
      <c r="B1988" s="148" t="s">
        <v>198</v>
      </c>
      <c r="C1988" s="148" t="s">
        <v>45</v>
      </c>
      <c r="D1988" s="148" t="s">
        <v>29</v>
      </c>
      <c r="E1988" s="148" t="s">
        <v>30</v>
      </c>
      <c r="F1988" s="148" t="s">
        <v>199</v>
      </c>
      <c r="G1988" s="148" t="s">
        <v>241</v>
      </c>
      <c r="H1988" s="148">
        <v>2014</v>
      </c>
      <c r="I1988" s="148">
        <v>9</v>
      </c>
      <c r="J1988" s="148" t="s">
        <v>118</v>
      </c>
      <c r="K1988" s="148" t="s">
        <v>708</v>
      </c>
      <c r="M1988" s="148" t="s">
        <v>82</v>
      </c>
      <c r="N1988" s="148">
        <v>8</v>
      </c>
      <c r="O1988" s="148" t="s">
        <v>101</v>
      </c>
      <c r="P1988" s="148" t="s">
        <v>146</v>
      </c>
    </row>
    <row r="1989" spans="1:24" ht="15.75" hidden="1" customHeight="1" x14ac:dyDescent="0.25">
      <c r="A1989" s="148" t="s">
        <v>76</v>
      </c>
      <c r="B1989" s="148" t="s">
        <v>103</v>
      </c>
      <c r="C1989" s="148" t="s">
        <v>55</v>
      </c>
      <c r="D1989" s="148" t="s">
        <v>478</v>
      </c>
      <c r="E1989" s="148" t="s">
        <v>95</v>
      </c>
      <c r="F1989" s="148" t="s">
        <v>56</v>
      </c>
      <c r="G1989" s="148" t="s">
        <v>104</v>
      </c>
      <c r="H1989" s="148">
        <v>2014</v>
      </c>
      <c r="I1989" s="148">
        <v>9</v>
      </c>
      <c r="J1989" s="148" t="s">
        <v>118</v>
      </c>
      <c r="K1989" s="148" t="s">
        <v>692</v>
      </c>
      <c r="M1989" s="148" t="s">
        <v>696</v>
      </c>
      <c r="N1989" s="148">
        <v>8</v>
      </c>
      <c r="O1989" s="148" t="s">
        <v>101</v>
      </c>
      <c r="P1989" s="148" t="s">
        <v>1248</v>
      </c>
    </row>
    <row r="1990" spans="1:24" ht="15.75" hidden="1" customHeight="1" x14ac:dyDescent="0.25">
      <c r="A1990" s="148" t="s">
        <v>76</v>
      </c>
      <c r="B1990" s="148" t="s">
        <v>36</v>
      </c>
      <c r="C1990" s="148" t="s">
        <v>28</v>
      </c>
      <c r="D1990" s="148" t="s">
        <v>478</v>
      </c>
      <c r="E1990" s="148" t="s">
        <v>30</v>
      </c>
      <c r="F1990" s="148" t="s">
        <v>3183</v>
      </c>
      <c r="G1990" s="148" t="s">
        <v>59</v>
      </c>
      <c r="H1990" s="148">
        <v>2014</v>
      </c>
      <c r="I1990" s="148">
        <v>9</v>
      </c>
      <c r="J1990" s="148" t="s">
        <v>118</v>
      </c>
      <c r="K1990" s="148" t="s">
        <v>502</v>
      </c>
      <c r="M1990" s="148" t="s">
        <v>126</v>
      </c>
      <c r="N1990" s="148">
        <v>10</v>
      </c>
      <c r="O1990" s="148" t="s">
        <v>101</v>
      </c>
      <c r="P1990" s="148" t="s">
        <v>146</v>
      </c>
    </row>
    <row r="1991" spans="1:24" ht="15.75" hidden="1" customHeight="1" x14ac:dyDescent="0.25">
      <c r="A1991" s="148" t="s">
        <v>26</v>
      </c>
      <c r="B1991" s="148" t="s">
        <v>116</v>
      </c>
      <c r="C1991" s="148" t="s">
        <v>90</v>
      </c>
      <c r="D1991" s="148" t="s">
        <v>29</v>
      </c>
      <c r="E1991" s="148" t="s">
        <v>30</v>
      </c>
      <c r="F1991" s="148" t="s">
        <v>41</v>
      </c>
      <c r="G1991" s="148" t="s">
        <v>421</v>
      </c>
      <c r="H1991" s="148">
        <v>2014</v>
      </c>
      <c r="I1991" s="148">
        <v>9</v>
      </c>
      <c r="J1991" s="148" t="s">
        <v>33</v>
      </c>
      <c r="U1991" s="149" t="s">
        <v>3629</v>
      </c>
      <c r="V1991" s="148" t="s">
        <v>1245</v>
      </c>
      <c r="W1991" s="148" t="s">
        <v>34</v>
      </c>
      <c r="X1991" s="148" t="s">
        <v>1246</v>
      </c>
    </row>
    <row r="1992" spans="1:24" ht="15.75" hidden="1" customHeight="1" x14ac:dyDescent="0.25">
      <c r="A1992" s="148" t="s">
        <v>26</v>
      </c>
      <c r="B1992" s="148" t="s">
        <v>116</v>
      </c>
      <c r="C1992" s="148" t="s">
        <v>90</v>
      </c>
      <c r="D1992" s="148" t="s">
        <v>29</v>
      </c>
      <c r="E1992" s="148" t="s">
        <v>40</v>
      </c>
      <c r="F1992" s="148" t="s">
        <v>41</v>
      </c>
      <c r="G1992" s="148" t="s">
        <v>473</v>
      </c>
      <c r="H1992" s="148">
        <v>2014</v>
      </c>
      <c r="I1992" s="148">
        <v>9</v>
      </c>
      <c r="J1992" s="148" t="s">
        <v>33</v>
      </c>
      <c r="U1992" s="149" t="s">
        <v>3629</v>
      </c>
      <c r="V1992" s="148" t="s">
        <v>1245</v>
      </c>
      <c r="W1992" s="148" t="s">
        <v>34</v>
      </c>
      <c r="X1992" s="148" t="s">
        <v>1246</v>
      </c>
    </row>
    <row r="1993" spans="1:24" ht="15.75" hidden="1" customHeight="1" x14ac:dyDescent="0.25">
      <c r="A1993" s="148" t="s">
        <v>76</v>
      </c>
      <c r="B1993" s="148" t="s">
        <v>77</v>
      </c>
      <c r="C1993" s="148" t="s">
        <v>55</v>
      </c>
      <c r="D1993" s="148" t="s">
        <v>478</v>
      </c>
      <c r="E1993" s="148" t="s">
        <v>30</v>
      </c>
      <c r="F1993" s="148" t="s">
        <v>41</v>
      </c>
      <c r="G1993" s="148" t="s">
        <v>159</v>
      </c>
      <c r="H1993" s="148">
        <v>2014</v>
      </c>
      <c r="I1993" s="148">
        <v>9</v>
      </c>
      <c r="J1993" s="148" t="s">
        <v>118</v>
      </c>
      <c r="K1993" s="148" t="s">
        <v>708</v>
      </c>
      <c r="M1993" s="148" t="s">
        <v>82</v>
      </c>
      <c r="N1993" s="148">
        <v>8</v>
      </c>
      <c r="O1993" s="148" t="s">
        <v>101</v>
      </c>
      <c r="P1993" s="148" t="s">
        <v>146</v>
      </c>
    </row>
    <row r="1994" spans="1:24" ht="15.75" hidden="1" customHeight="1" x14ac:dyDescent="0.25">
      <c r="A1994" s="148" t="s">
        <v>76</v>
      </c>
      <c r="B1994" s="148" t="s">
        <v>36</v>
      </c>
      <c r="C1994" s="148" t="s">
        <v>28</v>
      </c>
      <c r="D1994" s="148" t="s">
        <v>342</v>
      </c>
      <c r="E1994" s="148" t="s">
        <v>30</v>
      </c>
      <c r="F1994" s="148" t="s">
        <v>3183</v>
      </c>
      <c r="G1994" s="148" t="s">
        <v>242</v>
      </c>
      <c r="H1994" s="148">
        <v>2014</v>
      </c>
      <c r="I1994" s="148">
        <v>9</v>
      </c>
      <c r="J1994" s="148" t="s">
        <v>118</v>
      </c>
      <c r="K1994" s="148" t="s">
        <v>708</v>
      </c>
      <c r="M1994" s="148" t="s">
        <v>82</v>
      </c>
      <c r="N1994" s="148">
        <v>8</v>
      </c>
      <c r="O1994" s="148" t="s">
        <v>101</v>
      </c>
      <c r="P1994" s="148" t="s">
        <v>435</v>
      </c>
    </row>
    <row r="1995" spans="1:24" ht="15.75" hidden="1" customHeight="1" x14ac:dyDescent="0.25">
      <c r="A1995" s="148" t="s">
        <v>26</v>
      </c>
      <c r="B1995" s="148" t="s">
        <v>27</v>
      </c>
      <c r="C1995" s="148" t="s">
        <v>28</v>
      </c>
      <c r="D1995" s="148" t="s">
        <v>99</v>
      </c>
      <c r="E1995" s="148" t="s">
        <v>40</v>
      </c>
      <c r="F1995" s="148" t="s">
        <v>41</v>
      </c>
      <c r="G1995" s="148" t="s">
        <v>42</v>
      </c>
      <c r="H1995" s="148">
        <v>2014</v>
      </c>
      <c r="I1995" s="148">
        <v>9</v>
      </c>
      <c r="J1995" s="148" t="s">
        <v>33</v>
      </c>
      <c r="U1995" s="149" t="s">
        <v>3629</v>
      </c>
      <c r="V1995" s="148" t="s">
        <v>1245</v>
      </c>
      <c r="W1995" s="148" t="s">
        <v>34</v>
      </c>
      <c r="X1995" s="148" t="s">
        <v>1246</v>
      </c>
    </row>
    <row r="1996" spans="1:24" ht="15.75" hidden="1" customHeight="1" x14ac:dyDescent="0.25">
      <c r="A1996" s="148" t="s">
        <v>76</v>
      </c>
      <c r="B1996" s="148" t="s">
        <v>103</v>
      </c>
      <c r="C1996" s="148" t="s">
        <v>55</v>
      </c>
      <c r="D1996" s="148" t="s">
        <v>99</v>
      </c>
      <c r="E1996" s="148" t="s">
        <v>95</v>
      </c>
      <c r="F1996" s="148" t="s">
        <v>56</v>
      </c>
      <c r="G1996" s="148" t="s">
        <v>270</v>
      </c>
      <c r="H1996" s="148">
        <v>2014</v>
      </c>
      <c r="I1996" s="148">
        <v>9</v>
      </c>
      <c r="J1996" s="148" t="s">
        <v>150</v>
      </c>
      <c r="K1996" s="148" t="s">
        <v>708</v>
      </c>
      <c r="M1996" s="148" t="s">
        <v>82</v>
      </c>
      <c r="N1996" s="148">
        <v>8</v>
      </c>
      <c r="O1996" s="148" t="s">
        <v>83</v>
      </c>
    </row>
    <row r="1997" spans="1:24" ht="15.75" hidden="1" customHeight="1" x14ac:dyDescent="0.25">
      <c r="A1997" s="148" t="s">
        <v>76</v>
      </c>
      <c r="B1997" s="148" t="s">
        <v>103</v>
      </c>
      <c r="C1997" s="148" t="s">
        <v>55</v>
      </c>
      <c r="D1997" s="148" t="s">
        <v>490</v>
      </c>
      <c r="E1997" s="148" t="s">
        <v>95</v>
      </c>
      <c r="F1997" s="148" t="s">
        <v>56</v>
      </c>
      <c r="G1997" s="148" t="s">
        <v>168</v>
      </c>
      <c r="H1997" s="148">
        <v>2014</v>
      </c>
      <c r="I1997" s="148">
        <v>9</v>
      </c>
      <c r="J1997" s="148" t="s">
        <v>118</v>
      </c>
      <c r="K1997" s="148" t="s">
        <v>1247</v>
      </c>
      <c r="M1997" s="148" t="s">
        <v>126</v>
      </c>
      <c r="N1997" s="148">
        <v>10</v>
      </c>
      <c r="O1997" s="148" t="s">
        <v>101</v>
      </c>
      <c r="P1997" s="148" t="s">
        <v>146</v>
      </c>
    </row>
    <row r="1998" spans="1:24" ht="15.75" customHeight="1" x14ac:dyDescent="0.25">
      <c r="A1998" s="148" t="s">
        <v>76</v>
      </c>
      <c r="B1998" s="148" t="s">
        <v>36</v>
      </c>
      <c r="C1998" s="148" t="s">
        <v>28</v>
      </c>
      <c r="D1998" s="148" t="s">
        <v>29</v>
      </c>
      <c r="E1998" s="148" t="s">
        <v>30</v>
      </c>
      <c r="F1998" s="148" t="s">
        <v>3183</v>
      </c>
      <c r="G1998" s="148" t="s">
        <v>194</v>
      </c>
      <c r="H1998" s="148">
        <v>2014</v>
      </c>
      <c r="I1998" s="148">
        <v>9</v>
      </c>
      <c r="J1998" s="148" t="s">
        <v>118</v>
      </c>
      <c r="K1998" s="148" t="s">
        <v>1096</v>
      </c>
      <c r="M1998" s="148" t="s">
        <v>120</v>
      </c>
      <c r="N1998" s="148">
        <v>6</v>
      </c>
      <c r="O1998" s="148" t="s">
        <v>101</v>
      </c>
    </row>
    <row r="1999" spans="1:24" ht="15.75" hidden="1" customHeight="1" x14ac:dyDescent="0.25">
      <c r="A1999" s="148" t="s">
        <v>26</v>
      </c>
      <c r="B1999" s="148" t="s">
        <v>27</v>
      </c>
      <c r="C1999" s="148" t="s">
        <v>28</v>
      </c>
      <c r="D1999" s="148" t="s">
        <v>86</v>
      </c>
      <c r="E1999" s="148" t="s">
        <v>30</v>
      </c>
      <c r="F1999" s="148" t="s">
        <v>3183</v>
      </c>
      <c r="G1999" s="148" t="s">
        <v>43</v>
      </c>
      <c r="H1999" s="148">
        <v>2014</v>
      </c>
      <c r="I1999" s="148">
        <v>9</v>
      </c>
      <c r="J1999" s="148" t="s">
        <v>792</v>
      </c>
      <c r="U1999" s="149" t="s">
        <v>3629</v>
      </c>
      <c r="V1999" s="148" t="s">
        <v>1245</v>
      </c>
      <c r="W1999" s="148" t="s">
        <v>34</v>
      </c>
      <c r="X1999" s="148" t="s">
        <v>1246</v>
      </c>
    </row>
    <row r="2000" spans="1:24" ht="15.75" hidden="1" customHeight="1" x14ac:dyDescent="0.25">
      <c r="A2000" s="148" t="s">
        <v>26</v>
      </c>
      <c r="B2000" s="148" t="s">
        <v>27</v>
      </c>
      <c r="C2000" s="148" t="s">
        <v>28</v>
      </c>
      <c r="D2000" s="148" t="s">
        <v>86</v>
      </c>
      <c r="E2000" s="148" t="s">
        <v>30</v>
      </c>
      <c r="F2000" s="148" t="s">
        <v>3183</v>
      </c>
      <c r="G2000" s="148" t="s">
        <v>43</v>
      </c>
      <c r="H2000" s="148">
        <v>2014</v>
      </c>
      <c r="I2000" s="148">
        <v>9</v>
      </c>
      <c r="J2000" s="148" t="s">
        <v>33</v>
      </c>
      <c r="U2000" s="149" t="s">
        <v>112</v>
      </c>
      <c r="V2000" s="148" t="s">
        <v>3677</v>
      </c>
      <c r="W2000" s="148" t="s">
        <v>87</v>
      </c>
      <c r="X2000" s="148" t="s">
        <v>1085</v>
      </c>
    </row>
    <row r="2001" spans="1:26" ht="15.75" hidden="1" customHeight="1" x14ac:dyDescent="0.25">
      <c r="A2001" s="148" t="s">
        <v>76</v>
      </c>
      <c r="B2001" s="148" t="s">
        <v>103</v>
      </c>
      <c r="C2001" s="148" t="s">
        <v>55</v>
      </c>
      <c r="D2001" s="148" t="s">
        <v>29</v>
      </c>
      <c r="E2001" s="148" t="s">
        <v>30</v>
      </c>
      <c r="F2001" s="148" t="s">
        <v>56</v>
      </c>
      <c r="G2001" s="148" t="s">
        <v>381</v>
      </c>
      <c r="H2001" s="148">
        <v>2014</v>
      </c>
      <c r="I2001" s="148">
        <v>9</v>
      </c>
      <c r="J2001" s="148" t="s">
        <v>118</v>
      </c>
      <c r="K2001" s="148" t="s">
        <v>708</v>
      </c>
      <c r="M2001" s="148" t="s">
        <v>82</v>
      </c>
      <c r="N2001" s="148">
        <v>8</v>
      </c>
      <c r="O2001" s="148" t="s">
        <v>101</v>
      </c>
      <c r="P2001" s="148" t="s">
        <v>146</v>
      </c>
    </row>
    <row r="2002" spans="1:26" ht="15.75" hidden="1" customHeight="1" x14ac:dyDescent="0.25">
      <c r="A2002" s="148" t="s">
        <v>26</v>
      </c>
      <c r="B2002" s="148" t="s">
        <v>116</v>
      </c>
      <c r="C2002" s="148" t="s">
        <v>90</v>
      </c>
      <c r="D2002" s="148" t="s">
        <v>99</v>
      </c>
      <c r="E2002" s="148" t="s">
        <v>30</v>
      </c>
      <c r="F2002" s="148" t="s">
        <v>41</v>
      </c>
      <c r="G2002" s="148" t="s">
        <v>503</v>
      </c>
      <c r="H2002" s="148">
        <v>2014</v>
      </c>
      <c r="I2002" s="148">
        <v>9</v>
      </c>
      <c r="J2002" s="148" t="s">
        <v>33</v>
      </c>
      <c r="U2002" s="149" t="s">
        <v>3629</v>
      </c>
      <c r="V2002" s="148" t="s">
        <v>1245</v>
      </c>
      <c r="W2002" s="148" t="s">
        <v>34</v>
      </c>
      <c r="X2002" s="148" t="s">
        <v>1246</v>
      </c>
    </row>
    <row r="2003" spans="1:26" ht="13.5" hidden="1" customHeight="1" x14ac:dyDescent="0.25">
      <c r="A2003" s="148" t="s">
        <v>76</v>
      </c>
      <c r="B2003" s="148" t="s">
        <v>44</v>
      </c>
      <c r="C2003" s="148" t="s">
        <v>45</v>
      </c>
      <c r="D2003" s="148" t="s">
        <v>29</v>
      </c>
      <c r="E2003" s="148" t="s">
        <v>46</v>
      </c>
      <c r="F2003" s="148" t="s">
        <v>47</v>
      </c>
      <c r="G2003" s="148" t="s">
        <v>48</v>
      </c>
      <c r="H2003" s="148">
        <v>2014</v>
      </c>
      <c r="I2003" s="148">
        <v>9</v>
      </c>
      <c r="J2003" s="148" t="s">
        <v>150</v>
      </c>
      <c r="K2003" s="148" t="s">
        <v>1249</v>
      </c>
      <c r="M2003" s="148" t="s">
        <v>1250</v>
      </c>
      <c r="N2003" s="148">
        <v>5</v>
      </c>
      <c r="O2003" s="148" t="s">
        <v>83</v>
      </c>
      <c r="P2003" s="148" t="s">
        <v>1251</v>
      </c>
      <c r="Y2003" s="150" t="s">
        <v>1181</v>
      </c>
    </row>
    <row r="2004" spans="1:26" ht="15.75" hidden="1" customHeight="1" x14ac:dyDescent="0.25">
      <c r="A2004" s="148" t="s">
        <v>76</v>
      </c>
      <c r="B2004" s="148" t="s">
        <v>71</v>
      </c>
      <c r="C2004" s="148" t="s">
        <v>45</v>
      </c>
      <c r="D2004" s="148" t="s">
        <v>478</v>
      </c>
      <c r="E2004" s="148" t="s">
        <v>72</v>
      </c>
      <c r="F2004" s="148" t="s">
        <v>3183</v>
      </c>
      <c r="G2004" s="148" t="s">
        <v>73</v>
      </c>
      <c r="H2004" s="148">
        <v>2014</v>
      </c>
      <c r="I2004" s="148">
        <v>10</v>
      </c>
      <c r="J2004" s="148" t="s">
        <v>118</v>
      </c>
      <c r="K2004" s="148" t="s">
        <v>502</v>
      </c>
      <c r="M2004" s="148" t="s">
        <v>126</v>
      </c>
      <c r="N2004" s="148">
        <v>10</v>
      </c>
      <c r="O2004" s="148" t="s">
        <v>101</v>
      </c>
      <c r="P2004" s="148" t="s">
        <v>146</v>
      </c>
      <c r="Z2004" s="148" t="s">
        <v>1252</v>
      </c>
    </row>
    <row r="2005" spans="1:26" ht="15.75" hidden="1" customHeight="1" x14ac:dyDescent="0.25">
      <c r="A2005" s="148" t="s">
        <v>307</v>
      </c>
      <c r="B2005" s="148" t="s">
        <v>71</v>
      </c>
      <c r="C2005" s="148" t="s">
        <v>45</v>
      </c>
      <c r="D2005" s="148" t="s">
        <v>478</v>
      </c>
      <c r="E2005" s="148" t="s">
        <v>72</v>
      </c>
      <c r="F2005" s="148" t="s">
        <v>3183</v>
      </c>
      <c r="G2005" s="148" t="s">
        <v>73</v>
      </c>
      <c r="H2005" s="148">
        <v>2014</v>
      </c>
      <c r="I2005" s="148">
        <v>10</v>
      </c>
      <c r="J2005" s="148" t="s">
        <v>399</v>
      </c>
      <c r="Q2005" s="148" t="s">
        <v>426</v>
      </c>
      <c r="R2005" s="148" t="s">
        <v>1253</v>
      </c>
      <c r="S2005" s="148" t="s">
        <v>311</v>
      </c>
      <c r="T2005" s="148" t="s">
        <v>1254</v>
      </c>
      <c r="Y2005" s="150" t="s">
        <v>1255</v>
      </c>
      <c r="Z2005" s="148" t="s">
        <v>1252</v>
      </c>
    </row>
    <row r="2006" spans="1:26" ht="15.75" hidden="1" customHeight="1" x14ac:dyDescent="0.25">
      <c r="A2006" s="148" t="s">
        <v>76</v>
      </c>
      <c r="B2006" s="148" t="s">
        <v>27</v>
      </c>
      <c r="C2006" s="148" t="s">
        <v>28</v>
      </c>
      <c r="D2006" s="148" t="s">
        <v>158</v>
      </c>
      <c r="E2006" s="148" t="s">
        <v>30</v>
      </c>
      <c r="F2006" s="148" t="s">
        <v>3183</v>
      </c>
      <c r="G2006" s="148" t="s">
        <v>32</v>
      </c>
      <c r="H2006" s="148">
        <v>2014</v>
      </c>
      <c r="I2006" s="148">
        <v>10</v>
      </c>
      <c r="J2006" s="148" t="s">
        <v>118</v>
      </c>
      <c r="K2006" s="148" t="s">
        <v>520</v>
      </c>
      <c r="M2006" s="148" t="s">
        <v>701</v>
      </c>
      <c r="N2006" s="148">
        <v>8</v>
      </c>
      <c r="O2006" s="148" t="s">
        <v>101</v>
      </c>
      <c r="P2006" s="148" t="s">
        <v>1256</v>
      </c>
    </row>
    <row r="2007" spans="1:26" ht="15.75" hidden="1" customHeight="1" x14ac:dyDescent="0.25">
      <c r="A2007" s="148" t="s">
        <v>76</v>
      </c>
      <c r="B2007" s="148" t="s">
        <v>103</v>
      </c>
      <c r="C2007" s="148" t="s">
        <v>55</v>
      </c>
      <c r="D2007" s="148" t="s">
        <v>158</v>
      </c>
      <c r="E2007" s="148" t="s">
        <v>30</v>
      </c>
      <c r="F2007" s="148" t="s">
        <v>56</v>
      </c>
      <c r="G2007" s="148" t="s">
        <v>1027</v>
      </c>
      <c r="H2007" s="148">
        <v>2014</v>
      </c>
      <c r="I2007" s="148">
        <v>10</v>
      </c>
      <c r="J2007" s="148" t="s">
        <v>118</v>
      </c>
      <c r="K2007" s="148" t="s">
        <v>708</v>
      </c>
      <c r="M2007" s="148" t="s">
        <v>82</v>
      </c>
      <c r="N2007" s="148">
        <v>8</v>
      </c>
      <c r="O2007" s="148" t="s">
        <v>101</v>
      </c>
      <c r="P2007" s="148" t="s">
        <v>1257</v>
      </c>
    </row>
    <row r="2008" spans="1:26" ht="15.75" hidden="1" customHeight="1" x14ac:dyDescent="0.25">
      <c r="A2008" s="148" t="s">
        <v>76</v>
      </c>
      <c r="B2008" s="148" t="s">
        <v>103</v>
      </c>
      <c r="C2008" s="148" t="s">
        <v>55</v>
      </c>
      <c r="D2008" s="148" t="s">
        <v>29</v>
      </c>
      <c r="E2008" s="148" t="s">
        <v>30</v>
      </c>
      <c r="F2008" s="148" t="s">
        <v>56</v>
      </c>
      <c r="G2008" s="148" t="s">
        <v>405</v>
      </c>
      <c r="H2008" s="148">
        <v>2014</v>
      </c>
      <c r="I2008" s="148">
        <v>10</v>
      </c>
      <c r="J2008" s="148" t="s">
        <v>118</v>
      </c>
      <c r="K2008" s="148" t="s">
        <v>579</v>
      </c>
      <c r="M2008" s="148" t="s">
        <v>126</v>
      </c>
      <c r="N2008" s="148">
        <v>10</v>
      </c>
      <c r="O2008" s="148" t="s">
        <v>101</v>
      </c>
      <c r="P2008" s="148" t="s">
        <v>146</v>
      </c>
    </row>
    <row r="2009" spans="1:26" ht="15.75" hidden="1" customHeight="1" x14ac:dyDescent="0.25">
      <c r="A2009" s="148" t="s">
        <v>76</v>
      </c>
      <c r="B2009" s="148" t="s">
        <v>103</v>
      </c>
      <c r="C2009" s="148" t="s">
        <v>55</v>
      </c>
      <c r="D2009" s="148" t="s">
        <v>478</v>
      </c>
      <c r="E2009" s="148" t="s">
        <v>95</v>
      </c>
      <c r="F2009" s="148" t="s">
        <v>56</v>
      </c>
      <c r="G2009" s="148" t="s">
        <v>111</v>
      </c>
      <c r="H2009" s="148">
        <v>2014</v>
      </c>
      <c r="I2009" s="148">
        <v>10</v>
      </c>
      <c r="J2009" s="148" t="s">
        <v>118</v>
      </c>
      <c r="K2009" s="148" t="s">
        <v>502</v>
      </c>
      <c r="M2009" s="148" t="s">
        <v>126</v>
      </c>
      <c r="N2009" s="148">
        <v>10</v>
      </c>
      <c r="O2009" s="148" t="s">
        <v>101</v>
      </c>
      <c r="P2009" s="148" t="s">
        <v>365</v>
      </c>
    </row>
    <row r="2010" spans="1:26" ht="15.75" hidden="1" customHeight="1" x14ac:dyDescent="0.25">
      <c r="A2010" s="148" t="s">
        <v>307</v>
      </c>
      <c r="B2010" s="148" t="s">
        <v>36</v>
      </c>
      <c r="C2010" s="148" t="s">
        <v>28</v>
      </c>
      <c r="D2010" s="148" t="s">
        <v>478</v>
      </c>
      <c r="E2010" s="148" t="s">
        <v>30</v>
      </c>
      <c r="F2010" s="148" t="s">
        <v>3183</v>
      </c>
      <c r="G2010" s="148" t="s">
        <v>59</v>
      </c>
      <c r="H2010" s="148">
        <v>2014</v>
      </c>
      <c r="I2010" s="148">
        <v>10</v>
      </c>
      <c r="J2010" s="148" t="s">
        <v>308</v>
      </c>
      <c r="Q2010" s="148" t="s">
        <v>309</v>
      </c>
      <c r="R2010" s="148" t="s">
        <v>1258</v>
      </c>
      <c r="S2010" s="148" t="s">
        <v>885</v>
      </c>
      <c r="T2010" s="148" t="s">
        <v>951</v>
      </c>
    </row>
    <row r="2011" spans="1:26" ht="15.75" hidden="1" customHeight="1" x14ac:dyDescent="0.25">
      <c r="A2011" s="148" t="s">
        <v>76</v>
      </c>
      <c r="B2011" s="148" t="s">
        <v>116</v>
      </c>
      <c r="C2011" s="148" t="s">
        <v>90</v>
      </c>
      <c r="D2011" s="148" t="s">
        <v>29</v>
      </c>
      <c r="E2011" s="148" t="s">
        <v>30</v>
      </c>
      <c r="F2011" s="148" t="s">
        <v>41</v>
      </c>
      <c r="G2011" s="148" t="s">
        <v>421</v>
      </c>
      <c r="H2011" s="148">
        <v>2014</v>
      </c>
      <c r="I2011" s="148">
        <v>10</v>
      </c>
      <c r="J2011" s="148" t="s">
        <v>118</v>
      </c>
      <c r="K2011" s="148" t="s">
        <v>708</v>
      </c>
      <c r="M2011" s="148" t="s">
        <v>82</v>
      </c>
      <c r="N2011" s="148">
        <v>8</v>
      </c>
      <c r="O2011" s="148" t="s">
        <v>101</v>
      </c>
      <c r="P2011" s="148" t="s">
        <v>562</v>
      </c>
    </row>
    <row r="2012" spans="1:26" ht="15.75" hidden="1" customHeight="1" x14ac:dyDescent="0.25">
      <c r="A2012" s="148" t="s">
        <v>76</v>
      </c>
      <c r="B2012" s="148" t="s">
        <v>62</v>
      </c>
      <c r="C2012" s="148" t="s">
        <v>28</v>
      </c>
      <c r="D2012" s="148" t="s">
        <v>478</v>
      </c>
      <c r="E2012" s="148" t="s">
        <v>30</v>
      </c>
      <c r="F2012" s="148" t="s">
        <v>3183</v>
      </c>
      <c r="G2012" s="148" t="s">
        <v>244</v>
      </c>
      <c r="H2012" s="148">
        <v>2014</v>
      </c>
      <c r="I2012" s="148">
        <v>10</v>
      </c>
      <c r="J2012" s="148" t="s">
        <v>118</v>
      </c>
      <c r="K2012" s="148" t="s">
        <v>874</v>
      </c>
      <c r="M2012" s="148" t="s">
        <v>120</v>
      </c>
      <c r="N2012" s="148">
        <v>6</v>
      </c>
      <c r="O2012" s="148" t="s">
        <v>101</v>
      </c>
      <c r="P2012" s="148" t="s">
        <v>1259</v>
      </c>
    </row>
    <row r="2013" spans="1:26" ht="13.5" hidden="1" customHeight="1" x14ac:dyDescent="0.25">
      <c r="A2013" s="148" t="s">
        <v>26</v>
      </c>
      <c r="B2013" s="148" t="s">
        <v>116</v>
      </c>
      <c r="C2013" s="148" t="s">
        <v>90</v>
      </c>
      <c r="D2013" s="148" t="s">
        <v>29</v>
      </c>
      <c r="E2013" s="148" t="s">
        <v>30</v>
      </c>
      <c r="F2013" s="148" t="s">
        <v>41</v>
      </c>
      <c r="G2013" s="148" t="s">
        <v>784</v>
      </c>
      <c r="H2013" s="148">
        <v>2014</v>
      </c>
      <c r="I2013" s="148">
        <v>10</v>
      </c>
      <c r="J2013" s="148" t="s">
        <v>792</v>
      </c>
      <c r="U2013" s="149" t="s">
        <v>3629</v>
      </c>
      <c r="V2013" s="148" t="s">
        <v>1245</v>
      </c>
      <c r="W2013" s="148" t="s">
        <v>34</v>
      </c>
      <c r="X2013" s="148" t="s">
        <v>1246</v>
      </c>
    </row>
    <row r="2014" spans="1:26" ht="15.75" hidden="1" customHeight="1" x14ac:dyDescent="0.25">
      <c r="A2014" s="148" t="s">
        <v>307</v>
      </c>
      <c r="B2014" s="148" t="s">
        <v>54</v>
      </c>
      <c r="C2014" s="148" t="s">
        <v>55</v>
      </c>
      <c r="D2014" s="148" t="s">
        <v>1082</v>
      </c>
      <c r="E2014" s="148" t="s">
        <v>30</v>
      </c>
      <c r="F2014" s="148" t="s">
        <v>56</v>
      </c>
      <c r="G2014" s="148" t="s">
        <v>54</v>
      </c>
      <c r="H2014" s="148">
        <v>2014</v>
      </c>
      <c r="I2014" s="148">
        <v>10</v>
      </c>
      <c r="J2014" s="148" t="s">
        <v>308</v>
      </c>
      <c r="Q2014" s="148" t="s">
        <v>309</v>
      </c>
      <c r="R2014" s="148" t="s">
        <v>1260</v>
      </c>
      <c r="S2014" s="148" t="s">
        <v>660</v>
      </c>
      <c r="T2014" s="148" t="s">
        <v>1261</v>
      </c>
      <c r="Y2014" s="150" t="s">
        <v>1262</v>
      </c>
    </row>
    <row r="2015" spans="1:26" ht="13.5" customHeight="1" x14ac:dyDescent="0.25">
      <c r="A2015" s="148" t="s">
        <v>76</v>
      </c>
      <c r="B2015" s="148" t="s">
        <v>36</v>
      </c>
      <c r="C2015" s="148" t="s">
        <v>28</v>
      </c>
      <c r="D2015" s="148" t="s">
        <v>29</v>
      </c>
      <c r="E2015" s="148" t="s">
        <v>30</v>
      </c>
      <c r="F2015" s="148" t="s">
        <v>3183</v>
      </c>
      <c r="G2015" s="148" t="s">
        <v>194</v>
      </c>
      <c r="H2015" s="148">
        <v>2014</v>
      </c>
      <c r="I2015" s="148">
        <v>10</v>
      </c>
      <c r="J2015" s="148" t="s">
        <v>118</v>
      </c>
      <c r="K2015" s="148" t="s">
        <v>502</v>
      </c>
      <c r="M2015" s="148" t="s">
        <v>126</v>
      </c>
      <c r="N2015" s="148">
        <v>10</v>
      </c>
      <c r="O2015" s="148" t="s">
        <v>101</v>
      </c>
      <c r="P2015" s="148" t="s">
        <v>1263</v>
      </c>
    </row>
    <row r="2016" spans="1:26" ht="13.5" hidden="1" customHeight="1" x14ac:dyDescent="0.25">
      <c r="A2016" s="148" t="s">
        <v>26</v>
      </c>
      <c r="B2016" s="148" t="s">
        <v>36</v>
      </c>
      <c r="C2016" s="148" t="s">
        <v>28</v>
      </c>
      <c r="D2016" s="148" t="s">
        <v>29</v>
      </c>
      <c r="E2016" s="148" t="s">
        <v>30</v>
      </c>
      <c r="F2016" s="148" t="s">
        <v>3183</v>
      </c>
      <c r="G2016" s="148" t="s">
        <v>194</v>
      </c>
      <c r="H2016" s="148">
        <v>2014</v>
      </c>
      <c r="I2016" s="148">
        <v>10</v>
      </c>
      <c r="J2016" s="148" t="s">
        <v>983</v>
      </c>
      <c r="U2016" s="149" t="s">
        <v>3629</v>
      </c>
      <c r="V2016" s="148" t="s">
        <v>1245</v>
      </c>
      <c r="W2016" s="148" t="s">
        <v>34</v>
      </c>
      <c r="X2016" s="148" t="s">
        <v>1246</v>
      </c>
    </row>
    <row r="2017" spans="1:26" ht="15.75" hidden="1" customHeight="1" x14ac:dyDescent="0.25">
      <c r="A2017" s="148" t="s">
        <v>26</v>
      </c>
      <c r="B2017" s="148" t="s">
        <v>27</v>
      </c>
      <c r="C2017" s="148" t="s">
        <v>28</v>
      </c>
      <c r="D2017" s="148" t="s">
        <v>86</v>
      </c>
      <c r="E2017" s="148" t="s">
        <v>30</v>
      </c>
      <c r="F2017" s="148" t="s">
        <v>3183</v>
      </c>
      <c r="G2017" s="148" t="s">
        <v>43</v>
      </c>
      <c r="H2017" s="148">
        <v>2014</v>
      </c>
      <c r="I2017" s="148">
        <v>10</v>
      </c>
      <c r="J2017" s="148" t="s">
        <v>792</v>
      </c>
      <c r="U2017" s="149" t="s">
        <v>3629</v>
      </c>
      <c r="V2017" s="148" t="s">
        <v>1245</v>
      </c>
      <c r="W2017" s="148" t="s">
        <v>34</v>
      </c>
      <c r="X2017" s="148" t="s">
        <v>1246</v>
      </c>
    </row>
    <row r="2018" spans="1:26" ht="15.75" hidden="1" customHeight="1" x14ac:dyDescent="0.25">
      <c r="A2018" s="148" t="s">
        <v>76</v>
      </c>
      <c r="B2018" s="148" t="s">
        <v>89</v>
      </c>
      <c r="C2018" s="148" t="s">
        <v>90</v>
      </c>
      <c r="D2018" s="148" t="s">
        <v>29</v>
      </c>
      <c r="E2018" s="148" t="s">
        <v>30</v>
      </c>
      <c r="F2018" s="148" t="s">
        <v>91</v>
      </c>
      <c r="G2018" s="148" t="s">
        <v>369</v>
      </c>
      <c r="H2018" s="148">
        <v>2014</v>
      </c>
      <c r="I2018" s="148">
        <v>10</v>
      </c>
      <c r="J2018" s="148" t="s">
        <v>118</v>
      </c>
      <c r="K2018" s="148" t="s">
        <v>579</v>
      </c>
      <c r="M2018" s="148" t="s">
        <v>126</v>
      </c>
      <c r="N2018" s="148">
        <v>10</v>
      </c>
      <c r="O2018" s="148" t="s">
        <v>101</v>
      </c>
      <c r="P2018" s="148" t="s">
        <v>146</v>
      </c>
    </row>
    <row r="2019" spans="1:26" ht="15.75" hidden="1" customHeight="1" x14ac:dyDescent="0.25">
      <c r="A2019" s="148" t="s">
        <v>307</v>
      </c>
      <c r="B2019" s="148" t="s">
        <v>89</v>
      </c>
      <c r="C2019" s="148" t="s">
        <v>90</v>
      </c>
      <c r="D2019" s="148" t="s">
        <v>158</v>
      </c>
      <c r="E2019" s="148" t="s">
        <v>30</v>
      </c>
      <c r="F2019" s="148" t="s">
        <v>91</v>
      </c>
      <c r="G2019" s="148" t="s">
        <v>93</v>
      </c>
      <c r="H2019" s="148">
        <v>2014</v>
      </c>
      <c r="I2019" s="148">
        <v>10</v>
      </c>
      <c r="J2019" s="148" t="s">
        <v>308</v>
      </c>
      <c r="Q2019" s="148" t="s">
        <v>309</v>
      </c>
      <c r="R2019" s="148" t="s">
        <v>1264</v>
      </c>
      <c r="S2019" s="148" t="s">
        <v>427</v>
      </c>
      <c r="T2019" s="148" t="s">
        <v>1265</v>
      </c>
      <c r="Y2019" s="150" t="s">
        <v>1266</v>
      </c>
    </row>
    <row r="2020" spans="1:26" ht="15.75" hidden="1" customHeight="1" x14ac:dyDescent="0.25">
      <c r="A2020" s="148" t="s">
        <v>76</v>
      </c>
      <c r="B2020" s="148" t="s">
        <v>198</v>
      </c>
      <c r="C2020" s="148" t="s">
        <v>45</v>
      </c>
      <c r="D2020" s="148" t="s">
        <v>158</v>
      </c>
      <c r="E2020" s="148" t="s">
        <v>30</v>
      </c>
      <c r="F2020" s="148" t="s">
        <v>199</v>
      </c>
      <c r="G2020" s="148" t="s">
        <v>370</v>
      </c>
      <c r="H2020" s="148">
        <v>2014</v>
      </c>
      <c r="I2020" s="148">
        <v>10</v>
      </c>
      <c r="J2020" s="148" t="s">
        <v>150</v>
      </c>
      <c r="K2020" s="148" t="s">
        <v>1096</v>
      </c>
      <c r="M2020" s="148" t="s">
        <v>120</v>
      </c>
      <c r="N2020" s="148">
        <v>6</v>
      </c>
      <c r="O2020" s="148" t="s">
        <v>83</v>
      </c>
    </row>
    <row r="2021" spans="1:26" ht="13.5" hidden="1" customHeight="1" x14ac:dyDescent="0.25">
      <c r="A2021" s="148" t="s">
        <v>76</v>
      </c>
      <c r="B2021" s="148" t="s">
        <v>44</v>
      </c>
      <c r="C2021" s="148" t="s">
        <v>45</v>
      </c>
      <c r="D2021" s="148" t="s">
        <v>29</v>
      </c>
      <c r="E2021" s="148" t="s">
        <v>46</v>
      </c>
      <c r="F2021" s="148" t="s">
        <v>47</v>
      </c>
      <c r="G2021" s="148" t="s">
        <v>48</v>
      </c>
      <c r="H2021" s="148">
        <v>2014</v>
      </c>
      <c r="I2021" s="148">
        <v>10</v>
      </c>
      <c r="J2021" s="148" t="s">
        <v>150</v>
      </c>
      <c r="K2021" s="148" t="s">
        <v>1096</v>
      </c>
      <c r="M2021" s="148" t="s">
        <v>120</v>
      </c>
      <c r="N2021" s="148">
        <v>6</v>
      </c>
      <c r="O2021" s="148" t="s">
        <v>83</v>
      </c>
      <c r="P2021" s="148" t="s">
        <v>1267</v>
      </c>
      <c r="Y2021" s="150" t="s">
        <v>1181</v>
      </c>
      <c r="Z2021" s="148" t="s">
        <v>1268</v>
      </c>
    </row>
    <row r="2022" spans="1:26" ht="15.75" hidden="1" customHeight="1" x14ac:dyDescent="0.25">
      <c r="A2022" s="148" t="s">
        <v>76</v>
      </c>
      <c r="B2022" s="148" t="s">
        <v>36</v>
      </c>
      <c r="C2022" s="148" t="s">
        <v>28</v>
      </c>
      <c r="D2022" s="148" t="s">
        <v>342</v>
      </c>
      <c r="E2022" s="148" t="s">
        <v>30</v>
      </c>
      <c r="F2022" s="148" t="s">
        <v>3183</v>
      </c>
      <c r="G2022" s="148" t="s">
        <v>114</v>
      </c>
      <c r="H2022" s="148">
        <v>2014</v>
      </c>
      <c r="I2022" s="148">
        <v>10</v>
      </c>
      <c r="J2022" s="148" t="s">
        <v>118</v>
      </c>
      <c r="K2022" s="148" t="s">
        <v>708</v>
      </c>
      <c r="M2022" s="148" t="s">
        <v>82</v>
      </c>
      <c r="N2022" s="148">
        <v>8</v>
      </c>
      <c r="O2022" s="148" t="s">
        <v>101</v>
      </c>
      <c r="P2022" s="148" t="s">
        <v>146</v>
      </c>
    </row>
    <row r="2023" spans="1:26" ht="13.5" hidden="1" customHeight="1" x14ac:dyDescent="0.25">
      <c r="A2023" s="148" t="s">
        <v>76</v>
      </c>
      <c r="B2023" s="148" t="s">
        <v>89</v>
      </c>
      <c r="C2023" s="148" t="s">
        <v>90</v>
      </c>
      <c r="D2023" s="148" t="s">
        <v>29</v>
      </c>
      <c r="E2023" s="148" t="s">
        <v>30</v>
      </c>
      <c r="F2023" s="148" t="s">
        <v>91</v>
      </c>
      <c r="G2023" s="148" t="s">
        <v>414</v>
      </c>
      <c r="H2023" s="148">
        <v>2014</v>
      </c>
      <c r="I2023" s="148">
        <v>10</v>
      </c>
      <c r="J2023" s="148" t="s">
        <v>118</v>
      </c>
      <c r="K2023" s="148" t="s">
        <v>708</v>
      </c>
      <c r="M2023" s="148" t="s">
        <v>82</v>
      </c>
      <c r="N2023" s="148">
        <v>8</v>
      </c>
      <c r="O2023" s="148" t="s">
        <v>101</v>
      </c>
      <c r="P2023" s="148" t="s">
        <v>146</v>
      </c>
    </row>
    <row r="2024" spans="1:26" ht="13.5" hidden="1" customHeight="1" x14ac:dyDescent="0.25">
      <c r="A2024" s="148" t="s">
        <v>76</v>
      </c>
      <c r="B2024" s="148" t="s">
        <v>103</v>
      </c>
      <c r="C2024" s="148" t="s">
        <v>55</v>
      </c>
      <c r="D2024" s="148" t="s">
        <v>478</v>
      </c>
      <c r="E2024" s="148" t="s">
        <v>30</v>
      </c>
      <c r="F2024" s="148" t="s">
        <v>56</v>
      </c>
      <c r="G2024" s="148" t="s">
        <v>171</v>
      </c>
      <c r="H2024" s="148">
        <v>2014</v>
      </c>
      <c r="I2024" s="148">
        <v>11</v>
      </c>
      <c r="J2024" s="148" t="s">
        <v>150</v>
      </c>
      <c r="K2024" s="148" t="s">
        <v>1096</v>
      </c>
      <c r="M2024" s="148" t="s">
        <v>120</v>
      </c>
      <c r="N2024" s="148">
        <v>6</v>
      </c>
      <c r="O2024" s="148" t="s">
        <v>83</v>
      </c>
    </row>
    <row r="2025" spans="1:26" ht="15.75" hidden="1" customHeight="1" x14ac:dyDescent="0.25">
      <c r="A2025" s="148" t="s">
        <v>76</v>
      </c>
      <c r="B2025" s="148" t="s">
        <v>198</v>
      </c>
      <c r="C2025" s="148" t="s">
        <v>45</v>
      </c>
      <c r="D2025" s="148" t="s">
        <v>478</v>
      </c>
      <c r="E2025" s="148" t="s">
        <v>30</v>
      </c>
      <c r="F2025" s="148" t="s">
        <v>199</v>
      </c>
      <c r="G2025" s="148" t="s">
        <v>208</v>
      </c>
      <c r="H2025" s="148">
        <v>2014</v>
      </c>
      <c r="I2025" s="148">
        <v>11</v>
      </c>
      <c r="J2025" s="148" t="s">
        <v>118</v>
      </c>
      <c r="K2025" s="148" t="s">
        <v>502</v>
      </c>
      <c r="M2025" s="148" t="s">
        <v>126</v>
      </c>
      <c r="N2025" s="148">
        <v>10</v>
      </c>
      <c r="O2025" s="148" t="s">
        <v>101</v>
      </c>
      <c r="P2025" s="148" t="s">
        <v>703</v>
      </c>
    </row>
    <row r="2026" spans="1:26" ht="15.75" hidden="1" customHeight="1" x14ac:dyDescent="0.25">
      <c r="A2026" s="148" t="s">
        <v>76</v>
      </c>
      <c r="B2026" s="148" t="s">
        <v>36</v>
      </c>
      <c r="C2026" s="148" t="s">
        <v>28</v>
      </c>
      <c r="D2026" s="148" t="s">
        <v>342</v>
      </c>
      <c r="E2026" s="148" t="s">
        <v>30</v>
      </c>
      <c r="F2026" s="148" t="s">
        <v>3183</v>
      </c>
      <c r="G2026" s="148" t="s">
        <v>438</v>
      </c>
      <c r="H2026" s="148">
        <v>2014</v>
      </c>
      <c r="I2026" s="148">
        <v>11</v>
      </c>
      <c r="J2026" s="148" t="s">
        <v>118</v>
      </c>
      <c r="K2026" s="148" t="s">
        <v>579</v>
      </c>
      <c r="M2026" s="148" t="s">
        <v>126</v>
      </c>
      <c r="N2026" s="148">
        <v>10</v>
      </c>
      <c r="O2026" s="148" t="s">
        <v>101</v>
      </c>
      <c r="P2026" s="148" t="s">
        <v>535</v>
      </c>
    </row>
    <row r="2027" spans="1:26" ht="15.75" hidden="1" customHeight="1" x14ac:dyDescent="0.25">
      <c r="A2027" s="148" t="s">
        <v>76</v>
      </c>
      <c r="B2027" s="148" t="s">
        <v>44</v>
      </c>
      <c r="C2027" s="148" t="s">
        <v>45</v>
      </c>
      <c r="D2027" s="148" t="s">
        <v>99</v>
      </c>
      <c r="E2027" s="148" t="s">
        <v>95</v>
      </c>
      <c r="F2027" s="148" t="s">
        <v>47</v>
      </c>
      <c r="G2027" s="148" t="s">
        <v>96</v>
      </c>
      <c r="H2027" s="148">
        <v>2014</v>
      </c>
      <c r="I2027" s="148">
        <v>11</v>
      </c>
      <c r="J2027" s="148" t="s">
        <v>118</v>
      </c>
      <c r="K2027" s="148" t="s">
        <v>629</v>
      </c>
      <c r="M2027" s="148" t="s">
        <v>554</v>
      </c>
      <c r="N2027" s="148">
        <v>8</v>
      </c>
      <c r="O2027" s="148" t="s">
        <v>101</v>
      </c>
      <c r="P2027" s="148" t="s">
        <v>537</v>
      </c>
    </row>
    <row r="2028" spans="1:26" ht="15.75" hidden="1" customHeight="1" x14ac:dyDescent="0.25">
      <c r="A2028" s="148" t="s">
        <v>26</v>
      </c>
      <c r="B2028" s="148" t="s">
        <v>116</v>
      </c>
      <c r="C2028" s="148" t="s">
        <v>90</v>
      </c>
      <c r="D2028" s="148" t="s">
        <v>29</v>
      </c>
      <c r="E2028" s="148" t="s">
        <v>30</v>
      </c>
      <c r="F2028" s="148" t="s">
        <v>41</v>
      </c>
      <c r="G2028" s="148" t="s">
        <v>564</v>
      </c>
      <c r="H2028" s="148">
        <v>2014</v>
      </c>
      <c r="I2028" s="148">
        <v>11</v>
      </c>
      <c r="J2028" s="148" t="s">
        <v>792</v>
      </c>
      <c r="U2028" s="149" t="s">
        <v>3629</v>
      </c>
      <c r="V2028" s="148" t="s">
        <v>1269</v>
      </c>
      <c r="W2028" s="148" t="s">
        <v>87</v>
      </c>
      <c r="X2028" s="148" t="s">
        <v>1270</v>
      </c>
    </row>
    <row r="2029" spans="1:26" ht="15.75" hidden="1" customHeight="1" x14ac:dyDescent="0.25">
      <c r="A2029" s="148" t="s">
        <v>76</v>
      </c>
      <c r="B2029" s="148" t="s">
        <v>36</v>
      </c>
      <c r="C2029" s="148" t="s">
        <v>28</v>
      </c>
      <c r="D2029" s="148" t="s">
        <v>158</v>
      </c>
      <c r="E2029" s="148" t="s">
        <v>30</v>
      </c>
      <c r="F2029" s="148" t="s">
        <v>3183</v>
      </c>
      <c r="G2029" s="148" t="s">
        <v>239</v>
      </c>
      <c r="H2029" s="148">
        <v>2014</v>
      </c>
      <c r="I2029" s="148">
        <v>11</v>
      </c>
      <c r="J2029" s="148" t="s">
        <v>118</v>
      </c>
      <c r="K2029" s="148" t="s">
        <v>851</v>
      </c>
      <c r="M2029" s="148" t="s">
        <v>132</v>
      </c>
      <c r="N2029" s="148">
        <v>8</v>
      </c>
      <c r="O2029" s="148" t="s">
        <v>101</v>
      </c>
      <c r="P2029" s="148" t="s">
        <v>1271</v>
      </c>
    </row>
    <row r="2030" spans="1:26" ht="15.75" hidden="1" customHeight="1" x14ac:dyDescent="0.25">
      <c r="A2030" s="148" t="s">
        <v>307</v>
      </c>
      <c r="B2030" s="148" t="s">
        <v>27</v>
      </c>
      <c r="C2030" s="148" t="s">
        <v>28</v>
      </c>
      <c r="D2030" s="148" t="s">
        <v>566</v>
      </c>
      <c r="E2030" s="148" t="s">
        <v>30</v>
      </c>
      <c r="F2030" s="148" t="s">
        <v>3183</v>
      </c>
      <c r="G2030" s="148" t="s">
        <v>53</v>
      </c>
      <c r="H2030" s="148">
        <v>2014</v>
      </c>
      <c r="I2030" s="148">
        <v>11</v>
      </c>
      <c r="J2030" s="148" t="s">
        <v>308</v>
      </c>
      <c r="Q2030" s="148" t="s">
        <v>309</v>
      </c>
      <c r="R2030" s="148" t="s">
        <v>1272</v>
      </c>
      <c r="S2030" s="148" t="s">
        <v>311</v>
      </c>
      <c r="T2030" s="148" t="s">
        <v>309</v>
      </c>
    </row>
    <row r="2031" spans="1:26" ht="15.75" hidden="1" customHeight="1" x14ac:dyDescent="0.25">
      <c r="A2031" s="148" t="s">
        <v>76</v>
      </c>
      <c r="B2031" s="148" t="s">
        <v>77</v>
      </c>
      <c r="C2031" s="148" t="s">
        <v>55</v>
      </c>
      <c r="D2031" s="148" t="s">
        <v>99</v>
      </c>
      <c r="E2031" s="148" t="s">
        <v>30</v>
      </c>
      <c r="F2031" s="148" t="s">
        <v>41</v>
      </c>
      <c r="G2031" s="148" t="s">
        <v>161</v>
      </c>
      <c r="H2031" s="148">
        <v>2014</v>
      </c>
      <c r="I2031" s="148">
        <v>11</v>
      </c>
      <c r="J2031" s="148" t="s">
        <v>640</v>
      </c>
      <c r="K2031" s="148" t="s">
        <v>708</v>
      </c>
      <c r="M2031" s="148" t="s">
        <v>82</v>
      </c>
      <c r="N2031" s="148">
        <v>8</v>
      </c>
      <c r="O2031" s="148" t="s">
        <v>101</v>
      </c>
      <c r="P2031" s="148" t="s">
        <v>146</v>
      </c>
    </row>
    <row r="2032" spans="1:26" ht="15.75" hidden="1" customHeight="1" x14ac:dyDescent="0.25">
      <c r="A2032" s="148" t="s">
        <v>76</v>
      </c>
      <c r="B2032" s="148" t="s">
        <v>36</v>
      </c>
      <c r="C2032" s="148" t="s">
        <v>28</v>
      </c>
      <c r="D2032" s="148" t="s">
        <v>342</v>
      </c>
      <c r="E2032" s="148" t="s">
        <v>30</v>
      </c>
      <c r="F2032" s="148" t="s">
        <v>3183</v>
      </c>
      <c r="G2032" s="148" t="s">
        <v>242</v>
      </c>
      <c r="H2032" s="148">
        <v>2014</v>
      </c>
      <c r="I2032" s="148">
        <v>11</v>
      </c>
      <c r="J2032" s="148" t="s">
        <v>118</v>
      </c>
      <c r="K2032" s="148" t="s">
        <v>706</v>
      </c>
      <c r="M2032" s="148" t="s">
        <v>389</v>
      </c>
      <c r="N2032" s="148">
        <v>8</v>
      </c>
      <c r="O2032" s="148" t="s">
        <v>101</v>
      </c>
      <c r="P2032" s="148" t="s">
        <v>1273</v>
      </c>
    </row>
    <row r="2033" spans="1:26" ht="13.5" hidden="1" customHeight="1" x14ac:dyDescent="0.25">
      <c r="A2033" s="148" t="s">
        <v>76</v>
      </c>
      <c r="B2033" s="148" t="s">
        <v>36</v>
      </c>
      <c r="C2033" s="148" t="s">
        <v>28</v>
      </c>
      <c r="D2033" s="148" t="s">
        <v>478</v>
      </c>
      <c r="E2033" s="148" t="s">
        <v>30</v>
      </c>
      <c r="F2033" s="148" t="s">
        <v>3183</v>
      </c>
      <c r="G2033" s="148" t="s">
        <v>67</v>
      </c>
      <c r="H2033" s="148">
        <v>2014</v>
      </c>
      <c r="I2033" s="148">
        <v>11</v>
      </c>
      <c r="J2033" s="148" t="s">
        <v>118</v>
      </c>
      <c r="K2033" s="148" t="s">
        <v>851</v>
      </c>
      <c r="M2033" s="148" t="s">
        <v>132</v>
      </c>
      <c r="N2033" s="148">
        <v>8</v>
      </c>
      <c r="O2033" s="148" t="s">
        <v>101</v>
      </c>
      <c r="P2033" s="148" t="s">
        <v>656</v>
      </c>
    </row>
    <row r="2034" spans="1:26" ht="15.75" hidden="1" customHeight="1" x14ac:dyDescent="0.25">
      <c r="A2034" s="148" t="s">
        <v>76</v>
      </c>
      <c r="B2034" s="148" t="s">
        <v>27</v>
      </c>
      <c r="C2034" s="148" t="s">
        <v>90</v>
      </c>
      <c r="D2034" s="148" t="s">
        <v>490</v>
      </c>
      <c r="E2034" s="148" t="s">
        <v>30</v>
      </c>
      <c r="F2034" s="148" t="s">
        <v>3183</v>
      </c>
      <c r="G2034" s="148" t="s">
        <v>791</v>
      </c>
      <c r="H2034" s="148">
        <v>2014</v>
      </c>
      <c r="I2034" s="148">
        <v>11</v>
      </c>
      <c r="J2034" s="148" t="s">
        <v>118</v>
      </c>
      <c r="K2034" s="148" t="s">
        <v>708</v>
      </c>
      <c r="M2034" s="148" t="s">
        <v>82</v>
      </c>
      <c r="N2034" s="148">
        <v>8</v>
      </c>
      <c r="O2034" s="148" t="s">
        <v>101</v>
      </c>
      <c r="P2034" s="148" t="s">
        <v>146</v>
      </c>
    </row>
    <row r="2035" spans="1:26" ht="15.75" hidden="1" customHeight="1" x14ac:dyDescent="0.25">
      <c r="A2035" s="148" t="s">
        <v>76</v>
      </c>
      <c r="B2035" s="148" t="s">
        <v>62</v>
      </c>
      <c r="C2035" s="148" t="s">
        <v>28</v>
      </c>
      <c r="D2035" s="148" t="s">
        <v>478</v>
      </c>
      <c r="E2035" s="148" t="s">
        <v>30</v>
      </c>
      <c r="F2035" s="148" t="s">
        <v>3183</v>
      </c>
      <c r="G2035" s="148" t="s">
        <v>244</v>
      </c>
      <c r="H2035" s="148">
        <v>2014</v>
      </c>
      <c r="I2035" s="148">
        <v>11</v>
      </c>
      <c r="J2035" s="148" t="s">
        <v>118</v>
      </c>
      <c r="K2035" s="148" t="s">
        <v>1096</v>
      </c>
      <c r="M2035" s="148" t="s">
        <v>120</v>
      </c>
      <c r="N2035" s="148">
        <v>6</v>
      </c>
      <c r="O2035" s="148" t="s">
        <v>101</v>
      </c>
      <c r="P2035" s="148" t="s">
        <v>1073</v>
      </c>
    </row>
    <row r="2036" spans="1:26" ht="15.75" hidden="1" customHeight="1" x14ac:dyDescent="0.25">
      <c r="A2036" s="148" t="s">
        <v>76</v>
      </c>
      <c r="B2036" s="148" t="s">
        <v>36</v>
      </c>
      <c r="C2036" s="148" t="s">
        <v>28</v>
      </c>
      <c r="D2036" s="148" t="s">
        <v>342</v>
      </c>
      <c r="E2036" s="148" t="s">
        <v>30</v>
      </c>
      <c r="F2036" s="148" t="s">
        <v>3183</v>
      </c>
      <c r="G2036" s="148" t="s">
        <v>37</v>
      </c>
      <c r="H2036" s="148">
        <v>2014</v>
      </c>
      <c r="I2036" s="148">
        <v>11</v>
      </c>
      <c r="J2036" s="148" t="s">
        <v>118</v>
      </c>
      <c r="K2036" s="148" t="s">
        <v>1096</v>
      </c>
      <c r="M2036" s="148" t="s">
        <v>120</v>
      </c>
      <c r="N2036" s="148">
        <v>6</v>
      </c>
      <c r="O2036" s="148" t="s">
        <v>101</v>
      </c>
      <c r="P2036" s="148" t="s">
        <v>1274</v>
      </c>
    </row>
    <row r="2037" spans="1:26" ht="13.5" hidden="1" customHeight="1" x14ac:dyDescent="0.25">
      <c r="A2037" s="148" t="s">
        <v>76</v>
      </c>
      <c r="B2037" s="148" t="s">
        <v>62</v>
      </c>
      <c r="C2037" s="148" t="s">
        <v>28</v>
      </c>
      <c r="D2037" s="148" t="s">
        <v>46</v>
      </c>
      <c r="E2037" s="148" t="s">
        <v>30</v>
      </c>
      <c r="F2037" s="148" t="s">
        <v>3183</v>
      </c>
      <c r="G2037" s="148" t="s">
        <v>46</v>
      </c>
      <c r="H2037" s="148">
        <v>2014</v>
      </c>
      <c r="I2037" s="148">
        <v>11</v>
      </c>
      <c r="J2037" s="148" t="s">
        <v>100</v>
      </c>
      <c r="K2037" s="148" t="s">
        <v>708</v>
      </c>
      <c r="M2037" s="148" t="s">
        <v>82</v>
      </c>
      <c r="N2037" s="148">
        <v>8</v>
      </c>
      <c r="O2037" s="148" t="s">
        <v>101</v>
      </c>
      <c r="P2037" s="148" t="s">
        <v>1275</v>
      </c>
      <c r="Y2037" s="150" t="s">
        <v>1276</v>
      </c>
      <c r="Z2037" s="148" t="s">
        <v>1277</v>
      </c>
    </row>
    <row r="2038" spans="1:26" ht="15.75" hidden="1" customHeight="1" x14ac:dyDescent="0.25">
      <c r="A2038" s="148" t="s">
        <v>26</v>
      </c>
      <c r="B2038" s="148" t="s">
        <v>116</v>
      </c>
      <c r="C2038" s="148" t="s">
        <v>90</v>
      </c>
      <c r="D2038" s="148" t="s">
        <v>29</v>
      </c>
      <c r="E2038" s="148" t="s">
        <v>30</v>
      </c>
      <c r="F2038" s="148" t="s">
        <v>41</v>
      </c>
      <c r="G2038" s="148" t="s">
        <v>784</v>
      </c>
      <c r="H2038" s="148">
        <v>2014</v>
      </c>
      <c r="I2038" s="148">
        <v>11</v>
      </c>
      <c r="J2038" s="148" t="s">
        <v>792</v>
      </c>
      <c r="U2038" s="149" t="s">
        <v>3629</v>
      </c>
      <c r="V2038" s="148" t="s">
        <v>1269</v>
      </c>
      <c r="W2038" s="148" t="s">
        <v>87</v>
      </c>
      <c r="X2038" s="148" t="s">
        <v>1270</v>
      </c>
    </row>
    <row r="2039" spans="1:26" ht="15.75" hidden="1" customHeight="1" x14ac:dyDescent="0.25">
      <c r="A2039" s="148" t="s">
        <v>76</v>
      </c>
      <c r="B2039" s="148" t="s">
        <v>27</v>
      </c>
      <c r="C2039" s="148" t="s">
        <v>28</v>
      </c>
      <c r="D2039" s="148" t="s">
        <v>99</v>
      </c>
      <c r="E2039" s="148" t="s">
        <v>40</v>
      </c>
      <c r="F2039" s="148" t="s">
        <v>41</v>
      </c>
      <c r="G2039" s="148" t="s">
        <v>42</v>
      </c>
      <c r="H2039" s="148">
        <v>2014</v>
      </c>
      <c r="I2039" s="148">
        <v>11</v>
      </c>
      <c r="J2039" s="148" t="s">
        <v>118</v>
      </c>
      <c r="K2039" s="148" t="s">
        <v>579</v>
      </c>
      <c r="M2039" s="148" t="s">
        <v>126</v>
      </c>
      <c r="N2039" s="148">
        <v>10</v>
      </c>
      <c r="O2039" s="148" t="s">
        <v>101</v>
      </c>
      <c r="P2039" s="148" t="s">
        <v>398</v>
      </c>
    </row>
    <row r="2040" spans="1:26" ht="15.75" hidden="1" customHeight="1" x14ac:dyDescent="0.25">
      <c r="A2040" s="148" t="s">
        <v>76</v>
      </c>
      <c r="B2040" s="148" t="s">
        <v>103</v>
      </c>
      <c r="C2040" s="148" t="s">
        <v>55</v>
      </c>
      <c r="D2040" s="148" t="s">
        <v>99</v>
      </c>
      <c r="E2040" s="148" t="s">
        <v>95</v>
      </c>
      <c r="F2040" s="148" t="s">
        <v>56</v>
      </c>
      <c r="G2040" s="148" t="s">
        <v>270</v>
      </c>
      <c r="H2040" s="148">
        <v>2014</v>
      </c>
      <c r="I2040" s="148">
        <v>11</v>
      </c>
      <c r="J2040" s="148" t="s">
        <v>118</v>
      </c>
      <c r="K2040" s="148" t="s">
        <v>1096</v>
      </c>
      <c r="M2040" s="148" t="s">
        <v>120</v>
      </c>
      <c r="N2040" s="148">
        <v>6</v>
      </c>
      <c r="O2040" s="148" t="s">
        <v>101</v>
      </c>
      <c r="P2040" s="148" t="s">
        <v>1278</v>
      </c>
    </row>
    <row r="2041" spans="1:26" ht="15.75" hidden="1" customHeight="1" x14ac:dyDescent="0.25">
      <c r="A2041" s="148" t="s">
        <v>76</v>
      </c>
      <c r="B2041" s="148" t="s">
        <v>54</v>
      </c>
      <c r="C2041" s="148" t="s">
        <v>55</v>
      </c>
      <c r="D2041" s="148" t="s">
        <v>1082</v>
      </c>
      <c r="E2041" s="148" t="s">
        <v>30</v>
      </c>
      <c r="F2041" s="148" t="s">
        <v>56</v>
      </c>
      <c r="G2041" s="148" t="s">
        <v>54</v>
      </c>
      <c r="H2041" s="148">
        <v>2014</v>
      </c>
      <c r="I2041" s="148">
        <v>11</v>
      </c>
      <c r="J2041" s="148" t="s">
        <v>118</v>
      </c>
      <c r="K2041" s="148" t="s">
        <v>579</v>
      </c>
      <c r="M2041" s="148" t="s">
        <v>126</v>
      </c>
      <c r="N2041" s="148">
        <v>10</v>
      </c>
      <c r="O2041" s="148" t="s">
        <v>101</v>
      </c>
      <c r="P2041" s="148" t="s">
        <v>146</v>
      </c>
    </row>
    <row r="2042" spans="1:26" ht="15.75" hidden="1" customHeight="1" x14ac:dyDescent="0.25">
      <c r="A2042" s="148" t="s">
        <v>76</v>
      </c>
      <c r="B2042" s="148" t="s">
        <v>103</v>
      </c>
      <c r="C2042" s="148" t="s">
        <v>55</v>
      </c>
      <c r="D2042" s="148" t="s">
        <v>99</v>
      </c>
      <c r="E2042" s="148" t="s">
        <v>30</v>
      </c>
      <c r="F2042" s="148" t="s">
        <v>56</v>
      </c>
      <c r="G2042" s="148" t="s">
        <v>519</v>
      </c>
      <c r="H2042" s="148">
        <v>2014</v>
      </c>
      <c r="I2042" s="148">
        <v>11</v>
      </c>
      <c r="J2042" s="148" t="s">
        <v>118</v>
      </c>
      <c r="K2042" s="148" t="s">
        <v>502</v>
      </c>
      <c r="M2042" s="148" t="s">
        <v>126</v>
      </c>
      <c r="N2042" s="148">
        <v>10</v>
      </c>
      <c r="O2042" s="148" t="s">
        <v>101</v>
      </c>
      <c r="P2042" s="148" t="s">
        <v>146</v>
      </c>
    </row>
    <row r="2043" spans="1:26" ht="13.5" customHeight="1" x14ac:dyDescent="0.25">
      <c r="A2043" s="148" t="s">
        <v>76</v>
      </c>
      <c r="B2043" s="148" t="s">
        <v>36</v>
      </c>
      <c r="C2043" s="148" t="s">
        <v>28</v>
      </c>
      <c r="D2043" s="148" t="s">
        <v>29</v>
      </c>
      <c r="E2043" s="148" t="s">
        <v>30</v>
      </c>
      <c r="F2043" s="148" t="s">
        <v>3183</v>
      </c>
      <c r="G2043" s="148" t="s">
        <v>194</v>
      </c>
      <c r="H2043" s="148">
        <v>2014</v>
      </c>
      <c r="I2043" s="148">
        <v>11</v>
      </c>
      <c r="J2043" s="148" t="s">
        <v>118</v>
      </c>
      <c r="K2043" s="148" t="s">
        <v>579</v>
      </c>
      <c r="M2043" s="148" t="s">
        <v>126</v>
      </c>
      <c r="N2043" s="148">
        <v>10</v>
      </c>
      <c r="O2043" s="148" t="s">
        <v>101</v>
      </c>
      <c r="P2043" s="148" t="s">
        <v>146</v>
      </c>
    </row>
    <row r="2044" spans="1:26" ht="15.75" hidden="1" customHeight="1" x14ac:dyDescent="0.25">
      <c r="A2044" s="148" t="s">
        <v>307</v>
      </c>
      <c r="B2044" s="148" t="s">
        <v>36</v>
      </c>
      <c r="C2044" s="148" t="s">
        <v>28</v>
      </c>
      <c r="D2044" s="148" t="s">
        <v>29</v>
      </c>
      <c r="E2044" s="148" t="s">
        <v>30</v>
      </c>
      <c r="F2044" s="148" t="s">
        <v>3183</v>
      </c>
      <c r="G2044" s="148" t="s">
        <v>194</v>
      </c>
      <c r="H2044" s="148">
        <v>2014</v>
      </c>
      <c r="I2044" s="148">
        <v>11</v>
      </c>
      <c r="J2044" s="148" t="s">
        <v>308</v>
      </c>
      <c r="Q2044" s="148" t="s">
        <v>309</v>
      </c>
      <c r="R2044" s="148" t="s">
        <v>1279</v>
      </c>
      <c r="S2044" s="148" t="s">
        <v>311</v>
      </c>
      <c r="T2044" s="148" t="s">
        <v>807</v>
      </c>
    </row>
    <row r="2045" spans="1:26" ht="15.75" hidden="1" customHeight="1" x14ac:dyDescent="0.25">
      <c r="A2045" s="148" t="s">
        <v>76</v>
      </c>
      <c r="B2045" s="148" t="s">
        <v>89</v>
      </c>
      <c r="C2045" s="148" t="s">
        <v>90</v>
      </c>
      <c r="D2045" s="148" t="s">
        <v>478</v>
      </c>
      <c r="E2045" s="148" t="s">
        <v>30</v>
      </c>
      <c r="F2045" s="148" t="s">
        <v>91</v>
      </c>
      <c r="G2045" s="148" t="s">
        <v>92</v>
      </c>
      <c r="H2045" s="148">
        <v>2014</v>
      </c>
      <c r="I2045" s="148">
        <v>11</v>
      </c>
      <c r="J2045" s="148" t="s">
        <v>118</v>
      </c>
      <c r="K2045" s="148" t="s">
        <v>692</v>
      </c>
      <c r="M2045" s="148" t="s">
        <v>696</v>
      </c>
      <c r="N2045" s="148">
        <v>8</v>
      </c>
      <c r="O2045" s="148" t="s">
        <v>101</v>
      </c>
      <c r="P2045" s="148" t="s">
        <v>1280</v>
      </c>
    </row>
    <row r="2046" spans="1:26" ht="13.5" hidden="1" customHeight="1" x14ac:dyDescent="0.25">
      <c r="A2046" s="148" t="s">
        <v>76</v>
      </c>
      <c r="B2046" s="148" t="s">
        <v>77</v>
      </c>
      <c r="C2046" s="148" t="s">
        <v>55</v>
      </c>
      <c r="D2046" s="148" t="s">
        <v>99</v>
      </c>
      <c r="E2046" s="148" t="s">
        <v>30</v>
      </c>
      <c r="F2046" s="148" t="s">
        <v>41</v>
      </c>
      <c r="G2046" s="148" t="s">
        <v>275</v>
      </c>
      <c r="H2046" s="148">
        <v>2014</v>
      </c>
      <c r="I2046" s="148">
        <v>11</v>
      </c>
      <c r="J2046" s="148" t="s">
        <v>640</v>
      </c>
      <c r="K2046" s="148" t="s">
        <v>708</v>
      </c>
      <c r="M2046" s="148" t="s">
        <v>82</v>
      </c>
      <c r="N2046" s="148">
        <v>8</v>
      </c>
      <c r="O2046" s="148" t="s">
        <v>101</v>
      </c>
      <c r="P2046" s="148" t="s">
        <v>146</v>
      </c>
      <c r="Y2046" s="150" t="s">
        <v>1281</v>
      </c>
    </row>
    <row r="2047" spans="1:26" ht="15.75" hidden="1" customHeight="1" x14ac:dyDescent="0.25">
      <c r="A2047" s="148" t="s">
        <v>76</v>
      </c>
      <c r="B2047" s="148" t="s">
        <v>36</v>
      </c>
      <c r="C2047" s="148" t="s">
        <v>28</v>
      </c>
      <c r="D2047" s="148" t="s">
        <v>342</v>
      </c>
      <c r="E2047" s="148" t="s">
        <v>51</v>
      </c>
      <c r="F2047" s="148" t="s">
        <v>3183</v>
      </c>
      <c r="G2047" s="148" t="s">
        <v>52</v>
      </c>
      <c r="H2047" s="148">
        <v>2014</v>
      </c>
      <c r="I2047" s="148">
        <v>11</v>
      </c>
      <c r="J2047" s="148" t="s">
        <v>118</v>
      </c>
      <c r="K2047" s="148" t="s">
        <v>708</v>
      </c>
      <c r="M2047" s="148" t="s">
        <v>82</v>
      </c>
      <c r="N2047" s="148">
        <v>8</v>
      </c>
      <c r="O2047" s="148" t="s">
        <v>101</v>
      </c>
      <c r="P2047" s="148" t="s">
        <v>146</v>
      </c>
    </row>
    <row r="2048" spans="1:26" ht="15.75" hidden="1" customHeight="1" x14ac:dyDescent="0.25">
      <c r="A2048" s="148" t="s">
        <v>76</v>
      </c>
      <c r="B2048" s="148" t="s">
        <v>44</v>
      </c>
      <c r="C2048" s="148" t="s">
        <v>45</v>
      </c>
      <c r="D2048" s="148" t="s">
        <v>29</v>
      </c>
      <c r="E2048" s="148" t="s">
        <v>46</v>
      </c>
      <c r="F2048" s="148" t="s">
        <v>47</v>
      </c>
      <c r="G2048" s="148" t="s">
        <v>48</v>
      </c>
      <c r="H2048" s="148">
        <v>2014</v>
      </c>
      <c r="I2048" s="148">
        <v>11</v>
      </c>
      <c r="J2048" s="148" t="s">
        <v>150</v>
      </c>
      <c r="K2048" s="148" t="s">
        <v>874</v>
      </c>
      <c r="M2048" s="148" t="s">
        <v>120</v>
      </c>
      <c r="N2048" s="148">
        <v>6</v>
      </c>
      <c r="O2048" s="148" t="s">
        <v>83</v>
      </c>
      <c r="P2048" s="148" t="s">
        <v>1282</v>
      </c>
      <c r="Y2048" s="150" t="s">
        <v>1181</v>
      </c>
      <c r="Z2048" s="148" t="s">
        <v>1283</v>
      </c>
    </row>
    <row r="2049" spans="1:24" ht="15.75" hidden="1" customHeight="1" x14ac:dyDescent="0.25">
      <c r="A2049" s="148" t="s">
        <v>76</v>
      </c>
      <c r="B2049" s="148" t="s">
        <v>71</v>
      </c>
      <c r="C2049" s="148" t="s">
        <v>45</v>
      </c>
      <c r="D2049" s="148" t="s">
        <v>478</v>
      </c>
      <c r="E2049" s="148" t="s">
        <v>72</v>
      </c>
      <c r="F2049" s="148" t="s">
        <v>3183</v>
      </c>
      <c r="G2049" s="148" t="s">
        <v>73</v>
      </c>
      <c r="H2049" s="148">
        <v>2014</v>
      </c>
      <c r="I2049" s="148">
        <v>12</v>
      </c>
      <c r="J2049" s="148" t="s">
        <v>118</v>
      </c>
      <c r="K2049" s="148" t="s">
        <v>502</v>
      </c>
      <c r="M2049" s="148" t="s">
        <v>126</v>
      </c>
      <c r="N2049" s="148">
        <v>10</v>
      </c>
      <c r="O2049" s="148" t="s">
        <v>101</v>
      </c>
      <c r="P2049" s="148" t="s">
        <v>1284</v>
      </c>
    </row>
    <row r="2050" spans="1:24" ht="15.75" hidden="1" customHeight="1" x14ac:dyDescent="0.25">
      <c r="A2050" s="148" t="s">
        <v>76</v>
      </c>
      <c r="B2050" s="148" t="s">
        <v>198</v>
      </c>
      <c r="C2050" s="148" t="s">
        <v>45</v>
      </c>
      <c r="D2050" s="148" t="s">
        <v>29</v>
      </c>
      <c r="E2050" s="148" t="s">
        <v>30</v>
      </c>
      <c r="F2050" s="148" t="s">
        <v>199</v>
      </c>
      <c r="G2050" s="148" t="s">
        <v>232</v>
      </c>
      <c r="H2050" s="148">
        <v>2014</v>
      </c>
      <c r="I2050" s="148">
        <v>12</v>
      </c>
      <c r="J2050" s="148" t="s">
        <v>118</v>
      </c>
      <c r="K2050" s="148" t="s">
        <v>708</v>
      </c>
      <c r="M2050" s="148" t="s">
        <v>82</v>
      </c>
      <c r="N2050" s="148">
        <v>8</v>
      </c>
      <c r="O2050" s="148" t="s">
        <v>101</v>
      </c>
      <c r="P2050" s="148" t="s">
        <v>1285</v>
      </c>
    </row>
    <row r="2051" spans="1:24" ht="15.75" hidden="1" customHeight="1" x14ac:dyDescent="0.25">
      <c r="A2051" s="148" t="s">
        <v>76</v>
      </c>
      <c r="B2051" s="148" t="s">
        <v>103</v>
      </c>
      <c r="C2051" s="148" t="s">
        <v>55</v>
      </c>
      <c r="D2051" s="148" t="s">
        <v>478</v>
      </c>
      <c r="E2051" s="148" t="s">
        <v>95</v>
      </c>
      <c r="F2051" s="148" t="s">
        <v>56</v>
      </c>
      <c r="G2051" s="148" t="s">
        <v>104</v>
      </c>
      <c r="H2051" s="148">
        <v>2014</v>
      </c>
      <c r="I2051" s="148">
        <v>12</v>
      </c>
      <c r="J2051" s="148" t="s">
        <v>118</v>
      </c>
      <c r="K2051" s="148" t="s">
        <v>874</v>
      </c>
      <c r="M2051" s="148" t="s">
        <v>120</v>
      </c>
      <c r="N2051" s="148">
        <v>6</v>
      </c>
      <c r="O2051" s="148" t="s">
        <v>101</v>
      </c>
      <c r="P2051" s="148" t="s">
        <v>1286</v>
      </c>
    </row>
    <row r="2052" spans="1:24" ht="15.75" hidden="1" customHeight="1" x14ac:dyDescent="0.25">
      <c r="A2052" s="148" t="s">
        <v>76</v>
      </c>
      <c r="B2052" s="148" t="s">
        <v>103</v>
      </c>
      <c r="C2052" s="148" t="s">
        <v>55</v>
      </c>
      <c r="D2052" s="148" t="s">
        <v>478</v>
      </c>
      <c r="E2052" s="148" t="s">
        <v>95</v>
      </c>
      <c r="F2052" s="148" t="s">
        <v>56</v>
      </c>
      <c r="G2052" s="148" t="s">
        <v>153</v>
      </c>
      <c r="H2052" s="148">
        <v>2014</v>
      </c>
      <c r="I2052" s="148">
        <v>12</v>
      </c>
      <c r="J2052" s="148" t="s">
        <v>118</v>
      </c>
      <c r="K2052" s="148" t="s">
        <v>874</v>
      </c>
      <c r="M2052" s="148" t="s">
        <v>120</v>
      </c>
      <c r="N2052" s="148">
        <v>6</v>
      </c>
      <c r="O2052" s="148" t="s">
        <v>101</v>
      </c>
      <c r="P2052" s="148" t="s">
        <v>1287</v>
      </c>
    </row>
    <row r="2053" spans="1:24" ht="15.75" hidden="1" customHeight="1" x14ac:dyDescent="0.25">
      <c r="A2053" s="148" t="s">
        <v>76</v>
      </c>
      <c r="B2053" s="148" t="s">
        <v>77</v>
      </c>
      <c r="C2053" s="148" t="s">
        <v>55</v>
      </c>
      <c r="D2053" s="148" t="s">
        <v>478</v>
      </c>
      <c r="E2053" s="148" t="s">
        <v>30</v>
      </c>
      <c r="F2053" s="148" t="s">
        <v>41</v>
      </c>
      <c r="G2053" s="148" t="s">
        <v>159</v>
      </c>
      <c r="H2053" s="148">
        <v>2014</v>
      </c>
      <c r="I2053" s="148">
        <v>12</v>
      </c>
      <c r="J2053" s="148" t="s">
        <v>118</v>
      </c>
      <c r="K2053" s="148" t="s">
        <v>874</v>
      </c>
      <c r="M2053" s="148" t="s">
        <v>120</v>
      </c>
      <c r="N2053" s="148">
        <v>6</v>
      </c>
      <c r="O2053" s="148" t="s">
        <v>101</v>
      </c>
      <c r="P2053" s="148" t="s">
        <v>1288</v>
      </c>
    </row>
    <row r="2054" spans="1:24" ht="15.75" hidden="1" customHeight="1" x14ac:dyDescent="0.25">
      <c r="A2054" s="148" t="s">
        <v>76</v>
      </c>
      <c r="B2054" s="148" t="s">
        <v>103</v>
      </c>
      <c r="C2054" s="148" t="s">
        <v>55</v>
      </c>
      <c r="D2054" s="148" t="s">
        <v>29</v>
      </c>
      <c r="E2054" s="148" t="s">
        <v>30</v>
      </c>
      <c r="F2054" s="148" t="s">
        <v>56</v>
      </c>
      <c r="G2054" s="148" t="s">
        <v>458</v>
      </c>
      <c r="H2054" s="148">
        <v>2014</v>
      </c>
      <c r="I2054" s="148">
        <v>12</v>
      </c>
      <c r="J2054" s="148" t="s">
        <v>118</v>
      </c>
      <c r="K2054" s="148" t="s">
        <v>708</v>
      </c>
      <c r="M2054" s="148" t="s">
        <v>82</v>
      </c>
      <c r="N2054" s="148">
        <v>8</v>
      </c>
      <c r="O2054" s="148" t="s">
        <v>101</v>
      </c>
      <c r="P2054" s="148" t="s">
        <v>809</v>
      </c>
    </row>
    <row r="2055" spans="1:24" ht="15.75" hidden="1" customHeight="1" x14ac:dyDescent="0.25">
      <c r="A2055" s="148" t="s">
        <v>307</v>
      </c>
      <c r="B2055" s="148" t="s">
        <v>36</v>
      </c>
      <c r="C2055" s="148" t="s">
        <v>28</v>
      </c>
      <c r="D2055" s="148" t="s">
        <v>478</v>
      </c>
      <c r="E2055" s="148" t="s">
        <v>30</v>
      </c>
      <c r="F2055" s="148" t="s">
        <v>3183</v>
      </c>
      <c r="G2055" s="148" t="s">
        <v>67</v>
      </c>
      <c r="H2055" s="148">
        <v>2014</v>
      </c>
      <c r="I2055" s="148">
        <v>12</v>
      </c>
      <c r="J2055" s="148" t="s">
        <v>308</v>
      </c>
      <c r="Q2055" s="148" t="s">
        <v>426</v>
      </c>
      <c r="R2055" s="148" t="s">
        <v>1289</v>
      </c>
      <c r="S2055" s="148" t="s">
        <v>596</v>
      </c>
    </row>
    <row r="2056" spans="1:24" ht="15.75" hidden="1" customHeight="1" x14ac:dyDescent="0.25">
      <c r="A2056" s="148" t="s">
        <v>76</v>
      </c>
      <c r="B2056" s="148" t="s">
        <v>71</v>
      </c>
      <c r="C2056" s="148" t="s">
        <v>45</v>
      </c>
      <c r="D2056" s="148" t="s">
        <v>478</v>
      </c>
      <c r="E2056" s="148" t="s">
        <v>72</v>
      </c>
      <c r="F2056" s="148" t="s">
        <v>3183</v>
      </c>
      <c r="G2056" s="148" t="s">
        <v>75</v>
      </c>
      <c r="H2056" s="148">
        <v>2014</v>
      </c>
      <c r="I2056" s="148">
        <v>12</v>
      </c>
      <c r="J2056" s="148" t="s">
        <v>118</v>
      </c>
      <c r="K2056" s="148" t="s">
        <v>1290</v>
      </c>
      <c r="M2056" s="148" t="s">
        <v>82</v>
      </c>
      <c r="N2056" s="148">
        <v>8</v>
      </c>
      <c r="O2056" s="148" t="s">
        <v>101</v>
      </c>
      <c r="P2056" s="148" t="s">
        <v>1073</v>
      </c>
    </row>
    <row r="2057" spans="1:24" ht="15.75" hidden="1" customHeight="1" x14ac:dyDescent="0.25">
      <c r="A2057" s="148" t="s">
        <v>76</v>
      </c>
      <c r="B2057" s="148" t="s">
        <v>103</v>
      </c>
      <c r="C2057" s="148" t="s">
        <v>55</v>
      </c>
      <c r="D2057" s="148" t="s">
        <v>478</v>
      </c>
      <c r="E2057" s="148" t="s">
        <v>95</v>
      </c>
      <c r="F2057" s="148" t="s">
        <v>56</v>
      </c>
      <c r="G2057" s="148" t="s">
        <v>225</v>
      </c>
      <c r="H2057" s="148">
        <v>2014</v>
      </c>
      <c r="I2057" s="148">
        <v>12</v>
      </c>
      <c r="J2057" s="148" t="s">
        <v>118</v>
      </c>
      <c r="K2057" s="148" t="s">
        <v>629</v>
      </c>
      <c r="M2057" s="148" t="s">
        <v>554</v>
      </c>
      <c r="N2057" s="148">
        <v>8</v>
      </c>
      <c r="O2057" s="148" t="s">
        <v>101</v>
      </c>
      <c r="P2057" s="148" t="s">
        <v>425</v>
      </c>
    </row>
    <row r="2058" spans="1:24" ht="15.75" hidden="1" customHeight="1" x14ac:dyDescent="0.25">
      <c r="A2058" s="148" t="s">
        <v>307</v>
      </c>
      <c r="B2058" s="148" t="s">
        <v>44</v>
      </c>
      <c r="C2058" s="148" t="s">
        <v>45</v>
      </c>
      <c r="D2058" s="148" t="s">
        <v>29</v>
      </c>
      <c r="E2058" s="148" t="s">
        <v>46</v>
      </c>
      <c r="F2058" s="148" t="s">
        <v>47</v>
      </c>
      <c r="G2058" s="148" t="s">
        <v>48</v>
      </c>
      <c r="H2058" s="148">
        <v>2014</v>
      </c>
      <c r="I2058" s="148">
        <v>12</v>
      </c>
      <c r="J2058" s="148" t="s">
        <v>308</v>
      </c>
      <c r="Q2058" s="148" t="s">
        <v>818</v>
      </c>
      <c r="R2058" s="148" t="s">
        <v>30</v>
      </c>
      <c r="S2058" s="148" t="s">
        <v>427</v>
      </c>
      <c r="T2058" s="148" t="s">
        <v>1291</v>
      </c>
    </row>
    <row r="2059" spans="1:24" ht="15.75" hidden="1" customHeight="1" x14ac:dyDescent="0.25">
      <c r="A2059" s="148" t="s">
        <v>76</v>
      </c>
      <c r="B2059" s="148" t="s">
        <v>36</v>
      </c>
      <c r="C2059" s="148" t="s">
        <v>28</v>
      </c>
      <c r="D2059" s="148" t="s">
        <v>342</v>
      </c>
      <c r="E2059" s="148" t="s">
        <v>30</v>
      </c>
      <c r="F2059" s="148" t="s">
        <v>3183</v>
      </c>
      <c r="G2059" s="148" t="s">
        <v>114</v>
      </c>
      <c r="H2059" s="148">
        <v>2014</v>
      </c>
      <c r="I2059" s="148">
        <v>12</v>
      </c>
      <c r="J2059" s="148" t="s">
        <v>118</v>
      </c>
      <c r="K2059" s="148" t="s">
        <v>927</v>
      </c>
      <c r="M2059" s="148" t="s">
        <v>464</v>
      </c>
      <c r="N2059" s="148">
        <v>6</v>
      </c>
      <c r="O2059" s="148" t="s">
        <v>101</v>
      </c>
      <c r="P2059" s="148" t="s">
        <v>1292</v>
      </c>
    </row>
    <row r="2060" spans="1:24" ht="15.75" hidden="1" customHeight="1" x14ac:dyDescent="0.25">
      <c r="A2060" s="148" t="s">
        <v>26</v>
      </c>
      <c r="B2060" s="148" t="s">
        <v>116</v>
      </c>
      <c r="C2060" s="148" t="s">
        <v>90</v>
      </c>
      <c r="D2060" s="148" t="s">
        <v>29</v>
      </c>
      <c r="E2060" s="148" t="s">
        <v>30</v>
      </c>
      <c r="F2060" s="148" t="s">
        <v>41</v>
      </c>
      <c r="G2060" s="148" t="s">
        <v>564</v>
      </c>
      <c r="H2060" s="148">
        <v>2015</v>
      </c>
      <c r="I2060" s="148">
        <v>1</v>
      </c>
      <c r="J2060" s="148" t="s">
        <v>792</v>
      </c>
      <c r="U2060" s="149" t="s">
        <v>3629</v>
      </c>
      <c r="V2060" s="148" t="s">
        <v>1293</v>
      </c>
      <c r="W2060" s="148" t="s">
        <v>49</v>
      </c>
      <c r="X2060" s="148" t="s">
        <v>1294</v>
      </c>
    </row>
    <row r="2061" spans="1:24" ht="15.75" hidden="1" customHeight="1" x14ac:dyDescent="0.25">
      <c r="A2061" s="148" t="s">
        <v>26</v>
      </c>
      <c r="B2061" s="148" t="s">
        <v>103</v>
      </c>
      <c r="C2061" s="148" t="s">
        <v>55</v>
      </c>
      <c r="D2061" s="148" t="s">
        <v>478</v>
      </c>
      <c r="E2061" s="148" t="s">
        <v>95</v>
      </c>
      <c r="F2061" s="148" t="s">
        <v>56</v>
      </c>
      <c r="G2061" s="148" t="s">
        <v>104</v>
      </c>
      <c r="H2061" s="148">
        <v>2015</v>
      </c>
      <c r="I2061" s="148">
        <v>1</v>
      </c>
      <c r="J2061" s="148" t="s">
        <v>33</v>
      </c>
      <c r="U2061" s="149" t="s">
        <v>3629</v>
      </c>
      <c r="V2061" s="148" t="s">
        <v>1269</v>
      </c>
      <c r="W2061" s="148" t="s">
        <v>87</v>
      </c>
      <c r="X2061" s="148" t="s">
        <v>1270</v>
      </c>
    </row>
    <row r="2062" spans="1:24" ht="15.75" hidden="1" customHeight="1" x14ac:dyDescent="0.25">
      <c r="A2062" s="148" t="s">
        <v>26</v>
      </c>
      <c r="B2062" s="148" t="s">
        <v>103</v>
      </c>
      <c r="C2062" s="148" t="s">
        <v>55</v>
      </c>
      <c r="D2062" s="148" t="s">
        <v>158</v>
      </c>
      <c r="E2062" s="148" t="s">
        <v>95</v>
      </c>
      <c r="F2062" s="148" t="s">
        <v>56</v>
      </c>
      <c r="G2062" s="148" t="s">
        <v>559</v>
      </c>
      <c r="H2062" s="148">
        <v>2015</v>
      </c>
      <c r="I2062" s="148">
        <v>1</v>
      </c>
      <c r="J2062" s="148" t="s">
        <v>33</v>
      </c>
      <c r="U2062" s="149" t="s">
        <v>3629</v>
      </c>
      <c r="V2062" s="148" t="s">
        <v>1269</v>
      </c>
      <c r="W2062" s="148" t="s">
        <v>87</v>
      </c>
      <c r="X2062" s="148" t="s">
        <v>1270</v>
      </c>
    </row>
    <row r="2063" spans="1:24" ht="15.75" hidden="1" customHeight="1" x14ac:dyDescent="0.25">
      <c r="A2063" s="148" t="s">
        <v>26</v>
      </c>
      <c r="B2063" s="148" t="s">
        <v>116</v>
      </c>
      <c r="C2063" s="148" t="s">
        <v>90</v>
      </c>
      <c r="D2063" s="148" t="s">
        <v>29</v>
      </c>
      <c r="E2063" s="148" t="s">
        <v>30</v>
      </c>
      <c r="F2063" s="148" t="s">
        <v>41</v>
      </c>
      <c r="G2063" s="148" t="s">
        <v>784</v>
      </c>
      <c r="H2063" s="148">
        <v>2015</v>
      </c>
      <c r="I2063" s="148">
        <v>1</v>
      </c>
      <c r="J2063" s="148" t="s">
        <v>792</v>
      </c>
      <c r="U2063" s="149" t="s">
        <v>3629</v>
      </c>
      <c r="V2063" s="148" t="s">
        <v>1293</v>
      </c>
      <c r="W2063" s="148" t="s">
        <v>49</v>
      </c>
      <c r="X2063" s="148" t="s">
        <v>1294</v>
      </c>
    </row>
    <row r="2064" spans="1:24" ht="15.75" hidden="1" customHeight="1" x14ac:dyDescent="0.25">
      <c r="A2064" s="148" t="s">
        <v>26</v>
      </c>
      <c r="B2064" s="148" t="s">
        <v>103</v>
      </c>
      <c r="C2064" s="148" t="s">
        <v>55</v>
      </c>
      <c r="D2064" s="148" t="s">
        <v>478</v>
      </c>
      <c r="E2064" s="148" t="s">
        <v>95</v>
      </c>
      <c r="F2064" s="148" t="s">
        <v>56</v>
      </c>
      <c r="G2064" s="148" t="s">
        <v>108</v>
      </c>
      <c r="H2064" s="148">
        <v>2015</v>
      </c>
      <c r="I2064" s="148">
        <v>1</v>
      </c>
      <c r="J2064" s="148" t="s">
        <v>33</v>
      </c>
      <c r="U2064" s="149" t="s">
        <v>3629</v>
      </c>
      <c r="V2064" s="148" t="s">
        <v>1293</v>
      </c>
      <c r="W2064" s="148" t="s">
        <v>49</v>
      </c>
      <c r="X2064" s="148" t="s">
        <v>1294</v>
      </c>
    </row>
    <row r="2065" spans="1:26" ht="15.75" hidden="1" customHeight="1" x14ac:dyDescent="0.25">
      <c r="A2065" s="148" t="s">
        <v>307</v>
      </c>
      <c r="B2065" s="148" t="s">
        <v>44</v>
      </c>
      <c r="C2065" s="148" t="s">
        <v>45</v>
      </c>
      <c r="D2065" s="148" t="s">
        <v>29</v>
      </c>
      <c r="E2065" s="148" t="s">
        <v>46</v>
      </c>
      <c r="F2065" s="148" t="s">
        <v>47</v>
      </c>
      <c r="G2065" s="148" t="s">
        <v>48</v>
      </c>
      <c r="H2065" s="148">
        <v>2015</v>
      </c>
      <c r="I2065" s="148">
        <v>1</v>
      </c>
      <c r="J2065" s="148" t="s">
        <v>308</v>
      </c>
      <c r="Q2065" s="148" t="s">
        <v>426</v>
      </c>
      <c r="R2065" s="148" t="s">
        <v>1295</v>
      </c>
      <c r="S2065" s="148" t="s">
        <v>311</v>
      </c>
      <c r="T2065" s="148" t="s">
        <v>1296</v>
      </c>
      <c r="Y2065" s="150" t="s">
        <v>1297</v>
      </c>
      <c r="Z2065" s="148" t="s">
        <v>543</v>
      </c>
    </row>
    <row r="2066" spans="1:26" ht="15.75" hidden="1" customHeight="1" x14ac:dyDescent="0.25">
      <c r="A2066" s="148" t="s">
        <v>307</v>
      </c>
      <c r="B2066" s="148" t="s">
        <v>103</v>
      </c>
      <c r="C2066" s="148" t="s">
        <v>55</v>
      </c>
      <c r="D2066" s="148" t="s">
        <v>478</v>
      </c>
      <c r="E2066" s="148" t="s">
        <v>95</v>
      </c>
      <c r="F2066" s="148" t="s">
        <v>56</v>
      </c>
      <c r="G2066" s="148" t="s">
        <v>111</v>
      </c>
      <c r="H2066" s="148">
        <v>2015</v>
      </c>
      <c r="I2066" s="148">
        <v>2</v>
      </c>
      <c r="J2066" s="148" t="s">
        <v>308</v>
      </c>
      <c r="Q2066" s="148" t="s">
        <v>426</v>
      </c>
      <c r="R2066" s="148" t="s">
        <v>30</v>
      </c>
      <c r="S2066" s="148" t="s">
        <v>427</v>
      </c>
      <c r="T2066" s="148" t="s">
        <v>1298</v>
      </c>
    </row>
    <row r="2067" spans="1:26" ht="15.75" hidden="1" customHeight="1" x14ac:dyDescent="0.25">
      <c r="A2067" s="148" t="s">
        <v>26</v>
      </c>
      <c r="B2067" s="148" t="s">
        <v>103</v>
      </c>
      <c r="C2067" s="148" t="s">
        <v>55</v>
      </c>
      <c r="D2067" s="148" t="s">
        <v>478</v>
      </c>
      <c r="E2067" s="148" t="s">
        <v>95</v>
      </c>
      <c r="F2067" s="148" t="s">
        <v>56</v>
      </c>
      <c r="G2067" s="148" t="s">
        <v>111</v>
      </c>
      <c r="H2067" s="148">
        <v>2015</v>
      </c>
      <c r="I2067" s="148">
        <v>2</v>
      </c>
      <c r="J2067" s="148" t="s">
        <v>33</v>
      </c>
      <c r="U2067" s="149" t="s">
        <v>3629</v>
      </c>
      <c r="V2067" s="148" t="s">
        <v>1269</v>
      </c>
      <c r="W2067" s="148" t="s">
        <v>87</v>
      </c>
      <c r="X2067" s="148" t="s">
        <v>1270</v>
      </c>
    </row>
    <row r="2068" spans="1:26" ht="15.75" hidden="1" customHeight="1" x14ac:dyDescent="0.25">
      <c r="A2068" s="148" t="s">
        <v>307</v>
      </c>
      <c r="B2068" s="148" t="s">
        <v>103</v>
      </c>
      <c r="C2068" s="148" t="s">
        <v>55</v>
      </c>
      <c r="D2068" s="148" t="s">
        <v>478</v>
      </c>
      <c r="E2068" s="148" t="s">
        <v>95</v>
      </c>
      <c r="F2068" s="148" t="s">
        <v>56</v>
      </c>
      <c r="G2068" s="148" t="s">
        <v>153</v>
      </c>
      <c r="H2068" s="148">
        <v>2015</v>
      </c>
      <c r="I2068" s="148">
        <v>2</v>
      </c>
      <c r="J2068" s="148" t="s">
        <v>308</v>
      </c>
      <c r="Q2068" s="148" t="s">
        <v>426</v>
      </c>
      <c r="R2068" s="148" t="s">
        <v>30</v>
      </c>
      <c r="S2068" s="148" t="s">
        <v>427</v>
      </c>
      <c r="T2068" s="148" t="s">
        <v>1298</v>
      </c>
    </row>
    <row r="2069" spans="1:26" ht="15.75" hidden="1" customHeight="1" x14ac:dyDescent="0.25">
      <c r="A2069" s="148" t="s">
        <v>26</v>
      </c>
      <c r="B2069" s="148" t="s">
        <v>103</v>
      </c>
      <c r="C2069" s="148" t="s">
        <v>55</v>
      </c>
      <c r="D2069" s="148" t="s">
        <v>478</v>
      </c>
      <c r="E2069" s="148" t="s">
        <v>95</v>
      </c>
      <c r="F2069" s="148" t="s">
        <v>56</v>
      </c>
      <c r="G2069" s="148" t="s">
        <v>153</v>
      </c>
      <c r="H2069" s="148">
        <v>2015</v>
      </c>
      <c r="I2069" s="148">
        <v>2</v>
      </c>
      <c r="J2069" s="148" t="s">
        <v>33</v>
      </c>
      <c r="U2069" s="149" t="s">
        <v>3629</v>
      </c>
      <c r="V2069" s="148" t="s">
        <v>1269</v>
      </c>
      <c r="W2069" s="148" t="s">
        <v>87</v>
      </c>
      <c r="X2069" s="148" t="s">
        <v>1270</v>
      </c>
    </row>
    <row r="2070" spans="1:26" ht="15.75" hidden="1" customHeight="1" x14ac:dyDescent="0.25">
      <c r="A2070" s="148" t="s">
        <v>76</v>
      </c>
      <c r="B2070" s="148" t="s">
        <v>103</v>
      </c>
      <c r="C2070" s="148" t="s">
        <v>55</v>
      </c>
      <c r="D2070" s="148" t="s">
        <v>99</v>
      </c>
      <c r="E2070" s="148" t="s">
        <v>95</v>
      </c>
      <c r="F2070" s="148" t="s">
        <v>56</v>
      </c>
      <c r="G2070" s="148" t="s">
        <v>270</v>
      </c>
      <c r="H2070" s="148">
        <v>2015</v>
      </c>
      <c r="I2070" s="148">
        <v>2</v>
      </c>
      <c r="J2070" s="148" t="s">
        <v>118</v>
      </c>
      <c r="K2070" s="148" t="s">
        <v>874</v>
      </c>
      <c r="M2070" s="148" t="s">
        <v>120</v>
      </c>
      <c r="N2070" s="148">
        <v>6</v>
      </c>
      <c r="O2070" s="148" t="s">
        <v>101</v>
      </c>
      <c r="P2070" s="148" t="s">
        <v>1299</v>
      </c>
    </row>
    <row r="2071" spans="1:26" ht="15.75" hidden="1" customHeight="1" x14ac:dyDescent="0.25">
      <c r="A2071" s="148" t="s">
        <v>76</v>
      </c>
      <c r="B2071" s="148" t="s">
        <v>62</v>
      </c>
      <c r="C2071" s="148" t="s">
        <v>28</v>
      </c>
      <c r="D2071" s="148" t="s">
        <v>86</v>
      </c>
      <c r="E2071" s="148" t="s">
        <v>51</v>
      </c>
      <c r="F2071" s="148" t="s">
        <v>3183</v>
      </c>
      <c r="G2071" s="148" t="s">
        <v>130</v>
      </c>
      <c r="H2071" s="148">
        <v>2015</v>
      </c>
      <c r="I2071" s="148">
        <v>2</v>
      </c>
      <c r="J2071" s="148" t="s">
        <v>150</v>
      </c>
      <c r="K2071" s="148" t="s">
        <v>708</v>
      </c>
      <c r="M2071" s="148" t="s">
        <v>82</v>
      </c>
      <c r="N2071" s="148">
        <v>8</v>
      </c>
      <c r="O2071" s="148" t="s">
        <v>83</v>
      </c>
    </row>
    <row r="2072" spans="1:26" ht="15.75" hidden="1" customHeight="1" x14ac:dyDescent="0.25">
      <c r="A2072" s="148" t="s">
        <v>76</v>
      </c>
      <c r="B2072" s="148" t="s">
        <v>36</v>
      </c>
      <c r="C2072" s="148" t="s">
        <v>28</v>
      </c>
      <c r="D2072" s="148" t="s">
        <v>342</v>
      </c>
      <c r="E2072" s="148" t="s">
        <v>51</v>
      </c>
      <c r="F2072" s="148" t="s">
        <v>3183</v>
      </c>
      <c r="G2072" s="148" t="s">
        <v>52</v>
      </c>
      <c r="H2072" s="148">
        <v>2015</v>
      </c>
      <c r="I2072" s="148">
        <v>2</v>
      </c>
      <c r="J2072" s="148" t="s">
        <v>150</v>
      </c>
      <c r="K2072" s="148" t="s">
        <v>708</v>
      </c>
      <c r="M2072" s="148" t="s">
        <v>82</v>
      </c>
      <c r="N2072" s="148">
        <v>8</v>
      </c>
      <c r="O2072" s="148" t="s">
        <v>83</v>
      </c>
    </row>
    <row r="2073" spans="1:26" ht="15.75" hidden="1" customHeight="1" x14ac:dyDescent="0.25">
      <c r="A2073" s="148" t="s">
        <v>307</v>
      </c>
      <c r="B2073" s="148" t="s">
        <v>36</v>
      </c>
      <c r="C2073" s="148" t="s">
        <v>28</v>
      </c>
      <c r="D2073" s="148" t="s">
        <v>342</v>
      </c>
      <c r="E2073" s="148" t="s">
        <v>51</v>
      </c>
      <c r="F2073" s="148" t="s">
        <v>3183</v>
      </c>
      <c r="G2073" s="148" t="s">
        <v>52</v>
      </c>
      <c r="H2073" s="148">
        <v>2015</v>
      </c>
      <c r="I2073" s="148">
        <v>2</v>
      </c>
      <c r="J2073" s="148" t="s">
        <v>399</v>
      </c>
      <c r="Q2073" s="148" t="s">
        <v>426</v>
      </c>
      <c r="R2073" s="148" t="s">
        <v>1300</v>
      </c>
      <c r="S2073" s="148" t="s">
        <v>311</v>
      </c>
      <c r="T2073" s="148" t="s">
        <v>801</v>
      </c>
      <c r="Y2073" s="150" t="s">
        <v>1301</v>
      </c>
    </row>
    <row r="2074" spans="1:26" ht="15.75" hidden="1" customHeight="1" x14ac:dyDescent="0.25">
      <c r="A2074" s="148" t="s">
        <v>76</v>
      </c>
      <c r="B2074" s="148" t="s">
        <v>103</v>
      </c>
      <c r="C2074" s="148" t="s">
        <v>55</v>
      </c>
      <c r="D2074" s="148" t="s">
        <v>29</v>
      </c>
      <c r="E2074" s="148" t="s">
        <v>95</v>
      </c>
      <c r="F2074" s="148" t="s">
        <v>56</v>
      </c>
      <c r="G2074" s="148" t="s">
        <v>265</v>
      </c>
      <c r="H2074" s="148">
        <v>2015</v>
      </c>
      <c r="I2074" s="148">
        <v>3</v>
      </c>
      <c r="J2074" s="148" t="s">
        <v>150</v>
      </c>
      <c r="K2074" s="148" t="s">
        <v>874</v>
      </c>
      <c r="M2074" s="148" t="s">
        <v>120</v>
      </c>
      <c r="N2074" s="148">
        <v>6</v>
      </c>
      <c r="O2074" s="148" t="s">
        <v>83</v>
      </c>
    </row>
    <row r="2075" spans="1:26" ht="15.75" hidden="1" customHeight="1" x14ac:dyDescent="0.25">
      <c r="A2075" s="148" t="s">
        <v>76</v>
      </c>
      <c r="B2075" s="148" t="s">
        <v>103</v>
      </c>
      <c r="C2075" s="148" t="s">
        <v>55</v>
      </c>
      <c r="D2075" s="148" t="s">
        <v>478</v>
      </c>
      <c r="E2075" s="148" t="s">
        <v>95</v>
      </c>
      <c r="F2075" s="148" t="s">
        <v>56</v>
      </c>
      <c r="G2075" s="148" t="s">
        <v>111</v>
      </c>
      <c r="H2075" s="148">
        <v>2015</v>
      </c>
      <c r="I2075" s="148">
        <v>3</v>
      </c>
      <c r="J2075" s="148" t="s">
        <v>118</v>
      </c>
      <c r="K2075" s="148" t="s">
        <v>520</v>
      </c>
      <c r="M2075" s="148" t="s">
        <v>701</v>
      </c>
      <c r="N2075" s="148">
        <v>8</v>
      </c>
      <c r="O2075" s="148" t="s">
        <v>101</v>
      </c>
      <c r="P2075" s="148" t="s">
        <v>123</v>
      </c>
    </row>
    <row r="2076" spans="1:26" ht="15.75" hidden="1" customHeight="1" x14ac:dyDescent="0.25">
      <c r="A2076" s="148" t="s">
        <v>76</v>
      </c>
      <c r="B2076" s="148" t="s">
        <v>27</v>
      </c>
      <c r="C2076" s="148" t="s">
        <v>28</v>
      </c>
      <c r="D2076" s="148" t="s">
        <v>566</v>
      </c>
      <c r="E2076" s="148" t="s">
        <v>30</v>
      </c>
      <c r="F2076" s="148" t="s">
        <v>3183</v>
      </c>
      <c r="G2076" s="148" t="s">
        <v>53</v>
      </c>
      <c r="H2076" s="148">
        <v>2015</v>
      </c>
      <c r="I2076" s="148">
        <v>3</v>
      </c>
      <c r="J2076" s="148" t="s">
        <v>118</v>
      </c>
      <c r="K2076" s="148" t="s">
        <v>874</v>
      </c>
      <c r="M2076" s="148" t="s">
        <v>120</v>
      </c>
      <c r="N2076" s="148">
        <v>6</v>
      </c>
      <c r="O2076" s="148" t="s">
        <v>101</v>
      </c>
      <c r="P2076" s="148" t="s">
        <v>1198</v>
      </c>
    </row>
    <row r="2077" spans="1:26" ht="15.75" hidden="1" customHeight="1" x14ac:dyDescent="0.25">
      <c r="A2077" s="148" t="s">
        <v>76</v>
      </c>
      <c r="B2077" s="148" t="s">
        <v>89</v>
      </c>
      <c r="C2077" s="148" t="s">
        <v>90</v>
      </c>
      <c r="D2077" s="148" t="s">
        <v>29</v>
      </c>
      <c r="E2077" s="148" t="s">
        <v>30</v>
      </c>
      <c r="F2077" s="148" t="s">
        <v>91</v>
      </c>
      <c r="G2077" s="148" t="s">
        <v>329</v>
      </c>
      <c r="H2077" s="148">
        <v>2015</v>
      </c>
      <c r="I2077" s="148">
        <v>3</v>
      </c>
      <c r="J2077" s="148" t="s">
        <v>150</v>
      </c>
      <c r="K2077" s="148" t="s">
        <v>708</v>
      </c>
      <c r="M2077" s="148" t="s">
        <v>82</v>
      </c>
      <c r="N2077" s="148">
        <v>8</v>
      </c>
      <c r="O2077" s="148" t="s">
        <v>83</v>
      </c>
    </row>
    <row r="2078" spans="1:26" ht="13.5" hidden="1" customHeight="1" x14ac:dyDescent="0.25">
      <c r="A2078" s="148" t="s">
        <v>26</v>
      </c>
      <c r="B2078" s="148" t="s">
        <v>116</v>
      </c>
      <c r="C2078" s="148" t="s">
        <v>90</v>
      </c>
      <c r="D2078" s="148" t="s">
        <v>29</v>
      </c>
      <c r="E2078" s="148" t="s">
        <v>30</v>
      </c>
      <c r="F2078" s="148" t="s">
        <v>41</v>
      </c>
      <c r="G2078" s="148" t="s">
        <v>784</v>
      </c>
      <c r="H2078" s="148">
        <v>2015</v>
      </c>
      <c r="I2078" s="148">
        <v>3</v>
      </c>
      <c r="J2078" s="148" t="s">
        <v>792</v>
      </c>
      <c r="U2078" s="149" t="s">
        <v>3629</v>
      </c>
      <c r="V2078" s="148" t="s">
        <v>1293</v>
      </c>
      <c r="W2078" s="148" t="s">
        <v>49</v>
      </c>
      <c r="X2078" s="148" t="s">
        <v>1294</v>
      </c>
    </row>
    <row r="2079" spans="1:26" ht="15.75" hidden="1" customHeight="1" x14ac:dyDescent="0.25">
      <c r="A2079" s="148" t="s">
        <v>76</v>
      </c>
      <c r="B2079" s="148" t="s">
        <v>27</v>
      </c>
      <c r="C2079" s="148" t="s">
        <v>28</v>
      </c>
      <c r="D2079" s="148" t="s">
        <v>1302</v>
      </c>
      <c r="E2079" s="148" t="s">
        <v>40</v>
      </c>
      <c r="F2079" s="148" t="s">
        <v>41</v>
      </c>
      <c r="G2079" s="148" t="s">
        <v>42</v>
      </c>
      <c r="H2079" s="148">
        <v>2015</v>
      </c>
      <c r="I2079" s="148">
        <v>3</v>
      </c>
      <c r="J2079" s="148" t="s">
        <v>118</v>
      </c>
      <c r="K2079" s="148" t="s">
        <v>502</v>
      </c>
      <c r="M2079" s="148" t="s">
        <v>126</v>
      </c>
      <c r="N2079" s="148">
        <v>10</v>
      </c>
      <c r="O2079" s="148" t="s">
        <v>101</v>
      </c>
      <c r="P2079" s="148" t="s">
        <v>123</v>
      </c>
    </row>
    <row r="2080" spans="1:26" ht="15.75" hidden="1" customHeight="1" x14ac:dyDescent="0.25">
      <c r="A2080" s="148" t="s">
        <v>76</v>
      </c>
      <c r="B2080" s="148" t="s">
        <v>103</v>
      </c>
      <c r="C2080" s="148" t="s">
        <v>55</v>
      </c>
      <c r="D2080" s="148" t="s">
        <v>99</v>
      </c>
      <c r="E2080" s="148" t="s">
        <v>95</v>
      </c>
      <c r="F2080" s="148" t="s">
        <v>56</v>
      </c>
      <c r="G2080" s="148" t="s">
        <v>270</v>
      </c>
      <c r="H2080" s="148">
        <v>2015</v>
      </c>
      <c r="I2080" s="148">
        <v>3</v>
      </c>
      <c r="J2080" s="148" t="s">
        <v>150</v>
      </c>
      <c r="K2080" s="148" t="s">
        <v>874</v>
      </c>
      <c r="M2080" s="148" t="s">
        <v>120</v>
      </c>
      <c r="N2080" s="148">
        <v>6</v>
      </c>
      <c r="O2080" s="148" t="s">
        <v>83</v>
      </c>
    </row>
    <row r="2081" spans="1:24" ht="15.75" hidden="1" customHeight="1" x14ac:dyDescent="0.25">
      <c r="A2081" s="148" t="s">
        <v>76</v>
      </c>
      <c r="B2081" s="148" t="s">
        <v>103</v>
      </c>
      <c r="C2081" s="148" t="s">
        <v>55</v>
      </c>
      <c r="D2081" s="148" t="s">
        <v>490</v>
      </c>
      <c r="E2081" s="148" t="s">
        <v>95</v>
      </c>
      <c r="F2081" s="148" t="s">
        <v>56</v>
      </c>
      <c r="G2081" s="148" t="s">
        <v>168</v>
      </c>
      <c r="H2081" s="148">
        <v>2015</v>
      </c>
      <c r="I2081" s="148">
        <v>3</v>
      </c>
      <c r="J2081" s="148" t="s">
        <v>150</v>
      </c>
      <c r="K2081" s="148" t="s">
        <v>874</v>
      </c>
      <c r="M2081" s="148" t="s">
        <v>120</v>
      </c>
      <c r="N2081" s="148">
        <v>6</v>
      </c>
      <c r="O2081" s="148" t="s">
        <v>83</v>
      </c>
    </row>
    <row r="2082" spans="1:24" ht="15.75" hidden="1" customHeight="1" x14ac:dyDescent="0.25">
      <c r="A2082" s="148" t="s">
        <v>76</v>
      </c>
      <c r="B2082" s="148" t="s">
        <v>54</v>
      </c>
      <c r="C2082" s="148" t="s">
        <v>55</v>
      </c>
      <c r="D2082" s="148" t="s">
        <v>1082</v>
      </c>
      <c r="E2082" s="148" t="s">
        <v>30</v>
      </c>
      <c r="F2082" s="148" t="s">
        <v>56</v>
      </c>
      <c r="G2082" s="148" t="s">
        <v>54</v>
      </c>
      <c r="H2082" s="148">
        <v>2015</v>
      </c>
      <c r="I2082" s="148">
        <v>3</v>
      </c>
      <c r="J2082" s="148" t="s">
        <v>118</v>
      </c>
      <c r="K2082" s="148" t="s">
        <v>768</v>
      </c>
      <c r="M2082" s="148" t="s">
        <v>120</v>
      </c>
      <c r="N2082" s="148">
        <v>6</v>
      </c>
      <c r="O2082" s="148" t="s">
        <v>101</v>
      </c>
      <c r="P2082" s="148" t="s">
        <v>1303</v>
      </c>
    </row>
    <row r="2083" spans="1:24" ht="15.75" hidden="1" customHeight="1" x14ac:dyDescent="0.25">
      <c r="A2083" s="148" t="s">
        <v>26</v>
      </c>
      <c r="B2083" s="148" t="s">
        <v>36</v>
      </c>
      <c r="C2083" s="148" t="s">
        <v>28</v>
      </c>
      <c r="D2083" s="148" t="s">
        <v>1304</v>
      </c>
      <c r="E2083" s="148" t="s">
        <v>30</v>
      </c>
      <c r="F2083" s="148" t="s">
        <v>3183</v>
      </c>
      <c r="G2083" s="148" t="s">
        <v>194</v>
      </c>
      <c r="H2083" s="148">
        <v>2015</v>
      </c>
      <c r="I2083" s="148">
        <v>3</v>
      </c>
      <c r="J2083" s="148" t="s">
        <v>33</v>
      </c>
      <c r="U2083" s="149" t="s">
        <v>3629</v>
      </c>
      <c r="V2083" s="148" t="s">
        <v>1269</v>
      </c>
      <c r="W2083" s="148" t="s">
        <v>87</v>
      </c>
      <c r="X2083" s="148" t="s">
        <v>1270</v>
      </c>
    </row>
    <row r="2084" spans="1:24" ht="15.75" hidden="1" customHeight="1" x14ac:dyDescent="0.25">
      <c r="A2084" s="148" t="s">
        <v>76</v>
      </c>
      <c r="B2084" s="148" t="s">
        <v>36</v>
      </c>
      <c r="C2084" s="148" t="s">
        <v>28</v>
      </c>
      <c r="D2084" s="148" t="s">
        <v>342</v>
      </c>
      <c r="E2084" s="148" t="s">
        <v>51</v>
      </c>
      <c r="F2084" s="148" t="s">
        <v>3183</v>
      </c>
      <c r="G2084" s="148" t="s">
        <v>52</v>
      </c>
      <c r="H2084" s="148">
        <v>2015</v>
      </c>
      <c r="I2084" s="148">
        <v>3</v>
      </c>
      <c r="J2084" s="148" t="s">
        <v>118</v>
      </c>
      <c r="K2084" s="148" t="s">
        <v>768</v>
      </c>
      <c r="M2084" s="148" t="s">
        <v>120</v>
      </c>
      <c r="N2084" s="148">
        <v>6</v>
      </c>
      <c r="O2084" s="148" t="s">
        <v>101</v>
      </c>
      <c r="P2084" s="148" t="s">
        <v>1305</v>
      </c>
    </row>
    <row r="2085" spans="1:24" ht="15.75" hidden="1" customHeight="1" x14ac:dyDescent="0.25">
      <c r="A2085" s="148" t="s">
        <v>76</v>
      </c>
      <c r="B2085" s="148" t="s">
        <v>103</v>
      </c>
      <c r="C2085" s="148" t="s">
        <v>55</v>
      </c>
      <c r="D2085" s="148" t="s">
        <v>478</v>
      </c>
      <c r="E2085" s="148" t="s">
        <v>95</v>
      </c>
      <c r="F2085" s="148" t="s">
        <v>56</v>
      </c>
      <c r="G2085" s="148" t="s">
        <v>108</v>
      </c>
      <c r="H2085" s="148">
        <v>2015</v>
      </c>
      <c r="I2085" s="148">
        <v>3</v>
      </c>
      <c r="J2085" s="148" t="s">
        <v>118</v>
      </c>
      <c r="K2085" s="148" t="s">
        <v>579</v>
      </c>
      <c r="M2085" s="148" t="s">
        <v>126</v>
      </c>
      <c r="N2085" s="148">
        <v>10</v>
      </c>
      <c r="O2085" s="148" t="s">
        <v>101</v>
      </c>
      <c r="P2085" s="148" t="s">
        <v>435</v>
      </c>
    </row>
    <row r="2086" spans="1:24" ht="15.75" hidden="1" customHeight="1" x14ac:dyDescent="0.25">
      <c r="A2086" s="148" t="s">
        <v>76</v>
      </c>
      <c r="B2086" s="148" t="s">
        <v>44</v>
      </c>
      <c r="C2086" s="148" t="s">
        <v>45</v>
      </c>
      <c r="D2086" s="148" t="s">
        <v>29</v>
      </c>
      <c r="E2086" s="148" t="s">
        <v>46</v>
      </c>
      <c r="F2086" s="148" t="s">
        <v>47</v>
      </c>
      <c r="G2086" s="148" t="s">
        <v>48</v>
      </c>
      <c r="H2086" s="148">
        <v>2015</v>
      </c>
      <c r="I2086" s="148">
        <v>3</v>
      </c>
      <c r="J2086" s="148" t="s">
        <v>150</v>
      </c>
      <c r="K2086" s="148" t="s">
        <v>874</v>
      </c>
      <c r="M2086" s="148" t="s">
        <v>120</v>
      </c>
      <c r="N2086" s="148">
        <v>6</v>
      </c>
      <c r="O2086" s="148" t="s">
        <v>83</v>
      </c>
    </row>
    <row r="2087" spans="1:24" ht="13.5" hidden="1" customHeight="1" x14ac:dyDescent="0.25">
      <c r="A2087" s="148" t="s">
        <v>76</v>
      </c>
      <c r="B2087" s="148" t="s">
        <v>89</v>
      </c>
      <c r="C2087" s="148" t="s">
        <v>90</v>
      </c>
      <c r="D2087" s="148" t="s">
        <v>29</v>
      </c>
      <c r="E2087" s="148" t="s">
        <v>30</v>
      </c>
      <c r="F2087" s="148" t="s">
        <v>91</v>
      </c>
      <c r="G2087" s="148" t="s">
        <v>414</v>
      </c>
      <c r="H2087" s="148">
        <v>2015</v>
      </c>
      <c r="I2087" s="148">
        <v>3</v>
      </c>
      <c r="J2087" s="148" t="s">
        <v>150</v>
      </c>
      <c r="K2087" s="148" t="s">
        <v>708</v>
      </c>
      <c r="M2087" s="148" t="s">
        <v>82</v>
      </c>
      <c r="N2087" s="148">
        <v>8</v>
      </c>
      <c r="O2087" s="148" t="s">
        <v>83</v>
      </c>
    </row>
    <row r="2088" spans="1:24" ht="15.75" hidden="1" customHeight="1" x14ac:dyDescent="0.25">
      <c r="A2088" s="148" t="s">
        <v>76</v>
      </c>
      <c r="B2088" s="148" t="s">
        <v>198</v>
      </c>
      <c r="C2088" s="148" t="s">
        <v>45</v>
      </c>
      <c r="D2088" s="148" t="s">
        <v>478</v>
      </c>
      <c r="E2088" s="148" t="s">
        <v>40</v>
      </c>
      <c r="F2088" s="148" t="s">
        <v>199</v>
      </c>
      <c r="G2088" s="148" t="s">
        <v>282</v>
      </c>
      <c r="H2088" s="148">
        <v>2015</v>
      </c>
      <c r="I2088" s="148">
        <v>4</v>
      </c>
      <c r="J2088" s="148" t="s">
        <v>150</v>
      </c>
      <c r="K2088" s="148" t="s">
        <v>874</v>
      </c>
      <c r="M2088" s="148" t="s">
        <v>120</v>
      </c>
      <c r="N2088" s="148">
        <v>6</v>
      </c>
      <c r="O2088" s="148" t="s">
        <v>83</v>
      </c>
    </row>
    <row r="2089" spans="1:24" ht="15.75" hidden="1" customHeight="1" x14ac:dyDescent="0.25">
      <c r="A2089" s="148" t="s">
        <v>76</v>
      </c>
      <c r="B2089" s="148" t="s">
        <v>103</v>
      </c>
      <c r="C2089" s="148" t="s">
        <v>55</v>
      </c>
      <c r="D2089" s="148" t="s">
        <v>478</v>
      </c>
      <c r="E2089" s="148" t="s">
        <v>30</v>
      </c>
      <c r="F2089" s="148" t="s">
        <v>56</v>
      </c>
      <c r="G2089" s="148" t="s">
        <v>171</v>
      </c>
      <c r="H2089" s="148">
        <v>2015</v>
      </c>
      <c r="I2089" s="148">
        <v>4</v>
      </c>
      <c r="J2089" s="148" t="s">
        <v>118</v>
      </c>
      <c r="K2089" s="148" t="s">
        <v>579</v>
      </c>
      <c r="M2089" s="148" t="s">
        <v>126</v>
      </c>
      <c r="N2089" s="148">
        <v>10</v>
      </c>
      <c r="O2089" s="148" t="s">
        <v>101</v>
      </c>
      <c r="P2089" s="148" t="s">
        <v>249</v>
      </c>
    </row>
    <row r="2090" spans="1:24" ht="15.75" hidden="1" customHeight="1" x14ac:dyDescent="0.25">
      <c r="A2090" s="148" t="s">
        <v>76</v>
      </c>
      <c r="B2090" s="148" t="s">
        <v>198</v>
      </c>
      <c r="C2090" s="148" t="s">
        <v>45</v>
      </c>
      <c r="D2090" s="148" t="s">
        <v>478</v>
      </c>
      <c r="E2090" s="148" t="s">
        <v>30</v>
      </c>
      <c r="F2090" s="148" t="s">
        <v>199</v>
      </c>
      <c r="G2090" s="148" t="s">
        <v>208</v>
      </c>
      <c r="H2090" s="148">
        <v>2015</v>
      </c>
      <c r="I2090" s="148">
        <v>4</v>
      </c>
      <c r="J2090" s="148" t="s">
        <v>150</v>
      </c>
      <c r="K2090" s="148" t="s">
        <v>874</v>
      </c>
      <c r="M2090" s="148" t="s">
        <v>120</v>
      </c>
      <c r="N2090" s="148">
        <v>6</v>
      </c>
      <c r="O2090" s="148" t="s">
        <v>83</v>
      </c>
    </row>
    <row r="2091" spans="1:24" ht="15.75" hidden="1" customHeight="1" x14ac:dyDescent="0.25">
      <c r="A2091" s="148" t="s">
        <v>76</v>
      </c>
      <c r="B2091" s="148" t="s">
        <v>198</v>
      </c>
      <c r="C2091" s="148" t="s">
        <v>45</v>
      </c>
      <c r="D2091" s="148" t="s">
        <v>99</v>
      </c>
      <c r="E2091" s="148" t="s">
        <v>30</v>
      </c>
      <c r="F2091" s="148" t="s">
        <v>199</v>
      </c>
      <c r="G2091" s="148" t="s">
        <v>296</v>
      </c>
      <c r="H2091" s="148">
        <v>2015</v>
      </c>
      <c r="I2091" s="148">
        <v>4</v>
      </c>
      <c r="J2091" s="148" t="s">
        <v>118</v>
      </c>
      <c r="K2091" s="148" t="s">
        <v>708</v>
      </c>
      <c r="M2091" s="148" t="s">
        <v>82</v>
      </c>
      <c r="N2091" s="148">
        <v>8</v>
      </c>
      <c r="O2091" s="148" t="s">
        <v>101</v>
      </c>
      <c r="P2091" s="148" t="s">
        <v>537</v>
      </c>
    </row>
    <row r="2092" spans="1:24" ht="15.75" hidden="1" customHeight="1" x14ac:dyDescent="0.25">
      <c r="A2092" s="148" t="s">
        <v>76</v>
      </c>
      <c r="B2092" s="148" t="s">
        <v>116</v>
      </c>
      <c r="C2092" s="148" t="s">
        <v>90</v>
      </c>
      <c r="D2092" s="148" t="s">
        <v>478</v>
      </c>
      <c r="E2092" s="148" t="s">
        <v>40</v>
      </c>
      <c r="F2092" s="148" t="s">
        <v>41</v>
      </c>
      <c r="G2092" s="148" t="s">
        <v>117</v>
      </c>
      <c r="H2092" s="148">
        <v>2015</v>
      </c>
      <c r="I2092" s="148">
        <v>4</v>
      </c>
      <c r="J2092" s="148" t="s">
        <v>118</v>
      </c>
      <c r="K2092" s="148" t="s">
        <v>502</v>
      </c>
      <c r="M2092" s="148" t="s">
        <v>126</v>
      </c>
      <c r="N2092" s="148">
        <v>10</v>
      </c>
      <c r="O2092" s="148" t="s">
        <v>101</v>
      </c>
      <c r="P2092" s="148" t="s">
        <v>146</v>
      </c>
    </row>
    <row r="2093" spans="1:24" ht="15.75" hidden="1" customHeight="1" x14ac:dyDescent="0.25">
      <c r="A2093" s="148" t="s">
        <v>76</v>
      </c>
      <c r="B2093" s="148" t="s">
        <v>103</v>
      </c>
      <c r="C2093" s="148" t="s">
        <v>55</v>
      </c>
      <c r="D2093" s="148" t="s">
        <v>29</v>
      </c>
      <c r="E2093" s="148" t="s">
        <v>30</v>
      </c>
      <c r="F2093" s="148" t="s">
        <v>56</v>
      </c>
      <c r="G2093" s="148" t="s">
        <v>405</v>
      </c>
      <c r="H2093" s="148">
        <v>2015</v>
      </c>
      <c r="I2093" s="148">
        <v>4</v>
      </c>
      <c r="J2093" s="148" t="s">
        <v>118</v>
      </c>
      <c r="K2093" s="148" t="s">
        <v>692</v>
      </c>
      <c r="M2093" s="148" t="s">
        <v>696</v>
      </c>
      <c r="N2093" s="148">
        <v>8</v>
      </c>
      <c r="O2093" s="148" t="s">
        <v>101</v>
      </c>
      <c r="P2093" s="148" t="s">
        <v>556</v>
      </c>
    </row>
    <row r="2094" spans="1:24" ht="15.75" hidden="1" customHeight="1" x14ac:dyDescent="0.25">
      <c r="A2094" s="148" t="s">
        <v>76</v>
      </c>
      <c r="B2094" s="148" t="s">
        <v>103</v>
      </c>
      <c r="C2094" s="148" t="s">
        <v>55</v>
      </c>
      <c r="D2094" s="148" t="s">
        <v>478</v>
      </c>
      <c r="E2094" s="148" t="s">
        <v>95</v>
      </c>
      <c r="F2094" s="148" t="s">
        <v>56</v>
      </c>
      <c r="G2094" s="148" t="s">
        <v>111</v>
      </c>
      <c r="H2094" s="148">
        <v>2015</v>
      </c>
      <c r="I2094" s="148">
        <v>4</v>
      </c>
      <c r="J2094" s="148" t="s">
        <v>118</v>
      </c>
      <c r="K2094" s="148" t="s">
        <v>851</v>
      </c>
      <c r="M2094" s="148" t="s">
        <v>132</v>
      </c>
      <c r="N2094" s="148">
        <v>8</v>
      </c>
      <c r="O2094" s="148" t="s">
        <v>101</v>
      </c>
      <c r="P2094" s="148" t="s">
        <v>123</v>
      </c>
    </row>
    <row r="2095" spans="1:24" ht="15.75" hidden="1" customHeight="1" x14ac:dyDescent="0.25">
      <c r="A2095" s="148" t="s">
        <v>76</v>
      </c>
      <c r="B2095" s="148" t="s">
        <v>27</v>
      </c>
      <c r="C2095" s="148" t="s">
        <v>28</v>
      </c>
      <c r="D2095" s="148" t="s">
        <v>566</v>
      </c>
      <c r="E2095" s="148" t="s">
        <v>30</v>
      </c>
      <c r="F2095" s="148" t="s">
        <v>3183</v>
      </c>
      <c r="G2095" s="148" t="s">
        <v>53</v>
      </c>
      <c r="H2095" s="148">
        <v>2015</v>
      </c>
      <c r="I2095" s="148">
        <v>4</v>
      </c>
      <c r="J2095" s="148" t="s">
        <v>118</v>
      </c>
      <c r="K2095" s="148" t="s">
        <v>708</v>
      </c>
      <c r="M2095" s="148" t="s">
        <v>82</v>
      </c>
      <c r="N2095" s="148">
        <v>8</v>
      </c>
      <c r="O2095" s="148" t="s">
        <v>101</v>
      </c>
      <c r="P2095" s="148" t="s">
        <v>524</v>
      </c>
    </row>
    <row r="2096" spans="1:24" ht="15.75" hidden="1" customHeight="1" x14ac:dyDescent="0.25">
      <c r="A2096" s="148" t="s">
        <v>76</v>
      </c>
      <c r="B2096" s="148" t="s">
        <v>116</v>
      </c>
      <c r="C2096" s="148" t="s">
        <v>90</v>
      </c>
      <c r="D2096" s="148" t="s">
        <v>29</v>
      </c>
      <c r="E2096" s="148" t="s">
        <v>30</v>
      </c>
      <c r="F2096" s="148" t="s">
        <v>41</v>
      </c>
      <c r="G2096" s="148" t="s">
        <v>421</v>
      </c>
      <c r="H2096" s="148">
        <v>2015</v>
      </c>
      <c r="I2096" s="148">
        <v>4</v>
      </c>
      <c r="J2096" s="148" t="s">
        <v>150</v>
      </c>
      <c r="K2096" s="148" t="s">
        <v>708</v>
      </c>
      <c r="M2096" s="148" t="s">
        <v>82</v>
      </c>
      <c r="N2096" s="148">
        <v>8</v>
      </c>
      <c r="O2096" s="148" t="s">
        <v>83</v>
      </c>
      <c r="P2096" s="148" t="s">
        <v>146</v>
      </c>
    </row>
    <row r="2097" spans="1:26" ht="15.75" hidden="1" customHeight="1" x14ac:dyDescent="0.25">
      <c r="A2097" s="148" t="s">
        <v>76</v>
      </c>
      <c r="B2097" s="148" t="s">
        <v>89</v>
      </c>
      <c r="C2097" s="148" t="s">
        <v>90</v>
      </c>
      <c r="D2097" s="148" t="s">
        <v>29</v>
      </c>
      <c r="E2097" s="148" t="s">
        <v>30</v>
      </c>
      <c r="F2097" s="148" t="s">
        <v>91</v>
      </c>
      <c r="G2097" s="148" t="s">
        <v>747</v>
      </c>
      <c r="H2097" s="148">
        <v>2015</v>
      </c>
      <c r="I2097" s="148">
        <v>4</v>
      </c>
      <c r="J2097" s="148" t="s">
        <v>118</v>
      </c>
      <c r="K2097" s="148" t="s">
        <v>708</v>
      </c>
      <c r="M2097" s="148" t="s">
        <v>82</v>
      </c>
      <c r="N2097" s="148">
        <v>8</v>
      </c>
      <c r="O2097" s="148" t="s">
        <v>101</v>
      </c>
      <c r="P2097" s="148" t="s">
        <v>146</v>
      </c>
    </row>
    <row r="2098" spans="1:26" ht="13.5" hidden="1" customHeight="1" x14ac:dyDescent="0.25">
      <c r="A2098" s="148" t="s">
        <v>26</v>
      </c>
      <c r="B2098" s="148" t="s">
        <v>89</v>
      </c>
      <c r="C2098" s="148" t="s">
        <v>90</v>
      </c>
      <c r="D2098" s="148" t="s">
        <v>29</v>
      </c>
      <c r="E2098" s="148" t="s">
        <v>30</v>
      </c>
      <c r="F2098" s="148" t="s">
        <v>91</v>
      </c>
      <c r="G2098" s="148" t="s">
        <v>1306</v>
      </c>
      <c r="H2098" s="148">
        <v>2015</v>
      </c>
      <c r="I2098" s="148">
        <v>4</v>
      </c>
      <c r="J2098" s="148" t="s">
        <v>33</v>
      </c>
      <c r="U2098" s="149" t="s">
        <v>112</v>
      </c>
      <c r="V2098" s="148" t="s">
        <v>3678</v>
      </c>
      <c r="W2098" s="148" t="s">
        <v>34</v>
      </c>
      <c r="X2098" s="148" t="s">
        <v>1307</v>
      </c>
    </row>
    <row r="2099" spans="1:26" ht="15.75" hidden="1" customHeight="1" x14ac:dyDescent="0.25">
      <c r="A2099" s="148" t="s">
        <v>76</v>
      </c>
      <c r="B2099" s="148" t="s">
        <v>62</v>
      </c>
      <c r="C2099" s="148" t="s">
        <v>28</v>
      </c>
      <c r="D2099" s="148" t="s">
        <v>478</v>
      </c>
      <c r="E2099" s="148" t="s">
        <v>30</v>
      </c>
      <c r="F2099" s="148" t="s">
        <v>3183</v>
      </c>
      <c r="G2099" s="148" t="s">
        <v>244</v>
      </c>
      <c r="H2099" s="148">
        <v>2015</v>
      </c>
      <c r="I2099" s="148">
        <v>4</v>
      </c>
      <c r="J2099" s="148" t="s">
        <v>118</v>
      </c>
      <c r="K2099" s="148" t="s">
        <v>708</v>
      </c>
      <c r="M2099" s="148" t="s">
        <v>82</v>
      </c>
      <c r="N2099" s="148">
        <v>8</v>
      </c>
      <c r="O2099" s="148" t="s">
        <v>101</v>
      </c>
      <c r="P2099" s="148" t="s">
        <v>1308</v>
      </c>
    </row>
    <row r="2100" spans="1:26" ht="15.75" hidden="1" customHeight="1" x14ac:dyDescent="0.25">
      <c r="A2100" s="148" t="s">
        <v>76</v>
      </c>
      <c r="B2100" s="148" t="s">
        <v>36</v>
      </c>
      <c r="C2100" s="148" t="s">
        <v>28</v>
      </c>
      <c r="D2100" s="148" t="s">
        <v>342</v>
      </c>
      <c r="E2100" s="148" t="s">
        <v>30</v>
      </c>
      <c r="F2100" s="148" t="s">
        <v>3183</v>
      </c>
      <c r="G2100" s="148" t="s">
        <v>37</v>
      </c>
      <c r="H2100" s="148">
        <v>2015</v>
      </c>
      <c r="I2100" s="148">
        <v>4</v>
      </c>
      <c r="J2100" s="148" t="s">
        <v>118</v>
      </c>
      <c r="K2100" s="148" t="s">
        <v>851</v>
      </c>
      <c r="M2100" s="148" t="s">
        <v>132</v>
      </c>
      <c r="N2100" s="148">
        <v>8</v>
      </c>
      <c r="O2100" s="148" t="s">
        <v>101</v>
      </c>
      <c r="P2100" s="148" t="s">
        <v>1309</v>
      </c>
    </row>
    <row r="2101" spans="1:26" ht="15.75" hidden="1" customHeight="1" x14ac:dyDescent="0.25">
      <c r="A2101" s="148" t="s">
        <v>76</v>
      </c>
      <c r="B2101" s="148" t="s">
        <v>54</v>
      </c>
      <c r="C2101" s="148" t="s">
        <v>55</v>
      </c>
      <c r="D2101" s="148" t="s">
        <v>1082</v>
      </c>
      <c r="E2101" s="148" t="s">
        <v>30</v>
      </c>
      <c r="F2101" s="148" t="s">
        <v>56</v>
      </c>
      <c r="G2101" s="148" t="s">
        <v>54</v>
      </c>
      <c r="H2101" s="148">
        <v>2015</v>
      </c>
      <c r="I2101" s="148">
        <v>4</v>
      </c>
      <c r="J2101" s="148" t="s">
        <v>150</v>
      </c>
      <c r="K2101" s="148" t="s">
        <v>708</v>
      </c>
      <c r="M2101" s="148" t="s">
        <v>82</v>
      </c>
      <c r="N2101" s="148">
        <v>8</v>
      </c>
      <c r="O2101" s="148" t="s">
        <v>83</v>
      </c>
    </row>
    <row r="2102" spans="1:26" ht="15.75" hidden="1" customHeight="1" x14ac:dyDescent="0.25">
      <c r="A2102" s="148" t="s">
        <v>307</v>
      </c>
      <c r="B2102" s="148" t="s">
        <v>77</v>
      </c>
      <c r="C2102" s="148" t="s">
        <v>55</v>
      </c>
      <c r="D2102" s="148" t="s">
        <v>78</v>
      </c>
      <c r="E2102" s="148" t="s">
        <v>30</v>
      </c>
      <c r="F2102" s="148" t="s">
        <v>41</v>
      </c>
      <c r="G2102" s="148" t="s">
        <v>79</v>
      </c>
      <c r="H2102" s="148">
        <v>2015</v>
      </c>
      <c r="I2102" s="148">
        <v>4</v>
      </c>
      <c r="J2102" s="148" t="s">
        <v>399</v>
      </c>
      <c r="Q2102" s="148" t="s">
        <v>309</v>
      </c>
      <c r="R2102" s="148" t="s">
        <v>30</v>
      </c>
      <c r="S2102" s="148" t="s">
        <v>311</v>
      </c>
      <c r="T2102" s="148" t="s">
        <v>1310</v>
      </c>
    </row>
    <row r="2103" spans="1:26" ht="15.75" customHeight="1" x14ac:dyDescent="0.25">
      <c r="A2103" s="148" t="s">
        <v>76</v>
      </c>
      <c r="B2103" s="148" t="s">
        <v>36</v>
      </c>
      <c r="C2103" s="148" t="s">
        <v>28</v>
      </c>
      <c r="D2103" s="148" t="s">
        <v>1304</v>
      </c>
      <c r="E2103" s="148" t="s">
        <v>30</v>
      </c>
      <c r="F2103" s="148" t="s">
        <v>3183</v>
      </c>
      <c r="G2103" s="148" t="s">
        <v>194</v>
      </c>
      <c r="H2103" s="148">
        <v>2015</v>
      </c>
      <c r="I2103" s="148">
        <v>4</v>
      </c>
      <c r="J2103" s="148" t="s">
        <v>118</v>
      </c>
      <c r="K2103" s="148" t="s">
        <v>708</v>
      </c>
      <c r="M2103" s="148" t="s">
        <v>82</v>
      </c>
      <c r="N2103" s="148">
        <v>8</v>
      </c>
      <c r="O2103" s="148" t="s">
        <v>101</v>
      </c>
      <c r="P2103" s="148" t="s">
        <v>709</v>
      </c>
    </row>
    <row r="2104" spans="1:26" ht="15.75" hidden="1" customHeight="1" x14ac:dyDescent="0.25">
      <c r="A2104" s="148" t="s">
        <v>26</v>
      </c>
      <c r="B2104" s="148" t="s">
        <v>89</v>
      </c>
      <c r="C2104" s="148" t="s">
        <v>90</v>
      </c>
      <c r="D2104" s="148" t="s">
        <v>478</v>
      </c>
      <c r="E2104" s="148" t="s">
        <v>30</v>
      </c>
      <c r="F2104" s="148" t="s">
        <v>91</v>
      </c>
      <c r="G2104" s="148" t="s">
        <v>92</v>
      </c>
      <c r="H2104" s="148">
        <v>2015</v>
      </c>
      <c r="I2104" s="148">
        <v>4</v>
      </c>
      <c r="J2104" s="148" t="s">
        <v>33</v>
      </c>
      <c r="U2104" s="149" t="s">
        <v>112</v>
      </c>
      <c r="V2104" s="148" t="s">
        <v>3678</v>
      </c>
      <c r="W2104" s="148" t="s">
        <v>34</v>
      </c>
      <c r="X2104" s="148" t="s">
        <v>1307</v>
      </c>
    </row>
    <row r="2105" spans="1:26" ht="13.5" hidden="1" customHeight="1" x14ac:dyDescent="0.25">
      <c r="A2105" s="148" t="s">
        <v>76</v>
      </c>
      <c r="B2105" s="148" t="s">
        <v>36</v>
      </c>
      <c r="C2105" s="148" t="s">
        <v>28</v>
      </c>
      <c r="D2105" s="148" t="s">
        <v>342</v>
      </c>
      <c r="E2105" s="148" t="s">
        <v>51</v>
      </c>
      <c r="F2105" s="148" t="s">
        <v>3183</v>
      </c>
      <c r="G2105" s="148" t="s">
        <v>52</v>
      </c>
      <c r="H2105" s="148">
        <v>2015</v>
      </c>
      <c r="I2105" s="148">
        <v>4</v>
      </c>
      <c r="J2105" s="148" t="s">
        <v>118</v>
      </c>
      <c r="K2105" s="148" t="s">
        <v>579</v>
      </c>
      <c r="M2105" s="148" t="s">
        <v>126</v>
      </c>
      <c r="N2105" s="148">
        <v>10</v>
      </c>
      <c r="O2105" s="148" t="s">
        <v>101</v>
      </c>
      <c r="P2105" s="148" t="s">
        <v>146</v>
      </c>
    </row>
    <row r="2106" spans="1:26" ht="15.75" hidden="1" customHeight="1" x14ac:dyDescent="0.25">
      <c r="A2106" s="148" t="s">
        <v>26</v>
      </c>
      <c r="B2106" s="148" t="s">
        <v>116</v>
      </c>
      <c r="C2106" s="148" t="s">
        <v>90</v>
      </c>
      <c r="D2106" s="148" t="s">
        <v>29</v>
      </c>
      <c r="E2106" s="148" t="s">
        <v>30</v>
      </c>
      <c r="F2106" s="148" t="s">
        <v>41</v>
      </c>
      <c r="G2106" s="148" t="s">
        <v>683</v>
      </c>
      <c r="H2106" s="148">
        <v>2015</v>
      </c>
      <c r="I2106" s="148">
        <v>4</v>
      </c>
      <c r="J2106" s="148" t="s">
        <v>1311</v>
      </c>
      <c r="U2106" s="149" t="s">
        <v>3629</v>
      </c>
      <c r="V2106" s="149" t="s">
        <v>1293</v>
      </c>
      <c r="W2106" s="148" t="s">
        <v>49</v>
      </c>
      <c r="X2106" s="149" t="s">
        <v>3626</v>
      </c>
      <c r="Y2106" s="150" t="s">
        <v>3627</v>
      </c>
      <c r="Z2106" s="149" t="s">
        <v>3625</v>
      </c>
    </row>
    <row r="2107" spans="1:26" ht="15.75" hidden="1" customHeight="1" x14ac:dyDescent="0.25">
      <c r="A2107" s="148" t="s">
        <v>307</v>
      </c>
      <c r="B2107" s="148" t="s">
        <v>36</v>
      </c>
      <c r="C2107" s="148" t="s">
        <v>28</v>
      </c>
      <c r="D2107" s="148" t="s">
        <v>887</v>
      </c>
      <c r="E2107" s="148" t="s">
        <v>30</v>
      </c>
      <c r="F2107" s="148" t="s">
        <v>3183</v>
      </c>
      <c r="G2107" s="148" t="s">
        <v>888</v>
      </c>
      <c r="H2107" s="148">
        <v>2015</v>
      </c>
      <c r="I2107" s="148">
        <v>5</v>
      </c>
      <c r="J2107" s="148" t="s">
        <v>399</v>
      </c>
      <c r="Q2107" s="148" t="s">
        <v>426</v>
      </c>
      <c r="R2107" s="148" t="s">
        <v>1312</v>
      </c>
      <c r="S2107" s="148" t="s">
        <v>427</v>
      </c>
      <c r="T2107" s="148" t="s">
        <v>1313</v>
      </c>
      <c r="Z2107" s="148" t="s">
        <v>891</v>
      </c>
    </row>
    <row r="2108" spans="1:26" ht="15.75" hidden="1" customHeight="1" x14ac:dyDescent="0.25">
      <c r="A2108" s="148" t="s">
        <v>76</v>
      </c>
      <c r="B2108" s="148" t="s">
        <v>71</v>
      </c>
      <c r="C2108" s="148" t="s">
        <v>45</v>
      </c>
      <c r="D2108" s="148" t="s">
        <v>478</v>
      </c>
      <c r="E2108" s="148" t="s">
        <v>72</v>
      </c>
      <c r="F2108" s="148" t="s">
        <v>3183</v>
      </c>
      <c r="G2108" s="148" t="s">
        <v>73</v>
      </c>
      <c r="H2108" s="148">
        <v>2015</v>
      </c>
      <c r="I2108" s="148">
        <v>5</v>
      </c>
      <c r="J2108" s="148" t="s">
        <v>118</v>
      </c>
      <c r="K2108" s="148" t="s">
        <v>1314</v>
      </c>
      <c r="M2108" s="148" t="s">
        <v>120</v>
      </c>
      <c r="N2108" s="148">
        <v>6</v>
      </c>
      <c r="O2108" s="148" t="s">
        <v>101</v>
      </c>
      <c r="P2108" s="148" t="s">
        <v>1315</v>
      </c>
    </row>
    <row r="2109" spans="1:26" ht="15.75" hidden="1" customHeight="1" x14ac:dyDescent="0.25">
      <c r="A2109" s="148" t="s">
        <v>76</v>
      </c>
      <c r="B2109" s="148" t="s">
        <v>103</v>
      </c>
      <c r="C2109" s="148" t="s">
        <v>55</v>
      </c>
      <c r="D2109" s="148" t="s">
        <v>478</v>
      </c>
      <c r="E2109" s="148" t="s">
        <v>30</v>
      </c>
      <c r="F2109" s="148" t="s">
        <v>56</v>
      </c>
      <c r="G2109" s="148" t="s">
        <v>171</v>
      </c>
      <c r="H2109" s="148">
        <v>2015</v>
      </c>
      <c r="I2109" s="148">
        <v>5</v>
      </c>
      <c r="J2109" s="148" t="s">
        <v>118</v>
      </c>
      <c r="K2109" s="148" t="s">
        <v>502</v>
      </c>
      <c r="M2109" s="148" t="s">
        <v>126</v>
      </c>
      <c r="N2109" s="148">
        <v>10</v>
      </c>
      <c r="O2109" s="148" t="s">
        <v>101</v>
      </c>
      <c r="P2109" s="148" t="s">
        <v>146</v>
      </c>
    </row>
    <row r="2110" spans="1:26" ht="15.75" hidden="1" customHeight="1" x14ac:dyDescent="0.25">
      <c r="A2110" s="148" t="s">
        <v>26</v>
      </c>
      <c r="B2110" s="148" t="s">
        <v>198</v>
      </c>
      <c r="C2110" s="148" t="s">
        <v>45</v>
      </c>
      <c r="D2110" s="148" t="s">
        <v>478</v>
      </c>
      <c r="E2110" s="148" t="s">
        <v>30</v>
      </c>
      <c r="F2110" s="148" t="s">
        <v>199</v>
      </c>
      <c r="G2110" s="148" t="s">
        <v>208</v>
      </c>
      <c r="H2110" s="148">
        <v>2015</v>
      </c>
      <c r="I2110" s="148">
        <v>5</v>
      </c>
      <c r="J2110" s="148" t="s">
        <v>33</v>
      </c>
      <c r="U2110" s="149" t="s">
        <v>112</v>
      </c>
      <c r="V2110" s="148" t="s">
        <v>3679</v>
      </c>
      <c r="W2110" s="148" t="s">
        <v>34</v>
      </c>
      <c r="X2110" s="148" t="s">
        <v>1307</v>
      </c>
    </row>
    <row r="2111" spans="1:26" ht="15.75" hidden="1" customHeight="1" x14ac:dyDescent="0.25">
      <c r="A2111" s="148" t="s">
        <v>307</v>
      </c>
      <c r="B2111" s="148" t="s">
        <v>103</v>
      </c>
      <c r="C2111" s="148" t="s">
        <v>55</v>
      </c>
      <c r="D2111" s="148" t="s">
        <v>478</v>
      </c>
      <c r="E2111" s="148" t="s">
        <v>95</v>
      </c>
      <c r="F2111" s="148" t="s">
        <v>56</v>
      </c>
      <c r="G2111" s="148" t="s">
        <v>111</v>
      </c>
      <c r="H2111" s="148">
        <v>2015</v>
      </c>
      <c r="I2111" s="148">
        <v>5</v>
      </c>
      <c r="J2111" s="148" t="s">
        <v>308</v>
      </c>
      <c r="Q2111" s="148" t="s">
        <v>426</v>
      </c>
      <c r="R2111" s="148" t="s">
        <v>30</v>
      </c>
      <c r="S2111" s="148" t="s">
        <v>427</v>
      </c>
      <c r="T2111" s="148" t="s">
        <v>1316</v>
      </c>
      <c r="Y2111" s="150" t="s">
        <v>1317</v>
      </c>
    </row>
    <row r="2112" spans="1:26" ht="15.75" hidden="1" customHeight="1" x14ac:dyDescent="0.25">
      <c r="A2112" s="148" t="s">
        <v>76</v>
      </c>
      <c r="B2112" s="148" t="s">
        <v>36</v>
      </c>
      <c r="C2112" s="148" t="s">
        <v>28</v>
      </c>
      <c r="D2112" s="148" t="s">
        <v>29</v>
      </c>
      <c r="E2112" s="148" t="s">
        <v>30</v>
      </c>
      <c r="F2112" s="148" t="s">
        <v>3183</v>
      </c>
      <c r="G2112" s="148" t="s">
        <v>722</v>
      </c>
      <c r="H2112" s="148">
        <v>2015</v>
      </c>
      <c r="I2112" s="148">
        <v>5</v>
      </c>
      <c r="J2112" s="148" t="s">
        <v>80</v>
      </c>
      <c r="K2112" s="148" t="s">
        <v>874</v>
      </c>
      <c r="M2112" s="148" t="s">
        <v>1318</v>
      </c>
      <c r="N2112" s="148">
        <v>6</v>
      </c>
      <c r="O2112" s="148" t="s">
        <v>83</v>
      </c>
      <c r="P2112" s="148" t="s">
        <v>1319</v>
      </c>
    </row>
    <row r="2113" spans="1:25" ht="15.75" hidden="1" customHeight="1" x14ac:dyDescent="0.25">
      <c r="A2113" s="148" t="s">
        <v>76</v>
      </c>
      <c r="B2113" s="148" t="s">
        <v>36</v>
      </c>
      <c r="C2113" s="148" t="s">
        <v>28</v>
      </c>
      <c r="D2113" s="148" t="s">
        <v>478</v>
      </c>
      <c r="E2113" s="148" t="s">
        <v>30</v>
      </c>
      <c r="F2113" s="148" t="s">
        <v>3183</v>
      </c>
      <c r="G2113" s="148" t="s">
        <v>59</v>
      </c>
      <c r="H2113" s="148">
        <v>2015</v>
      </c>
      <c r="I2113" s="148">
        <v>5</v>
      </c>
      <c r="J2113" s="148" t="s">
        <v>640</v>
      </c>
      <c r="K2113" s="148" t="s">
        <v>874</v>
      </c>
      <c r="M2113" s="148" t="s">
        <v>120</v>
      </c>
      <c r="N2113" s="148">
        <v>6</v>
      </c>
      <c r="O2113" s="148" t="s">
        <v>83</v>
      </c>
      <c r="P2113" s="148" t="s">
        <v>1319</v>
      </c>
    </row>
    <row r="2114" spans="1:25" ht="15.75" hidden="1" customHeight="1" x14ac:dyDescent="0.25">
      <c r="A2114" s="148" t="s">
        <v>76</v>
      </c>
      <c r="B2114" s="148" t="s">
        <v>103</v>
      </c>
      <c r="C2114" s="148" t="s">
        <v>55</v>
      </c>
      <c r="D2114" s="148" t="s">
        <v>478</v>
      </c>
      <c r="E2114" s="148" t="s">
        <v>95</v>
      </c>
      <c r="F2114" s="148" t="s">
        <v>56</v>
      </c>
      <c r="G2114" s="148" t="s">
        <v>107</v>
      </c>
      <c r="H2114" s="148">
        <v>2015</v>
      </c>
      <c r="I2114" s="148">
        <v>5</v>
      </c>
      <c r="J2114" s="148" t="s">
        <v>118</v>
      </c>
      <c r="K2114" s="148" t="s">
        <v>708</v>
      </c>
      <c r="M2114" s="148" t="s">
        <v>82</v>
      </c>
      <c r="N2114" s="148">
        <v>8</v>
      </c>
      <c r="O2114" s="148" t="s">
        <v>101</v>
      </c>
      <c r="P2114" s="148" t="s">
        <v>425</v>
      </c>
    </row>
    <row r="2115" spans="1:25" ht="15.75" hidden="1" customHeight="1" x14ac:dyDescent="0.25">
      <c r="A2115" s="148" t="s">
        <v>76</v>
      </c>
      <c r="B2115" s="148" t="s">
        <v>62</v>
      </c>
      <c r="C2115" s="148" t="s">
        <v>28</v>
      </c>
      <c r="D2115" s="148" t="s">
        <v>759</v>
      </c>
      <c r="E2115" s="148" t="s">
        <v>51</v>
      </c>
      <c r="F2115" s="148" t="s">
        <v>3183</v>
      </c>
      <c r="G2115" s="148" t="s">
        <v>409</v>
      </c>
      <c r="H2115" s="148">
        <v>2015</v>
      </c>
      <c r="I2115" s="148">
        <v>5</v>
      </c>
      <c r="J2115" s="148" t="s">
        <v>640</v>
      </c>
      <c r="K2115" s="148" t="s">
        <v>874</v>
      </c>
      <c r="M2115" s="148" t="s">
        <v>120</v>
      </c>
      <c r="N2115" s="148">
        <v>6</v>
      </c>
      <c r="O2115" s="148" t="s">
        <v>83</v>
      </c>
      <c r="P2115" s="148" t="s">
        <v>1320</v>
      </c>
    </row>
    <row r="2116" spans="1:25" ht="15.75" hidden="1" customHeight="1" x14ac:dyDescent="0.25">
      <c r="A2116" s="148" t="s">
        <v>76</v>
      </c>
      <c r="B2116" s="148" t="s">
        <v>36</v>
      </c>
      <c r="C2116" s="148" t="s">
        <v>28</v>
      </c>
      <c r="D2116" s="148" t="s">
        <v>342</v>
      </c>
      <c r="E2116" s="148" t="s">
        <v>30</v>
      </c>
      <c r="F2116" s="148" t="s">
        <v>3183</v>
      </c>
      <c r="G2116" s="148" t="s">
        <v>242</v>
      </c>
      <c r="H2116" s="148">
        <v>2015</v>
      </c>
      <c r="I2116" s="148">
        <v>5</v>
      </c>
      <c r="J2116" s="148" t="s">
        <v>150</v>
      </c>
      <c r="K2116" s="148" t="s">
        <v>579</v>
      </c>
      <c r="M2116" s="148" t="s">
        <v>126</v>
      </c>
      <c r="N2116" s="148">
        <v>10</v>
      </c>
      <c r="O2116" s="148" t="s">
        <v>83</v>
      </c>
    </row>
    <row r="2117" spans="1:25" ht="15.75" hidden="1" customHeight="1" x14ac:dyDescent="0.25">
      <c r="A2117" s="148" t="s">
        <v>76</v>
      </c>
      <c r="B2117" s="148" t="s">
        <v>36</v>
      </c>
      <c r="C2117" s="148" t="s">
        <v>28</v>
      </c>
      <c r="D2117" s="148" t="s">
        <v>478</v>
      </c>
      <c r="E2117" s="148" t="s">
        <v>30</v>
      </c>
      <c r="F2117" s="148" t="s">
        <v>3183</v>
      </c>
      <c r="G2117" s="148" t="s">
        <v>67</v>
      </c>
      <c r="H2117" s="148">
        <v>2015</v>
      </c>
      <c r="I2117" s="148">
        <v>5</v>
      </c>
      <c r="J2117" s="148" t="s">
        <v>118</v>
      </c>
      <c r="K2117" s="148" t="s">
        <v>579</v>
      </c>
      <c r="M2117" s="148" t="s">
        <v>126</v>
      </c>
      <c r="N2117" s="148">
        <v>10</v>
      </c>
      <c r="O2117" s="148" t="s">
        <v>101</v>
      </c>
      <c r="P2117" s="148" t="s">
        <v>146</v>
      </c>
    </row>
    <row r="2118" spans="1:25" ht="15.75" hidden="1" customHeight="1" x14ac:dyDescent="0.25">
      <c r="A2118" s="148" t="s">
        <v>76</v>
      </c>
      <c r="B2118" s="148" t="s">
        <v>103</v>
      </c>
      <c r="C2118" s="148" t="s">
        <v>55</v>
      </c>
      <c r="D2118" s="148" t="s">
        <v>29</v>
      </c>
      <c r="E2118" s="148" t="s">
        <v>95</v>
      </c>
      <c r="F2118" s="148" t="s">
        <v>56</v>
      </c>
      <c r="G2118" s="148" t="s">
        <v>95</v>
      </c>
      <c r="H2118" s="148">
        <v>2015</v>
      </c>
      <c r="I2118" s="148">
        <v>5</v>
      </c>
      <c r="J2118" s="148" t="s">
        <v>640</v>
      </c>
      <c r="K2118" s="148" t="s">
        <v>874</v>
      </c>
      <c r="M2118" s="148" t="s">
        <v>120</v>
      </c>
      <c r="N2118" s="148">
        <v>6</v>
      </c>
      <c r="O2118" s="148" t="s">
        <v>83</v>
      </c>
      <c r="P2118" s="148" t="s">
        <v>3325</v>
      </c>
    </row>
    <row r="2119" spans="1:25" ht="15.75" hidden="1" customHeight="1" x14ac:dyDescent="0.25">
      <c r="A2119" s="148" t="s">
        <v>76</v>
      </c>
      <c r="B2119" s="148" t="s">
        <v>71</v>
      </c>
      <c r="C2119" s="148" t="s">
        <v>45</v>
      </c>
      <c r="D2119" s="148" t="s">
        <v>478</v>
      </c>
      <c r="E2119" s="148" t="s">
        <v>72</v>
      </c>
      <c r="F2119" s="148" t="s">
        <v>3183</v>
      </c>
      <c r="G2119" s="148" t="s">
        <v>75</v>
      </c>
      <c r="H2119" s="148">
        <v>2015</v>
      </c>
      <c r="I2119" s="148">
        <v>5</v>
      </c>
      <c r="J2119" s="148" t="s">
        <v>640</v>
      </c>
      <c r="K2119" s="148" t="s">
        <v>874</v>
      </c>
      <c r="M2119" s="148" t="s">
        <v>120</v>
      </c>
      <c r="N2119" s="148">
        <v>6</v>
      </c>
      <c r="O2119" s="148" t="s">
        <v>83</v>
      </c>
      <c r="P2119" s="148" t="s">
        <v>1319</v>
      </c>
    </row>
    <row r="2120" spans="1:25" ht="15.75" hidden="1" customHeight="1" x14ac:dyDescent="0.25">
      <c r="A2120" s="148" t="s">
        <v>26</v>
      </c>
      <c r="B2120" s="148" t="s">
        <v>116</v>
      </c>
      <c r="C2120" s="148" t="s">
        <v>90</v>
      </c>
      <c r="D2120" s="148" t="s">
        <v>29</v>
      </c>
      <c r="E2120" s="148" t="s">
        <v>30</v>
      </c>
      <c r="F2120" s="148" t="s">
        <v>41</v>
      </c>
      <c r="G2120" s="148" t="s">
        <v>784</v>
      </c>
      <c r="H2120" s="148">
        <v>2015</v>
      </c>
      <c r="I2120" s="148">
        <v>5</v>
      </c>
      <c r="J2120" s="148" t="s">
        <v>792</v>
      </c>
      <c r="U2120" s="149" t="s">
        <v>3629</v>
      </c>
      <c r="V2120" s="148" t="s">
        <v>1321</v>
      </c>
      <c r="W2120" s="148" t="s">
        <v>34</v>
      </c>
      <c r="X2120" s="148" t="s">
        <v>1322</v>
      </c>
    </row>
    <row r="2121" spans="1:25" ht="15.75" hidden="1" customHeight="1" x14ac:dyDescent="0.25">
      <c r="A2121" s="148" t="s">
        <v>76</v>
      </c>
      <c r="B2121" s="148" t="s">
        <v>27</v>
      </c>
      <c r="C2121" s="148" t="s">
        <v>28</v>
      </c>
      <c r="D2121" s="148" t="s">
        <v>1302</v>
      </c>
      <c r="E2121" s="148" t="s">
        <v>40</v>
      </c>
      <c r="F2121" s="148" t="s">
        <v>41</v>
      </c>
      <c r="G2121" s="148" t="s">
        <v>42</v>
      </c>
      <c r="H2121" s="148">
        <v>2015</v>
      </c>
      <c r="I2121" s="148">
        <v>5</v>
      </c>
      <c r="J2121" s="148" t="s">
        <v>118</v>
      </c>
      <c r="K2121" s="148" t="s">
        <v>768</v>
      </c>
      <c r="M2121" s="148" t="s">
        <v>120</v>
      </c>
      <c r="N2121" s="148">
        <v>6</v>
      </c>
      <c r="O2121" s="148" t="s">
        <v>101</v>
      </c>
      <c r="P2121" s="148" t="s">
        <v>1323</v>
      </c>
    </row>
    <row r="2122" spans="1:25" ht="15.75" hidden="1" customHeight="1" x14ac:dyDescent="0.25">
      <c r="A2122" s="148" t="s">
        <v>76</v>
      </c>
      <c r="B2122" s="148" t="s">
        <v>54</v>
      </c>
      <c r="C2122" s="148" t="s">
        <v>55</v>
      </c>
      <c r="D2122" s="148" t="s">
        <v>1082</v>
      </c>
      <c r="E2122" s="148" t="s">
        <v>30</v>
      </c>
      <c r="F2122" s="148" t="s">
        <v>56</v>
      </c>
      <c r="G2122" s="148" t="s">
        <v>54</v>
      </c>
      <c r="H2122" s="148">
        <v>2015</v>
      </c>
      <c r="I2122" s="148">
        <v>5</v>
      </c>
      <c r="J2122" s="148" t="s">
        <v>150</v>
      </c>
      <c r="K2122" s="148" t="s">
        <v>502</v>
      </c>
      <c r="M2122" s="148" t="s">
        <v>126</v>
      </c>
      <c r="N2122" s="148">
        <v>10</v>
      </c>
      <c r="O2122" s="148" t="s">
        <v>83</v>
      </c>
    </row>
    <row r="2123" spans="1:25" ht="15.75" hidden="1" customHeight="1" x14ac:dyDescent="0.25">
      <c r="A2123" s="148" t="s">
        <v>26</v>
      </c>
      <c r="B2123" s="148" t="s">
        <v>54</v>
      </c>
      <c r="C2123" s="148" t="s">
        <v>55</v>
      </c>
      <c r="D2123" s="148" t="s">
        <v>1082</v>
      </c>
      <c r="E2123" s="148" t="s">
        <v>30</v>
      </c>
      <c r="F2123" s="148" t="s">
        <v>56</v>
      </c>
      <c r="G2123" s="148" t="s">
        <v>54</v>
      </c>
      <c r="H2123" s="148">
        <v>2015</v>
      </c>
      <c r="I2123" s="148">
        <v>5</v>
      </c>
      <c r="J2123" s="148" t="s">
        <v>33</v>
      </c>
      <c r="U2123" s="149" t="s">
        <v>3629</v>
      </c>
      <c r="V2123" s="148" t="s">
        <v>1324</v>
      </c>
      <c r="W2123" s="148" t="s">
        <v>49</v>
      </c>
      <c r="X2123" s="148" t="s">
        <v>1325</v>
      </c>
    </row>
    <row r="2124" spans="1:25" ht="15.75" hidden="1" customHeight="1" x14ac:dyDescent="0.25">
      <c r="A2124" s="148" t="s">
        <v>307</v>
      </c>
      <c r="B2124" s="148" t="s">
        <v>54</v>
      </c>
      <c r="C2124" s="148" t="s">
        <v>55</v>
      </c>
      <c r="D2124" s="148" t="s">
        <v>1082</v>
      </c>
      <c r="E2124" s="148" t="s">
        <v>30</v>
      </c>
      <c r="F2124" s="148" t="s">
        <v>56</v>
      </c>
      <c r="G2124" s="148" t="s">
        <v>54</v>
      </c>
      <c r="H2124" s="148">
        <v>2015</v>
      </c>
      <c r="I2124" s="148">
        <v>5</v>
      </c>
      <c r="J2124" s="148" t="s">
        <v>308</v>
      </c>
      <c r="Q2124" s="148" t="s">
        <v>594</v>
      </c>
      <c r="R2124" s="148" t="s">
        <v>1326</v>
      </c>
      <c r="S2124" s="148" t="s">
        <v>427</v>
      </c>
      <c r="T2124" s="148" t="s">
        <v>1327</v>
      </c>
    </row>
    <row r="2125" spans="1:25" ht="15.75" customHeight="1" x14ac:dyDescent="0.25">
      <c r="A2125" s="148" t="s">
        <v>76</v>
      </c>
      <c r="B2125" s="148" t="s">
        <v>36</v>
      </c>
      <c r="C2125" s="148" t="s">
        <v>28</v>
      </c>
      <c r="D2125" s="148" t="s">
        <v>1304</v>
      </c>
      <c r="E2125" s="148" t="s">
        <v>30</v>
      </c>
      <c r="F2125" s="148" t="s">
        <v>3183</v>
      </c>
      <c r="G2125" s="148" t="s">
        <v>194</v>
      </c>
      <c r="H2125" s="148">
        <v>2015</v>
      </c>
      <c r="I2125" s="148">
        <v>5</v>
      </c>
      <c r="J2125" s="148" t="s">
        <v>640</v>
      </c>
      <c r="K2125" s="148" t="s">
        <v>874</v>
      </c>
      <c r="M2125" s="148" t="s">
        <v>120</v>
      </c>
      <c r="N2125" s="148">
        <v>6</v>
      </c>
      <c r="O2125" s="148" t="s">
        <v>83</v>
      </c>
      <c r="P2125" s="148" t="s">
        <v>1319</v>
      </c>
    </row>
    <row r="2126" spans="1:25" ht="15.75" hidden="1" customHeight="1" x14ac:dyDescent="0.25">
      <c r="A2126" s="148" t="s">
        <v>307</v>
      </c>
      <c r="B2126" s="148" t="s">
        <v>36</v>
      </c>
      <c r="C2126" s="148" t="s">
        <v>28</v>
      </c>
      <c r="D2126" s="148" t="s">
        <v>1304</v>
      </c>
      <c r="E2126" s="148" t="s">
        <v>30</v>
      </c>
      <c r="F2126" s="148" t="s">
        <v>3183</v>
      </c>
      <c r="G2126" s="148" t="s">
        <v>194</v>
      </c>
      <c r="H2126" s="148">
        <v>2015</v>
      </c>
      <c r="I2126" s="148">
        <v>5</v>
      </c>
      <c r="J2126" s="148" t="s">
        <v>308</v>
      </c>
      <c r="Q2126" s="148" t="s">
        <v>594</v>
      </c>
      <c r="R2126" s="148" t="s">
        <v>1328</v>
      </c>
      <c r="S2126" s="148" t="s">
        <v>427</v>
      </c>
      <c r="T2126" s="148" t="s">
        <v>1329</v>
      </c>
      <c r="Y2126" s="150" t="s">
        <v>1330</v>
      </c>
    </row>
    <row r="2127" spans="1:25" ht="15.75" hidden="1" customHeight="1" x14ac:dyDescent="0.25">
      <c r="A2127" s="148" t="s">
        <v>76</v>
      </c>
      <c r="B2127" s="148" t="s">
        <v>62</v>
      </c>
      <c r="C2127" s="148" t="s">
        <v>28</v>
      </c>
      <c r="D2127" s="148" t="s">
        <v>86</v>
      </c>
      <c r="E2127" s="148" t="s">
        <v>51</v>
      </c>
      <c r="F2127" s="148" t="s">
        <v>3183</v>
      </c>
      <c r="G2127" s="148" t="s">
        <v>130</v>
      </c>
      <c r="H2127" s="148">
        <v>2015</v>
      </c>
      <c r="I2127" s="148">
        <v>5</v>
      </c>
      <c r="J2127" s="148" t="s">
        <v>640</v>
      </c>
      <c r="K2127" s="148" t="s">
        <v>874</v>
      </c>
      <c r="M2127" s="148" t="s">
        <v>120</v>
      </c>
      <c r="N2127" s="148">
        <v>6</v>
      </c>
      <c r="O2127" s="148" t="s">
        <v>83</v>
      </c>
      <c r="P2127" s="148" t="s">
        <v>1319</v>
      </c>
    </row>
    <row r="2128" spans="1:25" ht="13.5" hidden="1" customHeight="1" x14ac:dyDescent="0.25">
      <c r="A2128" s="148" t="s">
        <v>76</v>
      </c>
      <c r="B2128" s="148" t="s">
        <v>27</v>
      </c>
      <c r="C2128" s="148" t="s">
        <v>28</v>
      </c>
      <c r="D2128" s="148" t="s">
        <v>86</v>
      </c>
      <c r="E2128" s="148" t="s">
        <v>30</v>
      </c>
      <c r="F2128" s="148" t="s">
        <v>3183</v>
      </c>
      <c r="G2128" s="148" t="s">
        <v>43</v>
      </c>
      <c r="H2128" s="148">
        <v>2015</v>
      </c>
      <c r="I2128" s="148">
        <v>5</v>
      </c>
      <c r="J2128" s="148" t="s">
        <v>640</v>
      </c>
      <c r="K2128" s="148" t="s">
        <v>874</v>
      </c>
      <c r="M2128" s="148" t="s">
        <v>120</v>
      </c>
      <c r="N2128" s="148">
        <v>6</v>
      </c>
      <c r="O2128" s="148" t="s">
        <v>83</v>
      </c>
      <c r="P2128" s="148" t="s">
        <v>1319</v>
      </c>
    </row>
    <row r="2129" spans="1:25" ht="15.75" hidden="1" customHeight="1" x14ac:dyDescent="0.25">
      <c r="A2129" s="148" t="s">
        <v>76</v>
      </c>
      <c r="B2129" s="148" t="s">
        <v>103</v>
      </c>
      <c r="C2129" s="148" t="s">
        <v>55</v>
      </c>
      <c r="D2129" s="148" t="s">
        <v>29</v>
      </c>
      <c r="E2129" s="148" t="s">
        <v>30</v>
      </c>
      <c r="F2129" s="148" t="s">
        <v>56</v>
      </c>
      <c r="G2129" s="148" t="s">
        <v>381</v>
      </c>
      <c r="H2129" s="148">
        <v>2015</v>
      </c>
      <c r="I2129" s="148">
        <v>5</v>
      </c>
      <c r="J2129" s="148" t="s">
        <v>150</v>
      </c>
      <c r="K2129" s="148" t="s">
        <v>874</v>
      </c>
      <c r="M2129" s="148" t="s">
        <v>120</v>
      </c>
      <c r="N2129" s="148">
        <v>6</v>
      </c>
      <c r="O2129" s="148" t="s">
        <v>83</v>
      </c>
      <c r="P2129" s="148" t="s">
        <v>1331</v>
      </c>
    </row>
    <row r="2130" spans="1:25" ht="15.75" hidden="1" customHeight="1" x14ac:dyDescent="0.25">
      <c r="A2130" s="148" t="s">
        <v>76</v>
      </c>
      <c r="B2130" s="148" t="s">
        <v>36</v>
      </c>
      <c r="C2130" s="148" t="s">
        <v>28</v>
      </c>
      <c r="D2130" s="148" t="s">
        <v>342</v>
      </c>
      <c r="E2130" s="148" t="s">
        <v>51</v>
      </c>
      <c r="F2130" s="148" t="s">
        <v>3183</v>
      </c>
      <c r="G2130" s="148" t="s">
        <v>52</v>
      </c>
      <c r="H2130" s="148">
        <v>2015</v>
      </c>
      <c r="I2130" s="148">
        <v>5</v>
      </c>
      <c r="J2130" s="148" t="s">
        <v>150</v>
      </c>
      <c r="K2130" s="148" t="s">
        <v>579</v>
      </c>
      <c r="M2130" s="148" t="s">
        <v>126</v>
      </c>
      <c r="N2130" s="148">
        <v>10</v>
      </c>
      <c r="O2130" s="148" t="s">
        <v>83</v>
      </c>
    </row>
    <row r="2131" spans="1:25" ht="15.75" hidden="1" customHeight="1" x14ac:dyDescent="0.25">
      <c r="A2131" s="148" t="s">
        <v>307</v>
      </c>
      <c r="B2131" s="148" t="s">
        <v>103</v>
      </c>
      <c r="C2131" s="148" t="s">
        <v>55</v>
      </c>
      <c r="D2131" s="148" t="s">
        <v>86</v>
      </c>
      <c r="E2131" s="148" t="s">
        <v>95</v>
      </c>
      <c r="F2131" s="148" t="s">
        <v>56</v>
      </c>
      <c r="G2131" s="148" t="s">
        <v>186</v>
      </c>
      <c r="H2131" s="148">
        <v>2015</v>
      </c>
      <c r="I2131" s="148">
        <v>5</v>
      </c>
      <c r="J2131" s="148" t="s">
        <v>308</v>
      </c>
      <c r="Q2131" s="148" t="s">
        <v>426</v>
      </c>
      <c r="R2131" s="148" t="s">
        <v>30</v>
      </c>
      <c r="S2131" s="148" t="s">
        <v>427</v>
      </c>
      <c r="T2131" s="148" t="s">
        <v>1332</v>
      </c>
    </row>
    <row r="2132" spans="1:25" ht="15.75" hidden="1" customHeight="1" x14ac:dyDescent="0.25">
      <c r="A2132" s="148" t="s">
        <v>26</v>
      </c>
      <c r="B2132" s="148" t="s">
        <v>103</v>
      </c>
      <c r="C2132" s="148" t="s">
        <v>55</v>
      </c>
      <c r="D2132" s="148" t="s">
        <v>86</v>
      </c>
      <c r="E2132" s="148" t="s">
        <v>95</v>
      </c>
      <c r="F2132" s="148" t="s">
        <v>56</v>
      </c>
      <c r="G2132" s="148" t="s">
        <v>186</v>
      </c>
      <c r="H2132" s="148">
        <v>2015</v>
      </c>
      <c r="I2132" s="148">
        <v>5</v>
      </c>
      <c r="J2132" s="148" t="s">
        <v>33</v>
      </c>
      <c r="U2132" s="149" t="s">
        <v>3629</v>
      </c>
      <c r="V2132" s="148" t="s">
        <v>1293</v>
      </c>
      <c r="W2132" s="148" t="s">
        <v>49</v>
      </c>
      <c r="X2132" s="148" t="s">
        <v>1294</v>
      </c>
    </row>
    <row r="2133" spans="1:25" ht="15.75" hidden="1" customHeight="1" x14ac:dyDescent="0.25">
      <c r="A2133" s="148" t="s">
        <v>76</v>
      </c>
      <c r="B2133" s="148" t="s">
        <v>44</v>
      </c>
      <c r="C2133" s="148" t="s">
        <v>45</v>
      </c>
      <c r="D2133" s="148" t="s">
        <v>29</v>
      </c>
      <c r="E2133" s="148" t="s">
        <v>46</v>
      </c>
      <c r="F2133" s="148" t="s">
        <v>47</v>
      </c>
      <c r="G2133" s="148" t="s">
        <v>48</v>
      </c>
      <c r="H2133" s="148">
        <v>2015</v>
      </c>
      <c r="I2133" s="148">
        <v>5</v>
      </c>
      <c r="J2133" s="148" t="s">
        <v>150</v>
      </c>
      <c r="K2133" s="148" t="s">
        <v>1333</v>
      </c>
      <c r="M2133" s="148" t="s">
        <v>1334</v>
      </c>
      <c r="N2133" s="148">
        <v>6</v>
      </c>
      <c r="O2133" s="148" t="s">
        <v>83</v>
      </c>
      <c r="P2133" s="148" t="s">
        <v>1335</v>
      </c>
      <c r="Y2133" s="150" t="s">
        <v>1336</v>
      </c>
    </row>
    <row r="2134" spans="1:25" ht="15.75" hidden="1" customHeight="1" x14ac:dyDescent="0.25">
      <c r="A2134" s="148" t="s">
        <v>76</v>
      </c>
      <c r="B2134" s="148" t="s">
        <v>44</v>
      </c>
      <c r="C2134" s="148" t="s">
        <v>45</v>
      </c>
      <c r="D2134" s="148" t="s">
        <v>29</v>
      </c>
      <c r="E2134" s="148" t="s">
        <v>46</v>
      </c>
      <c r="F2134" s="148" t="s">
        <v>47</v>
      </c>
      <c r="G2134" s="148" t="s">
        <v>48</v>
      </c>
      <c r="H2134" s="148">
        <v>2015</v>
      </c>
      <c r="I2134" s="148">
        <v>5</v>
      </c>
      <c r="J2134" s="148" t="s">
        <v>118</v>
      </c>
      <c r="K2134" s="148" t="s">
        <v>1249</v>
      </c>
      <c r="M2134" s="148" t="s">
        <v>1250</v>
      </c>
      <c r="N2134" s="148">
        <v>5</v>
      </c>
      <c r="O2134" s="148" t="s">
        <v>101</v>
      </c>
      <c r="P2134" s="148" t="s">
        <v>1337</v>
      </c>
      <c r="Y2134" s="150" t="s">
        <v>1336</v>
      </c>
    </row>
    <row r="2135" spans="1:25" ht="15.75" hidden="1" customHeight="1" x14ac:dyDescent="0.25">
      <c r="A2135" s="148" t="s">
        <v>76</v>
      </c>
      <c r="B2135" s="148" t="s">
        <v>36</v>
      </c>
      <c r="C2135" s="148" t="s">
        <v>28</v>
      </c>
      <c r="D2135" s="148" t="s">
        <v>342</v>
      </c>
      <c r="E2135" s="148" t="s">
        <v>30</v>
      </c>
      <c r="F2135" s="148" t="s">
        <v>3183</v>
      </c>
      <c r="G2135" s="148" t="s">
        <v>114</v>
      </c>
      <c r="H2135" s="148">
        <v>2015</v>
      </c>
      <c r="I2135" s="148">
        <v>5</v>
      </c>
      <c r="J2135" s="148" t="s">
        <v>118</v>
      </c>
      <c r="K2135" s="148" t="s">
        <v>708</v>
      </c>
      <c r="M2135" s="148" t="s">
        <v>82</v>
      </c>
      <c r="N2135" s="148">
        <v>8</v>
      </c>
      <c r="O2135" s="148" t="s">
        <v>101</v>
      </c>
      <c r="P2135" s="148" t="s">
        <v>146</v>
      </c>
    </row>
    <row r="2136" spans="1:25" ht="15.75" hidden="1" customHeight="1" x14ac:dyDescent="0.25">
      <c r="A2136" s="148" t="s">
        <v>307</v>
      </c>
      <c r="B2136" s="148" t="s">
        <v>62</v>
      </c>
      <c r="C2136" s="148" t="s">
        <v>46</v>
      </c>
      <c r="D2136" s="148" t="s">
        <v>78</v>
      </c>
      <c r="E2136" s="148" t="s">
        <v>30</v>
      </c>
      <c r="F2136" s="148" t="s">
        <v>3183</v>
      </c>
      <c r="G2136" s="148" t="s">
        <v>716</v>
      </c>
      <c r="H2136" s="148">
        <v>2015</v>
      </c>
      <c r="I2136" s="148">
        <v>5</v>
      </c>
      <c r="J2136" s="148" t="s">
        <v>399</v>
      </c>
      <c r="Q2136" s="148" t="s">
        <v>426</v>
      </c>
      <c r="R2136" s="148" t="s">
        <v>1338</v>
      </c>
      <c r="S2136" s="148" t="s">
        <v>427</v>
      </c>
      <c r="T2136" s="148" t="s">
        <v>1339</v>
      </c>
    </row>
    <row r="2137" spans="1:25" ht="15.75" hidden="1" customHeight="1" x14ac:dyDescent="0.25">
      <c r="A2137" s="148" t="s">
        <v>307</v>
      </c>
      <c r="B2137" s="148" t="s">
        <v>103</v>
      </c>
      <c r="C2137" s="148" t="s">
        <v>55</v>
      </c>
      <c r="D2137" s="148" t="s">
        <v>478</v>
      </c>
      <c r="E2137" s="148" t="s">
        <v>30</v>
      </c>
      <c r="F2137" s="148" t="s">
        <v>56</v>
      </c>
      <c r="G2137" s="148" t="s">
        <v>171</v>
      </c>
      <c r="H2137" s="148">
        <v>2015</v>
      </c>
      <c r="I2137" s="148">
        <v>6</v>
      </c>
      <c r="J2137" s="148" t="s">
        <v>308</v>
      </c>
      <c r="Q2137" s="148" t="s">
        <v>309</v>
      </c>
      <c r="R2137" s="148" t="s">
        <v>1340</v>
      </c>
      <c r="S2137" s="148" t="s">
        <v>885</v>
      </c>
      <c r="T2137" s="148" t="s">
        <v>951</v>
      </c>
    </row>
    <row r="2138" spans="1:25" ht="15.75" hidden="1" customHeight="1" x14ac:dyDescent="0.25">
      <c r="A2138" s="148" t="s">
        <v>76</v>
      </c>
      <c r="B2138" s="148" t="s">
        <v>198</v>
      </c>
      <c r="C2138" s="148" t="s">
        <v>45</v>
      </c>
      <c r="D2138" s="148" t="s">
        <v>99</v>
      </c>
      <c r="E2138" s="148" t="s">
        <v>30</v>
      </c>
      <c r="F2138" s="148" t="s">
        <v>199</v>
      </c>
      <c r="G2138" s="148" t="s">
        <v>296</v>
      </c>
      <c r="H2138" s="148">
        <v>2015</v>
      </c>
      <c r="I2138" s="148">
        <v>6</v>
      </c>
      <c r="J2138" s="148" t="s">
        <v>118</v>
      </c>
      <c r="K2138" s="148" t="s">
        <v>708</v>
      </c>
      <c r="M2138" s="148" t="s">
        <v>82</v>
      </c>
      <c r="N2138" s="148">
        <v>8</v>
      </c>
      <c r="O2138" s="148" t="s">
        <v>101</v>
      </c>
      <c r="P2138" s="148" t="s">
        <v>146</v>
      </c>
    </row>
    <row r="2139" spans="1:25" ht="15.75" hidden="1" customHeight="1" x14ac:dyDescent="0.25">
      <c r="A2139" s="148" t="s">
        <v>26</v>
      </c>
      <c r="B2139" s="148" t="s">
        <v>103</v>
      </c>
      <c r="C2139" s="148" t="s">
        <v>55</v>
      </c>
      <c r="D2139" s="148" t="s">
        <v>158</v>
      </c>
      <c r="E2139" s="148" t="s">
        <v>95</v>
      </c>
      <c r="F2139" s="148" t="s">
        <v>56</v>
      </c>
      <c r="G2139" s="148" t="s">
        <v>176</v>
      </c>
      <c r="H2139" s="148">
        <v>2015</v>
      </c>
      <c r="I2139" s="148">
        <v>6</v>
      </c>
      <c r="J2139" s="148" t="s">
        <v>33</v>
      </c>
      <c r="U2139" s="149" t="s">
        <v>3629</v>
      </c>
      <c r="V2139" s="148" t="s">
        <v>1293</v>
      </c>
      <c r="W2139" s="148" t="s">
        <v>49</v>
      </c>
      <c r="X2139" s="148" t="s">
        <v>1294</v>
      </c>
    </row>
    <row r="2140" spans="1:25" ht="15.75" hidden="1" customHeight="1" x14ac:dyDescent="0.25">
      <c r="A2140" s="148" t="s">
        <v>76</v>
      </c>
      <c r="B2140" s="148" t="s">
        <v>198</v>
      </c>
      <c r="C2140" s="148" t="s">
        <v>45</v>
      </c>
      <c r="D2140" s="148" t="s">
        <v>29</v>
      </c>
      <c r="E2140" s="148" t="s">
        <v>30</v>
      </c>
      <c r="F2140" s="148" t="s">
        <v>199</v>
      </c>
      <c r="G2140" s="148" t="s">
        <v>232</v>
      </c>
      <c r="H2140" s="148">
        <v>2015</v>
      </c>
      <c r="I2140" s="148">
        <v>6</v>
      </c>
      <c r="J2140" s="148" t="s">
        <v>150</v>
      </c>
      <c r="K2140" s="148" t="s">
        <v>502</v>
      </c>
      <c r="M2140" s="148" t="s">
        <v>126</v>
      </c>
      <c r="N2140" s="148">
        <v>10</v>
      </c>
      <c r="O2140" s="148" t="s">
        <v>83</v>
      </c>
    </row>
    <row r="2141" spans="1:25" ht="15.75" hidden="1" customHeight="1" x14ac:dyDescent="0.25">
      <c r="A2141" s="148" t="s">
        <v>26</v>
      </c>
      <c r="B2141" s="148" t="s">
        <v>198</v>
      </c>
      <c r="C2141" s="148" t="s">
        <v>45</v>
      </c>
      <c r="D2141" s="148" t="s">
        <v>99</v>
      </c>
      <c r="E2141" s="148" t="s">
        <v>30</v>
      </c>
      <c r="F2141" s="148" t="s">
        <v>199</v>
      </c>
      <c r="G2141" s="148" t="s">
        <v>241</v>
      </c>
      <c r="H2141" s="148">
        <v>2015</v>
      </c>
      <c r="I2141" s="148">
        <v>6</v>
      </c>
      <c r="J2141" s="148" t="s">
        <v>33</v>
      </c>
      <c r="U2141" s="149" t="s">
        <v>112</v>
      </c>
      <c r="V2141" s="148" t="s">
        <v>3679</v>
      </c>
      <c r="W2141" s="148" t="s">
        <v>34</v>
      </c>
      <c r="X2141" s="148" t="s">
        <v>1307</v>
      </c>
    </row>
    <row r="2142" spans="1:25" ht="15.75" hidden="1" customHeight="1" x14ac:dyDescent="0.25">
      <c r="A2142" s="148" t="s">
        <v>76</v>
      </c>
      <c r="B2142" s="148" t="s">
        <v>103</v>
      </c>
      <c r="C2142" s="148" t="s">
        <v>55</v>
      </c>
      <c r="D2142" s="148" t="s">
        <v>478</v>
      </c>
      <c r="E2142" s="148" t="s">
        <v>95</v>
      </c>
      <c r="F2142" s="148" t="s">
        <v>56</v>
      </c>
      <c r="G2142" s="148" t="s">
        <v>153</v>
      </c>
      <c r="H2142" s="148">
        <v>2015</v>
      </c>
      <c r="I2142" s="148">
        <v>6</v>
      </c>
      <c r="J2142" s="148" t="s">
        <v>118</v>
      </c>
      <c r="K2142" s="148" t="s">
        <v>629</v>
      </c>
      <c r="M2142" s="148" t="s">
        <v>554</v>
      </c>
      <c r="N2142" s="148">
        <v>8</v>
      </c>
      <c r="O2142" s="148" t="s">
        <v>101</v>
      </c>
      <c r="P2142" s="148" t="s">
        <v>865</v>
      </c>
    </row>
    <row r="2143" spans="1:25" ht="15.75" hidden="1" customHeight="1" x14ac:dyDescent="0.25">
      <c r="A2143" s="148" t="s">
        <v>26</v>
      </c>
      <c r="B2143" s="148" t="s">
        <v>103</v>
      </c>
      <c r="C2143" s="148" t="s">
        <v>55</v>
      </c>
      <c r="D2143" s="148" t="s">
        <v>478</v>
      </c>
      <c r="E2143" s="148" t="s">
        <v>95</v>
      </c>
      <c r="F2143" s="148" t="s">
        <v>56</v>
      </c>
      <c r="G2143" s="148" t="s">
        <v>107</v>
      </c>
      <c r="H2143" s="148">
        <v>2015</v>
      </c>
      <c r="I2143" s="148">
        <v>6</v>
      </c>
      <c r="J2143" s="148" t="s">
        <v>33</v>
      </c>
      <c r="U2143" s="149" t="s">
        <v>3629</v>
      </c>
      <c r="V2143" s="148" t="s">
        <v>1293</v>
      </c>
      <c r="W2143" s="148" t="s">
        <v>49</v>
      </c>
      <c r="X2143" s="148" t="s">
        <v>1294</v>
      </c>
    </row>
    <row r="2144" spans="1:25" ht="15.75" hidden="1" customHeight="1" x14ac:dyDescent="0.25">
      <c r="A2144" s="148" t="s">
        <v>76</v>
      </c>
      <c r="B2144" s="148" t="s">
        <v>77</v>
      </c>
      <c r="C2144" s="148" t="s">
        <v>55</v>
      </c>
      <c r="D2144" s="148" t="s">
        <v>99</v>
      </c>
      <c r="E2144" s="148" t="s">
        <v>30</v>
      </c>
      <c r="F2144" s="148" t="s">
        <v>41</v>
      </c>
      <c r="G2144" s="148" t="s">
        <v>161</v>
      </c>
      <c r="H2144" s="148">
        <v>2015</v>
      </c>
      <c r="I2144" s="148">
        <v>6</v>
      </c>
      <c r="J2144" s="148" t="s">
        <v>118</v>
      </c>
      <c r="K2144" s="148" t="s">
        <v>959</v>
      </c>
      <c r="M2144" s="148" t="s">
        <v>464</v>
      </c>
      <c r="N2144" s="148">
        <v>6</v>
      </c>
      <c r="O2144" s="148" t="s">
        <v>101</v>
      </c>
      <c r="P2144" s="148" t="s">
        <v>1341</v>
      </c>
    </row>
    <row r="2145" spans="1:26" ht="15.75" hidden="1" customHeight="1" x14ac:dyDescent="0.25">
      <c r="A2145" s="148" t="s">
        <v>26</v>
      </c>
      <c r="B2145" s="148" t="s">
        <v>36</v>
      </c>
      <c r="C2145" s="148" t="s">
        <v>28</v>
      </c>
      <c r="D2145" s="148" t="s">
        <v>478</v>
      </c>
      <c r="E2145" s="148" t="s">
        <v>30</v>
      </c>
      <c r="F2145" s="148" t="s">
        <v>3183</v>
      </c>
      <c r="G2145" s="148" t="s">
        <v>67</v>
      </c>
      <c r="H2145" s="148">
        <v>2015</v>
      </c>
      <c r="I2145" s="148">
        <v>6</v>
      </c>
      <c r="J2145" s="148" t="s">
        <v>983</v>
      </c>
      <c r="U2145" s="149" t="s">
        <v>3629</v>
      </c>
      <c r="V2145" s="148" t="s">
        <v>1293</v>
      </c>
      <c r="W2145" s="148" t="s">
        <v>49</v>
      </c>
      <c r="X2145" s="148" t="s">
        <v>1294</v>
      </c>
    </row>
    <row r="2146" spans="1:26" ht="15.75" hidden="1" customHeight="1" x14ac:dyDescent="0.25">
      <c r="A2146" s="148" t="s">
        <v>307</v>
      </c>
      <c r="B2146" s="148" t="s">
        <v>62</v>
      </c>
      <c r="C2146" s="148" t="s">
        <v>28</v>
      </c>
      <c r="D2146" s="148" t="s">
        <v>478</v>
      </c>
      <c r="E2146" s="148" t="s">
        <v>30</v>
      </c>
      <c r="F2146" s="148" t="s">
        <v>3183</v>
      </c>
      <c r="G2146" s="148" t="s">
        <v>244</v>
      </c>
      <c r="H2146" s="148">
        <v>2015</v>
      </c>
      <c r="I2146" s="148">
        <v>6</v>
      </c>
      <c r="J2146" s="148" t="s">
        <v>399</v>
      </c>
      <c r="Q2146" s="148" t="s">
        <v>426</v>
      </c>
      <c r="R2146" s="148" t="s">
        <v>1342</v>
      </c>
      <c r="S2146" s="148" t="s">
        <v>311</v>
      </c>
      <c r="T2146" s="148" t="s">
        <v>1343</v>
      </c>
      <c r="Y2146" s="150" t="s">
        <v>1344</v>
      </c>
    </row>
    <row r="2147" spans="1:26" ht="15.75" hidden="1" customHeight="1" x14ac:dyDescent="0.25">
      <c r="A2147" s="148" t="s">
        <v>307</v>
      </c>
      <c r="B2147" s="148" t="s">
        <v>62</v>
      </c>
      <c r="C2147" s="148" t="s">
        <v>28</v>
      </c>
      <c r="D2147" s="148" t="s">
        <v>478</v>
      </c>
      <c r="E2147" s="148" t="s">
        <v>30</v>
      </c>
      <c r="F2147" s="148" t="s">
        <v>3183</v>
      </c>
      <c r="G2147" s="148" t="s">
        <v>244</v>
      </c>
      <c r="H2147" s="148">
        <v>2015</v>
      </c>
      <c r="I2147" s="148">
        <v>6</v>
      </c>
      <c r="J2147" s="148" t="s">
        <v>399</v>
      </c>
      <c r="Q2147" s="148" t="s">
        <v>426</v>
      </c>
      <c r="R2147" s="148" t="s">
        <v>1342</v>
      </c>
      <c r="S2147" s="148" t="s">
        <v>311</v>
      </c>
      <c r="T2147" s="148" t="s">
        <v>1345</v>
      </c>
    </row>
    <row r="2148" spans="1:26" ht="15.75" hidden="1" customHeight="1" x14ac:dyDescent="0.25">
      <c r="A2148" s="148" t="s">
        <v>76</v>
      </c>
      <c r="B2148" s="148" t="s">
        <v>71</v>
      </c>
      <c r="C2148" s="148" t="s">
        <v>45</v>
      </c>
      <c r="D2148" s="148" t="s">
        <v>478</v>
      </c>
      <c r="E2148" s="148" t="s">
        <v>72</v>
      </c>
      <c r="F2148" s="148" t="s">
        <v>3183</v>
      </c>
      <c r="G2148" s="148" t="s">
        <v>75</v>
      </c>
      <c r="H2148" s="148">
        <v>2015</v>
      </c>
      <c r="I2148" s="148">
        <v>6</v>
      </c>
      <c r="J2148" s="148" t="s">
        <v>118</v>
      </c>
      <c r="K2148" s="148" t="s">
        <v>851</v>
      </c>
      <c r="M2148" s="148" t="s">
        <v>132</v>
      </c>
      <c r="N2148" s="148">
        <v>8</v>
      </c>
      <c r="O2148" s="148" t="s">
        <v>101</v>
      </c>
      <c r="P2148" s="148" t="s">
        <v>1346</v>
      </c>
    </row>
    <row r="2149" spans="1:26" ht="15.75" hidden="1" customHeight="1" x14ac:dyDescent="0.25">
      <c r="A2149" s="148" t="s">
        <v>76</v>
      </c>
      <c r="B2149" s="148" t="s">
        <v>27</v>
      </c>
      <c r="C2149" s="148" t="s">
        <v>28</v>
      </c>
      <c r="D2149" s="148" t="s">
        <v>1302</v>
      </c>
      <c r="E2149" s="148" t="s">
        <v>40</v>
      </c>
      <c r="F2149" s="148" t="s">
        <v>41</v>
      </c>
      <c r="G2149" s="148" t="s">
        <v>42</v>
      </c>
      <c r="H2149" s="148">
        <v>2015</v>
      </c>
      <c r="I2149" s="148">
        <v>6</v>
      </c>
      <c r="J2149" s="148" t="s">
        <v>118</v>
      </c>
      <c r="K2149" s="148" t="s">
        <v>502</v>
      </c>
      <c r="M2149" s="148" t="s">
        <v>126</v>
      </c>
      <c r="N2149" s="148">
        <v>10</v>
      </c>
      <c r="O2149" s="148" t="s">
        <v>101</v>
      </c>
      <c r="P2149" s="148" t="s">
        <v>1347</v>
      </c>
    </row>
    <row r="2150" spans="1:26" ht="15.75" hidden="1" customHeight="1" x14ac:dyDescent="0.25">
      <c r="A2150" s="148" t="s">
        <v>76</v>
      </c>
      <c r="B2150" s="148" t="s">
        <v>27</v>
      </c>
      <c r="C2150" s="148" t="s">
        <v>28</v>
      </c>
      <c r="D2150" s="148" t="s">
        <v>86</v>
      </c>
      <c r="E2150" s="148" t="s">
        <v>30</v>
      </c>
      <c r="F2150" s="148" t="s">
        <v>3183</v>
      </c>
      <c r="G2150" s="148" t="s">
        <v>43</v>
      </c>
      <c r="H2150" s="148">
        <v>2015</v>
      </c>
      <c r="I2150" s="148">
        <v>6</v>
      </c>
      <c r="J2150" s="148" t="s">
        <v>118</v>
      </c>
      <c r="K2150" s="148" t="s">
        <v>708</v>
      </c>
      <c r="M2150" s="148" t="s">
        <v>82</v>
      </c>
      <c r="N2150" s="148">
        <v>8</v>
      </c>
      <c r="O2150" s="148" t="s">
        <v>101</v>
      </c>
      <c r="P2150" s="148" t="s">
        <v>562</v>
      </c>
    </row>
    <row r="2151" spans="1:26" ht="15.75" hidden="1" customHeight="1" x14ac:dyDescent="0.25">
      <c r="A2151" s="148" t="s">
        <v>307</v>
      </c>
      <c r="B2151" s="148" t="s">
        <v>27</v>
      </c>
      <c r="C2151" s="148" t="s">
        <v>28</v>
      </c>
      <c r="D2151" s="148" t="s">
        <v>86</v>
      </c>
      <c r="E2151" s="148" t="s">
        <v>30</v>
      </c>
      <c r="F2151" s="148" t="s">
        <v>3183</v>
      </c>
      <c r="G2151" s="148" t="s">
        <v>43</v>
      </c>
      <c r="H2151" s="148">
        <v>2015</v>
      </c>
      <c r="I2151" s="148">
        <v>6</v>
      </c>
      <c r="J2151" s="148" t="s">
        <v>308</v>
      </c>
      <c r="Q2151" s="148" t="s">
        <v>309</v>
      </c>
      <c r="R2151" s="148" t="s">
        <v>1348</v>
      </c>
      <c r="S2151" s="148" t="s">
        <v>660</v>
      </c>
      <c r="T2151" s="148" t="s">
        <v>1349</v>
      </c>
      <c r="Y2151" s="150" t="s">
        <v>1350</v>
      </c>
    </row>
    <row r="2152" spans="1:26" ht="15.75" hidden="1" customHeight="1" x14ac:dyDescent="0.25">
      <c r="A2152" s="148" t="s">
        <v>76</v>
      </c>
      <c r="B2152" s="148" t="s">
        <v>44</v>
      </c>
      <c r="C2152" s="148" t="s">
        <v>45</v>
      </c>
      <c r="D2152" s="148" t="s">
        <v>29</v>
      </c>
      <c r="E2152" s="148" t="s">
        <v>46</v>
      </c>
      <c r="F2152" s="148" t="s">
        <v>47</v>
      </c>
      <c r="G2152" s="148" t="s">
        <v>48</v>
      </c>
      <c r="H2152" s="148">
        <v>2015</v>
      </c>
      <c r="I2152" s="148">
        <v>6</v>
      </c>
      <c r="J2152" s="148" t="s">
        <v>150</v>
      </c>
      <c r="K2152" s="148" t="s">
        <v>502</v>
      </c>
      <c r="M2152" s="148" t="s">
        <v>126</v>
      </c>
      <c r="N2152" s="148">
        <v>10</v>
      </c>
      <c r="O2152" s="148" t="s">
        <v>83</v>
      </c>
      <c r="P2152" s="148" t="s">
        <v>1351</v>
      </c>
      <c r="Y2152" s="150" t="s">
        <v>1336</v>
      </c>
    </row>
    <row r="2153" spans="1:26" ht="15.75" hidden="1" customHeight="1" x14ac:dyDescent="0.25">
      <c r="A2153" s="148" t="s">
        <v>76</v>
      </c>
      <c r="B2153" s="148" t="s">
        <v>36</v>
      </c>
      <c r="C2153" s="148" t="s">
        <v>28</v>
      </c>
      <c r="D2153" s="148" t="s">
        <v>342</v>
      </c>
      <c r="E2153" s="148" t="s">
        <v>30</v>
      </c>
      <c r="F2153" s="148" t="s">
        <v>3183</v>
      </c>
      <c r="G2153" s="148" t="s">
        <v>438</v>
      </c>
      <c r="H2153" s="148">
        <v>2015</v>
      </c>
      <c r="I2153" s="148">
        <v>7</v>
      </c>
      <c r="J2153" s="148" t="s">
        <v>118</v>
      </c>
      <c r="K2153" s="148" t="s">
        <v>579</v>
      </c>
      <c r="M2153" s="148" t="s">
        <v>126</v>
      </c>
      <c r="N2153" s="148">
        <v>10</v>
      </c>
      <c r="O2153" s="148" t="s">
        <v>101</v>
      </c>
      <c r="P2153" s="148" t="s">
        <v>1084</v>
      </c>
    </row>
    <row r="2154" spans="1:26" ht="15.75" hidden="1" customHeight="1" x14ac:dyDescent="0.25">
      <c r="A2154" s="148" t="s">
        <v>76</v>
      </c>
      <c r="B2154" s="148" t="s">
        <v>71</v>
      </c>
      <c r="C2154" s="148" t="s">
        <v>45</v>
      </c>
      <c r="D2154" s="148" t="s">
        <v>99</v>
      </c>
      <c r="E2154" s="148" t="s">
        <v>30</v>
      </c>
      <c r="F2154" s="148" t="s">
        <v>3183</v>
      </c>
      <c r="G2154" s="148" t="s">
        <v>621</v>
      </c>
      <c r="H2154" s="148">
        <v>2015</v>
      </c>
      <c r="I2154" s="148">
        <v>7</v>
      </c>
      <c r="J2154" s="148" t="s">
        <v>118</v>
      </c>
      <c r="K2154" s="148" t="s">
        <v>851</v>
      </c>
      <c r="M2154" s="148" t="s">
        <v>132</v>
      </c>
      <c r="N2154" s="148">
        <v>8</v>
      </c>
      <c r="O2154" s="148" t="s">
        <v>101</v>
      </c>
      <c r="P2154" s="148" t="s">
        <v>212</v>
      </c>
      <c r="Z2154" s="148" t="s">
        <v>623</v>
      </c>
    </row>
    <row r="2155" spans="1:26" ht="15.75" hidden="1" customHeight="1" x14ac:dyDescent="0.25">
      <c r="A2155" s="148" t="s">
        <v>76</v>
      </c>
      <c r="B2155" s="148" t="s">
        <v>103</v>
      </c>
      <c r="C2155" s="148" t="s">
        <v>55</v>
      </c>
      <c r="D2155" s="148" t="s">
        <v>29</v>
      </c>
      <c r="E2155" s="148" t="s">
        <v>30</v>
      </c>
      <c r="F2155" s="148" t="s">
        <v>56</v>
      </c>
      <c r="G2155" s="148" t="s">
        <v>405</v>
      </c>
      <c r="H2155" s="148">
        <v>2015</v>
      </c>
      <c r="I2155" s="148">
        <v>7</v>
      </c>
      <c r="J2155" s="148" t="s">
        <v>150</v>
      </c>
      <c r="K2155" s="148" t="s">
        <v>708</v>
      </c>
      <c r="M2155" s="148" t="s">
        <v>82</v>
      </c>
      <c r="N2155" s="148">
        <v>8</v>
      </c>
      <c r="O2155" s="148" t="s">
        <v>83</v>
      </c>
    </row>
    <row r="2156" spans="1:26" ht="15.75" hidden="1" customHeight="1" x14ac:dyDescent="0.25">
      <c r="A2156" s="148" t="s">
        <v>76</v>
      </c>
      <c r="B2156" s="148" t="s">
        <v>103</v>
      </c>
      <c r="C2156" s="148" t="s">
        <v>55</v>
      </c>
      <c r="D2156" s="148" t="s">
        <v>478</v>
      </c>
      <c r="E2156" s="148" t="s">
        <v>95</v>
      </c>
      <c r="F2156" s="148" t="s">
        <v>56</v>
      </c>
      <c r="G2156" s="148" t="s">
        <v>107</v>
      </c>
      <c r="H2156" s="148">
        <v>2015</v>
      </c>
      <c r="I2156" s="148">
        <v>7</v>
      </c>
      <c r="J2156" s="148" t="s">
        <v>118</v>
      </c>
      <c r="K2156" s="148" t="s">
        <v>579</v>
      </c>
      <c r="M2156" s="148" t="s">
        <v>126</v>
      </c>
      <c r="N2156" s="148">
        <v>10</v>
      </c>
      <c r="O2156" s="148" t="s">
        <v>101</v>
      </c>
      <c r="P2156" s="148" t="s">
        <v>146</v>
      </c>
    </row>
    <row r="2157" spans="1:26" ht="15.75" hidden="1" customHeight="1" x14ac:dyDescent="0.25">
      <c r="A2157" s="148" t="s">
        <v>76</v>
      </c>
      <c r="B2157" s="148" t="s">
        <v>36</v>
      </c>
      <c r="C2157" s="148" t="s">
        <v>28</v>
      </c>
      <c r="D2157" s="148" t="s">
        <v>342</v>
      </c>
      <c r="E2157" s="148" t="s">
        <v>30</v>
      </c>
      <c r="F2157" s="148" t="s">
        <v>3183</v>
      </c>
      <c r="G2157" s="148" t="s">
        <v>242</v>
      </c>
      <c r="H2157" s="148">
        <v>2015</v>
      </c>
      <c r="I2157" s="148">
        <v>7</v>
      </c>
      <c r="J2157" s="148" t="s">
        <v>118</v>
      </c>
      <c r="K2157" s="148" t="s">
        <v>579</v>
      </c>
      <c r="M2157" s="148" t="s">
        <v>126</v>
      </c>
      <c r="N2157" s="148">
        <v>10</v>
      </c>
      <c r="O2157" s="148" t="s">
        <v>101</v>
      </c>
      <c r="P2157" s="148" t="s">
        <v>146</v>
      </c>
    </row>
    <row r="2158" spans="1:26" ht="15.75" hidden="1" customHeight="1" x14ac:dyDescent="0.25">
      <c r="A2158" s="148" t="s">
        <v>307</v>
      </c>
      <c r="B2158" s="148" t="s">
        <v>27</v>
      </c>
      <c r="C2158" s="148" t="s">
        <v>28</v>
      </c>
      <c r="D2158" s="148" t="s">
        <v>1302</v>
      </c>
      <c r="E2158" s="148" t="s">
        <v>40</v>
      </c>
      <c r="F2158" s="148" t="s">
        <v>41</v>
      </c>
      <c r="G2158" s="148" t="s">
        <v>42</v>
      </c>
      <c r="H2158" s="148">
        <v>2015</v>
      </c>
      <c r="I2158" s="148">
        <v>7</v>
      </c>
      <c r="J2158" s="148" t="s">
        <v>308</v>
      </c>
      <c r="Q2158" s="148" t="s">
        <v>309</v>
      </c>
      <c r="R2158" s="148" t="s">
        <v>1352</v>
      </c>
      <c r="S2158" s="148" t="s">
        <v>311</v>
      </c>
      <c r="T2158" s="148" t="s">
        <v>1353</v>
      </c>
    </row>
    <row r="2159" spans="1:26" ht="15.75" hidden="1" customHeight="1" x14ac:dyDescent="0.25">
      <c r="A2159" s="148" t="s">
        <v>76</v>
      </c>
      <c r="B2159" s="148" t="s">
        <v>54</v>
      </c>
      <c r="C2159" s="148" t="s">
        <v>55</v>
      </c>
      <c r="D2159" s="148" t="s">
        <v>1082</v>
      </c>
      <c r="E2159" s="148" t="s">
        <v>30</v>
      </c>
      <c r="F2159" s="148" t="s">
        <v>56</v>
      </c>
      <c r="G2159" s="148" t="s">
        <v>54</v>
      </c>
      <c r="H2159" s="148">
        <v>2015</v>
      </c>
      <c r="I2159" s="148">
        <v>7</v>
      </c>
      <c r="J2159" s="148" t="s">
        <v>150</v>
      </c>
      <c r="K2159" s="148" t="s">
        <v>708</v>
      </c>
      <c r="M2159" s="148" t="s">
        <v>82</v>
      </c>
      <c r="N2159" s="148">
        <v>8</v>
      </c>
      <c r="O2159" s="148" t="s">
        <v>83</v>
      </c>
    </row>
    <row r="2160" spans="1:26" ht="15.75" hidden="1" customHeight="1" x14ac:dyDescent="0.25">
      <c r="A2160" s="148" t="s">
        <v>76</v>
      </c>
      <c r="B2160" s="148" t="s">
        <v>77</v>
      </c>
      <c r="C2160" s="148" t="s">
        <v>55</v>
      </c>
      <c r="D2160" s="148" t="s">
        <v>78</v>
      </c>
      <c r="E2160" s="148" t="s">
        <v>30</v>
      </c>
      <c r="F2160" s="148" t="s">
        <v>41</v>
      </c>
      <c r="G2160" s="148" t="s">
        <v>79</v>
      </c>
      <c r="H2160" s="148">
        <v>2015</v>
      </c>
      <c r="I2160" s="148">
        <v>7</v>
      </c>
      <c r="J2160" s="148" t="s">
        <v>80</v>
      </c>
      <c r="K2160" s="148" t="s">
        <v>708</v>
      </c>
      <c r="M2160" s="148" t="s">
        <v>82</v>
      </c>
      <c r="N2160" s="148">
        <v>8</v>
      </c>
      <c r="O2160" s="148" t="s">
        <v>83</v>
      </c>
      <c r="P2160" s="148" t="s">
        <v>1354</v>
      </c>
      <c r="Y2160" s="150" t="s">
        <v>1355</v>
      </c>
    </row>
    <row r="2161" spans="1:26" ht="15.75" customHeight="1" x14ac:dyDescent="0.25">
      <c r="A2161" s="148" t="s">
        <v>76</v>
      </c>
      <c r="B2161" s="148" t="s">
        <v>36</v>
      </c>
      <c r="C2161" s="148" t="s">
        <v>28</v>
      </c>
      <c r="D2161" s="148" t="s">
        <v>1304</v>
      </c>
      <c r="E2161" s="148" t="s">
        <v>30</v>
      </c>
      <c r="F2161" s="148" t="s">
        <v>3183</v>
      </c>
      <c r="G2161" s="148" t="s">
        <v>194</v>
      </c>
      <c r="H2161" s="148">
        <v>2015</v>
      </c>
      <c r="I2161" s="148">
        <v>7</v>
      </c>
      <c r="J2161" s="148" t="s">
        <v>118</v>
      </c>
      <c r="K2161" s="148" t="s">
        <v>520</v>
      </c>
      <c r="M2161" s="148" t="s">
        <v>701</v>
      </c>
      <c r="N2161" s="148">
        <v>8</v>
      </c>
      <c r="O2161" s="148" t="s">
        <v>101</v>
      </c>
      <c r="P2161" s="148" t="s">
        <v>562</v>
      </c>
    </row>
    <row r="2162" spans="1:26" ht="15.75" hidden="1" customHeight="1" x14ac:dyDescent="0.25">
      <c r="A2162" s="148" t="s">
        <v>76</v>
      </c>
      <c r="B2162" s="148" t="s">
        <v>89</v>
      </c>
      <c r="C2162" s="148" t="s">
        <v>90</v>
      </c>
      <c r="D2162" s="148" t="s">
        <v>478</v>
      </c>
      <c r="E2162" s="148" t="s">
        <v>30</v>
      </c>
      <c r="F2162" s="148" t="s">
        <v>91</v>
      </c>
      <c r="G2162" s="148" t="s">
        <v>92</v>
      </c>
      <c r="H2162" s="148">
        <v>2015</v>
      </c>
      <c r="I2162" s="148">
        <v>7</v>
      </c>
      <c r="J2162" s="148" t="s">
        <v>118</v>
      </c>
      <c r="K2162" s="148" t="s">
        <v>629</v>
      </c>
      <c r="M2162" s="148" t="s">
        <v>554</v>
      </c>
      <c r="N2162" s="148">
        <v>8</v>
      </c>
      <c r="O2162" s="148" t="s">
        <v>101</v>
      </c>
      <c r="P2162" s="148" t="s">
        <v>537</v>
      </c>
    </row>
    <row r="2163" spans="1:26" ht="15.75" hidden="1" customHeight="1" x14ac:dyDescent="0.25">
      <c r="A2163" s="148" t="s">
        <v>76</v>
      </c>
      <c r="B2163" s="148" t="s">
        <v>198</v>
      </c>
      <c r="C2163" s="148" t="s">
        <v>45</v>
      </c>
      <c r="D2163" s="148" t="s">
        <v>478</v>
      </c>
      <c r="E2163" s="148" t="s">
        <v>40</v>
      </c>
      <c r="F2163" s="148" t="s">
        <v>199</v>
      </c>
      <c r="G2163" s="148" t="s">
        <v>282</v>
      </c>
      <c r="H2163" s="148">
        <v>2015</v>
      </c>
      <c r="I2163" s="148">
        <v>8</v>
      </c>
      <c r="J2163" s="148" t="s">
        <v>118</v>
      </c>
      <c r="K2163" s="148" t="s">
        <v>851</v>
      </c>
      <c r="M2163" s="148" t="s">
        <v>132</v>
      </c>
      <c r="N2163" s="148">
        <v>8</v>
      </c>
      <c r="O2163" s="148" t="s">
        <v>101</v>
      </c>
      <c r="P2163" s="148" t="s">
        <v>398</v>
      </c>
    </row>
    <row r="2164" spans="1:26" ht="15.75" hidden="1" customHeight="1" x14ac:dyDescent="0.25">
      <c r="A2164" s="148" t="s">
        <v>307</v>
      </c>
      <c r="B2164" s="148" t="s">
        <v>71</v>
      </c>
      <c r="C2164" s="148" t="s">
        <v>45</v>
      </c>
      <c r="D2164" s="148" t="s">
        <v>478</v>
      </c>
      <c r="E2164" s="148" t="s">
        <v>72</v>
      </c>
      <c r="F2164" s="148" t="s">
        <v>3183</v>
      </c>
      <c r="G2164" s="148" t="s">
        <v>73</v>
      </c>
      <c r="H2164" s="148">
        <v>2015</v>
      </c>
      <c r="I2164" s="148">
        <v>8</v>
      </c>
      <c r="J2164" s="148" t="s">
        <v>399</v>
      </c>
      <c r="Q2164" s="148" t="s">
        <v>426</v>
      </c>
      <c r="R2164" s="148" t="s">
        <v>1356</v>
      </c>
      <c r="S2164" s="148" t="s">
        <v>311</v>
      </c>
      <c r="T2164" s="148" t="s">
        <v>1357</v>
      </c>
      <c r="Y2164" s="150" t="s">
        <v>1358</v>
      </c>
    </row>
    <row r="2165" spans="1:26" ht="15.75" hidden="1" customHeight="1" x14ac:dyDescent="0.25">
      <c r="A2165" s="148" t="s">
        <v>76</v>
      </c>
      <c r="B2165" s="148" t="s">
        <v>36</v>
      </c>
      <c r="C2165" s="148" t="s">
        <v>28</v>
      </c>
      <c r="D2165" s="148" t="s">
        <v>342</v>
      </c>
      <c r="E2165" s="148" t="s">
        <v>30</v>
      </c>
      <c r="F2165" s="148" t="s">
        <v>3183</v>
      </c>
      <c r="G2165" s="148" t="s">
        <v>438</v>
      </c>
      <c r="H2165" s="148">
        <v>2015</v>
      </c>
      <c r="I2165" s="148">
        <v>8</v>
      </c>
      <c r="J2165" s="148" t="s">
        <v>118</v>
      </c>
      <c r="K2165" s="148" t="s">
        <v>874</v>
      </c>
      <c r="M2165" s="148" t="s">
        <v>120</v>
      </c>
      <c r="N2165" s="148">
        <v>6</v>
      </c>
      <c r="O2165" s="148" t="s">
        <v>101</v>
      </c>
      <c r="P2165" s="148" t="s">
        <v>433</v>
      </c>
    </row>
    <row r="2166" spans="1:26" ht="15.75" hidden="1" customHeight="1" x14ac:dyDescent="0.25">
      <c r="A2166" s="148" t="s">
        <v>307</v>
      </c>
      <c r="B2166" s="148" t="s">
        <v>54</v>
      </c>
      <c r="C2166" s="148" t="s">
        <v>55</v>
      </c>
      <c r="D2166" s="148" t="s">
        <v>1082</v>
      </c>
      <c r="E2166" s="148" t="s">
        <v>30</v>
      </c>
      <c r="F2166" s="148" t="s">
        <v>56</v>
      </c>
      <c r="G2166" s="148" t="s">
        <v>54</v>
      </c>
      <c r="H2166" s="148">
        <v>2015</v>
      </c>
      <c r="I2166" s="148">
        <v>8</v>
      </c>
      <c r="J2166" s="148" t="s">
        <v>399</v>
      </c>
      <c r="Q2166" s="148" t="s">
        <v>1229</v>
      </c>
      <c r="R2166" s="148" t="s">
        <v>1359</v>
      </c>
      <c r="S2166" s="148" t="s">
        <v>311</v>
      </c>
      <c r="T2166" s="148" t="s">
        <v>1360</v>
      </c>
      <c r="Y2166" s="150" t="s">
        <v>1361</v>
      </c>
      <c r="Z2166" s="148" t="s">
        <v>1362</v>
      </c>
    </row>
    <row r="2167" spans="1:26" ht="15.75" hidden="1" customHeight="1" x14ac:dyDescent="0.25">
      <c r="A2167" s="148" t="s">
        <v>307</v>
      </c>
      <c r="B2167" s="148" t="s">
        <v>54</v>
      </c>
      <c r="C2167" s="148" t="s">
        <v>55</v>
      </c>
      <c r="D2167" s="148" t="s">
        <v>1082</v>
      </c>
      <c r="E2167" s="148" t="s">
        <v>30</v>
      </c>
      <c r="F2167" s="148" t="s">
        <v>56</v>
      </c>
      <c r="G2167" s="148" t="s">
        <v>54</v>
      </c>
      <c r="H2167" s="148">
        <v>2015</v>
      </c>
      <c r="I2167" s="148">
        <v>8</v>
      </c>
      <c r="J2167" s="148" t="s">
        <v>308</v>
      </c>
      <c r="Q2167" s="148" t="s">
        <v>594</v>
      </c>
      <c r="R2167" s="148" t="s">
        <v>1363</v>
      </c>
      <c r="S2167" s="148" t="s">
        <v>427</v>
      </c>
      <c r="T2167" s="148" t="s">
        <v>1364</v>
      </c>
    </row>
    <row r="2168" spans="1:26" ht="15.75" hidden="1" customHeight="1" x14ac:dyDescent="0.25">
      <c r="A2168" s="148" t="s">
        <v>26</v>
      </c>
      <c r="B2168" s="148" t="s">
        <v>89</v>
      </c>
      <c r="C2168" s="148" t="s">
        <v>90</v>
      </c>
      <c r="D2168" s="148" t="s">
        <v>99</v>
      </c>
      <c r="E2168" s="148" t="s">
        <v>30</v>
      </c>
      <c r="F2168" s="148" t="s">
        <v>91</v>
      </c>
      <c r="G2168" s="148" t="s">
        <v>369</v>
      </c>
      <c r="H2168" s="148">
        <v>2015</v>
      </c>
      <c r="I2168" s="148">
        <v>8</v>
      </c>
      <c r="J2168" s="148" t="s">
        <v>33</v>
      </c>
      <c r="U2168" s="149" t="s">
        <v>3629</v>
      </c>
      <c r="V2168" s="148" t="s">
        <v>1321</v>
      </c>
      <c r="W2168" s="148" t="s">
        <v>34</v>
      </c>
      <c r="X2168" s="148" t="s">
        <v>1322</v>
      </c>
    </row>
    <row r="2169" spans="1:26" ht="15.75" hidden="1" customHeight="1" x14ac:dyDescent="0.25">
      <c r="A2169" s="148" t="s">
        <v>76</v>
      </c>
      <c r="B2169" s="148" t="s">
        <v>36</v>
      </c>
      <c r="C2169" s="148" t="s">
        <v>28</v>
      </c>
      <c r="D2169" s="148" t="s">
        <v>342</v>
      </c>
      <c r="E2169" s="148" t="s">
        <v>30</v>
      </c>
      <c r="F2169" s="148" t="s">
        <v>3183</v>
      </c>
      <c r="G2169" s="148" t="s">
        <v>114</v>
      </c>
      <c r="H2169" s="148">
        <v>2015</v>
      </c>
      <c r="I2169" s="148">
        <v>8</v>
      </c>
      <c r="J2169" s="148" t="s">
        <v>150</v>
      </c>
      <c r="K2169" s="148" t="s">
        <v>874</v>
      </c>
      <c r="M2169" s="148" t="s">
        <v>120</v>
      </c>
      <c r="N2169" s="148">
        <v>6</v>
      </c>
      <c r="O2169" s="148" t="s">
        <v>83</v>
      </c>
    </row>
    <row r="2170" spans="1:26" ht="15.75" hidden="1" customHeight="1" x14ac:dyDescent="0.25">
      <c r="A2170" s="148" t="s">
        <v>76</v>
      </c>
      <c r="B2170" s="148" t="s">
        <v>89</v>
      </c>
      <c r="C2170" s="148" t="s">
        <v>90</v>
      </c>
      <c r="D2170" s="148" t="s">
        <v>29</v>
      </c>
      <c r="E2170" s="148" t="s">
        <v>30</v>
      </c>
      <c r="F2170" s="148" t="s">
        <v>91</v>
      </c>
      <c r="G2170" s="148" t="s">
        <v>414</v>
      </c>
      <c r="H2170" s="148">
        <v>2015</v>
      </c>
      <c r="I2170" s="148">
        <v>8</v>
      </c>
      <c r="J2170" s="148" t="s">
        <v>118</v>
      </c>
      <c r="K2170" s="148" t="s">
        <v>629</v>
      </c>
      <c r="M2170" s="148" t="s">
        <v>554</v>
      </c>
      <c r="N2170" s="148">
        <v>8</v>
      </c>
      <c r="O2170" s="148" t="s">
        <v>101</v>
      </c>
      <c r="P2170" s="148" t="s">
        <v>537</v>
      </c>
    </row>
    <row r="2171" spans="1:26" ht="15.75" hidden="1" customHeight="1" x14ac:dyDescent="0.25">
      <c r="A2171" s="148" t="s">
        <v>307</v>
      </c>
      <c r="B2171" s="148" t="s">
        <v>71</v>
      </c>
      <c r="C2171" s="148" t="s">
        <v>45</v>
      </c>
      <c r="D2171" s="148" t="s">
        <v>478</v>
      </c>
      <c r="E2171" s="148" t="s">
        <v>72</v>
      </c>
      <c r="F2171" s="148" t="s">
        <v>3183</v>
      </c>
      <c r="G2171" s="148" t="s">
        <v>73</v>
      </c>
      <c r="H2171" s="148">
        <v>2015</v>
      </c>
      <c r="I2171" s="148">
        <v>9</v>
      </c>
      <c r="J2171" s="148" t="s">
        <v>308</v>
      </c>
      <c r="Q2171" s="148" t="s">
        <v>426</v>
      </c>
      <c r="R2171" s="148" t="s">
        <v>1365</v>
      </c>
      <c r="S2171" s="148" t="s">
        <v>311</v>
      </c>
      <c r="T2171" s="148" t="s">
        <v>1357</v>
      </c>
    </row>
    <row r="2172" spans="1:26" ht="15.75" hidden="1" customHeight="1" x14ac:dyDescent="0.25">
      <c r="A2172" s="148" t="s">
        <v>76</v>
      </c>
      <c r="B2172" s="148" t="s">
        <v>198</v>
      </c>
      <c r="C2172" s="148" t="s">
        <v>45</v>
      </c>
      <c r="D2172" s="148" t="s">
        <v>478</v>
      </c>
      <c r="E2172" s="148" t="s">
        <v>30</v>
      </c>
      <c r="F2172" s="148" t="s">
        <v>199</v>
      </c>
      <c r="G2172" s="148" t="s">
        <v>208</v>
      </c>
      <c r="H2172" s="148">
        <v>2015</v>
      </c>
      <c r="I2172" s="148">
        <v>9</v>
      </c>
      <c r="J2172" s="148" t="s">
        <v>118</v>
      </c>
      <c r="K2172" s="148" t="s">
        <v>708</v>
      </c>
      <c r="M2172" s="148" t="s">
        <v>82</v>
      </c>
      <c r="N2172" s="148">
        <v>8</v>
      </c>
      <c r="O2172" s="148" t="s">
        <v>101</v>
      </c>
      <c r="P2172" s="148" t="s">
        <v>1366</v>
      </c>
    </row>
    <row r="2173" spans="1:26" ht="13.5" hidden="1" customHeight="1" x14ac:dyDescent="0.25">
      <c r="A2173" s="148" t="s">
        <v>76</v>
      </c>
      <c r="B2173" s="148" t="s">
        <v>198</v>
      </c>
      <c r="C2173" s="148" t="s">
        <v>45</v>
      </c>
      <c r="D2173" s="148" t="s">
        <v>99</v>
      </c>
      <c r="E2173" s="148" t="s">
        <v>30</v>
      </c>
      <c r="F2173" s="148" t="s">
        <v>199</v>
      </c>
      <c r="G2173" s="148" t="s">
        <v>975</v>
      </c>
      <c r="H2173" s="148">
        <v>2015</v>
      </c>
      <c r="I2173" s="148">
        <v>9</v>
      </c>
      <c r="J2173" s="148" t="s">
        <v>150</v>
      </c>
      <c r="K2173" s="148" t="s">
        <v>1096</v>
      </c>
      <c r="M2173" s="148" t="s">
        <v>120</v>
      </c>
      <c r="N2173" s="148">
        <v>6</v>
      </c>
      <c r="O2173" s="148" t="s">
        <v>83</v>
      </c>
    </row>
    <row r="2174" spans="1:26" ht="15.75" hidden="1" customHeight="1" x14ac:dyDescent="0.25">
      <c r="A2174" s="148" t="s">
        <v>76</v>
      </c>
      <c r="B2174" s="148" t="s">
        <v>198</v>
      </c>
      <c r="C2174" s="148" t="s">
        <v>45</v>
      </c>
      <c r="D2174" s="148" t="s">
        <v>29</v>
      </c>
      <c r="E2174" s="148" t="s">
        <v>30</v>
      </c>
      <c r="F2174" s="148" t="s">
        <v>199</v>
      </c>
      <c r="G2174" s="148" t="s">
        <v>232</v>
      </c>
      <c r="H2174" s="148">
        <v>2015</v>
      </c>
      <c r="I2174" s="148">
        <v>9</v>
      </c>
      <c r="J2174" s="148" t="s">
        <v>118</v>
      </c>
      <c r="K2174" s="148" t="s">
        <v>502</v>
      </c>
      <c r="M2174" s="148" t="s">
        <v>126</v>
      </c>
      <c r="N2174" s="148">
        <v>10</v>
      </c>
      <c r="O2174" s="148" t="s">
        <v>101</v>
      </c>
      <c r="P2174" s="148" t="s">
        <v>1195</v>
      </c>
    </row>
    <row r="2175" spans="1:26" ht="15.75" hidden="1" customHeight="1" x14ac:dyDescent="0.25">
      <c r="A2175" s="148" t="s">
        <v>26</v>
      </c>
      <c r="B2175" s="148" t="s">
        <v>103</v>
      </c>
      <c r="C2175" s="148" t="s">
        <v>55</v>
      </c>
      <c r="D2175" s="148" t="s">
        <v>478</v>
      </c>
      <c r="E2175" s="148" t="s">
        <v>95</v>
      </c>
      <c r="F2175" s="148" t="s">
        <v>56</v>
      </c>
      <c r="G2175" s="148" t="s">
        <v>558</v>
      </c>
      <c r="H2175" s="148">
        <v>2015</v>
      </c>
      <c r="I2175" s="148">
        <v>9</v>
      </c>
      <c r="J2175" s="148" t="s">
        <v>33</v>
      </c>
      <c r="U2175" s="149" t="s">
        <v>3629</v>
      </c>
      <c r="V2175" s="148" t="s">
        <v>1321</v>
      </c>
      <c r="W2175" s="148" t="s">
        <v>34</v>
      </c>
      <c r="X2175" s="148" t="s">
        <v>1322</v>
      </c>
    </row>
    <row r="2176" spans="1:26" ht="15.75" hidden="1" customHeight="1" x14ac:dyDescent="0.25">
      <c r="A2176" s="148" t="s">
        <v>307</v>
      </c>
      <c r="B2176" s="148" t="s">
        <v>103</v>
      </c>
      <c r="C2176" s="148" t="s">
        <v>55</v>
      </c>
      <c r="D2176" s="148" t="s">
        <v>478</v>
      </c>
      <c r="E2176" s="148" t="s">
        <v>95</v>
      </c>
      <c r="F2176" s="148" t="s">
        <v>56</v>
      </c>
      <c r="G2176" s="148" t="s">
        <v>558</v>
      </c>
      <c r="H2176" s="148">
        <v>2015</v>
      </c>
      <c r="I2176" s="148">
        <v>9</v>
      </c>
      <c r="J2176" s="148" t="s">
        <v>308</v>
      </c>
      <c r="Q2176" s="148" t="s">
        <v>426</v>
      </c>
      <c r="R2176" s="148" t="s">
        <v>30</v>
      </c>
      <c r="S2176" s="148" t="s">
        <v>427</v>
      </c>
      <c r="T2176" s="148" t="s">
        <v>1332</v>
      </c>
    </row>
    <row r="2177" spans="1:25" ht="15.75" hidden="1" customHeight="1" x14ac:dyDescent="0.25">
      <c r="A2177" s="148" t="s">
        <v>26</v>
      </c>
      <c r="B2177" s="148" t="s">
        <v>116</v>
      </c>
      <c r="C2177" s="148" t="s">
        <v>90</v>
      </c>
      <c r="D2177" s="148" t="s">
        <v>478</v>
      </c>
      <c r="E2177" s="148" t="s">
        <v>40</v>
      </c>
      <c r="F2177" s="148" t="s">
        <v>41</v>
      </c>
      <c r="G2177" s="148" t="s">
        <v>117</v>
      </c>
      <c r="H2177" s="148">
        <v>2015</v>
      </c>
      <c r="I2177" s="148">
        <v>9</v>
      </c>
      <c r="J2177" s="148" t="s">
        <v>817</v>
      </c>
      <c r="U2177" s="149" t="s">
        <v>3629</v>
      </c>
      <c r="V2177" s="148" t="s">
        <v>1321</v>
      </c>
      <c r="W2177" s="148" t="s">
        <v>34</v>
      </c>
      <c r="X2177" s="148" t="s">
        <v>1322</v>
      </c>
    </row>
    <row r="2178" spans="1:25" ht="15.75" hidden="1" customHeight="1" x14ac:dyDescent="0.25">
      <c r="A2178" s="148" t="s">
        <v>307</v>
      </c>
      <c r="B2178" s="148" t="s">
        <v>116</v>
      </c>
      <c r="C2178" s="148" t="s">
        <v>90</v>
      </c>
      <c r="D2178" s="148" t="s">
        <v>478</v>
      </c>
      <c r="E2178" s="148" t="s">
        <v>40</v>
      </c>
      <c r="F2178" s="148" t="s">
        <v>41</v>
      </c>
      <c r="G2178" s="148" t="s">
        <v>117</v>
      </c>
      <c r="H2178" s="148">
        <v>2015</v>
      </c>
      <c r="I2178" s="148">
        <v>9</v>
      </c>
      <c r="J2178" s="148" t="s">
        <v>308</v>
      </c>
      <c r="Q2178" s="148" t="s">
        <v>426</v>
      </c>
      <c r="R2178" s="148" t="s">
        <v>30</v>
      </c>
      <c r="S2178" s="148" t="s">
        <v>427</v>
      </c>
      <c r="T2178" s="148" t="s">
        <v>1367</v>
      </c>
    </row>
    <row r="2179" spans="1:25" ht="15.75" hidden="1" customHeight="1" x14ac:dyDescent="0.25">
      <c r="A2179" s="148" t="s">
        <v>26</v>
      </c>
      <c r="B2179" s="148" t="s">
        <v>103</v>
      </c>
      <c r="C2179" s="148" t="s">
        <v>55</v>
      </c>
      <c r="D2179" s="148" t="s">
        <v>29</v>
      </c>
      <c r="E2179" s="148" t="s">
        <v>30</v>
      </c>
      <c r="F2179" s="148" t="s">
        <v>56</v>
      </c>
      <c r="G2179" s="148" t="s">
        <v>405</v>
      </c>
      <c r="H2179" s="148">
        <v>2015</v>
      </c>
      <c r="I2179" s="148">
        <v>9</v>
      </c>
      <c r="J2179" s="148" t="s">
        <v>33</v>
      </c>
      <c r="U2179" s="149" t="s">
        <v>3629</v>
      </c>
      <c r="V2179" s="148" t="s">
        <v>1321</v>
      </c>
      <c r="W2179" s="148" t="s">
        <v>34</v>
      </c>
      <c r="X2179" s="148" t="s">
        <v>1322</v>
      </c>
    </row>
    <row r="2180" spans="1:25" ht="15.75" hidden="1" customHeight="1" x14ac:dyDescent="0.25">
      <c r="A2180" s="148" t="s">
        <v>76</v>
      </c>
      <c r="B2180" s="148" t="s">
        <v>103</v>
      </c>
      <c r="C2180" s="148" t="s">
        <v>55</v>
      </c>
      <c r="D2180" s="148" t="s">
        <v>29</v>
      </c>
      <c r="E2180" s="148" t="s">
        <v>95</v>
      </c>
      <c r="F2180" s="148" t="s">
        <v>56</v>
      </c>
      <c r="G2180" s="148" t="s">
        <v>407</v>
      </c>
      <c r="H2180" s="148">
        <v>2015</v>
      </c>
      <c r="I2180" s="148">
        <v>9</v>
      </c>
      <c r="J2180" s="148" t="s">
        <v>118</v>
      </c>
      <c r="K2180" s="148" t="s">
        <v>708</v>
      </c>
      <c r="M2180" s="148" t="s">
        <v>82</v>
      </c>
      <c r="N2180" s="148">
        <v>8</v>
      </c>
      <c r="O2180" s="148" t="s">
        <v>101</v>
      </c>
      <c r="P2180" s="148" t="s">
        <v>1368</v>
      </c>
    </row>
    <row r="2181" spans="1:25" ht="15.75" hidden="1" customHeight="1" x14ac:dyDescent="0.25">
      <c r="A2181" s="148" t="s">
        <v>76</v>
      </c>
      <c r="B2181" s="148" t="s">
        <v>103</v>
      </c>
      <c r="C2181" s="148" t="s">
        <v>55</v>
      </c>
      <c r="D2181" s="148" t="s">
        <v>478</v>
      </c>
      <c r="E2181" s="148" t="s">
        <v>95</v>
      </c>
      <c r="F2181" s="148" t="s">
        <v>56</v>
      </c>
      <c r="G2181" s="148" t="s">
        <v>107</v>
      </c>
      <c r="H2181" s="148">
        <v>2015</v>
      </c>
      <c r="I2181" s="148">
        <v>9</v>
      </c>
      <c r="J2181" s="148" t="s">
        <v>150</v>
      </c>
      <c r="K2181" s="148" t="s">
        <v>959</v>
      </c>
      <c r="M2181" s="148" t="s">
        <v>464</v>
      </c>
      <c r="N2181" s="148">
        <v>6</v>
      </c>
      <c r="O2181" s="148" t="s">
        <v>83</v>
      </c>
    </row>
    <row r="2182" spans="1:25" ht="15.75" hidden="1" customHeight="1" x14ac:dyDescent="0.25">
      <c r="A2182" s="148" t="s">
        <v>307</v>
      </c>
      <c r="B2182" s="148" t="s">
        <v>36</v>
      </c>
      <c r="C2182" s="148" t="s">
        <v>28</v>
      </c>
      <c r="D2182" s="148" t="s">
        <v>478</v>
      </c>
      <c r="E2182" s="148" t="s">
        <v>30</v>
      </c>
      <c r="F2182" s="148" t="s">
        <v>3183</v>
      </c>
      <c r="G2182" s="148" t="s">
        <v>67</v>
      </c>
      <c r="H2182" s="148">
        <v>2015</v>
      </c>
      <c r="I2182" s="148">
        <v>9</v>
      </c>
      <c r="J2182" s="148" t="s">
        <v>308</v>
      </c>
      <c r="Q2182" s="148" t="s">
        <v>426</v>
      </c>
      <c r="R2182" s="148" t="s">
        <v>1369</v>
      </c>
      <c r="S2182" s="148" t="s">
        <v>427</v>
      </c>
      <c r="T2182" s="148" t="s">
        <v>1370</v>
      </c>
      <c r="Y2182" s="150" t="s">
        <v>1371</v>
      </c>
    </row>
    <row r="2183" spans="1:25" ht="15.75" hidden="1" customHeight="1" x14ac:dyDescent="0.25">
      <c r="A2183" s="148" t="s">
        <v>76</v>
      </c>
      <c r="B2183" s="148" t="s">
        <v>44</v>
      </c>
      <c r="C2183" s="148" t="s">
        <v>45</v>
      </c>
      <c r="D2183" s="148" t="s">
        <v>478</v>
      </c>
      <c r="E2183" s="148" t="s">
        <v>30</v>
      </c>
      <c r="F2183" s="148" t="s">
        <v>47</v>
      </c>
      <c r="G2183" s="148" t="s">
        <v>377</v>
      </c>
      <c r="H2183" s="148">
        <v>2015</v>
      </c>
      <c r="I2183" s="148">
        <v>9</v>
      </c>
      <c r="J2183" s="148" t="s">
        <v>150</v>
      </c>
      <c r="K2183" s="148" t="s">
        <v>1096</v>
      </c>
      <c r="M2183" s="148" t="s">
        <v>120</v>
      </c>
      <c r="N2183" s="148">
        <v>6</v>
      </c>
      <c r="O2183" s="148" t="s">
        <v>83</v>
      </c>
    </row>
    <row r="2184" spans="1:25" ht="15.75" hidden="1" customHeight="1" x14ac:dyDescent="0.25">
      <c r="A2184" s="148" t="s">
        <v>307</v>
      </c>
      <c r="B2184" s="148" t="s">
        <v>62</v>
      </c>
      <c r="C2184" s="148" t="s">
        <v>28</v>
      </c>
      <c r="D2184" s="148" t="s">
        <v>478</v>
      </c>
      <c r="E2184" s="148" t="s">
        <v>30</v>
      </c>
      <c r="F2184" s="148" t="s">
        <v>3183</v>
      </c>
      <c r="G2184" s="148" t="s">
        <v>244</v>
      </c>
      <c r="H2184" s="148">
        <v>2015</v>
      </c>
      <c r="I2184" s="148">
        <v>9</v>
      </c>
      <c r="J2184" s="148" t="s">
        <v>308</v>
      </c>
      <c r="Q2184" s="148" t="s">
        <v>309</v>
      </c>
      <c r="R2184" s="148" t="s">
        <v>1372</v>
      </c>
      <c r="S2184" s="148" t="s">
        <v>660</v>
      </c>
      <c r="T2184" s="148" t="s">
        <v>1373</v>
      </c>
      <c r="Y2184" s="150" t="s">
        <v>1374</v>
      </c>
    </row>
    <row r="2185" spans="1:25" ht="15.75" hidden="1" customHeight="1" x14ac:dyDescent="0.25">
      <c r="A2185" s="148" t="s">
        <v>76</v>
      </c>
      <c r="B2185" s="148" t="s">
        <v>89</v>
      </c>
      <c r="C2185" s="148" t="s">
        <v>90</v>
      </c>
      <c r="D2185" s="148" t="s">
        <v>29</v>
      </c>
      <c r="E2185" s="148" t="s">
        <v>30</v>
      </c>
      <c r="F2185" s="148" t="s">
        <v>91</v>
      </c>
      <c r="G2185" s="148" t="s">
        <v>329</v>
      </c>
      <c r="H2185" s="148">
        <v>2015</v>
      </c>
      <c r="I2185" s="148">
        <v>9</v>
      </c>
      <c r="J2185" s="148" t="s">
        <v>118</v>
      </c>
      <c r="K2185" s="148" t="s">
        <v>579</v>
      </c>
      <c r="M2185" s="148" t="s">
        <v>126</v>
      </c>
      <c r="N2185" s="148">
        <v>10</v>
      </c>
      <c r="O2185" s="148" t="s">
        <v>101</v>
      </c>
      <c r="P2185" s="148" t="s">
        <v>146</v>
      </c>
    </row>
    <row r="2186" spans="1:25" ht="15.75" hidden="1" customHeight="1" x14ac:dyDescent="0.25">
      <c r="A2186" s="148" t="s">
        <v>76</v>
      </c>
      <c r="B2186" s="148" t="s">
        <v>71</v>
      </c>
      <c r="C2186" s="148" t="s">
        <v>45</v>
      </c>
      <c r="D2186" s="148" t="s">
        <v>478</v>
      </c>
      <c r="E2186" s="148" t="s">
        <v>72</v>
      </c>
      <c r="F2186" s="148" t="s">
        <v>3183</v>
      </c>
      <c r="G2186" s="148" t="s">
        <v>75</v>
      </c>
      <c r="H2186" s="148">
        <v>2015</v>
      </c>
      <c r="I2186" s="148">
        <v>9</v>
      </c>
      <c r="J2186" s="148" t="s">
        <v>118</v>
      </c>
      <c r="K2186" s="148" t="s">
        <v>502</v>
      </c>
      <c r="M2186" s="148" t="s">
        <v>126</v>
      </c>
      <c r="N2186" s="148">
        <v>10</v>
      </c>
      <c r="O2186" s="148" t="s">
        <v>101</v>
      </c>
      <c r="P2186" s="148" t="s">
        <v>146</v>
      </c>
    </row>
    <row r="2187" spans="1:25" ht="13.5" hidden="1" customHeight="1" x14ac:dyDescent="0.25">
      <c r="A2187" s="148" t="s">
        <v>307</v>
      </c>
      <c r="B2187" s="148" t="s">
        <v>71</v>
      </c>
      <c r="C2187" s="148" t="s">
        <v>45</v>
      </c>
      <c r="D2187" s="148" t="s">
        <v>478</v>
      </c>
      <c r="E2187" s="148" t="s">
        <v>72</v>
      </c>
      <c r="F2187" s="148" t="s">
        <v>3183</v>
      </c>
      <c r="G2187" s="148" t="s">
        <v>75</v>
      </c>
      <c r="H2187" s="148">
        <v>2015</v>
      </c>
      <c r="I2187" s="148">
        <v>9</v>
      </c>
      <c r="J2187" s="148" t="s">
        <v>399</v>
      </c>
      <c r="Q2187" s="148" t="s">
        <v>426</v>
      </c>
      <c r="R2187" s="148" t="s">
        <v>1375</v>
      </c>
      <c r="S2187" s="148" t="s">
        <v>311</v>
      </c>
      <c r="T2187" s="148" t="s">
        <v>1376</v>
      </c>
      <c r="Y2187" s="150" t="s">
        <v>1377</v>
      </c>
    </row>
    <row r="2188" spans="1:25" ht="15.75" hidden="1" customHeight="1" x14ac:dyDescent="0.25">
      <c r="A2188" s="148" t="s">
        <v>307</v>
      </c>
      <c r="B2188" s="148" t="s">
        <v>27</v>
      </c>
      <c r="C2188" s="148" t="s">
        <v>28</v>
      </c>
      <c r="D2188" s="148" t="s">
        <v>1302</v>
      </c>
      <c r="E2188" s="148" t="s">
        <v>40</v>
      </c>
      <c r="F2188" s="148" t="s">
        <v>41</v>
      </c>
      <c r="G2188" s="148" t="s">
        <v>42</v>
      </c>
      <c r="H2188" s="148">
        <v>2015</v>
      </c>
      <c r="I2188" s="148">
        <v>9</v>
      </c>
      <c r="J2188" s="148" t="s">
        <v>308</v>
      </c>
      <c r="Q2188" s="148" t="s">
        <v>594</v>
      </c>
      <c r="R2188" s="148" t="s">
        <v>1378</v>
      </c>
      <c r="S2188" s="148" t="s">
        <v>885</v>
      </c>
      <c r="T2188" s="148" t="s">
        <v>886</v>
      </c>
    </row>
    <row r="2189" spans="1:25" ht="15.75" hidden="1" customHeight="1" x14ac:dyDescent="0.25">
      <c r="A2189" s="148" t="s">
        <v>76</v>
      </c>
      <c r="B2189" s="148" t="s">
        <v>54</v>
      </c>
      <c r="C2189" s="148" t="s">
        <v>55</v>
      </c>
      <c r="D2189" s="148" t="s">
        <v>1082</v>
      </c>
      <c r="E2189" s="148" t="s">
        <v>30</v>
      </c>
      <c r="F2189" s="148" t="s">
        <v>56</v>
      </c>
      <c r="G2189" s="148" t="s">
        <v>54</v>
      </c>
      <c r="H2189" s="148">
        <v>2015</v>
      </c>
      <c r="I2189" s="148">
        <v>9</v>
      </c>
      <c r="J2189" s="148" t="s">
        <v>118</v>
      </c>
      <c r="K2189" s="148" t="s">
        <v>502</v>
      </c>
      <c r="M2189" s="148" t="s">
        <v>126</v>
      </c>
      <c r="N2189" s="148">
        <v>10</v>
      </c>
      <c r="O2189" s="148" t="s">
        <v>101</v>
      </c>
      <c r="P2189" s="148" t="s">
        <v>146</v>
      </c>
    </row>
    <row r="2190" spans="1:25" ht="15.75" hidden="1" customHeight="1" x14ac:dyDescent="0.25">
      <c r="A2190" s="148" t="s">
        <v>307</v>
      </c>
      <c r="B2190" s="148" t="s">
        <v>77</v>
      </c>
      <c r="C2190" s="148" t="s">
        <v>55</v>
      </c>
      <c r="D2190" s="148" t="s">
        <v>78</v>
      </c>
      <c r="E2190" s="148" t="s">
        <v>30</v>
      </c>
      <c r="F2190" s="148" t="s">
        <v>41</v>
      </c>
      <c r="G2190" s="148" t="s">
        <v>79</v>
      </c>
      <c r="H2190" s="148">
        <v>2015</v>
      </c>
      <c r="I2190" s="148">
        <v>9</v>
      </c>
      <c r="J2190" s="148" t="s">
        <v>399</v>
      </c>
      <c r="Q2190" s="148" t="s">
        <v>309</v>
      </c>
      <c r="R2190" s="148" t="s">
        <v>30</v>
      </c>
      <c r="S2190" s="148" t="s">
        <v>311</v>
      </c>
      <c r="T2190" s="148" t="s">
        <v>1379</v>
      </c>
      <c r="Y2190" s="150" t="s">
        <v>402</v>
      </c>
    </row>
    <row r="2191" spans="1:25" ht="15.75" hidden="1" customHeight="1" x14ac:dyDescent="0.25">
      <c r="A2191" s="148" t="s">
        <v>76</v>
      </c>
      <c r="B2191" s="148" t="s">
        <v>103</v>
      </c>
      <c r="C2191" s="148" t="s">
        <v>55</v>
      </c>
      <c r="D2191" s="148" t="s">
        <v>478</v>
      </c>
      <c r="E2191" s="148" t="s">
        <v>95</v>
      </c>
      <c r="F2191" s="148" t="s">
        <v>56</v>
      </c>
      <c r="G2191" s="148" t="s">
        <v>338</v>
      </c>
      <c r="H2191" s="148">
        <v>2015</v>
      </c>
      <c r="I2191" s="148">
        <v>9</v>
      </c>
      <c r="J2191" s="148" t="s">
        <v>118</v>
      </c>
      <c r="K2191" s="148" t="s">
        <v>629</v>
      </c>
      <c r="M2191" s="148" t="s">
        <v>554</v>
      </c>
      <c r="N2191" s="148">
        <v>8</v>
      </c>
      <c r="O2191" s="148" t="s">
        <v>101</v>
      </c>
      <c r="P2191" s="148" t="s">
        <v>425</v>
      </c>
    </row>
    <row r="2192" spans="1:25" ht="13.5" hidden="1" customHeight="1" x14ac:dyDescent="0.25">
      <c r="A2192" s="148" t="s">
        <v>307</v>
      </c>
      <c r="B2192" s="148" t="s">
        <v>27</v>
      </c>
      <c r="C2192" s="148" t="s">
        <v>28</v>
      </c>
      <c r="D2192" s="148" t="s">
        <v>86</v>
      </c>
      <c r="E2192" s="148" t="s">
        <v>30</v>
      </c>
      <c r="F2192" s="148" t="s">
        <v>3183</v>
      </c>
      <c r="G2192" s="148" t="s">
        <v>43</v>
      </c>
      <c r="H2192" s="148">
        <v>2015</v>
      </c>
      <c r="I2192" s="148">
        <v>9</v>
      </c>
      <c r="J2192" s="148" t="s">
        <v>399</v>
      </c>
      <c r="Q2192" s="148" t="s">
        <v>309</v>
      </c>
      <c r="R2192" s="148" t="s">
        <v>1380</v>
      </c>
      <c r="S2192" s="148" t="s">
        <v>311</v>
      </c>
      <c r="T2192" s="148" t="s">
        <v>1381</v>
      </c>
    </row>
    <row r="2193" spans="1:26" ht="13.5" hidden="1" customHeight="1" x14ac:dyDescent="0.25">
      <c r="A2193" s="148" t="s">
        <v>76</v>
      </c>
      <c r="B2193" s="148" t="s">
        <v>103</v>
      </c>
      <c r="C2193" s="148" t="s">
        <v>55</v>
      </c>
      <c r="D2193" s="148" t="s">
        <v>29</v>
      </c>
      <c r="E2193" s="148" t="s">
        <v>30</v>
      </c>
      <c r="F2193" s="148" t="s">
        <v>56</v>
      </c>
      <c r="G2193" s="148" t="s">
        <v>381</v>
      </c>
      <c r="H2193" s="148">
        <v>2015</v>
      </c>
      <c r="I2193" s="148">
        <v>9</v>
      </c>
      <c r="J2193" s="148" t="s">
        <v>118</v>
      </c>
      <c r="K2193" s="148" t="s">
        <v>708</v>
      </c>
      <c r="M2193" s="148" t="s">
        <v>82</v>
      </c>
      <c r="N2193" s="148">
        <v>8</v>
      </c>
      <c r="O2193" s="148" t="s">
        <v>101</v>
      </c>
      <c r="P2193" s="148" t="s">
        <v>656</v>
      </c>
    </row>
    <row r="2194" spans="1:26" ht="13.5" hidden="1" customHeight="1" x14ac:dyDescent="0.25">
      <c r="A2194" s="148" t="s">
        <v>76</v>
      </c>
      <c r="B2194" s="148" t="s">
        <v>36</v>
      </c>
      <c r="C2194" s="148" t="s">
        <v>28</v>
      </c>
      <c r="D2194" s="148" t="s">
        <v>342</v>
      </c>
      <c r="E2194" s="148" t="s">
        <v>51</v>
      </c>
      <c r="F2194" s="148" t="s">
        <v>3183</v>
      </c>
      <c r="G2194" s="148" t="s">
        <v>52</v>
      </c>
      <c r="H2194" s="148">
        <v>2015</v>
      </c>
      <c r="I2194" s="148">
        <v>9</v>
      </c>
      <c r="J2194" s="148" t="s">
        <v>118</v>
      </c>
      <c r="K2194" s="148" t="s">
        <v>579</v>
      </c>
      <c r="M2194" s="148" t="s">
        <v>126</v>
      </c>
      <c r="N2194" s="148">
        <v>10</v>
      </c>
      <c r="O2194" s="148" t="s">
        <v>101</v>
      </c>
      <c r="P2194" s="148" t="s">
        <v>1084</v>
      </c>
    </row>
    <row r="2195" spans="1:26" ht="15.75" hidden="1" customHeight="1" x14ac:dyDescent="0.25">
      <c r="A2195" s="148" t="s">
        <v>76</v>
      </c>
      <c r="B2195" s="148" t="s">
        <v>89</v>
      </c>
      <c r="C2195" s="148" t="s">
        <v>90</v>
      </c>
      <c r="D2195" s="148" t="s">
        <v>29</v>
      </c>
      <c r="E2195" s="148" t="s">
        <v>40</v>
      </c>
      <c r="F2195" s="148" t="s">
        <v>91</v>
      </c>
      <c r="G2195" s="148" t="s">
        <v>413</v>
      </c>
      <c r="H2195" s="148">
        <v>2015</v>
      </c>
      <c r="I2195" s="148">
        <v>9</v>
      </c>
      <c r="J2195" s="148" t="s">
        <v>118</v>
      </c>
      <c r="K2195" s="148" t="s">
        <v>708</v>
      </c>
      <c r="M2195" s="148" t="s">
        <v>82</v>
      </c>
      <c r="N2195" s="148">
        <v>8</v>
      </c>
      <c r="O2195" s="148" t="s">
        <v>101</v>
      </c>
      <c r="P2195" s="148" t="s">
        <v>146</v>
      </c>
    </row>
    <row r="2196" spans="1:26" ht="15.75" hidden="1" customHeight="1" x14ac:dyDescent="0.25">
      <c r="A2196" s="148" t="s">
        <v>76</v>
      </c>
      <c r="B2196" s="148" t="s">
        <v>103</v>
      </c>
      <c r="C2196" s="148" t="s">
        <v>55</v>
      </c>
      <c r="D2196" s="148" t="s">
        <v>478</v>
      </c>
      <c r="E2196" s="148" t="s">
        <v>95</v>
      </c>
      <c r="F2196" s="148" t="s">
        <v>56</v>
      </c>
      <c r="G2196" s="148" t="s">
        <v>108</v>
      </c>
      <c r="H2196" s="148">
        <v>2015</v>
      </c>
      <c r="I2196" s="148">
        <v>9</v>
      </c>
      <c r="J2196" s="148" t="s">
        <v>150</v>
      </c>
      <c r="K2196" s="148" t="s">
        <v>959</v>
      </c>
      <c r="M2196" s="148" t="s">
        <v>464</v>
      </c>
      <c r="N2196" s="148">
        <v>6</v>
      </c>
      <c r="O2196" s="148" t="s">
        <v>83</v>
      </c>
    </row>
    <row r="2197" spans="1:26" ht="15.75" hidden="1" customHeight="1" x14ac:dyDescent="0.25">
      <c r="A2197" s="148" t="s">
        <v>76</v>
      </c>
      <c r="B2197" s="148" t="s">
        <v>27</v>
      </c>
      <c r="C2197" s="148" t="s">
        <v>55</v>
      </c>
      <c r="D2197" s="148" t="s">
        <v>99</v>
      </c>
      <c r="E2197" s="148" t="s">
        <v>40</v>
      </c>
      <c r="F2197" s="148" t="s">
        <v>41</v>
      </c>
      <c r="G2197" s="148" t="s">
        <v>604</v>
      </c>
      <c r="H2197" s="148">
        <v>2015</v>
      </c>
      <c r="I2197" s="148">
        <v>10</v>
      </c>
      <c r="J2197" s="148" t="s">
        <v>118</v>
      </c>
      <c r="K2197" s="148" t="s">
        <v>874</v>
      </c>
      <c r="M2197" s="148" t="s">
        <v>120</v>
      </c>
      <c r="N2197" s="148">
        <v>6</v>
      </c>
      <c r="O2197" s="148" t="s">
        <v>101</v>
      </c>
      <c r="P2197" s="148" t="s">
        <v>1116</v>
      </c>
    </row>
    <row r="2198" spans="1:26" ht="15.75" hidden="1" customHeight="1" x14ac:dyDescent="0.25">
      <c r="A2198" s="148" t="s">
        <v>76</v>
      </c>
      <c r="B2198" s="148" t="s">
        <v>36</v>
      </c>
      <c r="C2198" s="148" t="s">
        <v>28</v>
      </c>
      <c r="D2198" s="148" t="s">
        <v>887</v>
      </c>
      <c r="E2198" s="148" t="s">
        <v>30</v>
      </c>
      <c r="F2198" s="148" t="s">
        <v>3183</v>
      </c>
      <c r="G2198" s="148" t="s">
        <v>888</v>
      </c>
      <c r="H2198" s="148">
        <v>2015</v>
      </c>
      <c r="I2198" s="148">
        <v>10</v>
      </c>
      <c r="J2198" s="148" t="s">
        <v>100</v>
      </c>
      <c r="K2198" s="148" t="s">
        <v>708</v>
      </c>
      <c r="M2198" s="148" t="s">
        <v>82</v>
      </c>
      <c r="N2198" s="148">
        <v>8</v>
      </c>
      <c r="O2198" s="148" t="s">
        <v>101</v>
      </c>
      <c r="P2198" s="148" t="s">
        <v>1382</v>
      </c>
      <c r="Y2198" s="150" t="s">
        <v>1383</v>
      </c>
      <c r="Z2198" s="148" t="s">
        <v>891</v>
      </c>
    </row>
    <row r="2199" spans="1:26" ht="15.75" hidden="1" customHeight="1" x14ac:dyDescent="0.25">
      <c r="A2199" s="148" t="s">
        <v>26</v>
      </c>
      <c r="B2199" s="148" t="s">
        <v>71</v>
      </c>
      <c r="C2199" s="148" t="s">
        <v>45</v>
      </c>
      <c r="D2199" s="148" t="s">
        <v>478</v>
      </c>
      <c r="E2199" s="148" t="s">
        <v>72</v>
      </c>
      <c r="F2199" s="148" t="s">
        <v>3183</v>
      </c>
      <c r="G2199" s="148" t="s">
        <v>73</v>
      </c>
      <c r="H2199" s="148">
        <v>2015</v>
      </c>
      <c r="I2199" s="148">
        <v>10</v>
      </c>
      <c r="J2199" s="148" t="s">
        <v>895</v>
      </c>
      <c r="U2199" s="149" t="s">
        <v>112</v>
      </c>
      <c r="V2199" s="148" t="s">
        <v>3680</v>
      </c>
      <c r="W2199" s="148" t="s">
        <v>34</v>
      </c>
    </row>
    <row r="2200" spans="1:26" ht="15.75" hidden="1" customHeight="1" x14ac:dyDescent="0.25">
      <c r="A2200" s="148" t="s">
        <v>76</v>
      </c>
      <c r="B2200" s="148" t="s">
        <v>103</v>
      </c>
      <c r="C2200" s="148" t="s">
        <v>55</v>
      </c>
      <c r="D2200" s="148" t="s">
        <v>478</v>
      </c>
      <c r="E2200" s="148" t="s">
        <v>30</v>
      </c>
      <c r="F2200" s="148" t="s">
        <v>56</v>
      </c>
      <c r="G2200" s="148" t="s">
        <v>171</v>
      </c>
      <c r="H2200" s="148">
        <v>2015</v>
      </c>
      <c r="I2200" s="148">
        <v>10</v>
      </c>
      <c r="J2200" s="148" t="s">
        <v>150</v>
      </c>
      <c r="K2200" s="148" t="s">
        <v>874</v>
      </c>
      <c r="M2200" s="148" t="s">
        <v>120</v>
      </c>
      <c r="N2200" s="148">
        <v>6</v>
      </c>
      <c r="O2200" s="148" t="s">
        <v>83</v>
      </c>
    </row>
    <row r="2201" spans="1:26" ht="15.75" hidden="1" customHeight="1" x14ac:dyDescent="0.25">
      <c r="A2201" s="148" t="s">
        <v>26</v>
      </c>
      <c r="B2201" s="148" t="s">
        <v>103</v>
      </c>
      <c r="C2201" s="148" t="s">
        <v>55</v>
      </c>
      <c r="D2201" s="148" t="s">
        <v>478</v>
      </c>
      <c r="E2201" s="148" t="s">
        <v>95</v>
      </c>
      <c r="F2201" s="148" t="s">
        <v>56</v>
      </c>
      <c r="G2201" s="148" t="s">
        <v>111</v>
      </c>
      <c r="H2201" s="148">
        <v>2015</v>
      </c>
      <c r="I2201" s="148">
        <v>10</v>
      </c>
      <c r="J2201" s="148" t="s">
        <v>33</v>
      </c>
      <c r="U2201" s="149" t="s">
        <v>112</v>
      </c>
      <c r="V2201" s="148" t="s">
        <v>3680</v>
      </c>
      <c r="W2201" s="148" t="s">
        <v>34</v>
      </c>
      <c r="X2201" s="148" t="s">
        <v>821</v>
      </c>
    </row>
    <row r="2202" spans="1:26" ht="13.5" hidden="1" customHeight="1" x14ac:dyDescent="0.25">
      <c r="A2202" s="148" t="s">
        <v>307</v>
      </c>
      <c r="B2202" s="148" t="s">
        <v>103</v>
      </c>
      <c r="C2202" s="148" t="s">
        <v>55</v>
      </c>
      <c r="D2202" s="148" t="s">
        <v>478</v>
      </c>
      <c r="E2202" s="148" t="s">
        <v>95</v>
      </c>
      <c r="F2202" s="148" t="s">
        <v>56</v>
      </c>
      <c r="G2202" s="148" t="s">
        <v>111</v>
      </c>
      <c r="H2202" s="148">
        <v>2015</v>
      </c>
      <c r="I2202" s="148">
        <v>10</v>
      </c>
      <c r="J2202" s="148" t="s">
        <v>308</v>
      </c>
      <c r="Q2202" s="148" t="s">
        <v>426</v>
      </c>
      <c r="R2202" s="148" t="s">
        <v>30</v>
      </c>
      <c r="S2202" s="148" t="s">
        <v>427</v>
      </c>
      <c r="T2202" s="148" t="s">
        <v>1384</v>
      </c>
    </row>
    <row r="2203" spans="1:26" ht="15.75" hidden="1" customHeight="1" x14ac:dyDescent="0.25">
      <c r="A2203" s="148" t="s">
        <v>307</v>
      </c>
      <c r="B2203" s="148" t="s">
        <v>103</v>
      </c>
      <c r="C2203" s="148" t="s">
        <v>55</v>
      </c>
      <c r="D2203" s="148" t="s">
        <v>478</v>
      </c>
      <c r="E2203" s="148" t="s">
        <v>95</v>
      </c>
      <c r="F2203" s="148" t="s">
        <v>56</v>
      </c>
      <c r="G2203" s="148" t="s">
        <v>111</v>
      </c>
      <c r="H2203" s="148">
        <v>2015</v>
      </c>
      <c r="I2203" s="148">
        <v>10</v>
      </c>
      <c r="J2203" s="148" t="s">
        <v>308</v>
      </c>
      <c r="Q2203" s="148" t="s">
        <v>426</v>
      </c>
      <c r="R2203" s="148" t="s">
        <v>30</v>
      </c>
      <c r="S2203" s="148" t="s">
        <v>427</v>
      </c>
      <c r="T2203" s="148" t="s">
        <v>1385</v>
      </c>
    </row>
    <row r="2204" spans="1:26" ht="15.75" hidden="1" customHeight="1" x14ac:dyDescent="0.25">
      <c r="A2204" s="148" t="s">
        <v>307</v>
      </c>
      <c r="B2204" s="148" t="s">
        <v>103</v>
      </c>
      <c r="C2204" s="148" t="s">
        <v>55</v>
      </c>
      <c r="D2204" s="148" t="s">
        <v>478</v>
      </c>
      <c r="E2204" s="148" t="s">
        <v>95</v>
      </c>
      <c r="F2204" s="148" t="s">
        <v>56</v>
      </c>
      <c r="G2204" s="148" t="s">
        <v>111</v>
      </c>
      <c r="H2204" s="148">
        <v>2015</v>
      </c>
      <c r="I2204" s="148">
        <v>10</v>
      </c>
      <c r="J2204" s="148" t="s">
        <v>308</v>
      </c>
      <c r="Q2204" s="148" t="s">
        <v>426</v>
      </c>
      <c r="R2204" s="148" t="s">
        <v>1386</v>
      </c>
      <c r="S2204" s="148" t="s">
        <v>427</v>
      </c>
      <c r="T2204" s="148" t="s">
        <v>1387</v>
      </c>
    </row>
    <row r="2205" spans="1:26" ht="15.75" hidden="1" customHeight="1" x14ac:dyDescent="0.25">
      <c r="A2205" s="148" t="s">
        <v>307</v>
      </c>
      <c r="B2205" s="148" t="s">
        <v>103</v>
      </c>
      <c r="C2205" s="148" t="s">
        <v>55</v>
      </c>
      <c r="D2205" s="148" t="s">
        <v>478</v>
      </c>
      <c r="E2205" s="148" t="s">
        <v>95</v>
      </c>
      <c r="F2205" s="148" t="s">
        <v>56</v>
      </c>
      <c r="G2205" s="148" t="s">
        <v>111</v>
      </c>
      <c r="H2205" s="148">
        <v>2015</v>
      </c>
      <c r="I2205" s="148">
        <v>10</v>
      </c>
      <c r="J2205" s="148" t="s">
        <v>308</v>
      </c>
      <c r="Q2205" s="148" t="s">
        <v>426</v>
      </c>
      <c r="R2205" s="148" t="s">
        <v>30</v>
      </c>
      <c r="S2205" s="148" t="s">
        <v>427</v>
      </c>
      <c r="T2205" s="148" t="s">
        <v>1388</v>
      </c>
    </row>
    <row r="2206" spans="1:26" ht="15.75" hidden="1" customHeight="1" x14ac:dyDescent="0.25">
      <c r="A2206" s="148" t="s">
        <v>307</v>
      </c>
      <c r="B2206" s="148" t="s">
        <v>27</v>
      </c>
      <c r="C2206" s="148" t="s">
        <v>28</v>
      </c>
      <c r="D2206" s="148" t="s">
        <v>566</v>
      </c>
      <c r="E2206" s="148" t="s">
        <v>30</v>
      </c>
      <c r="F2206" s="148" t="s">
        <v>3183</v>
      </c>
      <c r="G2206" s="148" t="s">
        <v>53</v>
      </c>
      <c r="H2206" s="148">
        <v>2015</v>
      </c>
      <c r="I2206" s="148">
        <v>10</v>
      </c>
      <c r="J2206" s="148" t="s">
        <v>308</v>
      </c>
      <c r="Q2206" s="148" t="s">
        <v>309</v>
      </c>
      <c r="R2206" s="148" t="s">
        <v>1389</v>
      </c>
      <c r="S2206" s="148" t="s">
        <v>311</v>
      </c>
      <c r="T2206" s="148" t="s">
        <v>309</v>
      </c>
    </row>
    <row r="2207" spans="1:26" ht="15.75" hidden="1" customHeight="1" x14ac:dyDescent="0.25">
      <c r="A2207" s="148" t="s">
        <v>76</v>
      </c>
      <c r="B2207" s="148" t="s">
        <v>36</v>
      </c>
      <c r="C2207" s="148" t="s">
        <v>28</v>
      </c>
      <c r="D2207" s="148" t="s">
        <v>478</v>
      </c>
      <c r="E2207" s="148" t="s">
        <v>30</v>
      </c>
      <c r="F2207" s="148" t="s">
        <v>3183</v>
      </c>
      <c r="G2207" s="148" t="s">
        <v>59</v>
      </c>
      <c r="H2207" s="148">
        <v>2015</v>
      </c>
      <c r="I2207" s="148">
        <v>10</v>
      </c>
      <c r="J2207" s="148" t="s">
        <v>640</v>
      </c>
      <c r="K2207" s="148" t="s">
        <v>708</v>
      </c>
      <c r="M2207" s="148" t="s">
        <v>82</v>
      </c>
      <c r="N2207" s="148">
        <v>8</v>
      </c>
      <c r="O2207" s="148" t="s">
        <v>101</v>
      </c>
      <c r="P2207" s="148" t="s">
        <v>146</v>
      </c>
      <c r="Y2207" s="150" t="s">
        <v>1390</v>
      </c>
    </row>
    <row r="2208" spans="1:26" ht="15.75" hidden="1" customHeight="1" x14ac:dyDescent="0.25">
      <c r="A2208" s="148" t="s">
        <v>76</v>
      </c>
      <c r="B2208" s="148" t="s">
        <v>116</v>
      </c>
      <c r="C2208" s="148" t="s">
        <v>90</v>
      </c>
      <c r="D2208" s="148" t="s">
        <v>29</v>
      </c>
      <c r="E2208" s="148" t="s">
        <v>30</v>
      </c>
      <c r="F2208" s="148" t="s">
        <v>41</v>
      </c>
      <c r="G2208" s="148" t="s">
        <v>421</v>
      </c>
      <c r="H2208" s="148">
        <v>2015</v>
      </c>
      <c r="I2208" s="148">
        <v>10</v>
      </c>
      <c r="J2208" s="148" t="s">
        <v>150</v>
      </c>
      <c r="K2208" s="148" t="s">
        <v>874</v>
      </c>
      <c r="M2208" s="148" t="s">
        <v>120</v>
      </c>
      <c r="N2208" s="148">
        <v>6</v>
      </c>
      <c r="O2208" s="148" t="s">
        <v>83</v>
      </c>
    </row>
    <row r="2209" spans="1:25" ht="15.75" hidden="1" customHeight="1" x14ac:dyDescent="0.25">
      <c r="A2209" s="148" t="s">
        <v>76</v>
      </c>
      <c r="B2209" s="148" t="s">
        <v>77</v>
      </c>
      <c r="C2209" s="148" t="s">
        <v>55</v>
      </c>
      <c r="D2209" s="148" t="s">
        <v>478</v>
      </c>
      <c r="E2209" s="148" t="s">
        <v>30</v>
      </c>
      <c r="F2209" s="148" t="s">
        <v>41</v>
      </c>
      <c r="G2209" s="148" t="s">
        <v>159</v>
      </c>
      <c r="H2209" s="148">
        <v>2015</v>
      </c>
      <c r="I2209" s="148">
        <v>10</v>
      </c>
      <c r="J2209" s="148" t="s">
        <v>150</v>
      </c>
      <c r="K2209" s="148" t="s">
        <v>708</v>
      </c>
      <c r="M2209" s="148" t="s">
        <v>82</v>
      </c>
      <c r="N2209" s="148">
        <v>8</v>
      </c>
      <c r="O2209" s="148" t="s">
        <v>83</v>
      </c>
    </row>
    <row r="2210" spans="1:25" ht="15.75" hidden="1" customHeight="1" x14ac:dyDescent="0.25">
      <c r="A2210" s="148" t="s">
        <v>307</v>
      </c>
      <c r="B2210" s="148" t="s">
        <v>77</v>
      </c>
      <c r="C2210" s="148" t="s">
        <v>55</v>
      </c>
      <c r="D2210" s="148" t="s">
        <v>478</v>
      </c>
      <c r="E2210" s="148" t="s">
        <v>30</v>
      </c>
      <c r="F2210" s="148" t="s">
        <v>41</v>
      </c>
      <c r="G2210" s="148" t="s">
        <v>159</v>
      </c>
      <c r="H2210" s="148">
        <v>2015</v>
      </c>
      <c r="I2210" s="148">
        <v>10</v>
      </c>
      <c r="J2210" s="148" t="s">
        <v>308</v>
      </c>
      <c r="Q2210" s="148" t="s">
        <v>309</v>
      </c>
      <c r="R2210" s="148" t="s">
        <v>1391</v>
      </c>
      <c r="S2210" s="148" t="s">
        <v>311</v>
      </c>
      <c r="T2210" s="148" t="s">
        <v>1392</v>
      </c>
    </row>
    <row r="2211" spans="1:25" ht="15.75" hidden="1" customHeight="1" x14ac:dyDescent="0.25">
      <c r="A2211" s="148" t="s">
        <v>76</v>
      </c>
      <c r="B2211" s="148" t="s">
        <v>36</v>
      </c>
      <c r="C2211" s="148" t="s">
        <v>28</v>
      </c>
      <c r="D2211" s="148" t="s">
        <v>342</v>
      </c>
      <c r="E2211" s="148" t="s">
        <v>30</v>
      </c>
      <c r="F2211" s="148" t="s">
        <v>3183</v>
      </c>
      <c r="G2211" s="148" t="s">
        <v>242</v>
      </c>
      <c r="H2211" s="148">
        <v>2015</v>
      </c>
      <c r="I2211" s="148">
        <v>10</v>
      </c>
      <c r="J2211" s="148" t="s">
        <v>118</v>
      </c>
      <c r="K2211" s="148" t="s">
        <v>874</v>
      </c>
      <c r="M2211" s="148" t="s">
        <v>120</v>
      </c>
      <c r="N2211" s="148">
        <v>6</v>
      </c>
      <c r="O2211" s="148" t="s">
        <v>101</v>
      </c>
      <c r="P2211" s="148" t="s">
        <v>1393</v>
      </c>
    </row>
    <row r="2212" spans="1:25" ht="15.75" hidden="1" customHeight="1" x14ac:dyDescent="0.25">
      <c r="A2212" s="148" t="s">
        <v>76</v>
      </c>
      <c r="B2212" s="148" t="s">
        <v>103</v>
      </c>
      <c r="C2212" s="148" t="s">
        <v>55</v>
      </c>
      <c r="D2212" s="148" t="s">
        <v>516</v>
      </c>
      <c r="E2212" s="148" t="s">
        <v>95</v>
      </c>
      <c r="F2212" s="148" t="s">
        <v>56</v>
      </c>
      <c r="G2212" s="148" t="s">
        <v>1013</v>
      </c>
      <c r="H2212" s="148">
        <v>2015</v>
      </c>
      <c r="I2212" s="148">
        <v>10</v>
      </c>
      <c r="J2212" s="148" t="s">
        <v>118</v>
      </c>
      <c r="K2212" s="148" t="s">
        <v>851</v>
      </c>
      <c r="M2212" s="148" t="s">
        <v>132</v>
      </c>
      <c r="N2212" s="148">
        <v>8</v>
      </c>
      <c r="O2212" s="148" t="s">
        <v>101</v>
      </c>
      <c r="P2212" s="148" t="s">
        <v>535</v>
      </c>
    </row>
    <row r="2213" spans="1:25" ht="15.75" hidden="1" customHeight="1" x14ac:dyDescent="0.25">
      <c r="A2213" s="148" t="s">
        <v>76</v>
      </c>
      <c r="B2213" s="148" t="s">
        <v>36</v>
      </c>
      <c r="C2213" s="148" t="s">
        <v>28</v>
      </c>
      <c r="D2213" s="148" t="s">
        <v>478</v>
      </c>
      <c r="E2213" s="148" t="s">
        <v>30</v>
      </c>
      <c r="F2213" s="148" t="s">
        <v>3183</v>
      </c>
      <c r="G2213" s="148" t="s">
        <v>67</v>
      </c>
      <c r="H2213" s="148">
        <v>2015</v>
      </c>
      <c r="I2213" s="148">
        <v>10</v>
      </c>
      <c r="J2213" s="148" t="s">
        <v>118</v>
      </c>
      <c r="K2213" s="148" t="s">
        <v>502</v>
      </c>
      <c r="M2213" s="148" t="s">
        <v>126</v>
      </c>
      <c r="N2213" s="148">
        <v>10</v>
      </c>
      <c r="O2213" s="148" t="s">
        <v>101</v>
      </c>
      <c r="P2213" s="148" t="s">
        <v>146</v>
      </c>
    </row>
    <row r="2214" spans="1:25" ht="15.75" hidden="1" customHeight="1" x14ac:dyDescent="0.25">
      <c r="A2214" s="148" t="s">
        <v>76</v>
      </c>
      <c r="B2214" s="148" t="s">
        <v>62</v>
      </c>
      <c r="C2214" s="148" t="s">
        <v>28</v>
      </c>
      <c r="D2214" s="148" t="s">
        <v>478</v>
      </c>
      <c r="E2214" s="148" t="s">
        <v>30</v>
      </c>
      <c r="F2214" s="148" t="s">
        <v>3183</v>
      </c>
      <c r="G2214" s="148" t="s">
        <v>244</v>
      </c>
      <c r="H2214" s="148">
        <v>2015</v>
      </c>
      <c r="I2214" s="148">
        <v>10</v>
      </c>
      <c r="J2214" s="148" t="s">
        <v>150</v>
      </c>
      <c r="K2214" s="148" t="s">
        <v>708</v>
      </c>
      <c r="M2214" s="148" t="s">
        <v>82</v>
      </c>
      <c r="N2214" s="148">
        <v>8</v>
      </c>
      <c r="O2214" s="148" t="s">
        <v>83</v>
      </c>
    </row>
    <row r="2215" spans="1:25" ht="15.75" hidden="1" customHeight="1" x14ac:dyDescent="0.25">
      <c r="A2215" s="148" t="s">
        <v>307</v>
      </c>
      <c r="B2215" s="148" t="s">
        <v>62</v>
      </c>
      <c r="C2215" s="148" t="s">
        <v>28</v>
      </c>
      <c r="D2215" s="148" t="s">
        <v>478</v>
      </c>
      <c r="E2215" s="148" t="s">
        <v>30</v>
      </c>
      <c r="F2215" s="148" t="s">
        <v>3183</v>
      </c>
      <c r="G2215" s="148" t="s">
        <v>244</v>
      </c>
      <c r="H2215" s="148">
        <v>2015</v>
      </c>
      <c r="I2215" s="148">
        <v>10</v>
      </c>
      <c r="J2215" s="148" t="s">
        <v>308</v>
      </c>
      <c r="Q2215" s="148" t="s">
        <v>309</v>
      </c>
      <c r="R2215" s="148" t="s">
        <v>1394</v>
      </c>
      <c r="S2215" s="148" t="s">
        <v>311</v>
      </c>
      <c r="T2215" s="148" t="s">
        <v>1395</v>
      </c>
    </row>
    <row r="2216" spans="1:25" ht="15.75" hidden="1" customHeight="1" x14ac:dyDescent="0.25">
      <c r="A2216" s="148" t="s">
        <v>76</v>
      </c>
      <c r="B2216" s="148" t="s">
        <v>89</v>
      </c>
      <c r="C2216" s="148" t="s">
        <v>90</v>
      </c>
      <c r="D2216" s="148" t="s">
        <v>29</v>
      </c>
      <c r="E2216" s="148" t="s">
        <v>30</v>
      </c>
      <c r="F2216" s="148" t="s">
        <v>91</v>
      </c>
      <c r="G2216" s="148" t="s">
        <v>411</v>
      </c>
      <c r="H2216" s="148">
        <v>2015</v>
      </c>
      <c r="I2216" s="148">
        <v>10</v>
      </c>
      <c r="J2216" s="148" t="s">
        <v>118</v>
      </c>
      <c r="K2216" s="148" t="s">
        <v>502</v>
      </c>
      <c r="M2216" s="148" t="s">
        <v>126</v>
      </c>
      <c r="N2216" s="148">
        <v>10</v>
      </c>
      <c r="O2216" s="148" t="s">
        <v>101</v>
      </c>
      <c r="P2216" s="148" t="s">
        <v>146</v>
      </c>
    </row>
    <row r="2217" spans="1:25" ht="15.75" hidden="1" customHeight="1" x14ac:dyDescent="0.25">
      <c r="A2217" s="148" t="s">
        <v>76</v>
      </c>
      <c r="B2217" s="148" t="s">
        <v>36</v>
      </c>
      <c r="C2217" s="148" t="s">
        <v>28</v>
      </c>
      <c r="D2217" s="148" t="s">
        <v>342</v>
      </c>
      <c r="E2217" s="148" t="s">
        <v>30</v>
      </c>
      <c r="F2217" s="148" t="s">
        <v>3183</v>
      </c>
      <c r="G2217" s="148" t="s">
        <v>37</v>
      </c>
      <c r="H2217" s="148">
        <v>2015</v>
      </c>
      <c r="I2217" s="148">
        <v>10</v>
      </c>
      <c r="J2217" s="148" t="s">
        <v>118</v>
      </c>
      <c r="K2217" s="148" t="s">
        <v>708</v>
      </c>
      <c r="M2217" s="148" t="s">
        <v>82</v>
      </c>
      <c r="N2217" s="148">
        <v>8</v>
      </c>
      <c r="O2217" s="148" t="s">
        <v>101</v>
      </c>
      <c r="P2217" s="148" t="s">
        <v>146</v>
      </c>
    </row>
    <row r="2218" spans="1:25" ht="15.75" hidden="1" customHeight="1" x14ac:dyDescent="0.25">
      <c r="A2218" s="148" t="s">
        <v>76</v>
      </c>
      <c r="B2218" s="148" t="s">
        <v>62</v>
      </c>
      <c r="C2218" s="148" t="s">
        <v>28</v>
      </c>
      <c r="D2218" s="148" t="s">
        <v>46</v>
      </c>
      <c r="E2218" s="148" t="s">
        <v>30</v>
      </c>
      <c r="F2218" s="148" t="s">
        <v>3183</v>
      </c>
      <c r="G2218" s="148" t="s">
        <v>46</v>
      </c>
      <c r="H2218" s="148">
        <v>2015</v>
      </c>
      <c r="I2218" s="148">
        <v>10</v>
      </c>
      <c r="J2218" s="148" t="s">
        <v>100</v>
      </c>
      <c r="K2218" s="148" t="s">
        <v>708</v>
      </c>
      <c r="M2218" s="148" t="s">
        <v>82</v>
      </c>
      <c r="N2218" s="148">
        <v>8</v>
      </c>
      <c r="O2218" s="148" t="s">
        <v>101</v>
      </c>
      <c r="P2218" s="148" t="s">
        <v>1396</v>
      </c>
      <c r="Y2218" s="150" t="s">
        <v>1397</v>
      </c>
    </row>
    <row r="2219" spans="1:25" ht="15.75" hidden="1" customHeight="1" x14ac:dyDescent="0.25">
      <c r="A2219" s="148" t="s">
        <v>26</v>
      </c>
      <c r="B2219" s="148" t="s">
        <v>103</v>
      </c>
      <c r="C2219" s="148" t="s">
        <v>55</v>
      </c>
      <c r="D2219" s="148" t="s">
        <v>99</v>
      </c>
      <c r="E2219" s="148" t="s">
        <v>95</v>
      </c>
      <c r="F2219" s="148" t="s">
        <v>56</v>
      </c>
      <c r="G2219" s="148" t="s">
        <v>270</v>
      </c>
      <c r="H2219" s="148">
        <v>2015</v>
      </c>
      <c r="I2219" s="148">
        <v>10</v>
      </c>
      <c r="J2219" s="148" t="s">
        <v>33</v>
      </c>
      <c r="U2219" s="149" t="s">
        <v>3629</v>
      </c>
      <c r="V2219" s="148" t="s">
        <v>1321</v>
      </c>
      <c r="W2219" s="148" t="s">
        <v>34</v>
      </c>
      <c r="X2219" s="148" t="s">
        <v>1322</v>
      </c>
    </row>
    <row r="2220" spans="1:25" ht="15.75" hidden="1" customHeight="1" x14ac:dyDescent="0.25">
      <c r="A2220" s="148" t="s">
        <v>26</v>
      </c>
      <c r="B2220" s="148" t="s">
        <v>103</v>
      </c>
      <c r="C2220" s="148" t="s">
        <v>55</v>
      </c>
      <c r="D2220" s="148" t="s">
        <v>478</v>
      </c>
      <c r="E2220" s="148" t="s">
        <v>95</v>
      </c>
      <c r="F2220" s="148" t="s">
        <v>56</v>
      </c>
      <c r="G2220" s="148" t="s">
        <v>225</v>
      </c>
      <c r="H2220" s="148">
        <v>2015</v>
      </c>
      <c r="I2220" s="148">
        <v>10</v>
      </c>
      <c r="J2220" s="148" t="s">
        <v>33</v>
      </c>
      <c r="U2220" s="149" t="s">
        <v>3629</v>
      </c>
      <c r="V2220" s="148" t="s">
        <v>1321</v>
      </c>
      <c r="W2220" s="148" t="s">
        <v>34</v>
      </c>
      <c r="X2220" s="148" t="s">
        <v>1322</v>
      </c>
    </row>
    <row r="2221" spans="1:25" ht="15.75" hidden="1" customHeight="1" x14ac:dyDescent="0.25">
      <c r="A2221" s="148" t="s">
        <v>76</v>
      </c>
      <c r="B2221" s="148" t="s">
        <v>116</v>
      </c>
      <c r="C2221" s="148" t="s">
        <v>90</v>
      </c>
      <c r="D2221" s="148" t="s">
        <v>29</v>
      </c>
      <c r="E2221" s="148" t="s">
        <v>30</v>
      </c>
      <c r="F2221" s="148" t="s">
        <v>41</v>
      </c>
      <c r="G2221" s="148" t="s">
        <v>756</v>
      </c>
      <c r="H2221" s="148">
        <v>2015</v>
      </c>
      <c r="I2221" s="148">
        <v>10</v>
      </c>
      <c r="J2221" s="148" t="s">
        <v>118</v>
      </c>
      <c r="K2221" s="148" t="s">
        <v>520</v>
      </c>
      <c r="M2221" s="148" t="s">
        <v>701</v>
      </c>
      <c r="N2221" s="148">
        <v>8</v>
      </c>
      <c r="O2221" s="148" t="s">
        <v>101</v>
      </c>
      <c r="P2221" s="148" t="s">
        <v>562</v>
      </c>
    </row>
    <row r="2222" spans="1:25" ht="15.75" hidden="1" customHeight="1" x14ac:dyDescent="0.25">
      <c r="A2222" s="148" t="s">
        <v>76</v>
      </c>
      <c r="B2222" s="148" t="s">
        <v>27</v>
      </c>
      <c r="C2222" s="148" t="s">
        <v>28</v>
      </c>
      <c r="D2222" s="148" t="s">
        <v>86</v>
      </c>
      <c r="E2222" s="148" t="s">
        <v>30</v>
      </c>
      <c r="F2222" s="148" t="s">
        <v>3183</v>
      </c>
      <c r="G2222" s="148" t="s">
        <v>43</v>
      </c>
      <c r="H2222" s="148">
        <v>2015</v>
      </c>
      <c r="I2222" s="148">
        <v>10</v>
      </c>
      <c r="J2222" s="148" t="s">
        <v>118</v>
      </c>
      <c r="K2222" s="148" t="s">
        <v>874</v>
      </c>
      <c r="M2222" s="148" t="s">
        <v>120</v>
      </c>
      <c r="N2222" s="148">
        <v>6</v>
      </c>
      <c r="O2222" s="148" t="s">
        <v>101</v>
      </c>
      <c r="P2222" s="148" t="s">
        <v>1398</v>
      </c>
    </row>
    <row r="2223" spans="1:25" ht="15.75" hidden="1" customHeight="1" x14ac:dyDescent="0.25">
      <c r="A2223" s="148" t="s">
        <v>26</v>
      </c>
      <c r="B2223" s="148" t="s">
        <v>103</v>
      </c>
      <c r="C2223" s="148" t="s">
        <v>55</v>
      </c>
      <c r="D2223" s="148" t="s">
        <v>29</v>
      </c>
      <c r="E2223" s="148" t="s">
        <v>30</v>
      </c>
      <c r="F2223" s="148" t="s">
        <v>56</v>
      </c>
      <c r="G2223" s="148" t="s">
        <v>432</v>
      </c>
      <c r="H2223" s="148">
        <v>2015</v>
      </c>
      <c r="I2223" s="148">
        <v>10</v>
      </c>
      <c r="J2223" s="148" t="s">
        <v>33</v>
      </c>
      <c r="U2223" s="149" t="s">
        <v>3629</v>
      </c>
      <c r="V2223" s="148" t="s">
        <v>1321</v>
      </c>
      <c r="W2223" s="148" t="s">
        <v>34</v>
      </c>
      <c r="X2223" s="148" t="s">
        <v>1322</v>
      </c>
    </row>
    <row r="2224" spans="1:25" ht="13.5" hidden="1" customHeight="1" x14ac:dyDescent="0.25">
      <c r="A2224" s="148" t="s">
        <v>76</v>
      </c>
      <c r="B2224" s="148" t="s">
        <v>77</v>
      </c>
      <c r="C2224" s="148" t="s">
        <v>55</v>
      </c>
      <c r="D2224" s="148" t="s">
        <v>99</v>
      </c>
      <c r="E2224" s="148" t="s">
        <v>30</v>
      </c>
      <c r="F2224" s="148" t="s">
        <v>41</v>
      </c>
      <c r="G2224" s="148" t="s">
        <v>275</v>
      </c>
      <c r="H2224" s="148">
        <v>2015</v>
      </c>
      <c r="I2224" s="148">
        <v>10</v>
      </c>
      <c r="J2224" s="148" t="s">
        <v>640</v>
      </c>
      <c r="K2224" s="148" t="s">
        <v>708</v>
      </c>
      <c r="M2224" s="148" t="s">
        <v>82</v>
      </c>
      <c r="N2224" s="148">
        <v>8</v>
      </c>
      <c r="O2224" s="148" t="s">
        <v>101</v>
      </c>
      <c r="P2224" s="148" t="s">
        <v>146</v>
      </c>
      <c r="Y2224" s="150" t="s">
        <v>1399</v>
      </c>
    </row>
    <row r="2225" spans="1:26" ht="15.75" hidden="1" customHeight="1" x14ac:dyDescent="0.25">
      <c r="A2225" s="148" t="s">
        <v>26</v>
      </c>
      <c r="B2225" s="148" t="s">
        <v>44</v>
      </c>
      <c r="C2225" s="148" t="s">
        <v>45</v>
      </c>
      <c r="D2225" s="148" t="s">
        <v>29</v>
      </c>
      <c r="E2225" s="148" t="s">
        <v>46</v>
      </c>
      <c r="F2225" s="148" t="s">
        <v>47</v>
      </c>
      <c r="G2225" s="148" t="s">
        <v>48</v>
      </c>
      <c r="H2225" s="148">
        <v>2015</v>
      </c>
      <c r="I2225" s="148">
        <v>10</v>
      </c>
      <c r="J2225" s="148" t="s">
        <v>33</v>
      </c>
      <c r="U2225" s="149" t="s">
        <v>112</v>
      </c>
      <c r="V2225" s="148" t="s">
        <v>3681</v>
      </c>
      <c r="W2225" s="148" t="s">
        <v>34</v>
      </c>
    </row>
    <row r="2226" spans="1:26" ht="15.75" hidden="1" customHeight="1" x14ac:dyDescent="0.25">
      <c r="A2226" s="148" t="s">
        <v>307</v>
      </c>
      <c r="B2226" s="148" t="s">
        <v>44</v>
      </c>
      <c r="C2226" s="148" t="s">
        <v>45</v>
      </c>
      <c r="D2226" s="148" t="s">
        <v>29</v>
      </c>
      <c r="E2226" s="148" t="s">
        <v>46</v>
      </c>
      <c r="F2226" s="148" t="s">
        <v>47</v>
      </c>
      <c r="G2226" s="148" t="s">
        <v>48</v>
      </c>
      <c r="H2226" s="148">
        <v>2015</v>
      </c>
      <c r="I2226" s="148">
        <v>10</v>
      </c>
      <c r="J2226" s="148" t="s">
        <v>308</v>
      </c>
      <c r="Q2226" s="148" t="s">
        <v>866</v>
      </c>
      <c r="R2226" s="148" t="s">
        <v>30</v>
      </c>
      <c r="S2226" s="148" t="s">
        <v>427</v>
      </c>
      <c r="T2226" s="148" t="s">
        <v>1400</v>
      </c>
    </row>
    <row r="2227" spans="1:26" ht="15.75" hidden="1" customHeight="1" x14ac:dyDescent="0.25">
      <c r="A2227" s="148" t="s">
        <v>76</v>
      </c>
      <c r="B2227" s="148" t="s">
        <v>36</v>
      </c>
      <c r="C2227" s="148" t="s">
        <v>28</v>
      </c>
      <c r="D2227" s="148" t="s">
        <v>887</v>
      </c>
      <c r="E2227" s="148" t="s">
        <v>30</v>
      </c>
      <c r="F2227" s="148" t="s">
        <v>3183</v>
      </c>
      <c r="G2227" s="148" t="s">
        <v>888</v>
      </c>
      <c r="H2227" s="148">
        <v>2015</v>
      </c>
      <c r="I2227" s="148">
        <v>11</v>
      </c>
      <c r="J2227" s="148" t="s">
        <v>80</v>
      </c>
      <c r="K2227" s="148" t="s">
        <v>708</v>
      </c>
      <c r="M2227" s="148" t="s">
        <v>82</v>
      </c>
      <c r="N2227" s="148">
        <v>8</v>
      </c>
      <c r="O2227" s="148" t="s">
        <v>83</v>
      </c>
      <c r="P2227" s="148" t="s">
        <v>1401</v>
      </c>
      <c r="Y2227" s="150" t="s">
        <v>1402</v>
      </c>
      <c r="Z2227" s="148" t="s">
        <v>891</v>
      </c>
    </row>
    <row r="2228" spans="1:26" ht="15.75" hidden="1" customHeight="1" x14ac:dyDescent="0.25">
      <c r="A2228" s="148" t="s">
        <v>76</v>
      </c>
      <c r="B2228" s="148" t="s">
        <v>71</v>
      </c>
      <c r="C2228" s="148" t="s">
        <v>45</v>
      </c>
      <c r="D2228" s="148" t="s">
        <v>478</v>
      </c>
      <c r="E2228" s="148" t="s">
        <v>72</v>
      </c>
      <c r="F2228" s="148" t="s">
        <v>3183</v>
      </c>
      <c r="G2228" s="148" t="s">
        <v>73</v>
      </c>
      <c r="H2228" s="148">
        <v>2015</v>
      </c>
      <c r="I2228" s="148">
        <v>11</v>
      </c>
      <c r="J2228" s="148" t="s">
        <v>640</v>
      </c>
      <c r="K2228" s="148" t="s">
        <v>708</v>
      </c>
      <c r="M2228" s="148" t="s">
        <v>82</v>
      </c>
      <c r="N2228" s="148">
        <v>8</v>
      </c>
      <c r="O2228" s="148" t="s">
        <v>83</v>
      </c>
      <c r="P2228" s="148" t="s">
        <v>146</v>
      </c>
      <c r="Y2228" s="150" t="s">
        <v>1403</v>
      </c>
    </row>
    <row r="2229" spans="1:26" ht="15.75" hidden="1" customHeight="1" x14ac:dyDescent="0.25">
      <c r="A2229" s="148" t="s">
        <v>307</v>
      </c>
      <c r="B2229" s="148" t="s">
        <v>71</v>
      </c>
      <c r="C2229" s="148" t="s">
        <v>45</v>
      </c>
      <c r="D2229" s="148" t="s">
        <v>478</v>
      </c>
      <c r="E2229" s="148" t="s">
        <v>72</v>
      </c>
      <c r="F2229" s="148" t="s">
        <v>3183</v>
      </c>
      <c r="G2229" s="148" t="s">
        <v>73</v>
      </c>
      <c r="H2229" s="148">
        <v>2015</v>
      </c>
      <c r="I2229" s="148">
        <v>11</v>
      </c>
      <c r="J2229" s="148" t="s">
        <v>308</v>
      </c>
      <c r="Q2229" s="148" t="s">
        <v>426</v>
      </c>
      <c r="R2229" s="148" t="s">
        <v>30</v>
      </c>
      <c r="S2229" s="148" t="s">
        <v>427</v>
      </c>
      <c r="T2229" s="148" t="s">
        <v>1388</v>
      </c>
    </row>
    <row r="2230" spans="1:26" ht="15.75" hidden="1" customHeight="1" x14ac:dyDescent="0.25">
      <c r="A2230" s="148" t="s">
        <v>76</v>
      </c>
      <c r="B2230" s="148" t="s">
        <v>103</v>
      </c>
      <c r="C2230" s="148" t="s">
        <v>55</v>
      </c>
      <c r="D2230" s="148" t="s">
        <v>478</v>
      </c>
      <c r="E2230" s="148" t="s">
        <v>30</v>
      </c>
      <c r="F2230" s="148" t="s">
        <v>56</v>
      </c>
      <c r="G2230" s="148" t="s">
        <v>171</v>
      </c>
      <c r="H2230" s="148">
        <v>2015</v>
      </c>
      <c r="I2230" s="148">
        <v>11</v>
      </c>
      <c r="J2230" s="148" t="s">
        <v>118</v>
      </c>
      <c r="K2230" s="148" t="s">
        <v>692</v>
      </c>
      <c r="M2230" s="148" t="s">
        <v>696</v>
      </c>
      <c r="N2230" s="148">
        <v>8</v>
      </c>
      <c r="O2230" s="148" t="s">
        <v>101</v>
      </c>
      <c r="P2230" s="148" t="s">
        <v>1404</v>
      </c>
    </row>
    <row r="2231" spans="1:26" ht="15.75" hidden="1" customHeight="1" x14ac:dyDescent="0.25">
      <c r="A2231" s="148" t="s">
        <v>76</v>
      </c>
      <c r="B2231" s="148" t="s">
        <v>36</v>
      </c>
      <c r="C2231" s="148" t="s">
        <v>28</v>
      </c>
      <c r="D2231" s="148" t="s">
        <v>342</v>
      </c>
      <c r="E2231" s="148" t="s">
        <v>30</v>
      </c>
      <c r="F2231" s="148" t="s">
        <v>3183</v>
      </c>
      <c r="G2231" s="148" t="s">
        <v>438</v>
      </c>
      <c r="H2231" s="148">
        <v>2015</v>
      </c>
      <c r="I2231" s="148">
        <v>11</v>
      </c>
      <c r="J2231" s="148" t="s">
        <v>150</v>
      </c>
      <c r="K2231" s="148" t="s">
        <v>708</v>
      </c>
      <c r="M2231" s="148" t="s">
        <v>82</v>
      </c>
      <c r="N2231" s="148">
        <v>8</v>
      </c>
      <c r="O2231" s="148" t="s">
        <v>83</v>
      </c>
      <c r="P2231" s="148" t="s">
        <v>146</v>
      </c>
    </row>
    <row r="2232" spans="1:26" ht="13.5" hidden="1" customHeight="1" x14ac:dyDescent="0.25">
      <c r="A2232" s="148" t="s">
        <v>26</v>
      </c>
      <c r="B2232" s="148" t="s">
        <v>198</v>
      </c>
      <c r="C2232" s="148" t="s">
        <v>45</v>
      </c>
      <c r="D2232" s="148" t="s">
        <v>29</v>
      </c>
      <c r="E2232" s="148" t="s">
        <v>30</v>
      </c>
      <c r="F2232" s="148" t="s">
        <v>199</v>
      </c>
      <c r="G2232" s="148" t="s">
        <v>232</v>
      </c>
      <c r="H2232" s="148">
        <v>2015</v>
      </c>
      <c r="I2232" s="148">
        <v>11</v>
      </c>
      <c r="J2232" s="148" t="s">
        <v>33</v>
      </c>
      <c r="U2232" s="149" t="s">
        <v>3629</v>
      </c>
      <c r="V2232" s="148" t="s">
        <v>1321</v>
      </c>
      <c r="W2232" s="148" t="s">
        <v>34</v>
      </c>
      <c r="X2232" s="148" t="s">
        <v>1322</v>
      </c>
    </row>
    <row r="2233" spans="1:26" ht="15.75" hidden="1" customHeight="1" x14ac:dyDescent="0.25">
      <c r="A2233" s="148" t="s">
        <v>307</v>
      </c>
      <c r="B2233" s="148" t="s">
        <v>103</v>
      </c>
      <c r="C2233" s="148" t="s">
        <v>55</v>
      </c>
      <c r="D2233" s="148" t="s">
        <v>478</v>
      </c>
      <c r="E2233" s="148" t="s">
        <v>95</v>
      </c>
      <c r="F2233" s="148" t="s">
        <v>56</v>
      </c>
      <c r="G2233" s="148" t="s">
        <v>558</v>
      </c>
      <c r="H2233" s="148">
        <v>2015</v>
      </c>
      <c r="I2233" s="148">
        <v>11</v>
      </c>
      <c r="J2233" s="148" t="s">
        <v>308</v>
      </c>
      <c r="Q2233" s="148" t="s">
        <v>818</v>
      </c>
      <c r="R2233" s="148" t="s">
        <v>30</v>
      </c>
      <c r="S2233" s="148" t="s">
        <v>427</v>
      </c>
      <c r="T2233" s="148" t="s">
        <v>1405</v>
      </c>
      <c r="Y2233" s="150" t="s">
        <v>1406</v>
      </c>
    </row>
    <row r="2234" spans="1:26" ht="15.75" hidden="1" customHeight="1" x14ac:dyDescent="0.25">
      <c r="A2234" s="148" t="s">
        <v>76</v>
      </c>
      <c r="B2234" s="148" t="s">
        <v>116</v>
      </c>
      <c r="C2234" s="148" t="s">
        <v>90</v>
      </c>
      <c r="D2234" s="148" t="s">
        <v>29</v>
      </c>
      <c r="E2234" s="148" t="s">
        <v>30</v>
      </c>
      <c r="F2234" s="148" t="s">
        <v>41</v>
      </c>
      <c r="G2234" s="148" t="s">
        <v>564</v>
      </c>
      <c r="H2234" s="148">
        <v>2015</v>
      </c>
      <c r="I2234" s="148">
        <v>11</v>
      </c>
      <c r="J2234" s="148" t="s">
        <v>150</v>
      </c>
      <c r="K2234" s="148" t="s">
        <v>851</v>
      </c>
      <c r="M2234" s="148" t="s">
        <v>132</v>
      </c>
      <c r="N2234" s="148">
        <v>8</v>
      </c>
      <c r="O2234" s="148" t="s">
        <v>83</v>
      </c>
    </row>
    <row r="2235" spans="1:26" ht="15.75" hidden="1" customHeight="1" x14ac:dyDescent="0.25">
      <c r="A2235" s="148" t="s">
        <v>26</v>
      </c>
      <c r="B2235" s="148" t="s">
        <v>116</v>
      </c>
      <c r="C2235" s="148" t="s">
        <v>90</v>
      </c>
      <c r="D2235" s="148" t="s">
        <v>29</v>
      </c>
      <c r="E2235" s="148" t="s">
        <v>30</v>
      </c>
      <c r="F2235" s="148" t="s">
        <v>41</v>
      </c>
      <c r="G2235" s="148" t="s">
        <v>564</v>
      </c>
      <c r="H2235" s="148">
        <v>2015</v>
      </c>
      <c r="I2235" s="148">
        <v>11</v>
      </c>
      <c r="J2235" s="148" t="s">
        <v>792</v>
      </c>
      <c r="U2235" s="149" t="s">
        <v>3629</v>
      </c>
      <c r="V2235" s="148" t="s">
        <v>1407</v>
      </c>
      <c r="W2235" s="148" t="s">
        <v>87</v>
      </c>
      <c r="X2235" s="148" t="s">
        <v>1408</v>
      </c>
    </row>
    <row r="2236" spans="1:26" ht="15.75" hidden="1" customHeight="1" x14ac:dyDescent="0.25">
      <c r="A2236" s="148" t="s">
        <v>76</v>
      </c>
      <c r="B2236" s="148" t="s">
        <v>198</v>
      </c>
      <c r="C2236" s="148" t="s">
        <v>45</v>
      </c>
      <c r="D2236" s="148" t="s">
        <v>99</v>
      </c>
      <c r="E2236" s="148" t="s">
        <v>30</v>
      </c>
      <c r="F2236" s="148" t="s">
        <v>199</v>
      </c>
      <c r="G2236" s="148" t="s">
        <v>241</v>
      </c>
      <c r="H2236" s="148">
        <v>2015</v>
      </c>
      <c r="I2236" s="148">
        <v>11</v>
      </c>
      <c r="J2236" s="148" t="s">
        <v>118</v>
      </c>
      <c r="K2236" s="148" t="s">
        <v>708</v>
      </c>
      <c r="M2236" s="148" t="s">
        <v>82</v>
      </c>
      <c r="N2236" s="148">
        <v>8</v>
      </c>
      <c r="O2236" s="148" t="s">
        <v>101</v>
      </c>
      <c r="P2236" s="148" t="s">
        <v>146</v>
      </c>
    </row>
    <row r="2237" spans="1:26" ht="15.75" hidden="1" customHeight="1" x14ac:dyDescent="0.25">
      <c r="A2237" s="148" t="s">
        <v>76</v>
      </c>
      <c r="B2237" s="148" t="s">
        <v>89</v>
      </c>
      <c r="C2237" s="148" t="s">
        <v>90</v>
      </c>
      <c r="D2237" s="148" t="s">
        <v>29</v>
      </c>
      <c r="E2237" s="148" t="s">
        <v>30</v>
      </c>
      <c r="F2237" s="148" t="s">
        <v>91</v>
      </c>
      <c r="G2237" s="148" t="s">
        <v>417</v>
      </c>
      <c r="H2237" s="148">
        <v>2015</v>
      </c>
      <c r="I2237" s="148">
        <v>11</v>
      </c>
      <c r="J2237" s="148" t="s">
        <v>118</v>
      </c>
      <c r="K2237" s="148" t="s">
        <v>579</v>
      </c>
      <c r="M2237" s="148" t="s">
        <v>126</v>
      </c>
      <c r="N2237" s="148">
        <v>10</v>
      </c>
      <c r="O2237" s="148" t="s">
        <v>101</v>
      </c>
      <c r="P2237" s="148" t="s">
        <v>146</v>
      </c>
    </row>
    <row r="2238" spans="1:26" ht="15.75" hidden="1" customHeight="1" x14ac:dyDescent="0.25">
      <c r="A2238" s="148" t="s">
        <v>76</v>
      </c>
      <c r="B2238" s="148" t="s">
        <v>103</v>
      </c>
      <c r="C2238" s="148" t="s">
        <v>55</v>
      </c>
      <c r="D2238" s="148" t="s">
        <v>29</v>
      </c>
      <c r="E2238" s="148" t="s">
        <v>95</v>
      </c>
      <c r="F2238" s="148" t="s">
        <v>56</v>
      </c>
      <c r="G2238" s="148" t="s">
        <v>407</v>
      </c>
      <c r="H2238" s="148">
        <v>2015</v>
      </c>
      <c r="I2238" s="148">
        <v>11</v>
      </c>
      <c r="J2238" s="148" t="s">
        <v>118</v>
      </c>
      <c r="K2238" s="148" t="s">
        <v>1096</v>
      </c>
      <c r="M2238" s="148" t="s">
        <v>120</v>
      </c>
      <c r="N2238" s="148">
        <v>6</v>
      </c>
      <c r="O2238" s="148" t="s">
        <v>101</v>
      </c>
      <c r="P2238" s="148" t="s">
        <v>1409</v>
      </c>
    </row>
    <row r="2239" spans="1:26" ht="15.75" hidden="1" customHeight="1" x14ac:dyDescent="0.25">
      <c r="A2239" s="148" t="s">
        <v>76</v>
      </c>
      <c r="B2239" s="148" t="s">
        <v>27</v>
      </c>
      <c r="C2239" s="148" t="s">
        <v>28</v>
      </c>
      <c r="D2239" s="148" t="s">
        <v>566</v>
      </c>
      <c r="E2239" s="148" t="s">
        <v>30</v>
      </c>
      <c r="F2239" s="148" t="s">
        <v>3183</v>
      </c>
      <c r="G2239" s="148" t="s">
        <v>53</v>
      </c>
      <c r="H2239" s="148">
        <v>2015</v>
      </c>
      <c r="I2239" s="148">
        <v>11</v>
      </c>
      <c r="J2239" s="148" t="s">
        <v>150</v>
      </c>
      <c r="K2239" s="148" t="s">
        <v>502</v>
      </c>
      <c r="M2239" s="148" t="s">
        <v>126</v>
      </c>
      <c r="N2239" s="148">
        <v>10</v>
      </c>
      <c r="O2239" s="148" t="s">
        <v>83</v>
      </c>
    </row>
    <row r="2240" spans="1:26" ht="15.75" hidden="1" customHeight="1" x14ac:dyDescent="0.25">
      <c r="A2240" s="148" t="s">
        <v>76</v>
      </c>
      <c r="B2240" s="148" t="s">
        <v>36</v>
      </c>
      <c r="C2240" s="148" t="s">
        <v>28</v>
      </c>
      <c r="D2240" s="148" t="s">
        <v>478</v>
      </c>
      <c r="E2240" s="148" t="s">
        <v>30</v>
      </c>
      <c r="F2240" s="148" t="s">
        <v>3183</v>
      </c>
      <c r="G2240" s="148" t="s">
        <v>59</v>
      </c>
      <c r="H2240" s="148">
        <v>2015</v>
      </c>
      <c r="I2240" s="148">
        <v>11</v>
      </c>
      <c r="J2240" s="148" t="s">
        <v>150</v>
      </c>
      <c r="K2240" s="148" t="s">
        <v>520</v>
      </c>
      <c r="M2240" s="148" t="s">
        <v>701</v>
      </c>
      <c r="N2240" s="148">
        <v>8</v>
      </c>
      <c r="O2240" s="148" t="s">
        <v>83</v>
      </c>
    </row>
    <row r="2241" spans="1:26" ht="15.75" hidden="1" customHeight="1" x14ac:dyDescent="0.25">
      <c r="A2241" s="148" t="s">
        <v>76</v>
      </c>
      <c r="B2241" s="148" t="s">
        <v>116</v>
      </c>
      <c r="C2241" s="148" t="s">
        <v>90</v>
      </c>
      <c r="D2241" s="148" t="s">
        <v>29</v>
      </c>
      <c r="E2241" s="148" t="s">
        <v>30</v>
      </c>
      <c r="F2241" s="148" t="s">
        <v>41</v>
      </c>
      <c r="G2241" s="148" t="s">
        <v>421</v>
      </c>
      <c r="H2241" s="148">
        <v>2015</v>
      </c>
      <c r="I2241" s="148">
        <v>11</v>
      </c>
      <c r="J2241" s="148" t="s">
        <v>118</v>
      </c>
      <c r="K2241" s="148" t="s">
        <v>629</v>
      </c>
      <c r="M2241" s="148" t="s">
        <v>554</v>
      </c>
      <c r="N2241" s="148">
        <v>8</v>
      </c>
      <c r="O2241" s="148" t="s">
        <v>101</v>
      </c>
      <c r="P2241" s="148" t="s">
        <v>537</v>
      </c>
    </row>
    <row r="2242" spans="1:26" ht="13.5" hidden="1" customHeight="1" x14ac:dyDescent="0.25">
      <c r="A2242" s="148" t="s">
        <v>76</v>
      </c>
      <c r="B2242" s="148" t="s">
        <v>36</v>
      </c>
      <c r="C2242" s="148" t="s">
        <v>28</v>
      </c>
      <c r="D2242" s="148" t="s">
        <v>478</v>
      </c>
      <c r="E2242" s="148" t="s">
        <v>30</v>
      </c>
      <c r="F2242" s="148" t="s">
        <v>3183</v>
      </c>
      <c r="G2242" s="148" t="s">
        <v>67</v>
      </c>
      <c r="H2242" s="148">
        <v>2015</v>
      </c>
      <c r="I2242" s="148">
        <v>11</v>
      </c>
      <c r="J2242" s="148" t="s">
        <v>150</v>
      </c>
      <c r="K2242" s="148" t="s">
        <v>708</v>
      </c>
      <c r="M2242" s="148" t="s">
        <v>82</v>
      </c>
      <c r="N2242" s="148">
        <v>8</v>
      </c>
      <c r="O2242" s="148" t="s">
        <v>83</v>
      </c>
      <c r="P2242" s="148" t="s">
        <v>146</v>
      </c>
      <c r="Y2242" s="150" t="s">
        <v>1410</v>
      </c>
    </row>
    <row r="2243" spans="1:26" ht="15.75" hidden="1" customHeight="1" x14ac:dyDescent="0.25">
      <c r="A2243" s="148" t="s">
        <v>76</v>
      </c>
      <c r="B2243" s="148" t="s">
        <v>36</v>
      </c>
      <c r="C2243" s="148" t="s">
        <v>28</v>
      </c>
      <c r="D2243" s="148" t="s">
        <v>478</v>
      </c>
      <c r="E2243" s="148" t="s">
        <v>30</v>
      </c>
      <c r="F2243" s="148" t="s">
        <v>3183</v>
      </c>
      <c r="G2243" s="148" t="s">
        <v>67</v>
      </c>
      <c r="H2243" s="148">
        <v>2015</v>
      </c>
      <c r="I2243" s="148">
        <v>11</v>
      </c>
      <c r="J2243" s="148" t="s">
        <v>150</v>
      </c>
      <c r="K2243" s="148" t="s">
        <v>520</v>
      </c>
      <c r="M2243" s="148" t="s">
        <v>701</v>
      </c>
      <c r="N2243" s="148">
        <v>8</v>
      </c>
      <c r="O2243" s="148" t="s">
        <v>83</v>
      </c>
    </row>
    <row r="2244" spans="1:26" ht="15.75" hidden="1" customHeight="1" x14ac:dyDescent="0.25">
      <c r="A2244" s="148" t="s">
        <v>76</v>
      </c>
      <c r="B2244" s="148" t="s">
        <v>27</v>
      </c>
      <c r="C2244" s="148" t="s">
        <v>90</v>
      </c>
      <c r="D2244" s="148" t="s">
        <v>490</v>
      </c>
      <c r="E2244" s="148" t="s">
        <v>30</v>
      </c>
      <c r="F2244" s="148" t="s">
        <v>3183</v>
      </c>
      <c r="G2244" s="148" t="s">
        <v>791</v>
      </c>
      <c r="H2244" s="148">
        <v>2015</v>
      </c>
      <c r="I2244" s="148">
        <v>11</v>
      </c>
      <c r="J2244" s="148" t="s">
        <v>150</v>
      </c>
      <c r="K2244" s="148" t="s">
        <v>520</v>
      </c>
      <c r="M2244" s="148" t="s">
        <v>701</v>
      </c>
      <c r="N2244" s="148">
        <v>8</v>
      </c>
      <c r="O2244" s="148" t="s">
        <v>83</v>
      </c>
    </row>
    <row r="2245" spans="1:26" ht="15.75" hidden="1" customHeight="1" x14ac:dyDescent="0.25">
      <c r="A2245" s="148" t="s">
        <v>76</v>
      </c>
      <c r="B2245" s="148" t="s">
        <v>89</v>
      </c>
      <c r="C2245" s="148" t="s">
        <v>90</v>
      </c>
      <c r="D2245" s="148" t="s">
        <v>29</v>
      </c>
      <c r="E2245" s="148" t="s">
        <v>30</v>
      </c>
      <c r="F2245" s="148" t="s">
        <v>91</v>
      </c>
      <c r="G2245" s="148" t="s">
        <v>592</v>
      </c>
      <c r="H2245" s="148">
        <v>2015</v>
      </c>
      <c r="I2245" s="148">
        <v>11</v>
      </c>
      <c r="J2245" s="148" t="s">
        <v>118</v>
      </c>
      <c r="K2245" s="148" t="s">
        <v>502</v>
      </c>
      <c r="M2245" s="148" t="s">
        <v>126</v>
      </c>
      <c r="N2245" s="148">
        <v>10</v>
      </c>
      <c r="O2245" s="148" t="s">
        <v>101</v>
      </c>
      <c r="P2245" s="148" t="s">
        <v>146</v>
      </c>
    </row>
    <row r="2246" spans="1:26" ht="15.75" hidden="1" customHeight="1" x14ac:dyDescent="0.25">
      <c r="A2246" s="148" t="s">
        <v>26</v>
      </c>
      <c r="B2246" s="148" t="s">
        <v>44</v>
      </c>
      <c r="C2246" s="148" t="s">
        <v>45</v>
      </c>
      <c r="D2246" s="148" t="s">
        <v>478</v>
      </c>
      <c r="E2246" s="148" t="s">
        <v>30</v>
      </c>
      <c r="F2246" s="148" t="s">
        <v>47</v>
      </c>
      <c r="G2246" s="148" t="s">
        <v>377</v>
      </c>
      <c r="H2246" s="148">
        <v>2015</v>
      </c>
      <c r="I2246" s="148">
        <v>11</v>
      </c>
      <c r="J2246" s="148" t="s">
        <v>33</v>
      </c>
      <c r="U2246" s="149" t="s">
        <v>3629</v>
      </c>
      <c r="V2246" s="148" t="s">
        <v>1321</v>
      </c>
      <c r="W2246" s="148" t="s">
        <v>34</v>
      </c>
      <c r="X2246" s="148" t="s">
        <v>1322</v>
      </c>
    </row>
    <row r="2247" spans="1:26" ht="15.75" hidden="1" customHeight="1" x14ac:dyDescent="0.25">
      <c r="A2247" s="148" t="s">
        <v>26</v>
      </c>
      <c r="B2247" s="148" t="s">
        <v>44</v>
      </c>
      <c r="C2247" s="148" t="s">
        <v>45</v>
      </c>
      <c r="D2247" s="148" t="s">
        <v>478</v>
      </c>
      <c r="E2247" s="148" t="s">
        <v>30</v>
      </c>
      <c r="F2247" s="148" t="s">
        <v>47</v>
      </c>
      <c r="G2247" s="148" t="s">
        <v>377</v>
      </c>
      <c r="H2247" s="148">
        <v>2015</v>
      </c>
      <c r="I2247" s="148">
        <v>11</v>
      </c>
      <c r="J2247" s="148" t="s">
        <v>895</v>
      </c>
      <c r="U2247" s="149" t="s">
        <v>112</v>
      </c>
      <c r="V2247" s="148" t="s">
        <v>3682</v>
      </c>
      <c r="W2247" s="148" t="s">
        <v>34</v>
      </c>
      <c r="Z2247" s="148" t="s">
        <v>896</v>
      </c>
    </row>
    <row r="2248" spans="1:26" ht="15.75" hidden="1" customHeight="1" x14ac:dyDescent="0.25">
      <c r="A2248" s="148" t="s">
        <v>76</v>
      </c>
      <c r="B2248" s="148" t="s">
        <v>27</v>
      </c>
      <c r="C2248" s="148" t="s">
        <v>28</v>
      </c>
      <c r="D2248" s="148" t="s">
        <v>1302</v>
      </c>
      <c r="E2248" s="148" t="s">
        <v>40</v>
      </c>
      <c r="F2248" s="148" t="s">
        <v>41</v>
      </c>
      <c r="G2248" s="148" t="s">
        <v>42</v>
      </c>
      <c r="H2248" s="148">
        <v>2015</v>
      </c>
      <c r="I2248" s="148">
        <v>11</v>
      </c>
      <c r="J2248" s="148" t="s">
        <v>150</v>
      </c>
      <c r="K2248" s="148" t="s">
        <v>502</v>
      </c>
      <c r="M2248" s="148" t="s">
        <v>126</v>
      </c>
      <c r="N2248" s="148">
        <v>10</v>
      </c>
      <c r="O2248" s="148" t="s">
        <v>83</v>
      </c>
    </row>
    <row r="2249" spans="1:26" ht="15.75" hidden="1" customHeight="1" x14ac:dyDescent="0.25">
      <c r="A2249" s="148" t="s">
        <v>76</v>
      </c>
      <c r="B2249" s="148" t="s">
        <v>103</v>
      </c>
      <c r="C2249" s="148" t="s">
        <v>55</v>
      </c>
      <c r="D2249" s="148" t="s">
        <v>478</v>
      </c>
      <c r="E2249" s="148" t="s">
        <v>95</v>
      </c>
      <c r="F2249" s="148" t="s">
        <v>56</v>
      </c>
      <c r="G2249" s="148" t="s">
        <v>225</v>
      </c>
      <c r="H2249" s="148">
        <v>2015</v>
      </c>
      <c r="I2249" s="148">
        <v>11</v>
      </c>
      <c r="J2249" s="148" t="s">
        <v>118</v>
      </c>
      <c r="K2249" s="148" t="s">
        <v>1290</v>
      </c>
      <c r="M2249" s="148" t="s">
        <v>82</v>
      </c>
      <c r="N2249" s="148">
        <v>8</v>
      </c>
      <c r="O2249" s="148" t="s">
        <v>101</v>
      </c>
      <c r="P2249" s="148" t="s">
        <v>435</v>
      </c>
    </row>
    <row r="2250" spans="1:26" ht="15.75" hidden="1" customHeight="1" x14ac:dyDescent="0.25">
      <c r="A2250" s="148" t="s">
        <v>76</v>
      </c>
      <c r="B2250" s="148" t="s">
        <v>116</v>
      </c>
      <c r="C2250" s="148" t="s">
        <v>90</v>
      </c>
      <c r="D2250" s="148" t="s">
        <v>99</v>
      </c>
      <c r="E2250" s="148" t="s">
        <v>30</v>
      </c>
      <c r="F2250" s="148" t="s">
        <v>41</v>
      </c>
      <c r="G2250" s="148" t="s">
        <v>653</v>
      </c>
      <c r="H2250" s="148">
        <v>2015</v>
      </c>
      <c r="I2250" s="148">
        <v>11</v>
      </c>
      <c r="J2250" s="148" t="s">
        <v>118</v>
      </c>
      <c r="K2250" s="148" t="s">
        <v>851</v>
      </c>
      <c r="M2250" s="148" t="s">
        <v>132</v>
      </c>
      <c r="N2250" s="148">
        <v>8</v>
      </c>
      <c r="O2250" s="148" t="s">
        <v>101</v>
      </c>
      <c r="P2250" s="148" t="s">
        <v>435</v>
      </c>
    </row>
    <row r="2251" spans="1:26" ht="13.5" hidden="1" customHeight="1" x14ac:dyDescent="0.25">
      <c r="A2251" s="148" t="s">
        <v>76</v>
      </c>
      <c r="B2251" s="148" t="s">
        <v>54</v>
      </c>
      <c r="C2251" s="148" t="s">
        <v>55</v>
      </c>
      <c r="D2251" s="148" t="s">
        <v>1082</v>
      </c>
      <c r="E2251" s="148" t="s">
        <v>30</v>
      </c>
      <c r="F2251" s="148" t="s">
        <v>56</v>
      </c>
      <c r="G2251" s="148" t="s">
        <v>54</v>
      </c>
      <c r="H2251" s="148">
        <v>2015</v>
      </c>
      <c r="I2251" s="148">
        <v>11</v>
      </c>
      <c r="J2251" s="148" t="s">
        <v>150</v>
      </c>
      <c r="K2251" s="148" t="s">
        <v>579</v>
      </c>
      <c r="M2251" s="148" t="s">
        <v>126</v>
      </c>
      <c r="N2251" s="148">
        <v>10</v>
      </c>
      <c r="O2251" s="148" t="s">
        <v>83</v>
      </c>
    </row>
    <row r="2252" spans="1:26" ht="15.75" customHeight="1" x14ac:dyDescent="0.25">
      <c r="A2252" s="148" t="s">
        <v>76</v>
      </c>
      <c r="B2252" s="148" t="s">
        <v>36</v>
      </c>
      <c r="C2252" s="148" t="s">
        <v>28</v>
      </c>
      <c r="D2252" s="148" t="s">
        <v>1304</v>
      </c>
      <c r="E2252" s="148" t="s">
        <v>30</v>
      </c>
      <c r="F2252" s="148" t="s">
        <v>3183</v>
      </c>
      <c r="G2252" s="148" t="s">
        <v>194</v>
      </c>
      <c r="H2252" s="148">
        <v>2015</v>
      </c>
      <c r="I2252" s="148">
        <v>11</v>
      </c>
      <c r="J2252" s="148" t="s">
        <v>118</v>
      </c>
      <c r="K2252" s="148" t="s">
        <v>692</v>
      </c>
      <c r="M2252" s="148" t="s">
        <v>696</v>
      </c>
      <c r="N2252" s="148">
        <v>8</v>
      </c>
      <c r="O2252" s="148" t="s">
        <v>101</v>
      </c>
      <c r="P2252" s="148" t="s">
        <v>1411</v>
      </c>
    </row>
    <row r="2253" spans="1:26" ht="15.75" hidden="1" customHeight="1" x14ac:dyDescent="0.25">
      <c r="A2253" s="148" t="s">
        <v>76</v>
      </c>
      <c r="B2253" s="148" t="s">
        <v>89</v>
      </c>
      <c r="C2253" s="148" t="s">
        <v>90</v>
      </c>
      <c r="D2253" s="148" t="s">
        <v>478</v>
      </c>
      <c r="E2253" s="148" t="s">
        <v>30</v>
      </c>
      <c r="F2253" s="148" t="s">
        <v>91</v>
      </c>
      <c r="G2253" s="148" t="s">
        <v>92</v>
      </c>
      <c r="H2253" s="148">
        <v>2015</v>
      </c>
      <c r="I2253" s="148">
        <v>11</v>
      </c>
      <c r="J2253" s="148" t="s">
        <v>118</v>
      </c>
      <c r="K2253" s="148" t="s">
        <v>520</v>
      </c>
      <c r="M2253" s="148" t="s">
        <v>701</v>
      </c>
      <c r="N2253" s="148">
        <v>8</v>
      </c>
      <c r="O2253" s="148" t="s">
        <v>101</v>
      </c>
      <c r="P2253" s="148" t="s">
        <v>562</v>
      </c>
    </row>
    <row r="2254" spans="1:26" ht="15.75" hidden="1" customHeight="1" x14ac:dyDescent="0.25">
      <c r="A2254" s="148" t="s">
        <v>76</v>
      </c>
      <c r="B2254" s="148" t="s">
        <v>62</v>
      </c>
      <c r="C2254" s="148" t="s">
        <v>28</v>
      </c>
      <c r="D2254" s="148" t="s">
        <v>86</v>
      </c>
      <c r="E2254" s="148" t="s">
        <v>51</v>
      </c>
      <c r="F2254" s="148" t="s">
        <v>3183</v>
      </c>
      <c r="G2254" s="148" t="s">
        <v>130</v>
      </c>
      <c r="H2254" s="148">
        <v>2015</v>
      </c>
      <c r="I2254" s="148">
        <v>11</v>
      </c>
      <c r="J2254" s="148" t="s">
        <v>640</v>
      </c>
      <c r="K2254" s="148" t="s">
        <v>708</v>
      </c>
      <c r="M2254" s="148" t="s">
        <v>82</v>
      </c>
      <c r="N2254" s="148">
        <v>8</v>
      </c>
      <c r="O2254" s="148" t="s">
        <v>83</v>
      </c>
      <c r="P2254" s="148" t="s">
        <v>146</v>
      </c>
      <c r="Y2254" s="150" t="s">
        <v>1412</v>
      </c>
    </row>
    <row r="2255" spans="1:26" ht="15.75" hidden="1" customHeight="1" x14ac:dyDescent="0.25">
      <c r="A2255" s="148" t="s">
        <v>307</v>
      </c>
      <c r="B2255" s="148" t="s">
        <v>62</v>
      </c>
      <c r="C2255" s="148" t="s">
        <v>28</v>
      </c>
      <c r="D2255" s="148" t="s">
        <v>86</v>
      </c>
      <c r="E2255" s="148" t="s">
        <v>51</v>
      </c>
      <c r="F2255" s="148" t="s">
        <v>3183</v>
      </c>
      <c r="G2255" s="148" t="s">
        <v>130</v>
      </c>
      <c r="H2255" s="148">
        <v>2015</v>
      </c>
      <c r="I2255" s="148">
        <v>11</v>
      </c>
      <c r="J2255" s="148" t="s">
        <v>308</v>
      </c>
      <c r="Q2255" s="148" t="s">
        <v>818</v>
      </c>
      <c r="R2255" s="148" t="s">
        <v>30</v>
      </c>
      <c r="S2255" s="148" t="s">
        <v>427</v>
      </c>
      <c r="T2255" s="148" t="s">
        <v>1413</v>
      </c>
    </row>
    <row r="2256" spans="1:26" ht="15.75" hidden="1" customHeight="1" x14ac:dyDescent="0.25">
      <c r="A2256" s="148" t="s">
        <v>307</v>
      </c>
      <c r="B2256" s="148" t="s">
        <v>36</v>
      </c>
      <c r="C2256" s="148" t="s">
        <v>28</v>
      </c>
      <c r="D2256" s="148" t="s">
        <v>342</v>
      </c>
      <c r="E2256" s="148" t="s">
        <v>51</v>
      </c>
      <c r="F2256" s="148" t="s">
        <v>3183</v>
      </c>
      <c r="G2256" s="148" t="s">
        <v>52</v>
      </c>
      <c r="H2256" s="148">
        <v>2015</v>
      </c>
      <c r="I2256" s="148">
        <v>11</v>
      </c>
      <c r="J2256" s="148" t="s">
        <v>308</v>
      </c>
      <c r="Q2256" s="148" t="s">
        <v>594</v>
      </c>
      <c r="R2256" s="148" t="s">
        <v>1414</v>
      </c>
      <c r="S2256" s="148" t="s">
        <v>885</v>
      </c>
      <c r="T2256" s="148" t="s">
        <v>1415</v>
      </c>
      <c r="Y2256" s="150" t="s">
        <v>1416</v>
      </c>
    </row>
    <row r="2257" spans="1:26" ht="15.75" hidden="1" customHeight="1" x14ac:dyDescent="0.25">
      <c r="A2257" s="148" t="s">
        <v>76</v>
      </c>
      <c r="B2257" s="148" t="s">
        <v>44</v>
      </c>
      <c r="C2257" s="148" t="s">
        <v>45</v>
      </c>
      <c r="D2257" s="148" t="s">
        <v>29</v>
      </c>
      <c r="E2257" s="148" t="s">
        <v>46</v>
      </c>
      <c r="F2257" s="148" t="s">
        <v>47</v>
      </c>
      <c r="G2257" s="148" t="s">
        <v>48</v>
      </c>
      <c r="H2257" s="148">
        <v>2015</v>
      </c>
      <c r="I2257" s="148">
        <v>11</v>
      </c>
      <c r="J2257" s="148" t="s">
        <v>640</v>
      </c>
      <c r="K2257" s="148" t="s">
        <v>708</v>
      </c>
      <c r="M2257" s="148" t="s">
        <v>82</v>
      </c>
      <c r="N2257" s="148">
        <v>8</v>
      </c>
      <c r="O2257" s="148" t="s">
        <v>83</v>
      </c>
      <c r="P2257" s="148" t="s">
        <v>1351</v>
      </c>
      <c r="Y2257" s="150" t="s">
        <v>1417</v>
      </c>
      <c r="Z2257" s="148" t="s">
        <v>1418</v>
      </c>
    </row>
    <row r="2258" spans="1:26" ht="15.75" hidden="1" customHeight="1" x14ac:dyDescent="0.25">
      <c r="A2258" s="148" t="s">
        <v>76</v>
      </c>
      <c r="B2258" s="148" t="s">
        <v>44</v>
      </c>
      <c r="C2258" s="148" t="s">
        <v>45</v>
      </c>
      <c r="D2258" s="148" t="s">
        <v>29</v>
      </c>
      <c r="E2258" s="148" t="s">
        <v>46</v>
      </c>
      <c r="F2258" s="148" t="s">
        <v>47</v>
      </c>
      <c r="G2258" s="148" t="s">
        <v>48</v>
      </c>
      <c r="H2258" s="148">
        <v>2015</v>
      </c>
      <c r="I2258" s="148">
        <v>11</v>
      </c>
      <c r="J2258" s="148" t="s">
        <v>118</v>
      </c>
      <c r="K2258" s="148" t="s">
        <v>502</v>
      </c>
      <c r="M2258" s="148" t="s">
        <v>126</v>
      </c>
      <c r="N2258" s="148">
        <v>10</v>
      </c>
      <c r="O2258" s="148" t="s">
        <v>101</v>
      </c>
      <c r="P2258" s="148" t="s">
        <v>1419</v>
      </c>
      <c r="Y2258" s="150" t="s">
        <v>1336</v>
      </c>
    </row>
    <row r="2259" spans="1:26" ht="15.75" hidden="1" customHeight="1" x14ac:dyDescent="0.25">
      <c r="A2259" s="148" t="s">
        <v>26</v>
      </c>
      <c r="B2259" s="148" t="s">
        <v>44</v>
      </c>
      <c r="C2259" s="148" t="s">
        <v>45</v>
      </c>
      <c r="D2259" s="148" t="s">
        <v>29</v>
      </c>
      <c r="E2259" s="148" t="s">
        <v>46</v>
      </c>
      <c r="F2259" s="148" t="s">
        <v>47</v>
      </c>
      <c r="G2259" s="148" t="s">
        <v>48</v>
      </c>
      <c r="H2259" s="148">
        <v>2015</v>
      </c>
      <c r="I2259" s="148">
        <v>11</v>
      </c>
      <c r="J2259" s="148" t="s">
        <v>817</v>
      </c>
      <c r="U2259" s="149" t="s">
        <v>3629</v>
      </c>
      <c r="V2259" s="148" t="s">
        <v>1321</v>
      </c>
      <c r="W2259" s="148" t="s">
        <v>34</v>
      </c>
      <c r="X2259" s="148" t="s">
        <v>1421</v>
      </c>
      <c r="Y2259" s="150" t="s">
        <v>1336</v>
      </c>
    </row>
    <row r="2260" spans="1:26" ht="15.75" hidden="1" customHeight="1" x14ac:dyDescent="0.25">
      <c r="A2260" s="148" t="s">
        <v>26</v>
      </c>
      <c r="B2260" s="148" t="s">
        <v>44</v>
      </c>
      <c r="C2260" s="148" t="s">
        <v>45</v>
      </c>
      <c r="D2260" s="148" t="s">
        <v>29</v>
      </c>
      <c r="E2260" s="148" t="s">
        <v>46</v>
      </c>
      <c r="F2260" s="148" t="s">
        <v>47</v>
      </c>
      <c r="G2260" s="148" t="s">
        <v>48</v>
      </c>
      <c r="H2260" s="148">
        <v>2015</v>
      </c>
      <c r="I2260" s="148">
        <v>11</v>
      </c>
      <c r="J2260" s="148" t="s">
        <v>895</v>
      </c>
      <c r="U2260" s="149" t="s">
        <v>112</v>
      </c>
      <c r="V2260" s="148" t="s">
        <v>3683</v>
      </c>
      <c r="W2260" s="148" t="s">
        <v>34</v>
      </c>
      <c r="X2260" s="148" t="s">
        <v>1420</v>
      </c>
      <c r="Z2260" s="148" t="s">
        <v>896</v>
      </c>
    </row>
    <row r="2261" spans="1:26" ht="15.75" hidden="1" customHeight="1" x14ac:dyDescent="0.25">
      <c r="A2261" s="148" t="s">
        <v>307</v>
      </c>
      <c r="B2261" s="148" t="s">
        <v>44</v>
      </c>
      <c r="C2261" s="148" t="s">
        <v>45</v>
      </c>
      <c r="D2261" s="148" t="s">
        <v>29</v>
      </c>
      <c r="E2261" s="148" t="s">
        <v>46</v>
      </c>
      <c r="F2261" s="148" t="s">
        <v>47</v>
      </c>
      <c r="G2261" s="148" t="s">
        <v>48</v>
      </c>
      <c r="H2261" s="148">
        <v>2015</v>
      </c>
      <c r="I2261" s="148">
        <v>11</v>
      </c>
      <c r="J2261" s="148" t="s">
        <v>308</v>
      </c>
      <c r="Q2261" s="148" t="s">
        <v>426</v>
      </c>
      <c r="R2261" s="148" t="s">
        <v>1422</v>
      </c>
      <c r="S2261" s="148" t="s">
        <v>311</v>
      </c>
      <c r="T2261" s="148" t="s">
        <v>1423</v>
      </c>
    </row>
    <row r="2262" spans="1:26" ht="15.75" hidden="1" customHeight="1" x14ac:dyDescent="0.25">
      <c r="A2262" s="148" t="s">
        <v>307</v>
      </c>
      <c r="B2262" s="148" t="s">
        <v>44</v>
      </c>
      <c r="C2262" s="148" t="s">
        <v>45</v>
      </c>
      <c r="D2262" s="148" t="s">
        <v>29</v>
      </c>
      <c r="E2262" s="148" t="s">
        <v>46</v>
      </c>
      <c r="F2262" s="148" t="s">
        <v>47</v>
      </c>
      <c r="G2262" s="148" t="s">
        <v>48</v>
      </c>
      <c r="H2262" s="148">
        <v>2015</v>
      </c>
      <c r="I2262" s="148">
        <v>11</v>
      </c>
      <c r="J2262" s="148" t="s">
        <v>308</v>
      </c>
      <c r="Q2262" s="148" t="s">
        <v>426</v>
      </c>
      <c r="R2262" s="148" t="s">
        <v>30</v>
      </c>
      <c r="S2262" s="148" t="s">
        <v>427</v>
      </c>
      <c r="T2262" s="148" t="s">
        <v>1424</v>
      </c>
      <c r="Y2262" s="150" t="s">
        <v>1425</v>
      </c>
    </row>
    <row r="2263" spans="1:26" ht="13.5" hidden="1" customHeight="1" x14ac:dyDescent="0.25">
      <c r="A2263" s="148" t="s">
        <v>76</v>
      </c>
      <c r="B2263" s="148" t="s">
        <v>71</v>
      </c>
      <c r="C2263" s="148" t="s">
        <v>45</v>
      </c>
      <c r="D2263" s="148" t="s">
        <v>478</v>
      </c>
      <c r="E2263" s="148" t="s">
        <v>72</v>
      </c>
      <c r="F2263" s="148" t="s">
        <v>3183</v>
      </c>
      <c r="G2263" s="148" t="s">
        <v>73</v>
      </c>
      <c r="H2263" s="148">
        <v>2015</v>
      </c>
      <c r="I2263" s="148">
        <v>12</v>
      </c>
      <c r="J2263" s="148" t="s">
        <v>150</v>
      </c>
      <c r="K2263" s="148" t="s">
        <v>851</v>
      </c>
      <c r="M2263" s="148" t="s">
        <v>132</v>
      </c>
      <c r="N2263" s="148">
        <v>8</v>
      </c>
      <c r="O2263" s="148" t="s">
        <v>83</v>
      </c>
      <c r="Y2263" s="150" t="s">
        <v>1426</v>
      </c>
    </row>
    <row r="2264" spans="1:26" ht="15.75" hidden="1" customHeight="1" x14ac:dyDescent="0.25">
      <c r="A2264" s="148" t="s">
        <v>76</v>
      </c>
      <c r="B2264" s="148" t="s">
        <v>27</v>
      </c>
      <c r="C2264" s="148" t="s">
        <v>28</v>
      </c>
      <c r="D2264" s="148" t="s">
        <v>158</v>
      </c>
      <c r="E2264" s="148" t="s">
        <v>30</v>
      </c>
      <c r="F2264" s="148" t="s">
        <v>3183</v>
      </c>
      <c r="G2264" s="148" t="s">
        <v>32</v>
      </c>
      <c r="H2264" s="148">
        <v>2015</v>
      </c>
      <c r="I2264" s="148">
        <v>12</v>
      </c>
      <c r="J2264" s="148" t="s">
        <v>118</v>
      </c>
      <c r="K2264" s="148" t="s">
        <v>708</v>
      </c>
      <c r="M2264" s="148" t="s">
        <v>82</v>
      </c>
      <c r="N2264" s="148">
        <v>8</v>
      </c>
      <c r="O2264" s="148" t="s">
        <v>101</v>
      </c>
      <c r="P2264" s="148" t="s">
        <v>365</v>
      </c>
      <c r="Y2264" s="150" t="s">
        <v>1427</v>
      </c>
    </row>
    <row r="2265" spans="1:26" ht="15.75" hidden="1" customHeight="1" x14ac:dyDescent="0.25">
      <c r="A2265" s="148" t="s">
        <v>26</v>
      </c>
      <c r="B2265" s="148" t="s">
        <v>198</v>
      </c>
      <c r="C2265" s="148" t="s">
        <v>45</v>
      </c>
      <c r="D2265" s="148" t="s">
        <v>29</v>
      </c>
      <c r="E2265" s="148" t="s">
        <v>30</v>
      </c>
      <c r="F2265" s="148" t="s">
        <v>199</v>
      </c>
      <c r="G2265" s="148" t="s">
        <v>477</v>
      </c>
      <c r="H2265" s="148">
        <v>2015</v>
      </c>
      <c r="I2265" s="148">
        <v>12</v>
      </c>
      <c r="J2265" s="148" t="s">
        <v>895</v>
      </c>
      <c r="U2265" s="149" t="s">
        <v>112</v>
      </c>
      <c r="V2265" s="148" t="s">
        <v>3684</v>
      </c>
      <c r="W2265" s="148" t="s">
        <v>34</v>
      </c>
      <c r="Z2265" s="148" t="s">
        <v>896</v>
      </c>
    </row>
    <row r="2266" spans="1:26" ht="15.75" hidden="1" customHeight="1" x14ac:dyDescent="0.25">
      <c r="A2266" s="148" t="s">
        <v>76</v>
      </c>
      <c r="B2266" s="148" t="s">
        <v>103</v>
      </c>
      <c r="C2266" s="148" t="s">
        <v>55</v>
      </c>
      <c r="D2266" s="148" t="s">
        <v>478</v>
      </c>
      <c r="E2266" s="148" t="s">
        <v>95</v>
      </c>
      <c r="F2266" s="148" t="s">
        <v>56</v>
      </c>
      <c r="G2266" s="148" t="s">
        <v>104</v>
      </c>
      <c r="H2266" s="148">
        <v>2015</v>
      </c>
      <c r="I2266" s="148">
        <v>12</v>
      </c>
      <c r="J2266" s="148" t="s">
        <v>118</v>
      </c>
      <c r="K2266" s="148" t="s">
        <v>874</v>
      </c>
      <c r="M2266" s="148" t="s">
        <v>120</v>
      </c>
      <c r="N2266" s="148">
        <v>6</v>
      </c>
      <c r="O2266" s="148" t="s">
        <v>101</v>
      </c>
      <c r="P2266" s="148" t="s">
        <v>1428</v>
      </c>
      <c r="Y2266" s="150" t="s">
        <v>1429</v>
      </c>
    </row>
    <row r="2267" spans="1:26" ht="15.75" hidden="1" customHeight="1" x14ac:dyDescent="0.25">
      <c r="A2267" s="148" t="s">
        <v>26</v>
      </c>
      <c r="B2267" s="148" t="s">
        <v>198</v>
      </c>
      <c r="C2267" s="148" t="s">
        <v>45</v>
      </c>
      <c r="D2267" s="148" t="s">
        <v>29</v>
      </c>
      <c r="E2267" s="148" t="s">
        <v>30</v>
      </c>
      <c r="F2267" s="148" t="s">
        <v>199</v>
      </c>
      <c r="G2267" s="148" t="s">
        <v>733</v>
      </c>
      <c r="H2267" s="148">
        <v>2015</v>
      </c>
      <c r="I2267" s="148">
        <v>12</v>
      </c>
      <c r="J2267" s="148" t="s">
        <v>895</v>
      </c>
      <c r="U2267" s="149" t="s">
        <v>112</v>
      </c>
      <c r="V2267" s="148" t="s">
        <v>3684</v>
      </c>
      <c r="W2267" s="148" t="s">
        <v>34</v>
      </c>
      <c r="Z2267" s="148" t="s">
        <v>896</v>
      </c>
    </row>
    <row r="2268" spans="1:26" ht="15.75" hidden="1" customHeight="1" x14ac:dyDescent="0.25">
      <c r="A2268" s="148" t="s">
        <v>76</v>
      </c>
      <c r="B2268" s="148" t="s">
        <v>27</v>
      </c>
      <c r="C2268" s="148" t="s">
        <v>28</v>
      </c>
      <c r="D2268" s="148" t="s">
        <v>566</v>
      </c>
      <c r="E2268" s="148" t="s">
        <v>30</v>
      </c>
      <c r="F2268" s="148" t="s">
        <v>3183</v>
      </c>
      <c r="G2268" s="148" t="s">
        <v>53</v>
      </c>
      <c r="H2268" s="148">
        <v>2015</v>
      </c>
      <c r="I2268" s="148">
        <v>12</v>
      </c>
      <c r="J2268" s="148" t="s">
        <v>118</v>
      </c>
      <c r="K2268" s="148" t="s">
        <v>768</v>
      </c>
      <c r="M2268" s="148" t="s">
        <v>120</v>
      </c>
      <c r="N2268" s="148">
        <v>6</v>
      </c>
      <c r="O2268" s="148" t="s">
        <v>101</v>
      </c>
      <c r="P2268" s="148" t="s">
        <v>1430</v>
      </c>
      <c r="Y2268" s="150" t="s">
        <v>1431</v>
      </c>
    </row>
    <row r="2269" spans="1:26" ht="15.75" hidden="1" customHeight="1" x14ac:dyDescent="0.25">
      <c r="A2269" s="148" t="s">
        <v>307</v>
      </c>
      <c r="B2269" s="148" t="s">
        <v>27</v>
      </c>
      <c r="C2269" s="148" t="s">
        <v>28</v>
      </c>
      <c r="D2269" s="148" t="s">
        <v>1302</v>
      </c>
      <c r="E2269" s="148" t="s">
        <v>40</v>
      </c>
      <c r="F2269" s="148" t="s">
        <v>41</v>
      </c>
      <c r="G2269" s="148" t="s">
        <v>42</v>
      </c>
      <c r="H2269" s="148">
        <v>2015</v>
      </c>
      <c r="I2269" s="148">
        <v>12</v>
      </c>
      <c r="J2269" s="148" t="s">
        <v>308</v>
      </c>
      <c r="Q2269" s="148" t="s">
        <v>594</v>
      </c>
      <c r="R2269" s="148" t="s">
        <v>1432</v>
      </c>
      <c r="S2269" s="148" t="s">
        <v>427</v>
      </c>
      <c r="T2269" s="148" t="s">
        <v>1433</v>
      </c>
    </row>
    <row r="2270" spans="1:26" ht="15.75" hidden="1" customHeight="1" x14ac:dyDescent="0.25">
      <c r="A2270" s="148" t="s">
        <v>307</v>
      </c>
      <c r="B2270" s="148" t="s">
        <v>27</v>
      </c>
      <c r="C2270" s="148" t="s">
        <v>28</v>
      </c>
      <c r="D2270" s="148" t="s">
        <v>1302</v>
      </c>
      <c r="E2270" s="148" t="s">
        <v>40</v>
      </c>
      <c r="F2270" s="148" t="s">
        <v>41</v>
      </c>
      <c r="G2270" s="148" t="s">
        <v>42</v>
      </c>
      <c r="H2270" s="148">
        <v>2015</v>
      </c>
      <c r="I2270" s="148">
        <v>12</v>
      </c>
      <c r="J2270" s="148" t="s">
        <v>308</v>
      </c>
      <c r="Q2270" s="148" t="s">
        <v>309</v>
      </c>
      <c r="R2270" s="148" t="s">
        <v>1434</v>
      </c>
      <c r="S2270" s="148" t="s">
        <v>311</v>
      </c>
      <c r="T2270" s="148" t="s">
        <v>1053</v>
      </c>
      <c r="Y2270" s="150" t="s">
        <v>1435</v>
      </c>
    </row>
    <row r="2271" spans="1:26" ht="15.75" hidden="1" customHeight="1" x14ac:dyDescent="0.25">
      <c r="A2271" s="148" t="s">
        <v>26</v>
      </c>
      <c r="B2271" s="148" t="s">
        <v>198</v>
      </c>
      <c r="C2271" s="148" t="s">
        <v>45</v>
      </c>
      <c r="D2271" s="148" t="s">
        <v>478</v>
      </c>
      <c r="E2271" s="148" t="s">
        <v>30</v>
      </c>
      <c r="F2271" s="148" t="s">
        <v>199</v>
      </c>
      <c r="G2271" s="148" t="s">
        <v>248</v>
      </c>
      <c r="H2271" s="148">
        <v>2015</v>
      </c>
      <c r="I2271" s="148">
        <v>12</v>
      </c>
      <c r="J2271" s="148" t="s">
        <v>895</v>
      </c>
      <c r="U2271" s="149" t="s">
        <v>112</v>
      </c>
      <c r="V2271" s="148" t="s">
        <v>3684</v>
      </c>
      <c r="W2271" s="148" t="s">
        <v>34</v>
      </c>
      <c r="Z2271" s="148" t="s">
        <v>896</v>
      </c>
    </row>
    <row r="2272" spans="1:26" ht="13.5" hidden="1" customHeight="1" x14ac:dyDescent="0.25">
      <c r="A2272" s="148" t="s">
        <v>307</v>
      </c>
      <c r="B2272" s="148" t="s">
        <v>71</v>
      </c>
      <c r="C2272" s="148" t="s">
        <v>45</v>
      </c>
      <c r="D2272" s="148" t="s">
        <v>478</v>
      </c>
      <c r="E2272" s="148" t="s">
        <v>72</v>
      </c>
      <c r="F2272" s="148" t="s">
        <v>3183</v>
      </c>
      <c r="G2272" s="148" t="s">
        <v>73</v>
      </c>
      <c r="H2272" s="148">
        <v>2016</v>
      </c>
      <c r="I2272" s="148">
        <v>1</v>
      </c>
      <c r="J2272" s="148" t="s">
        <v>308</v>
      </c>
      <c r="Q2272" s="148" t="s">
        <v>866</v>
      </c>
      <c r="R2272" s="148" t="s">
        <v>30</v>
      </c>
      <c r="S2272" s="148" t="s">
        <v>427</v>
      </c>
      <c r="T2272" s="148" t="s">
        <v>1436</v>
      </c>
    </row>
    <row r="2273" spans="1:25" ht="13.5" hidden="1" customHeight="1" x14ac:dyDescent="0.25">
      <c r="A2273" s="148" t="s">
        <v>26</v>
      </c>
      <c r="B2273" s="148" t="s">
        <v>71</v>
      </c>
      <c r="C2273" s="148" t="s">
        <v>45</v>
      </c>
      <c r="D2273" s="148" t="s">
        <v>478</v>
      </c>
      <c r="E2273" s="148" t="s">
        <v>72</v>
      </c>
      <c r="F2273" s="148" t="s">
        <v>3183</v>
      </c>
      <c r="G2273" s="148" t="s">
        <v>73</v>
      </c>
      <c r="H2273" s="148">
        <v>2016</v>
      </c>
      <c r="I2273" s="148">
        <v>1</v>
      </c>
      <c r="J2273" s="148" t="s">
        <v>817</v>
      </c>
      <c r="U2273" s="149" t="s">
        <v>3629</v>
      </c>
      <c r="V2273" s="148" t="s">
        <v>1321</v>
      </c>
      <c r="W2273" s="148" t="s">
        <v>34</v>
      </c>
      <c r="X2273" s="148" t="s">
        <v>1322</v>
      </c>
    </row>
    <row r="2274" spans="1:25" ht="15.75" hidden="1" customHeight="1" x14ac:dyDescent="0.25">
      <c r="A2274" s="148" t="s">
        <v>307</v>
      </c>
      <c r="B2274" s="148" t="s">
        <v>27</v>
      </c>
      <c r="C2274" s="148" t="s">
        <v>28</v>
      </c>
      <c r="D2274" s="148" t="s">
        <v>158</v>
      </c>
      <c r="E2274" s="148" t="s">
        <v>30</v>
      </c>
      <c r="F2274" s="148" t="s">
        <v>3183</v>
      </c>
      <c r="G2274" s="148" t="s">
        <v>32</v>
      </c>
      <c r="H2274" s="148">
        <v>2016</v>
      </c>
      <c r="I2274" s="148">
        <v>1</v>
      </c>
      <c r="J2274" s="148" t="s">
        <v>308</v>
      </c>
      <c r="Q2274" s="148" t="s">
        <v>426</v>
      </c>
      <c r="R2274" s="148" t="s">
        <v>30</v>
      </c>
      <c r="S2274" s="148" t="s">
        <v>427</v>
      </c>
      <c r="T2274" s="148" t="s">
        <v>1437</v>
      </c>
    </row>
    <row r="2275" spans="1:25" ht="15.75" hidden="1" customHeight="1" x14ac:dyDescent="0.25">
      <c r="A2275" s="148" t="s">
        <v>26</v>
      </c>
      <c r="B2275" s="148" t="s">
        <v>27</v>
      </c>
      <c r="C2275" s="148" t="s">
        <v>28</v>
      </c>
      <c r="D2275" s="148" t="s">
        <v>158</v>
      </c>
      <c r="E2275" s="148" t="s">
        <v>30</v>
      </c>
      <c r="F2275" s="148" t="s">
        <v>3183</v>
      </c>
      <c r="G2275" s="148" t="s">
        <v>32</v>
      </c>
      <c r="H2275" s="148">
        <v>2016</v>
      </c>
      <c r="I2275" s="148">
        <v>1</v>
      </c>
      <c r="J2275" s="148" t="s">
        <v>817</v>
      </c>
      <c r="U2275" s="149" t="s">
        <v>3629</v>
      </c>
      <c r="V2275" s="148" t="s">
        <v>1407</v>
      </c>
      <c r="W2275" s="148" t="s">
        <v>87</v>
      </c>
      <c r="X2275" s="148" t="s">
        <v>1408</v>
      </c>
    </row>
    <row r="2276" spans="1:25" ht="15.75" hidden="1" customHeight="1" x14ac:dyDescent="0.25">
      <c r="A2276" s="148" t="s">
        <v>26</v>
      </c>
      <c r="B2276" s="148" t="s">
        <v>36</v>
      </c>
      <c r="C2276" s="148" t="s">
        <v>28</v>
      </c>
      <c r="D2276" s="148" t="s">
        <v>158</v>
      </c>
      <c r="E2276" s="148" t="s">
        <v>30</v>
      </c>
      <c r="F2276" s="148" t="s">
        <v>3183</v>
      </c>
      <c r="G2276" s="148" t="s">
        <v>239</v>
      </c>
      <c r="H2276" s="148">
        <v>2016</v>
      </c>
      <c r="I2276" s="148">
        <v>1</v>
      </c>
      <c r="J2276" s="148" t="s">
        <v>33</v>
      </c>
      <c r="U2276" s="149" t="s">
        <v>3629</v>
      </c>
      <c r="V2276" s="148" t="s">
        <v>1321</v>
      </c>
      <c r="W2276" s="148" t="s">
        <v>34</v>
      </c>
      <c r="X2276" s="148" t="s">
        <v>1322</v>
      </c>
    </row>
    <row r="2277" spans="1:25" ht="15.75" hidden="1" customHeight="1" x14ac:dyDescent="0.25">
      <c r="A2277" s="148" t="s">
        <v>26</v>
      </c>
      <c r="B2277" s="148" t="s">
        <v>36</v>
      </c>
      <c r="C2277" s="148" t="s">
        <v>28</v>
      </c>
      <c r="D2277" s="148" t="s">
        <v>478</v>
      </c>
      <c r="E2277" s="148" t="s">
        <v>30</v>
      </c>
      <c r="F2277" s="148" t="s">
        <v>3183</v>
      </c>
      <c r="G2277" s="148" t="s">
        <v>59</v>
      </c>
      <c r="H2277" s="148">
        <v>2016</v>
      </c>
      <c r="I2277" s="148">
        <v>1</v>
      </c>
      <c r="J2277" s="148" t="s">
        <v>33</v>
      </c>
      <c r="U2277" s="149" t="s">
        <v>3629</v>
      </c>
      <c r="V2277" s="148" t="s">
        <v>1321</v>
      </c>
      <c r="W2277" s="148" t="s">
        <v>34</v>
      </c>
      <c r="X2277" s="148" t="s">
        <v>1322</v>
      </c>
    </row>
    <row r="2278" spans="1:25" ht="15.75" hidden="1" customHeight="1" x14ac:dyDescent="0.25">
      <c r="A2278" s="148" t="s">
        <v>307</v>
      </c>
      <c r="B2278" s="148" t="s">
        <v>27</v>
      </c>
      <c r="C2278" s="148" t="s">
        <v>28</v>
      </c>
      <c r="D2278" s="148" t="s">
        <v>1302</v>
      </c>
      <c r="E2278" s="148" t="s">
        <v>40</v>
      </c>
      <c r="F2278" s="148" t="s">
        <v>41</v>
      </c>
      <c r="G2278" s="148" t="s">
        <v>42</v>
      </c>
      <c r="H2278" s="148">
        <v>2016</v>
      </c>
      <c r="I2278" s="148">
        <v>1</v>
      </c>
      <c r="J2278" s="148" t="s">
        <v>308</v>
      </c>
      <c r="Q2278" s="148" t="s">
        <v>866</v>
      </c>
      <c r="R2278" s="148" t="s">
        <v>30</v>
      </c>
      <c r="S2278" s="148" t="s">
        <v>427</v>
      </c>
      <c r="T2278" s="148" t="s">
        <v>1438</v>
      </c>
    </row>
    <row r="2279" spans="1:25" ht="13.5" hidden="1" customHeight="1" x14ac:dyDescent="0.25">
      <c r="A2279" s="148" t="s">
        <v>26</v>
      </c>
      <c r="B2279" s="148" t="s">
        <v>27</v>
      </c>
      <c r="C2279" s="148" t="s">
        <v>28</v>
      </c>
      <c r="D2279" s="148" t="s">
        <v>1302</v>
      </c>
      <c r="E2279" s="148" t="s">
        <v>40</v>
      </c>
      <c r="F2279" s="148" t="s">
        <v>41</v>
      </c>
      <c r="G2279" s="148" t="s">
        <v>42</v>
      </c>
      <c r="H2279" s="148">
        <v>2016</v>
      </c>
      <c r="I2279" s="148">
        <v>1</v>
      </c>
      <c r="J2279" s="148" t="s">
        <v>817</v>
      </c>
      <c r="U2279" s="149" t="s">
        <v>3629</v>
      </c>
      <c r="V2279" s="148" t="s">
        <v>1407</v>
      </c>
      <c r="W2279" s="148" t="s">
        <v>87</v>
      </c>
      <c r="X2279" s="148" t="s">
        <v>1439</v>
      </c>
      <c r="Y2279" s="150" t="s">
        <v>1435</v>
      </c>
    </row>
    <row r="2280" spans="1:25" ht="13.5" hidden="1" customHeight="1" x14ac:dyDescent="0.25">
      <c r="A2280" s="148" t="s">
        <v>307</v>
      </c>
      <c r="B2280" s="148" t="s">
        <v>27</v>
      </c>
      <c r="C2280" s="148" t="s">
        <v>28</v>
      </c>
      <c r="D2280" s="148" t="s">
        <v>86</v>
      </c>
      <c r="E2280" s="148" t="s">
        <v>30</v>
      </c>
      <c r="F2280" s="148" t="s">
        <v>3183</v>
      </c>
      <c r="G2280" s="148" t="s">
        <v>43</v>
      </c>
      <c r="H2280" s="148">
        <v>2016</v>
      </c>
      <c r="I2280" s="148">
        <v>1</v>
      </c>
      <c r="J2280" s="148" t="s">
        <v>308</v>
      </c>
      <c r="Q2280" s="148" t="s">
        <v>426</v>
      </c>
      <c r="R2280" s="148" t="s">
        <v>30</v>
      </c>
      <c r="S2280" s="148" t="s">
        <v>427</v>
      </c>
      <c r="T2280" s="148" t="s">
        <v>1440</v>
      </c>
    </row>
    <row r="2281" spans="1:25" ht="15.75" hidden="1" customHeight="1" x14ac:dyDescent="0.25">
      <c r="A2281" s="148" t="s">
        <v>26</v>
      </c>
      <c r="B2281" s="148" t="s">
        <v>27</v>
      </c>
      <c r="C2281" s="148" t="s">
        <v>28</v>
      </c>
      <c r="D2281" s="148" t="s">
        <v>86</v>
      </c>
      <c r="E2281" s="148" t="s">
        <v>30</v>
      </c>
      <c r="F2281" s="148" t="s">
        <v>3183</v>
      </c>
      <c r="G2281" s="148" t="s">
        <v>43</v>
      </c>
      <c r="H2281" s="148">
        <v>2016</v>
      </c>
      <c r="I2281" s="148">
        <v>1</v>
      </c>
      <c r="J2281" s="148" t="s">
        <v>817</v>
      </c>
      <c r="U2281" s="149" t="s">
        <v>3629</v>
      </c>
      <c r="V2281" s="148" t="s">
        <v>1407</v>
      </c>
      <c r="W2281" s="148" t="s">
        <v>87</v>
      </c>
      <c r="X2281" s="148" t="s">
        <v>1408</v>
      </c>
    </row>
    <row r="2282" spans="1:25" ht="15.75" hidden="1" customHeight="1" x14ac:dyDescent="0.25">
      <c r="A2282" s="148" t="s">
        <v>76</v>
      </c>
      <c r="B2282" s="148" t="s">
        <v>36</v>
      </c>
      <c r="C2282" s="148" t="s">
        <v>28</v>
      </c>
      <c r="D2282" s="148" t="s">
        <v>342</v>
      </c>
      <c r="E2282" s="148" t="s">
        <v>51</v>
      </c>
      <c r="F2282" s="148" t="s">
        <v>3183</v>
      </c>
      <c r="G2282" s="148" t="s">
        <v>52</v>
      </c>
      <c r="H2282" s="148">
        <v>2016</v>
      </c>
      <c r="I2282" s="148">
        <v>1</v>
      </c>
      <c r="J2282" s="148" t="s">
        <v>118</v>
      </c>
      <c r="K2282" s="148" t="s">
        <v>708</v>
      </c>
      <c r="M2282" s="148" t="s">
        <v>82</v>
      </c>
      <c r="N2282" s="148">
        <v>8</v>
      </c>
      <c r="O2282" s="148" t="s">
        <v>101</v>
      </c>
      <c r="P2282" s="148" t="s">
        <v>191</v>
      </c>
    </row>
    <row r="2283" spans="1:25" ht="13.5" hidden="1" customHeight="1" x14ac:dyDescent="0.25">
      <c r="A2283" s="148" t="s">
        <v>76</v>
      </c>
      <c r="B2283" s="148" t="s">
        <v>36</v>
      </c>
      <c r="C2283" s="148" t="s">
        <v>28</v>
      </c>
      <c r="D2283" s="148" t="s">
        <v>342</v>
      </c>
      <c r="E2283" s="148" t="s">
        <v>30</v>
      </c>
      <c r="F2283" s="148" t="s">
        <v>3183</v>
      </c>
      <c r="G2283" s="148" t="s">
        <v>114</v>
      </c>
      <c r="H2283" s="148">
        <v>2016</v>
      </c>
      <c r="I2283" s="148">
        <v>1</v>
      </c>
      <c r="J2283" s="148" t="s">
        <v>118</v>
      </c>
      <c r="K2283" s="148" t="s">
        <v>874</v>
      </c>
      <c r="M2283" s="148" t="s">
        <v>1318</v>
      </c>
      <c r="N2283" s="148">
        <v>6</v>
      </c>
      <c r="O2283" s="148" t="s">
        <v>101</v>
      </c>
      <c r="P2283" s="148" t="s">
        <v>261</v>
      </c>
    </row>
    <row r="2284" spans="1:25" ht="13.5" hidden="1" customHeight="1" x14ac:dyDescent="0.25">
      <c r="A2284" s="148" t="s">
        <v>76</v>
      </c>
      <c r="B2284" s="148" t="s">
        <v>27</v>
      </c>
      <c r="C2284" s="148" t="s">
        <v>55</v>
      </c>
      <c r="D2284" s="148" t="s">
        <v>99</v>
      </c>
      <c r="E2284" s="148" t="s">
        <v>40</v>
      </c>
      <c r="F2284" s="148" t="s">
        <v>41</v>
      </c>
      <c r="G2284" s="148" t="s">
        <v>604</v>
      </c>
      <c r="H2284" s="148">
        <v>2016</v>
      </c>
      <c r="I2284" s="148">
        <v>2</v>
      </c>
      <c r="J2284" s="148" t="s">
        <v>150</v>
      </c>
      <c r="K2284" s="148" t="s">
        <v>851</v>
      </c>
      <c r="M2284" s="148" t="s">
        <v>1441</v>
      </c>
      <c r="N2284" s="148">
        <v>8</v>
      </c>
      <c r="O2284" s="148" t="s">
        <v>83</v>
      </c>
    </row>
    <row r="2285" spans="1:25" ht="15.75" hidden="1" customHeight="1" x14ac:dyDescent="0.25">
      <c r="A2285" s="148" t="s">
        <v>26</v>
      </c>
      <c r="B2285" s="148" t="s">
        <v>36</v>
      </c>
      <c r="C2285" s="148" t="s">
        <v>28</v>
      </c>
      <c r="D2285" s="148" t="s">
        <v>342</v>
      </c>
      <c r="E2285" s="148" t="s">
        <v>30</v>
      </c>
      <c r="F2285" s="148" t="s">
        <v>3183</v>
      </c>
      <c r="G2285" s="148" t="s">
        <v>438</v>
      </c>
      <c r="H2285" s="148">
        <v>2016</v>
      </c>
      <c r="I2285" s="148">
        <v>2</v>
      </c>
      <c r="J2285" s="148" t="s">
        <v>33</v>
      </c>
      <c r="U2285" s="149" t="s">
        <v>3629</v>
      </c>
      <c r="V2285" s="148" t="s">
        <v>1407</v>
      </c>
      <c r="W2285" s="148" t="s">
        <v>87</v>
      </c>
      <c r="X2285" s="148" t="s">
        <v>1408</v>
      </c>
    </row>
    <row r="2286" spans="1:25" ht="15.75" hidden="1" customHeight="1" x14ac:dyDescent="0.25">
      <c r="A2286" s="148" t="s">
        <v>307</v>
      </c>
      <c r="B2286" s="148" t="s">
        <v>103</v>
      </c>
      <c r="C2286" s="148" t="s">
        <v>55</v>
      </c>
      <c r="D2286" s="148" t="s">
        <v>158</v>
      </c>
      <c r="E2286" s="148" t="s">
        <v>30</v>
      </c>
      <c r="F2286" s="148" t="s">
        <v>56</v>
      </c>
      <c r="G2286" s="148" t="s">
        <v>1027</v>
      </c>
      <c r="H2286" s="148">
        <v>2016</v>
      </c>
      <c r="I2286" s="148">
        <v>2</v>
      </c>
      <c r="J2286" s="148" t="s">
        <v>399</v>
      </c>
      <c r="Q2286" s="148" t="s">
        <v>818</v>
      </c>
      <c r="R2286" s="148" t="s">
        <v>30</v>
      </c>
      <c r="S2286" s="148" t="s">
        <v>427</v>
      </c>
      <c r="T2286" s="148" t="s">
        <v>1442</v>
      </c>
    </row>
    <row r="2287" spans="1:25" ht="15.75" hidden="1" customHeight="1" x14ac:dyDescent="0.25">
      <c r="A2287" s="148" t="s">
        <v>307</v>
      </c>
      <c r="B2287" s="148" t="s">
        <v>27</v>
      </c>
      <c r="C2287" s="148" t="s">
        <v>28</v>
      </c>
      <c r="D2287" s="148" t="s">
        <v>566</v>
      </c>
      <c r="E2287" s="148" t="s">
        <v>30</v>
      </c>
      <c r="F2287" s="148" t="s">
        <v>3183</v>
      </c>
      <c r="G2287" s="148" t="s">
        <v>53</v>
      </c>
      <c r="H2287" s="148">
        <v>2016</v>
      </c>
      <c r="I2287" s="148">
        <v>2</v>
      </c>
      <c r="J2287" s="148" t="s">
        <v>399</v>
      </c>
      <c r="Q2287" s="148" t="s">
        <v>426</v>
      </c>
      <c r="R2287" s="148" t="s">
        <v>1443</v>
      </c>
      <c r="S2287" s="148" t="s">
        <v>427</v>
      </c>
      <c r="T2287" s="148" t="s">
        <v>1444</v>
      </c>
      <c r="Y2287" s="150" t="s">
        <v>1445</v>
      </c>
    </row>
    <row r="2288" spans="1:25" ht="15.75" hidden="1" customHeight="1" x14ac:dyDescent="0.25">
      <c r="A2288" s="148" t="s">
        <v>76</v>
      </c>
      <c r="B2288" s="148" t="s">
        <v>77</v>
      </c>
      <c r="C2288" s="148" t="s">
        <v>55</v>
      </c>
      <c r="D2288" s="148" t="s">
        <v>99</v>
      </c>
      <c r="E2288" s="148" t="s">
        <v>30</v>
      </c>
      <c r="F2288" s="148" t="s">
        <v>41</v>
      </c>
      <c r="G2288" s="148" t="s">
        <v>275</v>
      </c>
      <c r="H2288" s="148">
        <v>2016</v>
      </c>
      <c r="I2288" s="148">
        <v>2</v>
      </c>
      <c r="J2288" s="148" t="s">
        <v>150</v>
      </c>
      <c r="K2288" s="148" t="s">
        <v>851</v>
      </c>
      <c r="M2288" s="148" t="s">
        <v>1441</v>
      </c>
      <c r="N2288" s="148">
        <v>8</v>
      </c>
      <c r="O2288" s="148" t="s">
        <v>83</v>
      </c>
      <c r="P2288" s="148" t="s">
        <v>146</v>
      </c>
    </row>
    <row r="2289" spans="1:26" ht="15.75" hidden="1" customHeight="1" x14ac:dyDescent="0.25">
      <c r="A2289" s="148" t="s">
        <v>307</v>
      </c>
      <c r="B2289" s="148" t="s">
        <v>36</v>
      </c>
      <c r="C2289" s="148" t="s">
        <v>28</v>
      </c>
      <c r="D2289" s="148" t="s">
        <v>342</v>
      </c>
      <c r="E2289" s="148" t="s">
        <v>51</v>
      </c>
      <c r="F2289" s="148" t="s">
        <v>3183</v>
      </c>
      <c r="G2289" s="148" t="s">
        <v>52</v>
      </c>
      <c r="H2289" s="148">
        <v>2016</v>
      </c>
      <c r="I2289" s="148">
        <v>2</v>
      </c>
      <c r="J2289" s="148" t="s">
        <v>399</v>
      </c>
      <c r="Q2289" s="148" t="s">
        <v>426</v>
      </c>
      <c r="R2289" s="148" t="s">
        <v>1446</v>
      </c>
      <c r="S2289" s="148" t="s">
        <v>311</v>
      </c>
      <c r="T2289" s="148" t="s">
        <v>801</v>
      </c>
      <c r="Y2289" s="150" t="s">
        <v>1185</v>
      </c>
    </row>
    <row r="2290" spans="1:26" ht="15.75" hidden="1" customHeight="1" x14ac:dyDescent="0.25">
      <c r="A2290" s="148" t="s">
        <v>26</v>
      </c>
      <c r="B2290" s="148" t="s">
        <v>36</v>
      </c>
      <c r="C2290" s="148" t="s">
        <v>28</v>
      </c>
      <c r="D2290" s="148" t="s">
        <v>342</v>
      </c>
      <c r="E2290" s="148" t="s">
        <v>51</v>
      </c>
      <c r="F2290" s="148" t="s">
        <v>3183</v>
      </c>
      <c r="G2290" s="148" t="s">
        <v>52</v>
      </c>
      <c r="H2290" s="148">
        <v>2016</v>
      </c>
      <c r="I2290" s="148">
        <v>2</v>
      </c>
      <c r="J2290" s="148" t="s">
        <v>817</v>
      </c>
      <c r="U2290" s="149" t="s">
        <v>3629</v>
      </c>
      <c r="V2290" s="148" t="s">
        <v>1407</v>
      </c>
      <c r="W2290" s="148" t="s">
        <v>87</v>
      </c>
      <c r="X2290" s="148" t="s">
        <v>1408</v>
      </c>
    </row>
    <row r="2291" spans="1:26" ht="15.75" hidden="1" customHeight="1" x14ac:dyDescent="0.25">
      <c r="A2291" s="148" t="s">
        <v>307</v>
      </c>
      <c r="B2291" s="148" t="s">
        <v>36</v>
      </c>
      <c r="C2291" s="148" t="s">
        <v>28</v>
      </c>
      <c r="D2291" s="148" t="s">
        <v>887</v>
      </c>
      <c r="E2291" s="148" t="s">
        <v>30</v>
      </c>
      <c r="F2291" s="148" t="s">
        <v>3183</v>
      </c>
      <c r="G2291" s="148" t="s">
        <v>888</v>
      </c>
      <c r="H2291" s="148">
        <v>2016</v>
      </c>
      <c r="I2291" s="148">
        <v>3</v>
      </c>
      <c r="J2291" s="148" t="s">
        <v>399</v>
      </c>
      <c r="Q2291" s="148" t="s">
        <v>426</v>
      </c>
      <c r="R2291" s="148" t="s">
        <v>1447</v>
      </c>
      <c r="S2291" s="148" t="s">
        <v>311</v>
      </c>
      <c r="T2291" s="148" t="s">
        <v>1448</v>
      </c>
      <c r="Y2291" s="150" t="s">
        <v>1449</v>
      </c>
      <c r="Z2291" s="148" t="s">
        <v>891</v>
      </c>
    </row>
    <row r="2292" spans="1:26" ht="15.75" hidden="1" customHeight="1" x14ac:dyDescent="0.25">
      <c r="A2292" s="148" t="s">
        <v>76</v>
      </c>
      <c r="B2292" s="148" t="s">
        <v>116</v>
      </c>
      <c r="C2292" s="148" t="s">
        <v>90</v>
      </c>
      <c r="D2292" s="148" t="s">
        <v>1450</v>
      </c>
      <c r="E2292" s="148" t="s">
        <v>40</v>
      </c>
      <c r="F2292" s="148" t="s">
        <v>41</v>
      </c>
      <c r="G2292" s="148" t="s">
        <v>469</v>
      </c>
      <c r="H2292" s="148">
        <v>2016</v>
      </c>
      <c r="I2292" s="148">
        <v>3</v>
      </c>
      <c r="J2292" s="148" t="s">
        <v>118</v>
      </c>
      <c r="K2292" s="148" t="s">
        <v>692</v>
      </c>
      <c r="M2292" s="148" t="s">
        <v>1451</v>
      </c>
      <c r="N2292" s="148">
        <v>8</v>
      </c>
      <c r="O2292" s="148" t="s">
        <v>101</v>
      </c>
    </row>
    <row r="2293" spans="1:26" ht="15.75" hidden="1" customHeight="1" x14ac:dyDescent="0.25">
      <c r="A2293" s="148" t="s">
        <v>76</v>
      </c>
      <c r="B2293" s="148" t="s">
        <v>27</v>
      </c>
      <c r="C2293" s="148" t="s">
        <v>28</v>
      </c>
      <c r="D2293" s="148" t="s">
        <v>1452</v>
      </c>
      <c r="E2293" s="148" t="s">
        <v>30</v>
      </c>
      <c r="F2293" s="148" t="s">
        <v>3183</v>
      </c>
      <c r="G2293" s="148" t="s">
        <v>163</v>
      </c>
      <c r="H2293" s="148">
        <v>2016</v>
      </c>
      <c r="I2293" s="148">
        <v>3</v>
      </c>
      <c r="J2293" s="148" t="s">
        <v>118</v>
      </c>
      <c r="K2293" s="148" t="s">
        <v>579</v>
      </c>
      <c r="M2293" s="148" t="s">
        <v>126</v>
      </c>
      <c r="N2293" s="148">
        <v>10</v>
      </c>
      <c r="O2293" s="148" t="s">
        <v>101</v>
      </c>
      <c r="P2293" s="148" t="s">
        <v>203</v>
      </c>
    </row>
    <row r="2294" spans="1:26" ht="15.75" hidden="1" customHeight="1" x14ac:dyDescent="0.25">
      <c r="A2294" s="148" t="s">
        <v>307</v>
      </c>
      <c r="B2294" s="148" t="s">
        <v>103</v>
      </c>
      <c r="C2294" s="148" t="s">
        <v>55</v>
      </c>
      <c r="D2294" s="148" t="s">
        <v>478</v>
      </c>
      <c r="E2294" s="148" t="s">
        <v>95</v>
      </c>
      <c r="F2294" s="148" t="s">
        <v>56</v>
      </c>
      <c r="G2294" s="148" t="s">
        <v>108</v>
      </c>
      <c r="H2294" s="148">
        <v>2016</v>
      </c>
      <c r="I2294" s="148">
        <v>3</v>
      </c>
      <c r="J2294" s="148" t="s">
        <v>308</v>
      </c>
      <c r="Q2294" s="148" t="s">
        <v>426</v>
      </c>
      <c r="R2294" s="148" t="s">
        <v>1453</v>
      </c>
      <c r="S2294" s="148" t="s">
        <v>427</v>
      </c>
      <c r="T2294" s="148" t="s">
        <v>1454</v>
      </c>
    </row>
    <row r="2295" spans="1:26" ht="15.75" hidden="1" customHeight="1" x14ac:dyDescent="0.25">
      <c r="A2295" s="148" t="s">
        <v>76</v>
      </c>
      <c r="B2295" s="148" t="s">
        <v>36</v>
      </c>
      <c r="C2295" s="148" t="s">
        <v>28</v>
      </c>
      <c r="D2295" s="148" t="s">
        <v>342</v>
      </c>
      <c r="E2295" s="148" t="s">
        <v>30</v>
      </c>
      <c r="F2295" s="148" t="s">
        <v>3183</v>
      </c>
      <c r="G2295" s="148" t="s">
        <v>114</v>
      </c>
      <c r="H2295" s="148">
        <v>2016</v>
      </c>
      <c r="I2295" s="148">
        <v>3</v>
      </c>
      <c r="J2295" s="148" t="s">
        <v>150</v>
      </c>
      <c r="K2295" s="148" t="s">
        <v>708</v>
      </c>
      <c r="M2295" s="148" t="s">
        <v>82</v>
      </c>
      <c r="N2295" s="148">
        <v>8</v>
      </c>
      <c r="O2295" s="148" t="s">
        <v>83</v>
      </c>
      <c r="P2295" s="148" t="s">
        <v>146</v>
      </c>
    </row>
    <row r="2296" spans="1:26" ht="15.75" hidden="1" customHeight="1" x14ac:dyDescent="0.25">
      <c r="A2296" s="148" t="s">
        <v>76</v>
      </c>
      <c r="B2296" s="148" t="s">
        <v>27</v>
      </c>
      <c r="C2296" s="148" t="s">
        <v>55</v>
      </c>
      <c r="D2296" s="148" t="s">
        <v>99</v>
      </c>
      <c r="E2296" s="148" t="s">
        <v>40</v>
      </c>
      <c r="F2296" s="148" t="s">
        <v>41</v>
      </c>
      <c r="G2296" s="148" t="s">
        <v>604</v>
      </c>
      <c r="H2296" s="148">
        <v>2016</v>
      </c>
      <c r="I2296" s="148">
        <v>4</v>
      </c>
      <c r="J2296" s="148" t="s">
        <v>118</v>
      </c>
      <c r="K2296" s="148" t="s">
        <v>851</v>
      </c>
      <c r="M2296" s="148" t="s">
        <v>1441</v>
      </c>
      <c r="N2296" s="148">
        <v>8</v>
      </c>
      <c r="O2296" s="148" t="s">
        <v>101</v>
      </c>
      <c r="P2296" s="148" t="s">
        <v>1455</v>
      </c>
    </row>
    <row r="2297" spans="1:26" ht="15.75" hidden="1" customHeight="1" x14ac:dyDescent="0.25">
      <c r="A2297" s="148" t="s">
        <v>76</v>
      </c>
      <c r="B2297" s="148" t="s">
        <v>27</v>
      </c>
      <c r="C2297" s="148" t="s">
        <v>28</v>
      </c>
      <c r="D2297" s="148" t="s">
        <v>566</v>
      </c>
      <c r="E2297" s="148" t="s">
        <v>30</v>
      </c>
      <c r="F2297" s="148" t="s">
        <v>3183</v>
      </c>
      <c r="G2297" s="148" t="s">
        <v>53</v>
      </c>
      <c r="H2297" s="148">
        <v>2016</v>
      </c>
      <c r="I2297" s="148">
        <v>4</v>
      </c>
      <c r="J2297" s="148" t="s">
        <v>118</v>
      </c>
      <c r="K2297" s="148" t="s">
        <v>708</v>
      </c>
      <c r="M2297" s="148" t="s">
        <v>82</v>
      </c>
      <c r="N2297" s="148">
        <v>8</v>
      </c>
      <c r="O2297" s="148" t="s">
        <v>101</v>
      </c>
      <c r="P2297" s="148" t="s">
        <v>146</v>
      </c>
    </row>
    <row r="2298" spans="1:26" ht="15.75" hidden="1" customHeight="1" x14ac:dyDescent="0.25">
      <c r="A2298" s="148" t="s">
        <v>307</v>
      </c>
      <c r="B2298" s="148" t="s">
        <v>36</v>
      </c>
      <c r="C2298" s="148" t="s">
        <v>28</v>
      </c>
      <c r="D2298" s="148" t="s">
        <v>478</v>
      </c>
      <c r="E2298" s="148" t="s">
        <v>30</v>
      </c>
      <c r="F2298" s="148" t="s">
        <v>3183</v>
      </c>
      <c r="G2298" s="148" t="s">
        <v>59</v>
      </c>
      <c r="H2298" s="148">
        <v>2016</v>
      </c>
      <c r="I2298" s="148">
        <v>4</v>
      </c>
      <c r="J2298" s="148" t="s">
        <v>399</v>
      </c>
      <c r="Q2298" s="148" t="s">
        <v>866</v>
      </c>
      <c r="R2298" s="148" t="s">
        <v>30</v>
      </c>
      <c r="S2298" s="148" t="s">
        <v>427</v>
      </c>
      <c r="T2298" s="148" t="s">
        <v>1456</v>
      </c>
    </row>
    <row r="2299" spans="1:26" ht="15.75" hidden="1" customHeight="1" x14ac:dyDescent="0.25">
      <c r="A2299" s="148" t="s">
        <v>307</v>
      </c>
      <c r="B2299" s="148" t="s">
        <v>36</v>
      </c>
      <c r="C2299" s="148" t="s">
        <v>28</v>
      </c>
      <c r="D2299" s="148" t="s">
        <v>478</v>
      </c>
      <c r="E2299" s="148" t="s">
        <v>30</v>
      </c>
      <c r="F2299" s="148" t="s">
        <v>3183</v>
      </c>
      <c r="G2299" s="148" t="s">
        <v>59</v>
      </c>
      <c r="H2299" s="148">
        <v>2016</v>
      </c>
      <c r="I2299" s="148">
        <v>4</v>
      </c>
      <c r="J2299" s="148" t="s">
        <v>399</v>
      </c>
      <c r="Q2299" s="148" t="s">
        <v>426</v>
      </c>
      <c r="R2299" s="148" t="s">
        <v>1457</v>
      </c>
      <c r="S2299" s="148" t="s">
        <v>427</v>
      </c>
      <c r="T2299" s="148" t="s">
        <v>1458</v>
      </c>
      <c r="Y2299" s="150" t="s">
        <v>1459</v>
      </c>
    </row>
    <row r="2300" spans="1:26" ht="15.75" hidden="1" customHeight="1" x14ac:dyDescent="0.25">
      <c r="A2300" s="148" t="s">
        <v>307</v>
      </c>
      <c r="B2300" s="148" t="s">
        <v>27</v>
      </c>
      <c r="C2300" s="148" t="s">
        <v>28</v>
      </c>
      <c r="D2300" s="148" t="s">
        <v>1302</v>
      </c>
      <c r="E2300" s="148" t="s">
        <v>40</v>
      </c>
      <c r="F2300" s="148" t="s">
        <v>41</v>
      </c>
      <c r="G2300" s="148" t="s">
        <v>42</v>
      </c>
      <c r="H2300" s="148">
        <v>2016</v>
      </c>
      <c r="I2300" s="148">
        <v>4</v>
      </c>
      <c r="J2300" s="148" t="s">
        <v>308</v>
      </c>
      <c r="Q2300" s="148" t="s">
        <v>594</v>
      </c>
      <c r="R2300" s="148" t="s">
        <v>1460</v>
      </c>
      <c r="S2300" s="148" t="s">
        <v>885</v>
      </c>
      <c r="T2300" s="148" t="s">
        <v>1461</v>
      </c>
    </row>
    <row r="2301" spans="1:26" ht="15.75" hidden="1" customHeight="1" x14ac:dyDescent="0.25">
      <c r="A2301" s="148" t="s">
        <v>76</v>
      </c>
      <c r="B2301" s="148" t="s">
        <v>54</v>
      </c>
      <c r="C2301" s="148" t="s">
        <v>55</v>
      </c>
      <c r="D2301" s="148" t="s">
        <v>1082</v>
      </c>
      <c r="E2301" s="148" t="s">
        <v>30</v>
      </c>
      <c r="F2301" s="148" t="s">
        <v>56</v>
      </c>
      <c r="G2301" s="148" t="s">
        <v>54</v>
      </c>
      <c r="H2301" s="148">
        <v>2016</v>
      </c>
      <c r="I2301" s="148">
        <v>4</v>
      </c>
      <c r="J2301" s="148" t="s">
        <v>150</v>
      </c>
      <c r="K2301" s="148" t="s">
        <v>708</v>
      </c>
      <c r="M2301" s="148" t="s">
        <v>82</v>
      </c>
      <c r="N2301" s="148">
        <v>8</v>
      </c>
      <c r="O2301" s="148" t="s">
        <v>83</v>
      </c>
      <c r="P2301" s="148" t="s">
        <v>146</v>
      </c>
    </row>
    <row r="2302" spans="1:26" ht="15.75" hidden="1" customHeight="1" x14ac:dyDescent="0.25">
      <c r="A2302" s="148" t="s">
        <v>76</v>
      </c>
      <c r="B2302" s="148" t="s">
        <v>103</v>
      </c>
      <c r="C2302" s="148" t="s">
        <v>55</v>
      </c>
      <c r="D2302" s="148" t="s">
        <v>478</v>
      </c>
      <c r="E2302" s="148" t="s">
        <v>95</v>
      </c>
      <c r="F2302" s="148" t="s">
        <v>56</v>
      </c>
      <c r="G2302" s="148" t="s">
        <v>108</v>
      </c>
      <c r="H2302" s="148">
        <v>2016</v>
      </c>
      <c r="I2302" s="148">
        <v>4</v>
      </c>
      <c r="J2302" s="148" t="s">
        <v>118</v>
      </c>
      <c r="K2302" s="148" t="s">
        <v>629</v>
      </c>
      <c r="M2302" s="148" t="s">
        <v>554</v>
      </c>
      <c r="N2302" s="148">
        <v>8</v>
      </c>
      <c r="O2302" s="148" t="s">
        <v>101</v>
      </c>
      <c r="P2302" s="148" t="s">
        <v>1462</v>
      </c>
    </row>
    <row r="2303" spans="1:26" ht="13.5" hidden="1" customHeight="1" x14ac:dyDescent="0.25">
      <c r="A2303" s="148" t="s">
        <v>76</v>
      </c>
      <c r="B2303" s="148" t="s">
        <v>36</v>
      </c>
      <c r="C2303" s="148" t="s">
        <v>28</v>
      </c>
      <c r="D2303" s="148" t="s">
        <v>887</v>
      </c>
      <c r="E2303" s="148" t="s">
        <v>30</v>
      </c>
      <c r="F2303" s="148" t="s">
        <v>3183</v>
      </c>
      <c r="G2303" s="148" t="s">
        <v>888</v>
      </c>
      <c r="H2303" s="148">
        <v>2016</v>
      </c>
      <c r="I2303" s="148">
        <v>5</v>
      </c>
      <c r="J2303" s="148" t="s">
        <v>80</v>
      </c>
      <c r="K2303" s="148" t="s">
        <v>708</v>
      </c>
      <c r="M2303" s="148" t="s">
        <v>82</v>
      </c>
      <c r="N2303" s="148">
        <v>8</v>
      </c>
      <c r="O2303" s="148" t="s">
        <v>83</v>
      </c>
      <c r="P2303" s="148" t="s">
        <v>1463</v>
      </c>
      <c r="Y2303" s="150" t="s">
        <v>1464</v>
      </c>
      <c r="Z2303" s="148" t="s">
        <v>891</v>
      </c>
    </row>
    <row r="2304" spans="1:26" ht="15.75" hidden="1" customHeight="1" x14ac:dyDescent="0.25">
      <c r="A2304" s="148" t="s">
        <v>307</v>
      </c>
      <c r="B2304" s="148" t="s">
        <v>36</v>
      </c>
      <c r="C2304" s="148" t="s">
        <v>28</v>
      </c>
      <c r="D2304" s="148" t="s">
        <v>887</v>
      </c>
      <c r="E2304" s="148" t="s">
        <v>30</v>
      </c>
      <c r="F2304" s="148" t="s">
        <v>3183</v>
      </c>
      <c r="G2304" s="148" t="s">
        <v>888</v>
      </c>
      <c r="H2304" s="148">
        <v>2016</v>
      </c>
      <c r="I2304" s="148">
        <v>5</v>
      </c>
      <c r="J2304" s="148" t="s">
        <v>399</v>
      </c>
      <c r="Q2304" s="148" t="s">
        <v>1465</v>
      </c>
      <c r="R2304" s="148" t="s">
        <v>1466</v>
      </c>
      <c r="S2304" s="148" t="s">
        <v>311</v>
      </c>
      <c r="T2304" s="148" t="s">
        <v>1467</v>
      </c>
      <c r="Z2304" s="148" t="s">
        <v>891</v>
      </c>
    </row>
    <row r="2305" spans="1:26" ht="15.75" hidden="1" customHeight="1" x14ac:dyDescent="0.25">
      <c r="A2305" s="148" t="s">
        <v>76</v>
      </c>
      <c r="B2305" s="148" t="s">
        <v>71</v>
      </c>
      <c r="C2305" s="148" t="s">
        <v>45</v>
      </c>
      <c r="D2305" s="148" t="s">
        <v>478</v>
      </c>
      <c r="E2305" s="148" t="s">
        <v>72</v>
      </c>
      <c r="F2305" s="148" t="s">
        <v>3183</v>
      </c>
      <c r="G2305" s="148" t="s">
        <v>73</v>
      </c>
      <c r="H2305" s="148">
        <v>2016</v>
      </c>
      <c r="I2305" s="148">
        <v>5</v>
      </c>
      <c r="J2305" s="148" t="s">
        <v>118</v>
      </c>
      <c r="K2305" s="148" t="s">
        <v>874</v>
      </c>
      <c r="M2305" s="148" t="s">
        <v>1318</v>
      </c>
      <c r="N2305" s="148">
        <v>6</v>
      </c>
      <c r="O2305" s="148" t="s">
        <v>101</v>
      </c>
      <c r="P2305" s="148" t="s">
        <v>1468</v>
      </c>
    </row>
    <row r="2306" spans="1:26" ht="15.75" hidden="1" customHeight="1" x14ac:dyDescent="0.25">
      <c r="A2306" s="148" t="s">
        <v>307</v>
      </c>
      <c r="B2306" s="148" t="s">
        <v>71</v>
      </c>
      <c r="C2306" s="148" t="s">
        <v>45</v>
      </c>
      <c r="D2306" s="148" t="s">
        <v>478</v>
      </c>
      <c r="E2306" s="148" t="s">
        <v>72</v>
      </c>
      <c r="F2306" s="148" t="s">
        <v>3183</v>
      </c>
      <c r="G2306" s="148" t="s">
        <v>73</v>
      </c>
      <c r="H2306" s="148">
        <v>2016</v>
      </c>
      <c r="I2306" s="148">
        <v>5</v>
      </c>
      <c r="J2306" s="148" t="s">
        <v>399</v>
      </c>
      <c r="Q2306" s="148" t="s">
        <v>1229</v>
      </c>
      <c r="R2306" s="148" t="s">
        <v>1469</v>
      </c>
      <c r="S2306" s="148" t="s">
        <v>311</v>
      </c>
      <c r="T2306" s="148" t="s">
        <v>1470</v>
      </c>
    </row>
    <row r="2307" spans="1:26" ht="15.75" hidden="1" customHeight="1" x14ac:dyDescent="0.25">
      <c r="A2307" s="148" t="s">
        <v>76</v>
      </c>
      <c r="B2307" s="148" t="s">
        <v>27</v>
      </c>
      <c r="C2307" s="148" t="s">
        <v>28</v>
      </c>
      <c r="D2307" s="148" t="s">
        <v>158</v>
      </c>
      <c r="E2307" s="148" t="s">
        <v>30</v>
      </c>
      <c r="F2307" s="148" t="s">
        <v>3183</v>
      </c>
      <c r="G2307" s="148" t="s">
        <v>32</v>
      </c>
      <c r="H2307" s="148">
        <v>2016</v>
      </c>
      <c r="I2307" s="148">
        <v>5</v>
      </c>
      <c r="J2307" s="148" t="s">
        <v>150</v>
      </c>
      <c r="K2307" s="148" t="s">
        <v>708</v>
      </c>
      <c r="M2307" s="148" t="s">
        <v>82</v>
      </c>
      <c r="N2307" s="148">
        <v>8</v>
      </c>
      <c r="O2307" s="148" t="s">
        <v>83</v>
      </c>
    </row>
    <row r="2308" spans="1:26" ht="15.75" hidden="1" customHeight="1" x14ac:dyDescent="0.25">
      <c r="A2308" s="148" t="s">
        <v>26</v>
      </c>
      <c r="B2308" s="148" t="s">
        <v>116</v>
      </c>
      <c r="C2308" s="148" t="s">
        <v>90</v>
      </c>
      <c r="D2308" s="148" t="s">
        <v>29</v>
      </c>
      <c r="E2308" s="148" t="s">
        <v>30</v>
      </c>
      <c r="F2308" s="148" t="s">
        <v>41</v>
      </c>
      <c r="G2308" s="148" t="s">
        <v>564</v>
      </c>
      <c r="H2308" s="148">
        <v>2016</v>
      </c>
      <c r="I2308" s="148">
        <v>5</v>
      </c>
      <c r="J2308" s="148" t="s">
        <v>792</v>
      </c>
      <c r="U2308" s="149" t="s">
        <v>3629</v>
      </c>
      <c r="V2308" s="148" t="s">
        <v>1471</v>
      </c>
      <c r="W2308" s="148" t="s">
        <v>49</v>
      </c>
      <c r="X2308" s="148" t="s">
        <v>1472</v>
      </c>
    </row>
    <row r="2309" spans="1:26" ht="15.75" hidden="1" customHeight="1" x14ac:dyDescent="0.25">
      <c r="A2309" s="148" t="s">
        <v>76</v>
      </c>
      <c r="B2309" s="148" t="s">
        <v>116</v>
      </c>
      <c r="C2309" s="148" t="s">
        <v>90</v>
      </c>
      <c r="D2309" s="148" t="s">
        <v>478</v>
      </c>
      <c r="E2309" s="148" t="s">
        <v>40</v>
      </c>
      <c r="F2309" s="148" t="s">
        <v>41</v>
      </c>
      <c r="G2309" s="148" t="s">
        <v>117</v>
      </c>
      <c r="H2309" s="148">
        <v>2016</v>
      </c>
      <c r="I2309" s="148">
        <v>5</v>
      </c>
      <c r="J2309" s="148" t="s">
        <v>150</v>
      </c>
      <c r="K2309" s="148" t="s">
        <v>520</v>
      </c>
      <c r="M2309" s="148" t="s">
        <v>701</v>
      </c>
      <c r="N2309" s="148">
        <v>8</v>
      </c>
      <c r="O2309" s="148" t="s">
        <v>83</v>
      </c>
    </row>
    <row r="2310" spans="1:26" ht="15.75" hidden="1" customHeight="1" x14ac:dyDescent="0.25">
      <c r="A2310" s="148" t="s">
        <v>76</v>
      </c>
      <c r="B2310" s="148" t="s">
        <v>36</v>
      </c>
      <c r="C2310" s="148" t="s">
        <v>28</v>
      </c>
      <c r="D2310" s="148" t="s">
        <v>478</v>
      </c>
      <c r="E2310" s="148" t="s">
        <v>30</v>
      </c>
      <c r="F2310" s="148" t="s">
        <v>3183</v>
      </c>
      <c r="G2310" s="148" t="s">
        <v>59</v>
      </c>
      <c r="H2310" s="148">
        <v>2016</v>
      </c>
      <c r="I2310" s="148">
        <v>5</v>
      </c>
      <c r="J2310" s="148" t="s">
        <v>150</v>
      </c>
      <c r="K2310" s="148" t="s">
        <v>708</v>
      </c>
      <c r="M2310" s="148" t="s">
        <v>82</v>
      </c>
      <c r="N2310" s="148">
        <v>8</v>
      </c>
      <c r="O2310" s="148" t="s">
        <v>83</v>
      </c>
      <c r="P2310" s="148" t="s">
        <v>146</v>
      </c>
    </row>
    <row r="2311" spans="1:26" ht="15.75" hidden="1" customHeight="1" x14ac:dyDescent="0.25">
      <c r="A2311" s="148" t="s">
        <v>76</v>
      </c>
      <c r="B2311" s="148" t="s">
        <v>103</v>
      </c>
      <c r="C2311" s="148" t="s">
        <v>55</v>
      </c>
      <c r="D2311" s="148" t="s">
        <v>478</v>
      </c>
      <c r="E2311" s="148" t="s">
        <v>95</v>
      </c>
      <c r="F2311" s="148" t="s">
        <v>56</v>
      </c>
      <c r="G2311" s="148" t="s">
        <v>107</v>
      </c>
      <c r="H2311" s="148">
        <v>2016</v>
      </c>
      <c r="I2311" s="148">
        <v>5</v>
      </c>
      <c r="J2311" s="148" t="s">
        <v>150</v>
      </c>
      <c r="K2311" s="148" t="s">
        <v>710</v>
      </c>
      <c r="M2311" s="148" t="s">
        <v>1473</v>
      </c>
      <c r="N2311" s="148">
        <v>8</v>
      </c>
      <c r="O2311" s="148" t="s">
        <v>83</v>
      </c>
      <c r="P2311" s="148" t="s">
        <v>842</v>
      </c>
    </row>
    <row r="2312" spans="1:26" ht="13.5" hidden="1" customHeight="1" x14ac:dyDescent="0.25">
      <c r="A2312" s="148" t="s">
        <v>76</v>
      </c>
      <c r="B2312" s="148" t="s">
        <v>36</v>
      </c>
      <c r="C2312" s="148" t="s">
        <v>28</v>
      </c>
      <c r="D2312" s="148" t="s">
        <v>342</v>
      </c>
      <c r="E2312" s="148" t="s">
        <v>30</v>
      </c>
      <c r="F2312" s="148" t="s">
        <v>3183</v>
      </c>
      <c r="G2312" s="148" t="s">
        <v>242</v>
      </c>
      <c r="H2312" s="148">
        <v>2016</v>
      </c>
      <c r="I2312" s="148">
        <v>5</v>
      </c>
      <c r="J2312" s="148" t="s">
        <v>150</v>
      </c>
      <c r="K2312" s="148" t="s">
        <v>708</v>
      </c>
      <c r="M2312" s="148" t="s">
        <v>82</v>
      </c>
      <c r="N2312" s="148">
        <v>8</v>
      </c>
      <c r="O2312" s="148" t="s">
        <v>83</v>
      </c>
      <c r="P2312" s="148" t="s">
        <v>146</v>
      </c>
    </row>
    <row r="2313" spans="1:26" ht="15.75" hidden="1" customHeight="1" x14ac:dyDescent="0.25">
      <c r="A2313" s="148" t="s">
        <v>76</v>
      </c>
      <c r="B2313" s="148" t="s">
        <v>36</v>
      </c>
      <c r="C2313" s="148" t="s">
        <v>28</v>
      </c>
      <c r="D2313" s="148" t="s">
        <v>478</v>
      </c>
      <c r="E2313" s="148" t="s">
        <v>30</v>
      </c>
      <c r="F2313" s="148" t="s">
        <v>3183</v>
      </c>
      <c r="G2313" s="148" t="s">
        <v>67</v>
      </c>
      <c r="H2313" s="148">
        <v>2016</v>
      </c>
      <c r="I2313" s="148">
        <v>5</v>
      </c>
      <c r="J2313" s="148" t="s">
        <v>118</v>
      </c>
      <c r="K2313" s="148" t="s">
        <v>579</v>
      </c>
      <c r="M2313" s="148" t="s">
        <v>126</v>
      </c>
      <c r="N2313" s="148">
        <v>10</v>
      </c>
      <c r="O2313" s="148" t="s">
        <v>101</v>
      </c>
      <c r="P2313" s="148" t="s">
        <v>714</v>
      </c>
    </row>
    <row r="2314" spans="1:26" ht="15.75" hidden="1" customHeight="1" x14ac:dyDescent="0.25">
      <c r="A2314" s="148" t="s">
        <v>76</v>
      </c>
      <c r="B2314" s="148" t="s">
        <v>27</v>
      </c>
      <c r="C2314" s="148" t="s">
        <v>28</v>
      </c>
      <c r="D2314" s="148" t="s">
        <v>1302</v>
      </c>
      <c r="E2314" s="148" t="s">
        <v>40</v>
      </c>
      <c r="F2314" s="148" t="s">
        <v>41</v>
      </c>
      <c r="G2314" s="148" t="s">
        <v>42</v>
      </c>
      <c r="H2314" s="148">
        <v>2016</v>
      </c>
      <c r="I2314" s="148">
        <v>5</v>
      </c>
      <c r="J2314" s="148" t="s">
        <v>118</v>
      </c>
      <c r="K2314" s="148" t="s">
        <v>502</v>
      </c>
      <c r="M2314" s="148" t="s">
        <v>126</v>
      </c>
      <c r="N2314" s="148">
        <v>10</v>
      </c>
      <c r="O2314" s="148" t="s">
        <v>101</v>
      </c>
      <c r="P2314" s="148" t="s">
        <v>203</v>
      </c>
    </row>
    <row r="2315" spans="1:26" ht="15.75" hidden="1" customHeight="1" x14ac:dyDescent="0.25">
      <c r="A2315" s="148" t="s">
        <v>76</v>
      </c>
      <c r="B2315" s="148" t="s">
        <v>54</v>
      </c>
      <c r="C2315" s="148" t="s">
        <v>55</v>
      </c>
      <c r="D2315" s="148" t="s">
        <v>1082</v>
      </c>
      <c r="E2315" s="148" t="s">
        <v>30</v>
      </c>
      <c r="F2315" s="148" t="s">
        <v>56</v>
      </c>
      <c r="G2315" s="148" t="s">
        <v>54</v>
      </c>
      <c r="H2315" s="148">
        <v>2016</v>
      </c>
      <c r="I2315" s="148">
        <v>5</v>
      </c>
      <c r="J2315" s="148" t="s">
        <v>150</v>
      </c>
      <c r="K2315" s="148" t="s">
        <v>874</v>
      </c>
      <c r="M2315" s="148" t="s">
        <v>1318</v>
      </c>
      <c r="N2315" s="148">
        <v>6</v>
      </c>
      <c r="O2315" s="148" t="s">
        <v>83</v>
      </c>
      <c r="P2315" s="148" t="s">
        <v>556</v>
      </c>
    </row>
    <row r="2316" spans="1:26" ht="15.75" hidden="1" customHeight="1" x14ac:dyDescent="0.25">
      <c r="A2316" s="148" t="s">
        <v>307</v>
      </c>
      <c r="B2316" s="148" t="s">
        <v>54</v>
      </c>
      <c r="C2316" s="148" t="s">
        <v>55</v>
      </c>
      <c r="D2316" s="148" t="s">
        <v>1082</v>
      </c>
      <c r="E2316" s="148" t="s">
        <v>30</v>
      </c>
      <c r="F2316" s="148" t="s">
        <v>56</v>
      </c>
      <c r="G2316" s="148" t="s">
        <v>54</v>
      </c>
      <c r="H2316" s="148">
        <v>2016</v>
      </c>
      <c r="I2316" s="148">
        <v>5</v>
      </c>
      <c r="J2316" s="148" t="s">
        <v>308</v>
      </c>
      <c r="Q2316" s="148" t="s">
        <v>309</v>
      </c>
      <c r="R2316" s="148" t="s">
        <v>1474</v>
      </c>
      <c r="S2316" s="148" t="s">
        <v>660</v>
      </c>
      <c r="T2316" s="148" t="s">
        <v>1475</v>
      </c>
      <c r="Y2316" s="150" t="s">
        <v>1476</v>
      </c>
    </row>
    <row r="2317" spans="1:26" ht="15.75" hidden="1" customHeight="1" x14ac:dyDescent="0.25">
      <c r="A2317" s="148" t="s">
        <v>307</v>
      </c>
      <c r="B2317" s="148" t="s">
        <v>54</v>
      </c>
      <c r="C2317" s="148" t="s">
        <v>55</v>
      </c>
      <c r="D2317" s="148" t="s">
        <v>1082</v>
      </c>
      <c r="E2317" s="148" t="s">
        <v>30</v>
      </c>
      <c r="F2317" s="148" t="s">
        <v>56</v>
      </c>
      <c r="G2317" s="148" t="s">
        <v>54</v>
      </c>
      <c r="H2317" s="148">
        <v>2016</v>
      </c>
      <c r="I2317" s="148">
        <v>5</v>
      </c>
      <c r="J2317" s="148" t="s">
        <v>308</v>
      </c>
      <c r="Q2317" s="148" t="s">
        <v>1477</v>
      </c>
      <c r="R2317" s="148" t="s">
        <v>1478</v>
      </c>
      <c r="S2317" s="148" t="s">
        <v>885</v>
      </c>
      <c r="T2317" s="148" t="s">
        <v>1479</v>
      </c>
      <c r="Z2317" s="148" t="s">
        <v>1480</v>
      </c>
    </row>
    <row r="2318" spans="1:26" ht="15.75" hidden="1" customHeight="1" x14ac:dyDescent="0.25">
      <c r="A2318" s="148" t="s">
        <v>76</v>
      </c>
      <c r="B2318" s="148" t="s">
        <v>89</v>
      </c>
      <c r="C2318" s="148" t="s">
        <v>90</v>
      </c>
      <c r="D2318" s="148" t="s">
        <v>478</v>
      </c>
      <c r="E2318" s="148" t="s">
        <v>30</v>
      </c>
      <c r="F2318" s="148" t="s">
        <v>91</v>
      </c>
      <c r="G2318" s="148" t="s">
        <v>92</v>
      </c>
      <c r="H2318" s="148">
        <v>2016</v>
      </c>
      <c r="I2318" s="148">
        <v>5</v>
      </c>
      <c r="J2318" s="148" t="s">
        <v>150</v>
      </c>
      <c r="K2318" s="148" t="s">
        <v>520</v>
      </c>
      <c r="M2318" s="148" t="s">
        <v>701</v>
      </c>
      <c r="N2318" s="148">
        <v>8</v>
      </c>
      <c r="O2318" s="148" t="s">
        <v>83</v>
      </c>
    </row>
    <row r="2319" spans="1:26" ht="15.75" hidden="1" customHeight="1" x14ac:dyDescent="0.25">
      <c r="A2319" s="148" t="s">
        <v>307</v>
      </c>
      <c r="B2319" s="148" t="s">
        <v>89</v>
      </c>
      <c r="C2319" s="148" t="s">
        <v>90</v>
      </c>
      <c r="D2319" s="148" t="s">
        <v>478</v>
      </c>
      <c r="E2319" s="148" t="s">
        <v>30</v>
      </c>
      <c r="F2319" s="148" t="s">
        <v>91</v>
      </c>
      <c r="G2319" s="148" t="s">
        <v>92</v>
      </c>
      <c r="H2319" s="148">
        <v>2016</v>
      </c>
      <c r="I2319" s="148">
        <v>5</v>
      </c>
      <c r="J2319" s="148" t="s">
        <v>308</v>
      </c>
      <c r="Q2319" s="148" t="s">
        <v>426</v>
      </c>
      <c r="R2319" s="148" t="s">
        <v>30</v>
      </c>
      <c r="S2319" s="148" t="s">
        <v>427</v>
      </c>
      <c r="T2319" s="148" t="s">
        <v>1481</v>
      </c>
    </row>
    <row r="2320" spans="1:26" ht="15.75" hidden="1" customHeight="1" x14ac:dyDescent="0.25">
      <c r="A2320" s="148" t="s">
        <v>26</v>
      </c>
      <c r="B2320" s="148" t="s">
        <v>89</v>
      </c>
      <c r="C2320" s="148" t="s">
        <v>90</v>
      </c>
      <c r="D2320" s="148" t="s">
        <v>478</v>
      </c>
      <c r="E2320" s="148" t="s">
        <v>30</v>
      </c>
      <c r="F2320" s="148" t="s">
        <v>91</v>
      </c>
      <c r="G2320" s="148" t="s">
        <v>92</v>
      </c>
      <c r="H2320" s="148">
        <v>2016</v>
      </c>
      <c r="I2320" s="148">
        <v>5</v>
      </c>
      <c r="J2320" s="148" t="s">
        <v>817</v>
      </c>
      <c r="U2320" s="149" t="s">
        <v>3629</v>
      </c>
      <c r="V2320" s="148" t="s">
        <v>1471</v>
      </c>
      <c r="W2320" s="148" t="s">
        <v>49</v>
      </c>
      <c r="X2320" s="148" t="s">
        <v>1472</v>
      </c>
    </row>
    <row r="2321" spans="1:26" ht="15.75" hidden="1" customHeight="1" x14ac:dyDescent="0.25">
      <c r="A2321" s="148" t="s">
        <v>76</v>
      </c>
      <c r="B2321" s="148" t="s">
        <v>77</v>
      </c>
      <c r="C2321" s="148" t="s">
        <v>55</v>
      </c>
      <c r="D2321" s="148" t="s">
        <v>99</v>
      </c>
      <c r="E2321" s="148" t="s">
        <v>30</v>
      </c>
      <c r="F2321" s="148" t="s">
        <v>41</v>
      </c>
      <c r="G2321" s="148" t="s">
        <v>275</v>
      </c>
      <c r="H2321" s="148">
        <v>2016</v>
      </c>
      <c r="I2321" s="148">
        <v>5</v>
      </c>
      <c r="J2321" s="148" t="s">
        <v>150</v>
      </c>
      <c r="K2321" s="148" t="s">
        <v>1482</v>
      </c>
      <c r="M2321" s="148" t="s">
        <v>1318</v>
      </c>
      <c r="N2321" s="148">
        <v>6</v>
      </c>
      <c r="O2321" s="148" t="s">
        <v>83</v>
      </c>
      <c r="P2321" s="148" t="s">
        <v>146</v>
      </c>
    </row>
    <row r="2322" spans="1:26" ht="15.75" hidden="1" customHeight="1" x14ac:dyDescent="0.25">
      <c r="A2322" s="148" t="s">
        <v>76</v>
      </c>
      <c r="B2322" s="148" t="s">
        <v>36</v>
      </c>
      <c r="C2322" s="148" t="s">
        <v>28</v>
      </c>
      <c r="D2322" s="148" t="s">
        <v>342</v>
      </c>
      <c r="E2322" s="148" t="s">
        <v>51</v>
      </c>
      <c r="F2322" s="148" t="s">
        <v>3183</v>
      </c>
      <c r="G2322" s="148" t="s">
        <v>52</v>
      </c>
      <c r="H2322" s="148">
        <v>2016</v>
      </c>
      <c r="I2322" s="148">
        <v>5</v>
      </c>
      <c r="J2322" s="148" t="s">
        <v>150</v>
      </c>
      <c r="K2322" s="148" t="s">
        <v>708</v>
      </c>
      <c r="M2322" s="148" t="s">
        <v>82</v>
      </c>
      <c r="N2322" s="148">
        <v>8</v>
      </c>
      <c r="O2322" s="148" t="s">
        <v>83</v>
      </c>
      <c r="P2322" s="148" t="s">
        <v>146</v>
      </c>
    </row>
    <row r="2323" spans="1:26" ht="15.75" hidden="1" customHeight="1" x14ac:dyDescent="0.25">
      <c r="A2323" s="148" t="s">
        <v>76</v>
      </c>
      <c r="B2323" s="148" t="s">
        <v>44</v>
      </c>
      <c r="C2323" s="148" t="s">
        <v>45</v>
      </c>
      <c r="D2323" s="148" t="s">
        <v>29</v>
      </c>
      <c r="E2323" s="148" t="s">
        <v>46</v>
      </c>
      <c r="F2323" s="148" t="s">
        <v>47</v>
      </c>
      <c r="G2323" s="148" t="s">
        <v>48</v>
      </c>
      <c r="H2323" s="148">
        <v>2016</v>
      </c>
      <c r="I2323" s="148">
        <v>5</v>
      </c>
      <c r="J2323" s="148" t="s">
        <v>150</v>
      </c>
      <c r="K2323" s="148" t="s">
        <v>1483</v>
      </c>
      <c r="M2323" s="148" t="s">
        <v>1484</v>
      </c>
      <c r="N2323" s="148">
        <v>5</v>
      </c>
      <c r="O2323" s="148" t="s">
        <v>83</v>
      </c>
      <c r="P2323" s="148" t="s">
        <v>1485</v>
      </c>
      <c r="Y2323" s="150" t="s">
        <v>1486</v>
      </c>
    </row>
    <row r="2324" spans="1:26" ht="15.75" hidden="1" customHeight="1" x14ac:dyDescent="0.25">
      <c r="A2324" s="148" t="s">
        <v>76</v>
      </c>
      <c r="B2324" s="148" t="s">
        <v>71</v>
      </c>
      <c r="C2324" s="148" t="s">
        <v>45</v>
      </c>
      <c r="D2324" s="148" t="s">
        <v>478</v>
      </c>
      <c r="E2324" s="148" t="s">
        <v>72</v>
      </c>
      <c r="F2324" s="148" t="s">
        <v>3183</v>
      </c>
      <c r="G2324" s="148" t="s">
        <v>73</v>
      </c>
      <c r="H2324" s="148">
        <v>2016</v>
      </c>
      <c r="I2324" s="148">
        <v>6</v>
      </c>
      <c r="J2324" s="148" t="s">
        <v>640</v>
      </c>
      <c r="K2324" s="148" t="s">
        <v>874</v>
      </c>
      <c r="M2324" s="148" t="s">
        <v>1318</v>
      </c>
      <c r="N2324" s="148">
        <v>6</v>
      </c>
      <c r="O2324" s="148" t="s">
        <v>83</v>
      </c>
      <c r="P2324" s="148" t="s">
        <v>1487</v>
      </c>
      <c r="Z2324" s="148" t="s">
        <v>1488</v>
      </c>
    </row>
    <row r="2325" spans="1:26" ht="15.75" hidden="1" customHeight="1" x14ac:dyDescent="0.25">
      <c r="A2325" s="148" t="s">
        <v>76</v>
      </c>
      <c r="B2325" s="148" t="s">
        <v>198</v>
      </c>
      <c r="C2325" s="148" t="s">
        <v>45</v>
      </c>
      <c r="D2325" s="148" t="s">
        <v>29</v>
      </c>
      <c r="E2325" s="148" t="s">
        <v>30</v>
      </c>
      <c r="F2325" s="148" t="s">
        <v>199</v>
      </c>
      <c r="G2325" s="148" t="s">
        <v>232</v>
      </c>
      <c r="H2325" s="148">
        <v>2016</v>
      </c>
      <c r="I2325" s="148">
        <v>6</v>
      </c>
      <c r="J2325" s="148" t="s">
        <v>118</v>
      </c>
      <c r="K2325" s="148" t="s">
        <v>502</v>
      </c>
      <c r="M2325" s="148" t="s">
        <v>126</v>
      </c>
      <c r="N2325" s="148">
        <v>10</v>
      </c>
      <c r="O2325" s="148" t="s">
        <v>101</v>
      </c>
      <c r="P2325" s="148" t="s">
        <v>512</v>
      </c>
    </row>
    <row r="2326" spans="1:26" ht="13.5" hidden="1" customHeight="1" x14ac:dyDescent="0.25">
      <c r="A2326" s="148" t="s">
        <v>26</v>
      </c>
      <c r="B2326" s="148" t="s">
        <v>103</v>
      </c>
      <c r="C2326" s="148" t="s">
        <v>55</v>
      </c>
      <c r="D2326" s="148" t="s">
        <v>478</v>
      </c>
      <c r="E2326" s="148" t="s">
        <v>95</v>
      </c>
      <c r="F2326" s="148" t="s">
        <v>56</v>
      </c>
      <c r="G2326" s="148" t="s">
        <v>104</v>
      </c>
      <c r="H2326" s="148">
        <v>2016</v>
      </c>
      <c r="I2326" s="148">
        <v>6</v>
      </c>
      <c r="J2326" s="148" t="s">
        <v>33</v>
      </c>
      <c r="U2326" s="149" t="s">
        <v>3629</v>
      </c>
      <c r="V2326" s="148" t="s">
        <v>1489</v>
      </c>
      <c r="W2326" s="148" t="s">
        <v>34</v>
      </c>
      <c r="X2326" s="148" t="s">
        <v>1490</v>
      </c>
    </row>
    <row r="2327" spans="1:26" ht="13.5" hidden="1" customHeight="1" x14ac:dyDescent="0.25">
      <c r="A2327" s="148" t="s">
        <v>76</v>
      </c>
      <c r="B2327" s="148" t="s">
        <v>36</v>
      </c>
      <c r="C2327" s="148" t="s">
        <v>28</v>
      </c>
      <c r="D2327" s="148" t="s">
        <v>29</v>
      </c>
      <c r="E2327" s="148" t="s">
        <v>30</v>
      </c>
      <c r="F2327" s="148" t="s">
        <v>3183</v>
      </c>
      <c r="G2327" s="148" t="s">
        <v>722</v>
      </c>
      <c r="H2327" s="148">
        <v>2016</v>
      </c>
      <c r="I2327" s="148">
        <v>6</v>
      </c>
      <c r="J2327" s="148" t="s">
        <v>80</v>
      </c>
      <c r="K2327" s="148" t="s">
        <v>874</v>
      </c>
      <c r="M2327" s="148" t="s">
        <v>1318</v>
      </c>
      <c r="N2327" s="148">
        <v>6</v>
      </c>
      <c r="O2327" s="148" t="s">
        <v>83</v>
      </c>
      <c r="P2327" s="148" t="s">
        <v>1491</v>
      </c>
    </row>
    <row r="2328" spans="1:26" ht="15.75" hidden="1" customHeight="1" x14ac:dyDescent="0.25">
      <c r="A2328" s="148" t="s">
        <v>76</v>
      </c>
      <c r="B2328" s="148" t="s">
        <v>62</v>
      </c>
      <c r="C2328" s="148" t="s">
        <v>28</v>
      </c>
      <c r="D2328" s="148" t="s">
        <v>759</v>
      </c>
      <c r="E2328" s="148" t="s">
        <v>51</v>
      </c>
      <c r="F2328" s="148" t="s">
        <v>3183</v>
      </c>
      <c r="G2328" s="148" t="s">
        <v>409</v>
      </c>
      <c r="H2328" s="148">
        <v>2016</v>
      </c>
      <c r="I2328" s="148">
        <v>6</v>
      </c>
      <c r="J2328" s="148" t="s">
        <v>118</v>
      </c>
      <c r="K2328" s="148" t="s">
        <v>708</v>
      </c>
      <c r="M2328" s="148" t="s">
        <v>82</v>
      </c>
      <c r="N2328" s="148">
        <v>8</v>
      </c>
      <c r="O2328" s="148" t="s">
        <v>101</v>
      </c>
      <c r="P2328" s="148" t="s">
        <v>1492</v>
      </c>
    </row>
    <row r="2329" spans="1:26" ht="15.75" hidden="1" customHeight="1" x14ac:dyDescent="0.25">
      <c r="A2329" s="148" t="s">
        <v>76</v>
      </c>
      <c r="B2329" s="148" t="s">
        <v>77</v>
      </c>
      <c r="C2329" s="148" t="s">
        <v>55</v>
      </c>
      <c r="D2329" s="148" t="s">
        <v>478</v>
      </c>
      <c r="E2329" s="148" t="s">
        <v>30</v>
      </c>
      <c r="F2329" s="148" t="s">
        <v>41</v>
      </c>
      <c r="G2329" s="148" t="s">
        <v>159</v>
      </c>
      <c r="H2329" s="148">
        <v>2016</v>
      </c>
      <c r="I2329" s="148">
        <v>6</v>
      </c>
      <c r="J2329" s="148" t="s">
        <v>150</v>
      </c>
      <c r="K2329" s="148" t="s">
        <v>708</v>
      </c>
      <c r="M2329" s="148" t="s">
        <v>82</v>
      </c>
      <c r="N2329" s="148">
        <v>8</v>
      </c>
      <c r="O2329" s="148" t="s">
        <v>83</v>
      </c>
      <c r="P2329" s="148" t="s">
        <v>146</v>
      </c>
    </row>
    <row r="2330" spans="1:26" ht="15.75" hidden="1" customHeight="1" x14ac:dyDescent="0.25">
      <c r="A2330" s="148" t="s">
        <v>76</v>
      </c>
      <c r="B2330" s="148" t="s">
        <v>77</v>
      </c>
      <c r="C2330" s="148" t="s">
        <v>55</v>
      </c>
      <c r="D2330" s="148" t="s">
        <v>99</v>
      </c>
      <c r="E2330" s="148" t="s">
        <v>30</v>
      </c>
      <c r="F2330" s="148" t="s">
        <v>41</v>
      </c>
      <c r="G2330" s="148" t="s">
        <v>161</v>
      </c>
      <c r="H2330" s="148">
        <v>2016</v>
      </c>
      <c r="I2330" s="148">
        <v>6</v>
      </c>
      <c r="J2330" s="148" t="s">
        <v>640</v>
      </c>
      <c r="K2330" s="148" t="s">
        <v>708</v>
      </c>
      <c r="M2330" s="148" t="s">
        <v>82</v>
      </c>
      <c r="N2330" s="148">
        <v>8</v>
      </c>
      <c r="O2330" s="148" t="s">
        <v>83</v>
      </c>
      <c r="P2330" s="148" t="s">
        <v>146</v>
      </c>
    </row>
    <row r="2331" spans="1:26" ht="15.75" hidden="1" customHeight="1" x14ac:dyDescent="0.25">
      <c r="A2331" s="148" t="s">
        <v>76</v>
      </c>
      <c r="B2331" s="148" t="s">
        <v>36</v>
      </c>
      <c r="C2331" s="148" t="s">
        <v>28</v>
      </c>
      <c r="D2331" s="148" t="s">
        <v>342</v>
      </c>
      <c r="E2331" s="148" t="s">
        <v>30</v>
      </c>
      <c r="F2331" s="148" t="s">
        <v>3183</v>
      </c>
      <c r="G2331" s="148" t="s">
        <v>242</v>
      </c>
      <c r="H2331" s="148">
        <v>2016</v>
      </c>
      <c r="I2331" s="148">
        <v>6</v>
      </c>
      <c r="J2331" s="148" t="s">
        <v>640</v>
      </c>
      <c r="K2331" s="148" t="s">
        <v>874</v>
      </c>
      <c r="M2331" s="148" t="s">
        <v>1318</v>
      </c>
      <c r="N2331" s="148">
        <v>6</v>
      </c>
      <c r="O2331" s="148" t="s">
        <v>83</v>
      </c>
      <c r="P2331" s="148" t="s">
        <v>512</v>
      </c>
      <c r="Z2331" s="148" t="s">
        <v>1488</v>
      </c>
    </row>
    <row r="2332" spans="1:26" ht="15.75" hidden="1" customHeight="1" x14ac:dyDescent="0.25">
      <c r="A2332" s="148" t="s">
        <v>76</v>
      </c>
      <c r="B2332" s="148" t="s">
        <v>103</v>
      </c>
      <c r="C2332" s="148" t="s">
        <v>55</v>
      </c>
      <c r="D2332" s="148" t="s">
        <v>29</v>
      </c>
      <c r="E2332" s="148" t="s">
        <v>95</v>
      </c>
      <c r="F2332" s="148" t="s">
        <v>56</v>
      </c>
      <c r="G2332" s="148" t="s">
        <v>95</v>
      </c>
      <c r="H2332" s="148">
        <v>2016</v>
      </c>
      <c r="I2332" s="148">
        <v>6</v>
      </c>
      <c r="J2332" s="148" t="s">
        <v>640</v>
      </c>
      <c r="K2332" s="148" t="s">
        <v>874</v>
      </c>
      <c r="M2332" s="148" t="s">
        <v>1318</v>
      </c>
      <c r="N2332" s="148">
        <v>6</v>
      </c>
      <c r="O2332" s="148" t="s">
        <v>83</v>
      </c>
      <c r="P2332" s="148" t="s">
        <v>1493</v>
      </c>
      <c r="Z2332" s="148" t="s">
        <v>1488</v>
      </c>
    </row>
    <row r="2333" spans="1:26" ht="15.75" hidden="1" customHeight="1" x14ac:dyDescent="0.25">
      <c r="A2333" s="148" t="s">
        <v>76</v>
      </c>
      <c r="B2333" s="148" t="s">
        <v>27</v>
      </c>
      <c r="C2333" s="148" t="s">
        <v>28</v>
      </c>
      <c r="D2333" s="148" t="s">
        <v>1452</v>
      </c>
      <c r="E2333" s="148" t="s">
        <v>30</v>
      </c>
      <c r="F2333" s="148" t="s">
        <v>3183</v>
      </c>
      <c r="G2333" s="148" t="s">
        <v>163</v>
      </c>
      <c r="H2333" s="148">
        <v>2016</v>
      </c>
      <c r="I2333" s="148">
        <v>6</v>
      </c>
      <c r="J2333" s="148" t="s">
        <v>640</v>
      </c>
      <c r="K2333" s="148" t="s">
        <v>874</v>
      </c>
      <c r="M2333" s="148" t="s">
        <v>1318</v>
      </c>
      <c r="N2333" s="148">
        <v>6</v>
      </c>
      <c r="O2333" s="148" t="s">
        <v>83</v>
      </c>
      <c r="P2333" s="148" t="s">
        <v>203</v>
      </c>
      <c r="Z2333" s="148" t="s">
        <v>1488</v>
      </c>
    </row>
    <row r="2334" spans="1:26" ht="13.5" hidden="1" customHeight="1" x14ac:dyDescent="0.25">
      <c r="A2334" s="148" t="s">
        <v>76</v>
      </c>
      <c r="B2334" s="148" t="s">
        <v>71</v>
      </c>
      <c r="C2334" s="148" t="s">
        <v>45</v>
      </c>
      <c r="D2334" s="148" t="s">
        <v>478</v>
      </c>
      <c r="E2334" s="148" t="s">
        <v>72</v>
      </c>
      <c r="F2334" s="148" t="s">
        <v>3183</v>
      </c>
      <c r="G2334" s="148" t="s">
        <v>75</v>
      </c>
      <c r="H2334" s="148">
        <v>2016</v>
      </c>
      <c r="I2334" s="148">
        <v>6</v>
      </c>
      <c r="J2334" s="148" t="s">
        <v>640</v>
      </c>
      <c r="K2334" s="148" t="s">
        <v>874</v>
      </c>
      <c r="M2334" s="148" t="s">
        <v>1318</v>
      </c>
      <c r="N2334" s="148">
        <v>6</v>
      </c>
      <c r="O2334" s="148" t="s">
        <v>101</v>
      </c>
      <c r="P2334" s="148" t="s">
        <v>1494</v>
      </c>
      <c r="Z2334" s="148" t="s">
        <v>1488</v>
      </c>
    </row>
    <row r="2335" spans="1:26" ht="15.75" hidden="1" customHeight="1" x14ac:dyDescent="0.25">
      <c r="A2335" s="148" t="s">
        <v>76</v>
      </c>
      <c r="B2335" s="148" t="s">
        <v>54</v>
      </c>
      <c r="C2335" s="148" t="s">
        <v>55</v>
      </c>
      <c r="D2335" s="148" t="s">
        <v>1082</v>
      </c>
      <c r="E2335" s="148" t="s">
        <v>30</v>
      </c>
      <c r="F2335" s="148" t="s">
        <v>56</v>
      </c>
      <c r="G2335" s="148" t="s">
        <v>54</v>
      </c>
      <c r="H2335" s="148">
        <v>2016</v>
      </c>
      <c r="I2335" s="148">
        <v>6</v>
      </c>
      <c r="J2335" s="148" t="s">
        <v>640</v>
      </c>
      <c r="K2335" s="148" t="s">
        <v>708</v>
      </c>
      <c r="M2335" s="148" t="s">
        <v>82</v>
      </c>
      <c r="N2335" s="148">
        <v>8</v>
      </c>
      <c r="O2335" s="148" t="s">
        <v>83</v>
      </c>
      <c r="P2335" s="148" t="s">
        <v>146</v>
      </c>
    </row>
    <row r="2336" spans="1:26" ht="15.75" hidden="1" customHeight="1" x14ac:dyDescent="0.25">
      <c r="A2336" s="148" t="s">
        <v>76</v>
      </c>
      <c r="B2336" s="148" t="s">
        <v>77</v>
      </c>
      <c r="C2336" s="148" t="s">
        <v>55</v>
      </c>
      <c r="D2336" s="148" t="s">
        <v>78</v>
      </c>
      <c r="E2336" s="148" t="s">
        <v>30</v>
      </c>
      <c r="F2336" s="148" t="s">
        <v>41</v>
      </c>
      <c r="G2336" s="148" t="s">
        <v>79</v>
      </c>
      <c r="H2336" s="148">
        <v>2016</v>
      </c>
      <c r="I2336" s="148">
        <v>6</v>
      </c>
      <c r="J2336" s="148" t="s">
        <v>80</v>
      </c>
      <c r="K2336" s="148" t="s">
        <v>708</v>
      </c>
      <c r="M2336" s="148" t="s">
        <v>82</v>
      </c>
      <c r="N2336" s="148">
        <v>8</v>
      </c>
      <c r="O2336" s="148" t="s">
        <v>83</v>
      </c>
      <c r="P2336" s="148" t="s">
        <v>1495</v>
      </c>
    </row>
    <row r="2337" spans="1:26" ht="15.75" hidden="1" customHeight="1" x14ac:dyDescent="0.25">
      <c r="A2337" s="148" t="s">
        <v>76</v>
      </c>
      <c r="B2337" s="148" t="s">
        <v>103</v>
      </c>
      <c r="C2337" s="148" t="s">
        <v>55</v>
      </c>
      <c r="D2337" s="148" t="s">
        <v>478</v>
      </c>
      <c r="E2337" s="148" t="s">
        <v>30</v>
      </c>
      <c r="F2337" s="148" t="s">
        <v>56</v>
      </c>
      <c r="G2337" s="148" t="s">
        <v>519</v>
      </c>
      <c r="H2337" s="148">
        <v>2016</v>
      </c>
      <c r="I2337" s="148">
        <v>6</v>
      </c>
      <c r="J2337" s="148" t="s">
        <v>118</v>
      </c>
      <c r="K2337" s="148" t="s">
        <v>502</v>
      </c>
      <c r="M2337" s="148" t="s">
        <v>126</v>
      </c>
      <c r="N2337" s="148">
        <v>10</v>
      </c>
      <c r="O2337" s="148" t="s">
        <v>101</v>
      </c>
      <c r="P2337" s="148" t="s">
        <v>1496</v>
      </c>
    </row>
    <row r="2338" spans="1:26" ht="13.5" customHeight="1" x14ac:dyDescent="0.25">
      <c r="A2338" s="148" t="s">
        <v>76</v>
      </c>
      <c r="B2338" s="148" t="s">
        <v>36</v>
      </c>
      <c r="C2338" s="148" t="s">
        <v>28</v>
      </c>
      <c r="D2338" s="148" t="s">
        <v>1304</v>
      </c>
      <c r="E2338" s="148" t="s">
        <v>30</v>
      </c>
      <c r="F2338" s="148" t="s">
        <v>3183</v>
      </c>
      <c r="G2338" s="148" t="s">
        <v>194</v>
      </c>
      <c r="H2338" s="148">
        <v>2016</v>
      </c>
      <c r="I2338" s="148">
        <v>6</v>
      </c>
      <c r="J2338" s="148" t="s">
        <v>150</v>
      </c>
      <c r="K2338" s="148" t="s">
        <v>874</v>
      </c>
      <c r="M2338" s="148" t="s">
        <v>1318</v>
      </c>
      <c r="N2338" s="148">
        <v>6</v>
      </c>
      <c r="O2338" s="148" t="s">
        <v>83</v>
      </c>
      <c r="P2338" s="148" t="s">
        <v>146</v>
      </c>
    </row>
    <row r="2339" spans="1:26" ht="15.75" hidden="1" customHeight="1" x14ac:dyDescent="0.25">
      <c r="A2339" s="148" t="s">
        <v>26</v>
      </c>
      <c r="B2339" s="148" t="s">
        <v>62</v>
      </c>
      <c r="C2339" s="148" t="s">
        <v>28</v>
      </c>
      <c r="D2339" s="148" t="s">
        <v>86</v>
      </c>
      <c r="E2339" s="148" t="s">
        <v>51</v>
      </c>
      <c r="F2339" s="148" t="s">
        <v>3183</v>
      </c>
      <c r="G2339" s="148" t="s">
        <v>130</v>
      </c>
      <c r="H2339" s="148">
        <v>2016</v>
      </c>
      <c r="I2339" s="148">
        <v>6</v>
      </c>
      <c r="J2339" s="148" t="s">
        <v>33</v>
      </c>
      <c r="U2339" s="149" t="s">
        <v>3629</v>
      </c>
      <c r="V2339" s="148" t="s">
        <v>1471</v>
      </c>
      <c r="W2339" s="148" t="s">
        <v>49</v>
      </c>
      <c r="X2339" s="148" t="s">
        <v>1472</v>
      </c>
    </row>
    <row r="2340" spans="1:26" ht="15.75" hidden="1" customHeight="1" x14ac:dyDescent="0.25">
      <c r="A2340" s="148" t="s">
        <v>307</v>
      </c>
      <c r="B2340" s="148" t="s">
        <v>36</v>
      </c>
      <c r="C2340" s="148" t="s">
        <v>28</v>
      </c>
      <c r="D2340" s="148" t="s">
        <v>342</v>
      </c>
      <c r="E2340" s="148" t="s">
        <v>51</v>
      </c>
      <c r="F2340" s="148" t="s">
        <v>3183</v>
      </c>
      <c r="G2340" s="148" t="s">
        <v>52</v>
      </c>
      <c r="H2340" s="148">
        <v>2016</v>
      </c>
      <c r="I2340" s="148">
        <v>6</v>
      </c>
      <c r="J2340" s="148" t="s">
        <v>308</v>
      </c>
      <c r="Q2340" s="148" t="s">
        <v>866</v>
      </c>
      <c r="R2340" s="148" t="s">
        <v>1497</v>
      </c>
      <c r="S2340" s="148" t="s">
        <v>427</v>
      </c>
      <c r="T2340" s="148" t="s">
        <v>1498</v>
      </c>
    </row>
    <row r="2341" spans="1:26" ht="15.75" hidden="1" customHeight="1" x14ac:dyDescent="0.25">
      <c r="A2341" s="148" t="s">
        <v>76</v>
      </c>
      <c r="B2341" s="148" t="s">
        <v>103</v>
      </c>
      <c r="C2341" s="148" t="s">
        <v>55</v>
      </c>
      <c r="D2341" s="148" t="s">
        <v>478</v>
      </c>
      <c r="E2341" s="148" t="s">
        <v>95</v>
      </c>
      <c r="F2341" s="148" t="s">
        <v>56</v>
      </c>
      <c r="G2341" s="148" t="s">
        <v>108</v>
      </c>
      <c r="H2341" s="148">
        <v>2016</v>
      </c>
      <c r="I2341" s="148">
        <v>6</v>
      </c>
      <c r="J2341" s="148" t="s">
        <v>640</v>
      </c>
      <c r="K2341" s="148" t="s">
        <v>874</v>
      </c>
      <c r="M2341" s="148" t="s">
        <v>1318</v>
      </c>
      <c r="N2341" s="148">
        <v>6</v>
      </c>
      <c r="O2341" s="148" t="s">
        <v>83</v>
      </c>
      <c r="P2341" s="148" t="s">
        <v>435</v>
      </c>
      <c r="Z2341" s="148" t="s">
        <v>1488</v>
      </c>
    </row>
    <row r="2342" spans="1:26" ht="15.75" hidden="1" customHeight="1" x14ac:dyDescent="0.25">
      <c r="A2342" s="148" t="s">
        <v>76</v>
      </c>
      <c r="B2342" s="148" t="s">
        <v>46</v>
      </c>
      <c r="C2342" s="148" t="s">
        <v>46</v>
      </c>
      <c r="D2342" s="148" t="s">
        <v>78</v>
      </c>
      <c r="E2342" s="148" t="s">
        <v>46</v>
      </c>
      <c r="F2342" s="148" t="s">
        <v>46</v>
      </c>
      <c r="G2342" s="148" t="s">
        <v>1499</v>
      </c>
      <c r="H2342" s="148">
        <v>2016</v>
      </c>
      <c r="I2342" s="148">
        <v>6</v>
      </c>
      <c r="J2342" s="148" t="s">
        <v>118</v>
      </c>
      <c r="K2342" s="148" t="s">
        <v>1500</v>
      </c>
      <c r="M2342" s="148" t="s">
        <v>1318</v>
      </c>
      <c r="N2342" s="148">
        <v>6</v>
      </c>
      <c r="O2342" s="148" t="s">
        <v>101</v>
      </c>
      <c r="P2342" s="148" t="s">
        <v>1501</v>
      </c>
    </row>
    <row r="2343" spans="1:26" ht="15.75" hidden="1" customHeight="1" x14ac:dyDescent="0.25">
      <c r="A2343" s="148" t="s">
        <v>76</v>
      </c>
      <c r="B2343" s="148" t="s">
        <v>77</v>
      </c>
      <c r="C2343" s="148" t="s">
        <v>55</v>
      </c>
      <c r="D2343" s="152" t="s">
        <v>478</v>
      </c>
      <c r="E2343" s="148" t="s">
        <v>30</v>
      </c>
      <c r="F2343" s="148" t="s">
        <v>41</v>
      </c>
      <c r="G2343" s="148" t="s">
        <v>363</v>
      </c>
      <c r="H2343" s="148">
        <v>2016</v>
      </c>
      <c r="I2343" s="148">
        <v>6</v>
      </c>
      <c r="J2343" s="148" t="s">
        <v>640</v>
      </c>
      <c r="K2343" s="148" t="s">
        <v>708</v>
      </c>
      <c r="M2343" s="148" t="s">
        <v>82</v>
      </c>
      <c r="N2343" s="148">
        <v>8</v>
      </c>
      <c r="O2343" s="148" t="s">
        <v>83</v>
      </c>
      <c r="P2343" s="148" t="s">
        <v>540</v>
      </c>
    </row>
    <row r="2344" spans="1:26" ht="13.5" hidden="1" customHeight="1" x14ac:dyDescent="0.25">
      <c r="A2344" s="148" t="s">
        <v>76</v>
      </c>
      <c r="B2344" s="148" t="s">
        <v>36</v>
      </c>
      <c r="C2344" s="148" t="s">
        <v>28</v>
      </c>
      <c r="D2344" s="148" t="s">
        <v>342</v>
      </c>
      <c r="E2344" s="148" t="s">
        <v>30</v>
      </c>
      <c r="F2344" s="148" t="s">
        <v>3183</v>
      </c>
      <c r="G2344" s="148" t="s">
        <v>438</v>
      </c>
      <c r="H2344" s="148">
        <v>2016</v>
      </c>
      <c r="I2344" s="148">
        <v>7</v>
      </c>
      <c r="J2344" s="148" t="s">
        <v>118</v>
      </c>
      <c r="K2344" s="148" t="s">
        <v>874</v>
      </c>
      <c r="M2344" s="148" t="s">
        <v>1318</v>
      </c>
      <c r="N2344" s="148">
        <v>6</v>
      </c>
      <c r="O2344" s="148" t="s">
        <v>101</v>
      </c>
      <c r="P2344" s="148" t="s">
        <v>1502</v>
      </c>
    </row>
    <row r="2345" spans="1:26" ht="13.5" hidden="1" customHeight="1" x14ac:dyDescent="0.25">
      <c r="A2345" s="148" t="s">
        <v>76</v>
      </c>
      <c r="B2345" s="148" t="s">
        <v>198</v>
      </c>
      <c r="C2345" s="148" t="s">
        <v>45</v>
      </c>
      <c r="D2345" s="148" t="s">
        <v>158</v>
      </c>
      <c r="E2345" s="148" t="s">
        <v>30</v>
      </c>
      <c r="F2345" s="148" t="s">
        <v>199</v>
      </c>
      <c r="G2345" s="148" t="s">
        <v>1057</v>
      </c>
      <c r="H2345" s="148">
        <v>2016</v>
      </c>
      <c r="I2345" s="148">
        <v>7</v>
      </c>
      <c r="J2345" s="148" t="s">
        <v>100</v>
      </c>
      <c r="K2345" s="148" t="s">
        <v>708</v>
      </c>
      <c r="M2345" s="148" t="s">
        <v>82</v>
      </c>
      <c r="N2345" s="148">
        <v>8</v>
      </c>
      <c r="O2345" s="148" t="s">
        <v>101</v>
      </c>
      <c r="P2345" s="148" t="s">
        <v>1503</v>
      </c>
      <c r="Y2345" s="150" t="s">
        <v>1504</v>
      </c>
    </row>
    <row r="2346" spans="1:26" ht="15.75" hidden="1" customHeight="1" x14ac:dyDescent="0.25">
      <c r="A2346" s="148" t="s">
        <v>76</v>
      </c>
      <c r="B2346" s="148" t="s">
        <v>103</v>
      </c>
      <c r="C2346" s="148" t="s">
        <v>55</v>
      </c>
      <c r="D2346" s="148" t="s">
        <v>158</v>
      </c>
      <c r="E2346" s="148" t="s">
        <v>30</v>
      </c>
      <c r="F2346" s="148" t="s">
        <v>56</v>
      </c>
      <c r="G2346" s="148" t="s">
        <v>1027</v>
      </c>
      <c r="H2346" s="148">
        <v>2016</v>
      </c>
      <c r="I2346" s="148">
        <v>7</v>
      </c>
      <c r="J2346" s="148" t="s">
        <v>118</v>
      </c>
      <c r="K2346" s="148" t="s">
        <v>708</v>
      </c>
      <c r="M2346" s="148" t="s">
        <v>82</v>
      </c>
      <c r="N2346" s="148">
        <v>8</v>
      </c>
      <c r="O2346" s="148" t="s">
        <v>101</v>
      </c>
      <c r="P2346" s="148" t="s">
        <v>1505</v>
      </c>
    </row>
    <row r="2347" spans="1:26" ht="13.5" hidden="1" customHeight="1" x14ac:dyDescent="0.25">
      <c r="A2347" s="148" t="s">
        <v>76</v>
      </c>
      <c r="B2347" s="148" t="s">
        <v>71</v>
      </c>
      <c r="C2347" s="148" t="s">
        <v>45</v>
      </c>
      <c r="D2347" s="148" t="s">
        <v>478</v>
      </c>
      <c r="E2347" s="148" t="s">
        <v>72</v>
      </c>
      <c r="F2347" s="148" t="s">
        <v>3183</v>
      </c>
      <c r="G2347" s="148" t="s">
        <v>75</v>
      </c>
      <c r="H2347" s="148">
        <v>2016</v>
      </c>
      <c r="I2347" s="148">
        <v>7</v>
      </c>
      <c r="J2347" s="148" t="s">
        <v>118</v>
      </c>
      <c r="K2347" s="148" t="s">
        <v>692</v>
      </c>
      <c r="M2347" s="148" t="s">
        <v>1451</v>
      </c>
      <c r="N2347" s="148">
        <v>8</v>
      </c>
      <c r="O2347" s="148" t="s">
        <v>101</v>
      </c>
      <c r="P2347" s="148" t="s">
        <v>1506</v>
      </c>
    </row>
    <row r="2348" spans="1:26" ht="15.75" hidden="1" customHeight="1" x14ac:dyDescent="0.25">
      <c r="A2348" s="148" t="s">
        <v>76</v>
      </c>
      <c r="B2348" s="148" t="s">
        <v>103</v>
      </c>
      <c r="C2348" s="148" t="s">
        <v>55</v>
      </c>
      <c r="D2348" s="148" t="s">
        <v>29</v>
      </c>
      <c r="E2348" s="148" t="s">
        <v>30</v>
      </c>
      <c r="F2348" s="148" t="s">
        <v>56</v>
      </c>
      <c r="G2348" s="148" t="s">
        <v>432</v>
      </c>
      <c r="H2348" s="148">
        <v>2016</v>
      </c>
      <c r="I2348" s="148">
        <v>7</v>
      </c>
      <c r="J2348" s="148" t="s">
        <v>118</v>
      </c>
      <c r="K2348" s="148" t="s">
        <v>874</v>
      </c>
      <c r="M2348" s="148" t="s">
        <v>1318</v>
      </c>
      <c r="N2348" s="148">
        <v>6</v>
      </c>
      <c r="O2348" s="148" t="s">
        <v>101</v>
      </c>
      <c r="P2348" s="148" t="s">
        <v>283</v>
      </c>
    </row>
    <row r="2349" spans="1:26" ht="15.75" hidden="1" customHeight="1" x14ac:dyDescent="0.25">
      <c r="A2349" s="148" t="s">
        <v>76</v>
      </c>
      <c r="B2349" s="148" t="s">
        <v>36</v>
      </c>
      <c r="C2349" s="148" t="s">
        <v>28</v>
      </c>
      <c r="D2349" s="148" t="s">
        <v>342</v>
      </c>
      <c r="E2349" s="148" t="s">
        <v>51</v>
      </c>
      <c r="F2349" s="148" t="s">
        <v>3183</v>
      </c>
      <c r="G2349" s="148" t="s">
        <v>52</v>
      </c>
      <c r="H2349" s="148">
        <v>2016</v>
      </c>
      <c r="I2349" s="148">
        <v>7</v>
      </c>
      <c r="J2349" s="148" t="s">
        <v>118</v>
      </c>
      <c r="K2349" s="148" t="s">
        <v>851</v>
      </c>
      <c r="M2349" s="148" t="s">
        <v>1441</v>
      </c>
      <c r="N2349" s="148">
        <v>8</v>
      </c>
      <c r="O2349" s="148" t="s">
        <v>101</v>
      </c>
      <c r="P2349" s="148" t="s">
        <v>1009</v>
      </c>
    </row>
    <row r="2350" spans="1:26" ht="13.5" hidden="1" customHeight="1" x14ac:dyDescent="0.25">
      <c r="A2350" s="148" t="s">
        <v>76</v>
      </c>
      <c r="B2350" s="148" t="s">
        <v>44</v>
      </c>
      <c r="C2350" s="148" t="s">
        <v>45</v>
      </c>
      <c r="D2350" s="148" t="s">
        <v>29</v>
      </c>
      <c r="E2350" s="148" t="s">
        <v>46</v>
      </c>
      <c r="F2350" s="148" t="s">
        <v>47</v>
      </c>
      <c r="G2350" s="148" t="s">
        <v>48</v>
      </c>
      <c r="H2350" s="148">
        <v>2016</v>
      </c>
      <c r="I2350" s="148">
        <v>7</v>
      </c>
      <c r="J2350" s="148" t="s">
        <v>118</v>
      </c>
      <c r="K2350" s="148" t="s">
        <v>520</v>
      </c>
      <c r="M2350" s="148" t="s">
        <v>701</v>
      </c>
      <c r="N2350" s="148">
        <v>8</v>
      </c>
      <c r="O2350" s="148" t="s">
        <v>101</v>
      </c>
      <c r="P2350" s="148" t="s">
        <v>1507</v>
      </c>
      <c r="Y2350" s="150" t="s">
        <v>1486</v>
      </c>
    </row>
    <row r="2351" spans="1:26" ht="15.75" hidden="1" customHeight="1" x14ac:dyDescent="0.25">
      <c r="A2351" s="148" t="s">
        <v>76</v>
      </c>
      <c r="B2351" s="148" t="s">
        <v>27</v>
      </c>
      <c r="C2351" s="148" t="s">
        <v>55</v>
      </c>
      <c r="D2351" s="148" t="s">
        <v>99</v>
      </c>
      <c r="E2351" s="148" t="s">
        <v>40</v>
      </c>
      <c r="F2351" s="148" t="s">
        <v>41</v>
      </c>
      <c r="G2351" s="148" t="s">
        <v>604</v>
      </c>
      <c r="H2351" s="148">
        <v>2016</v>
      </c>
      <c r="I2351" s="148">
        <v>8</v>
      </c>
      <c r="J2351" s="148" t="s">
        <v>118</v>
      </c>
      <c r="K2351" s="148" t="s">
        <v>708</v>
      </c>
      <c r="M2351" s="148" t="s">
        <v>82</v>
      </c>
      <c r="N2351" s="148">
        <v>8</v>
      </c>
      <c r="O2351" s="148" t="s">
        <v>101</v>
      </c>
      <c r="P2351" s="148" t="s">
        <v>691</v>
      </c>
    </row>
    <row r="2352" spans="1:26" ht="15.75" hidden="1" customHeight="1" x14ac:dyDescent="0.25">
      <c r="A2352" s="148" t="s">
        <v>307</v>
      </c>
      <c r="B2352" s="148" t="s">
        <v>71</v>
      </c>
      <c r="C2352" s="148" t="s">
        <v>45</v>
      </c>
      <c r="D2352" s="148" t="s">
        <v>478</v>
      </c>
      <c r="E2352" s="148" t="s">
        <v>72</v>
      </c>
      <c r="F2352" s="148" t="s">
        <v>3183</v>
      </c>
      <c r="G2352" s="148" t="s">
        <v>73</v>
      </c>
      <c r="H2352" s="148">
        <v>2016</v>
      </c>
      <c r="I2352" s="148">
        <v>8</v>
      </c>
      <c r="J2352" s="148" t="s">
        <v>399</v>
      </c>
      <c r="Q2352" s="148" t="s">
        <v>426</v>
      </c>
      <c r="R2352" s="148" t="s">
        <v>1508</v>
      </c>
      <c r="S2352" s="148" t="s">
        <v>311</v>
      </c>
      <c r="T2352" s="148" t="s">
        <v>1509</v>
      </c>
      <c r="Y2352" s="150" t="s">
        <v>1510</v>
      </c>
    </row>
    <row r="2353" spans="1:26" ht="15.75" hidden="1" customHeight="1" x14ac:dyDescent="0.25">
      <c r="A2353" s="148" t="s">
        <v>307</v>
      </c>
      <c r="B2353" s="148" t="s">
        <v>198</v>
      </c>
      <c r="C2353" s="148" t="s">
        <v>45</v>
      </c>
      <c r="D2353" s="148" t="s">
        <v>478</v>
      </c>
      <c r="E2353" s="148" t="s">
        <v>30</v>
      </c>
      <c r="F2353" s="148" t="s">
        <v>199</v>
      </c>
      <c r="G2353" s="148" t="s">
        <v>208</v>
      </c>
      <c r="H2353" s="148">
        <v>2016</v>
      </c>
      <c r="I2353" s="148">
        <v>8</v>
      </c>
      <c r="J2353" s="148" t="s">
        <v>399</v>
      </c>
      <c r="Q2353" s="148" t="s">
        <v>1229</v>
      </c>
      <c r="R2353" s="148" t="s">
        <v>1511</v>
      </c>
      <c r="S2353" s="148" t="s">
        <v>311</v>
      </c>
      <c r="T2353" s="148" t="s">
        <v>1512</v>
      </c>
      <c r="Y2353" s="150" t="s">
        <v>1513</v>
      </c>
    </row>
    <row r="2354" spans="1:26" ht="15.75" hidden="1" customHeight="1" x14ac:dyDescent="0.25">
      <c r="A2354" s="148" t="s">
        <v>76</v>
      </c>
      <c r="B2354" s="148" t="s">
        <v>103</v>
      </c>
      <c r="C2354" s="148" t="s">
        <v>55</v>
      </c>
      <c r="D2354" s="148" t="s">
        <v>478</v>
      </c>
      <c r="E2354" s="148" t="s">
        <v>95</v>
      </c>
      <c r="F2354" s="148" t="s">
        <v>56</v>
      </c>
      <c r="G2354" s="148" t="s">
        <v>104</v>
      </c>
      <c r="H2354" s="148">
        <v>2016</v>
      </c>
      <c r="I2354" s="148">
        <v>8</v>
      </c>
      <c r="J2354" s="148" t="s">
        <v>118</v>
      </c>
      <c r="K2354" s="148" t="s">
        <v>520</v>
      </c>
      <c r="M2354" s="148" t="s">
        <v>701</v>
      </c>
      <c r="N2354" s="148">
        <v>8</v>
      </c>
      <c r="O2354" s="148" t="s">
        <v>101</v>
      </c>
      <c r="P2354" s="148" t="s">
        <v>980</v>
      </c>
    </row>
    <row r="2355" spans="1:26" ht="15.75" hidden="1" customHeight="1" x14ac:dyDescent="0.25">
      <c r="A2355" s="148" t="s">
        <v>76</v>
      </c>
      <c r="B2355" s="148" t="s">
        <v>62</v>
      </c>
      <c r="C2355" s="148" t="s">
        <v>28</v>
      </c>
      <c r="D2355" s="148" t="s">
        <v>478</v>
      </c>
      <c r="E2355" s="148" t="s">
        <v>30</v>
      </c>
      <c r="F2355" s="148" t="s">
        <v>3183</v>
      </c>
      <c r="G2355" s="148" t="s">
        <v>244</v>
      </c>
      <c r="H2355" s="148">
        <v>2016</v>
      </c>
      <c r="I2355" s="148">
        <v>8</v>
      </c>
      <c r="J2355" s="148" t="s">
        <v>150</v>
      </c>
      <c r="K2355" s="148" t="s">
        <v>874</v>
      </c>
      <c r="M2355" s="148" t="s">
        <v>1318</v>
      </c>
      <c r="N2355" s="148">
        <v>6</v>
      </c>
      <c r="O2355" s="148" t="s">
        <v>83</v>
      </c>
      <c r="P2355" s="148" t="s">
        <v>435</v>
      </c>
    </row>
    <row r="2356" spans="1:26" ht="13.5" hidden="1" customHeight="1" x14ac:dyDescent="0.25">
      <c r="A2356" s="148" t="s">
        <v>76</v>
      </c>
      <c r="B2356" s="148" t="s">
        <v>27</v>
      </c>
      <c r="C2356" s="148" t="s">
        <v>28</v>
      </c>
      <c r="D2356" s="148" t="s">
        <v>1302</v>
      </c>
      <c r="E2356" s="148" t="s">
        <v>40</v>
      </c>
      <c r="F2356" s="148" t="s">
        <v>41</v>
      </c>
      <c r="G2356" s="148" t="s">
        <v>42</v>
      </c>
      <c r="H2356" s="148">
        <v>2016</v>
      </c>
      <c r="I2356" s="148">
        <v>8</v>
      </c>
      <c r="J2356" s="148" t="s">
        <v>118</v>
      </c>
      <c r="K2356" s="148" t="s">
        <v>692</v>
      </c>
      <c r="M2356" s="148" t="s">
        <v>1451</v>
      </c>
      <c r="N2356" s="148">
        <v>8</v>
      </c>
      <c r="O2356" s="148" t="s">
        <v>101</v>
      </c>
      <c r="P2356" s="148" t="s">
        <v>1514</v>
      </c>
    </row>
    <row r="2357" spans="1:26" ht="15.75" hidden="1" customHeight="1" x14ac:dyDescent="0.25">
      <c r="A2357" s="148" t="s">
        <v>307</v>
      </c>
      <c r="B2357" s="148" t="s">
        <v>54</v>
      </c>
      <c r="C2357" s="148" t="s">
        <v>55</v>
      </c>
      <c r="D2357" s="148" t="s">
        <v>1082</v>
      </c>
      <c r="E2357" s="148" t="s">
        <v>30</v>
      </c>
      <c r="F2357" s="148" t="s">
        <v>56</v>
      </c>
      <c r="G2357" s="148" t="s">
        <v>54</v>
      </c>
      <c r="H2357" s="148">
        <v>2016</v>
      </c>
      <c r="I2357" s="148">
        <v>8</v>
      </c>
      <c r="J2357" s="148" t="s">
        <v>399</v>
      </c>
      <c r="Q2357" s="148" t="s">
        <v>1229</v>
      </c>
      <c r="R2357" s="148" t="s">
        <v>1515</v>
      </c>
      <c r="S2357" s="148" t="s">
        <v>311</v>
      </c>
      <c r="T2357" s="148" t="s">
        <v>1516</v>
      </c>
      <c r="Y2357" s="150" t="s">
        <v>1517</v>
      </c>
    </row>
    <row r="2358" spans="1:26" ht="15.75" hidden="1" customHeight="1" x14ac:dyDescent="0.25">
      <c r="A2358" s="148" t="s">
        <v>76</v>
      </c>
      <c r="B2358" s="148" t="s">
        <v>116</v>
      </c>
      <c r="C2358" s="148" t="s">
        <v>90</v>
      </c>
      <c r="D2358" s="148" t="s">
        <v>478</v>
      </c>
      <c r="E2358" s="148" t="s">
        <v>30</v>
      </c>
      <c r="F2358" s="148" t="s">
        <v>41</v>
      </c>
      <c r="G2358" s="148" t="s">
        <v>756</v>
      </c>
      <c r="H2358" s="148">
        <v>2016</v>
      </c>
      <c r="I2358" s="148">
        <v>8</v>
      </c>
      <c r="J2358" s="148" t="s">
        <v>118</v>
      </c>
      <c r="K2358" s="148" t="s">
        <v>708</v>
      </c>
      <c r="M2358" s="148" t="s">
        <v>82</v>
      </c>
      <c r="N2358" s="148">
        <v>8</v>
      </c>
      <c r="O2358" s="148" t="s">
        <v>101</v>
      </c>
      <c r="P2358" s="148" t="s">
        <v>1518</v>
      </c>
    </row>
    <row r="2359" spans="1:26" ht="15.75" hidden="1" customHeight="1" x14ac:dyDescent="0.25">
      <c r="A2359" s="148" t="s">
        <v>76</v>
      </c>
      <c r="B2359" s="148" t="s">
        <v>77</v>
      </c>
      <c r="C2359" s="148" t="s">
        <v>55</v>
      </c>
      <c r="D2359" s="148" t="s">
        <v>99</v>
      </c>
      <c r="E2359" s="148" t="s">
        <v>30</v>
      </c>
      <c r="F2359" s="148" t="s">
        <v>41</v>
      </c>
      <c r="G2359" s="148" t="s">
        <v>275</v>
      </c>
      <c r="H2359" s="148">
        <v>2016</v>
      </c>
      <c r="I2359" s="148">
        <v>8</v>
      </c>
      <c r="J2359" s="148" t="s">
        <v>118</v>
      </c>
      <c r="K2359" s="148" t="s">
        <v>851</v>
      </c>
      <c r="M2359" s="148" t="s">
        <v>1441</v>
      </c>
      <c r="N2359" s="148">
        <v>8</v>
      </c>
      <c r="O2359" s="148" t="s">
        <v>101</v>
      </c>
      <c r="P2359" s="148" t="s">
        <v>512</v>
      </c>
    </row>
    <row r="2360" spans="1:26" ht="15.75" hidden="1" customHeight="1" x14ac:dyDescent="0.25">
      <c r="A2360" s="148" t="s">
        <v>76</v>
      </c>
      <c r="B2360" s="148" t="s">
        <v>44</v>
      </c>
      <c r="C2360" s="148" t="s">
        <v>45</v>
      </c>
      <c r="D2360" s="148" t="s">
        <v>29</v>
      </c>
      <c r="E2360" s="148" t="s">
        <v>46</v>
      </c>
      <c r="F2360" s="148" t="s">
        <v>47</v>
      </c>
      <c r="G2360" s="148" t="s">
        <v>48</v>
      </c>
      <c r="H2360" s="148">
        <v>2016</v>
      </c>
      <c r="I2360" s="148">
        <v>8</v>
      </c>
      <c r="J2360" s="148" t="s">
        <v>118</v>
      </c>
      <c r="K2360" s="148" t="s">
        <v>1333</v>
      </c>
      <c r="M2360" s="148" t="s">
        <v>1519</v>
      </c>
      <c r="N2360" s="148">
        <v>6</v>
      </c>
      <c r="O2360" s="148" t="s">
        <v>101</v>
      </c>
      <c r="P2360" s="148" t="s">
        <v>1520</v>
      </c>
      <c r="Y2360" s="150" t="s">
        <v>1486</v>
      </c>
    </row>
    <row r="2361" spans="1:26" ht="15.75" hidden="1" customHeight="1" x14ac:dyDescent="0.25">
      <c r="A2361" s="148" t="s">
        <v>307</v>
      </c>
      <c r="B2361" s="148" t="s">
        <v>44</v>
      </c>
      <c r="C2361" s="148" t="s">
        <v>45</v>
      </c>
      <c r="D2361" s="148" t="s">
        <v>29</v>
      </c>
      <c r="E2361" s="148" t="s">
        <v>46</v>
      </c>
      <c r="F2361" s="148" t="s">
        <v>47</v>
      </c>
      <c r="G2361" s="148" t="s">
        <v>48</v>
      </c>
      <c r="H2361" s="148">
        <v>2016</v>
      </c>
      <c r="I2361" s="148">
        <v>8</v>
      </c>
      <c r="J2361" s="148" t="s">
        <v>399</v>
      </c>
      <c r="Q2361" s="148" t="s">
        <v>594</v>
      </c>
      <c r="R2361" s="148" t="s">
        <v>1521</v>
      </c>
      <c r="S2361" s="148" t="s">
        <v>427</v>
      </c>
      <c r="T2361" s="148" t="s">
        <v>1522</v>
      </c>
      <c r="Y2361" s="150" t="s">
        <v>1523</v>
      </c>
    </row>
    <row r="2362" spans="1:26" ht="13.5" hidden="1" customHeight="1" x14ac:dyDescent="0.25">
      <c r="A2362" s="148" t="s">
        <v>76</v>
      </c>
      <c r="B2362" s="148" t="s">
        <v>36</v>
      </c>
      <c r="C2362" s="148" t="s">
        <v>28</v>
      </c>
      <c r="D2362" s="148" t="s">
        <v>342</v>
      </c>
      <c r="E2362" s="148" t="s">
        <v>30</v>
      </c>
      <c r="F2362" s="148" t="s">
        <v>3183</v>
      </c>
      <c r="G2362" s="148" t="s">
        <v>114</v>
      </c>
      <c r="H2362" s="148">
        <v>2016</v>
      </c>
      <c r="I2362" s="148">
        <v>8</v>
      </c>
      <c r="J2362" s="148" t="s">
        <v>118</v>
      </c>
      <c r="K2362" s="148" t="s">
        <v>502</v>
      </c>
      <c r="M2362" s="148" t="s">
        <v>126</v>
      </c>
      <c r="N2362" s="148">
        <v>10</v>
      </c>
      <c r="O2362" s="148" t="s">
        <v>101</v>
      </c>
      <c r="P2362" s="148" t="s">
        <v>146</v>
      </c>
    </row>
    <row r="2363" spans="1:26" ht="15.75" hidden="1" customHeight="1" x14ac:dyDescent="0.25">
      <c r="A2363" s="148" t="s">
        <v>307</v>
      </c>
      <c r="B2363" s="148" t="s">
        <v>36</v>
      </c>
      <c r="C2363" s="148" t="s">
        <v>28</v>
      </c>
      <c r="D2363" s="148" t="s">
        <v>887</v>
      </c>
      <c r="E2363" s="148" t="s">
        <v>30</v>
      </c>
      <c r="F2363" s="148" t="s">
        <v>3183</v>
      </c>
      <c r="G2363" s="148" t="s">
        <v>888</v>
      </c>
      <c r="H2363" s="148">
        <v>2016</v>
      </c>
      <c r="I2363" s="148">
        <v>9</v>
      </c>
      <c r="J2363" s="148" t="s">
        <v>399</v>
      </c>
      <c r="Q2363" s="148" t="s">
        <v>426</v>
      </c>
      <c r="R2363" s="148" t="s">
        <v>1524</v>
      </c>
      <c r="S2363" s="148" t="s">
        <v>596</v>
      </c>
      <c r="T2363" s="148" t="s">
        <v>1525</v>
      </c>
      <c r="Z2363" s="148" t="s">
        <v>891</v>
      </c>
    </row>
    <row r="2364" spans="1:26" ht="13.5" hidden="1" customHeight="1" x14ac:dyDescent="0.25">
      <c r="A2364" s="148" t="s">
        <v>307</v>
      </c>
      <c r="B2364" s="148" t="s">
        <v>71</v>
      </c>
      <c r="C2364" s="148" t="s">
        <v>45</v>
      </c>
      <c r="D2364" s="148" t="s">
        <v>478</v>
      </c>
      <c r="E2364" s="148" t="s">
        <v>72</v>
      </c>
      <c r="F2364" s="148" t="s">
        <v>3183</v>
      </c>
      <c r="G2364" s="148" t="s">
        <v>73</v>
      </c>
      <c r="H2364" s="148">
        <v>2016</v>
      </c>
      <c r="I2364" s="148">
        <v>9</v>
      </c>
      <c r="J2364" s="148" t="s">
        <v>308</v>
      </c>
      <c r="Q2364" s="148" t="s">
        <v>426</v>
      </c>
      <c r="R2364" s="148" t="s">
        <v>1526</v>
      </c>
      <c r="S2364" s="148" t="s">
        <v>311</v>
      </c>
      <c r="T2364" s="148" t="s">
        <v>1527</v>
      </c>
    </row>
    <row r="2365" spans="1:26" ht="15.75" hidden="1" customHeight="1" x14ac:dyDescent="0.25">
      <c r="A2365" s="148" t="s">
        <v>76</v>
      </c>
      <c r="B2365" s="148" t="s">
        <v>27</v>
      </c>
      <c r="C2365" s="148" t="s">
        <v>28</v>
      </c>
      <c r="D2365" s="148" t="s">
        <v>158</v>
      </c>
      <c r="E2365" s="148" t="s">
        <v>30</v>
      </c>
      <c r="F2365" s="148" t="s">
        <v>3183</v>
      </c>
      <c r="G2365" s="148" t="s">
        <v>32</v>
      </c>
      <c r="H2365" s="148">
        <v>2016</v>
      </c>
      <c r="I2365" s="148">
        <v>9</v>
      </c>
      <c r="J2365" s="148" t="s">
        <v>118</v>
      </c>
      <c r="K2365" s="148" t="s">
        <v>629</v>
      </c>
      <c r="M2365" s="148" t="s">
        <v>554</v>
      </c>
      <c r="N2365" s="148">
        <v>8</v>
      </c>
      <c r="O2365" s="148" t="s">
        <v>101</v>
      </c>
      <c r="P2365" s="148" t="s">
        <v>425</v>
      </c>
    </row>
    <row r="2366" spans="1:26" ht="15.75" hidden="1" customHeight="1" x14ac:dyDescent="0.25">
      <c r="A2366" s="148" t="s">
        <v>76</v>
      </c>
      <c r="B2366" s="148" t="s">
        <v>198</v>
      </c>
      <c r="C2366" s="148" t="s">
        <v>45</v>
      </c>
      <c r="D2366" s="148" t="s">
        <v>342</v>
      </c>
      <c r="E2366" s="148" t="s">
        <v>30</v>
      </c>
      <c r="F2366" s="148" t="s">
        <v>199</v>
      </c>
      <c r="G2366" s="148" t="s">
        <v>296</v>
      </c>
      <c r="H2366" s="148">
        <v>2016</v>
      </c>
      <c r="I2366" s="148">
        <v>9</v>
      </c>
      <c r="J2366" s="148" t="s">
        <v>118</v>
      </c>
      <c r="K2366" s="148" t="s">
        <v>520</v>
      </c>
      <c r="M2366" s="148" t="s">
        <v>701</v>
      </c>
      <c r="N2366" s="148">
        <v>8</v>
      </c>
      <c r="O2366" s="148" t="s">
        <v>101</v>
      </c>
      <c r="P2366" s="148" t="s">
        <v>562</v>
      </c>
    </row>
    <row r="2367" spans="1:26" ht="15.75" hidden="1" customHeight="1" x14ac:dyDescent="0.25">
      <c r="A2367" s="148" t="s">
        <v>76</v>
      </c>
      <c r="B2367" s="148" t="s">
        <v>103</v>
      </c>
      <c r="C2367" s="148" t="s">
        <v>55</v>
      </c>
      <c r="D2367" s="148" t="s">
        <v>29</v>
      </c>
      <c r="E2367" s="148" t="s">
        <v>30</v>
      </c>
      <c r="F2367" s="148" t="s">
        <v>56</v>
      </c>
      <c r="G2367" s="148" t="s">
        <v>405</v>
      </c>
      <c r="H2367" s="148">
        <v>2016</v>
      </c>
      <c r="I2367" s="148">
        <v>9</v>
      </c>
      <c r="J2367" s="148" t="s">
        <v>118</v>
      </c>
      <c r="K2367" s="148" t="s">
        <v>708</v>
      </c>
      <c r="M2367" s="148" t="s">
        <v>82</v>
      </c>
      <c r="N2367" s="148">
        <v>8</v>
      </c>
      <c r="O2367" s="148" t="s">
        <v>101</v>
      </c>
      <c r="P2367" s="148" t="s">
        <v>146</v>
      </c>
    </row>
    <row r="2368" spans="1:26" ht="15.75" hidden="1" customHeight="1" x14ac:dyDescent="0.25">
      <c r="A2368" s="148" t="s">
        <v>26</v>
      </c>
      <c r="B2368" s="148" t="s">
        <v>116</v>
      </c>
      <c r="C2368" s="148" t="s">
        <v>90</v>
      </c>
      <c r="D2368" s="148" t="s">
        <v>29</v>
      </c>
      <c r="E2368" s="148" t="s">
        <v>30</v>
      </c>
      <c r="F2368" s="148" t="s">
        <v>41</v>
      </c>
      <c r="G2368" s="148" t="s">
        <v>784</v>
      </c>
      <c r="H2368" s="148">
        <v>2016</v>
      </c>
      <c r="I2368" s="148">
        <v>9</v>
      </c>
      <c r="J2368" s="148" t="s">
        <v>792</v>
      </c>
      <c r="U2368" s="149" t="s">
        <v>3629</v>
      </c>
      <c r="V2368" s="148" t="s">
        <v>1528</v>
      </c>
      <c r="W2368" s="148" t="s">
        <v>49</v>
      </c>
      <c r="X2368" s="148" t="s">
        <v>1529</v>
      </c>
    </row>
    <row r="2369" spans="1:26" ht="15.75" hidden="1" customHeight="1" x14ac:dyDescent="0.25">
      <c r="A2369" s="148" t="s">
        <v>76</v>
      </c>
      <c r="B2369" s="148" t="s">
        <v>36</v>
      </c>
      <c r="C2369" s="148" t="s">
        <v>28</v>
      </c>
      <c r="D2369" s="148" t="s">
        <v>86</v>
      </c>
      <c r="E2369" s="148" t="s">
        <v>51</v>
      </c>
      <c r="F2369" s="148" t="s">
        <v>3183</v>
      </c>
      <c r="G2369" s="148" t="s">
        <v>69</v>
      </c>
      <c r="H2369" s="148">
        <v>2016</v>
      </c>
      <c r="I2369" s="148">
        <v>9</v>
      </c>
      <c r="J2369" s="148" t="s">
        <v>150</v>
      </c>
      <c r="K2369" s="148" t="s">
        <v>874</v>
      </c>
      <c r="M2369" s="148" t="s">
        <v>1318</v>
      </c>
      <c r="N2369" s="148">
        <v>6</v>
      </c>
      <c r="O2369" s="148" t="s">
        <v>83</v>
      </c>
    </row>
    <row r="2370" spans="1:26" ht="15.75" hidden="1" customHeight="1" x14ac:dyDescent="0.25">
      <c r="A2370" s="148" t="s">
        <v>307</v>
      </c>
      <c r="B2370" s="148" t="s">
        <v>54</v>
      </c>
      <c r="C2370" s="148" t="s">
        <v>55</v>
      </c>
      <c r="D2370" s="148" t="s">
        <v>1082</v>
      </c>
      <c r="E2370" s="148" t="s">
        <v>30</v>
      </c>
      <c r="F2370" s="148" t="s">
        <v>56</v>
      </c>
      <c r="G2370" s="148" t="s">
        <v>54</v>
      </c>
      <c r="H2370" s="148">
        <v>2016</v>
      </c>
      <c r="I2370" s="148">
        <v>9</v>
      </c>
      <c r="J2370" s="148" t="s">
        <v>308</v>
      </c>
      <c r="Q2370" s="148" t="s">
        <v>594</v>
      </c>
      <c r="R2370" s="148" t="s">
        <v>1530</v>
      </c>
      <c r="S2370" s="148" t="s">
        <v>427</v>
      </c>
      <c r="T2370" s="148" t="s">
        <v>1531</v>
      </c>
    </row>
    <row r="2371" spans="1:26" ht="15.75" hidden="1" customHeight="1" x14ac:dyDescent="0.25">
      <c r="A2371" s="148" t="s">
        <v>76</v>
      </c>
      <c r="B2371" s="148" t="s">
        <v>54</v>
      </c>
      <c r="C2371" s="148" t="s">
        <v>55</v>
      </c>
      <c r="D2371" s="148" t="s">
        <v>1082</v>
      </c>
      <c r="E2371" s="148" t="s">
        <v>30</v>
      </c>
      <c r="F2371" s="148" t="s">
        <v>56</v>
      </c>
      <c r="G2371" s="148" t="s">
        <v>54</v>
      </c>
      <c r="H2371" s="148">
        <v>2016</v>
      </c>
      <c r="I2371" s="148">
        <v>9</v>
      </c>
      <c r="J2371" s="148" t="s">
        <v>640</v>
      </c>
      <c r="K2371" s="148" t="s">
        <v>1482</v>
      </c>
      <c r="M2371" s="148" t="s">
        <v>1318</v>
      </c>
      <c r="N2371" s="148">
        <v>6</v>
      </c>
      <c r="O2371" s="148" t="s">
        <v>83</v>
      </c>
      <c r="P2371" s="148" t="s">
        <v>556</v>
      </c>
    </row>
    <row r="2372" spans="1:26" ht="15.75" hidden="1" customHeight="1" x14ac:dyDescent="0.25">
      <c r="A2372" s="148" t="s">
        <v>76</v>
      </c>
      <c r="B2372" s="148" t="s">
        <v>77</v>
      </c>
      <c r="C2372" s="148" t="s">
        <v>55</v>
      </c>
      <c r="D2372" s="148" t="s">
        <v>78</v>
      </c>
      <c r="E2372" s="148" t="s">
        <v>30</v>
      </c>
      <c r="F2372" s="148" t="s">
        <v>41</v>
      </c>
      <c r="G2372" s="148" t="s">
        <v>79</v>
      </c>
      <c r="H2372" s="148">
        <v>2016</v>
      </c>
      <c r="I2372" s="148">
        <v>9</v>
      </c>
      <c r="J2372" s="148" t="s">
        <v>80</v>
      </c>
      <c r="K2372" s="148" t="s">
        <v>1482</v>
      </c>
      <c r="M2372" s="148" t="s">
        <v>1318</v>
      </c>
      <c r="N2372" s="148">
        <v>6</v>
      </c>
      <c r="O2372" s="148" t="s">
        <v>83</v>
      </c>
      <c r="P2372" s="148" t="s">
        <v>1532</v>
      </c>
      <c r="Y2372" s="150" t="s">
        <v>1533</v>
      </c>
    </row>
    <row r="2373" spans="1:26" ht="15.75" hidden="1" customHeight="1" x14ac:dyDescent="0.25">
      <c r="A2373" s="148" t="s">
        <v>307</v>
      </c>
      <c r="B2373" s="148" t="s">
        <v>77</v>
      </c>
      <c r="C2373" s="148" t="s">
        <v>55</v>
      </c>
      <c r="D2373" s="148" t="s">
        <v>78</v>
      </c>
      <c r="E2373" s="148" t="s">
        <v>30</v>
      </c>
      <c r="F2373" s="148" t="s">
        <v>41</v>
      </c>
      <c r="G2373" s="148" t="s">
        <v>79</v>
      </c>
      <c r="H2373" s="148">
        <v>2016</v>
      </c>
      <c r="I2373" s="148">
        <v>9</v>
      </c>
      <c r="J2373" s="148" t="s">
        <v>399</v>
      </c>
      <c r="Q2373" s="148" t="s">
        <v>594</v>
      </c>
      <c r="R2373" s="148" t="s">
        <v>1534</v>
      </c>
      <c r="S2373" s="148" t="s">
        <v>596</v>
      </c>
      <c r="T2373" s="148" t="s">
        <v>1535</v>
      </c>
      <c r="Y2373" s="150" t="s">
        <v>1536</v>
      </c>
    </row>
    <row r="2374" spans="1:26" ht="15.75" hidden="1" customHeight="1" x14ac:dyDescent="0.25">
      <c r="A2374" s="148" t="s">
        <v>76</v>
      </c>
      <c r="B2374" s="148" t="s">
        <v>77</v>
      </c>
      <c r="C2374" s="148" t="s">
        <v>55</v>
      </c>
      <c r="D2374" s="148" t="s">
        <v>99</v>
      </c>
      <c r="E2374" s="148" t="s">
        <v>30</v>
      </c>
      <c r="F2374" s="148" t="s">
        <v>41</v>
      </c>
      <c r="G2374" s="148" t="s">
        <v>275</v>
      </c>
      <c r="H2374" s="148">
        <v>2016</v>
      </c>
      <c r="I2374" s="148">
        <v>9</v>
      </c>
      <c r="J2374" s="148" t="s">
        <v>640</v>
      </c>
      <c r="K2374" s="148" t="s">
        <v>1482</v>
      </c>
      <c r="M2374" s="148" t="s">
        <v>1318</v>
      </c>
      <c r="N2374" s="148">
        <v>6</v>
      </c>
      <c r="O2374" s="148" t="s">
        <v>83</v>
      </c>
      <c r="P2374" s="148" t="s">
        <v>435</v>
      </c>
    </row>
    <row r="2375" spans="1:26" ht="15.75" hidden="1" customHeight="1" x14ac:dyDescent="0.25">
      <c r="A2375" s="148" t="s">
        <v>76</v>
      </c>
      <c r="B2375" s="148" t="s">
        <v>103</v>
      </c>
      <c r="C2375" s="148" t="s">
        <v>55</v>
      </c>
      <c r="D2375" s="148" t="s">
        <v>478</v>
      </c>
      <c r="E2375" s="148" t="s">
        <v>95</v>
      </c>
      <c r="F2375" s="148" t="s">
        <v>56</v>
      </c>
      <c r="G2375" s="148" t="s">
        <v>108</v>
      </c>
      <c r="H2375" s="148">
        <v>2016</v>
      </c>
      <c r="I2375" s="148">
        <v>9</v>
      </c>
      <c r="J2375" s="148" t="s">
        <v>150</v>
      </c>
      <c r="K2375" s="148" t="s">
        <v>708</v>
      </c>
      <c r="M2375" s="148" t="s">
        <v>82</v>
      </c>
      <c r="N2375" s="148">
        <v>8</v>
      </c>
      <c r="O2375" s="148" t="s">
        <v>83</v>
      </c>
      <c r="P2375" s="148" t="s">
        <v>1001</v>
      </c>
    </row>
    <row r="2376" spans="1:26" ht="13.5" hidden="1" customHeight="1" x14ac:dyDescent="0.25">
      <c r="A2376" s="148" t="s">
        <v>76</v>
      </c>
      <c r="B2376" s="148" t="s">
        <v>44</v>
      </c>
      <c r="C2376" s="148" t="s">
        <v>45</v>
      </c>
      <c r="D2376" s="148" t="s">
        <v>29</v>
      </c>
      <c r="E2376" s="148" t="s">
        <v>46</v>
      </c>
      <c r="F2376" s="148" t="s">
        <v>47</v>
      </c>
      <c r="G2376" s="148" t="s">
        <v>48</v>
      </c>
      <c r="H2376" s="148">
        <v>2016</v>
      </c>
      <c r="I2376" s="148">
        <v>9</v>
      </c>
      <c r="J2376" s="148" t="s">
        <v>150</v>
      </c>
      <c r="K2376" s="148" t="s">
        <v>874</v>
      </c>
      <c r="M2376" s="148" t="s">
        <v>1318</v>
      </c>
      <c r="N2376" s="148">
        <v>6</v>
      </c>
      <c r="O2376" s="148" t="s">
        <v>83</v>
      </c>
      <c r="P2376" s="148" t="s">
        <v>1419</v>
      </c>
      <c r="Y2376" s="150" t="s">
        <v>1486</v>
      </c>
      <c r="Z2376" s="148" t="s">
        <v>1537</v>
      </c>
    </row>
    <row r="2377" spans="1:26" ht="15.75" hidden="1" customHeight="1" x14ac:dyDescent="0.25">
      <c r="A2377" s="148" t="s">
        <v>76</v>
      </c>
      <c r="B2377" s="148" t="s">
        <v>36</v>
      </c>
      <c r="C2377" s="148" t="s">
        <v>28</v>
      </c>
      <c r="D2377" s="148" t="s">
        <v>342</v>
      </c>
      <c r="E2377" s="148" t="s">
        <v>30</v>
      </c>
      <c r="F2377" s="148" t="s">
        <v>3183</v>
      </c>
      <c r="G2377" s="148" t="s">
        <v>114</v>
      </c>
      <c r="H2377" s="148">
        <v>2016</v>
      </c>
      <c r="I2377" s="148">
        <v>9</v>
      </c>
      <c r="J2377" s="148" t="s">
        <v>118</v>
      </c>
      <c r="K2377" s="148" t="s">
        <v>768</v>
      </c>
      <c r="M2377" s="148" t="s">
        <v>1318</v>
      </c>
      <c r="N2377" s="148">
        <v>6</v>
      </c>
      <c r="O2377" s="148" t="s">
        <v>101</v>
      </c>
      <c r="P2377" s="148" t="s">
        <v>512</v>
      </c>
    </row>
    <row r="2378" spans="1:26" ht="15.75" hidden="1" customHeight="1" x14ac:dyDescent="0.25">
      <c r="A2378" s="148" t="s">
        <v>76</v>
      </c>
      <c r="B2378" s="148" t="s">
        <v>27</v>
      </c>
      <c r="C2378" s="148" t="s">
        <v>55</v>
      </c>
      <c r="D2378" s="148" t="s">
        <v>99</v>
      </c>
      <c r="E2378" s="148" t="s">
        <v>40</v>
      </c>
      <c r="F2378" s="148" t="s">
        <v>41</v>
      </c>
      <c r="G2378" s="148" t="s">
        <v>604</v>
      </c>
      <c r="H2378" s="148">
        <v>2016</v>
      </c>
      <c r="I2378" s="148">
        <v>10</v>
      </c>
      <c r="J2378" s="148" t="s">
        <v>118</v>
      </c>
      <c r="K2378" s="148" t="s">
        <v>874</v>
      </c>
      <c r="M2378" s="148" t="s">
        <v>1318</v>
      </c>
      <c r="N2378" s="148">
        <v>6</v>
      </c>
      <c r="O2378" s="148" t="s">
        <v>101</v>
      </c>
      <c r="P2378" s="148" t="s">
        <v>512</v>
      </c>
    </row>
    <row r="2379" spans="1:26" ht="15.75" hidden="1" customHeight="1" x14ac:dyDescent="0.25">
      <c r="A2379" s="148" t="s">
        <v>76</v>
      </c>
      <c r="B2379" s="148" t="s">
        <v>103</v>
      </c>
      <c r="C2379" s="148" t="s">
        <v>55</v>
      </c>
      <c r="D2379" s="148" t="s">
        <v>478</v>
      </c>
      <c r="E2379" s="148" t="s">
        <v>30</v>
      </c>
      <c r="F2379" s="148" t="s">
        <v>56</v>
      </c>
      <c r="G2379" s="148" t="s">
        <v>171</v>
      </c>
      <c r="H2379" s="148">
        <v>2016</v>
      </c>
      <c r="I2379" s="148">
        <v>10</v>
      </c>
      <c r="J2379" s="148" t="s">
        <v>118</v>
      </c>
      <c r="K2379" s="148" t="s">
        <v>851</v>
      </c>
      <c r="M2379" s="148" t="s">
        <v>1441</v>
      </c>
      <c r="N2379" s="148">
        <v>8</v>
      </c>
      <c r="O2379" s="148" t="s">
        <v>101</v>
      </c>
      <c r="P2379" s="148" t="s">
        <v>936</v>
      </c>
    </row>
    <row r="2380" spans="1:26" ht="15.75" hidden="1" customHeight="1" x14ac:dyDescent="0.25">
      <c r="A2380" s="148" t="s">
        <v>76</v>
      </c>
      <c r="B2380" s="148" t="s">
        <v>36</v>
      </c>
      <c r="C2380" s="148" t="s">
        <v>28</v>
      </c>
      <c r="D2380" s="148" t="s">
        <v>29</v>
      </c>
      <c r="E2380" s="148" t="s">
        <v>30</v>
      </c>
      <c r="F2380" s="148" t="s">
        <v>3183</v>
      </c>
      <c r="G2380" s="148" t="s">
        <v>211</v>
      </c>
      <c r="H2380" s="148">
        <v>2016</v>
      </c>
      <c r="I2380" s="148">
        <v>10</v>
      </c>
      <c r="J2380" s="148" t="s">
        <v>118</v>
      </c>
      <c r="K2380" s="148" t="s">
        <v>579</v>
      </c>
      <c r="M2380" s="148" t="s">
        <v>126</v>
      </c>
      <c r="N2380" s="148">
        <v>10</v>
      </c>
      <c r="O2380" s="148" t="s">
        <v>101</v>
      </c>
      <c r="P2380" s="148" t="s">
        <v>512</v>
      </c>
    </row>
    <row r="2381" spans="1:26" ht="15.75" hidden="1" customHeight="1" x14ac:dyDescent="0.25">
      <c r="A2381" s="148" t="s">
        <v>76</v>
      </c>
      <c r="B2381" s="148" t="s">
        <v>36</v>
      </c>
      <c r="C2381" s="148" t="s">
        <v>28</v>
      </c>
      <c r="D2381" s="148" t="s">
        <v>342</v>
      </c>
      <c r="E2381" s="148" t="s">
        <v>30</v>
      </c>
      <c r="F2381" s="148" t="s">
        <v>3183</v>
      </c>
      <c r="G2381" s="148" t="s">
        <v>438</v>
      </c>
      <c r="H2381" s="148">
        <v>2016</v>
      </c>
      <c r="I2381" s="148">
        <v>10</v>
      </c>
      <c r="J2381" s="148" t="s">
        <v>118</v>
      </c>
      <c r="K2381" s="148" t="s">
        <v>502</v>
      </c>
      <c r="M2381" s="148" t="s">
        <v>126</v>
      </c>
      <c r="N2381" s="148">
        <v>10</v>
      </c>
      <c r="O2381" s="148" t="s">
        <v>101</v>
      </c>
      <c r="P2381" s="148" t="s">
        <v>146</v>
      </c>
    </row>
    <row r="2382" spans="1:26" ht="15.75" hidden="1" customHeight="1" x14ac:dyDescent="0.25">
      <c r="A2382" s="148" t="s">
        <v>26</v>
      </c>
      <c r="B2382" s="148" t="s">
        <v>36</v>
      </c>
      <c r="C2382" s="148" t="s">
        <v>28</v>
      </c>
      <c r="D2382" s="148" t="s">
        <v>342</v>
      </c>
      <c r="E2382" s="148" t="s">
        <v>30</v>
      </c>
      <c r="F2382" s="148" t="s">
        <v>3183</v>
      </c>
      <c r="G2382" s="148" t="s">
        <v>438</v>
      </c>
      <c r="H2382" s="148">
        <v>2016</v>
      </c>
      <c r="I2382" s="148">
        <v>10</v>
      </c>
      <c r="J2382" s="148" t="s">
        <v>33</v>
      </c>
      <c r="U2382" s="149" t="s">
        <v>3629</v>
      </c>
      <c r="V2382" s="148" t="s">
        <v>1489</v>
      </c>
      <c r="W2382" s="148" t="s">
        <v>34</v>
      </c>
      <c r="X2382" s="148" t="s">
        <v>1490</v>
      </c>
    </row>
    <row r="2383" spans="1:26" ht="15.75" hidden="1" customHeight="1" x14ac:dyDescent="0.25">
      <c r="A2383" s="148" t="s">
        <v>76</v>
      </c>
      <c r="B2383" s="148" t="s">
        <v>103</v>
      </c>
      <c r="C2383" s="148" t="s">
        <v>55</v>
      </c>
      <c r="D2383" s="148" t="s">
        <v>99</v>
      </c>
      <c r="E2383" s="148" t="s">
        <v>95</v>
      </c>
      <c r="F2383" s="148" t="s">
        <v>56</v>
      </c>
      <c r="G2383" s="148" t="s">
        <v>265</v>
      </c>
      <c r="H2383" s="148">
        <v>2016</v>
      </c>
      <c r="I2383" s="148">
        <v>10</v>
      </c>
      <c r="J2383" s="148" t="s">
        <v>118</v>
      </c>
      <c r="K2383" s="148" t="s">
        <v>874</v>
      </c>
      <c r="M2383" s="148" t="s">
        <v>1318</v>
      </c>
      <c r="N2383" s="148">
        <v>6</v>
      </c>
      <c r="O2383" s="148" t="s">
        <v>101</v>
      </c>
      <c r="P2383" s="148" t="s">
        <v>556</v>
      </c>
    </row>
    <row r="2384" spans="1:26" ht="15.75" hidden="1" customHeight="1" x14ac:dyDescent="0.25">
      <c r="A2384" s="148" t="s">
        <v>76</v>
      </c>
      <c r="B2384" s="148" t="s">
        <v>116</v>
      </c>
      <c r="C2384" s="148" t="s">
        <v>90</v>
      </c>
      <c r="D2384" s="148" t="s">
        <v>478</v>
      </c>
      <c r="E2384" s="148" t="s">
        <v>40</v>
      </c>
      <c r="F2384" s="148" t="s">
        <v>41</v>
      </c>
      <c r="G2384" s="148" t="s">
        <v>117</v>
      </c>
      <c r="H2384" s="148">
        <v>2016</v>
      </c>
      <c r="I2384" s="148">
        <v>10</v>
      </c>
      <c r="J2384" s="148" t="s">
        <v>118</v>
      </c>
      <c r="K2384" s="148" t="s">
        <v>874</v>
      </c>
      <c r="M2384" s="148" t="s">
        <v>1318</v>
      </c>
      <c r="N2384" s="148">
        <v>6</v>
      </c>
      <c r="O2384" s="148" t="s">
        <v>101</v>
      </c>
      <c r="P2384" s="148" t="s">
        <v>512</v>
      </c>
    </row>
    <row r="2385" spans="1:25" ht="15.75" hidden="1" customHeight="1" x14ac:dyDescent="0.25">
      <c r="A2385" s="148" t="s">
        <v>307</v>
      </c>
      <c r="B2385" s="148" t="s">
        <v>103</v>
      </c>
      <c r="C2385" s="148" t="s">
        <v>55</v>
      </c>
      <c r="D2385" s="148" t="s">
        <v>478</v>
      </c>
      <c r="E2385" s="148" t="s">
        <v>95</v>
      </c>
      <c r="F2385" s="148" t="s">
        <v>56</v>
      </c>
      <c r="G2385" s="148" t="s">
        <v>104</v>
      </c>
      <c r="H2385" s="148">
        <v>2016</v>
      </c>
      <c r="I2385" s="148">
        <v>10</v>
      </c>
      <c r="J2385" s="148" t="s">
        <v>308</v>
      </c>
      <c r="Q2385" s="148" t="s">
        <v>426</v>
      </c>
      <c r="R2385" s="148" t="s">
        <v>1538</v>
      </c>
      <c r="S2385" s="148" t="s">
        <v>311</v>
      </c>
      <c r="T2385" s="148" t="s">
        <v>801</v>
      </c>
    </row>
    <row r="2386" spans="1:25" ht="15.75" hidden="1" customHeight="1" x14ac:dyDescent="0.25">
      <c r="A2386" s="148" t="s">
        <v>307</v>
      </c>
      <c r="B2386" s="148" t="s">
        <v>27</v>
      </c>
      <c r="C2386" s="148" t="s">
        <v>28</v>
      </c>
      <c r="D2386" s="148" t="s">
        <v>566</v>
      </c>
      <c r="E2386" s="148" t="s">
        <v>30</v>
      </c>
      <c r="F2386" s="148" t="s">
        <v>3183</v>
      </c>
      <c r="G2386" s="148" t="s">
        <v>53</v>
      </c>
      <c r="H2386" s="148">
        <v>2016</v>
      </c>
      <c r="I2386" s="148">
        <v>10</v>
      </c>
      <c r="J2386" s="148" t="s">
        <v>308</v>
      </c>
      <c r="Q2386" s="148" t="s">
        <v>426</v>
      </c>
      <c r="R2386" s="148" t="s">
        <v>30</v>
      </c>
      <c r="S2386" s="148" t="s">
        <v>311</v>
      </c>
      <c r="T2386" s="148" t="s">
        <v>801</v>
      </c>
    </row>
    <row r="2387" spans="1:25" ht="15.75" hidden="1" customHeight="1" x14ac:dyDescent="0.25">
      <c r="A2387" s="148" t="s">
        <v>26</v>
      </c>
      <c r="B2387" s="148" t="s">
        <v>36</v>
      </c>
      <c r="C2387" s="148" t="s">
        <v>28</v>
      </c>
      <c r="D2387" s="148" t="s">
        <v>478</v>
      </c>
      <c r="E2387" s="148" t="s">
        <v>30</v>
      </c>
      <c r="F2387" s="148" t="s">
        <v>3183</v>
      </c>
      <c r="G2387" s="148" t="s">
        <v>59</v>
      </c>
      <c r="H2387" s="148">
        <v>2016</v>
      </c>
      <c r="I2387" s="148">
        <v>10</v>
      </c>
      <c r="J2387" s="148" t="s">
        <v>33</v>
      </c>
      <c r="U2387" s="149" t="s">
        <v>112</v>
      </c>
      <c r="V2387" s="148" t="s">
        <v>3685</v>
      </c>
      <c r="W2387" s="148" t="s">
        <v>49</v>
      </c>
    </row>
    <row r="2388" spans="1:25" ht="13.5" hidden="1" customHeight="1" x14ac:dyDescent="0.25">
      <c r="A2388" s="148" t="s">
        <v>76</v>
      </c>
      <c r="B2388" s="148" t="s">
        <v>116</v>
      </c>
      <c r="C2388" s="148" t="s">
        <v>90</v>
      </c>
      <c r="D2388" s="148" t="s">
        <v>478</v>
      </c>
      <c r="E2388" s="148" t="s">
        <v>30</v>
      </c>
      <c r="F2388" s="148" t="s">
        <v>41</v>
      </c>
      <c r="G2388" s="148" t="s">
        <v>421</v>
      </c>
      <c r="H2388" s="148">
        <v>2016</v>
      </c>
      <c r="I2388" s="148">
        <v>10</v>
      </c>
      <c r="J2388" s="148" t="s">
        <v>118</v>
      </c>
      <c r="K2388" s="148" t="s">
        <v>874</v>
      </c>
      <c r="M2388" s="148" t="s">
        <v>1318</v>
      </c>
      <c r="N2388" s="148">
        <v>6</v>
      </c>
      <c r="O2388" s="148" t="s">
        <v>101</v>
      </c>
      <c r="P2388" s="148" t="s">
        <v>1539</v>
      </c>
    </row>
    <row r="2389" spans="1:25" ht="15.75" hidden="1" customHeight="1" x14ac:dyDescent="0.25">
      <c r="A2389" s="148" t="s">
        <v>76</v>
      </c>
      <c r="B2389" s="148" t="s">
        <v>36</v>
      </c>
      <c r="C2389" s="148" t="s">
        <v>28</v>
      </c>
      <c r="D2389" s="148" t="s">
        <v>478</v>
      </c>
      <c r="E2389" s="148" t="s">
        <v>30</v>
      </c>
      <c r="F2389" s="148" t="s">
        <v>3183</v>
      </c>
      <c r="G2389" s="148" t="s">
        <v>67</v>
      </c>
      <c r="H2389" s="148">
        <v>2016</v>
      </c>
      <c r="I2389" s="148">
        <v>10</v>
      </c>
      <c r="J2389" s="148" t="s">
        <v>118</v>
      </c>
      <c r="K2389" s="148" t="s">
        <v>851</v>
      </c>
      <c r="M2389" s="148" t="s">
        <v>1441</v>
      </c>
      <c r="N2389" s="148">
        <v>8</v>
      </c>
      <c r="O2389" s="148" t="s">
        <v>101</v>
      </c>
      <c r="P2389" s="148" t="s">
        <v>551</v>
      </c>
    </row>
    <row r="2390" spans="1:25" ht="15.75" hidden="1" customHeight="1" x14ac:dyDescent="0.25">
      <c r="A2390" s="148" t="s">
        <v>26</v>
      </c>
      <c r="B2390" s="148" t="s">
        <v>36</v>
      </c>
      <c r="C2390" s="148" t="s">
        <v>28</v>
      </c>
      <c r="D2390" s="148" t="s">
        <v>478</v>
      </c>
      <c r="E2390" s="148" t="s">
        <v>30</v>
      </c>
      <c r="F2390" s="148" t="s">
        <v>3183</v>
      </c>
      <c r="G2390" s="148" t="s">
        <v>67</v>
      </c>
      <c r="H2390" s="148">
        <v>2016</v>
      </c>
      <c r="I2390" s="148">
        <v>10</v>
      </c>
      <c r="J2390" s="148" t="s">
        <v>33</v>
      </c>
      <c r="U2390" s="149" t="s">
        <v>3629</v>
      </c>
      <c r="V2390" s="148" t="s">
        <v>1489</v>
      </c>
      <c r="W2390" s="148" t="s">
        <v>34</v>
      </c>
      <c r="X2390" s="148" t="s">
        <v>1490</v>
      </c>
    </row>
    <row r="2391" spans="1:25" ht="15.75" hidden="1" customHeight="1" x14ac:dyDescent="0.25">
      <c r="A2391" s="148" t="s">
        <v>76</v>
      </c>
      <c r="B2391" s="148" t="s">
        <v>44</v>
      </c>
      <c r="C2391" s="148" t="s">
        <v>45</v>
      </c>
      <c r="D2391" s="148" t="s">
        <v>478</v>
      </c>
      <c r="E2391" s="148" t="s">
        <v>30</v>
      </c>
      <c r="F2391" s="148" t="s">
        <v>47</v>
      </c>
      <c r="G2391" s="148" t="s">
        <v>377</v>
      </c>
      <c r="H2391" s="148">
        <v>2016</v>
      </c>
      <c r="I2391" s="148">
        <v>10</v>
      </c>
      <c r="J2391" s="148" t="s">
        <v>118</v>
      </c>
      <c r="K2391" s="148" t="s">
        <v>502</v>
      </c>
      <c r="M2391" s="148" t="s">
        <v>126</v>
      </c>
      <c r="N2391" s="148">
        <v>10</v>
      </c>
      <c r="O2391" s="148" t="s">
        <v>101</v>
      </c>
      <c r="P2391" s="148" t="s">
        <v>1540</v>
      </c>
    </row>
    <row r="2392" spans="1:25" ht="15.75" hidden="1" customHeight="1" x14ac:dyDescent="0.25">
      <c r="A2392" s="148" t="s">
        <v>76</v>
      </c>
      <c r="B2392" s="148" t="s">
        <v>62</v>
      </c>
      <c r="C2392" s="148" t="s">
        <v>28</v>
      </c>
      <c r="D2392" s="148" t="s">
        <v>478</v>
      </c>
      <c r="E2392" s="148" t="s">
        <v>30</v>
      </c>
      <c r="F2392" s="148" t="s">
        <v>3183</v>
      </c>
      <c r="G2392" s="148" t="s">
        <v>244</v>
      </c>
      <c r="H2392" s="148">
        <v>2016</v>
      </c>
      <c r="I2392" s="148">
        <v>10</v>
      </c>
      <c r="J2392" s="148" t="s">
        <v>118</v>
      </c>
      <c r="K2392" s="148" t="s">
        <v>579</v>
      </c>
      <c r="M2392" s="148" t="s">
        <v>126</v>
      </c>
      <c r="N2392" s="148">
        <v>10</v>
      </c>
      <c r="O2392" s="148" t="s">
        <v>101</v>
      </c>
      <c r="P2392" s="148" t="s">
        <v>435</v>
      </c>
    </row>
    <row r="2393" spans="1:25" ht="15.75" hidden="1" customHeight="1" x14ac:dyDescent="0.25">
      <c r="A2393" s="148" t="s">
        <v>76</v>
      </c>
      <c r="B2393" s="148" t="s">
        <v>62</v>
      </c>
      <c r="C2393" s="148" t="s">
        <v>28</v>
      </c>
      <c r="D2393" s="148" t="s">
        <v>46</v>
      </c>
      <c r="E2393" s="148" t="s">
        <v>30</v>
      </c>
      <c r="F2393" s="148" t="s">
        <v>3183</v>
      </c>
      <c r="G2393" s="148" t="s">
        <v>46</v>
      </c>
      <c r="H2393" s="148">
        <v>2016</v>
      </c>
      <c r="I2393" s="148">
        <v>10</v>
      </c>
      <c r="J2393" s="148" t="s">
        <v>100</v>
      </c>
      <c r="K2393" s="148" t="s">
        <v>708</v>
      </c>
      <c r="M2393" s="148" t="s">
        <v>82</v>
      </c>
      <c r="N2393" s="148">
        <v>8</v>
      </c>
      <c r="O2393" s="148" t="s">
        <v>101</v>
      </c>
      <c r="P2393" s="148" t="s">
        <v>1541</v>
      </c>
      <c r="Y2393" s="150" t="s">
        <v>1542</v>
      </c>
    </row>
    <row r="2394" spans="1:25" ht="15.75" hidden="1" customHeight="1" x14ac:dyDescent="0.25">
      <c r="A2394" s="148" t="s">
        <v>76</v>
      </c>
      <c r="B2394" s="148" t="s">
        <v>71</v>
      </c>
      <c r="C2394" s="148" t="s">
        <v>45</v>
      </c>
      <c r="D2394" s="148" t="s">
        <v>478</v>
      </c>
      <c r="E2394" s="148" t="s">
        <v>72</v>
      </c>
      <c r="F2394" s="148" t="s">
        <v>3183</v>
      </c>
      <c r="G2394" s="148" t="s">
        <v>75</v>
      </c>
      <c r="H2394" s="148">
        <v>2016</v>
      </c>
      <c r="I2394" s="148">
        <v>10</v>
      </c>
      <c r="J2394" s="148" t="s">
        <v>118</v>
      </c>
      <c r="K2394" s="148" t="s">
        <v>874</v>
      </c>
      <c r="M2394" s="148" t="s">
        <v>1318</v>
      </c>
      <c r="N2394" s="148">
        <v>6</v>
      </c>
      <c r="O2394" s="148" t="s">
        <v>101</v>
      </c>
      <c r="P2394" s="148" t="s">
        <v>146</v>
      </c>
    </row>
    <row r="2395" spans="1:25" ht="15.75" hidden="1" customHeight="1" x14ac:dyDescent="0.25">
      <c r="A2395" s="148" t="s">
        <v>76</v>
      </c>
      <c r="B2395" s="148" t="s">
        <v>27</v>
      </c>
      <c r="C2395" s="148" t="s">
        <v>28</v>
      </c>
      <c r="D2395" s="148" t="s">
        <v>1302</v>
      </c>
      <c r="E2395" s="148" t="s">
        <v>40</v>
      </c>
      <c r="F2395" s="148" t="s">
        <v>41</v>
      </c>
      <c r="G2395" s="148" t="s">
        <v>42</v>
      </c>
      <c r="H2395" s="148">
        <v>2016</v>
      </c>
      <c r="I2395" s="148">
        <v>10</v>
      </c>
      <c r="J2395" s="148" t="s">
        <v>118</v>
      </c>
      <c r="K2395" s="148" t="s">
        <v>851</v>
      </c>
      <c r="M2395" s="148" t="s">
        <v>1441</v>
      </c>
      <c r="N2395" s="148">
        <v>8</v>
      </c>
      <c r="O2395" s="148" t="s">
        <v>101</v>
      </c>
      <c r="P2395" s="148" t="s">
        <v>365</v>
      </c>
    </row>
    <row r="2396" spans="1:25" ht="15.75" hidden="1" customHeight="1" x14ac:dyDescent="0.25">
      <c r="A2396" s="148" t="s">
        <v>307</v>
      </c>
      <c r="B2396" s="148" t="s">
        <v>27</v>
      </c>
      <c r="C2396" s="148" t="s">
        <v>28</v>
      </c>
      <c r="D2396" s="148" t="s">
        <v>1302</v>
      </c>
      <c r="E2396" s="148" t="s">
        <v>40</v>
      </c>
      <c r="F2396" s="148" t="s">
        <v>41</v>
      </c>
      <c r="G2396" s="148" t="s">
        <v>42</v>
      </c>
      <c r="H2396" s="148">
        <v>2016</v>
      </c>
      <c r="I2396" s="148">
        <v>10</v>
      </c>
      <c r="J2396" s="148" t="s">
        <v>399</v>
      </c>
      <c r="Q2396" s="148" t="s">
        <v>1229</v>
      </c>
      <c r="R2396" s="148" t="s">
        <v>1543</v>
      </c>
      <c r="S2396" s="148" t="s">
        <v>311</v>
      </c>
      <c r="T2396" s="148" t="s">
        <v>1544</v>
      </c>
    </row>
    <row r="2397" spans="1:25" ht="13.5" hidden="1" customHeight="1" x14ac:dyDescent="0.25">
      <c r="A2397" s="148" t="s">
        <v>307</v>
      </c>
      <c r="B2397" s="148" t="s">
        <v>27</v>
      </c>
      <c r="C2397" s="148" t="s">
        <v>28</v>
      </c>
      <c r="D2397" s="148" t="s">
        <v>1302</v>
      </c>
      <c r="E2397" s="148" t="s">
        <v>40</v>
      </c>
      <c r="F2397" s="148" t="s">
        <v>41</v>
      </c>
      <c r="G2397" s="148" t="s">
        <v>42</v>
      </c>
      <c r="H2397" s="148">
        <v>2016</v>
      </c>
      <c r="I2397" s="148">
        <v>10</v>
      </c>
      <c r="J2397" s="148" t="s">
        <v>308</v>
      </c>
      <c r="Q2397" s="148" t="s">
        <v>309</v>
      </c>
      <c r="R2397" s="148" t="s">
        <v>1545</v>
      </c>
      <c r="S2397" s="148" t="s">
        <v>311</v>
      </c>
      <c r="T2397" s="148" t="s">
        <v>1546</v>
      </c>
    </row>
    <row r="2398" spans="1:25" ht="13.5" hidden="1" customHeight="1" x14ac:dyDescent="0.25">
      <c r="A2398" s="148" t="s">
        <v>76</v>
      </c>
      <c r="B2398" s="148" t="s">
        <v>36</v>
      </c>
      <c r="C2398" s="148" t="s">
        <v>45</v>
      </c>
      <c r="D2398" s="148" t="s">
        <v>99</v>
      </c>
      <c r="E2398" s="148" t="s">
        <v>30</v>
      </c>
      <c r="F2398" s="148" t="s">
        <v>3183</v>
      </c>
      <c r="G2398" s="148" t="s">
        <v>600</v>
      </c>
      <c r="H2398" s="148">
        <v>2016</v>
      </c>
      <c r="I2398" s="148">
        <v>10</v>
      </c>
      <c r="J2398" s="148" t="s">
        <v>118</v>
      </c>
      <c r="K2398" s="148" t="s">
        <v>851</v>
      </c>
      <c r="M2398" s="148" t="s">
        <v>1441</v>
      </c>
      <c r="N2398" s="148">
        <v>8</v>
      </c>
      <c r="O2398" s="148" t="s">
        <v>101</v>
      </c>
      <c r="P2398" s="148" t="s">
        <v>622</v>
      </c>
    </row>
    <row r="2399" spans="1:25" ht="15.75" hidden="1" customHeight="1" x14ac:dyDescent="0.25">
      <c r="A2399" s="148" t="s">
        <v>76</v>
      </c>
      <c r="B2399" s="148" t="s">
        <v>36</v>
      </c>
      <c r="C2399" s="148" t="s">
        <v>28</v>
      </c>
      <c r="D2399" s="148" t="s">
        <v>86</v>
      </c>
      <c r="E2399" s="148" t="s">
        <v>51</v>
      </c>
      <c r="F2399" s="148" t="s">
        <v>3183</v>
      </c>
      <c r="G2399" s="148" t="s">
        <v>69</v>
      </c>
      <c r="H2399" s="148">
        <v>2016</v>
      </c>
      <c r="I2399" s="148">
        <v>10</v>
      </c>
      <c r="J2399" s="148" t="s">
        <v>118</v>
      </c>
      <c r="K2399" s="148" t="s">
        <v>708</v>
      </c>
      <c r="M2399" s="148" t="s">
        <v>82</v>
      </c>
      <c r="N2399" s="148">
        <v>8</v>
      </c>
      <c r="O2399" s="148" t="s">
        <v>101</v>
      </c>
      <c r="P2399" s="148" t="s">
        <v>146</v>
      </c>
    </row>
    <row r="2400" spans="1:25" ht="15.75" hidden="1" customHeight="1" x14ac:dyDescent="0.25">
      <c r="A2400" s="148" t="s">
        <v>307</v>
      </c>
      <c r="B2400" s="148" t="s">
        <v>116</v>
      </c>
      <c r="C2400" s="148" t="s">
        <v>90</v>
      </c>
      <c r="D2400" s="148" t="s">
        <v>478</v>
      </c>
      <c r="E2400" s="148" t="s">
        <v>30</v>
      </c>
      <c r="F2400" s="148" t="s">
        <v>41</v>
      </c>
      <c r="G2400" s="148" t="s">
        <v>756</v>
      </c>
      <c r="H2400" s="148">
        <v>2016</v>
      </c>
      <c r="I2400" s="148">
        <v>10</v>
      </c>
      <c r="J2400" s="148" t="s">
        <v>308</v>
      </c>
      <c r="Q2400" s="148" t="s">
        <v>309</v>
      </c>
      <c r="R2400" s="148" t="s">
        <v>30</v>
      </c>
      <c r="S2400" s="148" t="s">
        <v>311</v>
      </c>
      <c r="T2400" s="148" t="s">
        <v>1547</v>
      </c>
    </row>
    <row r="2401" spans="1:26" ht="15.75" customHeight="1" x14ac:dyDescent="0.25">
      <c r="A2401" s="148" t="s">
        <v>76</v>
      </c>
      <c r="B2401" s="148" t="s">
        <v>36</v>
      </c>
      <c r="C2401" s="148" t="s">
        <v>28</v>
      </c>
      <c r="D2401" s="148" t="s">
        <v>1304</v>
      </c>
      <c r="E2401" s="148" t="s">
        <v>30</v>
      </c>
      <c r="F2401" s="148" t="s">
        <v>3183</v>
      </c>
      <c r="G2401" s="148" t="s">
        <v>194</v>
      </c>
      <c r="H2401" s="148">
        <v>2016</v>
      </c>
      <c r="I2401" s="148">
        <v>10</v>
      </c>
      <c r="J2401" s="148" t="s">
        <v>118</v>
      </c>
      <c r="K2401" s="148" t="s">
        <v>874</v>
      </c>
      <c r="M2401" s="148" t="s">
        <v>1318</v>
      </c>
      <c r="N2401" s="148">
        <v>6</v>
      </c>
      <c r="O2401" s="148" t="s">
        <v>101</v>
      </c>
      <c r="P2401" s="148" t="s">
        <v>1548</v>
      </c>
    </row>
    <row r="2402" spans="1:26" ht="15.75" hidden="1" customHeight="1" x14ac:dyDescent="0.25">
      <c r="A2402" s="148" t="s">
        <v>307</v>
      </c>
      <c r="B2402" s="148" t="s">
        <v>77</v>
      </c>
      <c r="C2402" s="148" t="s">
        <v>55</v>
      </c>
      <c r="D2402" s="148" t="s">
        <v>99</v>
      </c>
      <c r="E2402" s="148" t="s">
        <v>30</v>
      </c>
      <c r="F2402" s="148" t="s">
        <v>41</v>
      </c>
      <c r="G2402" s="148" t="s">
        <v>275</v>
      </c>
      <c r="H2402" s="148">
        <v>2016</v>
      </c>
      <c r="I2402" s="148">
        <v>10</v>
      </c>
      <c r="J2402" s="148" t="s">
        <v>308</v>
      </c>
      <c r="Q2402" s="148" t="s">
        <v>309</v>
      </c>
      <c r="R2402" s="148" t="s">
        <v>1549</v>
      </c>
      <c r="S2402" s="148" t="s">
        <v>311</v>
      </c>
      <c r="T2402" s="148" t="s">
        <v>1547</v>
      </c>
      <c r="Y2402" s="150" t="s">
        <v>1550</v>
      </c>
    </row>
    <row r="2403" spans="1:26" ht="15.75" hidden="1" customHeight="1" x14ac:dyDescent="0.25">
      <c r="A2403" s="148" t="s">
        <v>76</v>
      </c>
      <c r="B2403" s="148" t="s">
        <v>44</v>
      </c>
      <c r="C2403" s="148" t="s">
        <v>45</v>
      </c>
      <c r="D2403" s="148" t="s">
        <v>29</v>
      </c>
      <c r="E2403" s="148" t="s">
        <v>46</v>
      </c>
      <c r="F2403" s="148" t="s">
        <v>47</v>
      </c>
      <c r="G2403" s="148" t="s">
        <v>48</v>
      </c>
      <c r="H2403" s="148">
        <v>2016</v>
      </c>
      <c r="I2403" s="148">
        <v>10</v>
      </c>
      <c r="J2403" s="148" t="s">
        <v>640</v>
      </c>
      <c r="K2403" s="148" t="s">
        <v>874</v>
      </c>
      <c r="M2403" s="148" t="s">
        <v>1318</v>
      </c>
      <c r="N2403" s="148">
        <v>6</v>
      </c>
      <c r="O2403" s="148" t="s">
        <v>101</v>
      </c>
      <c r="P2403" s="148" t="s">
        <v>1551</v>
      </c>
      <c r="Z2403" s="148" t="s">
        <v>1552</v>
      </c>
    </row>
    <row r="2404" spans="1:26" ht="15.75" hidden="1" customHeight="1" x14ac:dyDescent="0.25">
      <c r="A2404" s="148" t="s">
        <v>26</v>
      </c>
      <c r="B2404" s="148" t="s">
        <v>36</v>
      </c>
      <c r="C2404" s="148" t="s">
        <v>28</v>
      </c>
      <c r="D2404" s="148" t="s">
        <v>342</v>
      </c>
      <c r="E2404" s="148" t="s">
        <v>30</v>
      </c>
      <c r="F2404" s="148" t="s">
        <v>3183</v>
      </c>
      <c r="G2404" s="148" t="s">
        <v>114</v>
      </c>
      <c r="H2404" s="148">
        <v>2016</v>
      </c>
      <c r="I2404" s="148">
        <v>10</v>
      </c>
      <c r="J2404" s="148" t="s">
        <v>33</v>
      </c>
      <c r="U2404" s="149" t="s">
        <v>3629</v>
      </c>
      <c r="V2404" s="148" t="s">
        <v>1489</v>
      </c>
      <c r="W2404" s="148" t="s">
        <v>34</v>
      </c>
      <c r="X2404" s="148" t="s">
        <v>1490</v>
      </c>
    </row>
    <row r="2405" spans="1:26" ht="15.75" hidden="1" customHeight="1" x14ac:dyDescent="0.25">
      <c r="A2405" s="148" t="s">
        <v>307</v>
      </c>
      <c r="B2405" s="148" t="s">
        <v>36</v>
      </c>
      <c r="C2405" s="148" t="s">
        <v>28</v>
      </c>
      <c r="D2405" s="148" t="s">
        <v>887</v>
      </c>
      <c r="E2405" s="148" t="s">
        <v>30</v>
      </c>
      <c r="F2405" s="148" t="s">
        <v>3183</v>
      </c>
      <c r="G2405" s="148" t="s">
        <v>888</v>
      </c>
      <c r="H2405" s="148">
        <v>2016</v>
      </c>
      <c r="I2405" s="148">
        <v>11</v>
      </c>
      <c r="J2405" s="148" t="s">
        <v>399</v>
      </c>
      <c r="Q2405" s="148" t="s">
        <v>866</v>
      </c>
      <c r="R2405" s="148" t="s">
        <v>1553</v>
      </c>
      <c r="S2405" s="148" t="s">
        <v>427</v>
      </c>
      <c r="T2405" s="148" t="s">
        <v>1554</v>
      </c>
      <c r="Z2405" s="148" t="s">
        <v>891</v>
      </c>
    </row>
    <row r="2406" spans="1:26" ht="15.75" hidden="1" customHeight="1" x14ac:dyDescent="0.25">
      <c r="A2406" s="148" t="s">
        <v>26</v>
      </c>
      <c r="B2406" s="148" t="s">
        <v>71</v>
      </c>
      <c r="C2406" s="148" t="s">
        <v>45</v>
      </c>
      <c r="D2406" s="148" t="s">
        <v>478</v>
      </c>
      <c r="E2406" s="148" t="s">
        <v>72</v>
      </c>
      <c r="F2406" s="148" t="s">
        <v>3183</v>
      </c>
      <c r="G2406" s="148" t="s">
        <v>73</v>
      </c>
      <c r="H2406" s="148">
        <v>2016</v>
      </c>
      <c r="I2406" s="148">
        <v>11</v>
      </c>
      <c r="J2406" s="148" t="s">
        <v>33</v>
      </c>
      <c r="U2406" s="149" t="s">
        <v>112</v>
      </c>
      <c r="V2406" s="148" t="s">
        <v>3686</v>
      </c>
      <c r="W2406" s="148" t="s">
        <v>49</v>
      </c>
    </row>
    <row r="2407" spans="1:26" ht="15.75" hidden="1" customHeight="1" x14ac:dyDescent="0.25">
      <c r="A2407" s="148" t="s">
        <v>76</v>
      </c>
      <c r="B2407" s="148" t="s">
        <v>27</v>
      </c>
      <c r="C2407" s="148" t="s">
        <v>28</v>
      </c>
      <c r="D2407" s="148" t="s">
        <v>158</v>
      </c>
      <c r="E2407" s="148" t="s">
        <v>30</v>
      </c>
      <c r="F2407" s="148" t="s">
        <v>3183</v>
      </c>
      <c r="G2407" s="148" t="s">
        <v>32</v>
      </c>
      <c r="H2407" s="148">
        <v>2016</v>
      </c>
      <c r="I2407" s="148">
        <v>11</v>
      </c>
      <c r="J2407" s="148" t="s">
        <v>118</v>
      </c>
      <c r="K2407" s="148" t="s">
        <v>579</v>
      </c>
      <c r="M2407" s="148" t="s">
        <v>126</v>
      </c>
      <c r="N2407" s="148">
        <v>10</v>
      </c>
      <c r="O2407" s="148" t="s">
        <v>101</v>
      </c>
      <c r="P2407" s="148" t="s">
        <v>858</v>
      </c>
    </row>
    <row r="2408" spans="1:26" ht="15.75" hidden="1" customHeight="1" x14ac:dyDescent="0.25">
      <c r="A2408" s="148" t="s">
        <v>76</v>
      </c>
      <c r="B2408" s="148" t="s">
        <v>198</v>
      </c>
      <c r="C2408" s="148" t="s">
        <v>45</v>
      </c>
      <c r="D2408" s="148" t="s">
        <v>478</v>
      </c>
      <c r="E2408" s="148" t="s">
        <v>30</v>
      </c>
      <c r="F2408" s="148" t="s">
        <v>199</v>
      </c>
      <c r="G2408" s="148" t="s">
        <v>208</v>
      </c>
      <c r="H2408" s="148">
        <v>2016</v>
      </c>
      <c r="I2408" s="148">
        <v>11</v>
      </c>
      <c r="J2408" s="148" t="s">
        <v>118</v>
      </c>
      <c r="K2408" s="148" t="s">
        <v>874</v>
      </c>
      <c r="M2408" s="148" t="s">
        <v>1318</v>
      </c>
      <c r="N2408" s="148">
        <v>6</v>
      </c>
      <c r="O2408" s="148" t="s">
        <v>101</v>
      </c>
      <c r="P2408" s="148" t="s">
        <v>1555</v>
      </c>
    </row>
    <row r="2409" spans="1:26" ht="15.75" hidden="1" customHeight="1" x14ac:dyDescent="0.25">
      <c r="A2409" s="148" t="s">
        <v>76</v>
      </c>
      <c r="B2409" s="148" t="s">
        <v>116</v>
      </c>
      <c r="C2409" s="148" t="s">
        <v>90</v>
      </c>
      <c r="D2409" s="148" t="s">
        <v>29</v>
      </c>
      <c r="E2409" s="148" t="s">
        <v>30</v>
      </c>
      <c r="F2409" s="148" t="s">
        <v>41</v>
      </c>
      <c r="G2409" s="148" t="s">
        <v>564</v>
      </c>
      <c r="H2409" s="148">
        <v>2016</v>
      </c>
      <c r="I2409" s="148">
        <v>11</v>
      </c>
      <c r="J2409" s="148" t="s">
        <v>150</v>
      </c>
      <c r="K2409" s="148" t="s">
        <v>502</v>
      </c>
      <c r="M2409" s="148" t="s">
        <v>126</v>
      </c>
      <c r="N2409" s="148">
        <v>10</v>
      </c>
      <c r="O2409" s="148" t="s">
        <v>83</v>
      </c>
    </row>
    <row r="2410" spans="1:26" ht="15.75" hidden="1" customHeight="1" x14ac:dyDescent="0.25">
      <c r="A2410" s="148" t="s">
        <v>76</v>
      </c>
      <c r="B2410" s="148" t="s">
        <v>89</v>
      </c>
      <c r="C2410" s="148" t="s">
        <v>90</v>
      </c>
      <c r="D2410" s="148" t="s">
        <v>158</v>
      </c>
      <c r="E2410" s="148" t="s">
        <v>30</v>
      </c>
      <c r="F2410" s="148" t="s">
        <v>91</v>
      </c>
      <c r="G2410" s="148" t="s">
        <v>443</v>
      </c>
      <c r="H2410" s="148">
        <v>2016</v>
      </c>
      <c r="I2410" s="148">
        <v>11</v>
      </c>
      <c r="J2410" s="148" t="s">
        <v>150</v>
      </c>
      <c r="K2410" s="148" t="s">
        <v>502</v>
      </c>
      <c r="M2410" s="148" t="s">
        <v>126</v>
      </c>
      <c r="N2410" s="148">
        <v>10</v>
      </c>
      <c r="O2410" s="148" t="s">
        <v>83</v>
      </c>
      <c r="P2410" s="148" t="s">
        <v>146</v>
      </c>
    </row>
    <row r="2411" spans="1:26" ht="15.75" hidden="1" customHeight="1" x14ac:dyDescent="0.25">
      <c r="A2411" s="148" t="s">
        <v>76</v>
      </c>
      <c r="B2411" s="148" t="s">
        <v>27</v>
      </c>
      <c r="C2411" s="148" t="s">
        <v>28</v>
      </c>
      <c r="D2411" s="148" t="s">
        <v>566</v>
      </c>
      <c r="E2411" s="148" t="s">
        <v>30</v>
      </c>
      <c r="F2411" s="148" t="s">
        <v>3183</v>
      </c>
      <c r="G2411" s="148" t="s">
        <v>53</v>
      </c>
      <c r="H2411" s="148">
        <v>2016</v>
      </c>
      <c r="I2411" s="148">
        <v>11</v>
      </c>
      <c r="J2411" s="148" t="s">
        <v>118</v>
      </c>
      <c r="K2411" s="148" t="s">
        <v>579</v>
      </c>
      <c r="M2411" s="148" t="s">
        <v>126</v>
      </c>
      <c r="N2411" s="148">
        <v>10</v>
      </c>
      <c r="O2411" s="148" t="s">
        <v>101</v>
      </c>
      <c r="P2411" s="148" t="s">
        <v>203</v>
      </c>
    </row>
    <row r="2412" spans="1:26" ht="15.75" hidden="1" customHeight="1" x14ac:dyDescent="0.25">
      <c r="A2412" s="148" t="s">
        <v>307</v>
      </c>
      <c r="B2412" s="148" t="s">
        <v>27</v>
      </c>
      <c r="C2412" s="148" t="s">
        <v>28</v>
      </c>
      <c r="D2412" s="148" t="s">
        <v>566</v>
      </c>
      <c r="E2412" s="148" t="s">
        <v>30</v>
      </c>
      <c r="F2412" s="148" t="s">
        <v>3183</v>
      </c>
      <c r="G2412" s="148" t="s">
        <v>53</v>
      </c>
      <c r="H2412" s="148">
        <v>2016</v>
      </c>
      <c r="I2412" s="148">
        <v>11</v>
      </c>
      <c r="J2412" s="148" t="s">
        <v>308</v>
      </c>
      <c r="Q2412" s="148" t="s">
        <v>309</v>
      </c>
      <c r="R2412" s="148" t="s">
        <v>1556</v>
      </c>
      <c r="S2412" s="148" t="s">
        <v>311</v>
      </c>
      <c r="T2412" s="148" t="s">
        <v>1547</v>
      </c>
    </row>
    <row r="2413" spans="1:26" ht="15.75" hidden="1" customHeight="1" x14ac:dyDescent="0.25">
      <c r="A2413" s="148" t="s">
        <v>76</v>
      </c>
      <c r="B2413" s="148" t="s">
        <v>116</v>
      </c>
      <c r="C2413" s="148" t="s">
        <v>90</v>
      </c>
      <c r="D2413" s="148" t="s">
        <v>478</v>
      </c>
      <c r="E2413" s="148" t="s">
        <v>30</v>
      </c>
      <c r="F2413" s="148" t="s">
        <v>41</v>
      </c>
      <c r="G2413" s="148" t="s">
        <v>421</v>
      </c>
      <c r="H2413" s="148">
        <v>2016</v>
      </c>
      <c r="I2413" s="148">
        <v>11</v>
      </c>
      <c r="J2413" s="148" t="s">
        <v>150</v>
      </c>
      <c r="K2413" s="148" t="s">
        <v>708</v>
      </c>
      <c r="M2413" s="148" t="s">
        <v>82</v>
      </c>
      <c r="N2413" s="148">
        <v>8</v>
      </c>
      <c r="O2413" s="148" t="s">
        <v>83</v>
      </c>
      <c r="P2413" s="148" t="s">
        <v>146</v>
      </c>
    </row>
    <row r="2414" spans="1:26" ht="15.75" hidden="1" customHeight="1" x14ac:dyDescent="0.25">
      <c r="A2414" s="148" t="s">
        <v>76</v>
      </c>
      <c r="B2414" s="148" t="s">
        <v>103</v>
      </c>
      <c r="C2414" s="148" t="s">
        <v>55</v>
      </c>
      <c r="D2414" s="148" t="s">
        <v>478</v>
      </c>
      <c r="E2414" s="148" t="s">
        <v>95</v>
      </c>
      <c r="F2414" s="148" t="s">
        <v>56</v>
      </c>
      <c r="G2414" s="148" t="s">
        <v>107</v>
      </c>
      <c r="H2414" s="148">
        <v>2016</v>
      </c>
      <c r="I2414" s="148">
        <v>11</v>
      </c>
      <c r="J2414" s="148" t="s">
        <v>118</v>
      </c>
      <c r="K2414" s="148" t="s">
        <v>1333</v>
      </c>
      <c r="M2414" s="148" t="s">
        <v>1519</v>
      </c>
      <c r="N2414" s="148">
        <v>6</v>
      </c>
      <c r="O2414" s="148" t="s">
        <v>101</v>
      </c>
      <c r="P2414" s="148" t="s">
        <v>365</v>
      </c>
    </row>
    <row r="2415" spans="1:26" ht="15.75" hidden="1" customHeight="1" x14ac:dyDescent="0.25">
      <c r="A2415" s="148" t="s">
        <v>76</v>
      </c>
      <c r="B2415" s="148" t="s">
        <v>116</v>
      </c>
      <c r="C2415" s="148" t="s">
        <v>90</v>
      </c>
      <c r="D2415" s="148" t="s">
        <v>29</v>
      </c>
      <c r="E2415" s="148" t="s">
        <v>30</v>
      </c>
      <c r="F2415" s="148" t="s">
        <v>41</v>
      </c>
      <c r="G2415" s="148" t="s">
        <v>513</v>
      </c>
      <c r="H2415" s="148">
        <v>2016</v>
      </c>
      <c r="I2415" s="148">
        <v>11</v>
      </c>
      <c r="J2415" s="148" t="s">
        <v>150</v>
      </c>
      <c r="K2415" s="148" t="s">
        <v>502</v>
      </c>
      <c r="M2415" s="148" t="s">
        <v>126</v>
      </c>
      <c r="N2415" s="148">
        <v>10</v>
      </c>
      <c r="O2415" s="148" t="s">
        <v>83</v>
      </c>
      <c r="P2415" s="148" t="s">
        <v>540</v>
      </c>
    </row>
    <row r="2416" spans="1:26" ht="15.75" hidden="1" customHeight="1" x14ac:dyDescent="0.25">
      <c r="A2416" s="148" t="s">
        <v>76</v>
      </c>
      <c r="B2416" s="148" t="s">
        <v>36</v>
      </c>
      <c r="C2416" s="148" t="s">
        <v>28</v>
      </c>
      <c r="D2416" s="148" t="s">
        <v>478</v>
      </c>
      <c r="E2416" s="148" t="s">
        <v>30</v>
      </c>
      <c r="F2416" s="148" t="s">
        <v>3183</v>
      </c>
      <c r="G2416" s="148" t="s">
        <v>67</v>
      </c>
      <c r="H2416" s="148">
        <v>2016</v>
      </c>
      <c r="I2416" s="148">
        <v>11</v>
      </c>
      <c r="J2416" s="148" t="s">
        <v>118</v>
      </c>
      <c r="K2416" s="148" t="s">
        <v>708</v>
      </c>
      <c r="M2416" s="148" t="s">
        <v>82</v>
      </c>
      <c r="N2416" s="148">
        <v>8</v>
      </c>
      <c r="O2416" s="148" t="s">
        <v>101</v>
      </c>
      <c r="P2416" s="148" t="s">
        <v>146</v>
      </c>
    </row>
    <row r="2417" spans="1:26" ht="15.75" hidden="1" customHeight="1" x14ac:dyDescent="0.25">
      <c r="A2417" s="148" t="s">
        <v>307</v>
      </c>
      <c r="B2417" s="148" t="s">
        <v>36</v>
      </c>
      <c r="C2417" s="148" t="s">
        <v>28</v>
      </c>
      <c r="D2417" s="148" t="s">
        <v>478</v>
      </c>
      <c r="E2417" s="148" t="s">
        <v>30</v>
      </c>
      <c r="F2417" s="148" t="s">
        <v>3183</v>
      </c>
      <c r="G2417" s="148" t="s">
        <v>67</v>
      </c>
      <c r="H2417" s="148">
        <v>2016</v>
      </c>
      <c r="I2417" s="148">
        <v>11</v>
      </c>
      <c r="J2417" s="148" t="s">
        <v>308</v>
      </c>
      <c r="Q2417" s="148" t="s">
        <v>426</v>
      </c>
      <c r="R2417" s="148" t="s">
        <v>1557</v>
      </c>
      <c r="S2417" s="148" t="s">
        <v>311</v>
      </c>
      <c r="Y2417" s="150" t="s">
        <v>1558</v>
      </c>
    </row>
    <row r="2418" spans="1:26" ht="15.75" hidden="1" customHeight="1" x14ac:dyDescent="0.25">
      <c r="A2418" s="148" t="s">
        <v>76</v>
      </c>
      <c r="B2418" s="148" t="s">
        <v>36</v>
      </c>
      <c r="C2418" s="148" t="s">
        <v>28</v>
      </c>
      <c r="D2418" s="148" t="s">
        <v>342</v>
      </c>
      <c r="E2418" s="148" t="s">
        <v>30</v>
      </c>
      <c r="F2418" s="148" t="s">
        <v>3183</v>
      </c>
      <c r="G2418" s="148" t="s">
        <v>37</v>
      </c>
      <c r="H2418" s="148">
        <v>2016</v>
      </c>
      <c r="I2418" s="148">
        <v>11</v>
      </c>
      <c r="J2418" s="148" t="s">
        <v>118</v>
      </c>
      <c r="K2418" s="148" t="s">
        <v>579</v>
      </c>
      <c r="M2418" s="148" t="s">
        <v>126</v>
      </c>
      <c r="N2418" s="148">
        <v>10</v>
      </c>
      <c r="O2418" s="148" t="s">
        <v>101</v>
      </c>
      <c r="P2418" s="148" t="s">
        <v>535</v>
      </c>
    </row>
    <row r="2419" spans="1:26" ht="13.5" hidden="1" customHeight="1" x14ac:dyDescent="0.25">
      <c r="A2419" s="148" t="s">
        <v>76</v>
      </c>
      <c r="B2419" s="148" t="s">
        <v>71</v>
      </c>
      <c r="C2419" s="148" t="s">
        <v>45</v>
      </c>
      <c r="D2419" s="148" t="s">
        <v>478</v>
      </c>
      <c r="E2419" s="148" t="s">
        <v>72</v>
      </c>
      <c r="F2419" s="148" t="s">
        <v>3183</v>
      </c>
      <c r="G2419" s="148" t="s">
        <v>75</v>
      </c>
      <c r="H2419" s="148">
        <v>2016</v>
      </c>
      <c r="I2419" s="148">
        <v>11</v>
      </c>
      <c r="J2419" s="148" t="s">
        <v>118</v>
      </c>
      <c r="K2419" s="148" t="s">
        <v>629</v>
      </c>
      <c r="M2419" s="148" t="s">
        <v>554</v>
      </c>
      <c r="N2419" s="148">
        <v>8</v>
      </c>
      <c r="O2419" s="148" t="s">
        <v>101</v>
      </c>
      <c r="P2419" s="148" t="s">
        <v>537</v>
      </c>
    </row>
    <row r="2420" spans="1:26" ht="15.75" hidden="1" customHeight="1" x14ac:dyDescent="0.25">
      <c r="A2420" s="148" t="s">
        <v>26</v>
      </c>
      <c r="B2420" s="148" t="s">
        <v>71</v>
      </c>
      <c r="C2420" s="148" t="s">
        <v>45</v>
      </c>
      <c r="D2420" s="148" t="s">
        <v>478</v>
      </c>
      <c r="E2420" s="148" t="s">
        <v>72</v>
      </c>
      <c r="F2420" s="148" t="s">
        <v>3183</v>
      </c>
      <c r="G2420" s="148" t="s">
        <v>75</v>
      </c>
      <c r="H2420" s="148">
        <v>2016</v>
      </c>
      <c r="I2420" s="148">
        <v>11</v>
      </c>
      <c r="J2420" s="148" t="s">
        <v>33</v>
      </c>
      <c r="U2420" s="149" t="s">
        <v>112</v>
      </c>
      <c r="V2420" s="148" t="s">
        <v>3687</v>
      </c>
      <c r="W2420" s="148" t="s">
        <v>49</v>
      </c>
      <c r="X2420" s="148" t="s">
        <v>1559</v>
      </c>
    </row>
    <row r="2421" spans="1:26" ht="15.75" hidden="1" customHeight="1" x14ac:dyDescent="0.25">
      <c r="A2421" s="148" t="s">
        <v>76</v>
      </c>
      <c r="B2421" s="148" t="s">
        <v>27</v>
      </c>
      <c r="C2421" s="148" t="s">
        <v>28</v>
      </c>
      <c r="D2421" s="148" t="s">
        <v>1302</v>
      </c>
      <c r="E2421" s="148" t="s">
        <v>40</v>
      </c>
      <c r="F2421" s="148" t="s">
        <v>41</v>
      </c>
      <c r="G2421" s="148" t="s">
        <v>42</v>
      </c>
      <c r="H2421" s="148">
        <v>2016</v>
      </c>
      <c r="I2421" s="148">
        <v>11</v>
      </c>
      <c r="J2421" s="148" t="s">
        <v>118</v>
      </c>
      <c r="K2421" s="148" t="s">
        <v>708</v>
      </c>
      <c r="M2421" s="148" t="s">
        <v>82</v>
      </c>
      <c r="N2421" s="148">
        <v>8</v>
      </c>
      <c r="O2421" s="148" t="s">
        <v>101</v>
      </c>
      <c r="P2421" s="148" t="s">
        <v>263</v>
      </c>
    </row>
    <row r="2422" spans="1:26" ht="15.75" hidden="1" customHeight="1" x14ac:dyDescent="0.25">
      <c r="A2422" s="148" t="s">
        <v>26</v>
      </c>
      <c r="B2422" s="148" t="s">
        <v>27</v>
      </c>
      <c r="C2422" s="148" t="s">
        <v>28</v>
      </c>
      <c r="D2422" s="148" t="s">
        <v>1302</v>
      </c>
      <c r="E2422" s="148" t="s">
        <v>40</v>
      </c>
      <c r="F2422" s="148" t="s">
        <v>41</v>
      </c>
      <c r="G2422" s="148" t="s">
        <v>42</v>
      </c>
      <c r="H2422" s="148">
        <v>2016</v>
      </c>
      <c r="I2422" s="148">
        <v>11</v>
      </c>
      <c r="J2422" s="148" t="s">
        <v>817</v>
      </c>
      <c r="U2422" s="149" t="s">
        <v>3629</v>
      </c>
      <c r="V2422" s="148" t="s">
        <v>1528</v>
      </c>
      <c r="W2422" s="148" t="s">
        <v>49</v>
      </c>
      <c r="X2422" s="148" t="s">
        <v>1529</v>
      </c>
    </row>
    <row r="2423" spans="1:26" ht="15.75" hidden="1" customHeight="1" x14ac:dyDescent="0.25">
      <c r="A2423" s="148" t="s">
        <v>307</v>
      </c>
      <c r="B2423" s="148" t="s">
        <v>27</v>
      </c>
      <c r="C2423" s="148" t="s">
        <v>28</v>
      </c>
      <c r="D2423" s="148" t="s">
        <v>1302</v>
      </c>
      <c r="E2423" s="148" t="s">
        <v>40</v>
      </c>
      <c r="F2423" s="148" t="s">
        <v>41</v>
      </c>
      <c r="G2423" s="148" t="s">
        <v>42</v>
      </c>
      <c r="H2423" s="148">
        <v>2016</v>
      </c>
      <c r="I2423" s="148">
        <v>11</v>
      </c>
      <c r="J2423" s="148" t="s">
        <v>308</v>
      </c>
      <c r="Q2423" s="148" t="s">
        <v>818</v>
      </c>
      <c r="R2423" s="148" t="s">
        <v>30</v>
      </c>
      <c r="S2423" s="148" t="s">
        <v>427</v>
      </c>
      <c r="T2423" s="148" t="s">
        <v>1560</v>
      </c>
    </row>
    <row r="2424" spans="1:26" ht="15.75" hidden="1" customHeight="1" x14ac:dyDescent="0.25">
      <c r="A2424" s="148" t="s">
        <v>76</v>
      </c>
      <c r="B2424" s="148" t="s">
        <v>116</v>
      </c>
      <c r="C2424" s="148" t="s">
        <v>90</v>
      </c>
      <c r="D2424" s="148" t="s">
        <v>99</v>
      </c>
      <c r="E2424" s="148" t="s">
        <v>30</v>
      </c>
      <c r="F2424" s="148" t="s">
        <v>41</v>
      </c>
      <c r="G2424" s="148" t="s">
        <v>653</v>
      </c>
      <c r="H2424" s="148">
        <v>2016</v>
      </c>
      <c r="I2424" s="148">
        <v>11</v>
      </c>
      <c r="J2424" s="148" t="s">
        <v>118</v>
      </c>
      <c r="K2424" s="148" t="s">
        <v>708</v>
      </c>
      <c r="M2424" s="148" t="s">
        <v>82</v>
      </c>
      <c r="N2424" s="148">
        <v>8</v>
      </c>
      <c r="O2424" s="148" t="s">
        <v>101</v>
      </c>
      <c r="P2424" s="148" t="s">
        <v>146</v>
      </c>
    </row>
    <row r="2425" spans="1:26" ht="15.75" hidden="1" customHeight="1" x14ac:dyDescent="0.25">
      <c r="A2425" s="148" t="s">
        <v>76</v>
      </c>
      <c r="B2425" s="148" t="s">
        <v>54</v>
      </c>
      <c r="C2425" s="148" t="s">
        <v>55</v>
      </c>
      <c r="D2425" s="148" t="s">
        <v>1082</v>
      </c>
      <c r="E2425" s="148" t="s">
        <v>30</v>
      </c>
      <c r="F2425" s="148" t="s">
        <v>56</v>
      </c>
      <c r="G2425" s="148" t="s">
        <v>54</v>
      </c>
      <c r="H2425" s="148">
        <v>2016</v>
      </c>
      <c r="I2425" s="148">
        <v>11</v>
      </c>
      <c r="J2425" s="148" t="s">
        <v>118</v>
      </c>
      <c r="K2425" s="148" t="s">
        <v>579</v>
      </c>
      <c r="M2425" s="148" t="s">
        <v>126</v>
      </c>
      <c r="N2425" s="148">
        <v>10</v>
      </c>
      <c r="O2425" s="148" t="s">
        <v>101</v>
      </c>
      <c r="P2425" s="148" t="s">
        <v>146</v>
      </c>
    </row>
    <row r="2426" spans="1:26" ht="15.75" hidden="1" customHeight="1" x14ac:dyDescent="0.25">
      <c r="A2426" s="148" t="s">
        <v>307</v>
      </c>
      <c r="B2426" s="148" t="s">
        <v>77</v>
      </c>
      <c r="C2426" s="148" t="s">
        <v>55</v>
      </c>
      <c r="D2426" s="148" t="s">
        <v>78</v>
      </c>
      <c r="E2426" s="148" t="s">
        <v>30</v>
      </c>
      <c r="F2426" s="148" t="s">
        <v>41</v>
      </c>
      <c r="G2426" s="148" t="s">
        <v>79</v>
      </c>
      <c r="H2426" s="148">
        <v>2016</v>
      </c>
      <c r="I2426" s="148">
        <v>11</v>
      </c>
      <c r="J2426" s="148" t="s">
        <v>399</v>
      </c>
      <c r="Q2426" s="148" t="s">
        <v>594</v>
      </c>
      <c r="R2426" s="148" t="s">
        <v>30</v>
      </c>
      <c r="S2426" s="148" t="s">
        <v>311</v>
      </c>
      <c r="T2426" s="148" t="s">
        <v>1561</v>
      </c>
    </row>
    <row r="2427" spans="1:26" ht="15.75" hidden="1" customHeight="1" x14ac:dyDescent="0.25">
      <c r="A2427" s="148" t="s">
        <v>76</v>
      </c>
      <c r="B2427" s="148" t="s">
        <v>89</v>
      </c>
      <c r="C2427" s="148" t="s">
        <v>90</v>
      </c>
      <c r="D2427" s="148" t="s">
        <v>29</v>
      </c>
      <c r="E2427" s="148" t="s">
        <v>30</v>
      </c>
      <c r="F2427" s="148" t="s">
        <v>91</v>
      </c>
      <c r="G2427" s="148" t="s">
        <v>743</v>
      </c>
      <c r="H2427" s="148">
        <v>2016</v>
      </c>
      <c r="I2427" s="148">
        <v>11</v>
      </c>
      <c r="J2427" s="148" t="s">
        <v>118</v>
      </c>
      <c r="K2427" s="148" t="s">
        <v>1096</v>
      </c>
      <c r="M2427" s="148" t="s">
        <v>1318</v>
      </c>
      <c r="N2427" s="148">
        <v>6</v>
      </c>
      <c r="O2427" s="148" t="s">
        <v>101</v>
      </c>
      <c r="P2427" s="148" t="s">
        <v>154</v>
      </c>
    </row>
    <row r="2428" spans="1:26" ht="15.75" hidden="1" customHeight="1" x14ac:dyDescent="0.25">
      <c r="A2428" s="148" t="s">
        <v>76</v>
      </c>
      <c r="B2428" s="148" t="s">
        <v>89</v>
      </c>
      <c r="C2428" s="148" t="s">
        <v>90</v>
      </c>
      <c r="D2428" s="148" t="s">
        <v>158</v>
      </c>
      <c r="E2428" s="148" t="s">
        <v>30</v>
      </c>
      <c r="F2428" s="148" t="s">
        <v>91</v>
      </c>
      <c r="G2428" s="148" t="s">
        <v>93</v>
      </c>
      <c r="H2428" s="148">
        <v>2016</v>
      </c>
      <c r="I2428" s="148">
        <v>11</v>
      </c>
      <c r="J2428" s="148" t="s">
        <v>150</v>
      </c>
      <c r="K2428" s="148" t="s">
        <v>502</v>
      </c>
      <c r="M2428" s="148" t="s">
        <v>126</v>
      </c>
      <c r="N2428" s="148">
        <v>10</v>
      </c>
      <c r="O2428" s="148" t="s">
        <v>83</v>
      </c>
      <c r="P2428" s="148" t="s">
        <v>146</v>
      </c>
    </row>
    <row r="2429" spans="1:26" ht="15.75" hidden="1" customHeight="1" x14ac:dyDescent="0.25">
      <c r="A2429" s="148" t="s">
        <v>76</v>
      </c>
      <c r="B2429" s="148" t="s">
        <v>44</v>
      </c>
      <c r="C2429" s="148" t="s">
        <v>45</v>
      </c>
      <c r="D2429" s="148" t="s">
        <v>29</v>
      </c>
      <c r="E2429" s="148" t="s">
        <v>46</v>
      </c>
      <c r="F2429" s="148" t="s">
        <v>47</v>
      </c>
      <c r="G2429" s="148" t="s">
        <v>48</v>
      </c>
      <c r="H2429" s="148">
        <v>2016</v>
      </c>
      <c r="I2429" s="148">
        <v>11</v>
      </c>
      <c r="J2429" s="148" t="s">
        <v>150</v>
      </c>
      <c r="K2429" s="148" t="s">
        <v>1562</v>
      </c>
      <c r="M2429" s="148" t="s">
        <v>1563</v>
      </c>
      <c r="N2429" s="148">
        <v>6</v>
      </c>
      <c r="O2429" s="148" t="s">
        <v>83</v>
      </c>
      <c r="P2429" s="148" t="s">
        <v>1419</v>
      </c>
      <c r="X2429" s="148" t="s">
        <v>1486</v>
      </c>
      <c r="Y2429" s="150" t="s">
        <v>1486</v>
      </c>
      <c r="Z2429" s="148" t="s">
        <v>1564</v>
      </c>
    </row>
    <row r="2430" spans="1:26" ht="15.75" hidden="1" customHeight="1" x14ac:dyDescent="0.25">
      <c r="A2430" s="148" t="s">
        <v>307</v>
      </c>
      <c r="B2430" s="148" t="s">
        <v>44</v>
      </c>
      <c r="C2430" s="148" t="s">
        <v>45</v>
      </c>
      <c r="D2430" s="148" t="s">
        <v>29</v>
      </c>
      <c r="E2430" s="148" t="s">
        <v>46</v>
      </c>
      <c r="F2430" s="148" t="s">
        <v>47</v>
      </c>
      <c r="G2430" s="148" t="s">
        <v>48</v>
      </c>
      <c r="H2430" s="148">
        <v>2016</v>
      </c>
      <c r="I2430" s="148">
        <v>11</v>
      </c>
      <c r="J2430" s="148" t="s">
        <v>308</v>
      </c>
      <c r="Q2430" s="148" t="s">
        <v>426</v>
      </c>
      <c r="R2430" s="148" t="s">
        <v>1565</v>
      </c>
      <c r="S2430" s="148" t="s">
        <v>311</v>
      </c>
      <c r="T2430" s="148" t="s">
        <v>1566</v>
      </c>
    </row>
    <row r="2431" spans="1:26" ht="15.75" hidden="1" customHeight="1" x14ac:dyDescent="0.25">
      <c r="A2431" s="148" t="s">
        <v>76</v>
      </c>
      <c r="B2431" s="148" t="s">
        <v>36</v>
      </c>
      <c r="C2431" s="148" t="s">
        <v>28</v>
      </c>
      <c r="D2431" s="148" t="s">
        <v>342</v>
      </c>
      <c r="E2431" s="148" t="s">
        <v>30</v>
      </c>
      <c r="F2431" s="148" t="s">
        <v>3183</v>
      </c>
      <c r="G2431" s="148" t="s">
        <v>114</v>
      </c>
      <c r="H2431" s="148">
        <v>2016</v>
      </c>
      <c r="I2431" s="148">
        <v>11</v>
      </c>
      <c r="J2431" s="148" t="s">
        <v>118</v>
      </c>
      <c r="K2431" s="148" t="s">
        <v>708</v>
      </c>
      <c r="M2431" s="148" t="s">
        <v>82</v>
      </c>
      <c r="N2431" s="148">
        <v>8</v>
      </c>
      <c r="O2431" s="148" t="s">
        <v>101</v>
      </c>
      <c r="P2431" s="148" t="s">
        <v>512</v>
      </c>
    </row>
    <row r="2432" spans="1:26" ht="15.75" hidden="1" customHeight="1" x14ac:dyDescent="0.25">
      <c r="A2432" s="148" t="s">
        <v>76</v>
      </c>
      <c r="B2432" s="148" t="s">
        <v>116</v>
      </c>
      <c r="C2432" s="148" t="s">
        <v>90</v>
      </c>
      <c r="D2432" s="148" t="s">
        <v>29</v>
      </c>
      <c r="E2432" s="148" t="s">
        <v>30</v>
      </c>
      <c r="F2432" s="148" t="s">
        <v>41</v>
      </c>
      <c r="G2432" s="148" t="s">
        <v>564</v>
      </c>
      <c r="H2432" s="148">
        <v>2016</v>
      </c>
      <c r="I2432" s="148">
        <v>12</v>
      </c>
      <c r="J2432" s="148" t="s">
        <v>118</v>
      </c>
      <c r="K2432" s="148" t="s">
        <v>502</v>
      </c>
      <c r="M2432" s="148" t="s">
        <v>126</v>
      </c>
      <c r="N2432" s="148">
        <v>10</v>
      </c>
      <c r="O2432" s="148" t="s">
        <v>101</v>
      </c>
      <c r="P2432" s="148" t="s">
        <v>435</v>
      </c>
    </row>
    <row r="2433" spans="1:27" ht="15.75" hidden="1" customHeight="1" x14ac:dyDescent="0.25">
      <c r="A2433" s="152" t="s">
        <v>26</v>
      </c>
      <c r="B2433" s="152" t="s">
        <v>71</v>
      </c>
      <c r="C2433" s="148" t="s">
        <v>45</v>
      </c>
      <c r="D2433" s="148" t="s">
        <v>99</v>
      </c>
      <c r="E2433" s="148" t="s">
        <v>30</v>
      </c>
      <c r="F2433" s="148" t="s">
        <v>3183</v>
      </c>
      <c r="G2433" s="152" t="s">
        <v>621</v>
      </c>
      <c r="H2433" s="152">
        <v>2016</v>
      </c>
      <c r="I2433" s="152">
        <v>12</v>
      </c>
      <c r="J2433" s="152" t="s">
        <v>33</v>
      </c>
      <c r="K2433" s="152"/>
      <c r="Q2433" s="152"/>
      <c r="R2433" s="152"/>
      <c r="S2433" s="152"/>
      <c r="T2433" s="152"/>
      <c r="U2433" s="158" t="s">
        <v>112</v>
      </c>
      <c r="V2433" s="152" t="s">
        <v>3688</v>
      </c>
      <c r="W2433" s="152" t="s">
        <v>49</v>
      </c>
      <c r="X2433" s="152"/>
      <c r="Y2433" s="154"/>
      <c r="Z2433" s="152" t="s">
        <v>623</v>
      </c>
      <c r="AA2433" s="152"/>
    </row>
    <row r="2434" spans="1:27" ht="15.75" hidden="1" customHeight="1" x14ac:dyDescent="0.25">
      <c r="A2434" s="148" t="s">
        <v>26</v>
      </c>
      <c r="B2434" s="148" t="s">
        <v>71</v>
      </c>
      <c r="C2434" s="148" t="s">
        <v>45</v>
      </c>
      <c r="D2434" s="148" t="s">
        <v>478</v>
      </c>
      <c r="E2434" s="148" t="s">
        <v>72</v>
      </c>
      <c r="F2434" s="148" t="s">
        <v>3183</v>
      </c>
      <c r="G2434" s="148" t="s">
        <v>75</v>
      </c>
      <c r="H2434" s="148">
        <v>2016</v>
      </c>
      <c r="I2434" s="148">
        <v>12</v>
      </c>
      <c r="J2434" s="148" t="s">
        <v>33</v>
      </c>
      <c r="U2434" s="149" t="s">
        <v>112</v>
      </c>
      <c r="V2434" s="148" t="s">
        <v>3688</v>
      </c>
      <c r="W2434" s="148" t="s">
        <v>49</v>
      </c>
    </row>
    <row r="2435" spans="1:27" ht="15.75" hidden="1" customHeight="1" x14ac:dyDescent="0.25">
      <c r="A2435" s="148" t="s">
        <v>76</v>
      </c>
      <c r="B2435" s="148" t="s">
        <v>27</v>
      </c>
      <c r="C2435" s="148" t="s">
        <v>28</v>
      </c>
      <c r="D2435" s="148" t="s">
        <v>1302</v>
      </c>
      <c r="E2435" s="148" t="s">
        <v>40</v>
      </c>
      <c r="F2435" s="148" t="s">
        <v>41</v>
      </c>
      <c r="G2435" s="148" t="s">
        <v>42</v>
      </c>
      <c r="H2435" s="148">
        <v>2016</v>
      </c>
      <c r="I2435" s="148">
        <v>12</v>
      </c>
      <c r="J2435" s="148" t="s">
        <v>150</v>
      </c>
      <c r="K2435" s="148" t="s">
        <v>1562</v>
      </c>
      <c r="M2435" s="148" t="s">
        <v>1563</v>
      </c>
      <c r="N2435" s="148">
        <v>6</v>
      </c>
      <c r="O2435" s="148" t="s">
        <v>83</v>
      </c>
      <c r="P2435" s="148" t="s">
        <v>365</v>
      </c>
      <c r="W2435" s="152"/>
    </row>
    <row r="2436" spans="1:27" ht="15.75" hidden="1" customHeight="1" x14ac:dyDescent="0.25">
      <c r="A2436" s="148" t="s">
        <v>26</v>
      </c>
      <c r="B2436" s="148" t="s">
        <v>44</v>
      </c>
      <c r="C2436" s="148" t="s">
        <v>45</v>
      </c>
      <c r="D2436" s="148" t="s">
        <v>29</v>
      </c>
      <c r="E2436" s="148" t="s">
        <v>46</v>
      </c>
      <c r="F2436" s="148" t="s">
        <v>47</v>
      </c>
      <c r="G2436" s="148" t="s">
        <v>48</v>
      </c>
      <c r="H2436" s="148">
        <v>2016</v>
      </c>
      <c r="I2436" s="148">
        <v>12</v>
      </c>
      <c r="J2436" s="148" t="s">
        <v>33</v>
      </c>
      <c r="Q2436" s="148" t="s">
        <v>543</v>
      </c>
      <c r="R2436" s="148" t="s">
        <v>543</v>
      </c>
      <c r="S2436" s="148" t="s">
        <v>543</v>
      </c>
      <c r="T2436" s="148" t="s">
        <v>543</v>
      </c>
      <c r="U2436" s="149" t="s">
        <v>112</v>
      </c>
      <c r="V2436" s="149" t="s">
        <v>3689</v>
      </c>
      <c r="W2436" s="148" t="s">
        <v>49</v>
      </c>
      <c r="X2436" s="149" t="s">
        <v>3623</v>
      </c>
      <c r="Y2436" s="150" t="s">
        <v>3624</v>
      </c>
    </row>
    <row r="2437" spans="1:27" ht="15.75" hidden="1" customHeight="1" x14ac:dyDescent="0.25">
      <c r="A2437" s="148" t="s">
        <v>26</v>
      </c>
      <c r="B2437" s="148" t="s">
        <v>116</v>
      </c>
      <c r="C2437" s="148" t="s">
        <v>90</v>
      </c>
      <c r="D2437" s="148" t="s">
        <v>99</v>
      </c>
      <c r="E2437" s="148" t="s">
        <v>30</v>
      </c>
      <c r="F2437" s="148" t="s">
        <v>41</v>
      </c>
      <c r="G2437" s="148" t="s">
        <v>653</v>
      </c>
      <c r="H2437" s="148">
        <v>2017</v>
      </c>
      <c r="I2437" s="148">
        <v>1</v>
      </c>
      <c r="J2437" s="148" t="s">
        <v>33</v>
      </c>
      <c r="U2437" s="149" t="s">
        <v>3629</v>
      </c>
      <c r="V2437" s="148" t="s">
        <v>1528</v>
      </c>
      <c r="W2437" s="148" t="s">
        <v>49</v>
      </c>
      <c r="X2437" s="148" t="s">
        <v>1567</v>
      </c>
      <c r="Y2437" s="150" t="s">
        <v>1568</v>
      </c>
    </row>
    <row r="2438" spans="1:27" ht="15.75" hidden="1" customHeight="1" x14ac:dyDescent="0.25">
      <c r="A2438" s="148" t="s">
        <v>307</v>
      </c>
      <c r="B2438" s="148" t="s">
        <v>116</v>
      </c>
      <c r="C2438" s="148" t="s">
        <v>90</v>
      </c>
      <c r="D2438" s="148" t="s">
        <v>99</v>
      </c>
      <c r="E2438" s="148" t="s">
        <v>30</v>
      </c>
      <c r="F2438" s="148" t="s">
        <v>41</v>
      </c>
      <c r="G2438" s="148" t="s">
        <v>503</v>
      </c>
      <c r="H2438" s="148">
        <v>2017</v>
      </c>
      <c r="I2438" s="148">
        <v>1</v>
      </c>
      <c r="J2438" s="148" t="s">
        <v>308</v>
      </c>
      <c r="Q2438" s="148" t="s">
        <v>426</v>
      </c>
      <c r="R2438" s="148" t="s">
        <v>1569</v>
      </c>
      <c r="S2438" s="148" t="s">
        <v>427</v>
      </c>
      <c r="T2438" s="148" t="s">
        <v>1570</v>
      </c>
    </row>
    <row r="2439" spans="1:27" ht="15.75" hidden="1" customHeight="1" x14ac:dyDescent="0.25">
      <c r="A2439" s="148" t="s">
        <v>76</v>
      </c>
      <c r="B2439" s="148" t="s">
        <v>36</v>
      </c>
      <c r="C2439" s="148" t="s">
        <v>28</v>
      </c>
      <c r="D2439" s="148" t="s">
        <v>342</v>
      </c>
      <c r="E2439" s="148" t="s">
        <v>30</v>
      </c>
      <c r="F2439" s="148" t="s">
        <v>3183</v>
      </c>
      <c r="G2439" s="148" t="s">
        <v>114</v>
      </c>
      <c r="H2439" s="148">
        <v>2017</v>
      </c>
      <c r="I2439" s="148">
        <v>1</v>
      </c>
      <c r="J2439" s="148" t="s">
        <v>118</v>
      </c>
      <c r="K2439" s="148" t="s">
        <v>502</v>
      </c>
      <c r="M2439" s="148" t="s">
        <v>126</v>
      </c>
      <c r="N2439" s="148">
        <v>10</v>
      </c>
      <c r="O2439" s="148" t="s">
        <v>101</v>
      </c>
      <c r="P2439" s="148" t="s">
        <v>146</v>
      </c>
    </row>
    <row r="2440" spans="1:27" ht="15.75" hidden="1" customHeight="1" x14ac:dyDescent="0.25">
      <c r="A2440" s="148" t="s">
        <v>76</v>
      </c>
      <c r="B2440" s="148" t="s">
        <v>89</v>
      </c>
      <c r="C2440" s="148" t="s">
        <v>90</v>
      </c>
      <c r="D2440" s="148" t="s">
        <v>158</v>
      </c>
      <c r="E2440" s="148" t="s">
        <v>30</v>
      </c>
      <c r="F2440" s="148" t="s">
        <v>91</v>
      </c>
      <c r="G2440" s="148" t="s">
        <v>443</v>
      </c>
      <c r="H2440" s="148">
        <v>2017</v>
      </c>
      <c r="I2440" s="148">
        <v>2</v>
      </c>
      <c r="J2440" s="148" t="s">
        <v>118</v>
      </c>
      <c r="K2440" s="148" t="s">
        <v>708</v>
      </c>
      <c r="M2440" s="148" t="s">
        <v>82</v>
      </c>
      <c r="N2440" s="148">
        <v>8</v>
      </c>
      <c r="O2440" s="148" t="s">
        <v>101</v>
      </c>
      <c r="P2440" s="148" t="s">
        <v>146</v>
      </c>
      <c r="Y2440" s="150" t="s">
        <v>1571</v>
      </c>
    </row>
    <row r="2441" spans="1:27" ht="15.75" hidden="1" customHeight="1" x14ac:dyDescent="0.25">
      <c r="A2441" s="148" t="s">
        <v>76</v>
      </c>
      <c r="B2441" s="148" t="s">
        <v>116</v>
      </c>
      <c r="C2441" s="148" t="s">
        <v>90</v>
      </c>
      <c r="D2441" s="148" t="s">
        <v>1450</v>
      </c>
      <c r="E2441" s="148" t="s">
        <v>40</v>
      </c>
      <c r="F2441" s="148" t="s">
        <v>41</v>
      </c>
      <c r="G2441" s="148" t="s">
        <v>469</v>
      </c>
      <c r="H2441" s="148">
        <v>2017</v>
      </c>
      <c r="I2441" s="148">
        <v>2</v>
      </c>
      <c r="J2441" s="148" t="s">
        <v>118</v>
      </c>
      <c r="K2441" s="148" t="s">
        <v>692</v>
      </c>
      <c r="M2441" s="148" t="s">
        <v>1451</v>
      </c>
      <c r="N2441" s="148">
        <v>8</v>
      </c>
      <c r="O2441" s="148" t="s">
        <v>101</v>
      </c>
      <c r="P2441" s="148" t="s">
        <v>121</v>
      </c>
      <c r="Y2441" s="150" t="s">
        <v>1572</v>
      </c>
    </row>
    <row r="2442" spans="1:27" ht="15.75" hidden="1" customHeight="1" x14ac:dyDescent="0.25">
      <c r="A2442" s="148" t="s">
        <v>307</v>
      </c>
      <c r="B2442" s="148" t="s">
        <v>116</v>
      </c>
      <c r="C2442" s="148" t="s">
        <v>90</v>
      </c>
      <c r="D2442" s="148" t="s">
        <v>29</v>
      </c>
      <c r="E2442" s="148" t="s">
        <v>40</v>
      </c>
      <c r="F2442" s="148" t="s">
        <v>41</v>
      </c>
      <c r="G2442" s="148" t="s">
        <v>345</v>
      </c>
      <c r="H2442" s="148">
        <v>2017</v>
      </c>
      <c r="I2442" s="148">
        <v>2</v>
      </c>
      <c r="J2442" s="148" t="s">
        <v>308</v>
      </c>
      <c r="Q2442" s="148" t="s">
        <v>426</v>
      </c>
      <c r="R2442" s="148" t="s">
        <v>1087</v>
      </c>
      <c r="S2442" s="148" t="s">
        <v>427</v>
      </c>
      <c r="T2442" s="148" t="s">
        <v>1573</v>
      </c>
    </row>
    <row r="2443" spans="1:27" ht="15.75" hidden="1" customHeight="1" x14ac:dyDescent="0.25">
      <c r="A2443" s="148" t="s">
        <v>26</v>
      </c>
      <c r="B2443" s="148" t="s">
        <v>116</v>
      </c>
      <c r="C2443" s="148" t="s">
        <v>90</v>
      </c>
      <c r="D2443" s="148" t="s">
        <v>29</v>
      </c>
      <c r="E2443" s="148" t="s">
        <v>40</v>
      </c>
      <c r="F2443" s="148" t="s">
        <v>41</v>
      </c>
      <c r="G2443" s="148" t="s">
        <v>345</v>
      </c>
      <c r="H2443" s="148">
        <v>2017</v>
      </c>
      <c r="I2443" s="148">
        <v>2</v>
      </c>
      <c r="J2443" s="148" t="s">
        <v>33</v>
      </c>
      <c r="M2443" s="148" t="s">
        <v>543</v>
      </c>
      <c r="U2443" s="149" t="s">
        <v>3629</v>
      </c>
      <c r="V2443" s="148" t="s">
        <v>1528</v>
      </c>
      <c r="W2443" s="148" t="s">
        <v>49</v>
      </c>
      <c r="X2443" s="148" t="s">
        <v>1567</v>
      </c>
      <c r="Y2443" s="150" t="s">
        <v>1574</v>
      </c>
    </row>
    <row r="2444" spans="1:27" ht="15.75" hidden="1" customHeight="1" x14ac:dyDescent="0.25">
      <c r="A2444" s="148" t="s">
        <v>76</v>
      </c>
      <c r="B2444" s="148" t="s">
        <v>27</v>
      </c>
      <c r="C2444" s="148" t="s">
        <v>28</v>
      </c>
      <c r="D2444" s="148" t="s">
        <v>1452</v>
      </c>
      <c r="E2444" s="148" t="s">
        <v>30</v>
      </c>
      <c r="F2444" s="148" t="s">
        <v>3183</v>
      </c>
      <c r="G2444" s="148" t="s">
        <v>163</v>
      </c>
      <c r="H2444" s="148">
        <v>2017</v>
      </c>
      <c r="I2444" s="148">
        <v>2</v>
      </c>
      <c r="J2444" s="148" t="s">
        <v>150</v>
      </c>
      <c r="K2444" s="148" t="s">
        <v>1575</v>
      </c>
      <c r="M2444" s="148" t="s">
        <v>1576</v>
      </c>
      <c r="N2444" s="148">
        <v>8</v>
      </c>
      <c r="O2444" s="148" t="s">
        <v>83</v>
      </c>
      <c r="P2444" s="148" t="s">
        <v>901</v>
      </c>
      <c r="Y2444" s="150" t="s">
        <v>1577</v>
      </c>
      <c r="Z2444" s="148" t="s">
        <v>166</v>
      </c>
    </row>
    <row r="2445" spans="1:27" ht="15.75" hidden="1" customHeight="1" x14ac:dyDescent="0.25">
      <c r="A2445" s="148" t="s">
        <v>307</v>
      </c>
      <c r="B2445" s="148" t="s">
        <v>27</v>
      </c>
      <c r="C2445" s="148" t="s">
        <v>28</v>
      </c>
      <c r="D2445" s="148" t="s">
        <v>1302</v>
      </c>
      <c r="E2445" s="148" t="s">
        <v>40</v>
      </c>
      <c r="F2445" s="148" t="s">
        <v>41</v>
      </c>
      <c r="G2445" s="148" t="s">
        <v>42</v>
      </c>
      <c r="H2445" s="148">
        <v>2017</v>
      </c>
      <c r="I2445" s="148">
        <v>2</v>
      </c>
      <c r="J2445" s="148" t="s">
        <v>399</v>
      </c>
      <c r="Q2445" s="148" t="s">
        <v>426</v>
      </c>
      <c r="R2445" s="148" t="s">
        <v>1578</v>
      </c>
      <c r="S2445" s="148" t="s">
        <v>427</v>
      </c>
      <c r="T2445" s="148" t="s">
        <v>1570</v>
      </c>
    </row>
    <row r="2446" spans="1:27" ht="16.5" hidden="1" customHeight="1" x14ac:dyDescent="0.25">
      <c r="A2446" s="148" t="s">
        <v>307</v>
      </c>
      <c r="B2446" s="148" t="s">
        <v>36</v>
      </c>
      <c r="C2446" s="148" t="s">
        <v>28</v>
      </c>
      <c r="D2446" s="148" t="s">
        <v>342</v>
      </c>
      <c r="E2446" s="148" t="s">
        <v>51</v>
      </c>
      <c r="F2446" s="148" t="s">
        <v>3183</v>
      </c>
      <c r="G2446" s="148" t="s">
        <v>52</v>
      </c>
      <c r="H2446" s="148">
        <v>2017</v>
      </c>
      <c r="I2446" s="148">
        <v>2</v>
      </c>
      <c r="J2446" s="148" t="s">
        <v>399</v>
      </c>
      <c r="Q2446" s="148" t="s">
        <v>426</v>
      </c>
      <c r="R2446" s="148" t="s">
        <v>1579</v>
      </c>
      <c r="S2446" s="148" t="s">
        <v>311</v>
      </c>
      <c r="T2446" s="148" t="s">
        <v>1580</v>
      </c>
    </row>
    <row r="2447" spans="1:27" ht="15.75" hidden="1" customHeight="1" x14ac:dyDescent="0.25">
      <c r="A2447" s="148" t="s">
        <v>26</v>
      </c>
      <c r="B2447" s="148" t="s">
        <v>116</v>
      </c>
      <c r="C2447" s="148" t="s">
        <v>90</v>
      </c>
      <c r="D2447" s="148" t="s">
        <v>99</v>
      </c>
      <c r="E2447" s="148" t="s">
        <v>30</v>
      </c>
      <c r="F2447" s="148" t="s">
        <v>41</v>
      </c>
      <c r="G2447" s="148" t="s">
        <v>503</v>
      </c>
      <c r="H2447" s="148">
        <v>2017</v>
      </c>
      <c r="I2447" s="148">
        <v>2</v>
      </c>
      <c r="J2447" s="148" t="s">
        <v>33</v>
      </c>
      <c r="U2447" s="149" t="s">
        <v>3629</v>
      </c>
      <c r="V2447" s="148" t="s">
        <v>1528</v>
      </c>
      <c r="W2447" s="148" t="s">
        <v>49</v>
      </c>
      <c r="X2447" s="148" t="s">
        <v>1567</v>
      </c>
      <c r="Y2447" s="150" t="s">
        <v>1581</v>
      </c>
    </row>
    <row r="2448" spans="1:27" ht="13.5" hidden="1" customHeight="1" x14ac:dyDescent="0.25">
      <c r="A2448" s="148" t="s">
        <v>76</v>
      </c>
      <c r="B2448" s="148" t="s">
        <v>198</v>
      </c>
      <c r="C2448" s="148" t="s">
        <v>45</v>
      </c>
      <c r="D2448" s="148" t="s">
        <v>29</v>
      </c>
      <c r="E2448" s="148" t="s">
        <v>30</v>
      </c>
      <c r="F2448" s="148" t="s">
        <v>199</v>
      </c>
      <c r="G2448" s="148" t="s">
        <v>232</v>
      </c>
      <c r="H2448" s="148">
        <v>2017</v>
      </c>
      <c r="I2448" s="148">
        <v>3</v>
      </c>
      <c r="J2448" s="148" t="s">
        <v>118</v>
      </c>
      <c r="K2448" s="148" t="s">
        <v>708</v>
      </c>
      <c r="M2448" s="148" t="s">
        <v>82</v>
      </c>
      <c r="N2448" s="148">
        <v>8</v>
      </c>
      <c r="O2448" s="148" t="s">
        <v>101</v>
      </c>
      <c r="P2448" s="148" t="s">
        <v>1582</v>
      </c>
    </row>
    <row r="2449" spans="1:26" ht="13.5" hidden="1" customHeight="1" x14ac:dyDescent="0.25">
      <c r="A2449" s="148" t="s">
        <v>76</v>
      </c>
      <c r="B2449" s="148" t="s">
        <v>77</v>
      </c>
      <c r="C2449" s="148" t="s">
        <v>55</v>
      </c>
      <c r="D2449" s="148" t="s">
        <v>99</v>
      </c>
      <c r="E2449" s="148" t="s">
        <v>30</v>
      </c>
      <c r="F2449" s="148" t="s">
        <v>41</v>
      </c>
      <c r="G2449" s="148" t="s">
        <v>161</v>
      </c>
      <c r="H2449" s="148">
        <v>2017</v>
      </c>
      <c r="I2449" s="148">
        <v>3</v>
      </c>
      <c r="J2449" s="148" t="s">
        <v>118</v>
      </c>
      <c r="K2449" s="148" t="s">
        <v>708</v>
      </c>
      <c r="M2449" s="148" t="s">
        <v>82</v>
      </c>
      <c r="N2449" s="148">
        <v>8</v>
      </c>
      <c r="O2449" s="148" t="s">
        <v>101</v>
      </c>
      <c r="P2449" s="148" t="s">
        <v>283</v>
      </c>
      <c r="Y2449" s="150" t="s">
        <v>1583</v>
      </c>
    </row>
    <row r="2450" spans="1:26" ht="13.5" hidden="1" customHeight="1" x14ac:dyDescent="0.25">
      <c r="A2450" s="148" t="s">
        <v>76</v>
      </c>
      <c r="B2450" s="148" t="s">
        <v>36</v>
      </c>
      <c r="C2450" s="148" t="s">
        <v>28</v>
      </c>
      <c r="D2450" s="148" t="s">
        <v>478</v>
      </c>
      <c r="E2450" s="148" t="s">
        <v>30</v>
      </c>
      <c r="F2450" s="148" t="s">
        <v>3183</v>
      </c>
      <c r="G2450" s="148" t="s">
        <v>67</v>
      </c>
      <c r="H2450" s="148">
        <v>2017</v>
      </c>
      <c r="I2450" s="148">
        <v>3</v>
      </c>
      <c r="J2450" s="148" t="s">
        <v>150</v>
      </c>
      <c r="K2450" s="148" t="s">
        <v>579</v>
      </c>
      <c r="M2450" s="148" t="s">
        <v>126</v>
      </c>
      <c r="N2450" s="148">
        <v>10</v>
      </c>
      <c r="O2450" s="148" t="s">
        <v>83</v>
      </c>
      <c r="P2450" s="148" t="s">
        <v>146</v>
      </c>
      <c r="Y2450" s="150" t="s">
        <v>1584</v>
      </c>
    </row>
    <row r="2451" spans="1:26" ht="15.75" hidden="1" customHeight="1" x14ac:dyDescent="0.25">
      <c r="A2451" s="148" t="s">
        <v>76</v>
      </c>
      <c r="B2451" s="148" t="s">
        <v>27</v>
      </c>
      <c r="C2451" s="148" t="s">
        <v>28</v>
      </c>
      <c r="D2451" s="148" t="s">
        <v>1452</v>
      </c>
      <c r="E2451" s="148" t="s">
        <v>30</v>
      </c>
      <c r="F2451" s="148" t="s">
        <v>3183</v>
      </c>
      <c r="G2451" s="148" t="s">
        <v>163</v>
      </c>
      <c r="H2451" s="148">
        <v>2017</v>
      </c>
      <c r="I2451" s="148">
        <v>3</v>
      </c>
      <c r="J2451" s="148" t="s">
        <v>150</v>
      </c>
      <c r="K2451" s="148" t="s">
        <v>708</v>
      </c>
      <c r="M2451" s="148" t="s">
        <v>82</v>
      </c>
      <c r="N2451" s="148">
        <v>8</v>
      </c>
      <c r="O2451" s="148" t="s">
        <v>101</v>
      </c>
      <c r="P2451" s="148" t="s">
        <v>1585</v>
      </c>
      <c r="Z2451" s="148" t="s">
        <v>166</v>
      </c>
    </row>
    <row r="2452" spans="1:26" ht="15.75" hidden="1" customHeight="1" x14ac:dyDescent="0.25">
      <c r="A2452" s="148" t="s">
        <v>76</v>
      </c>
      <c r="B2452" s="148" t="s">
        <v>27</v>
      </c>
      <c r="C2452" s="148" t="s">
        <v>28</v>
      </c>
      <c r="D2452" s="148" t="s">
        <v>1302</v>
      </c>
      <c r="E2452" s="148" t="s">
        <v>40</v>
      </c>
      <c r="F2452" s="148" t="s">
        <v>41</v>
      </c>
      <c r="G2452" s="148" t="s">
        <v>42</v>
      </c>
      <c r="H2452" s="148">
        <v>2017</v>
      </c>
      <c r="I2452" s="148">
        <v>3</v>
      </c>
      <c r="J2452" s="148" t="s">
        <v>118</v>
      </c>
      <c r="K2452" s="148" t="s">
        <v>502</v>
      </c>
      <c r="M2452" s="148" t="s">
        <v>126</v>
      </c>
      <c r="N2452" s="148">
        <v>10</v>
      </c>
      <c r="O2452" s="148" t="s">
        <v>101</v>
      </c>
      <c r="P2452" s="148" t="s">
        <v>1586</v>
      </c>
      <c r="Y2452" s="150" t="s">
        <v>1587</v>
      </c>
    </row>
    <row r="2453" spans="1:26" ht="15.75" hidden="1" customHeight="1" x14ac:dyDescent="0.25">
      <c r="A2453" s="148" t="s">
        <v>76</v>
      </c>
      <c r="B2453" s="148" t="s">
        <v>116</v>
      </c>
      <c r="C2453" s="148" t="s">
        <v>90</v>
      </c>
      <c r="D2453" s="148" t="s">
        <v>478</v>
      </c>
      <c r="E2453" s="148" t="s">
        <v>30</v>
      </c>
      <c r="F2453" s="148" t="s">
        <v>41</v>
      </c>
      <c r="G2453" s="148" t="s">
        <v>756</v>
      </c>
      <c r="H2453" s="148">
        <v>2017</v>
      </c>
      <c r="I2453" s="148">
        <v>3</v>
      </c>
      <c r="J2453" s="148" t="s">
        <v>150</v>
      </c>
      <c r="K2453" s="148" t="s">
        <v>579</v>
      </c>
      <c r="M2453" s="148" t="s">
        <v>126</v>
      </c>
      <c r="N2453" s="148">
        <v>10</v>
      </c>
      <c r="O2453" s="148" t="s">
        <v>83</v>
      </c>
      <c r="P2453" s="148" t="s">
        <v>146</v>
      </c>
      <c r="Y2453" s="150" t="s">
        <v>1588</v>
      </c>
    </row>
    <row r="2454" spans="1:26" ht="15.75" hidden="1" customHeight="1" x14ac:dyDescent="0.25">
      <c r="A2454" s="148" t="s">
        <v>307</v>
      </c>
      <c r="B2454" s="148" t="s">
        <v>103</v>
      </c>
      <c r="C2454" s="148" t="s">
        <v>55</v>
      </c>
      <c r="D2454" s="148" t="s">
        <v>478</v>
      </c>
      <c r="E2454" s="148" t="s">
        <v>95</v>
      </c>
      <c r="F2454" s="148" t="s">
        <v>56</v>
      </c>
      <c r="G2454" s="148" t="s">
        <v>108</v>
      </c>
      <c r="H2454" s="148">
        <v>2017</v>
      </c>
      <c r="I2454" s="148">
        <v>3</v>
      </c>
      <c r="J2454" s="148" t="s">
        <v>308</v>
      </c>
      <c r="Q2454" s="148" t="s">
        <v>426</v>
      </c>
      <c r="R2454" s="148" t="s">
        <v>1589</v>
      </c>
      <c r="S2454" s="148" t="s">
        <v>427</v>
      </c>
    </row>
    <row r="2455" spans="1:26" ht="15.75" hidden="1" customHeight="1" x14ac:dyDescent="0.25">
      <c r="A2455" s="148" t="s">
        <v>76</v>
      </c>
      <c r="B2455" s="148" t="s">
        <v>103</v>
      </c>
      <c r="C2455" s="148" t="s">
        <v>55</v>
      </c>
      <c r="D2455" s="148" t="s">
        <v>516</v>
      </c>
      <c r="E2455" s="148" t="s">
        <v>30</v>
      </c>
      <c r="F2455" s="148" t="s">
        <v>56</v>
      </c>
      <c r="G2455" s="148" t="s">
        <v>285</v>
      </c>
      <c r="H2455" s="148">
        <v>2017</v>
      </c>
      <c r="I2455" s="148">
        <v>4</v>
      </c>
      <c r="J2455" s="148" t="s">
        <v>150</v>
      </c>
      <c r="K2455" s="148" t="s">
        <v>1590</v>
      </c>
      <c r="M2455" s="148" t="s">
        <v>1591</v>
      </c>
      <c r="N2455" s="148">
        <v>5</v>
      </c>
      <c r="O2455" s="148" t="s">
        <v>83</v>
      </c>
      <c r="P2455" s="148" t="s">
        <v>1582</v>
      </c>
      <c r="Y2455" s="150" t="s">
        <v>1592</v>
      </c>
      <c r="Z2455" s="148" t="s">
        <v>1593</v>
      </c>
    </row>
    <row r="2456" spans="1:26" ht="15.75" hidden="1" customHeight="1" x14ac:dyDescent="0.25">
      <c r="A2456" s="148" t="s">
        <v>76</v>
      </c>
      <c r="B2456" s="148" t="s">
        <v>71</v>
      </c>
      <c r="C2456" s="148" t="s">
        <v>45</v>
      </c>
      <c r="D2456" s="148" t="s">
        <v>478</v>
      </c>
      <c r="E2456" s="148" t="s">
        <v>72</v>
      </c>
      <c r="F2456" s="148" t="s">
        <v>3183</v>
      </c>
      <c r="G2456" s="148" t="s">
        <v>73</v>
      </c>
      <c r="H2456" s="148">
        <v>2017</v>
      </c>
      <c r="I2456" s="148">
        <v>4</v>
      </c>
      <c r="J2456" s="148" t="s">
        <v>118</v>
      </c>
      <c r="K2456" s="148" t="s">
        <v>1333</v>
      </c>
      <c r="M2456" s="148" t="s">
        <v>1519</v>
      </c>
      <c r="N2456" s="148">
        <v>6</v>
      </c>
      <c r="O2456" s="148" t="s">
        <v>101</v>
      </c>
      <c r="P2456" s="148" t="s">
        <v>1594</v>
      </c>
      <c r="Y2456" s="150" t="s">
        <v>1595</v>
      </c>
    </row>
    <row r="2457" spans="1:26" ht="15.75" hidden="1" customHeight="1" x14ac:dyDescent="0.25">
      <c r="A2457" s="148" t="s">
        <v>307</v>
      </c>
      <c r="B2457" s="148" t="s">
        <v>71</v>
      </c>
      <c r="C2457" s="148" t="s">
        <v>45</v>
      </c>
      <c r="D2457" s="148" t="s">
        <v>478</v>
      </c>
      <c r="E2457" s="148" t="s">
        <v>72</v>
      </c>
      <c r="F2457" s="148" t="s">
        <v>3183</v>
      </c>
      <c r="G2457" s="148" t="s">
        <v>73</v>
      </c>
      <c r="H2457" s="148">
        <v>2017</v>
      </c>
      <c r="I2457" s="148">
        <v>4</v>
      </c>
      <c r="J2457" s="148" t="s">
        <v>308</v>
      </c>
      <c r="Q2457" s="148" t="s">
        <v>426</v>
      </c>
      <c r="R2457" s="148" t="s">
        <v>1087</v>
      </c>
      <c r="S2457" s="148" t="s">
        <v>427</v>
      </c>
      <c r="T2457" s="148" t="s">
        <v>1570</v>
      </c>
    </row>
    <row r="2458" spans="1:26" ht="13.5" hidden="1" customHeight="1" x14ac:dyDescent="0.25">
      <c r="A2458" s="148" t="s">
        <v>76</v>
      </c>
      <c r="B2458" s="148" t="s">
        <v>103</v>
      </c>
      <c r="C2458" s="148" t="s">
        <v>55</v>
      </c>
      <c r="D2458" s="148" t="s">
        <v>478</v>
      </c>
      <c r="E2458" s="148" t="s">
        <v>30</v>
      </c>
      <c r="F2458" s="148" t="s">
        <v>56</v>
      </c>
      <c r="G2458" s="148" t="s">
        <v>171</v>
      </c>
      <c r="H2458" s="148">
        <v>2017</v>
      </c>
      <c r="I2458" s="148">
        <v>4</v>
      </c>
      <c r="J2458" s="148" t="s">
        <v>118</v>
      </c>
      <c r="K2458" s="148" t="s">
        <v>708</v>
      </c>
      <c r="M2458" s="148" t="s">
        <v>82</v>
      </c>
      <c r="N2458" s="148">
        <v>8</v>
      </c>
      <c r="O2458" s="148" t="s">
        <v>101</v>
      </c>
      <c r="P2458" s="148" t="s">
        <v>1596</v>
      </c>
    </row>
    <row r="2459" spans="1:26" ht="15.75" hidden="1" customHeight="1" x14ac:dyDescent="0.25">
      <c r="A2459" s="148" t="s">
        <v>76</v>
      </c>
      <c r="B2459" s="148" t="s">
        <v>103</v>
      </c>
      <c r="C2459" s="148" t="s">
        <v>55</v>
      </c>
      <c r="D2459" s="148" t="s">
        <v>478</v>
      </c>
      <c r="E2459" s="148" t="s">
        <v>95</v>
      </c>
      <c r="F2459" s="148" t="s">
        <v>56</v>
      </c>
      <c r="G2459" s="148" t="s">
        <v>111</v>
      </c>
      <c r="H2459" s="148">
        <v>2017</v>
      </c>
      <c r="I2459" s="148">
        <v>4</v>
      </c>
      <c r="J2459" s="148" t="s">
        <v>118</v>
      </c>
      <c r="K2459" s="148" t="s">
        <v>708</v>
      </c>
      <c r="M2459" s="148" t="s">
        <v>82</v>
      </c>
      <c r="N2459" s="148">
        <v>8</v>
      </c>
      <c r="O2459" s="148" t="s">
        <v>101</v>
      </c>
      <c r="P2459" s="148" t="s">
        <v>1597</v>
      </c>
    </row>
    <row r="2460" spans="1:26" ht="15.75" hidden="1" customHeight="1" x14ac:dyDescent="0.25">
      <c r="A2460" s="148" t="s">
        <v>76</v>
      </c>
      <c r="B2460" s="148" t="s">
        <v>89</v>
      </c>
      <c r="C2460" s="148" t="s">
        <v>90</v>
      </c>
      <c r="D2460" s="148" t="s">
        <v>158</v>
      </c>
      <c r="E2460" s="148" t="s">
        <v>30</v>
      </c>
      <c r="F2460" s="148" t="s">
        <v>91</v>
      </c>
      <c r="G2460" s="148" t="s">
        <v>222</v>
      </c>
      <c r="H2460" s="148">
        <v>2017</v>
      </c>
      <c r="I2460" s="148">
        <v>4</v>
      </c>
      <c r="J2460" s="148" t="s">
        <v>118</v>
      </c>
      <c r="K2460" s="148" t="s">
        <v>579</v>
      </c>
      <c r="M2460" s="148" t="s">
        <v>126</v>
      </c>
      <c r="N2460" s="148">
        <v>10</v>
      </c>
      <c r="O2460" s="148" t="s">
        <v>101</v>
      </c>
      <c r="P2460" s="148" t="s">
        <v>1598</v>
      </c>
    </row>
    <row r="2461" spans="1:26" ht="15" hidden="1" customHeight="1" x14ac:dyDescent="0.25">
      <c r="A2461" s="148" t="s">
        <v>76</v>
      </c>
      <c r="B2461" s="148" t="s">
        <v>36</v>
      </c>
      <c r="C2461" s="148" t="s">
        <v>28</v>
      </c>
      <c r="D2461" s="148" t="s">
        <v>478</v>
      </c>
      <c r="E2461" s="148" t="s">
        <v>30</v>
      </c>
      <c r="F2461" s="148" t="s">
        <v>3183</v>
      </c>
      <c r="G2461" s="148" t="s">
        <v>67</v>
      </c>
      <c r="H2461" s="148">
        <v>2017</v>
      </c>
      <c r="I2461" s="148">
        <v>4</v>
      </c>
      <c r="J2461" s="148" t="s">
        <v>118</v>
      </c>
      <c r="K2461" s="148" t="s">
        <v>579</v>
      </c>
      <c r="M2461" s="148" t="s">
        <v>126</v>
      </c>
      <c r="N2461" s="148">
        <v>10</v>
      </c>
      <c r="O2461" s="148" t="s">
        <v>101</v>
      </c>
      <c r="P2461" s="148" t="s">
        <v>146</v>
      </c>
      <c r="Y2461" s="150" t="s">
        <v>1599</v>
      </c>
    </row>
    <row r="2462" spans="1:26" ht="15.75" hidden="1" customHeight="1" x14ac:dyDescent="0.25">
      <c r="A2462" s="148" t="s">
        <v>307</v>
      </c>
      <c r="B2462" s="148" t="s">
        <v>27</v>
      </c>
      <c r="C2462" s="148" t="s">
        <v>28</v>
      </c>
      <c r="D2462" s="148" t="s">
        <v>1452</v>
      </c>
      <c r="E2462" s="148" t="s">
        <v>30</v>
      </c>
      <c r="F2462" s="148" t="s">
        <v>3183</v>
      </c>
      <c r="G2462" s="148" t="s">
        <v>163</v>
      </c>
      <c r="H2462" s="148">
        <v>2017</v>
      </c>
      <c r="I2462" s="148">
        <v>4</v>
      </c>
      <c r="J2462" s="148" t="s">
        <v>308</v>
      </c>
      <c r="Q2462" s="148" t="s">
        <v>309</v>
      </c>
      <c r="R2462" s="148" t="s">
        <v>1600</v>
      </c>
      <c r="S2462" s="148" t="s">
        <v>311</v>
      </c>
      <c r="T2462" s="148" t="s">
        <v>1601</v>
      </c>
      <c r="Y2462" s="150" t="s">
        <v>1602</v>
      </c>
    </row>
    <row r="2463" spans="1:26" ht="15.75" hidden="1" customHeight="1" x14ac:dyDescent="0.25">
      <c r="A2463" s="148" t="s">
        <v>307</v>
      </c>
      <c r="B2463" s="148" t="s">
        <v>27</v>
      </c>
      <c r="C2463" s="148" t="s">
        <v>28</v>
      </c>
      <c r="D2463" s="148" t="s">
        <v>1302</v>
      </c>
      <c r="E2463" s="148" t="s">
        <v>40</v>
      </c>
      <c r="F2463" s="148" t="s">
        <v>41</v>
      </c>
      <c r="G2463" s="148" t="s">
        <v>42</v>
      </c>
      <c r="H2463" s="148">
        <v>2017</v>
      </c>
      <c r="I2463" s="148">
        <v>4</v>
      </c>
      <c r="J2463" s="148" t="s">
        <v>308</v>
      </c>
      <c r="Q2463" s="148" t="s">
        <v>309</v>
      </c>
      <c r="R2463" s="148" t="s">
        <v>1603</v>
      </c>
      <c r="S2463" s="148" t="s">
        <v>311</v>
      </c>
      <c r="T2463" s="148" t="s">
        <v>1601</v>
      </c>
      <c r="Y2463" s="150" t="s">
        <v>1604</v>
      </c>
    </row>
    <row r="2464" spans="1:26" ht="15.75" hidden="1" customHeight="1" x14ac:dyDescent="0.25">
      <c r="A2464" s="148" t="s">
        <v>307</v>
      </c>
      <c r="B2464" s="148" t="s">
        <v>36</v>
      </c>
      <c r="C2464" s="148" t="s">
        <v>28</v>
      </c>
      <c r="D2464" s="148" t="s">
        <v>1304</v>
      </c>
      <c r="E2464" s="148" t="s">
        <v>30</v>
      </c>
      <c r="F2464" s="148" t="s">
        <v>3183</v>
      </c>
      <c r="G2464" s="148" t="s">
        <v>194</v>
      </c>
      <c r="H2464" s="148">
        <v>2017</v>
      </c>
      <c r="I2464" s="148">
        <v>4</v>
      </c>
      <c r="J2464" s="148" t="s">
        <v>308</v>
      </c>
      <c r="Q2464" s="148" t="s">
        <v>426</v>
      </c>
      <c r="R2464" s="148" t="s">
        <v>1087</v>
      </c>
      <c r="S2464" s="148" t="s">
        <v>427</v>
      </c>
      <c r="T2464" s="148" t="s">
        <v>1570</v>
      </c>
      <c r="Y2464" s="150" t="s">
        <v>1605</v>
      </c>
    </row>
    <row r="2465" spans="1:26" ht="15" hidden="1" customHeight="1" x14ac:dyDescent="0.25">
      <c r="A2465" s="148" t="s">
        <v>76</v>
      </c>
      <c r="B2465" s="148" t="s">
        <v>103</v>
      </c>
      <c r="C2465" s="148" t="s">
        <v>55</v>
      </c>
      <c r="D2465" s="148" t="s">
        <v>99</v>
      </c>
      <c r="E2465" s="148" t="s">
        <v>30</v>
      </c>
      <c r="F2465" s="148" t="s">
        <v>56</v>
      </c>
      <c r="G2465" s="148" t="s">
        <v>381</v>
      </c>
      <c r="H2465" s="148">
        <v>2017</v>
      </c>
      <c r="I2465" s="148">
        <v>4</v>
      </c>
      <c r="J2465" s="148" t="s">
        <v>118</v>
      </c>
      <c r="K2465" s="148" t="s">
        <v>502</v>
      </c>
      <c r="M2465" s="148" t="s">
        <v>126</v>
      </c>
      <c r="N2465" s="148">
        <v>10</v>
      </c>
      <c r="O2465" s="148" t="s">
        <v>101</v>
      </c>
      <c r="P2465" s="148" t="s">
        <v>1606</v>
      </c>
    </row>
    <row r="2466" spans="1:26" ht="15.75" hidden="1" customHeight="1" x14ac:dyDescent="0.25">
      <c r="A2466" s="148" t="s">
        <v>76</v>
      </c>
      <c r="B2466" s="148" t="s">
        <v>89</v>
      </c>
      <c r="C2466" s="148" t="s">
        <v>90</v>
      </c>
      <c r="D2466" s="148" t="s">
        <v>158</v>
      </c>
      <c r="E2466" s="148" t="s">
        <v>30</v>
      </c>
      <c r="F2466" s="148" t="s">
        <v>91</v>
      </c>
      <c r="G2466" s="148" t="s">
        <v>93</v>
      </c>
      <c r="H2466" s="148">
        <v>2017</v>
      </c>
      <c r="I2466" s="148">
        <v>4</v>
      </c>
      <c r="J2466" s="148" t="s">
        <v>118</v>
      </c>
      <c r="K2466" s="148" t="s">
        <v>629</v>
      </c>
      <c r="M2466" s="148" t="s">
        <v>554</v>
      </c>
      <c r="N2466" s="148">
        <v>8</v>
      </c>
      <c r="O2466" s="148" t="s">
        <v>101</v>
      </c>
      <c r="P2466" s="148" t="s">
        <v>1607</v>
      </c>
      <c r="Y2466" s="150" t="s">
        <v>1608</v>
      </c>
    </row>
    <row r="2467" spans="1:26" ht="15.75" hidden="1" customHeight="1" x14ac:dyDescent="0.25">
      <c r="A2467" s="148" t="s">
        <v>76</v>
      </c>
      <c r="B2467" s="148" t="s">
        <v>89</v>
      </c>
      <c r="C2467" s="148" t="s">
        <v>90</v>
      </c>
      <c r="D2467" s="148" t="s">
        <v>99</v>
      </c>
      <c r="E2467" s="148" t="s">
        <v>30</v>
      </c>
      <c r="F2467" s="148" t="s">
        <v>91</v>
      </c>
      <c r="G2467" s="148" t="s">
        <v>499</v>
      </c>
      <c r="H2467" s="148">
        <v>2017</v>
      </c>
      <c r="I2467" s="148">
        <v>5</v>
      </c>
      <c r="J2467" s="148" t="s">
        <v>118</v>
      </c>
      <c r="K2467" s="148" t="s">
        <v>706</v>
      </c>
      <c r="M2467" s="148" t="s">
        <v>389</v>
      </c>
      <c r="N2467" s="148">
        <v>8</v>
      </c>
      <c r="O2467" s="148" t="s">
        <v>101</v>
      </c>
      <c r="P2467" s="148" t="s">
        <v>1609</v>
      </c>
      <c r="Y2467" s="150" t="s">
        <v>1610</v>
      </c>
    </row>
    <row r="2468" spans="1:26" ht="15.75" hidden="1" customHeight="1" x14ac:dyDescent="0.25">
      <c r="A2468" s="148" t="s">
        <v>26</v>
      </c>
      <c r="B2468" s="148" t="s">
        <v>27</v>
      </c>
      <c r="C2468" s="148" t="s">
        <v>28</v>
      </c>
      <c r="D2468" s="148" t="s">
        <v>86</v>
      </c>
      <c r="E2468" s="148" t="s">
        <v>30</v>
      </c>
      <c r="F2468" s="148" t="s">
        <v>3183</v>
      </c>
      <c r="G2468" s="148" t="s">
        <v>32</v>
      </c>
      <c r="H2468" s="148">
        <v>2017</v>
      </c>
      <c r="I2468" s="148">
        <v>5</v>
      </c>
      <c r="J2468" s="148" t="s">
        <v>33</v>
      </c>
      <c r="U2468" s="149" t="s">
        <v>112</v>
      </c>
      <c r="V2468" s="148" t="s">
        <v>3690</v>
      </c>
      <c r="W2468" s="148" t="s">
        <v>34</v>
      </c>
      <c r="X2468" s="148" t="s">
        <v>1611</v>
      </c>
      <c r="Y2468" s="150" t="s">
        <v>1612</v>
      </c>
    </row>
    <row r="2469" spans="1:26" ht="15.75" hidden="1" customHeight="1" x14ac:dyDescent="0.25">
      <c r="A2469" s="148" t="s">
        <v>307</v>
      </c>
      <c r="B2469" s="148" t="s">
        <v>27</v>
      </c>
      <c r="C2469" s="148" t="s">
        <v>28</v>
      </c>
      <c r="D2469" s="148" t="s">
        <v>86</v>
      </c>
      <c r="E2469" s="148" t="s">
        <v>30</v>
      </c>
      <c r="F2469" s="148" t="s">
        <v>3183</v>
      </c>
      <c r="G2469" s="148" t="s">
        <v>32</v>
      </c>
      <c r="H2469" s="148">
        <v>2017</v>
      </c>
      <c r="I2469" s="148">
        <v>5</v>
      </c>
      <c r="J2469" s="148" t="s">
        <v>308</v>
      </c>
      <c r="Q2469" s="148" t="s">
        <v>426</v>
      </c>
      <c r="R2469" s="148" t="s">
        <v>1569</v>
      </c>
      <c r="S2469" s="148" t="s">
        <v>427</v>
      </c>
      <c r="T2469" s="148" t="s">
        <v>1570</v>
      </c>
      <c r="Y2469" s="150" t="s">
        <v>1613</v>
      </c>
    </row>
    <row r="2470" spans="1:26" ht="13.5" hidden="1" customHeight="1" x14ac:dyDescent="0.25">
      <c r="A2470" s="148" t="s">
        <v>76</v>
      </c>
      <c r="B2470" s="148" t="s">
        <v>103</v>
      </c>
      <c r="C2470" s="148" t="s">
        <v>55</v>
      </c>
      <c r="D2470" s="148" t="s">
        <v>478</v>
      </c>
      <c r="E2470" s="148" t="s">
        <v>30</v>
      </c>
      <c r="F2470" s="148" t="s">
        <v>56</v>
      </c>
      <c r="G2470" s="148" t="s">
        <v>171</v>
      </c>
      <c r="H2470" s="148">
        <v>2017</v>
      </c>
      <c r="I2470" s="148">
        <v>5</v>
      </c>
      <c r="J2470" s="148" t="s">
        <v>118</v>
      </c>
      <c r="K2470" s="148" t="s">
        <v>710</v>
      </c>
      <c r="M2470" s="148" t="s">
        <v>1473</v>
      </c>
      <c r="N2470" s="148">
        <v>8</v>
      </c>
      <c r="O2470" s="148" t="s">
        <v>83</v>
      </c>
      <c r="P2470" s="148" t="s">
        <v>146</v>
      </c>
      <c r="Y2470" s="150" t="s">
        <v>1614</v>
      </c>
    </row>
    <row r="2471" spans="1:26" ht="15.75" hidden="1" customHeight="1" x14ac:dyDescent="0.25">
      <c r="A2471" s="148" t="s">
        <v>76</v>
      </c>
      <c r="B2471" s="148" t="s">
        <v>103</v>
      </c>
      <c r="C2471" s="148" t="s">
        <v>55</v>
      </c>
      <c r="D2471" s="148" t="s">
        <v>29</v>
      </c>
      <c r="E2471" s="148" t="s">
        <v>30</v>
      </c>
      <c r="F2471" s="148" t="s">
        <v>56</v>
      </c>
      <c r="G2471" s="148" t="s">
        <v>612</v>
      </c>
      <c r="H2471" s="148">
        <v>2017</v>
      </c>
      <c r="I2471" s="148">
        <v>5</v>
      </c>
      <c r="J2471" s="148" t="s">
        <v>118</v>
      </c>
      <c r="K2471" s="148" t="s">
        <v>708</v>
      </c>
      <c r="M2471" s="148" t="s">
        <v>82</v>
      </c>
      <c r="N2471" s="148">
        <v>8</v>
      </c>
      <c r="O2471" s="148" t="s">
        <v>101</v>
      </c>
      <c r="P2471" s="148" t="s">
        <v>146</v>
      </c>
      <c r="Y2471" s="150" t="s">
        <v>1615</v>
      </c>
    </row>
    <row r="2472" spans="1:26" ht="15.75" hidden="1" customHeight="1" x14ac:dyDescent="0.25">
      <c r="A2472" s="148" t="s">
        <v>307</v>
      </c>
      <c r="B2472" s="148" t="s">
        <v>103</v>
      </c>
      <c r="C2472" s="148" t="s">
        <v>55</v>
      </c>
      <c r="D2472" s="152" t="s">
        <v>478</v>
      </c>
      <c r="E2472" s="148" t="s">
        <v>95</v>
      </c>
      <c r="F2472" s="148" t="s">
        <v>56</v>
      </c>
      <c r="G2472" s="148" t="s">
        <v>111</v>
      </c>
      <c r="H2472" s="148">
        <v>2017</v>
      </c>
      <c r="I2472" s="148">
        <v>5</v>
      </c>
      <c r="J2472" s="148" t="s">
        <v>308</v>
      </c>
      <c r="Q2472" s="148" t="s">
        <v>426</v>
      </c>
      <c r="R2472" s="148" t="s">
        <v>1087</v>
      </c>
      <c r="S2472" s="148" t="s">
        <v>427</v>
      </c>
      <c r="T2472" s="148" t="s">
        <v>1616</v>
      </c>
      <c r="Y2472" s="150" t="s">
        <v>1617</v>
      </c>
    </row>
    <row r="2473" spans="1:26" ht="13.5" hidden="1" customHeight="1" x14ac:dyDescent="0.25">
      <c r="A2473" s="148" t="s">
        <v>76</v>
      </c>
      <c r="B2473" s="148" t="s">
        <v>103</v>
      </c>
      <c r="C2473" s="148" t="s">
        <v>55</v>
      </c>
      <c r="D2473" s="148" t="s">
        <v>478</v>
      </c>
      <c r="E2473" s="148" t="s">
        <v>95</v>
      </c>
      <c r="F2473" s="148" t="s">
        <v>56</v>
      </c>
      <c r="G2473" s="148" t="s">
        <v>407</v>
      </c>
      <c r="H2473" s="148">
        <v>2017</v>
      </c>
      <c r="I2473" s="148">
        <v>5</v>
      </c>
      <c r="J2473" s="148" t="s">
        <v>150</v>
      </c>
      <c r="K2473" s="148" t="s">
        <v>710</v>
      </c>
      <c r="M2473" s="148" t="s">
        <v>1473</v>
      </c>
      <c r="N2473" s="148">
        <v>8</v>
      </c>
      <c r="O2473" s="148" t="s">
        <v>83</v>
      </c>
      <c r="P2473" s="148" t="s">
        <v>146</v>
      </c>
      <c r="Y2473" s="150" t="s">
        <v>1614</v>
      </c>
    </row>
    <row r="2474" spans="1:26" ht="15.75" hidden="1" customHeight="1" x14ac:dyDescent="0.25">
      <c r="A2474" s="148" t="s">
        <v>26</v>
      </c>
      <c r="B2474" s="148" t="s">
        <v>89</v>
      </c>
      <c r="C2474" s="148" t="s">
        <v>90</v>
      </c>
      <c r="D2474" s="148" t="s">
        <v>94</v>
      </c>
      <c r="E2474" s="148" t="s">
        <v>30</v>
      </c>
      <c r="F2474" s="148" t="s">
        <v>91</v>
      </c>
      <c r="G2474" s="148" t="s">
        <v>752</v>
      </c>
      <c r="H2474" s="148">
        <v>2017</v>
      </c>
      <c r="I2474" s="148">
        <v>5</v>
      </c>
      <c r="J2474" s="148" t="s">
        <v>33</v>
      </c>
      <c r="U2474" s="149" t="s">
        <v>3629</v>
      </c>
      <c r="V2474" s="148" t="s">
        <v>1618</v>
      </c>
      <c r="W2474" s="148" t="s">
        <v>87</v>
      </c>
      <c r="X2474" s="157" t="s">
        <v>3721</v>
      </c>
      <c r="Y2474" s="159" t="s">
        <v>1619</v>
      </c>
    </row>
    <row r="2475" spans="1:26" ht="15.75" hidden="1" customHeight="1" x14ac:dyDescent="0.25">
      <c r="A2475" s="148" t="s">
        <v>26</v>
      </c>
      <c r="B2475" s="148" t="s">
        <v>36</v>
      </c>
      <c r="C2475" s="148" t="s">
        <v>28</v>
      </c>
      <c r="D2475" s="148" t="s">
        <v>478</v>
      </c>
      <c r="E2475" s="148" t="s">
        <v>30</v>
      </c>
      <c r="F2475" s="148" t="s">
        <v>3183</v>
      </c>
      <c r="G2475" s="148" t="s">
        <v>67</v>
      </c>
      <c r="H2475" s="148">
        <v>2017</v>
      </c>
      <c r="I2475" s="148">
        <v>5</v>
      </c>
      <c r="J2475" s="148" t="s">
        <v>33</v>
      </c>
      <c r="U2475" s="149" t="s">
        <v>112</v>
      </c>
      <c r="V2475" s="148" t="s">
        <v>3690</v>
      </c>
      <c r="W2475" s="148" t="s">
        <v>34</v>
      </c>
      <c r="X2475" s="148" t="s">
        <v>1611</v>
      </c>
      <c r="Y2475" s="150" t="s">
        <v>1620</v>
      </c>
    </row>
    <row r="2476" spans="1:26" ht="15.75" hidden="1" customHeight="1" x14ac:dyDescent="0.25">
      <c r="A2476" s="148" t="s">
        <v>307</v>
      </c>
      <c r="B2476" s="148" t="s">
        <v>36</v>
      </c>
      <c r="C2476" s="148" t="s">
        <v>28</v>
      </c>
      <c r="D2476" s="148" t="s">
        <v>342</v>
      </c>
      <c r="E2476" s="148" t="s">
        <v>30</v>
      </c>
      <c r="F2476" s="148" t="s">
        <v>3183</v>
      </c>
      <c r="G2476" s="148" t="s">
        <v>37</v>
      </c>
      <c r="H2476" s="148">
        <v>2017</v>
      </c>
      <c r="I2476" s="148">
        <v>5</v>
      </c>
      <c r="J2476" s="148" t="s">
        <v>308</v>
      </c>
      <c r="Q2476" s="148" t="s">
        <v>426</v>
      </c>
      <c r="R2476" s="148" t="s">
        <v>1087</v>
      </c>
      <c r="S2476" s="148" t="s">
        <v>427</v>
      </c>
      <c r="T2476" s="148" t="s">
        <v>1573</v>
      </c>
      <c r="Y2476" s="150" t="s">
        <v>1621</v>
      </c>
      <c r="Z2476" s="148" t="s">
        <v>1252</v>
      </c>
    </row>
    <row r="2477" spans="1:26" ht="13.5" hidden="1" customHeight="1" x14ac:dyDescent="0.25">
      <c r="A2477" s="148" t="s">
        <v>307</v>
      </c>
      <c r="B2477" s="148" t="s">
        <v>36</v>
      </c>
      <c r="C2477" s="148" t="s">
        <v>28</v>
      </c>
      <c r="D2477" s="148" t="s">
        <v>342</v>
      </c>
      <c r="E2477" s="148" t="s">
        <v>30</v>
      </c>
      <c r="F2477" s="148" t="s">
        <v>3183</v>
      </c>
      <c r="G2477" s="148" t="s">
        <v>37</v>
      </c>
      <c r="H2477" s="148">
        <v>2017</v>
      </c>
      <c r="I2477" s="148">
        <v>5</v>
      </c>
      <c r="J2477" s="148" t="s">
        <v>308</v>
      </c>
      <c r="Q2477" s="148" t="s">
        <v>426</v>
      </c>
      <c r="R2477" s="148" t="s">
        <v>1569</v>
      </c>
      <c r="S2477" s="148" t="s">
        <v>427</v>
      </c>
      <c r="T2477" s="148" t="s">
        <v>1570</v>
      </c>
      <c r="Z2477" s="148" t="s">
        <v>1252</v>
      </c>
    </row>
    <row r="2478" spans="1:26" ht="15.75" hidden="1" customHeight="1" x14ac:dyDescent="0.25">
      <c r="A2478" s="148" t="s">
        <v>26</v>
      </c>
      <c r="B2478" s="148" t="s">
        <v>36</v>
      </c>
      <c r="C2478" s="148" t="s">
        <v>28</v>
      </c>
      <c r="D2478" s="148" t="s">
        <v>342</v>
      </c>
      <c r="E2478" s="148" t="s">
        <v>30</v>
      </c>
      <c r="F2478" s="148" t="s">
        <v>3183</v>
      </c>
      <c r="G2478" s="148" t="s">
        <v>37</v>
      </c>
      <c r="H2478" s="148">
        <v>2017</v>
      </c>
      <c r="I2478" s="148">
        <v>5</v>
      </c>
      <c r="J2478" s="148" t="s">
        <v>33</v>
      </c>
      <c r="U2478" s="149" t="s">
        <v>112</v>
      </c>
      <c r="V2478" s="148" t="s">
        <v>3690</v>
      </c>
      <c r="W2478" s="148" t="s">
        <v>34</v>
      </c>
      <c r="X2478" s="148" t="s">
        <v>1611</v>
      </c>
    </row>
    <row r="2479" spans="1:26" ht="15.75" hidden="1" customHeight="1" x14ac:dyDescent="0.25">
      <c r="A2479" s="148" t="s">
        <v>76</v>
      </c>
      <c r="B2479" s="148" t="s">
        <v>27</v>
      </c>
      <c r="C2479" s="148" t="s">
        <v>28</v>
      </c>
      <c r="D2479" s="148" t="s">
        <v>1302</v>
      </c>
      <c r="E2479" s="148" t="s">
        <v>40</v>
      </c>
      <c r="F2479" s="148" t="s">
        <v>41</v>
      </c>
      <c r="G2479" s="148" t="s">
        <v>42</v>
      </c>
      <c r="H2479" s="148">
        <v>2017</v>
      </c>
      <c r="I2479" s="148">
        <v>5</v>
      </c>
      <c r="J2479" s="148" t="s">
        <v>118</v>
      </c>
      <c r="K2479" s="148" t="s">
        <v>1622</v>
      </c>
      <c r="M2479" s="148" t="s">
        <v>521</v>
      </c>
      <c r="N2479" s="148">
        <v>6</v>
      </c>
      <c r="O2479" s="148" t="s">
        <v>101</v>
      </c>
      <c r="P2479" s="148" t="s">
        <v>1623</v>
      </c>
    </row>
    <row r="2480" spans="1:26" ht="15.75" hidden="1" customHeight="1" x14ac:dyDescent="0.25">
      <c r="A2480" s="148" t="s">
        <v>26</v>
      </c>
      <c r="B2480" s="148" t="s">
        <v>36</v>
      </c>
      <c r="C2480" s="148" t="s">
        <v>28</v>
      </c>
      <c r="D2480" s="148" t="s">
        <v>86</v>
      </c>
      <c r="E2480" s="148" t="s">
        <v>51</v>
      </c>
      <c r="F2480" s="148" t="s">
        <v>3183</v>
      </c>
      <c r="G2480" s="148" t="s">
        <v>69</v>
      </c>
      <c r="H2480" s="148">
        <v>2017</v>
      </c>
      <c r="I2480" s="148">
        <v>5</v>
      </c>
      <c r="J2480" s="148" t="s">
        <v>33</v>
      </c>
      <c r="U2480" s="149" t="s">
        <v>112</v>
      </c>
      <c r="V2480" s="148" t="s">
        <v>3690</v>
      </c>
      <c r="W2480" s="148" t="s">
        <v>34</v>
      </c>
      <c r="X2480" s="148" t="s">
        <v>1611</v>
      </c>
      <c r="Y2480" s="150" t="s">
        <v>1624</v>
      </c>
      <c r="Z2480" s="157" t="s">
        <v>3753</v>
      </c>
    </row>
    <row r="2481" spans="1:26" ht="15.75" hidden="1" customHeight="1" x14ac:dyDescent="0.25">
      <c r="A2481" s="148" t="s">
        <v>76</v>
      </c>
      <c r="B2481" s="148" t="s">
        <v>36</v>
      </c>
      <c r="C2481" s="148" t="s">
        <v>28</v>
      </c>
      <c r="D2481" s="148" t="s">
        <v>342</v>
      </c>
      <c r="E2481" s="148" t="s">
        <v>51</v>
      </c>
      <c r="F2481" s="148" t="s">
        <v>3183</v>
      </c>
      <c r="G2481" s="148" t="s">
        <v>52</v>
      </c>
      <c r="H2481" s="148">
        <v>2017</v>
      </c>
      <c r="I2481" s="148">
        <v>5</v>
      </c>
      <c r="J2481" s="148" t="s">
        <v>118</v>
      </c>
      <c r="K2481" s="148" t="s">
        <v>851</v>
      </c>
      <c r="M2481" s="148" t="s">
        <v>1441</v>
      </c>
      <c r="N2481" s="148">
        <v>8</v>
      </c>
      <c r="O2481" s="148" t="s">
        <v>101</v>
      </c>
      <c r="P2481" s="148" t="s">
        <v>1625</v>
      </c>
    </row>
    <row r="2482" spans="1:26" ht="15.75" hidden="1" customHeight="1" x14ac:dyDescent="0.25">
      <c r="A2482" s="148" t="s">
        <v>76</v>
      </c>
      <c r="B2482" s="148" t="s">
        <v>103</v>
      </c>
      <c r="C2482" s="148" t="s">
        <v>55</v>
      </c>
      <c r="D2482" s="148" t="s">
        <v>86</v>
      </c>
      <c r="E2482" s="148" t="s">
        <v>95</v>
      </c>
      <c r="F2482" s="148" t="s">
        <v>56</v>
      </c>
      <c r="G2482" s="148" t="s">
        <v>186</v>
      </c>
      <c r="H2482" s="148">
        <v>2017</v>
      </c>
      <c r="I2482" s="148">
        <v>5</v>
      </c>
      <c r="J2482" s="148" t="s">
        <v>118</v>
      </c>
      <c r="K2482" s="148" t="s">
        <v>851</v>
      </c>
      <c r="M2482" s="148" t="s">
        <v>1441</v>
      </c>
      <c r="N2482" s="148">
        <v>8</v>
      </c>
      <c r="O2482" s="148" t="s">
        <v>101</v>
      </c>
      <c r="P2482" s="148" t="s">
        <v>164</v>
      </c>
    </row>
    <row r="2483" spans="1:26" ht="13.5" hidden="1" customHeight="1" x14ac:dyDescent="0.25">
      <c r="A2483" s="148" t="s">
        <v>76</v>
      </c>
      <c r="B2483" s="148" t="s">
        <v>116</v>
      </c>
      <c r="C2483" s="148" t="s">
        <v>90</v>
      </c>
      <c r="D2483" s="148" t="s">
        <v>99</v>
      </c>
      <c r="E2483" s="148" t="s">
        <v>30</v>
      </c>
      <c r="F2483" s="148" t="s">
        <v>41</v>
      </c>
      <c r="G2483" s="148" t="s">
        <v>503</v>
      </c>
      <c r="H2483" s="148">
        <v>2017</v>
      </c>
      <c r="I2483" s="148">
        <v>5</v>
      </c>
      <c r="J2483" s="148" t="s">
        <v>118</v>
      </c>
      <c r="K2483" s="148" t="s">
        <v>502</v>
      </c>
      <c r="M2483" s="148" t="s">
        <v>126</v>
      </c>
      <c r="N2483" s="148">
        <v>10</v>
      </c>
      <c r="O2483" s="148" t="s">
        <v>101</v>
      </c>
      <c r="P2483" s="148" t="s">
        <v>1626</v>
      </c>
    </row>
    <row r="2484" spans="1:26" ht="13.5" hidden="1" customHeight="1" x14ac:dyDescent="0.25">
      <c r="A2484" s="148" t="s">
        <v>76</v>
      </c>
      <c r="B2484" s="148" t="s">
        <v>36</v>
      </c>
      <c r="C2484" s="148" t="s">
        <v>28</v>
      </c>
      <c r="D2484" s="148" t="s">
        <v>342</v>
      </c>
      <c r="E2484" s="148" t="s">
        <v>30</v>
      </c>
      <c r="F2484" s="148" t="s">
        <v>3183</v>
      </c>
      <c r="G2484" s="148" t="s">
        <v>114</v>
      </c>
      <c r="H2484" s="148">
        <v>2017</v>
      </c>
      <c r="I2484" s="148">
        <v>5</v>
      </c>
      <c r="J2484" s="148" t="s">
        <v>118</v>
      </c>
      <c r="K2484" s="148" t="s">
        <v>502</v>
      </c>
      <c r="M2484" s="148" t="s">
        <v>126</v>
      </c>
      <c r="N2484" s="148">
        <v>10</v>
      </c>
      <c r="O2484" s="148" t="s">
        <v>101</v>
      </c>
      <c r="P2484" s="148" t="s">
        <v>1582</v>
      </c>
      <c r="Y2484" s="150" t="s">
        <v>1627</v>
      </c>
    </row>
    <row r="2485" spans="1:26" ht="15" hidden="1" customHeight="1" x14ac:dyDescent="0.25">
      <c r="A2485" s="148" t="s">
        <v>26</v>
      </c>
      <c r="B2485" s="148" t="s">
        <v>36</v>
      </c>
      <c r="C2485" s="148" t="s">
        <v>28</v>
      </c>
      <c r="D2485" s="148" t="s">
        <v>342</v>
      </c>
      <c r="E2485" s="148" t="s">
        <v>30</v>
      </c>
      <c r="F2485" s="148" t="s">
        <v>3183</v>
      </c>
      <c r="G2485" s="148" t="s">
        <v>114</v>
      </c>
      <c r="H2485" s="148">
        <v>2017</v>
      </c>
      <c r="I2485" s="148">
        <v>5</v>
      </c>
      <c r="J2485" s="148" t="s">
        <v>33</v>
      </c>
      <c r="U2485" s="149" t="s">
        <v>112</v>
      </c>
      <c r="V2485" s="148" t="s">
        <v>3690</v>
      </c>
      <c r="W2485" s="148" t="s">
        <v>34</v>
      </c>
      <c r="X2485" s="148" t="s">
        <v>1611</v>
      </c>
      <c r="Y2485" s="150" t="s">
        <v>1628</v>
      </c>
      <c r="Z2485" s="157" t="s">
        <v>3752</v>
      </c>
    </row>
    <row r="2486" spans="1:26" ht="15.75" hidden="1" customHeight="1" x14ac:dyDescent="0.25">
      <c r="A2486" s="148" t="s">
        <v>307</v>
      </c>
      <c r="B2486" s="148" t="s">
        <v>62</v>
      </c>
      <c r="C2486" s="148" t="s">
        <v>46</v>
      </c>
      <c r="D2486" s="148" t="s">
        <v>78</v>
      </c>
      <c r="E2486" s="148" t="s">
        <v>30</v>
      </c>
      <c r="F2486" s="148" t="s">
        <v>3183</v>
      </c>
      <c r="G2486" s="148" t="s">
        <v>716</v>
      </c>
      <c r="H2486" s="148">
        <v>2017</v>
      </c>
      <c r="I2486" s="148">
        <v>5</v>
      </c>
      <c r="J2486" s="148" t="s">
        <v>399</v>
      </c>
      <c r="Q2486" s="148" t="s">
        <v>426</v>
      </c>
      <c r="R2486" s="148" t="s">
        <v>1629</v>
      </c>
      <c r="S2486" s="148" t="s">
        <v>427</v>
      </c>
      <c r="T2486" s="148" t="s">
        <v>1630</v>
      </c>
      <c r="Y2486" s="150" t="s">
        <v>1631</v>
      </c>
    </row>
    <row r="2487" spans="1:26" ht="15" hidden="1" customHeight="1" x14ac:dyDescent="0.25">
      <c r="A2487" s="148" t="s">
        <v>26</v>
      </c>
      <c r="B2487" s="148" t="s">
        <v>71</v>
      </c>
      <c r="C2487" s="148" t="s">
        <v>45</v>
      </c>
      <c r="D2487" s="148" t="s">
        <v>478</v>
      </c>
      <c r="E2487" s="148" t="s">
        <v>72</v>
      </c>
      <c r="F2487" s="148" t="s">
        <v>3183</v>
      </c>
      <c r="G2487" s="148" t="s">
        <v>73</v>
      </c>
      <c r="H2487" s="148">
        <v>2017</v>
      </c>
      <c r="I2487" s="148">
        <v>6</v>
      </c>
      <c r="J2487" s="148" t="s">
        <v>33</v>
      </c>
      <c r="U2487" s="149" t="s">
        <v>3629</v>
      </c>
      <c r="V2487" s="148" t="s">
        <v>1632</v>
      </c>
      <c r="W2487" s="148" t="s">
        <v>87</v>
      </c>
      <c r="X2487" s="157" t="s">
        <v>3722</v>
      </c>
      <c r="Y2487" s="150" t="s">
        <v>1633</v>
      </c>
    </row>
    <row r="2488" spans="1:26" ht="15" hidden="1" customHeight="1" x14ac:dyDescent="0.25">
      <c r="A2488" s="148" t="s">
        <v>307</v>
      </c>
      <c r="B2488" s="148" t="s">
        <v>44</v>
      </c>
      <c r="C2488" s="148" t="s">
        <v>45</v>
      </c>
      <c r="D2488" s="148" t="s">
        <v>99</v>
      </c>
      <c r="E2488" s="148" t="s">
        <v>95</v>
      </c>
      <c r="F2488" s="148" t="s">
        <v>47</v>
      </c>
      <c r="G2488" s="148" t="s">
        <v>96</v>
      </c>
      <c r="H2488" s="148">
        <v>2017</v>
      </c>
      <c r="I2488" s="148">
        <v>6</v>
      </c>
      <c r="J2488" s="148" t="s">
        <v>308</v>
      </c>
      <c r="Q2488" s="148" t="s">
        <v>426</v>
      </c>
      <c r="R2488" s="148" t="s">
        <v>1087</v>
      </c>
      <c r="S2488" s="148" t="s">
        <v>427</v>
      </c>
      <c r="T2488" s="148" t="s">
        <v>1570</v>
      </c>
    </row>
    <row r="2489" spans="1:26" ht="15.75" hidden="1" customHeight="1" x14ac:dyDescent="0.25">
      <c r="A2489" s="148" t="s">
        <v>26</v>
      </c>
      <c r="B2489" s="148" t="s">
        <v>116</v>
      </c>
      <c r="C2489" s="148" t="s">
        <v>90</v>
      </c>
      <c r="D2489" s="148" t="s">
        <v>99</v>
      </c>
      <c r="E2489" s="148" t="s">
        <v>30</v>
      </c>
      <c r="F2489" s="148" t="s">
        <v>41</v>
      </c>
      <c r="G2489" s="148" t="s">
        <v>564</v>
      </c>
      <c r="H2489" s="148">
        <v>2017</v>
      </c>
      <c r="I2489" s="148">
        <v>6</v>
      </c>
      <c r="J2489" s="148" t="s">
        <v>33</v>
      </c>
      <c r="U2489" s="149" t="s">
        <v>112</v>
      </c>
      <c r="V2489" s="148" t="s">
        <v>3690</v>
      </c>
      <c r="W2489" s="148" t="s">
        <v>34</v>
      </c>
      <c r="X2489" s="148" t="s">
        <v>1611</v>
      </c>
      <c r="Y2489" s="150" t="s">
        <v>1634</v>
      </c>
    </row>
    <row r="2490" spans="1:26" ht="15.75" hidden="1" customHeight="1" x14ac:dyDescent="0.25">
      <c r="A2490" s="148" t="s">
        <v>76</v>
      </c>
      <c r="B2490" s="148" t="s">
        <v>103</v>
      </c>
      <c r="C2490" s="148" t="s">
        <v>55</v>
      </c>
      <c r="D2490" s="148" t="s">
        <v>1635</v>
      </c>
      <c r="E2490" s="148" t="s">
        <v>30</v>
      </c>
      <c r="F2490" s="148" t="s">
        <v>56</v>
      </c>
      <c r="G2490" s="148" t="s">
        <v>405</v>
      </c>
      <c r="H2490" s="148">
        <v>2017</v>
      </c>
      <c r="I2490" s="148">
        <v>6</v>
      </c>
      <c r="J2490" s="148" t="s">
        <v>150</v>
      </c>
      <c r="K2490" s="148" t="s">
        <v>502</v>
      </c>
      <c r="M2490" s="148" t="s">
        <v>126</v>
      </c>
      <c r="N2490" s="148">
        <v>10</v>
      </c>
      <c r="O2490" s="148" t="s">
        <v>83</v>
      </c>
      <c r="P2490" s="148" t="s">
        <v>146</v>
      </c>
    </row>
    <row r="2491" spans="1:26" ht="13.5" hidden="1" customHeight="1" x14ac:dyDescent="0.25">
      <c r="A2491" s="148" t="s">
        <v>76</v>
      </c>
      <c r="B2491" s="148" t="s">
        <v>36</v>
      </c>
      <c r="C2491" s="148" t="s">
        <v>28</v>
      </c>
      <c r="D2491" s="148" t="s">
        <v>29</v>
      </c>
      <c r="E2491" s="148" t="s">
        <v>30</v>
      </c>
      <c r="F2491" s="148" t="s">
        <v>3183</v>
      </c>
      <c r="G2491" s="148" t="s">
        <v>722</v>
      </c>
      <c r="H2491" s="148">
        <v>2017</v>
      </c>
      <c r="I2491" s="148">
        <v>6</v>
      </c>
      <c r="J2491" s="148" t="s">
        <v>80</v>
      </c>
      <c r="K2491" s="148" t="s">
        <v>1636</v>
      </c>
      <c r="M2491" s="148" t="s">
        <v>1020</v>
      </c>
      <c r="N2491" s="148">
        <v>6</v>
      </c>
      <c r="O2491" s="148" t="s">
        <v>83</v>
      </c>
      <c r="P2491" s="148" t="s">
        <v>1637</v>
      </c>
    </row>
    <row r="2492" spans="1:26" ht="13.5" hidden="1" customHeight="1" x14ac:dyDescent="0.25">
      <c r="A2492" s="148" t="s">
        <v>26</v>
      </c>
      <c r="B2492" s="148" t="s">
        <v>116</v>
      </c>
      <c r="C2492" s="148" t="s">
        <v>90</v>
      </c>
      <c r="D2492" s="148" t="s">
        <v>478</v>
      </c>
      <c r="E2492" s="148" t="s">
        <v>30</v>
      </c>
      <c r="F2492" s="148" t="s">
        <v>41</v>
      </c>
      <c r="G2492" s="148" t="s">
        <v>421</v>
      </c>
      <c r="H2492" s="148">
        <v>2017</v>
      </c>
      <c r="I2492" s="148">
        <v>6</v>
      </c>
      <c r="J2492" s="148" t="s">
        <v>33</v>
      </c>
      <c r="U2492" s="149" t="s">
        <v>112</v>
      </c>
      <c r="V2492" s="148" t="s">
        <v>3690</v>
      </c>
      <c r="W2492" s="148" t="s">
        <v>34</v>
      </c>
      <c r="X2492" s="148" t="s">
        <v>1611</v>
      </c>
      <c r="Y2492" s="150" t="s">
        <v>1638</v>
      </c>
    </row>
    <row r="2493" spans="1:26" ht="15.75" hidden="1" customHeight="1" x14ac:dyDescent="0.25">
      <c r="A2493" s="148" t="s">
        <v>307</v>
      </c>
      <c r="B2493" s="148" t="s">
        <v>116</v>
      </c>
      <c r="C2493" s="148" t="s">
        <v>90</v>
      </c>
      <c r="D2493" s="148" t="s">
        <v>478</v>
      </c>
      <c r="E2493" s="148" t="s">
        <v>30</v>
      </c>
      <c r="F2493" s="148" t="s">
        <v>41</v>
      </c>
      <c r="G2493" s="148" t="s">
        <v>421</v>
      </c>
      <c r="H2493" s="148">
        <v>2017</v>
      </c>
      <c r="I2493" s="148">
        <v>6</v>
      </c>
      <c r="J2493" s="148" t="s">
        <v>308</v>
      </c>
      <c r="Q2493" s="148" t="s">
        <v>426</v>
      </c>
      <c r="R2493" s="148" t="s">
        <v>1087</v>
      </c>
      <c r="S2493" s="148" t="s">
        <v>427</v>
      </c>
      <c r="T2493" s="148" t="s">
        <v>1570</v>
      </c>
    </row>
    <row r="2494" spans="1:26" ht="15.75" hidden="1" customHeight="1" x14ac:dyDescent="0.25">
      <c r="A2494" s="148" t="s">
        <v>76</v>
      </c>
      <c r="B2494" s="148" t="s">
        <v>77</v>
      </c>
      <c r="C2494" s="148" t="s">
        <v>55</v>
      </c>
      <c r="D2494" s="148" t="s">
        <v>99</v>
      </c>
      <c r="E2494" s="148" t="s">
        <v>30</v>
      </c>
      <c r="F2494" s="148" t="s">
        <v>41</v>
      </c>
      <c r="G2494" s="148" t="s">
        <v>161</v>
      </c>
      <c r="H2494" s="148">
        <v>2017</v>
      </c>
      <c r="I2494" s="148">
        <v>6</v>
      </c>
      <c r="J2494" s="148" t="s">
        <v>118</v>
      </c>
      <c r="K2494" s="148" t="s">
        <v>708</v>
      </c>
      <c r="M2494" s="148" t="s">
        <v>82</v>
      </c>
      <c r="N2494" s="148">
        <v>8</v>
      </c>
      <c r="O2494" s="148" t="s">
        <v>101</v>
      </c>
      <c r="P2494" s="148" t="s">
        <v>1609</v>
      </c>
      <c r="Y2494" s="150" t="s">
        <v>1639</v>
      </c>
    </row>
    <row r="2495" spans="1:26" ht="13.5" hidden="1" customHeight="1" x14ac:dyDescent="0.25">
      <c r="A2495" s="148" t="s">
        <v>76</v>
      </c>
      <c r="B2495" s="148" t="s">
        <v>71</v>
      </c>
      <c r="C2495" s="148" t="s">
        <v>45</v>
      </c>
      <c r="D2495" s="148" t="s">
        <v>478</v>
      </c>
      <c r="E2495" s="148" t="s">
        <v>72</v>
      </c>
      <c r="F2495" s="148" t="s">
        <v>3183</v>
      </c>
      <c r="G2495" s="148" t="s">
        <v>75</v>
      </c>
      <c r="H2495" s="148">
        <v>2017</v>
      </c>
      <c r="I2495" s="148">
        <v>6</v>
      </c>
      <c r="J2495" s="148" t="s">
        <v>118</v>
      </c>
      <c r="K2495" s="148" t="s">
        <v>1622</v>
      </c>
      <c r="M2495" s="148" t="s">
        <v>521</v>
      </c>
      <c r="N2495" s="148">
        <v>6</v>
      </c>
      <c r="O2495" s="148" t="s">
        <v>101</v>
      </c>
      <c r="P2495" s="148" t="s">
        <v>1640</v>
      </c>
    </row>
    <row r="2496" spans="1:26" ht="15.75" hidden="1" customHeight="1" x14ac:dyDescent="0.25">
      <c r="A2496" s="148" t="s">
        <v>307</v>
      </c>
      <c r="B2496" s="148" t="s">
        <v>71</v>
      </c>
      <c r="C2496" s="148" t="s">
        <v>45</v>
      </c>
      <c r="D2496" s="148" t="s">
        <v>478</v>
      </c>
      <c r="E2496" s="148" t="s">
        <v>72</v>
      </c>
      <c r="F2496" s="148" t="s">
        <v>3183</v>
      </c>
      <c r="G2496" s="148" t="s">
        <v>75</v>
      </c>
      <c r="H2496" s="148">
        <v>2017</v>
      </c>
      <c r="I2496" s="148">
        <v>6</v>
      </c>
      <c r="J2496" s="148" t="s">
        <v>308</v>
      </c>
      <c r="Q2496" s="148" t="s">
        <v>426</v>
      </c>
      <c r="R2496" s="148" t="s">
        <v>1087</v>
      </c>
      <c r="S2496" s="148" t="s">
        <v>427</v>
      </c>
      <c r="T2496" s="148" t="s">
        <v>1570</v>
      </c>
    </row>
    <row r="2497" spans="1:25" ht="15.75" hidden="1" customHeight="1" x14ac:dyDescent="0.25">
      <c r="A2497" s="148" t="s">
        <v>26</v>
      </c>
      <c r="B2497" s="148" t="s">
        <v>71</v>
      </c>
      <c r="C2497" s="148" t="s">
        <v>45</v>
      </c>
      <c r="D2497" s="148" t="s">
        <v>478</v>
      </c>
      <c r="E2497" s="148" t="s">
        <v>72</v>
      </c>
      <c r="F2497" s="148" t="s">
        <v>3183</v>
      </c>
      <c r="G2497" s="148" t="s">
        <v>75</v>
      </c>
      <c r="H2497" s="148">
        <v>2017</v>
      </c>
      <c r="I2497" s="148">
        <v>6</v>
      </c>
      <c r="J2497" s="148" t="s">
        <v>33</v>
      </c>
      <c r="U2497" s="149" t="s">
        <v>3629</v>
      </c>
      <c r="V2497" s="148" t="s">
        <v>1618</v>
      </c>
      <c r="W2497" s="148" t="s">
        <v>87</v>
      </c>
      <c r="X2497" s="157" t="s">
        <v>3722</v>
      </c>
      <c r="Y2497" s="150" t="s">
        <v>1641</v>
      </c>
    </row>
    <row r="2498" spans="1:25" ht="15.75" hidden="1" customHeight="1" x14ac:dyDescent="0.25">
      <c r="A2498" s="148" t="s">
        <v>307</v>
      </c>
      <c r="B2498" s="148" t="s">
        <v>116</v>
      </c>
      <c r="C2498" s="148" t="s">
        <v>90</v>
      </c>
      <c r="D2498" s="148" t="s">
        <v>29</v>
      </c>
      <c r="E2498" s="148" t="s">
        <v>30</v>
      </c>
      <c r="F2498" s="148" t="s">
        <v>41</v>
      </c>
      <c r="G2498" s="148" t="s">
        <v>784</v>
      </c>
      <c r="H2498" s="148">
        <v>2017</v>
      </c>
      <c r="I2498" s="148">
        <v>6</v>
      </c>
      <c r="J2498" s="148" t="s">
        <v>308</v>
      </c>
      <c r="Q2498" s="148" t="s">
        <v>426</v>
      </c>
      <c r="R2498" s="148" t="s">
        <v>1087</v>
      </c>
      <c r="S2498" s="148" t="s">
        <v>427</v>
      </c>
      <c r="T2498" s="148" t="s">
        <v>1570</v>
      </c>
    </row>
    <row r="2499" spans="1:25" ht="15.75" hidden="1" customHeight="1" x14ac:dyDescent="0.25">
      <c r="A2499" s="148" t="s">
        <v>26</v>
      </c>
      <c r="B2499" s="148" t="s">
        <v>116</v>
      </c>
      <c r="C2499" s="148" t="s">
        <v>90</v>
      </c>
      <c r="D2499" s="148" t="s">
        <v>29</v>
      </c>
      <c r="E2499" s="148" t="s">
        <v>30</v>
      </c>
      <c r="F2499" s="148" t="s">
        <v>41</v>
      </c>
      <c r="G2499" s="148" t="s">
        <v>784</v>
      </c>
      <c r="H2499" s="148">
        <v>2017</v>
      </c>
      <c r="I2499" s="148">
        <v>6</v>
      </c>
      <c r="J2499" s="148" t="s">
        <v>33</v>
      </c>
      <c r="U2499" s="149" t="s">
        <v>112</v>
      </c>
      <c r="V2499" s="148" t="s">
        <v>3690</v>
      </c>
      <c r="W2499" s="148" t="s">
        <v>34</v>
      </c>
      <c r="X2499" s="148" t="s">
        <v>1611</v>
      </c>
      <c r="Y2499" s="150" t="s">
        <v>1642</v>
      </c>
    </row>
    <row r="2500" spans="1:25" ht="15.75" hidden="1" customHeight="1" x14ac:dyDescent="0.25">
      <c r="A2500" s="148" t="s">
        <v>76</v>
      </c>
      <c r="B2500" s="148" t="s">
        <v>27</v>
      </c>
      <c r="C2500" s="148" t="s">
        <v>28</v>
      </c>
      <c r="D2500" s="148" t="s">
        <v>1302</v>
      </c>
      <c r="E2500" s="148" t="s">
        <v>40</v>
      </c>
      <c r="F2500" s="148" t="s">
        <v>41</v>
      </c>
      <c r="G2500" s="148" t="s">
        <v>42</v>
      </c>
      <c r="H2500" s="148">
        <v>2017</v>
      </c>
      <c r="I2500" s="148">
        <v>6</v>
      </c>
      <c r="J2500" s="148" t="s">
        <v>118</v>
      </c>
      <c r="K2500" s="148" t="s">
        <v>579</v>
      </c>
      <c r="M2500" s="148" t="s">
        <v>126</v>
      </c>
      <c r="N2500" s="148">
        <v>10</v>
      </c>
      <c r="O2500" s="148" t="s">
        <v>101</v>
      </c>
      <c r="P2500" s="148" t="s">
        <v>1643</v>
      </c>
      <c r="Y2500" s="150" t="s">
        <v>1644</v>
      </c>
    </row>
    <row r="2501" spans="1:25" ht="15.75" hidden="1" customHeight="1" x14ac:dyDescent="0.25">
      <c r="A2501" s="148" t="s">
        <v>307</v>
      </c>
      <c r="B2501" s="148" t="s">
        <v>27</v>
      </c>
      <c r="C2501" s="148" t="s">
        <v>28</v>
      </c>
      <c r="D2501" s="148" t="s">
        <v>1302</v>
      </c>
      <c r="E2501" s="148" t="s">
        <v>40</v>
      </c>
      <c r="F2501" s="148" t="s">
        <v>41</v>
      </c>
      <c r="G2501" s="148" t="s">
        <v>42</v>
      </c>
      <c r="H2501" s="148">
        <v>2017</v>
      </c>
      <c r="I2501" s="148">
        <v>6</v>
      </c>
      <c r="J2501" s="148" t="s">
        <v>308</v>
      </c>
      <c r="Q2501" s="148" t="s">
        <v>426</v>
      </c>
      <c r="R2501" s="148" t="s">
        <v>1569</v>
      </c>
      <c r="S2501" s="148" t="s">
        <v>427</v>
      </c>
      <c r="T2501" s="148" t="s">
        <v>1573</v>
      </c>
      <c r="Y2501" s="150" t="s">
        <v>1645</v>
      </c>
    </row>
    <row r="2502" spans="1:25" ht="15.75" hidden="1" customHeight="1" x14ac:dyDescent="0.25">
      <c r="A2502" s="148" t="s">
        <v>26</v>
      </c>
      <c r="B2502" s="148" t="s">
        <v>27</v>
      </c>
      <c r="C2502" s="148" t="s">
        <v>28</v>
      </c>
      <c r="D2502" s="148" t="s">
        <v>1302</v>
      </c>
      <c r="E2502" s="148" t="s">
        <v>40</v>
      </c>
      <c r="F2502" s="148" t="s">
        <v>41</v>
      </c>
      <c r="G2502" s="148" t="s">
        <v>42</v>
      </c>
      <c r="H2502" s="148">
        <v>2017</v>
      </c>
      <c r="I2502" s="148">
        <v>6</v>
      </c>
      <c r="J2502" s="148" t="s">
        <v>817</v>
      </c>
      <c r="U2502" s="149" t="s">
        <v>112</v>
      </c>
      <c r="V2502" s="148" t="s">
        <v>3690</v>
      </c>
      <c r="W2502" s="148" t="s">
        <v>34</v>
      </c>
      <c r="X2502" s="148" t="s">
        <v>1611</v>
      </c>
      <c r="Y2502" s="150" t="s">
        <v>1646</v>
      </c>
    </row>
    <row r="2503" spans="1:25" ht="15.75" hidden="1" customHeight="1" x14ac:dyDescent="0.25">
      <c r="A2503" s="148" t="s">
        <v>76</v>
      </c>
      <c r="B2503" s="148" t="s">
        <v>36</v>
      </c>
      <c r="C2503" s="148" t="s">
        <v>28</v>
      </c>
      <c r="D2503" s="148" t="s">
        <v>86</v>
      </c>
      <c r="E2503" s="148" t="s">
        <v>51</v>
      </c>
      <c r="F2503" s="148" t="s">
        <v>3183</v>
      </c>
      <c r="G2503" s="148" t="s">
        <v>69</v>
      </c>
      <c r="H2503" s="148">
        <v>2017</v>
      </c>
      <c r="I2503" s="148">
        <v>6</v>
      </c>
      <c r="J2503" s="148" t="s">
        <v>118</v>
      </c>
      <c r="K2503" s="148" t="s">
        <v>708</v>
      </c>
      <c r="M2503" s="148" t="s">
        <v>82</v>
      </c>
      <c r="N2503" s="148">
        <v>8</v>
      </c>
      <c r="O2503" s="148" t="s">
        <v>101</v>
      </c>
      <c r="P2503" s="148" t="s">
        <v>1647</v>
      </c>
      <c r="Y2503" s="150" t="s">
        <v>1648</v>
      </c>
    </row>
    <row r="2504" spans="1:25" ht="15.75" hidden="1" customHeight="1" x14ac:dyDescent="0.25">
      <c r="A2504" s="148" t="s">
        <v>76</v>
      </c>
      <c r="B2504" s="148" t="s">
        <v>54</v>
      </c>
      <c r="C2504" s="148" t="s">
        <v>55</v>
      </c>
      <c r="D2504" s="148" t="s">
        <v>1082</v>
      </c>
      <c r="E2504" s="148" t="s">
        <v>30</v>
      </c>
      <c r="F2504" s="148" t="s">
        <v>56</v>
      </c>
      <c r="G2504" s="148" t="s">
        <v>54</v>
      </c>
      <c r="H2504" s="148">
        <v>2017</v>
      </c>
      <c r="I2504" s="148">
        <v>6</v>
      </c>
      <c r="J2504" s="148" t="s">
        <v>150</v>
      </c>
      <c r="K2504" s="148" t="s">
        <v>1636</v>
      </c>
      <c r="M2504" s="148" t="s">
        <v>1020</v>
      </c>
      <c r="N2504" s="148">
        <v>6</v>
      </c>
      <c r="O2504" s="148" t="s">
        <v>83</v>
      </c>
      <c r="P2504" s="148" t="s">
        <v>1649</v>
      </c>
      <c r="Y2504" s="150" t="s">
        <v>1650</v>
      </c>
    </row>
    <row r="2505" spans="1:25" ht="15.75" hidden="1" customHeight="1" x14ac:dyDescent="0.25">
      <c r="A2505" s="148" t="s">
        <v>76</v>
      </c>
      <c r="B2505" s="148" t="s">
        <v>77</v>
      </c>
      <c r="C2505" s="148" t="s">
        <v>55</v>
      </c>
      <c r="D2505" s="148" t="s">
        <v>78</v>
      </c>
      <c r="E2505" s="148" t="s">
        <v>30</v>
      </c>
      <c r="F2505" s="148" t="s">
        <v>41</v>
      </c>
      <c r="G2505" s="148" t="s">
        <v>79</v>
      </c>
      <c r="H2505" s="148">
        <v>2017</v>
      </c>
      <c r="I2505" s="148">
        <v>6</v>
      </c>
      <c r="J2505" s="148" t="s">
        <v>80</v>
      </c>
      <c r="K2505" s="148" t="s">
        <v>708</v>
      </c>
      <c r="M2505" s="148" t="s">
        <v>82</v>
      </c>
      <c r="N2505" s="148">
        <v>8</v>
      </c>
      <c r="O2505" s="148" t="s">
        <v>83</v>
      </c>
      <c r="P2505" s="148" t="s">
        <v>1651</v>
      </c>
      <c r="Y2505" s="150" t="s">
        <v>1652</v>
      </c>
    </row>
    <row r="2506" spans="1:25" ht="16.5" hidden="1" customHeight="1" x14ac:dyDescent="0.25">
      <c r="A2506" s="148" t="s">
        <v>76</v>
      </c>
      <c r="B2506" s="148" t="s">
        <v>103</v>
      </c>
      <c r="C2506" s="148" t="s">
        <v>55</v>
      </c>
      <c r="D2506" s="148" t="s">
        <v>478</v>
      </c>
      <c r="E2506" s="148" t="s">
        <v>95</v>
      </c>
      <c r="F2506" s="148" t="s">
        <v>56</v>
      </c>
      <c r="G2506" s="148" t="s">
        <v>338</v>
      </c>
      <c r="H2506" s="148">
        <v>2017</v>
      </c>
      <c r="I2506" s="148">
        <v>6</v>
      </c>
      <c r="J2506" s="148" t="s">
        <v>150</v>
      </c>
      <c r="K2506" s="148" t="s">
        <v>502</v>
      </c>
      <c r="M2506" s="148" t="s">
        <v>126</v>
      </c>
      <c r="N2506" s="148">
        <v>10</v>
      </c>
      <c r="O2506" s="148" t="s">
        <v>83</v>
      </c>
      <c r="P2506" s="148" t="s">
        <v>146</v>
      </c>
    </row>
    <row r="2507" spans="1:25" ht="13.5" hidden="1" customHeight="1" x14ac:dyDescent="0.25">
      <c r="A2507" s="148" t="s">
        <v>307</v>
      </c>
      <c r="B2507" s="148" t="s">
        <v>27</v>
      </c>
      <c r="C2507" s="148" t="s">
        <v>28</v>
      </c>
      <c r="D2507" s="148" t="s">
        <v>86</v>
      </c>
      <c r="E2507" s="148" t="s">
        <v>30</v>
      </c>
      <c r="F2507" s="148" t="s">
        <v>3183</v>
      </c>
      <c r="G2507" s="148" t="s">
        <v>43</v>
      </c>
      <c r="H2507" s="148">
        <v>2017</v>
      </c>
      <c r="I2507" s="148">
        <v>6</v>
      </c>
      <c r="J2507" s="148" t="s">
        <v>308</v>
      </c>
      <c r="Q2507" s="148" t="s">
        <v>426</v>
      </c>
      <c r="R2507" s="148" t="s">
        <v>1087</v>
      </c>
      <c r="S2507" s="148" t="s">
        <v>427</v>
      </c>
      <c r="T2507" s="148" t="s">
        <v>1570</v>
      </c>
    </row>
    <row r="2508" spans="1:25" ht="15.75" hidden="1" customHeight="1" x14ac:dyDescent="0.25">
      <c r="A2508" s="148" t="s">
        <v>26</v>
      </c>
      <c r="B2508" s="148" t="s">
        <v>27</v>
      </c>
      <c r="C2508" s="148" t="s">
        <v>28</v>
      </c>
      <c r="D2508" s="148" t="s">
        <v>86</v>
      </c>
      <c r="E2508" s="148" t="s">
        <v>30</v>
      </c>
      <c r="F2508" s="148" t="s">
        <v>3183</v>
      </c>
      <c r="G2508" s="148" t="s">
        <v>43</v>
      </c>
      <c r="H2508" s="148">
        <v>2017</v>
      </c>
      <c r="I2508" s="148">
        <v>6</v>
      </c>
      <c r="J2508" s="148" t="s">
        <v>817</v>
      </c>
      <c r="U2508" s="149" t="s">
        <v>112</v>
      </c>
      <c r="V2508" s="148" t="s">
        <v>3690</v>
      </c>
      <c r="W2508" s="148" t="s">
        <v>34</v>
      </c>
      <c r="X2508" s="148" t="s">
        <v>1611</v>
      </c>
      <c r="Y2508" s="150" t="s">
        <v>1653</v>
      </c>
    </row>
    <row r="2509" spans="1:25" ht="13.5" hidden="1" customHeight="1" x14ac:dyDescent="0.25">
      <c r="A2509" s="148" t="s">
        <v>76</v>
      </c>
      <c r="B2509" s="148" t="s">
        <v>103</v>
      </c>
      <c r="C2509" s="148" t="s">
        <v>55</v>
      </c>
      <c r="D2509" s="148" t="s">
        <v>478</v>
      </c>
      <c r="E2509" s="148" t="s">
        <v>95</v>
      </c>
      <c r="F2509" s="148" t="s">
        <v>56</v>
      </c>
      <c r="G2509" s="148" t="s">
        <v>108</v>
      </c>
      <c r="H2509" s="148">
        <v>2017</v>
      </c>
      <c r="I2509" s="148">
        <v>6</v>
      </c>
      <c r="J2509" s="148" t="s">
        <v>118</v>
      </c>
      <c r="K2509" s="148" t="s">
        <v>692</v>
      </c>
      <c r="M2509" s="148" t="s">
        <v>1451</v>
      </c>
      <c r="N2509" s="148">
        <v>8</v>
      </c>
      <c r="O2509" s="148" t="s">
        <v>101</v>
      </c>
      <c r="P2509" s="148" t="s">
        <v>121</v>
      </c>
    </row>
    <row r="2510" spans="1:25" ht="15.75" hidden="1" customHeight="1" x14ac:dyDescent="0.25">
      <c r="A2510" s="148" t="s">
        <v>76</v>
      </c>
      <c r="B2510" s="148" t="s">
        <v>44</v>
      </c>
      <c r="C2510" s="148" t="s">
        <v>45</v>
      </c>
      <c r="D2510" s="148" t="s">
        <v>29</v>
      </c>
      <c r="E2510" s="148" t="s">
        <v>46</v>
      </c>
      <c r="F2510" s="148" t="s">
        <v>47</v>
      </c>
      <c r="G2510" s="148" t="s">
        <v>48</v>
      </c>
      <c r="H2510" s="148">
        <v>2017</v>
      </c>
      <c r="I2510" s="148">
        <v>6</v>
      </c>
      <c r="J2510" s="148" t="s">
        <v>150</v>
      </c>
      <c r="K2510" s="148" t="s">
        <v>851</v>
      </c>
      <c r="M2510" s="148" t="s">
        <v>1441</v>
      </c>
      <c r="N2510" s="148">
        <v>8</v>
      </c>
      <c r="O2510" s="148" t="s">
        <v>83</v>
      </c>
      <c r="P2510" s="148" t="s">
        <v>1654</v>
      </c>
      <c r="Y2510" s="150" t="s">
        <v>1655</v>
      </c>
    </row>
    <row r="2511" spans="1:25" ht="15.75" hidden="1" customHeight="1" x14ac:dyDescent="0.25">
      <c r="A2511" s="148" t="s">
        <v>307</v>
      </c>
      <c r="B2511" s="148" t="s">
        <v>44</v>
      </c>
      <c r="C2511" s="148" t="s">
        <v>45</v>
      </c>
      <c r="D2511" s="148" t="s">
        <v>29</v>
      </c>
      <c r="E2511" s="148" t="s">
        <v>46</v>
      </c>
      <c r="F2511" s="148" t="s">
        <v>47</v>
      </c>
      <c r="G2511" s="148" t="s">
        <v>48</v>
      </c>
      <c r="H2511" s="148">
        <v>2017</v>
      </c>
      <c r="I2511" s="148">
        <v>6</v>
      </c>
      <c r="J2511" s="148" t="s">
        <v>308</v>
      </c>
      <c r="Q2511" s="148" t="s">
        <v>426</v>
      </c>
      <c r="R2511" s="148" t="s">
        <v>1087</v>
      </c>
      <c r="S2511" s="148" t="s">
        <v>427</v>
      </c>
      <c r="T2511" s="148" t="s">
        <v>1570</v>
      </c>
    </row>
    <row r="2512" spans="1:25" ht="13.5" hidden="1" customHeight="1" x14ac:dyDescent="0.25">
      <c r="A2512" s="148" t="s">
        <v>26</v>
      </c>
      <c r="B2512" s="148" t="s">
        <v>71</v>
      </c>
      <c r="C2512" s="148" t="s">
        <v>45</v>
      </c>
      <c r="D2512" s="148" t="s">
        <v>99</v>
      </c>
      <c r="E2512" s="148" t="s">
        <v>30</v>
      </c>
      <c r="F2512" s="148" t="s">
        <v>3183</v>
      </c>
      <c r="G2512" s="148" t="s">
        <v>588</v>
      </c>
      <c r="H2512" s="148">
        <v>2017</v>
      </c>
      <c r="I2512" s="148">
        <v>6</v>
      </c>
      <c r="J2512" s="148" t="s">
        <v>33</v>
      </c>
      <c r="U2512" s="149" t="s">
        <v>3629</v>
      </c>
      <c r="V2512" s="148" t="s">
        <v>1632</v>
      </c>
      <c r="W2512" s="148" t="s">
        <v>87</v>
      </c>
      <c r="X2512" s="157" t="s">
        <v>3722</v>
      </c>
      <c r="Y2512" s="150" t="s">
        <v>1656</v>
      </c>
    </row>
    <row r="2513" spans="1:26" ht="13.5" hidden="1" customHeight="1" x14ac:dyDescent="0.25">
      <c r="A2513" s="148" t="s">
        <v>76</v>
      </c>
      <c r="B2513" s="148" t="s">
        <v>36</v>
      </c>
      <c r="C2513" s="148" t="s">
        <v>28</v>
      </c>
      <c r="D2513" s="148" t="s">
        <v>342</v>
      </c>
      <c r="E2513" s="148" t="s">
        <v>30</v>
      </c>
      <c r="F2513" s="148" t="s">
        <v>3183</v>
      </c>
      <c r="G2513" s="148" t="s">
        <v>114</v>
      </c>
      <c r="H2513" s="148">
        <v>2017</v>
      </c>
      <c r="I2513" s="148">
        <v>6</v>
      </c>
      <c r="J2513" s="148" t="s">
        <v>150</v>
      </c>
      <c r="K2513" s="148" t="s">
        <v>502</v>
      </c>
      <c r="M2513" s="148" t="s">
        <v>126</v>
      </c>
      <c r="N2513" s="148">
        <v>10</v>
      </c>
      <c r="O2513" s="148" t="s">
        <v>83</v>
      </c>
      <c r="P2513" s="148" t="s">
        <v>154</v>
      </c>
    </row>
    <row r="2514" spans="1:26" ht="13.5" hidden="1" customHeight="1" x14ac:dyDescent="0.25">
      <c r="A2514" s="148" t="s">
        <v>76</v>
      </c>
      <c r="B2514" s="148" t="s">
        <v>89</v>
      </c>
      <c r="C2514" s="148" t="s">
        <v>90</v>
      </c>
      <c r="D2514" s="148" t="s">
        <v>99</v>
      </c>
      <c r="E2514" s="148" t="s">
        <v>30</v>
      </c>
      <c r="F2514" s="148" t="s">
        <v>91</v>
      </c>
      <c r="G2514" s="148" t="s">
        <v>499</v>
      </c>
      <c r="H2514" s="148">
        <v>2017</v>
      </c>
      <c r="I2514" s="148">
        <v>7</v>
      </c>
      <c r="J2514" s="148" t="s">
        <v>150</v>
      </c>
      <c r="K2514" s="148" t="s">
        <v>708</v>
      </c>
      <c r="M2514" s="148" t="s">
        <v>82</v>
      </c>
      <c r="N2514" s="148">
        <v>8</v>
      </c>
      <c r="O2514" s="148" t="s">
        <v>83</v>
      </c>
      <c r="P2514" s="148" t="s">
        <v>1037</v>
      </c>
      <c r="Y2514" s="150" t="s">
        <v>1657</v>
      </c>
    </row>
    <row r="2515" spans="1:26" ht="15.75" hidden="1" customHeight="1" x14ac:dyDescent="0.25">
      <c r="A2515" s="148" t="s">
        <v>307</v>
      </c>
      <c r="B2515" s="148" t="s">
        <v>103</v>
      </c>
      <c r="C2515" s="148" t="s">
        <v>55</v>
      </c>
      <c r="D2515" s="148" t="s">
        <v>478</v>
      </c>
      <c r="E2515" s="148" t="s">
        <v>30</v>
      </c>
      <c r="F2515" s="148" t="s">
        <v>56</v>
      </c>
      <c r="G2515" s="148" t="s">
        <v>171</v>
      </c>
      <c r="H2515" s="148">
        <v>2017</v>
      </c>
      <c r="I2515" s="148">
        <v>7</v>
      </c>
      <c r="J2515" s="148" t="s">
        <v>308</v>
      </c>
      <c r="Q2515" s="148" t="s">
        <v>309</v>
      </c>
      <c r="R2515" s="148" t="s">
        <v>1658</v>
      </c>
      <c r="S2515" s="148" t="s">
        <v>660</v>
      </c>
      <c r="T2515" s="148" t="s">
        <v>1659</v>
      </c>
      <c r="Y2515" s="150" t="s">
        <v>1660</v>
      </c>
    </row>
    <row r="2516" spans="1:26" ht="15.75" hidden="1" customHeight="1" x14ac:dyDescent="0.25">
      <c r="A2516" s="148" t="s">
        <v>76</v>
      </c>
      <c r="B2516" s="148" t="s">
        <v>198</v>
      </c>
      <c r="C2516" s="148" t="s">
        <v>45</v>
      </c>
      <c r="D2516" s="148" t="s">
        <v>342</v>
      </c>
      <c r="E2516" s="148" t="s">
        <v>30</v>
      </c>
      <c r="F2516" s="148" t="s">
        <v>199</v>
      </c>
      <c r="G2516" s="148" t="s">
        <v>296</v>
      </c>
      <c r="H2516" s="148">
        <v>2017</v>
      </c>
      <c r="I2516" s="148">
        <v>7</v>
      </c>
      <c r="J2516" s="148" t="s">
        <v>118</v>
      </c>
      <c r="K2516" s="148" t="s">
        <v>1333</v>
      </c>
      <c r="M2516" s="148" t="s">
        <v>1519</v>
      </c>
      <c r="N2516" s="148">
        <v>6</v>
      </c>
      <c r="O2516" s="148" t="s">
        <v>101</v>
      </c>
      <c r="P2516" s="148" t="s">
        <v>1661</v>
      </c>
      <c r="Y2516" s="150" t="s">
        <v>1662</v>
      </c>
    </row>
    <row r="2517" spans="1:26" ht="15.75" hidden="1" customHeight="1" x14ac:dyDescent="0.25">
      <c r="A2517" s="148" t="s">
        <v>307</v>
      </c>
      <c r="B2517" s="148" t="s">
        <v>116</v>
      </c>
      <c r="C2517" s="148" t="s">
        <v>90</v>
      </c>
      <c r="D2517" s="148" t="s">
        <v>99</v>
      </c>
      <c r="E2517" s="148" t="s">
        <v>30</v>
      </c>
      <c r="F2517" s="148" t="s">
        <v>41</v>
      </c>
      <c r="G2517" s="148" t="s">
        <v>564</v>
      </c>
      <c r="H2517" s="148">
        <v>2017</v>
      </c>
      <c r="I2517" s="148">
        <v>7</v>
      </c>
      <c r="J2517" s="148" t="s">
        <v>308</v>
      </c>
      <c r="Q2517" s="148" t="s">
        <v>426</v>
      </c>
      <c r="R2517" s="148" t="s">
        <v>1087</v>
      </c>
      <c r="S2517" s="148" t="s">
        <v>427</v>
      </c>
      <c r="T2517" s="148" t="s">
        <v>1570</v>
      </c>
    </row>
    <row r="2518" spans="1:26" ht="13.5" hidden="1" customHeight="1" x14ac:dyDescent="0.25">
      <c r="A2518" s="148" t="s">
        <v>26</v>
      </c>
      <c r="B2518" s="148" t="s">
        <v>103</v>
      </c>
      <c r="C2518" s="148" t="s">
        <v>55</v>
      </c>
      <c r="D2518" s="148" t="s">
        <v>478</v>
      </c>
      <c r="E2518" s="148" t="s">
        <v>95</v>
      </c>
      <c r="F2518" s="148" t="s">
        <v>56</v>
      </c>
      <c r="G2518" s="148" t="s">
        <v>153</v>
      </c>
      <c r="H2518" s="148">
        <v>2017</v>
      </c>
      <c r="I2518" s="148">
        <v>7</v>
      </c>
      <c r="J2518" s="148" t="s">
        <v>33</v>
      </c>
      <c r="U2518" s="149" t="s">
        <v>112</v>
      </c>
      <c r="V2518" s="148" t="s">
        <v>3690</v>
      </c>
      <c r="W2518" s="148" t="s">
        <v>34</v>
      </c>
      <c r="X2518" s="148" t="s">
        <v>1611</v>
      </c>
      <c r="Y2518" s="150" t="s">
        <v>1663</v>
      </c>
    </row>
    <row r="2519" spans="1:26" ht="13.5" hidden="1" customHeight="1" x14ac:dyDescent="0.25">
      <c r="A2519" s="148" t="s">
        <v>307</v>
      </c>
      <c r="B2519" s="148" t="s">
        <v>103</v>
      </c>
      <c r="C2519" s="148" t="s">
        <v>55</v>
      </c>
      <c r="D2519" s="148" t="s">
        <v>478</v>
      </c>
      <c r="E2519" s="148" t="s">
        <v>95</v>
      </c>
      <c r="F2519" s="148" t="s">
        <v>56</v>
      </c>
      <c r="G2519" s="148" t="s">
        <v>153</v>
      </c>
      <c r="H2519" s="148">
        <v>2017</v>
      </c>
      <c r="I2519" s="148">
        <v>7</v>
      </c>
      <c r="J2519" s="148" t="s">
        <v>308</v>
      </c>
      <c r="Q2519" s="148" t="s">
        <v>426</v>
      </c>
      <c r="R2519" s="148" t="s">
        <v>1087</v>
      </c>
      <c r="S2519" s="148" t="s">
        <v>427</v>
      </c>
      <c r="T2519" s="148" t="s">
        <v>1570</v>
      </c>
    </row>
    <row r="2520" spans="1:26" ht="15.75" hidden="1" customHeight="1" x14ac:dyDescent="0.25">
      <c r="A2520" s="148" t="s">
        <v>76</v>
      </c>
      <c r="B2520" s="148" t="s">
        <v>89</v>
      </c>
      <c r="C2520" s="148" t="s">
        <v>90</v>
      </c>
      <c r="D2520" s="148" t="s">
        <v>342</v>
      </c>
      <c r="E2520" s="148" t="s">
        <v>30</v>
      </c>
      <c r="F2520" s="148" t="s">
        <v>91</v>
      </c>
      <c r="G2520" s="148" t="s">
        <v>391</v>
      </c>
      <c r="H2520" s="148">
        <v>2017</v>
      </c>
      <c r="I2520" s="148">
        <v>7</v>
      </c>
      <c r="J2520" s="148" t="s">
        <v>118</v>
      </c>
      <c r="K2520" s="148" t="s">
        <v>579</v>
      </c>
      <c r="M2520" s="148" t="s">
        <v>126</v>
      </c>
      <c r="N2520" s="148">
        <v>10</v>
      </c>
      <c r="O2520" s="148" t="s">
        <v>101</v>
      </c>
      <c r="P2520" s="148" t="s">
        <v>1037</v>
      </c>
    </row>
    <row r="2521" spans="1:26" ht="15.75" hidden="1" customHeight="1" x14ac:dyDescent="0.25">
      <c r="A2521" s="148" t="s">
        <v>76</v>
      </c>
      <c r="B2521" s="148" t="s">
        <v>103</v>
      </c>
      <c r="C2521" s="148" t="s">
        <v>55</v>
      </c>
      <c r="D2521" s="148" t="s">
        <v>478</v>
      </c>
      <c r="E2521" s="148" t="s">
        <v>95</v>
      </c>
      <c r="F2521" s="148" t="s">
        <v>56</v>
      </c>
      <c r="G2521" s="148" t="s">
        <v>107</v>
      </c>
      <c r="H2521" s="148">
        <v>2017</v>
      </c>
      <c r="I2521" s="148">
        <v>7</v>
      </c>
      <c r="J2521" s="148" t="s">
        <v>118</v>
      </c>
      <c r="K2521" s="148" t="s">
        <v>579</v>
      </c>
      <c r="M2521" s="148" t="s">
        <v>126</v>
      </c>
      <c r="N2521" s="148">
        <v>10</v>
      </c>
      <c r="O2521" s="148" t="s">
        <v>101</v>
      </c>
      <c r="P2521" s="148" t="s">
        <v>1664</v>
      </c>
    </row>
    <row r="2522" spans="1:26" ht="15.75" hidden="1" customHeight="1" x14ac:dyDescent="0.25">
      <c r="A2522" s="148" t="s">
        <v>26</v>
      </c>
      <c r="B2522" s="148" t="s">
        <v>103</v>
      </c>
      <c r="C2522" s="148" t="s">
        <v>55</v>
      </c>
      <c r="D2522" s="148" t="s">
        <v>478</v>
      </c>
      <c r="E2522" s="148" t="s">
        <v>95</v>
      </c>
      <c r="F2522" s="148" t="s">
        <v>56</v>
      </c>
      <c r="G2522" s="148" t="s">
        <v>107</v>
      </c>
      <c r="H2522" s="148">
        <v>2017</v>
      </c>
      <c r="I2522" s="148">
        <v>7</v>
      </c>
      <c r="J2522" s="148" t="s">
        <v>33</v>
      </c>
      <c r="U2522" s="149" t="s">
        <v>112</v>
      </c>
      <c r="V2522" s="148" t="s">
        <v>3690</v>
      </c>
      <c r="W2522" s="148" t="s">
        <v>1665</v>
      </c>
      <c r="X2522" s="148" t="s">
        <v>1611</v>
      </c>
      <c r="Y2522" s="150" t="s">
        <v>1666</v>
      </c>
    </row>
    <row r="2523" spans="1:26" ht="15.75" hidden="1" customHeight="1" x14ac:dyDescent="0.25">
      <c r="A2523" s="148" t="s">
        <v>307</v>
      </c>
      <c r="B2523" s="148" t="s">
        <v>103</v>
      </c>
      <c r="C2523" s="148" t="s">
        <v>55</v>
      </c>
      <c r="D2523" s="148" t="s">
        <v>478</v>
      </c>
      <c r="E2523" s="148" t="s">
        <v>95</v>
      </c>
      <c r="F2523" s="148" t="s">
        <v>56</v>
      </c>
      <c r="G2523" s="148" t="s">
        <v>107</v>
      </c>
      <c r="H2523" s="148">
        <v>2017</v>
      </c>
      <c r="I2523" s="148">
        <v>7</v>
      </c>
      <c r="J2523" s="148" t="s">
        <v>308</v>
      </c>
      <c r="Q2523" s="148" t="s">
        <v>426</v>
      </c>
      <c r="R2523" s="148" t="s">
        <v>1087</v>
      </c>
      <c r="S2523" s="148" t="s">
        <v>427</v>
      </c>
      <c r="T2523" s="148" t="s">
        <v>1570</v>
      </c>
    </row>
    <row r="2524" spans="1:26" ht="15.75" hidden="1" customHeight="1" x14ac:dyDescent="0.25">
      <c r="A2524" s="148" t="s">
        <v>76</v>
      </c>
      <c r="B2524" s="148" t="s">
        <v>89</v>
      </c>
      <c r="C2524" s="148" t="s">
        <v>90</v>
      </c>
      <c r="D2524" s="148" t="s">
        <v>158</v>
      </c>
      <c r="E2524" s="148" t="s">
        <v>30</v>
      </c>
      <c r="F2524" s="148" t="s">
        <v>91</v>
      </c>
      <c r="G2524" s="148" t="s">
        <v>222</v>
      </c>
      <c r="H2524" s="148">
        <v>2017</v>
      </c>
      <c r="I2524" s="148">
        <v>7</v>
      </c>
      <c r="J2524" s="148" t="s">
        <v>150</v>
      </c>
      <c r="K2524" s="148" t="s">
        <v>708</v>
      </c>
      <c r="M2524" s="148" t="s">
        <v>82</v>
      </c>
      <c r="N2524" s="148">
        <v>8</v>
      </c>
      <c r="O2524" s="148" t="s">
        <v>101</v>
      </c>
      <c r="P2524" s="148" t="s">
        <v>1585</v>
      </c>
      <c r="Y2524" s="150" t="s">
        <v>1667</v>
      </c>
    </row>
    <row r="2525" spans="1:26" ht="15.75" hidden="1" customHeight="1" x14ac:dyDescent="0.25">
      <c r="A2525" s="148" t="s">
        <v>76</v>
      </c>
      <c r="B2525" s="148" t="s">
        <v>89</v>
      </c>
      <c r="C2525" s="148" t="s">
        <v>90</v>
      </c>
      <c r="D2525" s="148" t="s">
        <v>342</v>
      </c>
      <c r="E2525" s="148" t="s">
        <v>30</v>
      </c>
      <c r="F2525" s="148" t="s">
        <v>91</v>
      </c>
      <c r="G2525" s="148" t="s">
        <v>411</v>
      </c>
      <c r="H2525" s="148">
        <v>2017</v>
      </c>
      <c r="I2525" s="148">
        <v>7</v>
      </c>
      <c r="J2525" s="148" t="s">
        <v>150</v>
      </c>
      <c r="K2525" s="148" t="s">
        <v>708</v>
      </c>
      <c r="M2525" s="148" t="s">
        <v>82</v>
      </c>
      <c r="N2525" s="148">
        <v>8</v>
      </c>
      <c r="O2525" s="148" t="s">
        <v>83</v>
      </c>
      <c r="P2525" s="148" t="s">
        <v>154</v>
      </c>
      <c r="Y2525" s="150" t="s">
        <v>1668</v>
      </c>
    </row>
    <row r="2526" spans="1:26" ht="15.75" hidden="1" customHeight="1" x14ac:dyDescent="0.25">
      <c r="A2526" s="148" t="s">
        <v>307</v>
      </c>
      <c r="B2526" s="148" t="s">
        <v>54</v>
      </c>
      <c r="C2526" s="148" t="s">
        <v>55</v>
      </c>
      <c r="D2526" s="148" t="s">
        <v>1082</v>
      </c>
      <c r="E2526" s="148" t="s">
        <v>30</v>
      </c>
      <c r="F2526" s="148" t="s">
        <v>56</v>
      </c>
      <c r="G2526" s="148" t="s">
        <v>54</v>
      </c>
      <c r="H2526" s="148">
        <v>2017</v>
      </c>
      <c r="I2526" s="148">
        <v>7</v>
      </c>
      <c r="J2526" s="148" t="s">
        <v>399</v>
      </c>
      <c r="Q2526" s="148" t="s">
        <v>1229</v>
      </c>
      <c r="R2526" s="148" t="s">
        <v>1669</v>
      </c>
      <c r="S2526" s="148" t="s">
        <v>311</v>
      </c>
      <c r="T2526" s="148" t="s">
        <v>1670</v>
      </c>
      <c r="Y2526" s="150" t="s">
        <v>1671</v>
      </c>
    </row>
    <row r="2527" spans="1:26" ht="15.75" hidden="1" customHeight="1" x14ac:dyDescent="0.25">
      <c r="A2527" s="148" t="s">
        <v>307</v>
      </c>
      <c r="B2527" s="148" t="s">
        <v>54</v>
      </c>
      <c r="C2527" s="148" t="s">
        <v>55</v>
      </c>
      <c r="D2527" s="148" t="s">
        <v>1082</v>
      </c>
      <c r="E2527" s="148" t="s">
        <v>30</v>
      </c>
      <c r="F2527" s="148" t="s">
        <v>56</v>
      </c>
      <c r="G2527" s="148" t="s">
        <v>54</v>
      </c>
      <c r="H2527" s="148">
        <v>2017</v>
      </c>
      <c r="I2527" s="148">
        <v>7</v>
      </c>
      <c r="J2527" s="148" t="s">
        <v>308</v>
      </c>
      <c r="Q2527" s="148" t="s">
        <v>594</v>
      </c>
      <c r="R2527" s="148" t="s">
        <v>1672</v>
      </c>
      <c r="S2527" s="148" t="s">
        <v>427</v>
      </c>
      <c r="T2527" s="148" t="s">
        <v>1673</v>
      </c>
      <c r="Y2527" s="150" t="s">
        <v>1674</v>
      </c>
      <c r="Z2527" s="148" t="s">
        <v>1675</v>
      </c>
    </row>
    <row r="2528" spans="1:26" ht="13.5" hidden="1" customHeight="1" x14ac:dyDescent="0.25">
      <c r="A2528" s="148" t="s">
        <v>26</v>
      </c>
      <c r="B2528" s="148" t="s">
        <v>103</v>
      </c>
      <c r="C2528" s="148" t="s">
        <v>55</v>
      </c>
      <c r="D2528" s="148" t="s">
        <v>86</v>
      </c>
      <c r="E2528" s="148" t="s">
        <v>95</v>
      </c>
      <c r="F2528" s="148" t="s">
        <v>56</v>
      </c>
      <c r="G2528" s="157" t="s">
        <v>186</v>
      </c>
      <c r="H2528" s="148">
        <v>2017</v>
      </c>
      <c r="I2528" s="148">
        <v>7</v>
      </c>
      <c r="J2528" s="148" t="s">
        <v>33</v>
      </c>
      <c r="U2528" s="149" t="s">
        <v>112</v>
      </c>
      <c r="V2528" s="148" t="s">
        <v>3690</v>
      </c>
      <c r="W2528" s="148" t="s">
        <v>34</v>
      </c>
      <c r="X2528" s="148" t="s">
        <v>1611</v>
      </c>
      <c r="Y2528" s="159" t="s">
        <v>3745</v>
      </c>
      <c r="Z2528" s="157" t="s">
        <v>3746</v>
      </c>
    </row>
    <row r="2529" spans="1:26" ht="15.75" hidden="1" customHeight="1" x14ac:dyDescent="0.25">
      <c r="A2529" s="148" t="s">
        <v>76</v>
      </c>
      <c r="B2529" s="148" t="s">
        <v>103</v>
      </c>
      <c r="C2529" s="148" t="s">
        <v>55</v>
      </c>
      <c r="D2529" s="148" t="s">
        <v>478</v>
      </c>
      <c r="E2529" s="148" t="s">
        <v>95</v>
      </c>
      <c r="F2529" s="148" t="s">
        <v>56</v>
      </c>
      <c r="G2529" s="148" t="s">
        <v>108</v>
      </c>
      <c r="H2529" s="148">
        <v>2017</v>
      </c>
      <c r="I2529" s="148">
        <v>7</v>
      </c>
      <c r="J2529" s="148" t="s">
        <v>118</v>
      </c>
      <c r="K2529" s="148" t="s">
        <v>708</v>
      </c>
      <c r="M2529" s="148" t="s">
        <v>82</v>
      </c>
      <c r="N2529" s="148">
        <v>8</v>
      </c>
      <c r="O2529" s="148" t="s">
        <v>101</v>
      </c>
      <c r="P2529" s="148" t="s">
        <v>1676</v>
      </c>
      <c r="Y2529" s="150" t="s">
        <v>1677</v>
      </c>
    </row>
    <row r="2530" spans="1:26" ht="15.75" hidden="1" customHeight="1" x14ac:dyDescent="0.25">
      <c r="A2530" s="148" t="s">
        <v>76</v>
      </c>
      <c r="B2530" s="148" t="s">
        <v>27</v>
      </c>
      <c r="C2530" s="148" t="s">
        <v>55</v>
      </c>
      <c r="D2530" s="148" t="s">
        <v>99</v>
      </c>
      <c r="E2530" s="148" t="s">
        <v>40</v>
      </c>
      <c r="F2530" s="148" t="s">
        <v>41</v>
      </c>
      <c r="G2530" s="148" t="s">
        <v>604</v>
      </c>
      <c r="H2530" s="148">
        <v>2017</v>
      </c>
      <c r="I2530" s="148">
        <v>8</v>
      </c>
      <c r="J2530" s="148" t="s">
        <v>150</v>
      </c>
      <c r="K2530" s="148" t="s">
        <v>1333</v>
      </c>
      <c r="M2530" s="148" t="s">
        <v>1519</v>
      </c>
      <c r="N2530" s="148">
        <v>6</v>
      </c>
      <c r="O2530" s="148" t="s">
        <v>83</v>
      </c>
      <c r="P2530" s="148" t="s">
        <v>164</v>
      </c>
    </row>
    <row r="2531" spans="1:26" ht="15.75" hidden="1" customHeight="1" x14ac:dyDescent="0.25">
      <c r="A2531" s="148" t="s">
        <v>307</v>
      </c>
      <c r="B2531" s="148" t="s">
        <v>71</v>
      </c>
      <c r="C2531" s="148" t="s">
        <v>45</v>
      </c>
      <c r="D2531" s="148" t="s">
        <v>478</v>
      </c>
      <c r="E2531" s="148" t="s">
        <v>72</v>
      </c>
      <c r="F2531" s="148" t="s">
        <v>3183</v>
      </c>
      <c r="G2531" s="148" t="s">
        <v>73</v>
      </c>
      <c r="H2531" s="148">
        <v>2017</v>
      </c>
      <c r="I2531" s="148">
        <v>8</v>
      </c>
      <c r="J2531" s="148" t="s">
        <v>399</v>
      </c>
      <c r="Q2531" s="148" t="s">
        <v>426</v>
      </c>
      <c r="R2531" s="148" t="s">
        <v>1678</v>
      </c>
      <c r="S2531" s="148" t="s">
        <v>311</v>
      </c>
      <c r="T2531" s="148" t="s">
        <v>1679</v>
      </c>
    </row>
    <row r="2532" spans="1:26" ht="15.75" hidden="1" customHeight="1" x14ac:dyDescent="0.25">
      <c r="A2532" s="148" t="s">
        <v>76</v>
      </c>
      <c r="B2532" s="148" t="s">
        <v>71</v>
      </c>
      <c r="C2532" s="148" t="s">
        <v>45</v>
      </c>
      <c r="D2532" s="148" t="s">
        <v>478</v>
      </c>
      <c r="E2532" s="148" t="s">
        <v>72</v>
      </c>
      <c r="F2532" s="148" t="s">
        <v>3183</v>
      </c>
      <c r="G2532" s="148" t="s">
        <v>73</v>
      </c>
      <c r="H2532" s="148">
        <v>2017</v>
      </c>
      <c r="I2532" s="148">
        <v>8</v>
      </c>
      <c r="J2532" s="148" t="s">
        <v>150</v>
      </c>
      <c r="K2532" s="148" t="s">
        <v>1680</v>
      </c>
      <c r="M2532" s="148" t="s">
        <v>1318</v>
      </c>
      <c r="N2532" s="148">
        <v>5</v>
      </c>
      <c r="O2532" s="148" t="s">
        <v>83</v>
      </c>
      <c r="P2532" s="148" t="s">
        <v>1681</v>
      </c>
      <c r="Y2532" s="150" t="s">
        <v>1682</v>
      </c>
      <c r="Z2532" s="148" t="s">
        <v>1683</v>
      </c>
    </row>
    <row r="2533" spans="1:26" ht="13.5" hidden="1" customHeight="1" x14ac:dyDescent="0.25">
      <c r="A2533" s="148" t="s">
        <v>76</v>
      </c>
      <c r="B2533" s="148" t="s">
        <v>36</v>
      </c>
      <c r="C2533" s="148" t="s">
        <v>28</v>
      </c>
      <c r="D2533" s="148" t="s">
        <v>342</v>
      </c>
      <c r="E2533" s="148" t="s">
        <v>30</v>
      </c>
      <c r="F2533" s="148" t="s">
        <v>3183</v>
      </c>
      <c r="G2533" s="148" t="s">
        <v>438</v>
      </c>
      <c r="H2533" s="148">
        <v>2017</v>
      </c>
      <c r="I2533" s="148">
        <v>8</v>
      </c>
      <c r="J2533" s="148" t="s">
        <v>118</v>
      </c>
      <c r="K2533" s="148" t="s">
        <v>579</v>
      </c>
      <c r="M2533" s="148" t="s">
        <v>126</v>
      </c>
      <c r="N2533" s="148">
        <v>10</v>
      </c>
      <c r="O2533" s="148" t="s">
        <v>101</v>
      </c>
      <c r="P2533" s="148" t="s">
        <v>325</v>
      </c>
    </row>
    <row r="2534" spans="1:26" ht="16.5" hidden="1" customHeight="1" x14ac:dyDescent="0.25">
      <c r="A2534" s="148" t="s">
        <v>26</v>
      </c>
      <c r="B2534" s="148" t="s">
        <v>116</v>
      </c>
      <c r="C2534" s="148" t="s">
        <v>90</v>
      </c>
      <c r="D2534" s="148" t="s">
        <v>99</v>
      </c>
      <c r="E2534" s="148" t="s">
        <v>30</v>
      </c>
      <c r="F2534" s="148" t="s">
        <v>41</v>
      </c>
      <c r="G2534" s="148" t="s">
        <v>564</v>
      </c>
      <c r="H2534" s="148">
        <v>2017</v>
      </c>
      <c r="I2534" s="148">
        <v>8</v>
      </c>
      <c r="J2534" s="148" t="s">
        <v>33</v>
      </c>
      <c r="U2534" s="149" t="s">
        <v>112</v>
      </c>
      <c r="V2534" s="148" t="s">
        <v>3691</v>
      </c>
      <c r="W2534" s="148" t="s">
        <v>34</v>
      </c>
      <c r="Y2534" s="150" t="s">
        <v>1684</v>
      </c>
    </row>
    <row r="2535" spans="1:26" ht="15.75" hidden="1" customHeight="1" x14ac:dyDescent="0.25">
      <c r="A2535" s="148" t="s">
        <v>76</v>
      </c>
      <c r="B2535" s="148" t="s">
        <v>89</v>
      </c>
      <c r="C2535" s="148" t="s">
        <v>90</v>
      </c>
      <c r="D2535" s="148" t="s">
        <v>158</v>
      </c>
      <c r="E2535" s="148" t="s">
        <v>30</v>
      </c>
      <c r="F2535" s="148" t="s">
        <v>91</v>
      </c>
      <c r="G2535" s="148" t="s">
        <v>443</v>
      </c>
      <c r="H2535" s="148">
        <v>2017</v>
      </c>
      <c r="I2535" s="148">
        <v>8</v>
      </c>
      <c r="J2535" s="148" t="s">
        <v>118</v>
      </c>
      <c r="K2535" s="148" t="s">
        <v>502</v>
      </c>
      <c r="M2535" s="148" t="s">
        <v>126</v>
      </c>
      <c r="N2535" s="148">
        <v>10</v>
      </c>
      <c r="O2535" s="148" t="s">
        <v>101</v>
      </c>
      <c r="P2535" s="148" t="s">
        <v>1685</v>
      </c>
      <c r="Y2535" s="150" t="s">
        <v>1686</v>
      </c>
    </row>
    <row r="2536" spans="1:26" ht="15.75" hidden="1" customHeight="1" x14ac:dyDescent="0.25">
      <c r="A2536" s="148" t="s">
        <v>26</v>
      </c>
      <c r="B2536" s="148" t="s">
        <v>103</v>
      </c>
      <c r="C2536" s="148" t="s">
        <v>55</v>
      </c>
      <c r="D2536" s="148" t="s">
        <v>1635</v>
      </c>
      <c r="E2536" s="148" t="s">
        <v>30</v>
      </c>
      <c r="F2536" s="148" t="s">
        <v>56</v>
      </c>
      <c r="G2536" s="148" t="s">
        <v>405</v>
      </c>
      <c r="H2536" s="148">
        <v>2017</v>
      </c>
      <c r="I2536" s="148">
        <v>8</v>
      </c>
      <c r="J2536" s="148" t="s">
        <v>33</v>
      </c>
      <c r="U2536" s="157" t="s">
        <v>112</v>
      </c>
      <c r="V2536" s="157" t="s">
        <v>3733</v>
      </c>
      <c r="W2536" s="148" t="s">
        <v>87</v>
      </c>
      <c r="X2536" s="157" t="s">
        <v>3729</v>
      </c>
      <c r="Y2536" s="150" t="s">
        <v>3735</v>
      </c>
      <c r="Z2536" s="157" t="s">
        <v>3734</v>
      </c>
    </row>
    <row r="2537" spans="1:26" ht="15.75" hidden="1" customHeight="1" x14ac:dyDescent="0.25">
      <c r="A2537" s="148" t="s">
        <v>26</v>
      </c>
      <c r="B2537" s="148" t="s">
        <v>36</v>
      </c>
      <c r="C2537" s="148" t="s">
        <v>28</v>
      </c>
      <c r="D2537" s="148" t="s">
        <v>342</v>
      </c>
      <c r="E2537" s="148" t="s">
        <v>30</v>
      </c>
      <c r="F2537" s="148" t="s">
        <v>3183</v>
      </c>
      <c r="G2537" s="148" t="s">
        <v>242</v>
      </c>
      <c r="H2537" s="148">
        <v>2017</v>
      </c>
      <c r="I2537" s="148">
        <v>8</v>
      </c>
      <c r="J2537" s="148" t="s">
        <v>33</v>
      </c>
      <c r="U2537" s="149" t="s">
        <v>112</v>
      </c>
      <c r="V2537" s="148" t="s">
        <v>3691</v>
      </c>
      <c r="W2537" s="148" t="s">
        <v>34</v>
      </c>
      <c r="Y2537" s="150" t="s">
        <v>1688</v>
      </c>
    </row>
    <row r="2538" spans="1:26" ht="15.75" hidden="1" customHeight="1" x14ac:dyDescent="0.25">
      <c r="A2538" s="148" t="s">
        <v>26</v>
      </c>
      <c r="B2538" s="148" t="s">
        <v>103</v>
      </c>
      <c r="C2538" s="148" t="s">
        <v>55</v>
      </c>
      <c r="D2538" s="148" t="s">
        <v>516</v>
      </c>
      <c r="E2538" s="148" t="s">
        <v>95</v>
      </c>
      <c r="F2538" s="148" t="s">
        <v>56</v>
      </c>
      <c r="G2538" s="148" t="s">
        <v>1013</v>
      </c>
      <c r="H2538" s="148">
        <v>2017</v>
      </c>
      <c r="I2538" s="148">
        <v>8</v>
      </c>
      <c r="J2538" s="148" t="s">
        <v>33</v>
      </c>
      <c r="U2538" s="157" t="s">
        <v>112</v>
      </c>
      <c r="V2538" s="157" t="s">
        <v>3733</v>
      </c>
      <c r="W2538" s="148" t="s">
        <v>87</v>
      </c>
      <c r="X2538" s="157" t="s">
        <v>3730</v>
      </c>
      <c r="Y2538" s="159" t="s">
        <v>3736</v>
      </c>
      <c r="Z2538" s="157" t="s">
        <v>3734</v>
      </c>
    </row>
    <row r="2539" spans="1:26" ht="15.75" hidden="1" customHeight="1" x14ac:dyDescent="0.25">
      <c r="A2539" s="148" t="s">
        <v>26</v>
      </c>
      <c r="B2539" s="148" t="s">
        <v>27</v>
      </c>
      <c r="C2539" s="148" t="s">
        <v>90</v>
      </c>
      <c r="D2539" s="148" t="s">
        <v>490</v>
      </c>
      <c r="E2539" s="148" t="s">
        <v>30</v>
      </c>
      <c r="F2539" s="148" t="s">
        <v>3183</v>
      </c>
      <c r="G2539" s="148" t="s">
        <v>791</v>
      </c>
      <c r="H2539" s="148">
        <v>2017</v>
      </c>
      <c r="I2539" s="148">
        <v>8</v>
      </c>
      <c r="J2539" s="148" t="s">
        <v>33</v>
      </c>
      <c r="U2539" s="149" t="s">
        <v>112</v>
      </c>
      <c r="V2539" s="157" t="s">
        <v>3731</v>
      </c>
      <c r="W2539" s="148" t="s">
        <v>34</v>
      </c>
      <c r="X2539" s="157" t="s">
        <v>3725</v>
      </c>
      <c r="Y2539" s="150" t="s">
        <v>3720</v>
      </c>
    </row>
    <row r="2540" spans="1:26" ht="15.75" hidden="1" customHeight="1" x14ac:dyDescent="0.25">
      <c r="A2540" s="148" t="s">
        <v>307</v>
      </c>
      <c r="B2540" s="148" t="s">
        <v>27</v>
      </c>
      <c r="C2540" s="148" t="s">
        <v>90</v>
      </c>
      <c r="D2540" s="148" t="s">
        <v>490</v>
      </c>
      <c r="E2540" s="148" t="s">
        <v>30</v>
      </c>
      <c r="F2540" s="148" t="s">
        <v>3183</v>
      </c>
      <c r="G2540" s="148" t="s">
        <v>791</v>
      </c>
      <c r="H2540" s="148">
        <v>2017</v>
      </c>
      <c r="I2540" s="148">
        <v>8</v>
      </c>
      <c r="J2540" s="148" t="s">
        <v>308</v>
      </c>
      <c r="Q2540" s="148" t="s">
        <v>426</v>
      </c>
      <c r="R2540" s="148" t="s">
        <v>1087</v>
      </c>
      <c r="S2540" s="148" t="s">
        <v>427</v>
      </c>
      <c r="T2540" s="148" t="s">
        <v>1689</v>
      </c>
    </row>
    <row r="2541" spans="1:26" ht="15.75" hidden="1" customHeight="1" x14ac:dyDescent="0.25">
      <c r="A2541" s="148" t="s">
        <v>307</v>
      </c>
      <c r="B2541" s="148" t="s">
        <v>62</v>
      </c>
      <c r="C2541" s="148" t="s">
        <v>28</v>
      </c>
      <c r="D2541" s="148" t="s">
        <v>478</v>
      </c>
      <c r="E2541" s="148" t="s">
        <v>30</v>
      </c>
      <c r="F2541" s="148" t="s">
        <v>3183</v>
      </c>
      <c r="G2541" s="148" t="s">
        <v>244</v>
      </c>
      <c r="H2541" s="148">
        <v>2017</v>
      </c>
      <c r="I2541" s="148">
        <v>8</v>
      </c>
      <c r="J2541" s="148" t="s">
        <v>399</v>
      </c>
      <c r="Q2541" s="148" t="s">
        <v>426</v>
      </c>
      <c r="R2541" s="148" t="s">
        <v>1690</v>
      </c>
      <c r="S2541" s="148" t="s">
        <v>311</v>
      </c>
      <c r="T2541" s="148" t="s">
        <v>1343</v>
      </c>
    </row>
    <row r="2542" spans="1:26" ht="13.5" hidden="1" customHeight="1" x14ac:dyDescent="0.25">
      <c r="A2542" s="148" t="s">
        <v>76</v>
      </c>
      <c r="B2542" s="148" t="s">
        <v>71</v>
      </c>
      <c r="C2542" s="148" t="s">
        <v>45</v>
      </c>
      <c r="D2542" s="148" t="s">
        <v>478</v>
      </c>
      <c r="E2542" s="148" t="s">
        <v>72</v>
      </c>
      <c r="F2542" s="148" t="s">
        <v>3183</v>
      </c>
      <c r="G2542" s="148" t="s">
        <v>75</v>
      </c>
      <c r="H2542" s="148">
        <v>2017</v>
      </c>
      <c r="I2542" s="148">
        <v>8</v>
      </c>
      <c r="J2542" s="148" t="s">
        <v>118</v>
      </c>
      <c r="K2542" s="148" t="s">
        <v>1680</v>
      </c>
      <c r="M2542" s="148" t="s">
        <v>1318</v>
      </c>
      <c r="N2542" s="148">
        <v>5</v>
      </c>
      <c r="O2542" s="148" t="s">
        <v>101</v>
      </c>
      <c r="P2542" s="148" t="s">
        <v>1691</v>
      </c>
      <c r="Y2542" s="150" t="s">
        <v>1692</v>
      </c>
      <c r="Z2542" s="148" t="s">
        <v>1683</v>
      </c>
    </row>
    <row r="2543" spans="1:26" ht="15.75" hidden="1" customHeight="1" x14ac:dyDescent="0.25">
      <c r="A2543" s="148" t="s">
        <v>76</v>
      </c>
      <c r="B2543" s="148" t="s">
        <v>27</v>
      </c>
      <c r="C2543" s="148" t="s">
        <v>28</v>
      </c>
      <c r="D2543" s="148" t="s">
        <v>1302</v>
      </c>
      <c r="E2543" s="148" t="s">
        <v>40</v>
      </c>
      <c r="F2543" s="148" t="s">
        <v>41</v>
      </c>
      <c r="G2543" s="148" t="s">
        <v>42</v>
      </c>
      <c r="H2543" s="148">
        <v>2017</v>
      </c>
      <c r="I2543" s="148">
        <v>8</v>
      </c>
      <c r="J2543" s="148" t="s">
        <v>150</v>
      </c>
      <c r="K2543" s="148" t="s">
        <v>1333</v>
      </c>
      <c r="M2543" s="148" t="s">
        <v>1519</v>
      </c>
      <c r="N2543" s="148">
        <v>6</v>
      </c>
      <c r="O2543" s="148" t="s">
        <v>83</v>
      </c>
      <c r="P2543" s="148" t="s">
        <v>1693</v>
      </c>
      <c r="Y2543" s="150" t="s">
        <v>1694</v>
      </c>
    </row>
    <row r="2544" spans="1:26" ht="13.5" hidden="1" customHeight="1" x14ac:dyDescent="0.25">
      <c r="A2544" s="148" t="s">
        <v>26</v>
      </c>
      <c r="B2544" s="148" t="s">
        <v>116</v>
      </c>
      <c r="C2544" s="148" t="s">
        <v>90</v>
      </c>
      <c r="D2544" s="148" t="s">
        <v>478</v>
      </c>
      <c r="E2544" s="148" t="s">
        <v>30</v>
      </c>
      <c r="F2544" s="148" t="s">
        <v>41</v>
      </c>
      <c r="G2544" s="148" t="s">
        <v>756</v>
      </c>
      <c r="H2544" s="148">
        <v>2017</v>
      </c>
      <c r="I2544" s="148">
        <v>8</v>
      </c>
      <c r="J2544" s="148" t="s">
        <v>33</v>
      </c>
      <c r="U2544" s="149" t="s">
        <v>112</v>
      </c>
      <c r="V2544" s="148" t="s">
        <v>3690</v>
      </c>
      <c r="W2544" s="148" t="s">
        <v>34</v>
      </c>
      <c r="X2544" s="148" t="s">
        <v>1611</v>
      </c>
      <c r="Y2544" s="150" t="s">
        <v>1695</v>
      </c>
    </row>
    <row r="2545" spans="1:25" ht="15.75" hidden="1" customHeight="1" x14ac:dyDescent="0.25">
      <c r="A2545" s="148" t="s">
        <v>26</v>
      </c>
      <c r="B2545" s="148" t="s">
        <v>27</v>
      </c>
      <c r="C2545" s="148" t="s">
        <v>28</v>
      </c>
      <c r="D2545" s="148" t="s">
        <v>86</v>
      </c>
      <c r="E2545" s="148" t="s">
        <v>30</v>
      </c>
      <c r="F2545" s="148" t="s">
        <v>3183</v>
      </c>
      <c r="G2545" s="148" t="s">
        <v>43</v>
      </c>
      <c r="H2545" s="148">
        <v>2017</v>
      </c>
      <c r="I2545" s="148">
        <v>8</v>
      </c>
      <c r="J2545" s="148" t="s">
        <v>33</v>
      </c>
      <c r="U2545" s="149" t="s">
        <v>112</v>
      </c>
      <c r="V2545" s="148" t="s">
        <v>3691</v>
      </c>
      <c r="W2545" s="148" t="s">
        <v>34</v>
      </c>
      <c r="Y2545" s="150" t="s">
        <v>1696</v>
      </c>
    </row>
    <row r="2546" spans="1:25" ht="15.75" hidden="1" customHeight="1" x14ac:dyDescent="0.25">
      <c r="A2546" s="148" t="s">
        <v>307</v>
      </c>
      <c r="B2546" s="148" t="s">
        <v>27</v>
      </c>
      <c r="C2546" s="148" t="s">
        <v>28</v>
      </c>
      <c r="D2546" s="148" t="s">
        <v>86</v>
      </c>
      <c r="E2546" s="148" t="s">
        <v>30</v>
      </c>
      <c r="F2546" s="148" t="s">
        <v>3183</v>
      </c>
      <c r="G2546" s="148" t="s">
        <v>43</v>
      </c>
      <c r="H2546" s="148">
        <v>2017</v>
      </c>
      <c r="I2546" s="148">
        <v>8</v>
      </c>
      <c r="J2546" s="148" t="s">
        <v>308</v>
      </c>
      <c r="Q2546" s="148" t="s">
        <v>426</v>
      </c>
      <c r="R2546" s="148" t="s">
        <v>1697</v>
      </c>
      <c r="S2546" s="148" t="s">
        <v>311</v>
      </c>
      <c r="T2546" s="148" t="s">
        <v>1698</v>
      </c>
      <c r="Y2546" s="150" t="s">
        <v>1699</v>
      </c>
    </row>
    <row r="2547" spans="1:25" ht="15.75" hidden="1" customHeight="1" x14ac:dyDescent="0.25">
      <c r="A2547" s="148" t="s">
        <v>76</v>
      </c>
      <c r="B2547" s="148" t="s">
        <v>77</v>
      </c>
      <c r="C2547" s="148" t="s">
        <v>55</v>
      </c>
      <c r="D2547" s="148" t="s">
        <v>478</v>
      </c>
      <c r="E2547" s="148" t="s">
        <v>30</v>
      </c>
      <c r="F2547" s="148" t="s">
        <v>41</v>
      </c>
      <c r="G2547" s="148" t="s">
        <v>275</v>
      </c>
      <c r="H2547" s="148">
        <v>2017</v>
      </c>
      <c r="I2547" s="148">
        <v>8</v>
      </c>
      <c r="J2547" s="148" t="s">
        <v>150</v>
      </c>
      <c r="K2547" s="148" t="s">
        <v>1333</v>
      </c>
      <c r="M2547" s="148" t="s">
        <v>1519</v>
      </c>
      <c r="N2547" s="148">
        <v>6</v>
      </c>
      <c r="O2547" s="148" t="s">
        <v>83</v>
      </c>
      <c r="P2547" s="148" t="s">
        <v>1585</v>
      </c>
    </row>
    <row r="2548" spans="1:25" ht="15.75" hidden="1" customHeight="1" x14ac:dyDescent="0.25">
      <c r="A2548" s="148" t="s">
        <v>26</v>
      </c>
      <c r="B2548" s="148" t="s">
        <v>89</v>
      </c>
      <c r="C2548" s="148" t="s">
        <v>90</v>
      </c>
      <c r="D2548" s="148" t="s">
        <v>158</v>
      </c>
      <c r="E2548" s="148" t="s">
        <v>30</v>
      </c>
      <c r="F2548" s="148" t="s">
        <v>91</v>
      </c>
      <c r="G2548" s="148" t="s">
        <v>93</v>
      </c>
      <c r="H2548" s="148">
        <v>2017</v>
      </c>
      <c r="I2548" s="148">
        <v>8</v>
      </c>
      <c r="J2548" s="148" t="s">
        <v>33</v>
      </c>
      <c r="U2548" s="149" t="s">
        <v>112</v>
      </c>
      <c r="V2548" s="157" t="s">
        <v>3731</v>
      </c>
      <c r="W2548" s="148" t="s">
        <v>34</v>
      </c>
      <c r="X2548" s="157" t="s">
        <v>3725</v>
      </c>
      <c r="Y2548" s="150" t="s">
        <v>1700</v>
      </c>
    </row>
    <row r="2549" spans="1:25" ht="15.75" hidden="1" customHeight="1" x14ac:dyDescent="0.25">
      <c r="A2549" s="148" t="s">
        <v>307</v>
      </c>
      <c r="B2549" s="148" t="s">
        <v>89</v>
      </c>
      <c r="C2549" s="148" t="s">
        <v>90</v>
      </c>
      <c r="D2549" s="148" t="s">
        <v>158</v>
      </c>
      <c r="E2549" s="148" t="s">
        <v>30</v>
      </c>
      <c r="F2549" s="148" t="s">
        <v>91</v>
      </c>
      <c r="G2549" s="148" t="s">
        <v>93</v>
      </c>
      <c r="H2549" s="148">
        <v>2017</v>
      </c>
      <c r="I2549" s="148">
        <v>8</v>
      </c>
      <c r="J2549" s="148" t="s">
        <v>308</v>
      </c>
      <c r="Q2549" s="148" t="s">
        <v>426</v>
      </c>
      <c r="R2549" s="148" t="s">
        <v>1087</v>
      </c>
      <c r="S2549" s="148" t="s">
        <v>427</v>
      </c>
      <c r="T2549" s="148" t="s">
        <v>1573</v>
      </c>
    </row>
    <row r="2550" spans="1:25" ht="13.5" hidden="1" customHeight="1" x14ac:dyDescent="0.25">
      <c r="A2550" s="148" t="s">
        <v>76</v>
      </c>
      <c r="B2550" s="148" t="s">
        <v>36</v>
      </c>
      <c r="C2550" s="148" t="s">
        <v>28</v>
      </c>
      <c r="D2550" s="148" t="s">
        <v>342</v>
      </c>
      <c r="E2550" s="148" t="s">
        <v>51</v>
      </c>
      <c r="F2550" s="148" t="s">
        <v>3183</v>
      </c>
      <c r="G2550" s="148" t="s">
        <v>52</v>
      </c>
      <c r="H2550" s="148">
        <v>2017</v>
      </c>
      <c r="I2550" s="148">
        <v>8</v>
      </c>
      <c r="J2550" s="148" t="s">
        <v>118</v>
      </c>
      <c r="K2550" s="148" t="s">
        <v>708</v>
      </c>
      <c r="M2550" s="148" t="s">
        <v>82</v>
      </c>
      <c r="N2550" s="148">
        <v>8</v>
      </c>
      <c r="O2550" s="148" t="s">
        <v>101</v>
      </c>
      <c r="P2550" s="148" t="s">
        <v>551</v>
      </c>
      <c r="Y2550" s="150" t="s">
        <v>1701</v>
      </c>
    </row>
    <row r="2551" spans="1:25" ht="15.75" hidden="1" customHeight="1" x14ac:dyDescent="0.25">
      <c r="A2551" s="148" t="s">
        <v>307</v>
      </c>
      <c r="B2551" s="148" t="s">
        <v>36</v>
      </c>
      <c r="C2551" s="148" t="s">
        <v>28</v>
      </c>
      <c r="D2551" s="148" t="s">
        <v>342</v>
      </c>
      <c r="E2551" s="148" t="s">
        <v>51</v>
      </c>
      <c r="F2551" s="148" t="s">
        <v>3183</v>
      </c>
      <c r="G2551" s="148" t="s">
        <v>52</v>
      </c>
      <c r="H2551" s="148">
        <v>2017</v>
      </c>
      <c r="I2551" s="148">
        <v>8</v>
      </c>
      <c r="J2551" s="148" t="s">
        <v>308</v>
      </c>
      <c r="Q2551" s="148" t="s">
        <v>594</v>
      </c>
      <c r="R2551" s="148" t="s">
        <v>1702</v>
      </c>
      <c r="S2551" s="148" t="s">
        <v>885</v>
      </c>
      <c r="T2551" s="148" t="s">
        <v>1703</v>
      </c>
    </row>
    <row r="2552" spans="1:25" ht="13.5" hidden="1" customHeight="1" x14ac:dyDescent="0.25">
      <c r="A2552" s="148" t="s">
        <v>76</v>
      </c>
      <c r="B2552" s="148" t="s">
        <v>44</v>
      </c>
      <c r="C2552" s="148" t="s">
        <v>45</v>
      </c>
      <c r="D2552" s="148" t="s">
        <v>29</v>
      </c>
      <c r="E2552" s="148" t="s">
        <v>46</v>
      </c>
      <c r="F2552" s="148" t="s">
        <v>47</v>
      </c>
      <c r="G2552" s="148" t="s">
        <v>48</v>
      </c>
      <c r="H2552" s="148">
        <v>2017</v>
      </c>
      <c r="I2552" s="148">
        <v>8</v>
      </c>
      <c r="J2552" s="148" t="s">
        <v>118</v>
      </c>
      <c r="K2552" s="148" t="s">
        <v>851</v>
      </c>
      <c r="M2552" s="148" t="s">
        <v>1441</v>
      </c>
      <c r="N2552" s="148">
        <v>8</v>
      </c>
      <c r="O2552" s="148" t="s">
        <v>101</v>
      </c>
      <c r="P2552" s="148" t="s">
        <v>1704</v>
      </c>
    </row>
    <row r="2553" spans="1:25" ht="15.75" hidden="1" customHeight="1" x14ac:dyDescent="0.25">
      <c r="A2553" s="148" t="s">
        <v>76</v>
      </c>
      <c r="B2553" s="148" t="s">
        <v>103</v>
      </c>
      <c r="C2553" s="148" t="s">
        <v>55</v>
      </c>
      <c r="D2553" s="148" t="s">
        <v>516</v>
      </c>
      <c r="E2553" s="148" t="s">
        <v>30</v>
      </c>
      <c r="F2553" s="148" t="s">
        <v>56</v>
      </c>
      <c r="G2553" s="148" t="s">
        <v>285</v>
      </c>
      <c r="H2553" s="148">
        <v>2017</v>
      </c>
      <c r="I2553" s="148">
        <v>9</v>
      </c>
      <c r="J2553" s="148" t="s">
        <v>118</v>
      </c>
      <c r="K2553" s="148" t="s">
        <v>579</v>
      </c>
      <c r="M2553" s="148" t="s">
        <v>126</v>
      </c>
      <c r="N2553" s="148">
        <v>10</v>
      </c>
      <c r="O2553" s="148" t="s">
        <v>101</v>
      </c>
      <c r="P2553" s="148" t="s">
        <v>146</v>
      </c>
    </row>
    <row r="2554" spans="1:25" ht="15.75" hidden="1" customHeight="1" x14ac:dyDescent="0.25">
      <c r="A2554" s="148" t="s">
        <v>307</v>
      </c>
      <c r="B2554" s="148" t="s">
        <v>71</v>
      </c>
      <c r="C2554" s="148" t="s">
        <v>45</v>
      </c>
      <c r="D2554" s="148" t="s">
        <v>478</v>
      </c>
      <c r="E2554" s="148" t="s">
        <v>72</v>
      </c>
      <c r="F2554" s="148" t="s">
        <v>3183</v>
      </c>
      <c r="G2554" s="148" t="s">
        <v>73</v>
      </c>
      <c r="H2554" s="148">
        <v>2017</v>
      </c>
      <c r="I2554" s="148">
        <v>9</v>
      </c>
      <c r="J2554" s="148" t="s">
        <v>308</v>
      </c>
      <c r="Q2554" s="148" t="s">
        <v>426</v>
      </c>
      <c r="R2554" s="148" t="s">
        <v>1705</v>
      </c>
      <c r="S2554" s="148" t="s">
        <v>311</v>
      </c>
      <c r="T2554" s="148" t="s">
        <v>1706</v>
      </c>
      <c r="Y2554" s="150" t="s">
        <v>1707</v>
      </c>
    </row>
    <row r="2555" spans="1:25" ht="13.5" hidden="1" customHeight="1" x14ac:dyDescent="0.25">
      <c r="A2555" s="148" t="s">
        <v>76</v>
      </c>
      <c r="B2555" s="148" t="s">
        <v>103</v>
      </c>
      <c r="C2555" s="148" t="s">
        <v>55</v>
      </c>
      <c r="D2555" s="148" t="s">
        <v>29</v>
      </c>
      <c r="E2555" s="148" t="s">
        <v>95</v>
      </c>
      <c r="F2555" s="148" t="s">
        <v>56</v>
      </c>
      <c r="G2555" s="148" t="s">
        <v>506</v>
      </c>
      <c r="H2555" s="148">
        <v>2017</v>
      </c>
      <c r="I2555" s="148">
        <v>9</v>
      </c>
      <c r="J2555" s="148" t="s">
        <v>118</v>
      </c>
      <c r="K2555" s="148" t="s">
        <v>708</v>
      </c>
      <c r="M2555" s="148" t="s">
        <v>82</v>
      </c>
      <c r="N2555" s="148">
        <v>8</v>
      </c>
      <c r="O2555" s="148" t="s">
        <v>101</v>
      </c>
      <c r="P2555" s="148" t="s">
        <v>551</v>
      </c>
      <c r="Y2555" s="150" t="s">
        <v>1708</v>
      </c>
    </row>
    <row r="2556" spans="1:25" ht="15.75" hidden="1" customHeight="1" x14ac:dyDescent="0.25">
      <c r="A2556" s="148" t="s">
        <v>26</v>
      </c>
      <c r="B2556" s="148" t="s">
        <v>103</v>
      </c>
      <c r="C2556" s="148" t="s">
        <v>55</v>
      </c>
      <c r="D2556" s="148" t="s">
        <v>1452</v>
      </c>
      <c r="E2556" s="148" t="s">
        <v>95</v>
      </c>
      <c r="F2556" s="148" t="s">
        <v>56</v>
      </c>
      <c r="G2556" s="148" t="s">
        <v>303</v>
      </c>
      <c r="H2556" s="148">
        <v>2017</v>
      </c>
      <c r="I2556" s="148">
        <v>9</v>
      </c>
      <c r="J2556" s="148" t="s">
        <v>33</v>
      </c>
      <c r="U2556" s="149" t="s">
        <v>3629</v>
      </c>
      <c r="V2556" s="148" t="s">
        <v>1687</v>
      </c>
      <c r="W2556" s="148" t="s">
        <v>34</v>
      </c>
      <c r="X2556" s="157" t="s">
        <v>3723</v>
      </c>
      <c r="Y2556" s="150" t="s">
        <v>3724</v>
      </c>
    </row>
    <row r="2557" spans="1:25" ht="15.75" hidden="1" customHeight="1" x14ac:dyDescent="0.25">
      <c r="A2557" s="148" t="s">
        <v>26</v>
      </c>
      <c r="B2557" s="148" t="s">
        <v>36</v>
      </c>
      <c r="C2557" s="148" t="s">
        <v>28</v>
      </c>
      <c r="D2557" s="148" t="s">
        <v>29</v>
      </c>
      <c r="E2557" s="148" t="s">
        <v>30</v>
      </c>
      <c r="F2557" s="148" t="s">
        <v>3183</v>
      </c>
      <c r="G2557" s="148" t="s">
        <v>211</v>
      </c>
      <c r="H2557" s="148">
        <v>2017</v>
      </c>
      <c r="I2557" s="148">
        <v>9</v>
      </c>
      <c r="J2557" s="157" t="s">
        <v>817</v>
      </c>
      <c r="U2557" s="149" t="s">
        <v>112</v>
      </c>
      <c r="V2557" s="157" t="s">
        <v>3732</v>
      </c>
      <c r="W2557" s="148" t="s">
        <v>34</v>
      </c>
      <c r="X2557" s="157" t="s">
        <v>3725</v>
      </c>
      <c r="Y2557" s="150" t="s">
        <v>1709</v>
      </c>
    </row>
    <row r="2558" spans="1:25" ht="15.75" hidden="1" customHeight="1" x14ac:dyDescent="0.25">
      <c r="A2558" s="148" t="s">
        <v>76</v>
      </c>
      <c r="B2558" s="148" t="s">
        <v>36</v>
      </c>
      <c r="C2558" s="148" t="s">
        <v>28</v>
      </c>
      <c r="D2558" s="148" t="s">
        <v>342</v>
      </c>
      <c r="E2558" s="148" t="s">
        <v>30</v>
      </c>
      <c r="F2558" s="148" t="s">
        <v>3183</v>
      </c>
      <c r="G2558" s="148" t="s">
        <v>438</v>
      </c>
      <c r="H2558" s="148">
        <v>2017</v>
      </c>
      <c r="I2558" s="148">
        <v>9</v>
      </c>
      <c r="J2558" s="148" t="s">
        <v>118</v>
      </c>
      <c r="K2558" s="148" t="s">
        <v>1622</v>
      </c>
      <c r="M2558" s="148" t="s">
        <v>521</v>
      </c>
      <c r="N2558" s="148">
        <v>6</v>
      </c>
      <c r="O2558" s="148" t="s">
        <v>101</v>
      </c>
      <c r="P2558" s="148" t="s">
        <v>562</v>
      </c>
      <c r="Y2558" s="150" t="s">
        <v>1710</v>
      </c>
    </row>
    <row r="2559" spans="1:25" ht="15.75" hidden="1" customHeight="1" x14ac:dyDescent="0.25">
      <c r="A2559" s="148" t="s">
        <v>26</v>
      </c>
      <c r="B2559" s="148" t="s">
        <v>103</v>
      </c>
      <c r="C2559" s="148" t="s">
        <v>55</v>
      </c>
      <c r="D2559" s="148" t="s">
        <v>478</v>
      </c>
      <c r="E2559" s="148" t="s">
        <v>95</v>
      </c>
      <c r="F2559" s="148" t="s">
        <v>56</v>
      </c>
      <c r="G2559" s="148" t="s">
        <v>558</v>
      </c>
      <c r="H2559" s="148">
        <v>2017</v>
      </c>
      <c r="I2559" s="148">
        <v>9</v>
      </c>
      <c r="J2559" s="148" t="s">
        <v>33</v>
      </c>
      <c r="U2559" s="149" t="s">
        <v>3629</v>
      </c>
      <c r="V2559" s="148" t="s">
        <v>1687</v>
      </c>
      <c r="W2559" s="148" t="s">
        <v>34</v>
      </c>
      <c r="X2559" s="157" t="s">
        <v>3726</v>
      </c>
      <c r="Y2559" s="150" t="s">
        <v>1711</v>
      </c>
    </row>
    <row r="2560" spans="1:25" ht="15.75" hidden="1" customHeight="1" x14ac:dyDescent="0.25">
      <c r="A2560" s="148" t="s">
        <v>307</v>
      </c>
      <c r="B2560" s="148" t="s">
        <v>103</v>
      </c>
      <c r="C2560" s="148" t="s">
        <v>55</v>
      </c>
      <c r="D2560" s="148" t="s">
        <v>478</v>
      </c>
      <c r="E2560" s="148" t="s">
        <v>95</v>
      </c>
      <c r="F2560" s="148" t="s">
        <v>56</v>
      </c>
      <c r="G2560" s="148" t="s">
        <v>558</v>
      </c>
      <c r="H2560" s="148">
        <v>2017</v>
      </c>
      <c r="I2560" s="148">
        <v>9</v>
      </c>
      <c r="J2560" s="148" t="s">
        <v>308</v>
      </c>
      <c r="Q2560" s="148" t="s">
        <v>426</v>
      </c>
      <c r="R2560" s="148" t="s">
        <v>1087</v>
      </c>
      <c r="S2560" s="148" t="s">
        <v>427</v>
      </c>
      <c r="T2560" s="148" t="s">
        <v>1573</v>
      </c>
    </row>
    <row r="2561" spans="1:26" ht="13.5" hidden="1" customHeight="1" x14ac:dyDescent="0.25">
      <c r="A2561" s="148" t="s">
        <v>76</v>
      </c>
      <c r="B2561" s="148" t="s">
        <v>198</v>
      </c>
      <c r="C2561" s="148" t="s">
        <v>45</v>
      </c>
      <c r="D2561" s="148" t="s">
        <v>478</v>
      </c>
      <c r="E2561" s="148" t="s">
        <v>30</v>
      </c>
      <c r="F2561" s="148" t="s">
        <v>199</v>
      </c>
      <c r="G2561" s="148" t="s">
        <v>241</v>
      </c>
      <c r="H2561" s="148">
        <v>2017</v>
      </c>
      <c r="I2561" s="148">
        <v>9</v>
      </c>
      <c r="J2561" s="148" t="s">
        <v>150</v>
      </c>
      <c r="K2561" s="148" t="s">
        <v>1483</v>
      </c>
      <c r="M2561" s="148" t="s">
        <v>1318</v>
      </c>
      <c r="N2561" s="148">
        <v>5</v>
      </c>
      <c r="O2561" s="148" t="s">
        <v>83</v>
      </c>
      <c r="P2561" s="148" t="s">
        <v>1712</v>
      </c>
      <c r="Y2561" s="150" t="s">
        <v>1713</v>
      </c>
      <c r="Z2561" s="148" t="s">
        <v>1683</v>
      </c>
    </row>
    <row r="2562" spans="1:26" ht="15.75" hidden="1" customHeight="1" x14ac:dyDescent="0.25">
      <c r="A2562" s="148" t="s">
        <v>76</v>
      </c>
      <c r="B2562" s="148" t="s">
        <v>103</v>
      </c>
      <c r="C2562" s="148" t="s">
        <v>55</v>
      </c>
      <c r="D2562" s="148" t="s">
        <v>478</v>
      </c>
      <c r="E2562" s="148" t="s">
        <v>95</v>
      </c>
      <c r="F2562" s="148" t="s">
        <v>56</v>
      </c>
      <c r="G2562" s="148" t="s">
        <v>104</v>
      </c>
      <c r="H2562" s="148">
        <v>2017</v>
      </c>
      <c r="I2562" s="148">
        <v>9</v>
      </c>
      <c r="J2562" s="148" t="s">
        <v>118</v>
      </c>
      <c r="K2562" s="148" t="s">
        <v>1680</v>
      </c>
      <c r="M2562" s="148" t="s">
        <v>1318</v>
      </c>
      <c r="N2562" s="148">
        <v>5</v>
      </c>
      <c r="O2562" s="148" t="s">
        <v>101</v>
      </c>
      <c r="P2562" s="148" t="s">
        <v>1714</v>
      </c>
      <c r="Y2562" s="150" t="s">
        <v>1715</v>
      </c>
      <c r="Z2562" s="148" t="s">
        <v>1683</v>
      </c>
    </row>
    <row r="2563" spans="1:26" ht="15.75" hidden="1" customHeight="1" x14ac:dyDescent="0.25">
      <c r="A2563" s="148" t="s">
        <v>76</v>
      </c>
      <c r="B2563" s="148" t="s">
        <v>36</v>
      </c>
      <c r="C2563" s="148" t="s">
        <v>28</v>
      </c>
      <c r="D2563" s="148" t="s">
        <v>478</v>
      </c>
      <c r="E2563" s="148" t="s">
        <v>30</v>
      </c>
      <c r="F2563" s="148" t="s">
        <v>3183</v>
      </c>
      <c r="G2563" s="148" t="s">
        <v>59</v>
      </c>
      <c r="H2563" s="148">
        <v>2017</v>
      </c>
      <c r="I2563" s="148">
        <v>9</v>
      </c>
      <c r="J2563" s="148" t="s">
        <v>118</v>
      </c>
      <c r="K2563" s="148" t="s">
        <v>1622</v>
      </c>
      <c r="M2563" s="148" t="s">
        <v>521</v>
      </c>
      <c r="N2563" s="148">
        <v>6</v>
      </c>
      <c r="O2563" s="148" t="s">
        <v>101</v>
      </c>
      <c r="P2563" s="148" t="s">
        <v>283</v>
      </c>
      <c r="Y2563" s="150" t="s">
        <v>1716</v>
      </c>
    </row>
    <row r="2564" spans="1:26" ht="13.5" hidden="1" customHeight="1" x14ac:dyDescent="0.25">
      <c r="A2564" s="148" t="s">
        <v>26</v>
      </c>
      <c r="B2564" s="148" t="s">
        <v>36</v>
      </c>
      <c r="C2564" s="148" t="s">
        <v>28</v>
      </c>
      <c r="D2564" s="148" t="s">
        <v>478</v>
      </c>
      <c r="E2564" s="148" t="s">
        <v>30</v>
      </c>
      <c r="F2564" s="148" t="s">
        <v>3183</v>
      </c>
      <c r="G2564" s="157" t="s">
        <v>59</v>
      </c>
      <c r="H2564" s="148">
        <v>2017</v>
      </c>
      <c r="I2564" s="148">
        <v>9</v>
      </c>
      <c r="J2564" s="148" t="s">
        <v>33</v>
      </c>
      <c r="U2564" s="149" t="s">
        <v>112</v>
      </c>
      <c r="V2564" s="157" t="s">
        <v>3732</v>
      </c>
      <c r="W2564" s="148" t="s">
        <v>34</v>
      </c>
      <c r="X2564" s="157" t="s">
        <v>3725</v>
      </c>
      <c r="Y2564" s="159" t="s">
        <v>3747</v>
      </c>
      <c r="Z2564" s="157" t="s">
        <v>3748</v>
      </c>
    </row>
    <row r="2565" spans="1:26" ht="13.5" hidden="1" customHeight="1" x14ac:dyDescent="0.25">
      <c r="A2565" s="148" t="s">
        <v>307</v>
      </c>
      <c r="B2565" s="148" t="s">
        <v>27</v>
      </c>
      <c r="C2565" s="148" t="s">
        <v>28</v>
      </c>
      <c r="D2565" s="148" t="s">
        <v>1302</v>
      </c>
      <c r="E2565" s="148" t="s">
        <v>40</v>
      </c>
      <c r="F2565" s="148" t="s">
        <v>41</v>
      </c>
      <c r="G2565" s="148" t="s">
        <v>42</v>
      </c>
      <c r="H2565" s="148">
        <v>2017</v>
      </c>
      <c r="I2565" s="148">
        <v>9</v>
      </c>
      <c r="J2565" s="148" t="s">
        <v>308</v>
      </c>
      <c r="Q2565" s="148" t="s">
        <v>594</v>
      </c>
      <c r="R2565" s="148" t="s">
        <v>1717</v>
      </c>
      <c r="S2565" s="148" t="s">
        <v>885</v>
      </c>
      <c r="T2565" s="148" t="s">
        <v>1718</v>
      </c>
      <c r="Y2565" s="150" t="s">
        <v>1719</v>
      </c>
    </row>
    <row r="2566" spans="1:26" ht="15.75" hidden="1" customHeight="1" x14ac:dyDescent="0.25">
      <c r="A2566" s="148" t="s">
        <v>307</v>
      </c>
      <c r="B2566" s="148" t="s">
        <v>54</v>
      </c>
      <c r="C2566" s="148" t="s">
        <v>55</v>
      </c>
      <c r="D2566" s="148" t="s">
        <v>1082</v>
      </c>
      <c r="E2566" s="148" t="s">
        <v>30</v>
      </c>
      <c r="F2566" s="148" t="s">
        <v>56</v>
      </c>
      <c r="G2566" s="148" t="s">
        <v>54</v>
      </c>
      <c r="H2566" s="148">
        <v>2017</v>
      </c>
      <c r="I2566" s="148">
        <v>9</v>
      </c>
      <c r="J2566" s="148" t="s">
        <v>308</v>
      </c>
      <c r="Q2566" s="148" t="s">
        <v>594</v>
      </c>
      <c r="R2566" s="148" t="s">
        <v>1720</v>
      </c>
      <c r="S2566" s="148" t="s">
        <v>427</v>
      </c>
      <c r="T2566" s="148" t="s">
        <v>1721</v>
      </c>
      <c r="Y2566" s="150" t="s">
        <v>1722</v>
      </c>
    </row>
    <row r="2567" spans="1:26" ht="15.75" hidden="1" customHeight="1" x14ac:dyDescent="0.25">
      <c r="A2567" s="148" t="s">
        <v>26</v>
      </c>
      <c r="B2567" s="148" t="s">
        <v>89</v>
      </c>
      <c r="C2567" s="148" t="s">
        <v>90</v>
      </c>
      <c r="D2567" s="148" t="s">
        <v>342</v>
      </c>
      <c r="E2567" s="148" t="s">
        <v>30</v>
      </c>
      <c r="F2567" s="148" t="s">
        <v>91</v>
      </c>
      <c r="G2567" s="148" t="s">
        <v>429</v>
      </c>
      <c r="H2567" s="148">
        <v>2017</v>
      </c>
      <c r="I2567" s="148">
        <v>9</v>
      </c>
      <c r="J2567" s="148" t="s">
        <v>33</v>
      </c>
      <c r="U2567" s="149" t="s">
        <v>112</v>
      </c>
      <c r="V2567" s="148" t="s">
        <v>3692</v>
      </c>
      <c r="W2567" s="148" t="s">
        <v>34</v>
      </c>
      <c r="Y2567" s="150" t="s">
        <v>1723</v>
      </c>
    </row>
    <row r="2568" spans="1:26" ht="13.5" customHeight="1" x14ac:dyDescent="0.25">
      <c r="A2568" s="148" t="s">
        <v>76</v>
      </c>
      <c r="B2568" s="148" t="s">
        <v>36</v>
      </c>
      <c r="C2568" s="148" t="s">
        <v>28</v>
      </c>
      <c r="D2568" s="148" t="s">
        <v>1304</v>
      </c>
      <c r="E2568" s="148" t="s">
        <v>30</v>
      </c>
      <c r="F2568" s="148" t="s">
        <v>3183</v>
      </c>
      <c r="G2568" s="148" t="s">
        <v>194</v>
      </c>
      <c r="H2568" s="148">
        <v>2017</v>
      </c>
      <c r="I2568" s="148">
        <v>9</v>
      </c>
      <c r="J2568" s="148" t="s">
        <v>118</v>
      </c>
      <c r="K2568" s="148" t="s">
        <v>708</v>
      </c>
      <c r="M2568" s="148" t="s">
        <v>82</v>
      </c>
      <c r="N2568" s="148">
        <v>8</v>
      </c>
      <c r="O2568" s="148" t="s">
        <v>101</v>
      </c>
      <c r="P2568" s="148" t="s">
        <v>146</v>
      </c>
      <c r="Y2568" s="150" t="s">
        <v>1724</v>
      </c>
    </row>
    <row r="2569" spans="1:26" ht="15.75" hidden="1" customHeight="1" x14ac:dyDescent="0.25">
      <c r="A2569" s="148" t="s">
        <v>26</v>
      </c>
      <c r="B2569" s="148" t="s">
        <v>103</v>
      </c>
      <c r="C2569" s="148" t="s">
        <v>55</v>
      </c>
      <c r="D2569" s="148" t="s">
        <v>478</v>
      </c>
      <c r="E2569" s="148" t="s">
        <v>95</v>
      </c>
      <c r="F2569" s="148" t="s">
        <v>56</v>
      </c>
      <c r="G2569" s="148" t="s">
        <v>338</v>
      </c>
      <c r="H2569" s="148">
        <v>2017</v>
      </c>
      <c r="I2569" s="148">
        <v>9</v>
      </c>
      <c r="J2569" s="148" t="s">
        <v>33</v>
      </c>
      <c r="U2569" s="149" t="s">
        <v>112</v>
      </c>
      <c r="V2569" s="148" t="s">
        <v>3692</v>
      </c>
      <c r="W2569" s="148" t="s">
        <v>34</v>
      </c>
      <c r="Y2569" s="150" t="s">
        <v>1725</v>
      </c>
    </row>
    <row r="2570" spans="1:26" ht="15.75" hidden="1" customHeight="1" x14ac:dyDescent="0.25">
      <c r="A2570" s="148" t="s">
        <v>307</v>
      </c>
      <c r="B2570" s="148" t="s">
        <v>27</v>
      </c>
      <c r="C2570" s="148" t="s">
        <v>28</v>
      </c>
      <c r="D2570" s="148" t="s">
        <v>86</v>
      </c>
      <c r="E2570" s="148" t="s">
        <v>30</v>
      </c>
      <c r="F2570" s="148" t="s">
        <v>3183</v>
      </c>
      <c r="G2570" s="148" t="s">
        <v>43</v>
      </c>
      <c r="H2570" s="148">
        <v>2017</v>
      </c>
      <c r="I2570" s="148">
        <v>9</v>
      </c>
      <c r="J2570" s="148" t="s">
        <v>399</v>
      </c>
      <c r="Q2570" s="148" t="s">
        <v>594</v>
      </c>
      <c r="R2570" s="148" t="s">
        <v>1726</v>
      </c>
      <c r="S2570" s="148" t="s">
        <v>427</v>
      </c>
      <c r="T2570" s="148" t="s">
        <v>1727</v>
      </c>
    </row>
    <row r="2571" spans="1:26" ht="15.75" hidden="1" customHeight="1" x14ac:dyDescent="0.25">
      <c r="A2571" s="148" t="s">
        <v>76</v>
      </c>
      <c r="B2571" s="148" t="s">
        <v>44</v>
      </c>
      <c r="C2571" s="148" t="s">
        <v>45</v>
      </c>
      <c r="D2571" s="148" t="s">
        <v>29</v>
      </c>
      <c r="E2571" s="148" t="s">
        <v>46</v>
      </c>
      <c r="F2571" s="148" t="s">
        <v>47</v>
      </c>
      <c r="G2571" s="148" t="s">
        <v>48</v>
      </c>
      <c r="H2571" s="148">
        <v>2017</v>
      </c>
      <c r="I2571" s="148">
        <v>9</v>
      </c>
      <c r="J2571" s="148" t="s">
        <v>118</v>
      </c>
      <c r="K2571" s="148" t="s">
        <v>1680</v>
      </c>
      <c r="M2571" s="148" t="s">
        <v>1318</v>
      </c>
      <c r="N2571" s="148">
        <v>5</v>
      </c>
      <c r="O2571" s="148" t="s">
        <v>101</v>
      </c>
      <c r="P2571" s="148" t="s">
        <v>1728</v>
      </c>
      <c r="Z2571" s="148" t="s">
        <v>1683</v>
      </c>
    </row>
    <row r="2572" spans="1:26" ht="15.75" hidden="1" customHeight="1" x14ac:dyDescent="0.25">
      <c r="A2572" s="148" t="s">
        <v>76</v>
      </c>
      <c r="B2572" s="148" t="s">
        <v>36</v>
      </c>
      <c r="C2572" s="148" t="s">
        <v>28</v>
      </c>
      <c r="D2572" s="148" t="s">
        <v>342</v>
      </c>
      <c r="E2572" s="148" t="s">
        <v>30</v>
      </c>
      <c r="F2572" s="148" t="s">
        <v>3183</v>
      </c>
      <c r="G2572" s="148" t="s">
        <v>114</v>
      </c>
      <c r="H2572" s="148">
        <v>2017</v>
      </c>
      <c r="I2572" s="148">
        <v>9</v>
      </c>
      <c r="J2572" s="148" t="s">
        <v>118</v>
      </c>
      <c r="K2572" s="148" t="s">
        <v>502</v>
      </c>
      <c r="M2572" s="148" t="s">
        <v>126</v>
      </c>
      <c r="N2572" s="148">
        <v>10</v>
      </c>
      <c r="O2572" s="148" t="s">
        <v>101</v>
      </c>
      <c r="P2572" s="148" t="s">
        <v>146</v>
      </c>
    </row>
    <row r="2573" spans="1:26" ht="15.75" hidden="1" customHeight="1" x14ac:dyDescent="0.25">
      <c r="A2573" s="148" t="s">
        <v>307</v>
      </c>
      <c r="B2573" s="148" t="s">
        <v>36</v>
      </c>
      <c r="C2573" s="148" t="s">
        <v>28</v>
      </c>
      <c r="D2573" s="148" t="s">
        <v>342</v>
      </c>
      <c r="E2573" s="148" t="s">
        <v>30</v>
      </c>
      <c r="F2573" s="148" t="s">
        <v>3183</v>
      </c>
      <c r="G2573" s="148" t="s">
        <v>114</v>
      </c>
      <c r="H2573" s="148">
        <v>2017</v>
      </c>
      <c r="I2573" s="148">
        <v>9</v>
      </c>
      <c r="J2573" s="148" t="s">
        <v>308</v>
      </c>
      <c r="Q2573" s="148" t="s">
        <v>309</v>
      </c>
      <c r="R2573" s="160" t="s">
        <v>1087</v>
      </c>
      <c r="S2573" s="160" t="s">
        <v>311</v>
      </c>
      <c r="T2573" s="160" t="s">
        <v>1729</v>
      </c>
      <c r="U2573" s="152"/>
    </row>
    <row r="2574" spans="1:26" ht="15.75" hidden="1" customHeight="1" x14ac:dyDescent="0.25">
      <c r="A2574" s="148" t="s">
        <v>26</v>
      </c>
      <c r="B2574" s="148" t="s">
        <v>89</v>
      </c>
      <c r="C2574" s="148" t="s">
        <v>90</v>
      </c>
      <c r="D2574" s="148" t="s">
        <v>99</v>
      </c>
      <c r="E2574" s="148" t="s">
        <v>30</v>
      </c>
      <c r="F2574" s="148" t="s">
        <v>91</v>
      </c>
      <c r="G2574" s="148" t="s">
        <v>499</v>
      </c>
      <c r="H2574" s="148">
        <v>2017</v>
      </c>
      <c r="I2574" s="148">
        <v>10</v>
      </c>
      <c r="J2574" s="148" t="s">
        <v>33</v>
      </c>
      <c r="U2574" s="149" t="s">
        <v>112</v>
      </c>
      <c r="V2574" s="148" t="s">
        <v>3693</v>
      </c>
      <c r="W2574" s="148" t="s">
        <v>34</v>
      </c>
      <c r="Y2574" s="150" t="s">
        <v>1730</v>
      </c>
    </row>
    <row r="2575" spans="1:26" ht="15.75" hidden="1" customHeight="1" x14ac:dyDescent="0.25">
      <c r="A2575" s="148" t="s">
        <v>76</v>
      </c>
      <c r="B2575" s="148" t="s">
        <v>36</v>
      </c>
      <c r="C2575" s="148" t="s">
        <v>28</v>
      </c>
      <c r="D2575" s="148" t="s">
        <v>887</v>
      </c>
      <c r="E2575" s="148" t="s">
        <v>30</v>
      </c>
      <c r="F2575" s="148" t="s">
        <v>3183</v>
      </c>
      <c r="G2575" s="148" t="s">
        <v>888</v>
      </c>
      <c r="H2575" s="148">
        <v>2017</v>
      </c>
      <c r="I2575" s="148">
        <v>10</v>
      </c>
      <c r="J2575" s="148" t="s">
        <v>80</v>
      </c>
      <c r="K2575" s="148" t="s">
        <v>708</v>
      </c>
      <c r="M2575" s="148" t="s">
        <v>82</v>
      </c>
      <c r="N2575" s="148">
        <v>8</v>
      </c>
      <c r="O2575" s="148" t="s">
        <v>83</v>
      </c>
      <c r="P2575" s="148" t="s">
        <v>1731</v>
      </c>
      <c r="Y2575" s="150" t="s">
        <v>1464</v>
      </c>
      <c r="Z2575" s="148" t="s">
        <v>891</v>
      </c>
    </row>
    <row r="2576" spans="1:26" ht="15.75" hidden="1" customHeight="1" x14ac:dyDescent="0.25">
      <c r="A2576" s="148" t="s">
        <v>76</v>
      </c>
      <c r="B2576" s="148" t="s">
        <v>36</v>
      </c>
      <c r="C2576" s="148" t="s">
        <v>28</v>
      </c>
      <c r="D2576" s="148" t="s">
        <v>887</v>
      </c>
      <c r="E2576" s="148" t="s">
        <v>30</v>
      </c>
      <c r="F2576" s="148" t="s">
        <v>3183</v>
      </c>
      <c r="G2576" s="148" t="s">
        <v>888</v>
      </c>
      <c r="H2576" s="148">
        <v>2017</v>
      </c>
      <c r="I2576" s="148">
        <v>10</v>
      </c>
      <c r="J2576" s="148" t="s">
        <v>80</v>
      </c>
      <c r="K2576" s="148" t="s">
        <v>708</v>
      </c>
      <c r="M2576" s="148" t="s">
        <v>82</v>
      </c>
      <c r="N2576" s="148">
        <v>8</v>
      </c>
      <c r="O2576" s="148" t="s">
        <v>83</v>
      </c>
      <c r="P2576" s="148" t="s">
        <v>1732</v>
      </c>
      <c r="Y2576" s="150" t="s">
        <v>1733</v>
      </c>
      <c r="Z2576" s="148" t="s">
        <v>891</v>
      </c>
    </row>
    <row r="2577" spans="1:26" ht="15.75" hidden="1" customHeight="1" x14ac:dyDescent="0.25">
      <c r="A2577" s="148" t="s">
        <v>76</v>
      </c>
      <c r="B2577" s="148" t="s">
        <v>103</v>
      </c>
      <c r="C2577" s="148" t="s">
        <v>55</v>
      </c>
      <c r="D2577" s="148" t="s">
        <v>478</v>
      </c>
      <c r="E2577" s="148" t="s">
        <v>30</v>
      </c>
      <c r="F2577" s="148" t="s">
        <v>56</v>
      </c>
      <c r="G2577" s="148" t="s">
        <v>171</v>
      </c>
      <c r="H2577" s="148">
        <v>2017</v>
      </c>
      <c r="I2577" s="148">
        <v>10</v>
      </c>
      <c r="J2577" s="148" t="s">
        <v>118</v>
      </c>
      <c r="K2577" s="148" t="s">
        <v>708</v>
      </c>
      <c r="M2577" s="148" t="s">
        <v>82</v>
      </c>
      <c r="N2577" s="148">
        <v>8</v>
      </c>
      <c r="O2577" s="148" t="s">
        <v>101</v>
      </c>
      <c r="P2577" s="148" t="s">
        <v>146</v>
      </c>
      <c r="Y2577" s="150" t="s">
        <v>1734</v>
      </c>
    </row>
    <row r="2578" spans="1:26" ht="15.75" hidden="1" customHeight="1" x14ac:dyDescent="0.25">
      <c r="A2578" s="148" t="s">
        <v>307</v>
      </c>
      <c r="B2578" s="148" t="s">
        <v>36</v>
      </c>
      <c r="C2578" s="148" t="s">
        <v>28</v>
      </c>
      <c r="D2578" s="148" t="s">
        <v>342</v>
      </c>
      <c r="E2578" s="148" t="s">
        <v>30</v>
      </c>
      <c r="F2578" s="148" t="s">
        <v>3183</v>
      </c>
      <c r="G2578" s="148" t="s">
        <v>438</v>
      </c>
      <c r="H2578" s="148">
        <v>2017</v>
      </c>
      <c r="I2578" s="148">
        <v>10</v>
      </c>
      <c r="J2578" s="148" t="s">
        <v>308</v>
      </c>
      <c r="Q2578" s="148" t="s">
        <v>426</v>
      </c>
      <c r="R2578" s="148" t="s">
        <v>1087</v>
      </c>
      <c r="S2578" s="148" t="s">
        <v>427</v>
      </c>
      <c r="T2578" s="148" t="s">
        <v>1573</v>
      </c>
    </row>
    <row r="2579" spans="1:26" ht="15.75" hidden="1" customHeight="1" x14ac:dyDescent="0.25">
      <c r="A2579" s="148" t="s">
        <v>26</v>
      </c>
      <c r="B2579" s="148" t="s">
        <v>36</v>
      </c>
      <c r="C2579" s="148" t="s">
        <v>28</v>
      </c>
      <c r="D2579" s="148" t="s">
        <v>342</v>
      </c>
      <c r="E2579" s="148" t="s">
        <v>30</v>
      </c>
      <c r="F2579" s="148" t="s">
        <v>3183</v>
      </c>
      <c r="G2579" s="157" t="s">
        <v>438</v>
      </c>
      <c r="H2579" s="148">
        <v>2017</v>
      </c>
      <c r="I2579" s="148">
        <v>10</v>
      </c>
      <c r="J2579" s="148" t="s">
        <v>33</v>
      </c>
      <c r="U2579" s="157" t="s">
        <v>112</v>
      </c>
      <c r="V2579" s="157" t="s">
        <v>3749</v>
      </c>
      <c r="W2579" s="148" t="s">
        <v>34</v>
      </c>
      <c r="X2579" s="157" t="s">
        <v>3725</v>
      </c>
      <c r="Y2579" s="159" t="s">
        <v>3750</v>
      </c>
      <c r="Z2579" s="157" t="s">
        <v>3754</v>
      </c>
    </row>
    <row r="2580" spans="1:26" ht="15.75" hidden="1" customHeight="1" x14ac:dyDescent="0.25">
      <c r="A2580" s="148" t="s">
        <v>26</v>
      </c>
      <c r="B2580" s="148" t="s">
        <v>89</v>
      </c>
      <c r="C2580" s="148" t="s">
        <v>90</v>
      </c>
      <c r="D2580" s="148" t="s">
        <v>478</v>
      </c>
      <c r="E2580" s="148" t="s">
        <v>30</v>
      </c>
      <c r="F2580" s="148" t="s">
        <v>91</v>
      </c>
      <c r="G2580" s="148" t="s">
        <v>145</v>
      </c>
      <c r="H2580" s="148">
        <v>2017</v>
      </c>
      <c r="I2580" s="148">
        <v>10</v>
      </c>
      <c r="J2580" s="148" t="s">
        <v>33</v>
      </c>
      <c r="U2580" s="149" t="s">
        <v>112</v>
      </c>
      <c r="V2580" s="148" t="s">
        <v>3693</v>
      </c>
      <c r="W2580" s="148" t="s">
        <v>34</v>
      </c>
      <c r="Y2580" s="150" t="s">
        <v>1735</v>
      </c>
    </row>
    <row r="2581" spans="1:26" ht="15.75" hidden="1" customHeight="1" x14ac:dyDescent="0.25">
      <c r="A2581" s="148" t="s">
        <v>26</v>
      </c>
      <c r="B2581" s="148" t="s">
        <v>103</v>
      </c>
      <c r="C2581" s="148" t="s">
        <v>55</v>
      </c>
      <c r="D2581" s="148" t="s">
        <v>478</v>
      </c>
      <c r="E2581" s="148" t="s">
        <v>95</v>
      </c>
      <c r="F2581" s="148" t="s">
        <v>56</v>
      </c>
      <c r="G2581" s="148" t="s">
        <v>111</v>
      </c>
      <c r="H2581" s="148">
        <v>2017</v>
      </c>
      <c r="I2581" s="148">
        <v>10</v>
      </c>
      <c r="J2581" s="148" t="s">
        <v>33</v>
      </c>
      <c r="U2581" s="149" t="s">
        <v>3629</v>
      </c>
      <c r="V2581" s="148" t="s">
        <v>1687</v>
      </c>
      <c r="W2581" s="148" t="s">
        <v>34</v>
      </c>
      <c r="X2581" s="157" t="s">
        <v>3726</v>
      </c>
      <c r="Y2581" s="150" t="s">
        <v>1736</v>
      </c>
    </row>
    <row r="2582" spans="1:26" ht="15.75" hidden="1" customHeight="1" x14ac:dyDescent="0.25">
      <c r="A2582" s="148" t="s">
        <v>307</v>
      </c>
      <c r="B2582" s="148" t="s">
        <v>103</v>
      </c>
      <c r="C2582" s="148" t="s">
        <v>55</v>
      </c>
      <c r="D2582" s="148" t="s">
        <v>478</v>
      </c>
      <c r="E2582" s="148" t="s">
        <v>95</v>
      </c>
      <c r="F2582" s="148" t="s">
        <v>56</v>
      </c>
      <c r="G2582" s="148" t="s">
        <v>111</v>
      </c>
      <c r="H2582" s="148">
        <v>2017</v>
      </c>
      <c r="I2582" s="148">
        <v>10</v>
      </c>
      <c r="J2582" s="148" t="s">
        <v>308</v>
      </c>
      <c r="Q2582" s="148" t="s">
        <v>426</v>
      </c>
      <c r="R2582" s="148" t="s">
        <v>1087</v>
      </c>
      <c r="S2582" s="148" t="s">
        <v>427</v>
      </c>
      <c r="T2582" s="148" t="s">
        <v>1573</v>
      </c>
    </row>
    <row r="2583" spans="1:26" ht="15.75" hidden="1" customHeight="1" x14ac:dyDescent="0.25">
      <c r="A2583" s="148" t="s">
        <v>26</v>
      </c>
      <c r="B2583" s="148" t="s">
        <v>89</v>
      </c>
      <c r="C2583" s="148" t="s">
        <v>90</v>
      </c>
      <c r="D2583" s="148" t="s">
        <v>158</v>
      </c>
      <c r="E2583" s="148" t="s">
        <v>30</v>
      </c>
      <c r="F2583" s="148" t="s">
        <v>91</v>
      </c>
      <c r="G2583" s="148" t="s">
        <v>298</v>
      </c>
      <c r="H2583" s="148">
        <v>2017</v>
      </c>
      <c r="I2583" s="148">
        <v>10</v>
      </c>
      <c r="J2583" s="148" t="s">
        <v>33</v>
      </c>
      <c r="U2583" s="149" t="s">
        <v>112</v>
      </c>
      <c r="V2583" s="148" t="s">
        <v>3693</v>
      </c>
      <c r="W2583" s="148" t="s">
        <v>34</v>
      </c>
      <c r="Y2583" s="150" t="s">
        <v>1737</v>
      </c>
    </row>
    <row r="2584" spans="1:26" ht="15.75" hidden="1" customHeight="1" x14ac:dyDescent="0.25">
      <c r="A2584" s="148" t="s">
        <v>26</v>
      </c>
      <c r="B2584" s="148" t="s">
        <v>103</v>
      </c>
      <c r="C2584" s="148" t="s">
        <v>55</v>
      </c>
      <c r="D2584" s="148" t="s">
        <v>478</v>
      </c>
      <c r="E2584" s="148" t="s">
        <v>95</v>
      </c>
      <c r="F2584" s="148" t="s">
        <v>56</v>
      </c>
      <c r="G2584" s="148" t="s">
        <v>107</v>
      </c>
      <c r="H2584" s="148">
        <v>2017</v>
      </c>
      <c r="I2584" s="148">
        <v>10</v>
      </c>
      <c r="J2584" s="148" t="s">
        <v>33</v>
      </c>
      <c r="U2584" s="157" t="s">
        <v>112</v>
      </c>
      <c r="V2584" s="157" t="s">
        <v>3737</v>
      </c>
      <c r="W2584" s="148" t="s">
        <v>34</v>
      </c>
      <c r="X2584" s="157" t="s">
        <v>3727</v>
      </c>
      <c r="Y2584" s="159" t="s">
        <v>1738</v>
      </c>
    </row>
    <row r="2585" spans="1:26" ht="15.75" hidden="1" customHeight="1" x14ac:dyDescent="0.25">
      <c r="A2585" s="148" t="s">
        <v>76</v>
      </c>
      <c r="B2585" s="148" t="s">
        <v>36</v>
      </c>
      <c r="C2585" s="148" t="s">
        <v>28</v>
      </c>
      <c r="D2585" s="148" t="s">
        <v>342</v>
      </c>
      <c r="E2585" s="148" t="s">
        <v>30</v>
      </c>
      <c r="F2585" s="148" t="s">
        <v>3183</v>
      </c>
      <c r="G2585" s="148" t="s">
        <v>242</v>
      </c>
      <c r="H2585" s="148">
        <v>2017</v>
      </c>
      <c r="I2585" s="148">
        <v>10</v>
      </c>
      <c r="J2585" s="148" t="s">
        <v>150</v>
      </c>
      <c r="K2585" s="148" t="s">
        <v>708</v>
      </c>
      <c r="M2585" s="148" t="s">
        <v>82</v>
      </c>
      <c r="N2585" s="148">
        <v>8</v>
      </c>
      <c r="O2585" s="148" t="s">
        <v>83</v>
      </c>
      <c r="P2585" s="148" t="s">
        <v>146</v>
      </c>
    </row>
    <row r="2586" spans="1:26" ht="15.75" hidden="1" customHeight="1" x14ac:dyDescent="0.25">
      <c r="A2586" s="148" t="s">
        <v>76</v>
      </c>
      <c r="B2586" s="148" t="s">
        <v>36</v>
      </c>
      <c r="C2586" s="148" t="s">
        <v>28</v>
      </c>
      <c r="D2586" s="148" t="s">
        <v>478</v>
      </c>
      <c r="E2586" s="148" t="s">
        <v>30</v>
      </c>
      <c r="F2586" s="148" t="s">
        <v>3183</v>
      </c>
      <c r="G2586" s="148" t="s">
        <v>67</v>
      </c>
      <c r="H2586" s="148">
        <v>2017</v>
      </c>
      <c r="I2586" s="148">
        <v>10</v>
      </c>
      <c r="J2586" s="148" t="s">
        <v>640</v>
      </c>
      <c r="K2586" s="148" t="s">
        <v>708</v>
      </c>
      <c r="M2586" s="148" t="s">
        <v>82</v>
      </c>
      <c r="N2586" s="148">
        <v>8</v>
      </c>
      <c r="O2586" s="148" t="s">
        <v>83</v>
      </c>
      <c r="P2586" s="148" t="s">
        <v>146</v>
      </c>
      <c r="Y2586" s="150" t="s">
        <v>1733</v>
      </c>
    </row>
    <row r="2587" spans="1:26" ht="15.75" hidden="1" customHeight="1" x14ac:dyDescent="0.25">
      <c r="A2587" s="148" t="s">
        <v>76</v>
      </c>
      <c r="B2587" s="148" t="s">
        <v>36</v>
      </c>
      <c r="C2587" s="148" t="s">
        <v>28</v>
      </c>
      <c r="D2587" s="148" t="s">
        <v>86</v>
      </c>
      <c r="E2587" s="148" t="s">
        <v>51</v>
      </c>
      <c r="F2587" s="148" t="s">
        <v>3183</v>
      </c>
      <c r="G2587" s="148" t="s">
        <v>69</v>
      </c>
      <c r="H2587" s="148">
        <v>2017</v>
      </c>
      <c r="I2587" s="148">
        <v>10</v>
      </c>
      <c r="J2587" s="148" t="s">
        <v>150</v>
      </c>
      <c r="K2587" s="148" t="s">
        <v>708</v>
      </c>
      <c r="M2587" s="148" t="s">
        <v>82</v>
      </c>
      <c r="N2587" s="148">
        <v>8</v>
      </c>
      <c r="O2587" s="148" t="s">
        <v>83</v>
      </c>
      <c r="P2587" s="148" t="s">
        <v>154</v>
      </c>
      <c r="Y2587" s="150" t="s">
        <v>1739</v>
      </c>
    </row>
    <row r="2588" spans="1:26" ht="15.75" hidden="1" customHeight="1" x14ac:dyDescent="0.25">
      <c r="A2588" s="148" t="s">
        <v>26</v>
      </c>
      <c r="B2588" s="148" t="s">
        <v>103</v>
      </c>
      <c r="C2588" s="148" t="s">
        <v>55</v>
      </c>
      <c r="D2588" s="148" t="s">
        <v>478</v>
      </c>
      <c r="E2588" s="148" t="s">
        <v>95</v>
      </c>
      <c r="F2588" s="148" t="s">
        <v>56</v>
      </c>
      <c r="G2588" s="148" t="s">
        <v>225</v>
      </c>
      <c r="H2588" s="148">
        <v>2017</v>
      </c>
      <c r="I2588" s="148">
        <v>10</v>
      </c>
      <c r="J2588" s="148" t="s">
        <v>33</v>
      </c>
      <c r="U2588" s="157" t="s">
        <v>112</v>
      </c>
      <c r="V2588" s="157" t="s">
        <v>3737</v>
      </c>
      <c r="W2588" s="148" t="s">
        <v>34</v>
      </c>
      <c r="X2588" s="157" t="s">
        <v>3727</v>
      </c>
      <c r="Y2588" s="150" t="s">
        <v>1740</v>
      </c>
    </row>
    <row r="2589" spans="1:26" ht="15.75" hidden="1" customHeight="1" x14ac:dyDescent="0.25">
      <c r="A2589" s="148" t="s">
        <v>76</v>
      </c>
      <c r="B2589" s="148" t="s">
        <v>54</v>
      </c>
      <c r="C2589" s="148" t="s">
        <v>55</v>
      </c>
      <c r="D2589" s="148" t="s">
        <v>1082</v>
      </c>
      <c r="E2589" s="148" t="s">
        <v>30</v>
      </c>
      <c r="F2589" s="148" t="s">
        <v>56</v>
      </c>
      <c r="G2589" s="148" t="s">
        <v>54</v>
      </c>
      <c r="H2589" s="148">
        <v>2017</v>
      </c>
      <c r="I2589" s="148">
        <v>10</v>
      </c>
      <c r="J2589" s="148" t="s">
        <v>640</v>
      </c>
      <c r="K2589" s="148" t="s">
        <v>708</v>
      </c>
      <c r="M2589" s="148" t="s">
        <v>82</v>
      </c>
      <c r="N2589" s="148">
        <v>8</v>
      </c>
      <c r="O2589" s="148" t="s">
        <v>83</v>
      </c>
      <c r="P2589" s="148" t="s">
        <v>146</v>
      </c>
      <c r="Y2589" s="150" t="s">
        <v>1741</v>
      </c>
    </row>
    <row r="2590" spans="1:26" ht="13.5" customHeight="1" x14ac:dyDescent="0.25">
      <c r="A2590" s="148" t="s">
        <v>76</v>
      </c>
      <c r="B2590" s="148" t="s">
        <v>36</v>
      </c>
      <c r="C2590" s="148" t="s">
        <v>28</v>
      </c>
      <c r="D2590" s="148" t="s">
        <v>1304</v>
      </c>
      <c r="E2590" s="148" t="s">
        <v>30</v>
      </c>
      <c r="F2590" s="148" t="s">
        <v>3183</v>
      </c>
      <c r="G2590" s="148" t="s">
        <v>194</v>
      </c>
      <c r="H2590" s="148">
        <v>2017</v>
      </c>
      <c r="I2590" s="148">
        <v>10</v>
      </c>
      <c r="J2590" s="148" t="s">
        <v>640</v>
      </c>
      <c r="K2590" s="148" t="s">
        <v>708</v>
      </c>
      <c r="M2590" s="148" t="s">
        <v>82</v>
      </c>
      <c r="N2590" s="148">
        <v>8</v>
      </c>
      <c r="O2590" s="148" t="s">
        <v>83</v>
      </c>
      <c r="P2590" s="148" t="s">
        <v>146</v>
      </c>
      <c r="Y2590" s="150" t="s">
        <v>1742</v>
      </c>
    </row>
    <row r="2591" spans="1:26" ht="15.75" hidden="1" customHeight="1" x14ac:dyDescent="0.25">
      <c r="A2591" s="148" t="s">
        <v>76</v>
      </c>
      <c r="B2591" s="148" t="s">
        <v>62</v>
      </c>
      <c r="C2591" s="148" t="s">
        <v>28</v>
      </c>
      <c r="D2591" s="148" t="s">
        <v>86</v>
      </c>
      <c r="E2591" s="148" t="s">
        <v>51</v>
      </c>
      <c r="F2591" s="148" t="s">
        <v>3183</v>
      </c>
      <c r="G2591" s="148" t="s">
        <v>130</v>
      </c>
      <c r="H2591" s="148">
        <v>2017</v>
      </c>
      <c r="I2591" s="148">
        <v>10</v>
      </c>
      <c r="J2591" s="148" t="s">
        <v>640</v>
      </c>
      <c r="K2591" s="148" t="s">
        <v>708</v>
      </c>
      <c r="M2591" s="148" t="s">
        <v>82</v>
      </c>
      <c r="N2591" s="148">
        <v>8</v>
      </c>
      <c r="O2591" s="148" t="s">
        <v>83</v>
      </c>
      <c r="P2591" s="148" t="s">
        <v>146</v>
      </c>
      <c r="Y2591" s="150" t="s">
        <v>1733</v>
      </c>
    </row>
    <row r="2592" spans="1:26" ht="15.75" hidden="1" customHeight="1" x14ac:dyDescent="0.25">
      <c r="A2592" s="148" t="s">
        <v>307</v>
      </c>
      <c r="B2592" s="148" t="s">
        <v>36</v>
      </c>
      <c r="C2592" s="148" t="s">
        <v>28</v>
      </c>
      <c r="D2592" s="148" t="s">
        <v>342</v>
      </c>
      <c r="E2592" s="148" t="s">
        <v>51</v>
      </c>
      <c r="F2592" s="148" t="s">
        <v>3183</v>
      </c>
      <c r="G2592" s="148" t="s">
        <v>52</v>
      </c>
      <c r="H2592" s="148">
        <v>2017</v>
      </c>
      <c r="I2592" s="148">
        <v>10</v>
      </c>
      <c r="J2592" s="148" t="s">
        <v>308</v>
      </c>
      <c r="Q2592" s="148" t="s">
        <v>426</v>
      </c>
      <c r="R2592" s="148" t="s">
        <v>1087</v>
      </c>
      <c r="S2592" s="148" t="s">
        <v>427</v>
      </c>
      <c r="T2592" s="148" t="s">
        <v>1573</v>
      </c>
    </row>
    <row r="2593" spans="1:26" ht="13.5" hidden="1" customHeight="1" x14ac:dyDescent="0.25">
      <c r="A2593" s="148" t="s">
        <v>26</v>
      </c>
      <c r="B2593" s="148" t="s">
        <v>36</v>
      </c>
      <c r="C2593" s="148" t="s">
        <v>28</v>
      </c>
      <c r="D2593" s="148" t="s">
        <v>342</v>
      </c>
      <c r="E2593" s="148" t="s">
        <v>51</v>
      </c>
      <c r="F2593" s="148" t="s">
        <v>3183</v>
      </c>
      <c r="G2593" s="148" t="s">
        <v>52</v>
      </c>
      <c r="H2593" s="148">
        <v>2017</v>
      </c>
      <c r="I2593" s="148">
        <v>10</v>
      </c>
      <c r="J2593" s="148" t="s">
        <v>33</v>
      </c>
      <c r="U2593" s="157" t="s">
        <v>112</v>
      </c>
      <c r="V2593" s="157" t="s">
        <v>3749</v>
      </c>
      <c r="W2593" s="148" t="s">
        <v>34</v>
      </c>
      <c r="X2593" s="157" t="s">
        <v>3725</v>
      </c>
      <c r="Y2593" s="159" t="s">
        <v>3750</v>
      </c>
      <c r="Z2593" s="157" t="s">
        <v>3751</v>
      </c>
    </row>
    <row r="2594" spans="1:26" ht="15.75" hidden="1" customHeight="1" x14ac:dyDescent="0.25">
      <c r="A2594" s="148" t="s">
        <v>26</v>
      </c>
      <c r="B2594" s="148" t="s">
        <v>103</v>
      </c>
      <c r="C2594" s="148" t="s">
        <v>55</v>
      </c>
      <c r="D2594" s="148" t="s">
        <v>478</v>
      </c>
      <c r="E2594" s="148" t="s">
        <v>95</v>
      </c>
      <c r="F2594" s="148" t="s">
        <v>56</v>
      </c>
      <c r="G2594" s="148" t="s">
        <v>108</v>
      </c>
      <c r="H2594" s="148">
        <v>2017</v>
      </c>
      <c r="I2594" s="148">
        <v>10</v>
      </c>
      <c r="J2594" s="148" t="s">
        <v>33</v>
      </c>
      <c r="U2594" s="149" t="s">
        <v>3629</v>
      </c>
      <c r="V2594" s="148" t="s">
        <v>1687</v>
      </c>
      <c r="W2594" s="148" t="s">
        <v>34</v>
      </c>
      <c r="X2594" s="157" t="s">
        <v>3726</v>
      </c>
      <c r="Y2594" s="150" t="s">
        <v>1743</v>
      </c>
    </row>
    <row r="2595" spans="1:26" ht="15.75" hidden="1" customHeight="1" x14ac:dyDescent="0.25">
      <c r="A2595" s="148" t="s">
        <v>26</v>
      </c>
      <c r="B2595" s="148" t="s">
        <v>27</v>
      </c>
      <c r="C2595" s="148" t="s">
        <v>28</v>
      </c>
      <c r="D2595" s="148" t="s">
        <v>86</v>
      </c>
      <c r="E2595" s="148" t="s">
        <v>30</v>
      </c>
      <c r="F2595" s="148" t="s">
        <v>3183</v>
      </c>
      <c r="G2595" s="148" t="s">
        <v>32</v>
      </c>
      <c r="H2595" s="148">
        <v>2017</v>
      </c>
      <c r="I2595" s="148">
        <v>11</v>
      </c>
      <c r="J2595" s="148" t="s">
        <v>33</v>
      </c>
      <c r="U2595" s="157" t="s">
        <v>112</v>
      </c>
      <c r="V2595" s="157" t="s">
        <v>3739</v>
      </c>
      <c r="W2595" s="148" t="s">
        <v>34</v>
      </c>
      <c r="X2595" s="157" t="s">
        <v>3728</v>
      </c>
      <c r="Y2595" s="150" t="s">
        <v>1744</v>
      </c>
      <c r="Z2595" s="157" t="s">
        <v>3740</v>
      </c>
    </row>
    <row r="2596" spans="1:26" ht="15.75" hidden="1" customHeight="1" x14ac:dyDescent="0.25">
      <c r="A2596" s="148" t="s">
        <v>76</v>
      </c>
      <c r="B2596" s="148" t="s">
        <v>103</v>
      </c>
      <c r="C2596" s="148" t="s">
        <v>55</v>
      </c>
      <c r="D2596" s="148" t="s">
        <v>490</v>
      </c>
      <c r="E2596" s="148" t="s">
        <v>95</v>
      </c>
      <c r="F2596" s="148" t="s">
        <v>56</v>
      </c>
      <c r="G2596" s="148" t="s">
        <v>382</v>
      </c>
      <c r="H2596" s="148">
        <v>2017</v>
      </c>
      <c r="I2596" s="148">
        <v>11</v>
      </c>
      <c r="J2596" s="148" t="s">
        <v>118</v>
      </c>
      <c r="K2596" s="148" t="s">
        <v>1745</v>
      </c>
      <c r="M2596" s="148" t="s">
        <v>1746</v>
      </c>
      <c r="N2596" s="148">
        <v>6</v>
      </c>
      <c r="O2596" s="148" t="s">
        <v>101</v>
      </c>
      <c r="P2596" s="148" t="s">
        <v>325</v>
      </c>
      <c r="Y2596" s="150" t="s">
        <v>1747</v>
      </c>
    </row>
    <row r="2597" spans="1:26" ht="13.5" hidden="1" customHeight="1" x14ac:dyDescent="0.25">
      <c r="A2597" s="148" t="s">
        <v>76</v>
      </c>
      <c r="B2597" s="148" t="s">
        <v>89</v>
      </c>
      <c r="C2597" s="148" t="s">
        <v>90</v>
      </c>
      <c r="D2597" s="148" t="s">
        <v>29</v>
      </c>
      <c r="E2597" s="148" t="s">
        <v>30</v>
      </c>
      <c r="F2597" s="148" t="s">
        <v>91</v>
      </c>
      <c r="G2597" s="148" t="s">
        <v>668</v>
      </c>
      <c r="H2597" s="148">
        <v>2017</v>
      </c>
      <c r="I2597" s="148">
        <v>11</v>
      </c>
      <c r="J2597" s="148" t="s">
        <v>118</v>
      </c>
      <c r="K2597" s="148" t="s">
        <v>708</v>
      </c>
      <c r="M2597" s="148" t="s">
        <v>82</v>
      </c>
      <c r="N2597" s="148">
        <v>8</v>
      </c>
      <c r="O2597" s="148" t="s">
        <v>101</v>
      </c>
      <c r="P2597" s="148" t="s">
        <v>1748</v>
      </c>
      <c r="Y2597" s="150" t="s">
        <v>1426</v>
      </c>
    </row>
    <row r="2598" spans="1:26" ht="15.75" hidden="1" customHeight="1" x14ac:dyDescent="0.25">
      <c r="A2598" s="148" t="s">
        <v>307</v>
      </c>
      <c r="B2598" s="148" t="s">
        <v>27</v>
      </c>
      <c r="C2598" s="148" t="s">
        <v>28</v>
      </c>
      <c r="D2598" s="148" t="s">
        <v>29</v>
      </c>
      <c r="E2598" s="148" t="s">
        <v>30</v>
      </c>
      <c r="F2598" s="148" t="s">
        <v>3183</v>
      </c>
      <c r="G2598" s="148" t="s">
        <v>1749</v>
      </c>
      <c r="H2598" s="148">
        <v>2017</v>
      </c>
      <c r="I2598" s="148">
        <v>11</v>
      </c>
      <c r="J2598" s="148" t="s">
        <v>399</v>
      </c>
      <c r="Q2598" s="148" t="s">
        <v>426</v>
      </c>
      <c r="R2598" s="148" t="s">
        <v>1750</v>
      </c>
      <c r="S2598" s="148" t="s">
        <v>427</v>
      </c>
      <c r="T2598" s="148" t="s">
        <v>1751</v>
      </c>
    </row>
    <row r="2599" spans="1:26" ht="15.75" hidden="1" customHeight="1" x14ac:dyDescent="0.25">
      <c r="A2599" s="148" t="s">
        <v>26</v>
      </c>
      <c r="B2599" s="148" t="s">
        <v>89</v>
      </c>
      <c r="C2599" s="148" t="s">
        <v>90</v>
      </c>
      <c r="D2599" s="148" t="s">
        <v>342</v>
      </c>
      <c r="E2599" s="148" t="s">
        <v>30</v>
      </c>
      <c r="F2599" s="148" t="s">
        <v>91</v>
      </c>
      <c r="G2599" s="148" t="s">
        <v>411</v>
      </c>
      <c r="H2599" s="148">
        <v>2017</v>
      </c>
      <c r="I2599" s="148">
        <v>11</v>
      </c>
      <c r="J2599" s="148" t="s">
        <v>33</v>
      </c>
      <c r="U2599" s="149" t="s">
        <v>112</v>
      </c>
      <c r="V2599" s="148" t="s">
        <v>3694</v>
      </c>
      <c r="W2599" s="148" t="s">
        <v>34</v>
      </c>
      <c r="Y2599" s="150" t="s">
        <v>1752</v>
      </c>
    </row>
    <row r="2600" spans="1:26" ht="15.75" hidden="1" customHeight="1" x14ac:dyDescent="0.25">
      <c r="A2600" s="148" t="s">
        <v>76</v>
      </c>
      <c r="B2600" s="148" t="s">
        <v>36</v>
      </c>
      <c r="C2600" s="148" t="s">
        <v>28</v>
      </c>
      <c r="D2600" s="148" t="s">
        <v>342</v>
      </c>
      <c r="E2600" s="148" t="s">
        <v>30</v>
      </c>
      <c r="F2600" s="148" t="s">
        <v>3183</v>
      </c>
      <c r="G2600" s="148" t="s">
        <v>37</v>
      </c>
      <c r="H2600" s="148">
        <v>2017</v>
      </c>
      <c r="I2600" s="148">
        <v>11</v>
      </c>
      <c r="J2600" s="148" t="s">
        <v>118</v>
      </c>
      <c r="K2600" s="148" t="s">
        <v>579</v>
      </c>
      <c r="M2600" s="148" t="s">
        <v>126</v>
      </c>
      <c r="N2600" s="148">
        <v>10</v>
      </c>
      <c r="O2600" s="148" t="s">
        <v>101</v>
      </c>
      <c r="P2600" s="148" t="s">
        <v>1753</v>
      </c>
    </row>
    <row r="2601" spans="1:26" ht="15.75" hidden="1" customHeight="1" x14ac:dyDescent="0.25">
      <c r="A2601" s="148" t="s">
        <v>76</v>
      </c>
      <c r="B2601" s="148" t="s">
        <v>71</v>
      </c>
      <c r="C2601" s="148" t="s">
        <v>45</v>
      </c>
      <c r="D2601" s="148" t="s">
        <v>478</v>
      </c>
      <c r="E2601" s="148" t="s">
        <v>72</v>
      </c>
      <c r="F2601" s="148" t="s">
        <v>3183</v>
      </c>
      <c r="G2601" s="148" t="s">
        <v>75</v>
      </c>
      <c r="H2601" s="148">
        <v>2017</v>
      </c>
      <c r="I2601" s="148">
        <v>11</v>
      </c>
      <c r="J2601" s="148" t="s">
        <v>118</v>
      </c>
      <c r="K2601" s="148" t="s">
        <v>1754</v>
      </c>
      <c r="M2601" s="148" t="s">
        <v>1755</v>
      </c>
      <c r="N2601" s="148">
        <v>8</v>
      </c>
      <c r="O2601" s="148" t="s">
        <v>101</v>
      </c>
      <c r="P2601" s="148" t="s">
        <v>1756</v>
      </c>
      <c r="Y2601" s="150" t="s">
        <v>1427</v>
      </c>
    </row>
    <row r="2602" spans="1:26" ht="15.75" hidden="1" customHeight="1" x14ac:dyDescent="0.25">
      <c r="A2602" s="148" t="s">
        <v>76</v>
      </c>
      <c r="B2602" s="148" t="s">
        <v>27</v>
      </c>
      <c r="C2602" s="148" t="s">
        <v>28</v>
      </c>
      <c r="D2602" s="148" t="s">
        <v>1302</v>
      </c>
      <c r="E2602" s="148" t="s">
        <v>40</v>
      </c>
      <c r="F2602" s="148" t="s">
        <v>41</v>
      </c>
      <c r="G2602" s="148" t="s">
        <v>42</v>
      </c>
      <c r="H2602" s="148">
        <v>2017</v>
      </c>
      <c r="I2602" s="148">
        <v>11</v>
      </c>
      <c r="J2602" s="148" t="s">
        <v>118</v>
      </c>
      <c r="K2602" s="148" t="s">
        <v>1333</v>
      </c>
      <c r="M2602" s="148" t="s">
        <v>1519</v>
      </c>
      <c r="N2602" s="148">
        <v>6</v>
      </c>
      <c r="O2602" s="148" t="s">
        <v>101</v>
      </c>
      <c r="P2602" s="148" t="s">
        <v>164</v>
      </c>
      <c r="Y2602" s="150" t="s">
        <v>1429</v>
      </c>
    </row>
    <row r="2603" spans="1:26" ht="15" hidden="1" customHeight="1" x14ac:dyDescent="0.25">
      <c r="A2603" s="148" t="s">
        <v>307</v>
      </c>
      <c r="B2603" s="148" t="s">
        <v>27</v>
      </c>
      <c r="C2603" s="148" t="s">
        <v>28</v>
      </c>
      <c r="D2603" s="148" t="s">
        <v>1302</v>
      </c>
      <c r="E2603" s="148" t="s">
        <v>40</v>
      </c>
      <c r="F2603" s="148" t="s">
        <v>41</v>
      </c>
      <c r="G2603" s="148" t="s">
        <v>42</v>
      </c>
      <c r="H2603" s="148">
        <v>2017</v>
      </c>
      <c r="I2603" s="148">
        <v>11</v>
      </c>
      <c r="J2603" s="148" t="s">
        <v>308</v>
      </c>
      <c r="Q2603" s="148" t="s">
        <v>426</v>
      </c>
      <c r="R2603" s="148" t="s">
        <v>1087</v>
      </c>
      <c r="S2603" s="148" t="s">
        <v>427</v>
      </c>
      <c r="T2603" s="148" t="s">
        <v>1573</v>
      </c>
    </row>
    <row r="2604" spans="1:26" ht="15.75" hidden="1" customHeight="1" x14ac:dyDescent="0.25">
      <c r="A2604" s="148" t="s">
        <v>26</v>
      </c>
      <c r="B2604" s="148" t="s">
        <v>27</v>
      </c>
      <c r="C2604" s="148" t="s">
        <v>28</v>
      </c>
      <c r="D2604" s="148" t="s">
        <v>86</v>
      </c>
      <c r="E2604" s="148" t="s">
        <v>30</v>
      </c>
      <c r="F2604" s="148" t="s">
        <v>3183</v>
      </c>
      <c r="G2604" s="148" t="s">
        <v>43</v>
      </c>
      <c r="H2604" s="148">
        <v>2017</v>
      </c>
      <c r="I2604" s="148">
        <v>11</v>
      </c>
      <c r="J2604" s="148" t="s">
        <v>33</v>
      </c>
      <c r="U2604" s="157" t="s">
        <v>112</v>
      </c>
      <c r="V2604" s="157" t="s">
        <v>3738</v>
      </c>
      <c r="W2604" s="148" t="s">
        <v>34</v>
      </c>
      <c r="X2604" s="157" t="s">
        <v>3727</v>
      </c>
      <c r="Y2604" s="150" t="s">
        <v>1757</v>
      </c>
    </row>
    <row r="2605" spans="1:26" ht="15.75" hidden="1" customHeight="1" x14ac:dyDescent="0.25">
      <c r="A2605" s="148" t="s">
        <v>26</v>
      </c>
      <c r="B2605" s="148" t="s">
        <v>89</v>
      </c>
      <c r="C2605" s="148" t="s">
        <v>90</v>
      </c>
      <c r="D2605" s="148" t="s">
        <v>158</v>
      </c>
      <c r="E2605" s="148" t="s">
        <v>30</v>
      </c>
      <c r="F2605" s="148" t="s">
        <v>91</v>
      </c>
      <c r="G2605" s="148" t="s">
        <v>93</v>
      </c>
      <c r="H2605" s="148">
        <v>2017</v>
      </c>
      <c r="I2605" s="148">
        <v>11</v>
      </c>
      <c r="J2605" s="148" t="s">
        <v>33</v>
      </c>
      <c r="U2605" s="149" t="s">
        <v>112</v>
      </c>
      <c r="V2605" s="148" t="s">
        <v>3694</v>
      </c>
      <c r="W2605" s="148" t="s">
        <v>34</v>
      </c>
      <c r="Y2605" s="150" t="s">
        <v>1758</v>
      </c>
    </row>
    <row r="2606" spans="1:26" ht="15.75" hidden="1" customHeight="1" x14ac:dyDescent="0.25">
      <c r="A2606" s="148" t="s">
        <v>26</v>
      </c>
      <c r="B2606" s="148" t="s">
        <v>36</v>
      </c>
      <c r="C2606" s="148" t="s">
        <v>28</v>
      </c>
      <c r="D2606" s="148" t="s">
        <v>342</v>
      </c>
      <c r="E2606" s="148" t="s">
        <v>51</v>
      </c>
      <c r="F2606" s="148" t="s">
        <v>3183</v>
      </c>
      <c r="G2606" s="148" t="s">
        <v>52</v>
      </c>
      <c r="H2606" s="148">
        <v>2017</v>
      </c>
      <c r="I2606" s="148">
        <v>11</v>
      </c>
      <c r="J2606" s="148" t="s">
        <v>33</v>
      </c>
      <c r="U2606" s="157" t="s">
        <v>112</v>
      </c>
      <c r="V2606" s="157" t="s">
        <v>3738</v>
      </c>
      <c r="W2606" s="148" t="s">
        <v>34</v>
      </c>
      <c r="X2606" s="157" t="s">
        <v>3727</v>
      </c>
      <c r="Y2606" s="150" t="s">
        <v>1759</v>
      </c>
    </row>
    <row r="2607" spans="1:26" ht="15.75" hidden="1" customHeight="1" x14ac:dyDescent="0.25">
      <c r="A2607" s="148" t="s">
        <v>26</v>
      </c>
      <c r="B2607" s="148" t="s">
        <v>36</v>
      </c>
      <c r="C2607" s="148" t="s">
        <v>28</v>
      </c>
      <c r="D2607" s="148" t="s">
        <v>342</v>
      </c>
      <c r="E2607" s="148" t="s">
        <v>51</v>
      </c>
      <c r="F2607" s="148" t="s">
        <v>3183</v>
      </c>
      <c r="G2607" s="148" t="s">
        <v>52</v>
      </c>
      <c r="H2607" s="148">
        <v>2017</v>
      </c>
      <c r="I2607" s="148">
        <v>11</v>
      </c>
      <c r="J2607" s="148" t="s">
        <v>33</v>
      </c>
      <c r="U2607" s="157" t="s">
        <v>112</v>
      </c>
      <c r="V2607" s="157" t="s">
        <v>3741</v>
      </c>
      <c r="W2607" s="148" t="s">
        <v>34</v>
      </c>
      <c r="X2607" s="157" t="s">
        <v>3742</v>
      </c>
      <c r="Y2607" s="159" t="s">
        <v>3743</v>
      </c>
      <c r="Z2607" s="157" t="s">
        <v>3744</v>
      </c>
    </row>
    <row r="2608" spans="1:26" ht="15.75" hidden="1" customHeight="1" x14ac:dyDescent="0.25">
      <c r="A2608" s="148" t="s">
        <v>307</v>
      </c>
      <c r="B2608" s="148" t="s">
        <v>44</v>
      </c>
      <c r="C2608" s="148" t="s">
        <v>45</v>
      </c>
      <c r="D2608" s="148" t="s">
        <v>29</v>
      </c>
      <c r="E2608" s="148" t="s">
        <v>46</v>
      </c>
      <c r="F2608" s="148" t="s">
        <v>47</v>
      </c>
      <c r="G2608" s="148" t="s">
        <v>48</v>
      </c>
      <c r="H2608" s="148">
        <v>2017</v>
      </c>
      <c r="I2608" s="148">
        <v>11</v>
      </c>
      <c r="J2608" s="148" t="s">
        <v>308</v>
      </c>
      <c r="Q2608" s="148" t="s">
        <v>426</v>
      </c>
      <c r="R2608" s="148" t="s">
        <v>1760</v>
      </c>
      <c r="S2608" s="148" t="s">
        <v>311</v>
      </c>
      <c r="T2608" s="148" t="s">
        <v>1761</v>
      </c>
      <c r="Y2608" s="150" t="s">
        <v>1762</v>
      </c>
    </row>
    <row r="2609" spans="1:26" ht="15.75" hidden="1" customHeight="1" x14ac:dyDescent="0.25">
      <c r="A2609" s="148" t="s">
        <v>76</v>
      </c>
      <c r="B2609" s="148" t="s">
        <v>44</v>
      </c>
      <c r="C2609" s="148" t="s">
        <v>45</v>
      </c>
      <c r="D2609" s="148" t="s">
        <v>29</v>
      </c>
      <c r="E2609" s="148" t="s">
        <v>46</v>
      </c>
      <c r="F2609" s="148" t="s">
        <v>47</v>
      </c>
      <c r="G2609" s="148" t="s">
        <v>48</v>
      </c>
      <c r="H2609" s="148">
        <v>2017</v>
      </c>
      <c r="I2609" s="148">
        <v>11</v>
      </c>
      <c r="J2609" s="148" t="s">
        <v>150</v>
      </c>
      <c r="K2609" s="148" t="s">
        <v>1680</v>
      </c>
      <c r="M2609" s="148" t="s">
        <v>1318</v>
      </c>
      <c r="N2609" s="148">
        <v>5</v>
      </c>
      <c r="O2609" s="148" t="s">
        <v>83</v>
      </c>
      <c r="P2609" s="148" t="s">
        <v>1763</v>
      </c>
      <c r="Y2609" s="150" t="s">
        <v>1431</v>
      </c>
      <c r="Z2609" s="148" t="s">
        <v>1683</v>
      </c>
    </row>
    <row r="2610" spans="1:26" ht="15.75" hidden="1" customHeight="1" x14ac:dyDescent="0.25">
      <c r="A2610" s="148" t="s">
        <v>76</v>
      </c>
      <c r="B2610" s="148" t="s">
        <v>89</v>
      </c>
      <c r="C2610" s="148" t="s">
        <v>90</v>
      </c>
      <c r="D2610" s="148" t="s">
        <v>29</v>
      </c>
      <c r="E2610" s="148" t="s">
        <v>30</v>
      </c>
      <c r="F2610" s="148" t="s">
        <v>91</v>
      </c>
      <c r="G2610" s="148" t="s">
        <v>280</v>
      </c>
      <c r="H2610" s="148">
        <v>2017</v>
      </c>
      <c r="I2610" s="148">
        <v>11</v>
      </c>
      <c r="J2610" s="148" t="s">
        <v>118</v>
      </c>
      <c r="K2610" s="148" t="s">
        <v>1745</v>
      </c>
      <c r="M2610" s="148" t="s">
        <v>1746</v>
      </c>
      <c r="N2610" s="148">
        <v>6</v>
      </c>
      <c r="O2610" s="148" t="s">
        <v>101</v>
      </c>
      <c r="P2610" s="148" t="s">
        <v>325</v>
      </c>
      <c r="Y2610" s="150" t="s">
        <v>1764</v>
      </c>
    </row>
    <row r="2611" spans="1:26" ht="13.5" hidden="1" customHeight="1" x14ac:dyDescent="0.25">
      <c r="A2611" s="148" t="s">
        <v>76</v>
      </c>
      <c r="B2611" s="148" t="s">
        <v>89</v>
      </c>
      <c r="C2611" s="148" t="s">
        <v>90</v>
      </c>
      <c r="D2611" s="148" t="s">
        <v>29</v>
      </c>
      <c r="E2611" s="148" t="s">
        <v>30</v>
      </c>
      <c r="F2611" s="148" t="s">
        <v>91</v>
      </c>
      <c r="G2611" s="148" t="s">
        <v>414</v>
      </c>
      <c r="H2611" s="148">
        <v>2017</v>
      </c>
      <c r="I2611" s="148">
        <v>11</v>
      </c>
      <c r="J2611" s="148" t="s">
        <v>118</v>
      </c>
      <c r="K2611" s="148" t="s">
        <v>708</v>
      </c>
      <c r="M2611" s="148" t="s">
        <v>82</v>
      </c>
      <c r="N2611" s="148">
        <v>8</v>
      </c>
      <c r="O2611" s="148" t="s">
        <v>101</v>
      </c>
      <c r="P2611" s="148" t="s">
        <v>1765</v>
      </c>
      <c r="Y2611" s="150" t="s">
        <v>1766</v>
      </c>
    </row>
    <row r="2612" spans="1:26" ht="15.75" hidden="1" customHeight="1" x14ac:dyDescent="0.25">
      <c r="A2612" s="148" t="s">
        <v>76</v>
      </c>
      <c r="B2612" s="148" t="s">
        <v>27</v>
      </c>
      <c r="C2612" s="148" t="s">
        <v>55</v>
      </c>
      <c r="D2612" s="148" t="s">
        <v>99</v>
      </c>
      <c r="E2612" s="148" t="s">
        <v>40</v>
      </c>
      <c r="F2612" s="148" t="s">
        <v>41</v>
      </c>
      <c r="G2612" s="148" t="s">
        <v>604</v>
      </c>
      <c r="H2612" s="148">
        <v>2017</v>
      </c>
      <c r="I2612" s="148">
        <v>12</v>
      </c>
      <c r="J2612" s="148" t="s">
        <v>118</v>
      </c>
      <c r="K2612" s="148" t="s">
        <v>708</v>
      </c>
      <c r="M2612" s="148" t="s">
        <v>82</v>
      </c>
      <c r="N2612" s="148">
        <v>8</v>
      </c>
      <c r="O2612" s="148" t="s">
        <v>101</v>
      </c>
      <c r="P2612" s="148" t="s">
        <v>146</v>
      </c>
      <c r="Y2612" s="150" t="s">
        <v>1767</v>
      </c>
    </row>
    <row r="2613" spans="1:26" ht="15.75" hidden="1" customHeight="1" x14ac:dyDescent="0.25">
      <c r="A2613" s="148" t="s">
        <v>307</v>
      </c>
      <c r="B2613" s="148" t="s">
        <v>71</v>
      </c>
      <c r="C2613" s="148" t="s">
        <v>45</v>
      </c>
      <c r="D2613" s="148" t="s">
        <v>478</v>
      </c>
      <c r="E2613" s="148" t="s">
        <v>72</v>
      </c>
      <c r="F2613" s="148" t="s">
        <v>3183</v>
      </c>
      <c r="G2613" s="148" t="s">
        <v>73</v>
      </c>
      <c r="H2613" s="148">
        <v>2017</v>
      </c>
      <c r="I2613" s="148">
        <v>12</v>
      </c>
      <c r="J2613" s="148" t="s">
        <v>399</v>
      </c>
      <c r="Q2613" s="148" t="s">
        <v>426</v>
      </c>
      <c r="R2613" s="148" t="s">
        <v>1768</v>
      </c>
      <c r="S2613" s="148" t="s">
        <v>427</v>
      </c>
      <c r="T2613" s="148" t="s">
        <v>1769</v>
      </c>
      <c r="Y2613" s="150" t="s">
        <v>1770</v>
      </c>
    </row>
    <row r="2614" spans="1:26" ht="15.75" hidden="1" customHeight="1" x14ac:dyDescent="0.25">
      <c r="A2614" s="148" t="s">
        <v>76</v>
      </c>
      <c r="B2614" s="148" t="s">
        <v>36</v>
      </c>
      <c r="C2614" s="148" t="s">
        <v>28</v>
      </c>
      <c r="D2614" s="148" t="s">
        <v>342</v>
      </c>
      <c r="E2614" s="148" t="s">
        <v>30</v>
      </c>
      <c r="F2614" s="148" t="s">
        <v>3183</v>
      </c>
      <c r="G2614" s="148" t="s">
        <v>438</v>
      </c>
      <c r="H2614" s="148">
        <v>2017</v>
      </c>
      <c r="I2614" s="148">
        <v>12</v>
      </c>
      <c r="J2614" s="148" t="s">
        <v>118</v>
      </c>
      <c r="K2614" s="148" t="s">
        <v>1483</v>
      </c>
      <c r="M2614" s="148" t="s">
        <v>1318</v>
      </c>
      <c r="N2614" s="148">
        <v>5</v>
      </c>
      <c r="O2614" s="148" t="s">
        <v>101</v>
      </c>
      <c r="P2614" s="148" t="s">
        <v>1771</v>
      </c>
      <c r="Z2614" s="148" t="s">
        <v>1683</v>
      </c>
    </row>
    <row r="2615" spans="1:26" ht="15.75" hidden="1" customHeight="1" x14ac:dyDescent="0.25">
      <c r="A2615" s="148" t="s">
        <v>26</v>
      </c>
      <c r="B2615" s="148" t="s">
        <v>36</v>
      </c>
      <c r="C2615" s="148" t="s">
        <v>28</v>
      </c>
      <c r="D2615" s="148" t="s">
        <v>158</v>
      </c>
      <c r="E2615" s="148" t="s">
        <v>30</v>
      </c>
      <c r="F2615" s="148" t="s">
        <v>3183</v>
      </c>
      <c r="G2615" s="148" t="s">
        <v>239</v>
      </c>
      <c r="H2615" s="148">
        <v>2017</v>
      </c>
      <c r="I2615" s="148">
        <v>12</v>
      </c>
      <c r="J2615" s="148" t="s">
        <v>33</v>
      </c>
      <c r="U2615" s="149" t="s">
        <v>112</v>
      </c>
      <c r="V2615" s="148" t="s">
        <v>3695</v>
      </c>
      <c r="W2615" s="148" t="s">
        <v>1665</v>
      </c>
      <c r="Y2615" s="150" t="s">
        <v>1772</v>
      </c>
    </row>
    <row r="2616" spans="1:26" ht="13.5" hidden="1" customHeight="1" x14ac:dyDescent="0.25">
      <c r="A2616" s="148" t="s">
        <v>307</v>
      </c>
      <c r="B2616" s="148" t="s">
        <v>36</v>
      </c>
      <c r="C2616" s="148" t="s">
        <v>28</v>
      </c>
      <c r="D2616" s="148" t="s">
        <v>158</v>
      </c>
      <c r="E2616" s="148" t="s">
        <v>30</v>
      </c>
      <c r="F2616" s="148" t="s">
        <v>3183</v>
      </c>
      <c r="G2616" s="148" t="s">
        <v>239</v>
      </c>
      <c r="H2616" s="148">
        <v>2017</v>
      </c>
      <c r="I2616" s="148">
        <v>12</v>
      </c>
      <c r="J2616" s="148" t="s">
        <v>308</v>
      </c>
      <c r="Q2616" s="148" t="s">
        <v>426</v>
      </c>
      <c r="R2616" s="148" t="s">
        <v>1087</v>
      </c>
      <c r="S2616" s="148" t="s">
        <v>427</v>
      </c>
      <c r="T2616" s="148" t="s">
        <v>1580</v>
      </c>
    </row>
    <row r="2617" spans="1:26" ht="15.75" hidden="1" customHeight="1" x14ac:dyDescent="0.25">
      <c r="A2617" s="148" t="s">
        <v>76</v>
      </c>
      <c r="B2617" s="148" t="s">
        <v>89</v>
      </c>
      <c r="C2617" s="148" t="s">
        <v>90</v>
      </c>
      <c r="D2617" s="148" t="s">
        <v>158</v>
      </c>
      <c r="E2617" s="148" t="s">
        <v>30</v>
      </c>
      <c r="F2617" s="148" t="s">
        <v>91</v>
      </c>
      <c r="G2617" s="148" t="s">
        <v>298</v>
      </c>
      <c r="H2617" s="148">
        <v>2017</v>
      </c>
      <c r="I2617" s="148">
        <v>12</v>
      </c>
      <c r="J2617" s="148" t="s">
        <v>118</v>
      </c>
      <c r="K2617" s="148" t="s">
        <v>708</v>
      </c>
      <c r="M2617" s="148" t="s">
        <v>82</v>
      </c>
      <c r="N2617" s="148">
        <v>8</v>
      </c>
      <c r="O2617" s="148" t="s">
        <v>101</v>
      </c>
      <c r="P2617" s="148" t="s">
        <v>146</v>
      </c>
      <c r="Y2617" s="150" t="s">
        <v>1773</v>
      </c>
    </row>
    <row r="2618" spans="1:26" ht="16.5" hidden="1" customHeight="1" x14ac:dyDescent="0.25">
      <c r="A2618" s="148" t="s">
        <v>76</v>
      </c>
      <c r="B2618" s="148" t="s">
        <v>116</v>
      </c>
      <c r="C2618" s="148" t="s">
        <v>90</v>
      </c>
      <c r="D2618" s="148" t="s">
        <v>478</v>
      </c>
      <c r="E2618" s="148" t="s">
        <v>30</v>
      </c>
      <c r="F2618" s="148" t="s">
        <v>41</v>
      </c>
      <c r="G2618" s="148" t="s">
        <v>421</v>
      </c>
      <c r="H2618" s="148">
        <v>2017</v>
      </c>
      <c r="I2618" s="148">
        <v>12</v>
      </c>
      <c r="J2618" s="148" t="s">
        <v>118</v>
      </c>
      <c r="K2618" s="148" t="s">
        <v>708</v>
      </c>
      <c r="M2618" s="148" t="s">
        <v>82</v>
      </c>
      <c r="N2618" s="148">
        <v>8</v>
      </c>
      <c r="O2618" s="148" t="s">
        <v>101</v>
      </c>
      <c r="P2618" s="148" t="s">
        <v>146</v>
      </c>
      <c r="Y2618" s="150" t="s">
        <v>1774</v>
      </c>
    </row>
    <row r="2619" spans="1:26" ht="13.5" hidden="1" customHeight="1" x14ac:dyDescent="0.25">
      <c r="A2619" s="148" t="s">
        <v>76</v>
      </c>
      <c r="B2619" s="148" t="s">
        <v>89</v>
      </c>
      <c r="C2619" s="148" t="s">
        <v>90</v>
      </c>
      <c r="D2619" s="148" t="s">
        <v>342</v>
      </c>
      <c r="E2619" s="148" t="s">
        <v>30</v>
      </c>
      <c r="F2619" s="148" t="s">
        <v>91</v>
      </c>
      <c r="G2619" s="148" t="s">
        <v>411</v>
      </c>
      <c r="H2619" s="148">
        <v>2017</v>
      </c>
      <c r="I2619" s="148">
        <v>12</v>
      </c>
      <c r="J2619" s="148" t="s">
        <v>118</v>
      </c>
      <c r="K2619" s="148" t="s">
        <v>1333</v>
      </c>
      <c r="M2619" s="155" t="s">
        <v>3604</v>
      </c>
      <c r="N2619" s="148">
        <v>8</v>
      </c>
      <c r="O2619" s="148" t="s">
        <v>101</v>
      </c>
      <c r="P2619" s="148" t="s">
        <v>164</v>
      </c>
      <c r="Y2619" s="150" t="s">
        <v>3603</v>
      </c>
    </row>
    <row r="2620" spans="1:26" ht="13.5" hidden="1" customHeight="1" x14ac:dyDescent="0.25">
      <c r="A2620" s="148" t="s">
        <v>307</v>
      </c>
      <c r="B2620" s="148" t="s">
        <v>27</v>
      </c>
      <c r="C2620" s="148" t="s">
        <v>28</v>
      </c>
      <c r="D2620" s="148" t="s">
        <v>1302</v>
      </c>
      <c r="E2620" s="148" t="s">
        <v>40</v>
      </c>
      <c r="F2620" s="148" t="s">
        <v>41</v>
      </c>
      <c r="G2620" s="148" t="s">
        <v>42</v>
      </c>
      <c r="H2620" s="148">
        <v>2017</v>
      </c>
      <c r="I2620" s="148">
        <v>12</v>
      </c>
      <c r="J2620" s="148" t="s">
        <v>308</v>
      </c>
      <c r="Q2620" s="148" t="s">
        <v>818</v>
      </c>
      <c r="R2620" s="148" t="s">
        <v>1775</v>
      </c>
      <c r="S2620" s="148" t="s">
        <v>427</v>
      </c>
      <c r="T2620" s="148" t="s">
        <v>818</v>
      </c>
      <c r="Y2620" s="150" t="s">
        <v>1776</v>
      </c>
    </row>
    <row r="2621" spans="1:26" ht="15.75" hidden="1" customHeight="1" x14ac:dyDescent="0.25">
      <c r="A2621" s="148" t="s">
        <v>76</v>
      </c>
      <c r="B2621" s="148" t="s">
        <v>54</v>
      </c>
      <c r="C2621" s="148" t="s">
        <v>55</v>
      </c>
      <c r="D2621" s="148" t="s">
        <v>1082</v>
      </c>
      <c r="E2621" s="148" t="s">
        <v>30</v>
      </c>
      <c r="F2621" s="148" t="s">
        <v>56</v>
      </c>
      <c r="G2621" s="148" t="s">
        <v>54</v>
      </c>
      <c r="H2621" s="148">
        <v>2017</v>
      </c>
      <c r="I2621" s="148">
        <v>12</v>
      </c>
      <c r="J2621" s="148" t="s">
        <v>150</v>
      </c>
      <c r="K2621" s="148" t="s">
        <v>710</v>
      </c>
      <c r="M2621" s="148" t="s">
        <v>126</v>
      </c>
      <c r="N2621" s="148">
        <v>10</v>
      </c>
      <c r="O2621" s="148" t="s">
        <v>83</v>
      </c>
      <c r="P2621" s="148" t="s">
        <v>146</v>
      </c>
      <c r="Y2621" s="150" t="s">
        <v>1777</v>
      </c>
    </row>
    <row r="2622" spans="1:26" ht="13.5" hidden="1" customHeight="1" x14ac:dyDescent="0.25">
      <c r="A2622" s="148" t="s">
        <v>307</v>
      </c>
      <c r="B2622" s="148" t="s">
        <v>54</v>
      </c>
      <c r="C2622" s="148" t="s">
        <v>55</v>
      </c>
      <c r="D2622" s="148" t="s">
        <v>1082</v>
      </c>
      <c r="E2622" s="148" t="s">
        <v>30</v>
      </c>
      <c r="F2622" s="148" t="s">
        <v>56</v>
      </c>
      <c r="G2622" s="148" t="s">
        <v>54</v>
      </c>
      <c r="H2622" s="148">
        <v>2017</v>
      </c>
      <c r="I2622" s="148">
        <v>12</v>
      </c>
      <c r="J2622" s="148" t="s">
        <v>308</v>
      </c>
      <c r="Q2622" s="148" t="s">
        <v>309</v>
      </c>
      <c r="R2622" s="148" t="s">
        <v>1778</v>
      </c>
      <c r="S2622" s="148" t="s">
        <v>660</v>
      </c>
      <c r="T2622" s="148" t="s">
        <v>1779</v>
      </c>
      <c r="Y2622" s="150" t="s">
        <v>1780</v>
      </c>
    </row>
    <row r="2623" spans="1:26" ht="13.5" hidden="1" customHeight="1" x14ac:dyDescent="0.25">
      <c r="A2623" s="148" t="s">
        <v>307</v>
      </c>
      <c r="B2623" s="148" t="s">
        <v>54</v>
      </c>
      <c r="C2623" s="148" t="s">
        <v>55</v>
      </c>
      <c r="D2623" s="148" t="s">
        <v>1082</v>
      </c>
      <c r="E2623" s="148" t="s">
        <v>30</v>
      </c>
      <c r="F2623" s="148" t="s">
        <v>56</v>
      </c>
      <c r="G2623" s="148" t="s">
        <v>54</v>
      </c>
      <c r="H2623" s="148">
        <v>2017</v>
      </c>
      <c r="I2623" s="148">
        <v>12</v>
      </c>
      <c r="J2623" s="148" t="s">
        <v>308</v>
      </c>
      <c r="Q2623" s="148" t="s">
        <v>1477</v>
      </c>
      <c r="R2623" s="148" t="s">
        <v>1781</v>
      </c>
      <c r="S2623" s="148" t="s">
        <v>885</v>
      </c>
      <c r="T2623" s="148" t="s">
        <v>1782</v>
      </c>
      <c r="Y2623" s="150" t="s">
        <v>1783</v>
      </c>
      <c r="Z2623" s="148" t="s">
        <v>1480</v>
      </c>
    </row>
    <row r="2624" spans="1:26" ht="15.75" customHeight="1" x14ac:dyDescent="0.25">
      <c r="A2624" s="148" t="s">
        <v>76</v>
      </c>
      <c r="B2624" s="148" t="s">
        <v>36</v>
      </c>
      <c r="C2624" s="148" t="s">
        <v>28</v>
      </c>
      <c r="D2624" s="148" t="s">
        <v>1304</v>
      </c>
      <c r="E2624" s="148" t="s">
        <v>30</v>
      </c>
      <c r="F2624" s="148" t="s">
        <v>3183</v>
      </c>
      <c r="G2624" s="148" t="s">
        <v>194</v>
      </c>
      <c r="H2624" s="148">
        <v>2017</v>
      </c>
      <c r="I2624" s="148">
        <v>12</v>
      </c>
      <c r="J2624" s="148" t="s">
        <v>150</v>
      </c>
      <c r="K2624" s="148" t="s">
        <v>1784</v>
      </c>
      <c r="M2624" s="148" t="s">
        <v>1484</v>
      </c>
      <c r="N2624" s="148">
        <v>5</v>
      </c>
      <c r="O2624" s="148" t="s">
        <v>83</v>
      </c>
      <c r="P2624" s="148" t="s">
        <v>146</v>
      </c>
      <c r="Y2624" s="150" t="s">
        <v>1785</v>
      </c>
      <c r="Z2624" s="148" t="s">
        <v>1786</v>
      </c>
    </row>
    <row r="2625" spans="1:26" ht="13.5" hidden="1" customHeight="1" x14ac:dyDescent="0.25">
      <c r="A2625" s="148" t="s">
        <v>76</v>
      </c>
      <c r="B2625" s="148" t="s">
        <v>77</v>
      </c>
      <c r="C2625" s="148" t="s">
        <v>55</v>
      </c>
      <c r="D2625" s="148" t="s">
        <v>478</v>
      </c>
      <c r="E2625" s="148" t="s">
        <v>30</v>
      </c>
      <c r="F2625" s="148" t="s">
        <v>41</v>
      </c>
      <c r="G2625" s="148" t="s">
        <v>363</v>
      </c>
      <c r="H2625" s="148">
        <v>2017</v>
      </c>
      <c r="I2625" s="148">
        <v>12</v>
      </c>
      <c r="J2625" s="148" t="s">
        <v>150</v>
      </c>
      <c r="K2625" s="148" t="s">
        <v>708</v>
      </c>
      <c r="M2625" s="148" t="s">
        <v>82</v>
      </c>
      <c r="N2625" s="148">
        <v>8</v>
      </c>
      <c r="O2625" s="148" t="s">
        <v>83</v>
      </c>
      <c r="P2625" s="148" t="s">
        <v>121</v>
      </c>
      <c r="Y2625" s="150" t="s">
        <v>1787</v>
      </c>
    </row>
    <row r="2626" spans="1:26" ht="13.5" hidden="1" customHeight="1" x14ac:dyDescent="0.25">
      <c r="A2626" s="148" t="s">
        <v>26</v>
      </c>
      <c r="B2626" s="148" t="s">
        <v>89</v>
      </c>
      <c r="C2626" s="148" t="s">
        <v>90</v>
      </c>
      <c r="D2626" s="148" t="s">
        <v>478</v>
      </c>
      <c r="E2626" s="148" t="s">
        <v>30</v>
      </c>
      <c r="F2626" s="148" t="s">
        <v>91</v>
      </c>
      <c r="G2626" s="148" t="s">
        <v>371</v>
      </c>
      <c r="H2626" s="148">
        <v>2018</v>
      </c>
      <c r="I2626" s="148">
        <v>1</v>
      </c>
      <c r="J2626" s="148" t="s">
        <v>33</v>
      </c>
      <c r="U2626" s="149" t="s">
        <v>3629</v>
      </c>
      <c r="V2626" s="148" t="s">
        <v>1788</v>
      </c>
      <c r="W2626" s="148" t="s">
        <v>87</v>
      </c>
      <c r="X2626" s="157" t="s">
        <v>3755</v>
      </c>
      <c r="Y2626" s="150" t="s">
        <v>1789</v>
      </c>
    </row>
    <row r="2627" spans="1:26" ht="15.75" hidden="1" customHeight="1" x14ac:dyDescent="0.25">
      <c r="A2627" s="148" t="s">
        <v>26</v>
      </c>
      <c r="B2627" s="148" t="s">
        <v>89</v>
      </c>
      <c r="C2627" s="148" t="s">
        <v>90</v>
      </c>
      <c r="D2627" s="148" t="s">
        <v>99</v>
      </c>
      <c r="E2627" s="148" t="s">
        <v>40</v>
      </c>
      <c r="F2627" s="148" t="s">
        <v>91</v>
      </c>
      <c r="G2627" s="148" t="s">
        <v>142</v>
      </c>
      <c r="H2627" s="148">
        <v>2018</v>
      </c>
      <c r="I2627" s="148">
        <v>1</v>
      </c>
      <c r="J2627" s="148" t="s">
        <v>33</v>
      </c>
      <c r="U2627" s="149" t="s">
        <v>3629</v>
      </c>
      <c r="V2627" s="148" t="s">
        <v>1788</v>
      </c>
      <c r="W2627" s="148" t="s">
        <v>87</v>
      </c>
      <c r="X2627" s="157" t="s">
        <v>3755</v>
      </c>
      <c r="Y2627" s="150" t="s">
        <v>1790</v>
      </c>
    </row>
    <row r="2628" spans="1:26" ht="13.5" hidden="1" customHeight="1" x14ac:dyDescent="0.25">
      <c r="A2628" s="148" t="s">
        <v>76</v>
      </c>
      <c r="B2628" s="148" t="s">
        <v>36</v>
      </c>
      <c r="C2628" s="148" t="s">
        <v>28</v>
      </c>
      <c r="D2628" s="148" t="s">
        <v>342</v>
      </c>
      <c r="E2628" s="148" t="s">
        <v>30</v>
      </c>
      <c r="F2628" s="148" t="s">
        <v>3183</v>
      </c>
      <c r="G2628" s="148" t="s">
        <v>37</v>
      </c>
      <c r="H2628" s="148">
        <v>2018</v>
      </c>
      <c r="I2628" s="148">
        <v>1</v>
      </c>
      <c r="J2628" s="148" t="s">
        <v>118</v>
      </c>
      <c r="K2628" s="148" t="s">
        <v>708</v>
      </c>
      <c r="M2628" s="148" t="s">
        <v>82</v>
      </c>
      <c r="N2628" s="148">
        <v>8</v>
      </c>
      <c r="O2628" s="148" t="s">
        <v>101</v>
      </c>
      <c r="P2628" s="148" t="s">
        <v>562</v>
      </c>
      <c r="Y2628" s="150" t="s">
        <v>1791</v>
      </c>
      <c r="Z2628" s="148" t="s">
        <v>1792</v>
      </c>
    </row>
    <row r="2629" spans="1:26" ht="15.75" hidden="1" customHeight="1" x14ac:dyDescent="0.25">
      <c r="A2629" s="148" t="s">
        <v>76</v>
      </c>
      <c r="B2629" s="148" t="s">
        <v>36</v>
      </c>
      <c r="C2629" s="148" t="s">
        <v>28</v>
      </c>
      <c r="D2629" s="148" t="s">
        <v>342</v>
      </c>
      <c r="E2629" s="148" t="s">
        <v>30</v>
      </c>
      <c r="F2629" s="148" t="s">
        <v>3183</v>
      </c>
      <c r="G2629" s="148" t="s">
        <v>37</v>
      </c>
      <c r="H2629" s="148">
        <v>2018</v>
      </c>
      <c r="I2629" s="148">
        <v>1</v>
      </c>
      <c r="J2629" s="148" t="s">
        <v>150</v>
      </c>
      <c r="K2629" s="148" t="s">
        <v>1680</v>
      </c>
      <c r="M2629" s="148" t="s">
        <v>1318</v>
      </c>
      <c r="N2629" s="148">
        <v>5</v>
      </c>
      <c r="O2629" s="148" t="s">
        <v>101</v>
      </c>
      <c r="P2629" s="148" t="s">
        <v>1793</v>
      </c>
      <c r="Y2629" s="150" t="s">
        <v>1794</v>
      </c>
      <c r="Z2629" s="148" t="s">
        <v>1795</v>
      </c>
    </row>
    <row r="2630" spans="1:26" ht="15.75" hidden="1" customHeight="1" x14ac:dyDescent="0.25">
      <c r="A2630" s="148" t="s">
        <v>26</v>
      </c>
      <c r="B2630" s="148" t="s">
        <v>89</v>
      </c>
      <c r="C2630" s="148" t="s">
        <v>90</v>
      </c>
      <c r="D2630" s="148" t="s">
        <v>29</v>
      </c>
      <c r="E2630" s="148" t="s">
        <v>40</v>
      </c>
      <c r="F2630" s="148" t="s">
        <v>91</v>
      </c>
      <c r="G2630" s="148" t="s">
        <v>413</v>
      </c>
      <c r="H2630" s="148">
        <v>2018</v>
      </c>
      <c r="I2630" s="148">
        <v>1</v>
      </c>
      <c r="J2630" s="148" t="s">
        <v>33</v>
      </c>
      <c r="U2630" s="149" t="s">
        <v>3629</v>
      </c>
      <c r="V2630" s="148" t="s">
        <v>1788</v>
      </c>
      <c r="W2630" s="148" t="s">
        <v>87</v>
      </c>
      <c r="X2630" s="157" t="s">
        <v>3755</v>
      </c>
      <c r="Y2630" s="150" t="s">
        <v>1796</v>
      </c>
    </row>
    <row r="2631" spans="1:26" ht="15.75" hidden="1" customHeight="1" x14ac:dyDescent="0.25">
      <c r="A2631" s="148" t="s">
        <v>76</v>
      </c>
      <c r="B2631" s="148" t="s">
        <v>36</v>
      </c>
      <c r="C2631" s="148" t="s">
        <v>28</v>
      </c>
      <c r="D2631" s="148" t="s">
        <v>887</v>
      </c>
      <c r="E2631" s="148" t="s">
        <v>30</v>
      </c>
      <c r="F2631" s="148" t="s">
        <v>3183</v>
      </c>
      <c r="G2631" s="148" t="s">
        <v>888</v>
      </c>
      <c r="H2631" s="148">
        <v>2018</v>
      </c>
      <c r="I2631" s="148">
        <v>2</v>
      </c>
      <c r="J2631" s="148" t="s">
        <v>80</v>
      </c>
      <c r="K2631" s="148" t="s">
        <v>708</v>
      </c>
      <c r="M2631" s="148" t="s">
        <v>82</v>
      </c>
      <c r="N2631" s="148">
        <v>8</v>
      </c>
      <c r="O2631" s="148" t="s">
        <v>83</v>
      </c>
      <c r="P2631" s="148" t="s">
        <v>1797</v>
      </c>
      <c r="Y2631" s="150" t="s">
        <v>1798</v>
      </c>
      <c r="Z2631" s="148" t="s">
        <v>891</v>
      </c>
    </row>
    <row r="2632" spans="1:26" ht="13.5" hidden="1" customHeight="1" x14ac:dyDescent="0.25">
      <c r="A2632" s="148" t="s">
        <v>76</v>
      </c>
      <c r="B2632" s="148" t="s">
        <v>89</v>
      </c>
      <c r="C2632" s="148" t="s">
        <v>90</v>
      </c>
      <c r="D2632" s="148" t="s">
        <v>158</v>
      </c>
      <c r="E2632" s="148" t="s">
        <v>30</v>
      </c>
      <c r="F2632" s="148" t="s">
        <v>91</v>
      </c>
      <c r="G2632" s="148" t="s">
        <v>217</v>
      </c>
      <c r="H2632" s="148">
        <v>2018</v>
      </c>
      <c r="I2632" s="148">
        <v>2</v>
      </c>
      <c r="J2632" s="148" t="s">
        <v>150</v>
      </c>
      <c r="K2632" s="148" t="s">
        <v>708</v>
      </c>
      <c r="M2632" s="148" t="s">
        <v>82</v>
      </c>
      <c r="N2632" s="148">
        <v>8</v>
      </c>
      <c r="O2632" s="148" t="s">
        <v>83</v>
      </c>
      <c r="P2632" s="148" t="s">
        <v>146</v>
      </c>
      <c r="Y2632" s="150" t="s">
        <v>1799</v>
      </c>
    </row>
    <row r="2633" spans="1:26" ht="15.75" hidden="1" customHeight="1" x14ac:dyDescent="0.25">
      <c r="A2633" s="148" t="s">
        <v>76</v>
      </c>
      <c r="B2633" s="148" t="s">
        <v>89</v>
      </c>
      <c r="C2633" s="148" t="s">
        <v>90</v>
      </c>
      <c r="D2633" s="148" t="s">
        <v>158</v>
      </c>
      <c r="E2633" s="148" t="s">
        <v>30</v>
      </c>
      <c r="F2633" s="148" t="s">
        <v>91</v>
      </c>
      <c r="G2633" s="148" t="s">
        <v>298</v>
      </c>
      <c r="H2633" s="148">
        <v>2018</v>
      </c>
      <c r="I2633" s="148">
        <v>2</v>
      </c>
      <c r="J2633" s="148" t="s">
        <v>150</v>
      </c>
      <c r="K2633" s="148" t="s">
        <v>708</v>
      </c>
      <c r="M2633" s="148" t="s">
        <v>82</v>
      </c>
      <c r="N2633" s="148">
        <v>8</v>
      </c>
      <c r="O2633" s="148" t="s">
        <v>83</v>
      </c>
      <c r="P2633" s="148" t="s">
        <v>146</v>
      </c>
      <c r="Y2633" s="150" t="s">
        <v>1800</v>
      </c>
    </row>
    <row r="2634" spans="1:26" ht="15.75" customHeight="1" x14ac:dyDescent="0.25">
      <c r="A2634" s="148" t="s">
        <v>76</v>
      </c>
      <c r="B2634" s="148" t="s">
        <v>36</v>
      </c>
      <c r="C2634" s="148" t="s">
        <v>28</v>
      </c>
      <c r="D2634" s="148" t="s">
        <v>1304</v>
      </c>
      <c r="E2634" s="148" t="s">
        <v>30</v>
      </c>
      <c r="F2634" s="148" t="s">
        <v>3183</v>
      </c>
      <c r="G2634" s="148" t="s">
        <v>194</v>
      </c>
      <c r="H2634" s="148">
        <v>2018</v>
      </c>
      <c r="I2634" s="148">
        <v>2</v>
      </c>
      <c r="J2634" s="148" t="s">
        <v>150</v>
      </c>
      <c r="K2634" s="148" t="s">
        <v>708</v>
      </c>
      <c r="M2634" s="148" t="s">
        <v>82</v>
      </c>
      <c r="N2634" s="148">
        <v>8</v>
      </c>
      <c r="O2634" s="148" t="s">
        <v>83</v>
      </c>
      <c r="P2634" s="148" t="s">
        <v>146</v>
      </c>
      <c r="Y2634" s="150" t="s">
        <v>1801</v>
      </c>
      <c r="Z2634" s="148" t="s">
        <v>1802</v>
      </c>
    </row>
    <row r="2635" spans="1:26" ht="15.75" hidden="1" customHeight="1" x14ac:dyDescent="0.25">
      <c r="A2635" s="148" t="s">
        <v>26</v>
      </c>
      <c r="B2635" s="148" t="s">
        <v>89</v>
      </c>
      <c r="C2635" s="148" t="s">
        <v>90</v>
      </c>
      <c r="D2635" s="148" t="s">
        <v>478</v>
      </c>
      <c r="E2635" s="148" t="s">
        <v>30</v>
      </c>
      <c r="F2635" s="148" t="s">
        <v>91</v>
      </c>
      <c r="G2635" s="148" t="s">
        <v>92</v>
      </c>
      <c r="H2635" s="148">
        <v>2018</v>
      </c>
      <c r="I2635" s="148">
        <v>2</v>
      </c>
      <c r="J2635" s="148" t="s">
        <v>792</v>
      </c>
      <c r="U2635" s="149" t="s">
        <v>3629</v>
      </c>
      <c r="V2635" s="148" t="s">
        <v>1788</v>
      </c>
      <c r="W2635" s="148" t="s">
        <v>87</v>
      </c>
      <c r="X2635" s="157" t="s">
        <v>3755</v>
      </c>
      <c r="Y2635" s="150" t="s">
        <v>1803</v>
      </c>
      <c r="Z2635" s="148" t="s">
        <v>1804</v>
      </c>
    </row>
    <row r="2636" spans="1:26" ht="15.75" hidden="1" customHeight="1" x14ac:dyDescent="0.25">
      <c r="A2636" s="148" t="s">
        <v>307</v>
      </c>
      <c r="B2636" s="148" t="s">
        <v>36</v>
      </c>
      <c r="C2636" s="148" t="s">
        <v>28</v>
      </c>
      <c r="D2636" s="148" t="s">
        <v>342</v>
      </c>
      <c r="E2636" s="148" t="s">
        <v>51</v>
      </c>
      <c r="F2636" s="148" t="s">
        <v>3183</v>
      </c>
      <c r="G2636" s="148" t="s">
        <v>52</v>
      </c>
      <c r="H2636" s="148">
        <v>2018</v>
      </c>
      <c r="I2636" s="148">
        <v>2</v>
      </c>
      <c r="J2636" s="148" t="s">
        <v>399</v>
      </c>
      <c r="Q2636" s="148" t="s">
        <v>426</v>
      </c>
      <c r="R2636" s="148" t="s">
        <v>1805</v>
      </c>
      <c r="S2636" s="148" t="s">
        <v>311</v>
      </c>
      <c r="T2636" s="148" t="s">
        <v>1806</v>
      </c>
      <c r="Y2636" s="150" t="s">
        <v>1807</v>
      </c>
    </row>
    <row r="2637" spans="1:26" ht="15.75" hidden="1" customHeight="1" x14ac:dyDescent="0.25">
      <c r="A2637" s="148" t="s">
        <v>307</v>
      </c>
      <c r="B2637" s="148" t="s">
        <v>36</v>
      </c>
      <c r="C2637" s="148" t="s">
        <v>28</v>
      </c>
      <c r="D2637" s="148" t="s">
        <v>342</v>
      </c>
      <c r="E2637" s="148" t="s">
        <v>30</v>
      </c>
      <c r="F2637" s="148" t="s">
        <v>3183</v>
      </c>
      <c r="G2637" s="148" t="s">
        <v>438</v>
      </c>
      <c r="H2637" s="148">
        <v>2018</v>
      </c>
      <c r="I2637" s="148">
        <v>3</v>
      </c>
      <c r="J2637" s="148" t="s">
        <v>308</v>
      </c>
      <c r="Q2637" s="148" t="s">
        <v>309</v>
      </c>
      <c r="R2637" s="148" t="s">
        <v>1808</v>
      </c>
      <c r="S2637" s="148" t="s">
        <v>311</v>
      </c>
      <c r="T2637" s="148" t="s">
        <v>1659</v>
      </c>
      <c r="Y2637" s="150" t="s">
        <v>1809</v>
      </c>
    </row>
    <row r="2638" spans="1:26" ht="13.5" hidden="1" customHeight="1" x14ac:dyDescent="0.25">
      <c r="A2638" s="148" t="s">
        <v>307</v>
      </c>
      <c r="B2638" s="148" t="s">
        <v>103</v>
      </c>
      <c r="C2638" s="148" t="s">
        <v>55</v>
      </c>
      <c r="D2638" s="148" t="s">
        <v>478</v>
      </c>
      <c r="E2638" s="148" t="s">
        <v>95</v>
      </c>
      <c r="F2638" s="148" t="s">
        <v>56</v>
      </c>
      <c r="G2638" s="148" t="s">
        <v>111</v>
      </c>
      <c r="H2638" s="148">
        <v>2018</v>
      </c>
      <c r="I2638" s="148">
        <v>3</v>
      </c>
      <c r="J2638" s="148" t="s">
        <v>308</v>
      </c>
      <c r="Q2638" s="148" t="s">
        <v>426</v>
      </c>
      <c r="R2638" s="148" t="s">
        <v>38</v>
      </c>
      <c r="S2638" s="148" t="s">
        <v>427</v>
      </c>
      <c r="T2638" s="148" t="s">
        <v>1810</v>
      </c>
      <c r="Y2638" s="150" t="s">
        <v>1811</v>
      </c>
      <c r="Z2638" s="148" t="s">
        <v>1812</v>
      </c>
    </row>
    <row r="2639" spans="1:26" ht="13.5" hidden="1" customHeight="1" x14ac:dyDescent="0.25">
      <c r="A2639" s="148" t="s">
        <v>76</v>
      </c>
      <c r="B2639" s="148" t="s">
        <v>36</v>
      </c>
      <c r="C2639" s="148" t="s">
        <v>28</v>
      </c>
      <c r="D2639" s="148" t="s">
        <v>342</v>
      </c>
      <c r="E2639" s="148" t="s">
        <v>51</v>
      </c>
      <c r="F2639" s="148" t="s">
        <v>3183</v>
      </c>
      <c r="G2639" s="148" t="s">
        <v>52</v>
      </c>
      <c r="H2639" s="148">
        <v>2018</v>
      </c>
      <c r="I2639" s="148">
        <v>3</v>
      </c>
      <c r="J2639" s="148" t="s">
        <v>118</v>
      </c>
      <c r="K2639" s="148" t="s">
        <v>1152</v>
      </c>
      <c r="M2639" s="148" t="s">
        <v>82</v>
      </c>
      <c r="N2639" s="148">
        <v>8</v>
      </c>
      <c r="O2639" s="148" t="s">
        <v>101</v>
      </c>
      <c r="P2639" s="148" t="s">
        <v>146</v>
      </c>
      <c r="Y2639" s="150" t="s">
        <v>1813</v>
      </c>
    </row>
    <row r="2640" spans="1:26" ht="13.5" hidden="1" customHeight="1" x14ac:dyDescent="0.25">
      <c r="A2640" s="148" t="s">
        <v>76</v>
      </c>
      <c r="B2640" s="148" t="s">
        <v>103</v>
      </c>
      <c r="C2640" s="148" t="s">
        <v>55</v>
      </c>
      <c r="D2640" s="148" t="s">
        <v>516</v>
      </c>
      <c r="E2640" s="148" t="s">
        <v>30</v>
      </c>
      <c r="F2640" s="148" t="s">
        <v>56</v>
      </c>
      <c r="G2640" s="148" t="s">
        <v>260</v>
      </c>
      <c r="H2640" s="148">
        <v>2018</v>
      </c>
      <c r="I2640" s="148">
        <v>4</v>
      </c>
      <c r="J2640" s="148" t="s">
        <v>118</v>
      </c>
      <c r="K2640" s="148" t="s">
        <v>579</v>
      </c>
      <c r="M2640" s="148" t="s">
        <v>126</v>
      </c>
      <c r="N2640" s="148">
        <v>10</v>
      </c>
      <c r="O2640" s="148" t="s">
        <v>101</v>
      </c>
      <c r="P2640" s="148" t="s">
        <v>146</v>
      </c>
      <c r="Y2640" s="150" t="s">
        <v>1814</v>
      </c>
      <c r="Z2640" s="148" t="s">
        <v>1815</v>
      </c>
    </row>
    <row r="2641" spans="1:26" ht="15.75" hidden="1" customHeight="1" x14ac:dyDescent="0.25">
      <c r="A2641" s="148" t="s">
        <v>76</v>
      </c>
      <c r="B2641" s="148" t="s">
        <v>103</v>
      </c>
      <c r="C2641" s="148" t="s">
        <v>55</v>
      </c>
      <c r="D2641" s="148" t="s">
        <v>478</v>
      </c>
      <c r="E2641" s="148" t="s">
        <v>30</v>
      </c>
      <c r="F2641" s="148" t="s">
        <v>56</v>
      </c>
      <c r="G2641" s="148" t="s">
        <v>171</v>
      </c>
      <c r="H2641" s="148">
        <v>2018</v>
      </c>
      <c r="I2641" s="148">
        <v>4</v>
      </c>
      <c r="J2641" s="148" t="s">
        <v>150</v>
      </c>
      <c r="K2641" s="148" t="s">
        <v>1152</v>
      </c>
      <c r="M2641" s="148" t="s">
        <v>82</v>
      </c>
      <c r="N2641" s="148">
        <v>8</v>
      </c>
      <c r="O2641" s="148" t="s">
        <v>83</v>
      </c>
      <c r="P2641" s="148" t="s">
        <v>146</v>
      </c>
      <c r="Y2641" s="150" t="s">
        <v>1816</v>
      </c>
    </row>
    <row r="2642" spans="1:26" ht="13.5" hidden="1" customHeight="1" x14ac:dyDescent="0.25">
      <c r="A2642" s="148" t="s">
        <v>76</v>
      </c>
      <c r="B2642" s="148" t="s">
        <v>103</v>
      </c>
      <c r="C2642" s="148" t="s">
        <v>55</v>
      </c>
      <c r="D2642" s="148" t="s">
        <v>478</v>
      </c>
      <c r="E2642" s="148" t="s">
        <v>30</v>
      </c>
      <c r="F2642" s="148" t="s">
        <v>56</v>
      </c>
      <c r="G2642" s="148" t="s">
        <v>171</v>
      </c>
      <c r="H2642" s="148">
        <v>2018</v>
      </c>
      <c r="I2642" s="148">
        <v>4</v>
      </c>
      <c r="J2642" s="148" t="s">
        <v>118</v>
      </c>
      <c r="K2642" s="148" t="s">
        <v>710</v>
      </c>
      <c r="M2642" s="148" t="s">
        <v>126</v>
      </c>
      <c r="N2642" s="148">
        <v>10</v>
      </c>
      <c r="O2642" s="148" t="s">
        <v>101</v>
      </c>
      <c r="P2642" s="148" t="s">
        <v>146</v>
      </c>
      <c r="Y2642" s="150" t="s">
        <v>1817</v>
      </c>
    </row>
    <row r="2643" spans="1:26" ht="13.5" hidden="1" customHeight="1" x14ac:dyDescent="0.25">
      <c r="A2643" s="148" t="s">
        <v>76</v>
      </c>
      <c r="B2643" s="148" t="s">
        <v>36</v>
      </c>
      <c r="C2643" s="148" t="s">
        <v>28</v>
      </c>
      <c r="D2643" s="148" t="s">
        <v>342</v>
      </c>
      <c r="E2643" s="148" t="s">
        <v>30</v>
      </c>
      <c r="F2643" s="148" t="s">
        <v>3183</v>
      </c>
      <c r="G2643" s="148" t="s">
        <v>438</v>
      </c>
      <c r="H2643" s="148">
        <v>2018</v>
      </c>
      <c r="I2643" s="148">
        <v>4</v>
      </c>
      <c r="J2643" s="148" t="s">
        <v>118</v>
      </c>
      <c r="K2643" s="148" t="s">
        <v>1152</v>
      </c>
      <c r="M2643" s="148" t="s">
        <v>82</v>
      </c>
      <c r="N2643" s="148">
        <v>8</v>
      </c>
      <c r="O2643" s="148" t="s">
        <v>101</v>
      </c>
      <c r="P2643" s="148" t="s">
        <v>1771</v>
      </c>
      <c r="Y2643" s="150" t="s">
        <v>1818</v>
      </c>
    </row>
    <row r="2644" spans="1:26" ht="15.75" hidden="1" customHeight="1" x14ac:dyDescent="0.25">
      <c r="A2644" s="148" t="s">
        <v>76</v>
      </c>
      <c r="B2644" s="148" t="s">
        <v>27</v>
      </c>
      <c r="C2644" s="148" t="s">
        <v>28</v>
      </c>
      <c r="D2644" s="148" t="s">
        <v>566</v>
      </c>
      <c r="E2644" s="148" t="s">
        <v>30</v>
      </c>
      <c r="F2644" s="148" t="s">
        <v>3183</v>
      </c>
      <c r="G2644" s="148" t="s">
        <v>53</v>
      </c>
      <c r="H2644" s="148">
        <v>2018</v>
      </c>
      <c r="I2644" s="148">
        <v>4</v>
      </c>
      <c r="J2644" s="148" t="s">
        <v>640</v>
      </c>
      <c r="K2644" s="148" t="s">
        <v>1152</v>
      </c>
      <c r="M2644" s="148" t="s">
        <v>82</v>
      </c>
      <c r="N2644" s="148">
        <v>8</v>
      </c>
      <c r="O2644" s="148" t="s">
        <v>101</v>
      </c>
      <c r="P2644" s="148" t="s">
        <v>1819</v>
      </c>
      <c r="Y2644" s="150" t="s">
        <v>1820</v>
      </c>
      <c r="Z2644" s="148" t="s">
        <v>1821</v>
      </c>
    </row>
    <row r="2645" spans="1:26" ht="15.75" hidden="1" customHeight="1" x14ac:dyDescent="0.25">
      <c r="A2645" s="148" t="s">
        <v>76</v>
      </c>
      <c r="B2645" s="148" t="s">
        <v>77</v>
      </c>
      <c r="C2645" s="148" t="s">
        <v>55</v>
      </c>
      <c r="D2645" s="148" t="s">
        <v>478</v>
      </c>
      <c r="E2645" s="148" t="s">
        <v>30</v>
      </c>
      <c r="F2645" s="148" t="s">
        <v>41</v>
      </c>
      <c r="G2645" s="148" t="s">
        <v>159</v>
      </c>
      <c r="H2645" s="148">
        <v>2018</v>
      </c>
      <c r="I2645" s="148">
        <v>4</v>
      </c>
      <c r="J2645" s="148" t="s">
        <v>640</v>
      </c>
      <c r="K2645" s="148" t="s">
        <v>1152</v>
      </c>
      <c r="M2645" s="148" t="s">
        <v>82</v>
      </c>
      <c r="N2645" s="148">
        <v>8</v>
      </c>
      <c r="O2645" s="148" t="s">
        <v>101</v>
      </c>
      <c r="P2645" s="148" t="s">
        <v>1819</v>
      </c>
      <c r="Y2645" s="150" t="s">
        <v>1822</v>
      </c>
      <c r="Z2645" s="148" t="s">
        <v>1823</v>
      </c>
    </row>
    <row r="2646" spans="1:26" ht="13.5" hidden="1" customHeight="1" x14ac:dyDescent="0.25">
      <c r="A2646" s="148" t="s">
        <v>76</v>
      </c>
      <c r="B2646" s="148" t="s">
        <v>77</v>
      </c>
      <c r="C2646" s="148" t="s">
        <v>55</v>
      </c>
      <c r="D2646" s="148" t="s">
        <v>478</v>
      </c>
      <c r="E2646" s="148" t="s">
        <v>30</v>
      </c>
      <c r="F2646" s="148" t="s">
        <v>41</v>
      </c>
      <c r="G2646" s="148" t="s">
        <v>161</v>
      </c>
      <c r="H2646" s="148">
        <v>2018</v>
      </c>
      <c r="I2646" s="148">
        <v>4</v>
      </c>
      <c r="J2646" s="148" t="s">
        <v>640</v>
      </c>
      <c r="K2646" s="148" t="s">
        <v>1152</v>
      </c>
      <c r="M2646" s="148" t="s">
        <v>82</v>
      </c>
      <c r="N2646" s="148">
        <v>8</v>
      </c>
      <c r="O2646" s="148" t="s">
        <v>101</v>
      </c>
      <c r="P2646" s="148" t="s">
        <v>1819</v>
      </c>
      <c r="Y2646" s="150" t="s">
        <v>1824</v>
      </c>
    </row>
    <row r="2647" spans="1:26" ht="13.5" hidden="1" customHeight="1" x14ac:dyDescent="0.25">
      <c r="A2647" s="148" t="s">
        <v>76</v>
      </c>
      <c r="B2647" s="148" t="s">
        <v>36</v>
      </c>
      <c r="C2647" s="148" t="s">
        <v>28</v>
      </c>
      <c r="D2647" s="148" t="s">
        <v>342</v>
      </c>
      <c r="E2647" s="148" t="s">
        <v>30</v>
      </c>
      <c r="F2647" s="148" t="s">
        <v>3183</v>
      </c>
      <c r="G2647" s="148" t="s">
        <v>242</v>
      </c>
      <c r="H2647" s="148">
        <v>2018</v>
      </c>
      <c r="I2647" s="148">
        <v>4</v>
      </c>
      <c r="J2647" s="148" t="s">
        <v>118</v>
      </c>
      <c r="K2647" s="148" t="s">
        <v>710</v>
      </c>
      <c r="M2647" s="148" t="s">
        <v>126</v>
      </c>
      <c r="N2647" s="148">
        <v>10</v>
      </c>
      <c r="O2647" s="148" t="s">
        <v>101</v>
      </c>
      <c r="P2647" s="148" t="s">
        <v>146</v>
      </c>
      <c r="Y2647" s="150" t="s">
        <v>1817</v>
      </c>
    </row>
    <row r="2648" spans="1:26" ht="15.75" hidden="1" customHeight="1" x14ac:dyDescent="0.25">
      <c r="A2648" s="148" t="s">
        <v>76</v>
      </c>
      <c r="B2648" s="148" t="s">
        <v>27</v>
      </c>
      <c r="C2648" s="148" t="s">
        <v>28</v>
      </c>
      <c r="D2648" s="148" t="s">
        <v>1302</v>
      </c>
      <c r="E2648" s="148" t="s">
        <v>40</v>
      </c>
      <c r="F2648" s="148" t="s">
        <v>41</v>
      </c>
      <c r="G2648" s="148" t="s">
        <v>42</v>
      </c>
      <c r="H2648" s="148">
        <v>2018</v>
      </c>
      <c r="I2648" s="148">
        <v>4</v>
      </c>
      <c r="J2648" s="148" t="s">
        <v>640</v>
      </c>
      <c r="K2648" s="148" t="s">
        <v>1152</v>
      </c>
      <c r="M2648" s="148" t="s">
        <v>82</v>
      </c>
      <c r="N2648" s="148">
        <v>8</v>
      </c>
      <c r="O2648" s="148" t="s">
        <v>101</v>
      </c>
      <c r="P2648" s="148" t="s">
        <v>1825</v>
      </c>
      <c r="Y2648" s="150" t="s">
        <v>1826</v>
      </c>
      <c r="Z2648" s="148" t="s">
        <v>1821</v>
      </c>
    </row>
    <row r="2649" spans="1:26" ht="13.5" hidden="1" customHeight="1" x14ac:dyDescent="0.25">
      <c r="A2649" s="148" t="s">
        <v>76</v>
      </c>
      <c r="B2649" s="148" t="s">
        <v>27</v>
      </c>
      <c r="C2649" s="148" t="s">
        <v>28</v>
      </c>
      <c r="D2649" s="152" t="s">
        <v>1302</v>
      </c>
      <c r="E2649" s="148" t="s">
        <v>40</v>
      </c>
      <c r="F2649" s="148" t="s">
        <v>41</v>
      </c>
      <c r="G2649" s="148" t="s">
        <v>42</v>
      </c>
      <c r="H2649" s="148">
        <v>2018</v>
      </c>
      <c r="I2649" s="148">
        <v>4</v>
      </c>
      <c r="J2649" s="148" t="s">
        <v>118</v>
      </c>
      <c r="K2649" s="148" t="s">
        <v>1152</v>
      </c>
      <c r="M2649" s="148" t="s">
        <v>82</v>
      </c>
      <c r="N2649" s="148">
        <v>8</v>
      </c>
      <c r="O2649" s="148" t="s">
        <v>101</v>
      </c>
      <c r="P2649" s="148" t="s">
        <v>123</v>
      </c>
      <c r="Y2649" s="150" t="s">
        <v>1827</v>
      </c>
    </row>
    <row r="2650" spans="1:26" ht="13.5" hidden="1" customHeight="1" x14ac:dyDescent="0.25">
      <c r="A2650" s="148" t="s">
        <v>76</v>
      </c>
      <c r="B2650" s="148" t="s">
        <v>54</v>
      </c>
      <c r="C2650" s="148" t="s">
        <v>55</v>
      </c>
      <c r="D2650" s="148" t="s">
        <v>1082</v>
      </c>
      <c r="E2650" s="148" t="s">
        <v>30</v>
      </c>
      <c r="F2650" s="148" t="s">
        <v>56</v>
      </c>
      <c r="G2650" s="148" t="s">
        <v>54</v>
      </c>
      <c r="H2650" s="148">
        <v>2018</v>
      </c>
      <c r="I2650" s="148">
        <v>4</v>
      </c>
      <c r="J2650" s="148" t="s">
        <v>150</v>
      </c>
      <c r="K2650" s="148" t="s">
        <v>1152</v>
      </c>
      <c r="M2650" s="148" t="s">
        <v>82</v>
      </c>
      <c r="N2650" s="148">
        <v>8</v>
      </c>
      <c r="O2650" s="148" t="s">
        <v>83</v>
      </c>
      <c r="P2650" s="148" t="s">
        <v>146</v>
      </c>
      <c r="Y2650" s="150" t="s">
        <v>1816</v>
      </c>
      <c r="Z2650" s="148" t="s">
        <v>1828</v>
      </c>
    </row>
    <row r="2651" spans="1:26" ht="15.75" hidden="1" customHeight="1" x14ac:dyDescent="0.25">
      <c r="A2651" s="148" t="s">
        <v>76</v>
      </c>
      <c r="B2651" s="148" t="s">
        <v>54</v>
      </c>
      <c r="C2651" s="148" t="s">
        <v>55</v>
      </c>
      <c r="D2651" s="148" t="s">
        <v>1082</v>
      </c>
      <c r="E2651" s="148" t="s">
        <v>30</v>
      </c>
      <c r="F2651" s="148" t="s">
        <v>56</v>
      </c>
      <c r="G2651" s="148" t="s">
        <v>54</v>
      </c>
      <c r="H2651" s="148">
        <v>2018</v>
      </c>
      <c r="I2651" s="148">
        <v>4</v>
      </c>
      <c r="J2651" s="148" t="s">
        <v>118</v>
      </c>
      <c r="K2651" s="148" t="s">
        <v>579</v>
      </c>
      <c r="M2651" s="148" t="s">
        <v>126</v>
      </c>
      <c r="N2651" s="148">
        <v>10</v>
      </c>
      <c r="O2651" s="148" t="s">
        <v>101</v>
      </c>
      <c r="P2651" s="148" t="s">
        <v>146</v>
      </c>
      <c r="Y2651" s="150" t="s">
        <v>1829</v>
      </c>
    </row>
    <row r="2652" spans="1:26" ht="13.5" hidden="1" customHeight="1" x14ac:dyDescent="0.25">
      <c r="A2652" s="148" t="s">
        <v>76</v>
      </c>
      <c r="B2652" s="148" t="s">
        <v>77</v>
      </c>
      <c r="C2652" s="148" t="s">
        <v>55</v>
      </c>
      <c r="D2652" s="148" t="s">
        <v>78</v>
      </c>
      <c r="E2652" s="148" t="s">
        <v>30</v>
      </c>
      <c r="F2652" s="148" t="s">
        <v>41</v>
      </c>
      <c r="G2652" s="148" t="s">
        <v>79</v>
      </c>
      <c r="H2652" s="148">
        <v>2018</v>
      </c>
      <c r="I2652" s="148">
        <v>4</v>
      </c>
      <c r="J2652" s="148" t="s">
        <v>100</v>
      </c>
      <c r="K2652" s="148" t="s">
        <v>1152</v>
      </c>
      <c r="M2652" s="148" t="s">
        <v>82</v>
      </c>
      <c r="N2652" s="148">
        <v>8</v>
      </c>
      <c r="O2652" s="148" t="s">
        <v>101</v>
      </c>
      <c r="P2652" s="148" t="s">
        <v>1830</v>
      </c>
      <c r="Y2652" s="150" t="s">
        <v>1831</v>
      </c>
    </row>
    <row r="2653" spans="1:26" ht="13.5" hidden="1" customHeight="1" x14ac:dyDescent="0.25">
      <c r="A2653" s="148" t="s">
        <v>76</v>
      </c>
      <c r="B2653" s="148" t="s">
        <v>77</v>
      </c>
      <c r="C2653" s="148" t="s">
        <v>55</v>
      </c>
      <c r="D2653" s="148" t="s">
        <v>478</v>
      </c>
      <c r="E2653" s="148" t="s">
        <v>30</v>
      </c>
      <c r="F2653" s="148" t="s">
        <v>41</v>
      </c>
      <c r="G2653" s="148" t="s">
        <v>275</v>
      </c>
      <c r="H2653" s="148">
        <v>2018</v>
      </c>
      <c r="I2653" s="148">
        <v>4</v>
      </c>
      <c r="J2653" s="148" t="s">
        <v>640</v>
      </c>
      <c r="K2653" s="148" t="s">
        <v>1152</v>
      </c>
      <c r="M2653" s="148" t="s">
        <v>82</v>
      </c>
      <c r="N2653" s="148">
        <v>8</v>
      </c>
      <c r="O2653" s="148" t="s">
        <v>101</v>
      </c>
      <c r="P2653" s="148" t="s">
        <v>1819</v>
      </c>
      <c r="Y2653" s="150" t="s">
        <v>1820</v>
      </c>
      <c r="Z2653" s="148" t="s">
        <v>1821</v>
      </c>
    </row>
    <row r="2654" spans="1:26" ht="15.75" hidden="1" customHeight="1" x14ac:dyDescent="0.25">
      <c r="A2654" s="148" t="s">
        <v>76</v>
      </c>
      <c r="B2654" s="148" t="s">
        <v>77</v>
      </c>
      <c r="C2654" s="148" t="s">
        <v>55</v>
      </c>
      <c r="D2654" s="148" t="s">
        <v>478</v>
      </c>
      <c r="E2654" s="148" t="s">
        <v>30</v>
      </c>
      <c r="F2654" s="148" t="s">
        <v>41</v>
      </c>
      <c r="G2654" s="148" t="s">
        <v>363</v>
      </c>
      <c r="H2654" s="148">
        <v>2018</v>
      </c>
      <c r="I2654" s="148">
        <v>4</v>
      </c>
      <c r="J2654" s="148" t="s">
        <v>118</v>
      </c>
      <c r="K2654" s="148" t="s">
        <v>710</v>
      </c>
      <c r="M2654" s="148" t="s">
        <v>126</v>
      </c>
      <c r="N2654" s="148">
        <v>10</v>
      </c>
      <c r="O2654" s="148" t="s">
        <v>101</v>
      </c>
      <c r="P2654" s="148" t="s">
        <v>146</v>
      </c>
      <c r="Y2654" s="150" t="s">
        <v>1832</v>
      </c>
      <c r="Z2654" s="148" t="s">
        <v>1815</v>
      </c>
    </row>
    <row r="2655" spans="1:26" ht="15.75" hidden="1" customHeight="1" x14ac:dyDescent="0.25">
      <c r="A2655" s="148" t="s">
        <v>76</v>
      </c>
      <c r="B2655" s="148" t="s">
        <v>103</v>
      </c>
      <c r="C2655" s="148" t="s">
        <v>55</v>
      </c>
      <c r="D2655" s="148" t="s">
        <v>1833</v>
      </c>
      <c r="E2655" s="148" t="s">
        <v>95</v>
      </c>
      <c r="F2655" s="148" t="s">
        <v>56</v>
      </c>
      <c r="G2655" s="148" t="s">
        <v>506</v>
      </c>
      <c r="H2655" s="148">
        <v>2018</v>
      </c>
      <c r="I2655" s="148">
        <v>5</v>
      </c>
      <c r="J2655" s="148" t="s">
        <v>118</v>
      </c>
      <c r="K2655" s="148" t="s">
        <v>1152</v>
      </c>
      <c r="M2655" s="148" t="s">
        <v>82</v>
      </c>
      <c r="N2655" s="148">
        <v>8</v>
      </c>
      <c r="O2655" s="148" t="s">
        <v>101</v>
      </c>
      <c r="P2655" s="148" t="s">
        <v>551</v>
      </c>
      <c r="Y2655" s="150" t="s">
        <v>1834</v>
      </c>
    </row>
    <row r="2656" spans="1:26" ht="15.75" hidden="1" customHeight="1" x14ac:dyDescent="0.25">
      <c r="A2656" s="148" t="s">
        <v>26</v>
      </c>
      <c r="B2656" s="148" t="s">
        <v>116</v>
      </c>
      <c r="C2656" s="148" t="s">
        <v>90</v>
      </c>
      <c r="D2656" s="148" t="s">
        <v>99</v>
      </c>
      <c r="E2656" s="148" t="s">
        <v>30</v>
      </c>
      <c r="F2656" s="148" t="s">
        <v>41</v>
      </c>
      <c r="G2656" s="148" t="s">
        <v>564</v>
      </c>
      <c r="H2656" s="148">
        <v>2018</v>
      </c>
      <c r="I2656" s="148">
        <v>5</v>
      </c>
      <c r="J2656" s="148" t="s">
        <v>792</v>
      </c>
      <c r="U2656" s="149" t="s">
        <v>3629</v>
      </c>
      <c r="V2656" s="148" t="s">
        <v>1835</v>
      </c>
      <c r="W2656" s="148" t="s">
        <v>34</v>
      </c>
      <c r="X2656" s="157" t="s">
        <v>3756</v>
      </c>
      <c r="Y2656" s="150" t="s">
        <v>1836</v>
      </c>
    </row>
    <row r="2657" spans="1:26" ht="13.5" hidden="1" customHeight="1" x14ac:dyDescent="0.25">
      <c r="A2657" s="148" t="s">
        <v>26</v>
      </c>
      <c r="B2657" s="148" t="s">
        <v>103</v>
      </c>
      <c r="C2657" s="148" t="s">
        <v>55</v>
      </c>
      <c r="D2657" s="148" t="s">
        <v>478</v>
      </c>
      <c r="E2657" s="148" t="s">
        <v>95</v>
      </c>
      <c r="F2657" s="148" t="s">
        <v>56</v>
      </c>
      <c r="G2657" s="148" t="s">
        <v>153</v>
      </c>
      <c r="H2657" s="148">
        <v>2018</v>
      </c>
      <c r="I2657" s="148">
        <v>5</v>
      </c>
      <c r="J2657" s="148" t="s">
        <v>33</v>
      </c>
      <c r="U2657" s="149" t="s">
        <v>3629</v>
      </c>
      <c r="V2657" s="148" t="s">
        <v>1837</v>
      </c>
      <c r="W2657" s="148" t="s">
        <v>49</v>
      </c>
      <c r="X2657" s="157" t="s">
        <v>3757</v>
      </c>
      <c r="Y2657" s="150" t="s">
        <v>1839</v>
      </c>
    </row>
    <row r="2658" spans="1:26" ht="13.5" hidden="1" customHeight="1" x14ac:dyDescent="0.25">
      <c r="A2658" s="148" t="s">
        <v>307</v>
      </c>
      <c r="B2658" s="148" t="s">
        <v>36</v>
      </c>
      <c r="C2658" s="148" t="s">
        <v>28</v>
      </c>
      <c r="D2658" s="148" t="s">
        <v>478</v>
      </c>
      <c r="E2658" s="148" t="s">
        <v>30</v>
      </c>
      <c r="F2658" s="148" t="s">
        <v>3183</v>
      </c>
      <c r="G2658" s="148" t="s">
        <v>59</v>
      </c>
      <c r="H2658" s="148">
        <v>2018</v>
      </c>
      <c r="I2658" s="148">
        <v>5</v>
      </c>
      <c r="J2658" s="148" t="s">
        <v>399</v>
      </c>
      <c r="Q2658" s="148" t="s">
        <v>426</v>
      </c>
      <c r="R2658" s="148" t="s">
        <v>1840</v>
      </c>
      <c r="S2658" s="148" t="s">
        <v>427</v>
      </c>
      <c r="T2658" s="148" t="s">
        <v>1841</v>
      </c>
      <c r="Y2658" s="150" t="s">
        <v>1842</v>
      </c>
      <c r="Z2658" s="148" t="s">
        <v>1843</v>
      </c>
    </row>
    <row r="2659" spans="1:26" ht="13.5" hidden="1" customHeight="1" x14ac:dyDescent="0.25">
      <c r="A2659" s="148" t="s">
        <v>307</v>
      </c>
      <c r="B2659" s="148" t="s">
        <v>116</v>
      </c>
      <c r="C2659" s="148" t="s">
        <v>90</v>
      </c>
      <c r="D2659" s="148" t="s">
        <v>99</v>
      </c>
      <c r="E2659" s="148" t="s">
        <v>40</v>
      </c>
      <c r="F2659" s="148" t="s">
        <v>41</v>
      </c>
      <c r="G2659" s="148" t="s">
        <v>473</v>
      </c>
      <c r="H2659" s="148">
        <v>2018</v>
      </c>
      <c r="I2659" s="148">
        <v>5</v>
      </c>
      <c r="J2659" s="148" t="s">
        <v>399</v>
      </c>
      <c r="Q2659" s="148" t="s">
        <v>1229</v>
      </c>
      <c r="R2659" s="148" t="s">
        <v>1844</v>
      </c>
      <c r="S2659" s="148" t="s">
        <v>660</v>
      </c>
      <c r="T2659" s="148" t="s">
        <v>1845</v>
      </c>
      <c r="Y2659" s="150" t="s">
        <v>1846</v>
      </c>
    </row>
    <row r="2660" spans="1:26" ht="13.5" hidden="1" customHeight="1" x14ac:dyDescent="0.25">
      <c r="A2660" s="148" t="s">
        <v>76</v>
      </c>
      <c r="B2660" s="148" t="s">
        <v>62</v>
      </c>
      <c r="C2660" s="148" t="s">
        <v>28</v>
      </c>
      <c r="D2660" s="148" t="s">
        <v>478</v>
      </c>
      <c r="E2660" s="148" t="s">
        <v>30</v>
      </c>
      <c r="F2660" s="148" t="s">
        <v>3183</v>
      </c>
      <c r="G2660" s="148" t="s">
        <v>244</v>
      </c>
      <c r="H2660" s="148">
        <v>2018</v>
      </c>
      <c r="I2660" s="148">
        <v>5</v>
      </c>
      <c r="J2660" s="148" t="s">
        <v>118</v>
      </c>
      <c r="K2660" s="148" t="s">
        <v>579</v>
      </c>
      <c r="M2660" s="148" t="s">
        <v>126</v>
      </c>
      <c r="N2660" s="148">
        <v>10</v>
      </c>
      <c r="O2660" s="148" t="s">
        <v>101</v>
      </c>
      <c r="P2660" s="148" t="s">
        <v>146</v>
      </c>
      <c r="Y2660" s="150" t="s">
        <v>1847</v>
      </c>
    </row>
    <row r="2661" spans="1:26" ht="13.5" hidden="1" customHeight="1" x14ac:dyDescent="0.25">
      <c r="A2661" s="148" t="s">
        <v>307</v>
      </c>
      <c r="B2661" s="148" t="s">
        <v>89</v>
      </c>
      <c r="C2661" s="148" t="s">
        <v>90</v>
      </c>
      <c r="D2661" s="148" t="s">
        <v>99</v>
      </c>
      <c r="E2661" s="148" t="s">
        <v>30</v>
      </c>
      <c r="F2661" s="148" t="s">
        <v>91</v>
      </c>
      <c r="G2661" s="148" t="s">
        <v>178</v>
      </c>
      <c r="H2661" s="148">
        <v>2018</v>
      </c>
      <c r="I2661" s="148">
        <v>5</v>
      </c>
      <c r="J2661" s="148" t="s">
        <v>399</v>
      </c>
      <c r="Q2661" s="148" t="s">
        <v>1848</v>
      </c>
      <c r="R2661" s="148" t="s">
        <v>1849</v>
      </c>
      <c r="S2661" s="148" t="s">
        <v>427</v>
      </c>
      <c r="T2661" s="148" t="s">
        <v>1850</v>
      </c>
      <c r="V2661" s="148" t="s">
        <v>1837</v>
      </c>
      <c r="W2661" s="148" t="s">
        <v>49</v>
      </c>
      <c r="X2661" s="148" t="s">
        <v>1838</v>
      </c>
      <c r="Y2661" s="150" t="s">
        <v>1851</v>
      </c>
    </row>
    <row r="2662" spans="1:26" ht="18" hidden="1" customHeight="1" x14ac:dyDescent="0.25">
      <c r="A2662" s="148" t="s">
        <v>76</v>
      </c>
      <c r="B2662" s="148" t="s">
        <v>27</v>
      </c>
      <c r="C2662" s="148" t="s">
        <v>28</v>
      </c>
      <c r="D2662" s="148" t="s">
        <v>1302</v>
      </c>
      <c r="E2662" s="148" t="s">
        <v>40</v>
      </c>
      <c r="F2662" s="148" t="s">
        <v>41</v>
      </c>
      <c r="G2662" s="148" t="s">
        <v>42</v>
      </c>
      <c r="H2662" s="148">
        <v>2018</v>
      </c>
      <c r="I2662" s="148">
        <v>5</v>
      </c>
      <c r="J2662" s="148" t="s">
        <v>150</v>
      </c>
      <c r="K2662" s="148" t="s">
        <v>710</v>
      </c>
      <c r="M2662" s="148" t="s">
        <v>126</v>
      </c>
      <c r="N2662" s="148">
        <v>10</v>
      </c>
      <c r="O2662" s="148" t="s">
        <v>83</v>
      </c>
      <c r="P2662" s="148" t="s">
        <v>294</v>
      </c>
      <c r="Y2662" s="150" t="s">
        <v>1852</v>
      </c>
    </row>
    <row r="2663" spans="1:26" ht="15.75" hidden="1" customHeight="1" x14ac:dyDescent="0.25">
      <c r="A2663" s="148" t="s">
        <v>76</v>
      </c>
      <c r="B2663" s="148" t="s">
        <v>54</v>
      </c>
      <c r="C2663" s="148" t="s">
        <v>55</v>
      </c>
      <c r="D2663" s="148" t="s">
        <v>1082</v>
      </c>
      <c r="E2663" s="148" t="s">
        <v>30</v>
      </c>
      <c r="F2663" s="148" t="s">
        <v>56</v>
      </c>
      <c r="G2663" s="148" t="s">
        <v>54</v>
      </c>
      <c r="H2663" s="148">
        <v>2018</v>
      </c>
      <c r="I2663" s="148">
        <v>5</v>
      </c>
      <c r="J2663" s="148" t="s">
        <v>118</v>
      </c>
      <c r="K2663" s="148" t="s">
        <v>1680</v>
      </c>
      <c r="M2663" s="148" t="s">
        <v>1318</v>
      </c>
      <c r="N2663" s="148">
        <v>5</v>
      </c>
      <c r="O2663" s="148" t="s">
        <v>101</v>
      </c>
      <c r="P2663" s="148" t="s">
        <v>1853</v>
      </c>
      <c r="Y2663" s="150" t="s">
        <v>1854</v>
      </c>
      <c r="Z2663" s="148" t="s">
        <v>1855</v>
      </c>
    </row>
    <row r="2664" spans="1:26" ht="13.5" hidden="1" customHeight="1" x14ac:dyDescent="0.25">
      <c r="A2664" s="148" t="s">
        <v>26</v>
      </c>
      <c r="B2664" s="148" t="s">
        <v>103</v>
      </c>
      <c r="C2664" s="148" t="s">
        <v>55</v>
      </c>
      <c r="D2664" s="148" t="s">
        <v>478</v>
      </c>
      <c r="E2664" s="148" t="s">
        <v>95</v>
      </c>
      <c r="F2664" s="148" t="s">
        <v>56</v>
      </c>
      <c r="G2664" s="148" t="s">
        <v>338</v>
      </c>
      <c r="H2664" s="148">
        <v>2018</v>
      </c>
      <c r="I2664" s="148">
        <v>5</v>
      </c>
      <c r="J2664" s="148" t="s">
        <v>792</v>
      </c>
      <c r="U2664" s="149" t="s">
        <v>3629</v>
      </c>
      <c r="V2664" s="148" t="s">
        <v>1837</v>
      </c>
      <c r="W2664" s="148" t="s">
        <v>49</v>
      </c>
      <c r="X2664" s="161" t="s">
        <v>3757</v>
      </c>
      <c r="Y2664" s="150" t="s">
        <v>1856</v>
      </c>
      <c r="Z2664" s="152" t="s">
        <v>1857</v>
      </c>
    </row>
    <row r="2665" spans="1:26" ht="15.75" hidden="1" customHeight="1" x14ac:dyDescent="0.25">
      <c r="A2665" s="148" t="s">
        <v>76</v>
      </c>
      <c r="B2665" s="148" t="s">
        <v>89</v>
      </c>
      <c r="C2665" s="148" t="s">
        <v>90</v>
      </c>
      <c r="D2665" s="148" t="s">
        <v>158</v>
      </c>
      <c r="E2665" s="148" t="s">
        <v>30</v>
      </c>
      <c r="F2665" s="148" t="s">
        <v>91</v>
      </c>
      <c r="G2665" s="148" t="s">
        <v>93</v>
      </c>
      <c r="H2665" s="148">
        <v>2018</v>
      </c>
      <c r="I2665" s="148">
        <v>5</v>
      </c>
      <c r="J2665" s="148" t="s">
        <v>118</v>
      </c>
      <c r="K2665" s="148" t="s">
        <v>1152</v>
      </c>
      <c r="M2665" s="148" t="s">
        <v>82</v>
      </c>
      <c r="N2665" s="148">
        <v>8</v>
      </c>
      <c r="O2665" s="148" t="s">
        <v>101</v>
      </c>
      <c r="P2665" s="148" t="s">
        <v>551</v>
      </c>
      <c r="Y2665" s="150" t="s">
        <v>1858</v>
      </c>
    </row>
    <row r="2666" spans="1:26" ht="15.75" hidden="1" customHeight="1" x14ac:dyDescent="0.25">
      <c r="A2666" s="148" t="s">
        <v>76</v>
      </c>
      <c r="B2666" s="148" t="s">
        <v>89</v>
      </c>
      <c r="C2666" s="148" t="s">
        <v>90</v>
      </c>
      <c r="D2666" s="148" t="s">
        <v>342</v>
      </c>
      <c r="E2666" s="148" t="s">
        <v>30</v>
      </c>
      <c r="F2666" s="148" t="s">
        <v>91</v>
      </c>
      <c r="G2666" s="148" t="s">
        <v>1859</v>
      </c>
      <c r="H2666" s="148">
        <v>2018</v>
      </c>
      <c r="I2666" s="148">
        <v>6</v>
      </c>
      <c r="J2666" s="148" t="s">
        <v>100</v>
      </c>
      <c r="K2666" s="148" t="s">
        <v>1860</v>
      </c>
      <c r="M2666" s="148" t="s">
        <v>1591</v>
      </c>
      <c r="N2666" s="148">
        <v>6</v>
      </c>
      <c r="O2666" s="148" t="s">
        <v>101</v>
      </c>
      <c r="P2666" s="148" t="s">
        <v>1861</v>
      </c>
      <c r="Y2666" s="150" t="s">
        <v>1862</v>
      </c>
      <c r="Z2666" s="148" t="s">
        <v>1863</v>
      </c>
    </row>
    <row r="2667" spans="1:26" ht="15.75" hidden="1" customHeight="1" x14ac:dyDescent="0.25">
      <c r="A2667" s="148" t="s">
        <v>76</v>
      </c>
      <c r="B2667" s="148" t="s">
        <v>36</v>
      </c>
      <c r="C2667" s="148" t="s">
        <v>28</v>
      </c>
      <c r="D2667" s="148" t="s">
        <v>342</v>
      </c>
      <c r="E2667" s="148" t="s">
        <v>30</v>
      </c>
      <c r="F2667" s="148" t="s">
        <v>3183</v>
      </c>
      <c r="G2667" s="148" t="s">
        <v>438</v>
      </c>
      <c r="H2667" s="148">
        <v>2018</v>
      </c>
      <c r="I2667" s="148">
        <v>6</v>
      </c>
      <c r="J2667" s="148" t="s">
        <v>150</v>
      </c>
      <c r="K2667" s="148" t="s">
        <v>1152</v>
      </c>
      <c r="M2667" s="148" t="s">
        <v>82</v>
      </c>
      <c r="N2667" s="148">
        <v>8</v>
      </c>
      <c r="O2667" s="148" t="s">
        <v>83</v>
      </c>
      <c r="P2667" s="148" t="s">
        <v>1864</v>
      </c>
      <c r="Y2667" s="150" t="s">
        <v>1865</v>
      </c>
    </row>
    <row r="2668" spans="1:26" ht="13.5" hidden="1" customHeight="1" x14ac:dyDescent="0.25">
      <c r="A2668" s="148" t="s">
        <v>26</v>
      </c>
      <c r="B2668" s="148" t="s">
        <v>89</v>
      </c>
      <c r="C2668" s="148" t="s">
        <v>90</v>
      </c>
      <c r="D2668" s="148" t="s">
        <v>292</v>
      </c>
      <c r="E2668" s="148" t="s">
        <v>30</v>
      </c>
      <c r="F2668" s="148" t="s">
        <v>91</v>
      </c>
      <c r="G2668" s="148" t="s">
        <v>293</v>
      </c>
      <c r="H2668" s="148">
        <v>2018</v>
      </c>
      <c r="I2668" s="148">
        <v>6</v>
      </c>
      <c r="J2668" s="148" t="s">
        <v>33</v>
      </c>
      <c r="U2668" s="149" t="s">
        <v>3629</v>
      </c>
      <c r="V2668" s="148" t="s">
        <v>1837</v>
      </c>
      <c r="W2668" s="148" t="s">
        <v>49</v>
      </c>
      <c r="Y2668" s="150" t="s">
        <v>1866</v>
      </c>
      <c r="Z2668" s="148" t="s">
        <v>1867</v>
      </c>
    </row>
    <row r="2669" spans="1:26" ht="15.75" hidden="1" customHeight="1" x14ac:dyDescent="0.25">
      <c r="A2669" s="148" t="s">
        <v>307</v>
      </c>
      <c r="B2669" s="148" t="s">
        <v>89</v>
      </c>
      <c r="C2669" s="148" t="s">
        <v>90</v>
      </c>
      <c r="D2669" s="148" t="s">
        <v>292</v>
      </c>
      <c r="E2669" s="148" t="s">
        <v>30</v>
      </c>
      <c r="F2669" s="148" t="s">
        <v>91</v>
      </c>
      <c r="G2669" s="148" t="s">
        <v>293</v>
      </c>
      <c r="H2669" s="148">
        <v>2018</v>
      </c>
      <c r="I2669" s="148">
        <v>6</v>
      </c>
      <c r="J2669" s="148" t="s">
        <v>308</v>
      </c>
      <c r="Q2669" s="148" t="s">
        <v>426</v>
      </c>
      <c r="R2669" s="148" t="s">
        <v>1868</v>
      </c>
      <c r="S2669" s="148" t="s">
        <v>427</v>
      </c>
    </row>
    <row r="2670" spans="1:26" ht="15.75" hidden="1" customHeight="1" x14ac:dyDescent="0.25">
      <c r="A2670" s="148" t="s">
        <v>26</v>
      </c>
      <c r="B2670" s="148" t="s">
        <v>89</v>
      </c>
      <c r="C2670" s="148" t="s">
        <v>90</v>
      </c>
      <c r="D2670" s="148" t="s">
        <v>158</v>
      </c>
      <c r="E2670" s="148" t="s">
        <v>30</v>
      </c>
      <c r="F2670" s="148" t="s">
        <v>91</v>
      </c>
      <c r="G2670" s="148" t="s">
        <v>298</v>
      </c>
      <c r="H2670" s="148">
        <v>2018</v>
      </c>
      <c r="I2670" s="148">
        <v>6</v>
      </c>
      <c r="J2670" s="148" t="s">
        <v>33</v>
      </c>
      <c r="U2670" s="149" t="s">
        <v>3629</v>
      </c>
      <c r="V2670" s="148" t="s">
        <v>1837</v>
      </c>
      <c r="W2670" s="148" t="s">
        <v>49</v>
      </c>
      <c r="X2670" s="148" t="s">
        <v>1869</v>
      </c>
      <c r="Y2670" s="150" t="s">
        <v>1870</v>
      </c>
      <c r="Z2670" s="148" t="s">
        <v>1871</v>
      </c>
    </row>
    <row r="2671" spans="1:26" ht="15.75" hidden="1" customHeight="1" x14ac:dyDescent="0.25">
      <c r="A2671" s="148" t="s">
        <v>307</v>
      </c>
      <c r="B2671" s="148" t="s">
        <v>89</v>
      </c>
      <c r="C2671" s="148" t="s">
        <v>90</v>
      </c>
      <c r="D2671" s="148" t="s">
        <v>158</v>
      </c>
      <c r="E2671" s="148" t="s">
        <v>30</v>
      </c>
      <c r="F2671" s="148" t="s">
        <v>91</v>
      </c>
      <c r="G2671" s="148" t="s">
        <v>298</v>
      </c>
      <c r="H2671" s="148">
        <v>2018</v>
      </c>
      <c r="I2671" s="148">
        <v>6</v>
      </c>
      <c r="J2671" s="148" t="s">
        <v>308</v>
      </c>
      <c r="Q2671" s="148" t="s">
        <v>426</v>
      </c>
      <c r="R2671" s="148" t="s">
        <v>1868</v>
      </c>
      <c r="S2671" s="148" t="s">
        <v>427</v>
      </c>
    </row>
    <row r="2672" spans="1:26" ht="15.75" hidden="1" customHeight="1" x14ac:dyDescent="0.25">
      <c r="A2672" s="148" t="s">
        <v>26</v>
      </c>
      <c r="B2672" s="148" t="s">
        <v>103</v>
      </c>
      <c r="C2672" s="148" t="s">
        <v>55</v>
      </c>
      <c r="D2672" s="148" t="s">
        <v>478</v>
      </c>
      <c r="E2672" s="148" t="s">
        <v>95</v>
      </c>
      <c r="F2672" s="148" t="s">
        <v>56</v>
      </c>
      <c r="G2672" s="148" t="s">
        <v>104</v>
      </c>
      <c r="H2672" s="148">
        <v>2018</v>
      </c>
      <c r="I2672" s="148">
        <v>6</v>
      </c>
      <c r="J2672" s="148" t="s">
        <v>33</v>
      </c>
      <c r="U2672" s="149" t="s">
        <v>3629</v>
      </c>
      <c r="V2672" s="148" t="s">
        <v>1835</v>
      </c>
      <c r="W2672" s="148" t="s">
        <v>34</v>
      </c>
      <c r="X2672" s="157" t="s">
        <v>3758</v>
      </c>
      <c r="Y2672" s="150" t="s">
        <v>1872</v>
      </c>
    </row>
    <row r="2673" spans="1:26" ht="15.75" hidden="1" customHeight="1" x14ac:dyDescent="0.25">
      <c r="A2673" s="148" t="s">
        <v>26</v>
      </c>
      <c r="B2673" s="148" t="s">
        <v>89</v>
      </c>
      <c r="C2673" s="148" t="s">
        <v>90</v>
      </c>
      <c r="D2673" s="148" t="s">
        <v>29</v>
      </c>
      <c r="E2673" s="148" t="s">
        <v>30</v>
      </c>
      <c r="F2673" s="148" t="s">
        <v>91</v>
      </c>
      <c r="G2673" s="148" t="s">
        <v>417</v>
      </c>
      <c r="H2673" s="148">
        <v>2018</v>
      </c>
      <c r="I2673" s="148">
        <v>6</v>
      </c>
      <c r="J2673" s="148" t="s">
        <v>33</v>
      </c>
      <c r="U2673" s="149" t="s">
        <v>3629</v>
      </c>
      <c r="V2673" s="148" t="s">
        <v>1837</v>
      </c>
      <c r="W2673" s="148" t="s">
        <v>49</v>
      </c>
      <c r="X2673" s="157" t="s">
        <v>3761</v>
      </c>
      <c r="Y2673" s="159" t="s">
        <v>1873</v>
      </c>
      <c r="Z2673" s="148" t="s">
        <v>1871</v>
      </c>
    </row>
    <row r="2674" spans="1:26" ht="15.75" hidden="1" customHeight="1" x14ac:dyDescent="0.25">
      <c r="A2674" s="148" t="s">
        <v>307</v>
      </c>
      <c r="B2674" s="148" t="s">
        <v>89</v>
      </c>
      <c r="C2674" s="148" t="s">
        <v>90</v>
      </c>
      <c r="D2674" s="148" t="s">
        <v>29</v>
      </c>
      <c r="E2674" s="148" t="s">
        <v>30</v>
      </c>
      <c r="F2674" s="148" t="s">
        <v>91</v>
      </c>
      <c r="G2674" s="148" t="s">
        <v>417</v>
      </c>
      <c r="H2674" s="148">
        <v>2018</v>
      </c>
      <c r="I2674" s="148">
        <v>6</v>
      </c>
      <c r="J2674" s="148" t="s">
        <v>308</v>
      </c>
      <c r="Q2674" s="148" t="s">
        <v>426</v>
      </c>
      <c r="R2674" s="148" t="s">
        <v>1868</v>
      </c>
      <c r="S2674" s="148" t="s">
        <v>427</v>
      </c>
      <c r="T2674" s="148" t="s">
        <v>1874</v>
      </c>
      <c r="Y2674" s="150" t="s">
        <v>1875</v>
      </c>
    </row>
    <row r="2675" spans="1:26" ht="15.75" hidden="1" customHeight="1" x14ac:dyDescent="0.25">
      <c r="A2675" s="148" t="s">
        <v>76</v>
      </c>
      <c r="B2675" s="148" t="s">
        <v>36</v>
      </c>
      <c r="C2675" s="148" t="s">
        <v>28</v>
      </c>
      <c r="D2675" s="148" t="s">
        <v>29</v>
      </c>
      <c r="E2675" s="148" t="s">
        <v>30</v>
      </c>
      <c r="F2675" s="148" t="s">
        <v>3183</v>
      </c>
      <c r="G2675" s="148" t="s">
        <v>722</v>
      </c>
      <c r="H2675" s="148">
        <v>2018</v>
      </c>
      <c r="I2675" s="148">
        <v>6</v>
      </c>
      <c r="J2675" s="148" t="s">
        <v>80</v>
      </c>
      <c r="K2675" s="148" t="s">
        <v>1636</v>
      </c>
      <c r="M2675" s="148" t="s">
        <v>1876</v>
      </c>
      <c r="N2675" s="148">
        <v>6</v>
      </c>
      <c r="O2675" s="148" t="s">
        <v>83</v>
      </c>
      <c r="P2675" s="148" t="s">
        <v>1877</v>
      </c>
    </row>
    <row r="2676" spans="1:26" ht="15.75" hidden="1" customHeight="1" x14ac:dyDescent="0.25">
      <c r="A2676" s="148" t="s">
        <v>307</v>
      </c>
      <c r="B2676" s="148" t="s">
        <v>62</v>
      </c>
      <c r="C2676" s="148" t="s">
        <v>28</v>
      </c>
      <c r="D2676" s="148" t="s">
        <v>478</v>
      </c>
      <c r="E2676" s="148" t="s">
        <v>30</v>
      </c>
      <c r="F2676" s="148" t="s">
        <v>3183</v>
      </c>
      <c r="G2676" s="148" t="s">
        <v>244</v>
      </c>
      <c r="H2676" s="148">
        <v>2018</v>
      </c>
      <c r="I2676" s="148">
        <v>6</v>
      </c>
      <c r="J2676" s="148" t="s">
        <v>399</v>
      </c>
      <c r="Q2676" s="148" t="s">
        <v>426</v>
      </c>
      <c r="R2676" s="148" t="s">
        <v>1878</v>
      </c>
      <c r="S2676" s="148" t="s">
        <v>311</v>
      </c>
      <c r="T2676" s="148" t="s">
        <v>1879</v>
      </c>
      <c r="Y2676" s="150" t="s">
        <v>1880</v>
      </c>
    </row>
    <row r="2677" spans="1:26" ht="15.75" hidden="1" customHeight="1" x14ac:dyDescent="0.25">
      <c r="A2677" s="148" t="s">
        <v>76</v>
      </c>
      <c r="B2677" s="148" t="s">
        <v>36</v>
      </c>
      <c r="C2677" s="148" t="s">
        <v>28</v>
      </c>
      <c r="D2677" s="148" t="s">
        <v>342</v>
      </c>
      <c r="E2677" s="148" t="s">
        <v>30</v>
      </c>
      <c r="F2677" s="148" t="s">
        <v>3183</v>
      </c>
      <c r="G2677" s="148" t="s">
        <v>37</v>
      </c>
      <c r="H2677" s="148">
        <v>2018</v>
      </c>
      <c r="I2677" s="148">
        <v>6</v>
      </c>
      <c r="J2677" s="148" t="s">
        <v>150</v>
      </c>
      <c r="K2677" s="148" t="s">
        <v>1152</v>
      </c>
      <c r="M2677" s="148" t="s">
        <v>82</v>
      </c>
      <c r="N2677" s="148">
        <v>8</v>
      </c>
      <c r="O2677" s="148" t="s">
        <v>83</v>
      </c>
      <c r="P2677" s="148" t="s">
        <v>1881</v>
      </c>
      <c r="Y2677" s="150" t="s">
        <v>1882</v>
      </c>
    </row>
    <row r="2678" spans="1:26" ht="13.5" hidden="1" customHeight="1" x14ac:dyDescent="0.25">
      <c r="A2678" s="148" t="s">
        <v>307</v>
      </c>
      <c r="B2678" s="148" t="s">
        <v>71</v>
      </c>
      <c r="C2678" s="148" t="s">
        <v>45</v>
      </c>
      <c r="D2678" s="148" t="s">
        <v>478</v>
      </c>
      <c r="E2678" s="148" t="s">
        <v>72</v>
      </c>
      <c r="F2678" s="148" t="s">
        <v>3183</v>
      </c>
      <c r="G2678" s="148" t="s">
        <v>75</v>
      </c>
      <c r="H2678" s="148">
        <v>2018</v>
      </c>
      <c r="I2678" s="148">
        <v>6</v>
      </c>
      <c r="J2678" s="148" t="s">
        <v>308</v>
      </c>
      <c r="Q2678" s="148" t="s">
        <v>426</v>
      </c>
      <c r="R2678" s="148" t="s">
        <v>1883</v>
      </c>
      <c r="S2678" s="148" t="s">
        <v>885</v>
      </c>
      <c r="T2678" s="148" t="s">
        <v>1884</v>
      </c>
      <c r="Y2678" s="150" t="s">
        <v>1885</v>
      </c>
    </row>
    <row r="2679" spans="1:26" ht="13.5" hidden="1" customHeight="1" x14ac:dyDescent="0.25">
      <c r="A2679" s="148" t="s">
        <v>26</v>
      </c>
      <c r="B2679" s="148" t="s">
        <v>116</v>
      </c>
      <c r="C2679" s="148" t="s">
        <v>90</v>
      </c>
      <c r="D2679" s="148" t="s">
        <v>99</v>
      </c>
      <c r="E2679" s="148" t="s">
        <v>30</v>
      </c>
      <c r="F2679" s="148" t="s">
        <v>41</v>
      </c>
      <c r="G2679" s="148" t="s">
        <v>784</v>
      </c>
      <c r="H2679" s="148">
        <v>2018</v>
      </c>
      <c r="I2679" s="148">
        <v>6</v>
      </c>
      <c r="J2679" s="148" t="s">
        <v>792</v>
      </c>
      <c r="U2679" s="149" t="s">
        <v>3629</v>
      </c>
      <c r="V2679" s="148" t="s">
        <v>1835</v>
      </c>
      <c r="W2679" s="148" t="s">
        <v>34</v>
      </c>
      <c r="X2679" s="157" t="s">
        <v>3756</v>
      </c>
      <c r="Y2679" s="150" t="s">
        <v>1886</v>
      </c>
    </row>
    <row r="2680" spans="1:26" ht="15.75" hidden="1" customHeight="1" x14ac:dyDescent="0.25">
      <c r="A2680" s="148" t="s">
        <v>76</v>
      </c>
      <c r="B2680" s="148" t="s">
        <v>27</v>
      </c>
      <c r="C2680" s="148" t="s">
        <v>28</v>
      </c>
      <c r="D2680" s="148" t="s">
        <v>1302</v>
      </c>
      <c r="E2680" s="148" t="s">
        <v>40</v>
      </c>
      <c r="F2680" s="148" t="s">
        <v>41</v>
      </c>
      <c r="G2680" s="148" t="s">
        <v>42</v>
      </c>
      <c r="H2680" s="148">
        <v>2018</v>
      </c>
      <c r="I2680" s="148">
        <v>6</v>
      </c>
      <c r="J2680" s="148" t="s">
        <v>150</v>
      </c>
      <c r="K2680" s="148" t="s">
        <v>1887</v>
      </c>
      <c r="M2680" s="148" t="s">
        <v>1576</v>
      </c>
      <c r="N2680" s="148">
        <v>6</v>
      </c>
      <c r="O2680" s="148" t="s">
        <v>83</v>
      </c>
      <c r="P2680" s="148" t="s">
        <v>1888</v>
      </c>
      <c r="Y2680" s="150" t="s">
        <v>1889</v>
      </c>
    </row>
    <row r="2681" spans="1:26" ht="15.75" hidden="1" customHeight="1" x14ac:dyDescent="0.25">
      <c r="A2681" s="148" t="s">
        <v>26</v>
      </c>
      <c r="B2681" s="148" t="s">
        <v>103</v>
      </c>
      <c r="C2681" s="148" t="s">
        <v>55</v>
      </c>
      <c r="D2681" s="148" t="s">
        <v>478</v>
      </c>
      <c r="E2681" s="148" t="s">
        <v>95</v>
      </c>
      <c r="F2681" s="148" t="s">
        <v>56</v>
      </c>
      <c r="G2681" s="148" t="s">
        <v>270</v>
      </c>
      <c r="H2681" s="148">
        <v>2018</v>
      </c>
      <c r="I2681" s="148">
        <v>6</v>
      </c>
      <c r="J2681" s="148" t="s">
        <v>33</v>
      </c>
      <c r="U2681" s="149" t="s">
        <v>3629</v>
      </c>
      <c r="V2681" s="148" t="s">
        <v>1835</v>
      </c>
      <c r="W2681" s="148" t="s">
        <v>34</v>
      </c>
      <c r="X2681" s="157" t="s">
        <v>3758</v>
      </c>
      <c r="Y2681" s="150" t="s">
        <v>1839</v>
      </c>
    </row>
    <row r="2682" spans="1:26" ht="15.75" customHeight="1" x14ac:dyDescent="0.25">
      <c r="A2682" s="148" t="s">
        <v>76</v>
      </c>
      <c r="B2682" s="148" t="s">
        <v>36</v>
      </c>
      <c r="C2682" s="148" t="s">
        <v>28</v>
      </c>
      <c r="D2682" s="148" t="s">
        <v>1304</v>
      </c>
      <c r="E2682" s="148" t="s">
        <v>30</v>
      </c>
      <c r="F2682" s="148" t="s">
        <v>3183</v>
      </c>
      <c r="G2682" s="148" t="s">
        <v>194</v>
      </c>
      <c r="H2682" s="148">
        <v>2018</v>
      </c>
      <c r="I2682" s="148">
        <v>6</v>
      </c>
      <c r="J2682" s="148" t="s">
        <v>150</v>
      </c>
      <c r="K2682" s="155" t="s">
        <v>3605</v>
      </c>
      <c r="M2682" s="148" t="s">
        <v>1876</v>
      </c>
      <c r="N2682" s="148">
        <v>6</v>
      </c>
      <c r="O2682" s="148" t="s">
        <v>83</v>
      </c>
      <c r="P2682" s="148" t="s">
        <v>146</v>
      </c>
      <c r="Y2682" s="150" t="s">
        <v>1890</v>
      </c>
      <c r="Z2682" s="155" t="s">
        <v>3606</v>
      </c>
    </row>
    <row r="2683" spans="1:26" ht="15.75" hidden="1" customHeight="1" x14ac:dyDescent="0.25">
      <c r="A2683" s="148" t="s">
        <v>26</v>
      </c>
      <c r="B2683" s="148" t="s">
        <v>89</v>
      </c>
      <c r="C2683" s="148" t="s">
        <v>90</v>
      </c>
      <c r="D2683" s="148" t="s">
        <v>478</v>
      </c>
      <c r="E2683" s="148" t="s">
        <v>30</v>
      </c>
      <c r="F2683" s="148" t="s">
        <v>91</v>
      </c>
      <c r="G2683" s="148" t="s">
        <v>92</v>
      </c>
      <c r="H2683" s="148">
        <v>2018</v>
      </c>
      <c r="I2683" s="148">
        <v>6</v>
      </c>
      <c r="J2683" s="148" t="s">
        <v>33</v>
      </c>
      <c r="U2683" s="149" t="s">
        <v>3629</v>
      </c>
      <c r="V2683" s="148" t="s">
        <v>1837</v>
      </c>
      <c r="W2683" s="148" t="s">
        <v>49</v>
      </c>
      <c r="X2683" s="157" t="s">
        <v>3757</v>
      </c>
      <c r="Y2683" s="150" t="s">
        <v>1891</v>
      </c>
    </row>
    <row r="2684" spans="1:26" ht="15.75" hidden="1" customHeight="1" x14ac:dyDescent="0.25">
      <c r="A2684" s="148" t="s">
        <v>307</v>
      </c>
      <c r="B2684" s="148" t="s">
        <v>89</v>
      </c>
      <c r="C2684" s="148" t="s">
        <v>90</v>
      </c>
      <c r="D2684" s="148" t="s">
        <v>478</v>
      </c>
      <c r="E2684" s="148" t="s">
        <v>30</v>
      </c>
      <c r="F2684" s="148" t="s">
        <v>91</v>
      </c>
      <c r="G2684" s="148" t="s">
        <v>92</v>
      </c>
      <c r="H2684" s="148">
        <v>2018</v>
      </c>
      <c r="I2684" s="148">
        <v>6</v>
      </c>
      <c r="J2684" s="148" t="s">
        <v>308</v>
      </c>
      <c r="Q2684" s="148" t="s">
        <v>426</v>
      </c>
      <c r="R2684" s="148" t="s">
        <v>1868</v>
      </c>
      <c r="S2684" s="148" t="s">
        <v>427</v>
      </c>
    </row>
    <row r="2685" spans="1:26" ht="13.5" hidden="1" customHeight="1" x14ac:dyDescent="0.25">
      <c r="A2685" s="148" t="s">
        <v>76</v>
      </c>
      <c r="B2685" s="148" t="s">
        <v>36</v>
      </c>
      <c r="C2685" s="148" t="s">
        <v>28</v>
      </c>
      <c r="D2685" s="148" t="s">
        <v>342</v>
      </c>
      <c r="E2685" s="148" t="s">
        <v>51</v>
      </c>
      <c r="F2685" s="148" t="s">
        <v>3183</v>
      </c>
      <c r="G2685" s="148" t="s">
        <v>52</v>
      </c>
      <c r="H2685" s="148">
        <v>2018</v>
      </c>
      <c r="I2685" s="148">
        <v>6</v>
      </c>
      <c r="J2685" s="148" t="s">
        <v>118</v>
      </c>
      <c r="K2685" s="148" t="s">
        <v>1892</v>
      </c>
      <c r="M2685" s="148" t="s">
        <v>1519</v>
      </c>
      <c r="N2685" s="148">
        <v>6</v>
      </c>
      <c r="O2685" s="148" t="s">
        <v>101</v>
      </c>
      <c r="P2685" s="148" t="s">
        <v>540</v>
      </c>
      <c r="Y2685" s="150" t="s">
        <v>1893</v>
      </c>
      <c r="Z2685" s="148" t="s">
        <v>1894</v>
      </c>
    </row>
    <row r="2686" spans="1:26" ht="15.75" hidden="1" customHeight="1" x14ac:dyDescent="0.25">
      <c r="A2686" s="148" t="s">
        <v>76</v>
      </c>
      <c r="B2686" s="148" t="s">
        <v>44</v>
      </c>
      <c r="C2686" s="148" t="s">
        <v>45</v>
      </c>
      <c r="D2686" s="148" t="s">
        <v>29</v>
      </c>
      <c r="E2686" s="148" t="s">
        <v>46</v>
      </c>
      <c r="F2686" s="148" t="s">
        <v>47</v>
      </c>
      <c r="G2686" s="148" t="s">
        <v>48</v>
      </c>
      <c r="H2686" s="148">
        <v>2018</v>
      </c>
      <c r="I2686" s="148">
        <v>6</v>
      </c>
      <c r="J2686" s="148" t="s">
        <v>118</v>
      </c>
      <c r="K2686" s="148" t="s">
        <v>579</v>
      </c>
      <c r="M2686" s="148" t="s">
        <v>126</v>
      </c>
      <c r="N2686" s="148">
        <v>10</v>
      </c>
      <c r="O2686" s="148" t="s">
        <v>101</v>
      </c>
      <c r="P2686" s="148" t="s">
        <v>183</v>
      </c>
      <c r="Y2686" s="150" t="s">
        <v>1895</v>
      </c>
    </row>
    <row r="2687" spans="1:26" ht="15.75" hidden="1" customHeight="1" x14ac:dyDescent="0.25">
      <c r="A2687" s="148" t="s">
        <v>26</v>
      </c>
      <c r="B2687" s="148" t="s">
        <v>103</v>
      </c>
      <c r="C2687" s="148" t="s">
        <v>55</v>
      </c>
      <c r="D2687" s="148" t="s">
        <v>478</v>
      </c>
      <c r="E2687" s="148" t="s">
        <v>95</v>
      </c>
      <c r="F2687" s="148" t="s">
        <v>56</v>
      </c>
      <c r="G2687" s="148" t="s">
        <v>111</v>
      </c>
      <c r="H2687" s="148">
        <v>2018</v>
      </c>
      <c r="I2687" s="148">
        <v>7</v>
      </c>
      <c r="J2687" s="148" t="s">
        <v>792</v>
      </c>
      <c r="U2687" s="149" t="s">
        <v>3629</v>
      </c>
      <c r="V2687" s="148" t="s">
        <v>1835</v>
      </c>
      <c r="W2687" s="148" t="s">
        <v>34</v>
      </c>
      <c r="X2687" s="157" t="s">
        <v>3758</v>
      </c>
      <c r="Y2687" s="150" t="s">
        <v>1896</v>
      </c>
      <c r="Z2687" s="148" t="s">
        <v>1897</v>
      </c>
    </row>
    <row r="2688" spans="1:26" ht="15.75" hidden="1" customHeight="1" x14ac:dyDescent="0.25">
      <c r="A2688" s="148" t="s">
        <v>307</v>
      </c>
      <c r="B2688" s="148" t="s">
        <v>103</v>
      </c>
      <c r="C2688" s="148" t="s">
        <v>55</v>
      </c>
      <c r="D2688" s="148" t="s">
        <v>478</v>
      </c>
      <c r="E2688" s="148" t="s">
        <v>95</v>
      </c>
      <c r="F2688" s="148" t="s">
        <v>56</v>
      </c>
      <c r="G2688" s="148" t="s">
        <v>104</v>
      </c>
      <c r="H2688" s="148">
        <v>2018</v>
      </c>
      <c r="I2688" s="148">
        <v>7</v>
      </c>
      <c r="J2688" s="148" t="s">
        <v>308</v>
      </c>
      <c r="Q2688" s="148" t="s">
        <v>426</v>
      </c>
      <c r="R2688" s="148" t="s">
        <v>1898</v>
      </c>
      <c r="S2688" s="148" t="s">
        <v>311</v>
      </c>
      <c r="T2688" s="148" t="s">
        <v>1899</v>
      </c>
      <c r="Y2688" s="150" t="s">
        <v>1900</v>
      </c>
    </row>
    <row r="2689" spans="1:26" ht="13.5" hidden="1" customHeight="1" x14ac:dyDescent="0.25">
      <c r="A2689" s="148" t="s">
        <v>76</v>
      </c>
      <c r="B2689" s="148" t="s">
        <v>27</v>
      </c>
      <c r="C2689" s="148" t="s">
        <v>28</v>
      </c>
      <c r="D2689" s="148" t="s">
        <v>566</v>
      </c>
      <c r="E2689" s="148" t="s">
        <v>30</v>
      </c>
      <c r="F2689" s="148" t="s">
        <v>3183</v>
      </c>
      <c r="G2689" s="148" t="s">
        <v>53</v>
      </c>
      <c r="H2689" s="148">
        <v>2018</v>
      </c>
      <c r="I2689" s="148">
        <v>7</v>
      </c>
      <c r="J2689" s="148" t="s">
        <v>150</v>
      </c>
      <c r="K2689" s="148" t="s">
        <v>1887</v>
      </c>
      <c r="M2689" s="148" t="s">
        <v>1576</v>
      </c>
      <c r="N2689" s="148">
        <v>6</v>
      </c>
      <c r="O2689" s="148" t="s">
        <v>83</v>
      </c>
      <c r="P2689" s="148" t="s">
        <v>1901</v>
      </c>
      <c r="Y2689" s="150" t="s">
        <v>1902</v>
      </c>
      <c r="Z2689" s="148" t="s">
        <v>1903</v>
      </c>
    </row>
    <row r="2690" spans="1:26" ht="13.5" hidden="1" customHeight="1" x14ac:dyDescent="0.25">
      <c r="A2690" s="148" t="s">
        <v>26</v>
      </c>
      <c r="B2690" s="148" t="s">
        <v>36</v>
      </c>
      <c r="C2690" s="148" t="s">
        <v>28</v>
      </c>
      <c r="D2690" s="148" t="s">
        <v>478</v>
      </c>
      <c r="E2690" s="148" t="s">
        <v>30</v>
      </c>
      <c r="F2690" s="148" t="s">
        <v>3183</v>
      </c>
      <c r="G2690" s="148" t="s">
        <v>59</v>
      </c>
      <c r="H2690" s="148">
        <v>2018</v>
      </c>
      <c r="I2690" s="148">
        <v>7</v>
      </c>
      <c r="J2690" s="148" t="s">
        <v>792</v>
      </c>
      <c r="U2690" s="149" t="s">
        <v>3629</v>
      </c>
      <c r="V2690" s="148" t="s">
        <v>1837</v>
      </c>
      <c r="W2690" s="148" t="s">
        <v>49</v>
      </c>
      <c r="X2690" s="157" t="s">
        <v>3757</v>
      </c>
      <c r="Y2690" s="150" t="s">
        <v>1904</v>
      </c>
    </row>
    <row r="2691" spans="1:26" ht="15.75" hidden="1" customHeight="1" x14ac:dyDescent="0.25">
      <c r="A2691" s="148" t="s">
        <v>26</v>
      </c>
      <c r="B2691" s="148" t="s">
        <v>103</v>
      </c>
      <c r="C2691" s="148" t="s">
        <v>55</v>
      </c>
      <c r="D2691" s="148" t="s">
        <v>478</v>
      </c>
      <c r="E2691" s="148" t="s">
        <v>95</v>
      </c>
      <c r="F2691" s="148" t="s">
        <v>56</v>
      </c>
      <c r="G2691" s="148" t="s">
        <v>107</v>
      </c>
      <c r="H2691" s="148">
        <v>2018</v>
      </c>
      <c r="I2691" s="148">
        <v>7</v>
      </c>
      <c r="J2691" s="148" t="s">
        <v>792</v>
      </c>
      <c r="U2691" s="149" t="s">
        <v>3629</v>
      </c>
      <c r="V2691" s="148" t="s">
        <v>1835</v>
      </c>
      <c r="W2691" s="148" t="s">
        <v>34</v>
      </c>
      <c r="X2691" s="157" t="s">
        <v>3758</v>
      </c>
      <c r="Y2691" s="150" t="s">
        <v>1905</v>
      </c>
      <c r="Z2691" s="148" t="s">
        <v>1906</v>
      </c>
    </row>
    <row r="2692" spans="1:26" ht="15.75" hidden="1" customHeight="1" x14ac:dyDescent="0.25">
      <c r="A2692" s="148" t="s">
        <v>307</v>
      </c>
      <c r="B2692" s="148" t="s">
        <v>36</v>
      </c>
      <c r="C2692" s="148" t="s">
        <v>28</v>
      </c>
      <c r="D2692" s="148" t="s">
        <v>342</v>
      </c>
      <c r="E2692" s="148" t="s">
        <v>30</v>
      </c>
      <c r="F2692" s="148" t="s">
        <v>3183</v>
      </c>
      <c r="G2692" s="148" t="s">
        <v>242</v>
      </c>
      <c r="H2692" s="148">
        <v>2018</v>
      </c>
      <c r="I2692" s="148">
        <v>7</v>
      </c>
      <c r="J2692" s="148" t="s">
        <v>308</v>
      </c>
      <c r="Q2692" s="148" t="s">
        <v>426</v>
      </c>
      <c r="R2692" s="148" t="s">
        <v>1907</v>
      </c>
      <c r="S2692" s="148" t="s">
        <v>596</v>
      </c>
      <c r="T2692" s="148" t="s">
        <v>1580</v>
      </c>
      <c r="Y2692" s="150" t="s">
        <v>1908</v>
      </c>
    </row>
    <row r="2693" spans="1:26" ht="15.75" hidden="1" customHeight="1" x14ac:dyDescent="0.25">
      <c r="A2693" s="148" t="s">
        <v>76</v>
      </c>
      <c r="B2693" s="148" t="s">
        <v>27</v>
      </c>
      <c r="C2693" s="148" t="s">
        <v>28</v>
      </c>
      <c r="D2693" s="148" t="s">
        <v>1452</v>
      </c>
      <c r="E2693" s="148" t="s">
        <v>30</v>
      </c>
      <c r="F2693" s="148" t="s">
        <v>3183</v>
      </c>
      <c r="G2693" s="148" t="s">
        <v>163</v>
      </c>
      <c r="H2693" s="148">
        <v>2018</v>
      </c>
      <c r="I2693" s="148">
        <v>7</v>
      </c>
      <c r="J2693" s="148" t="s">
        <v>118</v>
      </c>
      <c r="K2693" s="148" t="s">
        <v>1152</v>
      </c>
      <c r="M2693" s="148" t="s">
        <v>82</v>
      </c>
      <c r="N2693" s="148">
        <v>8</v>
      </c>
      <c r="O2693" s="148" t="s">
        <v>101</v>
      </c>
      <c r="P2693" s="148" t="s">
        <v>203</v>
      </c>
      <c r="Y2693" s="150" t="s">
        <v>1909</v>
      </c>
      <c r="Z2693" s="148" t="s">
        <v>166</v>
      </c>
    </row>
    <row r="2694" spans="1:26" ht="15.75" hidden="1" customHeight="1" x14ac:dyDescent="0.25">
      <c r="A2694" s="148" t="s">
        <v>76</v>
      </c>
      <c r="B2694" s="148" t="s">
        <v>27</v>
      </c>
      <c r="C2694" s="148" t="s">
        <v>28</v>
      </c>
      <c r="D2694" s="148" t="s">
        <v>1302</v>
      </c>
      <c r="E2694" s="148" t="s">
        <v>40</v>
      </c>
      <c r="F2694" s="148" t="s">
        <v>41</v>
      </c>
      <c r="G2694" s="148" t="s">
        <v>42</v>
      </c>
      <c r="H2694" s="148">
        <v>2018</v>
      </c>
      <c r="I2694" s="148">
        <v>7</v>
      </c>
      <c r="J2694" s="148" t="s">
        <v>150</v>
      </c>
      <c r="K2694" s="148" t="s">
        <v>1887</v>
      </c>
      <c r="M2694" s="148" t="s">
        <v>1576</v>
      </c>
      <c r="N2694" s="148">
        <v>6</v>
      </c>
      <c r="O2694" s="148" t="s">
        <v>83</v>
      </c>
      <c r="P2694" s="148" t="s">
        <v>1910</v>
      </c>
      <c r="Y2694" s="150" t="s">
        <v>1911</v>
      </c>
      <c r="Z2694" s="148" t="s">
        <v>1912</v>
      </c>
    </row>
    <row r="2695" spans="1:26" ht="15.75" hidden="1" customHeight="1" x14ac:dyDescent="0.25">
      <c r="A2695" s="148" t="s">
        <v>76</v>
      </c>
      <c r="B2695" s="148" t="s">
        <v>27</v>
      </c>
      <c r="C2695" s="148" t="s">
        <v>28</v>
      </c>
      <c r="D2695" s="148" t="s">
        <v>1302</v>
      </c>
      <c r="E2695" s="148" t="s">
        <v>40</v>
      </c>
      <c r="F2695" s="148" t="s">
        <v>41</v>
      </c>
      <c r="G2695" s="148" t="s">
        <v>42</v>
      </c>
      <c r="H2695" s="148">
        <v>2018</v>
      </c>
      <c r="I2695" s="148">
        <v>7</v>
      </c>
      <c r="J2695" s="148" t="s">
        <v>118</v>
      </c>
      <c r="K2695" s="148" t="s">
        <v>710</v>
      </c>
      <c r="M2695" s="148" t="s">
        <v>1913</v>
      </c>
      <c r="N2695" s="148">
        <v>10</v>
      </c>
      <c r="O2695" s="148" t="s">
        <v>101</v>
      </c>
      <c r="P2695" s="148" t="s">
        <v>263</v>
      </c>
      <c r="Y2695" s="150" t="s">
        <v>1914</v>
      </c>
      <c r="Z2695" s="148" t="s">
        <v>1915</v>
      </c>
    </row>
    <row r="2696" spans="1:26" ht="15.75" hidden="1" customHeight="1" x14ac:dyDescent="0.25">
      <c r="A2696" s="148" t="s">
        <v>26</v>
      </c>
      <c r="B2696" s="148" t="s">
        <v>36</v>
      </c>
      <c r="C2696" s="148" t="s">
        <v>45</v>
      </c>
      <c r="D2696" s="148" t="s">
        <v>478</v>
      </c>
      <c r="E2696" s="148" t="s">
        <v>30</v>
      </c>
      <c r="F2696" s="148" t="s">
        <v>3183</v>
      </c>
      <c r="G2696" s="148" t="s">
        <v>600</v>
      </c>
      <c r="H2696" s="148">
        <v>2018</v>
      </c>
      <c r="I2696" s="148">
        <v>7</v>
      </c>
      <c r="J2696" s="148" t="s">
        <v>33</v>
      </c>
      <c r="U2696" s="149" t="s">
        <v>112</v>
      </c>
      <c r="V2696" s="148" t="s">
        <v>3696</v>
      </c>
      <c r="W2696" s="148" t="s">
        <v>34</v>
      </c>
      <c r="X2696" s="148" t="s">
        <v>1916</v>
      </c>
      <c r="Y2696" s="150" t="s">
        <v>1917</v>
      </c>
      <c r="Z2696" s="148" t="s">
        <v>1918</v>
      </c>
    </row>
    <row r="2697" spans="1:26" ht="13.5" hidden="1" customHeight="1" x14ac:dyDescent="0.25">
      <c r="A2697" s="148" t="s">
        <v>307</v>
      </c>
      <c r="B2697" s="148" t="s">
        <v>36</v>
      </c>
      <c r="C2697" s="148" t="s">
        <v>45</v>
      </c>
      <c r="D2697" s="148" t="s">
        <v>478</v>
      </c>
      <c r="E2697" s="148" t="s">
        <v>30</v>
      </c>
      <c r="F2697" s="148" t="s">
        <v>3183</v>
      </c>
      <c r="G2697" s="148" t="s">
        <v>600</v>
      </c>
      <c r="H2697" s="148">
        <v>2018</v>
      </c>
      <c r="I2697" s="148">
        <v>7</v>
      </c>
      <c r="J2697" s="148" t="s">
        <v>308</v>
      </c>
      <c r="Q2697" s="148" t="s">
        <v>426</v>
      </c>
      <c r="R2697" s="148" t="s">
        <v>1087</v>
      </c>
      <c r="S2697" s="148" t="s">
        <v>427</v>
      </c>
      <c r="T2697" s="148" t="s">
        <v>1919</v>
      </c>
      <c r="V2697" s="148" t="s">
        <v>3696</v>
      </c>
      <c r="W2697" s="148" t="s">
        <v>34</v>
      </c>
      <c r="Y2697" s="150" t="s">
        <v>1920</v>
      </c>
    </row>
    <row r="2698" spans="1:26" ht="13.5" hidden="1" customHeight="1" x14ac:dyDescent="0.25">
      <c r="A2698" s="148" t="s">
        <v>76</v>
      </c>
      <c r="B2698" s="148" t="s">
        <v>54</v>
      </c>
      <c r="C2698" s="148" t="s">
        <v>55</v>
      </c>
      <c r="D2698" s="148" t="s">
        <v>1082</v>
      </c>
      <c r="E2698" s="148" t="s">
        <v>30</v>
      </c>
      <c r="F2698" s="148" t="s">
        <v>56</v>
      </c>
      <c r="G2698" s="148" t="s">
        <v>54</v>
      </c>
      <c r="H2698" s="148">
        <v>2018</v>
      </c>
      <c r="I2698" s="148">
        <v>7</v>
      </c>
      <c r="J2698" s="148" t="s">
        <v>150</v>
      </c>
      <c r="K2698" s="148" t="s">
        <v>1622</v>
      </c>
      <c r="M2698" s="148" t="s">
        <v>521</v>
      </c>
      <c r="N2698" s="148">
        <v>6</v>
      </c>
      <c r="O2698" s="148" t="s">
        <v>83</v>
      </c>
      <c r="P2698" s="148" t="s">
        <v>1921</v>
      </c>
      <c r="Y2698" s="150" t="s">
        <v>1922</v>
      </c>
    </row>
    <row r="2699" spans="1:26" ht="13.5" hidden="1" customHeight="1" x14ac:dyDescent="0.25">
      <c r="A2699" s="148" t="s">
        <v>76</v>
      </c>
      <c r="B2699" s="148" t="s">
        <v>54</v>
      </c>
      <c r="C2699" s="148" t="s">
        <v>55</v>
      </c>
      <c r="D2699" s="148" t="s">
        <v>1082</v>
      </c>
      <c r="E2699" s="148" t="s">
        <v>30</v>
      </c>
      <c r="F2699" s="148" t="s">
        <v>56</v>
      </c>
      <c r="G2699" s="148" t="s">
        <v>54</v>
      </c>
      <c r="H2699" s="148">
        <v>2018</v>
      </c>
      <c r="I2699" s="148">
        <v>7</v>
      </c>
      <c r="J2699" s="148" t="s">
        <v>118</v>
      </c>
      <c r="K2699" s="148" t="s">
        <v>1152</v>
      </c>
      <c r="M2699" s="148" t="s">
        <v>82</v>
      </c>
      <c r="N2699" s="148">
        <v>8</v>
      </c>
      <c r="O2699" s="148" t="s">
        <v>101</v>
      </c>
      <c r="P2699" s="148" t="s">
        <v>1923</v>
      </c>
      <c r="Y2699" s="150" t="s">
        <v>1924</v>
      </c>
      <c r="Z2699" s="148" t="s">
        <v>1925</v>
      </c>
    </row>
    <row r="2700" spans="1:26" ht="15.75" hidden="1" customHeight="1" x14ac:dyDescent="0.25">
      <c r="A2700" s="148" t="s">
        <v>307</v>
      </c>
      <c r="B2700" s="148" t="s">
        <v>54</v>
      </c>
      <c r="C2700" s="148" t="s">
        <v>55</v>
      </c>
      <c r="D2700" s="148" t="s">
        <v>1082</v>
      </c>
      <c r="E2700" s="148" t="s">
        <v>30</v>
      </c>
      <c r="F2700" s="148" t="s">
        <v>56</v>
      </c>
      <c r="G2700" s="148" t="s">
        <v>54</v>
      </c>
      <c r="H2700" s="148">
        <v>2018</v>
      </c>
      <c r="I2700" s="148">
        <v>7</v>
      </c>
      <c r="J2700" s="148" t="s">
        <v>399</v>
      </c>
      <c r="Q2700" s="148" t="s">
        <v>1229</v>
      </c>
      <c r="R2700" s="148" t="s">
        <v>1669</v>
      </c>
      <c r="S2700" s="148" t="s">
        <v>311</v>
      </c>
      <c r="T2700" s="148" t="s">
        <v>1670</v>
      </c>
      <c r="Y2700" s="150" t="s">
        <v>1926</v>
      </c>
      <c r="Z2700" s="148" t="s">
        <v>1927</v>
      </c>
    </row>
    <row r="2701" spans="1:26" ht="15.75" hidden="1" customHeight="1" x14ac:dyDescent="0.25">
      <c r="A2701" s="148" t="s">
        <v>76</v>
      </c>
      <c r="B2701" s="148" t="s">
        <v>103</v>
      </c>
      <c r="C2701" s="148" t="s">
        <v>55</v>
      </c>
      <c r="D2701" s="148" t="s">
        <v>478</v>
      </c>
      <c r="E2701" s="148" t="s">
        <v>30</v>
      </c>
      <c r="F2701" s="148" t="s">
        <v>56</v>
      </c>
      <c r="G2701" s="148" t="s">
        <v>519</v>
      </c>
      <c r="H2701" s="148">
        <v>2018</v>
      </c>
      <c r="I2701" s="148">
        <v>7</v>
      </c>
      <c r="J2701" s="148" t="s">
        <v>118</v>
      </c>
      <c r="K2701" s="148" t="s">
        <v>710</v>
      </c>
      <c r="M2701" s="148" t="s">
        <v>126</v>
      </c>
      <c r="N2701" s="148">
        <v>10</v>
      </c>
      <c r="O2701" s="148" t="s">
        <v>101</v>
      </c>
      <c r="P2701" s="148" t="s">
        <v>146</v>
      </c>
      <c r="Y2701" s="150" t="s">
        <v>1928</v>
      </c>
    </row>
    <row r="2702" spans="1:26" ht="15.75" hidden="1" customHeight="1" x14ac:dyDescent="0.25">
      <c r="A2702" s="148" t="s">
        <v>26</v>
      </c>
      <c r="B2702" s="148" t="s">
        <v>89</v>
      </c>
      <c r="C2702" s="148" t="s">
        <v>90</v>
      </c>
      <c r="D2702" s="148" t="s">
        <v>478</v>
      </c>
      <c r="E2702" s="148" t="s">
        <v>30</v>
      </c>
      <c r="F2702" s="148" t="s">
        <v>91</v>
      </c>
      <c r="G2702" s="148" t="s">
        <v>92</v>
      </c>
      <c r="H2702" s="148">
        <v>2018</v>
      </c>
      <c r="I2702" s="148">
        <v>7</v>
      </c>
      <c r="J2702" s="148" t="s">
        <v>33</v>
      </c>
      <c r="U2702" s="157" t="s">
        <v>112</v>
      </c>
      <c r="V2702" s="157" t="s">
        <v>3766</v>
      </c>
      <c r="W2702" s="157" t="s">
        <v>543</v>
      </c>
      <c r="X2702" s="157" t="s">
        <v>3762</v>
      </c>
      <c r="Y2702" s="159" t="s">
        <v>3767</v>
      </c>
    </row>
    <row r="2703" spans="1:26" ht="16.5" hidden="1" customHeight="1" x14ac:dyDescent="0.25">
      <c r="A2703" s="148" t="s">
        <v>76</v>
      </c>
      <c r="B2703" s="148" t="s">
        <v>103</v>
      </c>
      <c r="C2703" s="148" t="s">
        <v>55</v>
      </c>
      <c r="D2703" s="148" t="s">
        <v>99</v>
      </c>
      <c r="E2703" s="148" t="s">
        <v>30</v>
      </c>
      <c r="F2703" s="148" t="s">
        <v>56</v>
      </c>
      <c r="G2703" s="148" t="s">
        <v>381</v>
      </c>
      <c r="H2703" s="148">
        <v>2018</v>
      </c>
      <c r="I2703" s="148">
        <v>7</v>
      </c>
      <c r="J2703" s="148" t="s">
        <v>118</v>
      </c>
      <c r="K2703" s="148" t="s">
        <v>1152</v>
      </c>
      <c r="M2703" s="148" t="s">
        <v>82</v>
      </c>
      <c r="N2703" s="148">
        <v>8</v>
      </c>
      <c r="O2703" s="148" t="s">
        <v>101</v>
      </c>
      <c r="P2703" s="148" t="s">
        <v>700</v>
      </c>
      <c r="Y2703" s="150" t="s">
        <v>1929</v>
      </c>
    </row>
    <row r="2704" spans="1:26" ht="15.75" hidden="1" customHeight="1" x14ac:dyDescent="0.25">
      <c r="A2704" s="148" t="s">
        <v>26</v>
      </c>
      <c r="B2704" s="148" t="s">
        <v>71</v>
      </c>
      <c r="C2704" s="148" t="s">
        <v>45</v>
      </c>
      <c r="D2704" s="148" t="s">
        <v>478</v>
      </c>
      <c r="E2704" s="148" t="s">
        <v>30</v>
      </c>
      <c r="F2704" s="148" t="s">
        <v>3183</v>
      </c>
      <c r="G2704" s="148" t="s">
        <v>588</v>
      </c>
      <c r="H2704" s="148">
        <v>2018</v>
      </c>
      <c r="I2704" s="148">
        <v>7</v>
      </c>
      <c r="J2704" s="148" t="s">
        <v>33</v>
      </c>
      <c r="U2704" s="149" t="s">
        <v>112</v>
      </c>
      <c r="V2704" s="148" t="s">
        <v>3696</v>
      </c>
      <c r="W2704" s="148" t="s">
        <v>34</v>
      </c>
      <c r="Y2704" s="150" t="s">
        <v>1930</v>
      </c>
    </row>
    <row r="2705" spans="1:26" ht="15.75" hidden="1" customHeight="1" x14ac:dyDescent="0.25">
      <c r="A2705" s="148" t="s">
        <v>76</v>
      </c>
      <c r="B2705" s="148" t="s">
        <v>36</v>
      </c>
      <c r="C2705" s="148" t="s">
        <v>28</v>
      </c>
      <c r="D2705" s="148" t="s">
        <v>342</v>
      </c>
      <c r="E2705" s="148" t="s">
        <v>30</v>
      </c>
      <c r="F2705" s="148" t="s">
        <v>3183</v>
      </c>
      <c r="G2705" s="148" t="s">
        <v>114</v>
      </c>
      <c r="H2705" s="148">
        <v>2018</v>
      </c>
      <c r="I2705" s="148">
        <v>7</v>
      </c>
      <c r="J2705" s="148" t="s">
        <v>118</v>
      </c>
      <c r="K2705" s="148" t="s">
        <v>710</v>
      </c>
      <c r="M2705" s="148" t="s">
        <v>126</v>
      </c>
      <c r="N2705" s="148">
        <v>10</v>
      </c>
      <c r="O2705" s="148" t="s">
        <v>101</v>
      </c>
      <c r="P2705" s="148" t="s">
        <v>1931</v>
      </c>
      <c r="Y2705" s="150" t="s">
        <v>1932</v>
      </c>
    </row>
    <row r="2706" spans="1:26" ht="13.5" hidden="1" customHeight="1" x14ac:dyDescent="0.25">
      <c r="A2706" s="148" t="s">
        <v>26</v>
      </c>
      <c r="B2706" s="148" t="s">
        <v>71</v>
      </c>
      <c r="C2706" s="148" t="s">
        <v>45</v>
      </c>
      <c r="D2706" s="148" t="s">
        <v>478</v>
      </c>
      <c r="E2706" s="148" t="s">
        <v>72</v>
      </c>
      <c r="F2706" s="148" t="s">
        <v>3183</v>
      </c>
      <c r="G2706" s="148" t="s">
        <v>73</v>
      </c>
      <c r="H2706" s="148">
        <v>2018</v>
      </c>
      <c r="I2706" s="148">
        <v>8</v>
      </c>
      <c r="J2706" s="148" t="s">
        <v>817</v>
      </c>
      <c r="U2706" s="149" t="s">
        <v>3629</v>
      </c>
      <c r="V2706" s="148" t="s">
        <v>1835</v>
      </c>
      <c r="W2706" s="148" t="s">
        <v>49</v>
      </c>
      <c r="X2706" s="157" t="s">
        <v>3759</v>
      </c>
    </row>
    <row r="2707" spans="1:26" ht="13.5" hidden="1" customHeight="1" x14ac:dyDescent="0.25">
      <c r="A2707" s="148" t="s">
        <v>76</v>
      </c>
      <c r="B2707" s="148" t="s">
        <v>103</v>
      </c>
      <c r="C2707" s="148" t="s">
        <v>55</v>
      </c>
      <c r="D2707" s="148" t="s">
        <v>478</v>
      </c>
      <c r="E2707" s="148" t="s">
        <v>30</v>
      </c>
      <c r="F2707" s="148" t="s">
        <v>56</v>
      </c>
      <c r="G2707" s="148" t="s">
        <v>171</v>
      </c>
      <c r="H2707" s="148">
        <v>2018</v>
      </c>
      <c r="I2707" s="148">
        <v>8</v>
      </c>
      <c r="J2707" s="148" t="s">
        <v>150</v>
      </c>
      <c r="K2707" s="148" t="s">
        <v>1333</v>
      </c>
      <c r="M2707" s="148" t="s">
        <v>1519</v>
      </c>
      <c r="N2707" s="148">
        <v>6</v>
      </c>
      <c r="O2707" s="148" t="s">
        <v>83</v>
      </c>
      <c r="P2707" s="148" t="s">
        <v>551</v>
      </c>
      <c r="Y2707" s="150" t="s">
        <v>1933</v>
      </c>
    </row>
    <row r="2708" spans="1:26" ht="13.5" hidden="1" customHeight="1" x14ac:dyDescent="0.25">
      <c r="A2708" s="148" t="s">
        <v>307</v>
      </c>
      <c r="B2708" s="148" t="s">
        <v>103</v>
      </c>
      <c r="C2708" s="148" t="s">
        <v>55</v>
      </c>
      <c r="D2708" s="148" t="s">
        <v>478</v>
      </c>
      <c r="E2708" s="148" t="s">
        <v>30</v>
      </c>
      <c r="F2708" s="148" t="s">
        <v>56</v>
      </c>
      <c r="G2708" s="148" t="s">
        <v>171</v>
      </c>
      <c r="H2708" s="148">
        <v>2018</v>
      </c>
      <c r="I2708" s="148">
        <v>8</v>
      </c>
      <c r="J2708" s="148" t="s">
        <v>308</v>
      </c>
      <c r="Q2708" s="148" t="s">
        <v>309</v>
      </c>
      <c r="R2708" s="148" t="s">
        <v>1934</v>
      </c>
      <c r="S2708" s="148" t="s">
        <v>311</v>
      </c>
      <c r="T2708" s="148" t="s">
        <v>1935</v>
      </c>
      <c r="Y2708" s="150" t="s">
        <v>1936</v>
      </c>
    </row>
    <row r="2709" spans="1:26" ht="13.5" hidden="1" customHeight="1" x14ac:dyDescent="0.25">
      <c r="A2709" s="148" t="s">
        <v>26</v>
      </c>
      <c r="B2709" s="148" t="s">
        <v>116</v>
      </c>
      <c r="C2709" s="148" t="s">
        <v>90</v>
      </c>
      <c r="D2709" s="148" t="s">
        <v>99</v>
      </c>
      <c r="E2709" s="148" t="s">
        <v>30</v>
      </c>
      <c r="F2709" s="148" t="s">
        <v>41</v>
      </c>
      <c r="G2709" s="148" t="s">
        <v>564</v>
      </c>
      <c r="H2709" s="148">
        <v>2018</v>
      </c>
      <c r="I2709" s="148">
        <v>8</v>
      </c>
      <c r="J2709" s="148" t="s">
        <v>33</v>
      </c>
      <c r="U2709" s="149" t="s">
        <v>112</v>
      </c>
      <c r="V2709" s="148" t="s">
        <v>3697</v>
      </c>
      <c r="W2709" s="148" t="s">
        <v>34</v>
      </c>
      <c r="Y2709" s="150" t="s">
        <v>1937</v>
      </c>
    </row>
    <row r="2710" spans="1:26" ht="13.5" hidden="1" customHeight="1" x14ac:dyDescent="0.25">
      <c r="A2710" s="148" t="s">
        <v>26</v>
      </c>
      <c r="B2710" s="148" t="s">
        <v>71</v>
      </c>
      <c r="C2710" s="148" t="s">
        <v>45</v>
      </c>
      <c r="D2710" s="148" t="s">
        <v>478</v>
      </c>
      <c r="E2710" s="148" t="s">
        <v>30</v>
      </c>
      <c r="F2710" s="148" t="s">
        <v>3183</v>
      </c>
      <c r="G2710" s="148" t="s">
        <v>621</v>
      </c>
      <c r="H2710" s="148">
        <v>2018</v>
      </c>
      <c r="I2710" s="148">
        <v>8</v>
      </c>
      <c r="J2710" s="148" t="s">
        <v>33</v>
      </c>
      <c r="U2710" s="149" t="s">
        <v>112</v>
      </c>
      <c r="V2710" s="148" t="s">
        <v>3696</v>
      </c>
      <c r="W2710" s="148" t="s">
        <v>34</v>
      </c>
      <c r="Y2710" s="150" t="s">
        <v>1938</v>
      </c>
      <c r="Z2710" s="148" t="s">
        <v>1939</v>
      </c>
    </row>
    <row r="2711" spans="1:26" ht="13.5" hidden="1" customHeight="1" x14ac:dyDescent="0.25">
      <c r="A2711" s="148" t="s">
        <v>76</v>
      </c>
      <c r="B2711" s="148" t="s">
        <v>27</v>
      </c>
      <c r="C2711" s="148" t="s">
        <v>28</v>
      </c>
      <c r="D2711" s="148" t="s">
        <v>566</v>
      </c>
      <c r="E2711" s="148" t="s">
        <v>30</v>
      </c>
      <c r="F2711" s="148" t="s">
        <v>3183</v>
      </c>
      <c r="G2711" s="148" t="s">
        <v>53</v>
      </c>
      <c r="H2711" s="148">
        <v>2018</v>
      </c>
      <c r="I2711" s="148">
        <v>8</v>
      </c>
      <c r="J2711" s="148" t="s">
        <v>150</v>
      </c>
      <c r="K2711" s="148" t="s">
        <v>1152</v>
      </c>
      <c r="M2711" s="148" t="s">
        <v>82</v>
      </c>
      <c r="N2711" s="148">
        <v>8</v>
      </c>
      <c r="O2711" s="148" t="s">
        <v>83</v>
      </c>
      <c r="P2711" s="148" t="s">
        <v>294</v>
      </c>
      <c r="Y2711" s="150" t="s">
        <v>1940</v>
      </c>
      <c r="Z2711" s="148" t="s">
        <v>1941</v>
      </c>
    </row>
    <row r="2712" spans="1:26" ht="15.75" hidden="1" customHeight="1" x14ac:dyDescent="0.25">
      <c r="A2712" s="148" t="s">
        <v>76</v>
      </c>
      <c r="B2712" s="148" t="s">
        <v>54</v>
      </c>
      <c r="C2712" s="148" t="s">
        <v>55</v>
      </c>
      <c r="D2712" s="148" t="s">
        <v>1082</v>
      </c>
      <c r="E2712" s="148" t="s">
        <v>30</v>
      </c>
      <c r="F2712" s="148" t="s">
        <v>56</v>
      </c>
      <c r="G2712" s="148" t="s">
        <v>54</v>
      </c>
      <c r="H2712" s="148">
        <v>2018</v>
      </c>
      <c r="I2712" s="148">
        <v>8</v>
      </c>
      <c r="J2712" s="148" t="s">
        <v>150</v>
      </c>
      <c r="K2712" s="148" t="s">
        <v>1333</v>
      </c>
      <c r="M2712" s="148" t="s">
        <v>1519</v>
      </c>
      <c r="N2712" s="148">
        <v>6</v>
      </c>
      <c r="O2712" s="148" t="s">
        <v>83</v>
      </c>
      <c r="P2712" s="148" t="s">
        <v>551</v>
      </c>
      <c r="Y2712" s="150" t="s">
        <v>1942</v>
      </c>
    </row>
    <row r="2713" spans="1:26" ht="15.75" hidden="1" customHeight="1" x14ac:dyDescent="0.25">
      <c r="A2713" s="148" t="s">
        <v>76</v>
      </c>
      <c r="B2713" s="148" t="s">
        <v>77</v>
      </c>
      <c r="C2713" s="148" t="s">
        <v>55</v>
      </c>
      <c r="D2713" s="148" t="s">
        <v>78</v>
      </c>
      <c r="E2713" s="148" t="s">
        <v>30</v>
      </c>
      <c r="F2713" s="148" t="s">
        <v>41</v>
      </c>
      <c r="G2713" s="148" t="s">
        <v>79</v>
      </c>
      <c r="H2713" s="148">
        <v>2018</v>
      </c>
      <c r="I2713" s="148">
        <v>8</v>
      </c>
      <c r="J2713" s="148" t="s">
        <v>80</v>
      </c>
      <c r="K2713" s="148" t="s">
        <v>1333</v>
      </c>
      <c r="M2713" s="148" t="s">
        <v>1519</v>
      </c>
      <c r="N2713" s="148">
        <v>6</v>
      </c>
      <c r="O2713" s="148" t="s">
        <v>83</v>
      </c>
      <c r="P2713" s="148" t="s">
        <v>1943</v>
      </c>
      <c r="Y2713" s="150" t="s">
        <v>1944</v>
      </c>
    </row>
    <row r="2714" spans="1:26" ht="15.75" hidden="1" customHeight="1" x14ac:dyDescent="0.25">
      <c r="A2714" s="148" t="s">
        <v>307</v>
      </c>
      <c r="B2714" s="148" t="s">
        <v>77</v>
      </c>
      <c r="C2714" s="148" t="s">
        <v>55</v>
      </c>
      <c r="D2714" s="148" t="s">
        <v>78</v>
      </c>
      <c r="E2714" s="148" t="s">
        <v>30</v>
      </c>
      <c r="F2714" s="148" t="s">
        <v>41</v>
      </c>
      <c r="G2714" s="148" t="s">
        <v>79</v>
      </c>
      <c r="H2714" s="148">
        <v>2018</v>
      </c>
      <c r="I2714" s="148">
        <v>8</v>
      </c>
      <c r="J2714" s="148" t="s">
        <v>399</v>
      </c>
      <c r="Q2714" s="148" t="s">
        <v>594</v>
      </c>
      <c r="R2714" s="148" t="s">
        <v>1945</v>
      </c>
      <c r="S2714" s="148" t="s">
        <v>596</v>
      </c>
      <c r="T2714" s="148" t="s">
        <v>1946</v>
      </c>
      <c r="Y2714" s="150" t="s">
        <v>1947</v>
      </c>
      <c r="Z2714" s="148" t="s">
        <v>1948</v>
      </c>
    </row>
    <row r="2715" spans="1:26" ht="13.5" hidden="1" customHeight="1" x14ac:dyDescent="0.25">
      <c r="A2715" s="148" t="s">
        <v>76</v>
      </c>
      <c r="B2715" s="148" t="s">
        <v>89</v>
      </c>
      <c r="C2715" s="148" t="s">
        <v>90</v>
      </c>
      <c r="D2715" s="148" t="s">
        <v>478</v>
      </c>
      <c r="E2715" s="148" t="s">
        <v>30</v>
      </c>
      <c r="F2715" s="148" t="s">
        <v>91</v>
      </c>
      <c r="G2715" s="148" t="s">
        <v>92</v>
      </c>
      <c r="H2715" s="148">
        <v>2018</v>
      </c>
      <c r="I2715" s="148">
        <v>8</v>
      </c>
      <c r="J2715" s="148" t="s">
        <v>118</v>
      </c>
      <c r="K2715" s="148" t="s">
        <v>1333</v>
      </c>
      <c r="M2715" s="148" t="s">
        <v>1519</v>
      </c>
      <c r="N2715" s="148">
        <v>6</v>
      </c>
      <c r="O2715" s="148" t="s">
        <v>101</v>
      </c>
      <c r="P2715" s="148" t="s">
        <v>551</v>
      </c>
      <c r="Y2715" s="150" t="s">
        <v>1949</v>
      </c>
      <c r="Z2715" s="148" t="s">
        <v>1950</v>
      </c>
    </row>
    <row r="2716" spans="1:26" ht="13.5" hidden="1" customHeight="1" x14ac:dyDescent="0.25">
      <c r="A2716" s="148" t="s">
        <v>26</v>
      </c>
      <c r="B2716" s="148" t="s">
        <v>27</v>
      </c>
      <c r="C2716" s="148" t="s">
        <v>28</v>
      </c>
      <c r="D2716" s="148" t="s">
        <v>86</v>
      </c>
      <c r="E2716" s="148" t="s">
        <v>30</v>
      </c>
      <c r="F2716" s="148" t="s">
        <v>3183</v>
      </c>
      <c r="G2716" s="148" t="s">
        <v>43</v>
      </c>
      <c r="H2716" s="148">
        <v>2018</v>
      </c>
      <c r="I2716" s="148">
        <v>8</v>
      </c>
      <c r="J2716" s="148" t="s">
        <v>33</v>
      </c>
      <c r="U2716" s="149" t="s">
        <v>112</v>
      </c>
      <c r="V2716" s="157" t="s">
        <v>3764</v>
      </c>
      <c r="W2716" s="157" t="s">
        <v>543</v>
      </c>
      <c r="X2716" s="157" t="s">
        <v>3762</v>
      </c>
      <c r="Y2716" s="150" t="s">
        <v>3765</v>
      </c>
      <c r="Z2716" s="157" t="s">
        <v>3763</v>
      </c>
    </row>
    <row r="2717" spans="1:26" ht="13.5" hidden="1" customHeight="1" x14ac:dyDescent="0.25">
      <c r="A2717" s="148" t="s">
        <v>307</v>
      </c>
      <c r="B2717" s="148" t="s">
        <v>77</v>
      </c>
      <c r="C2717" s="148" t="s">
        <v>55</v>
      </c>
      <c r="D2717" s="148" t="s">
        <v>478</v>
      </c>
      <c r="E2717" s="148" t="s">
        <v>30</v>
      </c>
      <c r="F2717" s="148" t="s">
        <v>41</v>
      </c>
      <c r="G2717" s="148" t="s">
        <v>275</v>
      </c>
      <c r="H2717" s="148">
        <v>2018</v>
      </c>
      <c r="I2717" s="148">
        <v>8</v>
      </c>
      <c r="J2717" s="148" t="s">
        <v>308</v>
      </c>
      <c r="Q2717" s="148" t="s">
        <v>309</v>
      </c>
      <c r="R2717" s="148" t="s">
        <v>38</v>
      </c>
      <c r="S2717" s="148" t="s">
        <v>311</v>
      </c>
    </row>
    <row r="2718" spans="1:26" ht="15.75" hidden="1" customHeight="1" x14ac:dyDescent="0.25">
      <c r="A2718" s="148" t="s">
        <v>26</v>
      </c>
      <c r="B2718" s="148" t="s">
        <v>71</v>
      </c>
      <c r="C2718" s="148" t="s">
        <v>45</v>
      </c>
      <c r="D2718" s="148" t="s">
        <v>99</v>
      </c>
      <c r="E2718" s="148" t="s">
        <v>30</v>
      </c>
      <c r="F2718" s="148" t="s">
        <v>3183</v>
      </c>
      <c r="G2718" s="148" t="s">
        <v>769</v>
      </c>
      <c r="H2718" s="148">
        <v>2018</v>
      </c>
      <c r="I2718" s="148">
        <v>8</v>
      </c>
      <c r="J2718" s="148" t="s">
        <v>33</v>
      </c>
      <c r="U2718" s="149" t="s">
        <v>112</v>
      </c>
      <c r="V2718" s="148" t="s">
        <v>3697</v>
      </c>
      <c r="W2718" s="148" t="s">
        <v>34</v>
      </c>
      <c r="Y2718" s="150" t="s">
        <v>1951</v>
      </c>
    </row>
    <row r="2719" spans="1:26" ht="13.5" hidden="1" customHeight="1" x14ac:dyDescent="0.25">
      <c r="A2719" s="148" t="s">
        <v>307</v>
      </c>
      <c r="B2719" s="148" t="s">
        <v>36</v>
      </c>
      <c r="C2719" s="148" t="s">
        <v>28</v>
      </c>
      <c r="D2719" s="148" t="s">
        <v>342</v>
      </c>
      <c r="E2719" s="148" t="s">
        <v>30</v>
      </c>
      <c r="F2719" s="148" t="s">
        <v>3183</v>
      </c>
      <c r="G2719" s="148" t="s">
        <v>114</v>
      </c>
      <c r="H2719" s="148">
        <v>2018</v>
      </c>
      <c r="I2719" s="148">
        <v>8</v>
      </c>
      <c r="J2719" s="148" t="s">
        <v>308</v>
      </c>
      <c r="Q2719" s="148" t="s">
        <v>426</v>
      </c>
      <c r="R2719" s="148" t="s">
        <v>1087</v>
      </c>
      <c r="S2719" s="148" t="s">
        <v>311</v>
      </c>
      <c r="T2719" s="148" t="s">
        <v>1952</v>
      </c>
      <c r="Y2719" s="150" t="s">
        <v>1953</v>
      </c>
    </row>
    <row r="2720" spans="1:26" ht="15.75" hidden="1" customHeight="1" x14ac:dyDescent="0.25">
      <c r="A2720" s="148" t="s">
        <v>307</v>
      </c>
      <c r="B2720" s="148" t="s">
        <v>71</v>
      </c>
      <c r="C2720" s="148" t="s">
        <v>45</v>
      </c>
      <c r="D2720" s="148" t="s">
        <v>478</v>
      </c>
      <c r="E2720" s="148" t="s">
        <v>72</v>
      </c>
      <c r="F2720" s="148" t="s">
        <v>3183</v>
      </c>
      <c r="G2720" s="148" t="s">
        <v>73</v>
      </c>
      <c r="H2720" s="148">
        <v>2018</v>
      </c>
      <c r="I2720" s="148">
        <v>9</v>
      </c>
      <c r="J2720" s="148" t="s">
        <v>399</v>
      </c>
      <c r="Q2720" s="148" t="s">
        <v>594</v>
      </c>
      <c r="R2720" s="148" t="s">
        <v>1954</v>
      </c>
      <c r="S2720" s="148" t="s">
        <v>427</v>
      </c>
      <c r="T2720" s="148" t="s">
        <v>3336</v>
      </c>
      <c r="Y2720" s="150" t="s">
        <v>1955</v>
      </c>
      <c r="Z2720" s="148" t="s">
        <v>1956</v>
      </c>
    </row>
    <row r="2721" spans="1:26" ht="15.75" hidden="1" customHeight="1" x14ac:dyDescent="0.25">
      <c r="A2721" s="148" t="s">
        <v>307</v>
      </c>
      <c r="B2721" s="148" t="s">
        <v>71</v>
      </c>
      <c r="C2721" s="148" t="s">
        <v>45</v>
      </c>
      <c r="D2721" s="148" t="s">
        <v>478</v>
      </c>
      <c r="E2721" s="148" t="s">
        <v>72</v>
      </c>
      <c r="F2721" s="148" t="s">
        <v>3183</v>
      </c>
      <c r="G2721" s="148" t="s">
        <v>73</v>
      </c>
      <c r="H2721" s="148">
        <v>2018</v>
      </c>
      <c r="I2721" s="148">
        <v>9</v>
      </c>
      <c r="J2721" s="148" t="s">
        <v>308</v>
      </c>
      <c r="Q2721" s="148" t="s">
        <v>426</v>
      </c>
      <c r="R2721" s="148" t="s">
        <v>1957</v>
      </c>
      <c r="S2721" s="148" t="s">
        <v>311</v>
      </c>
      <c r="T2721" s="148" t="s">
        <v>1958</v>
      </c>
      <c r="Y2721" s="150" t="s">
        <v>1959</v>
      </c>
      <c r="Z2721" s="148" t="s">
        <v>1960</v>
      </c>
    </row>
    <row r="2722" spans="1:26" ht="15.75" hidden="1" customHeight="1" x14ac:dyDescent="0.25">
      <c r="A2722" s="148" t="s">
        <v>307</v>
      </c>
      <c r="B2722" s="148" t="s">
        <v>71</v>
      </c>
      <c r="C2722" s="148" t="s">
        <v>45</v>
      </c>
      <c r="D2722" s="148" t="s">
        <v>478</v>
      </c>
      <c r="E2722" s="148" t="s">
        <v>72</v>
      </c>
      <c r="F2722" s="148" t="s">
        <v>3183</v>
      </c>
      <c r="G2722" s="148" t="s">
        <v>73</v>
      </c>
      <c r="H2722" s="148">
        <v>2018</v>
      </c>
      <c r="I2722" s="148">
        <v>9</v>
      </c>
      <c r="J2722" s="148" t="s">
        <v>399</v>
      </c>
      <c r="Q2722" s="148" t="s">
        <v>426</v>
      </c>
      <c r="R2722" s="148" t="s">
        <v>1961</v>
      </c>
      <c r="S2722" s="148" t="s">
        <v>311</v>
      </c>
      <c r="T2722" s="148" t="s">
        <v>1962</v>
      </c>
      <c r="Y2722" s="150" t="s">
        <v>1963</v>
      </c>
    </row>
    <row r="2723" spans="1:26" ht="15.75" hidden="1" customHeight="1" x14ac:dyDescent="0.25">
      <c r="A2723" s="148" t="s">
        <v>26</v>
      </c>
      <c r="B2723" s="148" t="s">
        <v>116</v>
      </c>
      <c r="C2723" s="148" t="s">
        <v>90</v>
      </c>
      <c r="D2723" s="148" t="s">
        <v>99</v>
      </c>
      <c r="E2723" s="148" t="s">
        <v>30</v>
      </c>
      <c r="F2723" s="148" t="s">
        <v>41</v>
      </c>
      <c r="G2723" s="148" t="s">
        <v>564</v>
      </c>
      <c r="H2723" s="148">
        <v>2018</v>
      </c>
      <c r="I2723" s="148">
        <v>9</v>
      </c>
      <c r="J2723" s="148" t="s">
        <v>792</v>
      </c>
      <c r="U2723" s="149" t="s">
        <v>3629</v>
      </c>
      <c r="V2723" s="148" t="s">
        <v>1964</v>
      </c>
      <c r="W2723" s="148" t="s">
        <v>49</v>
      </c>
      <c r="X2723" s="157" t="s">
        <v>3760</v>
      </c>
      <c r="Y2723" s="150" t="s">
        <v>1965</v>
      </c>
    </row>
    <row r="2724" spans="1:26" ht="13.5" hidden="1" customHeight="1" x14ac:dyDescent="0.25">
      <c r="A2724" s="148" t="s">
        <v>76</v>
      </c>
      <c r="B2724" s="148" t="s">
        <v>116</v>
      </c>
      <c r="C2724" s="148" t="s">
        <v>90</v>
      </c>
      <c r="D2724" s="148" t="s">
        <v>478</v>
      </c>
      <c r="E2724" s="148" t="s">
        <v>30</v>
      </c>
      <c r="F2724" s="148" t="s">
        <v>41</v>
      </c>
      <c r="G2724" s="148" t="s">
        <v>421</v>
      </c>
      <c r="H2724" s="148">
        <v>2018</v>
      </c>
      <c r="I2724" s="148">
        <v>9</v>
      </c>
      <c r="J2724" s="148" t="s">
        <v>118</v>
      </c>
      <c r="K2724" s="148" t="s">
        <v>710</v>
      </c>
      <c r="M2724" s="148" t="s">
        <v>126</v>
      </c>
      <c r="N2724" s="148">
        <v>10</v>
      </c>
      <c r="O2724" s="148" t="s">
        <v>101</v>
      </c>
      <c r="P2724" s="148" t="s">
        <v>146</v>
      </c>
      <c r="Y2724" s="150" t="s">
        <v>1966</v>
      </c>
    </row>
    <row r="2725" spans="1:26" ht="15.75" hidden="1" customHeight="1" x14ac:dyDescent="0.25">
      <c r="A2725" s="148" t="s">
        <v>76</v>
      </c>
      <c r="B2725" s="148" t="s">
        <v>77</v>
      </c>
      <c r="C2725" s="148" t="s">
        <v>55</v>
      </c>
      <c r="D2725" s="148" t="s">
        <v>478</v>
      </c>
      <c r="E2725" s="148" t="s">
        <v>30</v>
      </c>
      <c r="F2725" s="148" t="s">
        <v>41</v>
      </c>
      <c r="G2725" s="148" t="s">
        <v>159</v>
      </c>
      <c r="H2725" s="148">
        <v>2018</v>
      </c>
      <c r="I2725" s="148">
        <v>9</v>
      </c>
      <c r="J2725" s="148" t="s">
        <v>150</v>
      </c>
      <c r="K2725" s="148" t="s">
        <v>579</v>
      </c>
      <c r="M2725" s="148" t="s">
        <v>126</v>
      </c>
      <c r="N2725" s="148">
        <v>10</v>
      </c>
      <c r="O2725" s="148" t="s">
        <v>83</v>
      </c>
      <c r="P2725" s="148" t="s">
        <v>146</v>
      </c>
      <c r="Y2725" s="150" t="s">
        <v>1967</v>
      </c>
    </row>
    <row r="2726" spans="1:26" ht="15.75" hidden="1" customHeight="1" x14ac:dyDescent="0.25">
      <c r="A2726" s="148" t="s">
        <v>76</v>
      </c>
      <c r="B2726" s="148" t="s">
        <v>77</v>
      </c>
      <c r="C2726" s="148" t="s">
        <v>55</v>
      </c>
      <c r="D2726" s="148" t="s">
        <v>478</v>
      </c>
      <c r="E2726" s="148" t="s">
        <v>30</v>
      </c>
      <c r="F2726" s="148" t="s">
        <v>41</v>
      </c>
      <c r="G2726" s="148" t="s">
        <v>161</v>
      </c>
      <c r="H2726" s="148">
        <v>2018</v>
      </c>
      <c r="I2726" s="148">
        <v>9</v>
      </c>
      <c r="J2726" s="148" t="s">
        <v>150</v>
      </c>
      <c r="K2726" s="148" t="s">
        <v>579</v>
      </c>
      <c r="M2726" s="148" t="s">
        <v>126</v>
      </c>
      <c r="N2726" s="148">
        <v>10</v>
      </c>
      <c r="O2726" s="148" t="s">
        <v>83</v>
      </c>
      <c r="P2726" s="148" t="s">
        <v>146</v>
      </c>
      <c r="Y2726" s="150" t="s">
        <v>1968</v>
      </c>
    </row>
    <row r="2727" spans="1:26" ht="15.75" hidden="1" customHeight="1" x14ac:dyDescent="0.25">
      <c r="A2727" s="148" t="s">
        <v>307</v>
      </c>
      <c r="B2727" s="148" t="s">
        <v>27</v>
      </c>
      <c r="C2727" s="148" t="s">
        <v>28</v>
      </c>
      <c r="D2727" s="148" t="s">
        <v>1452</v>
      </c>
      <c r="E2727" s="148" t="s">
        <v>30</v>
      </c>
      <c r="F2727" s="148" t="s">
        <v>3183</v>
      </c>
      <c r="G2727" s="148" t="s">
        <v>163</v>
      </c>
      <c r="H2727" s="148">
        <v>2018</v>
      </c>
      <c r="I2727" s="148">
        <v>9</v>
      </c>
      <c r="J2727" s="148" t="s">
        <v>308</v>
      </c>
      <c r="Q2727" s="148" t="s">
        <v>309</v>
      </c>
      <c r="R2727" s="148" t="s">
        <v>1969</v>
      </c>
      <c r="S2727" s="148" t="s">
        <v>311</v>
      </c>
      <c r="T2727" s="148" t="s">
        <v>1970</v>
      </c>
      <c r="Y2727" s="150" t="s">
        <v>1971</v>
      </c>
      <c r="Z2727" s="148" t="s">
        <v>1960</v>
      </c>
    </row>
    <row r="2728" spans="1:26" ht="13.5" hidden="1" customHeight="1" x14ac:dyDescent="0.25">
      <c r="A2728" s="148" t="s">
        <v>307</v>
      </c>
      <c r="B2728" s="148" t="s">
        <v>89</v>
      </c>
      <c r="C2728" s="148" t="s">
        <v>90</v>
      </c>
      <c r="D2728" s="148" t="s">
        <v>99</v>
      </c>
      <c r="E2728" s="148" t="s">
        <v>30</v>
      </c>
      <c r="F2728" s="148" t="s">
        <v>91</v>
      </c>
      <c r="G2728" s="148" t="s">
        <v>178</v>
      </c>
      <c r="H2728" s="148">
        <v>2018</v>
      </c>
      <c r="I2728" s="148">
        <v>9</v>
      </c>
      <c r="J2728" s="148" t="s">
        <v>308</v>
      </c>
      <c r="Q2728" s="148" t="s">
        <v>309</v>
      </c>
      <c r="R2728" s="148" t="s">
        <v>1087</v>
      </c>
      <c r="S2728" s="148" t="s">
        <v>660</v>
      </c>
      <c r="T2728" s="148" t="s">
        <v>1972</v>
      </c>
      <c r="Y2728" s="150" t="s">
        <v>1973</v>
      </c>
    </row>
    <row r="2729" spans="1:26" ht="13.5" hidden="1" customHeight="1" x14ac:dyDescent="0.25">
      <c r="A2729" s="148" t="s">
        <v>76</v>
      </c>
      <c r="B2729" s="148" t="s">
        <v>27</v>
      </c>
      <c r="C2729" s="148" t="s">
        <v>28</v>
      </c>
      <c r="D2729" s="148" t="s">
        <v>1302</v>
      </c>
      <c r="E2729" s="148" t="s">
        <v>40</v>
      </c>
      <c r="F2729" s="148" t="s">
        <v>41</v>
      </c>
      <c r="G2729" s="148" t="s">
        <v>42</v>
      </c>
      <c r="H2729" s="148">
        <v>2018</v>
      </c>
      <c r="I2729" s="148">
        <v>9</v>
      </c>
      <c r="J2729" s="148" t="s">
        <v>118</v>
      </c>
      <c r="K2729" s="148" t="s">
        <v>710</v>
      </c>
      <c r="M2729" s="148" t="s">
        <v>126</v>
      </c>
      <c r="N2729" s="148">
        <v>10</v>
      </c>
      <c r="O2729" s="148" t="s">
        <v>101</v>
      </c>
      <c r="P2729" s="148" t="s">
        <v>203</v>
      </c>
      <c r="Y2729" s="150" t="s">
        <v>1974</v>
      </c>
    </row>
    <row r="2730" spans="1:26" ht="16.5" hidden="1" customHeight="1" x14ac:dyDescent="0.25">
      <c r="A2730" s="148" t="s">
        <v>76</v>
      </c>
      <c r="B2730" s="148" t="s">
        <v>54</v>
      </c>
      <c r="C2730" s="148" t="s">
        <v>55</v>
      </c>
      <c r="D2730" s="148" t="s">
        <v>1082</v>
      </c>
      <c r="E2730" s="148" t="s">
        <v>30</v>
      </c>
      <c r="F2730" s="148" t="s">
        <v>56</v>
      </c>
      <c r="G2730" s="148" t="s">
        <v>54</v>
      </c>
      <c r="H2730" s="148">
        <v>2018</v>
      </c>
      <c r="I2730" s="148">
        <v>9</v>
      </c>
      <c r="J2730" s="148" t="s">
        <v>150</v>
      </c>
      <c r="K2730" s="148" t="s">
        <v>1152</v>
      </c>
      <c r="M2730" s="148" t="s">
        <v>82</v>
      </c>
      <c r="N2730" s="148">
        <v>8</v>
      </c>
      <c r="O2730" s="148" t="s">
        <v>83</v>
      </c>
      <c r="P2730" s="148" t="s">
        <v>154</v>
      </c>
      <c r="Y2730" s="150" t="s">
        <v>1975</v>
      </c>
      <c r="Z2730" s="148" t="s">
        <v>1976</v>
      </c>
    </row>
    <row r="2731" spans="1:26" ht="13.5" hidden="1" customHeight="1" x14ac:dyDescent="0.25">
      <c r="A2731" s="148" t="s">
        <v>307</v>
      </c>
      <c r="B2731" s="148" t="s">
        <v>54</v>
      </c>
      <c r="C2731" s="148" t="s">
        <v>55</v>
      </c>
      <c r="D2731" s="148" t="s">
        <v>1082</v>
      </c>
      <c r="E2731" s="148" t="s">
        <v>30</v>
      </c>
      <c r="F2731" s="148" t="s">
        <v>56</v>
      </c>
      <c r="G2731" s="148" t="s">
        <v>54</v>
      </c>
      <c r="H2731" s="148">
        <v>2018</v>
      </c>
      <c r="I2731" s="148">
        <v>9</v>
      </c>
      <c r="J2731" s="148" t="s">
        <v>399</v>
      </c>
      <c r="Q2731" s="148" t="s">
        <v>594</v>
      </c>
      <c r="R2731" s="148" t="s">
        <v>1977</v>
      </c>
      <c r="S2731" s="148" t="s">
        <v>596</v>
      </c>
      <c r="T2731" s="148" t="s">
        <v>1978</v>
      </c>
      <c r="Y2731" s="150" t="s">
        <v>1979</v>
      </c>
      <c r="Z2731" s="148" t="s">
        <v>1980</v>
      </c>
    </row>
    <row r="2732" spans="1:26" ht="13.5" customHeight="1" x14ac:dyDescent="0.25">
      <c r="A2732" s="148" t="s">
        <v>76</v>
      </c>
      <c r="B2732" s="148" t="s">
        <v>36</v>
      </c>
      <c r="C2732" s="148" t="s">
        <v>28</v>
      </c>
      <c r="D2732" s="148" t="s">
        <v>1304</v>
      </c>
      <c r="E2732" s="148" t="s">
        <v>30</v>
      </c>
      <c r="F2732" s="148" t="s">
        <v>3183</v>
      </c>
      <c r="G2732" s="148" t="s">
        <v>194</v>
      </c>
      <c r="H2732" s="148">
        <v>2018</v>
      </c>
      <c r="I2732" s="148">
        <v>9</v>
      </c>
      <c r="J2732" s="148" t="s">
        <v>118</v>
      </c>
      <c r="K2732" s="148" t="s">
        <v>1152</v>
      </c>
      <c r="M2732" s="148" t="s">
        <v>82</v>
      </c>
      <c r="N2732" s="148">
        <v>8</v>
      </c>
      <c r="O2732" s="148" t="s">
        <v>101</v>
      </c>
      <c r="P2732" s="148" t="s">
        <v>551</v>
      </c>
      <c r="Y2732" s="150" t="s">
        <v>1981</v>
      </c>
    </row>
    <row r="2733" spans="1:26" ht="15.75" hidden="1" customHeight="1" x14ac:dyDescent="0.25">
      <c r="A2733" s="148" t="s">
        <v>307</v>
      </c>
      <c r="B2733" s="148" t="s">
        <v>27</v>
      </c>
      <c r="C2733" s="148" t="s">
        <v>28</v>
      </c>
      <c r="D2733" s="148" t="s">
        <v>86</v>
      </c>
      <c r="E2733" s="148" t="s">
        <v>30</v>
      </c>
      <c r="F2733" s="148" t="s">
        <v>3183</v>
      </c>
      <c r="G2733" s="148" t="s">
        <v>43</v>
      </c>
      <c r="H2733" s="148">
        <v>2018</v>
      </c>
      <c r="I2733" s="148">
        <v>9</v>
      </c>
      <c r="J2733" s="148" t="s">
        <v>399</v>
      </c>
      <c r="Q2733" s="148" t="s">
        <v>594</v>
      </c>
      <c r="R2733" s="148" t="s">
        <v>1982</v>
      </c>
      <c r="S2733" s="148" t="s">
        <v>311</v>
      </c>
      <c r="T2733" s="148" t="s">
        <v>1983</v>
      </c>
    </row>
    <row r="2734" spans="1:26" ht="15.75" hidden="1" customHeight="1" x14ac:dyDescent="0.25">
      <c r="A2734" s="148" t="s">
        <v>76</v>
      </c>
      <c r="B2734" s="148" t="s">
        <v>77</v>
      </c>
      <c r="C2734" s="148" t="s">
        <v>55</v>
      </c>
      <c r="D2734" s="148" t="s">
        <v>478</v>
      </c>
      <c r="E2734" s="148" t="s">
        <v>30</v>
      </c>
      <c r="F2734" s="148" t="s">
        <v>41</v>
      </c>
      <c r="G2734" s="148" t="s">
        <v>275</v>
      </c>
      <c r="H2734" s="148">
        <v>2018</v>
      </c>
      <c r="I2734" s="148">
        <v>9</v>
      </c>
      <c r="J2734" s="148" t="s">
        <v>150</v>
      </c>
      <c r="K2734" s="148" t="s">
        <v>579</v>
      </c>
      <c r="M2734" s="148" t="s">
        <v>126</v>
      </c>
      <c r="N2734" s="148">
        <v>10</v>
      </c>
      <c r="O2734" s="148" t="s">
        <v>83</v>
      </c>
      <c r="P2734" s="148" t="s">
        <v>154</v>
      </c>
      <c r="Y2734" s="150" t="s">
        <v>1984</v>
      </c>
      <c r="Z2734" s="148" t="s">
        <v>1985</v>
      </c>
    </row>
    <row r="2735" spans="1:26" ht="15.75" hidden="1" customHeight="1" x14ac:dyDescent="0.25">
      <c r="A2735" s="148" t="s">
        <v>307</v>
      </c>
      <c r="B2735" s="148" t="s">
        <v>36</v>
      </c>
      <c r="C2735" s="148" t="s">
        <v>28</v>
      </c>
      <c r="D2735" s="148" t="s">
        <v>342</v>
      </c>
      <c r="E2735" s="148" t="s">
        <v>51</v>
      </c>
      <c r="F2735" s="148" t="s">
        <v>3183</v>
      </c>
      <c r="G2735" s="148" t="s">
        <v>52</v>
      </c>
      <c r="H2735" s="148">
        <v>2018</v>
      </c>
      <c r="I2735" s="148">
        <v>9</v>
      </c>
      <c r="J2735" s="148" t="s">
        <v>308</v>
      </c>
      <c r="Q2735" s="148" t="s">
        <v>594</v>
      </c>
      <c r="R2735" s="148" t="s">
        <v>1986</v>
      </c>
      <c r="S2735" s="148" t="s">
        <v>885</v>
      </c>
      <c r="T2735" s="148" t="s">
        <v>1987</v>
      </c>
      <c r="Y2735" s="150" t="s">
        <v>1988</v>
      </c>
    </row>
    <row r="2736" spans="1:26" ht="13.5" hidden="1" customHeight="1" x14ac:dyDescent="0.25">
      <c r="A2736" s="148" t="s">
        <v>76</v>
      </c>
      <c r="B2736" s="148" t="s">
        <v>44</v>
      </c>
      <c r="C2736" s="148" t="s">
        <v>45</v>
      </c>
      <c r="D2736" s="148" t="s">
        <v>29</v>
      </c>
      <c r="E2736" s="148" t="s">
        <v>46</v>
      </c>
      <c r="F2736" s="148" t="s">
        <v>47</v>
      </c>
      <c r="G2736" s="148" t="s">
        <v>48</v>
      </c>
      <c r="H2736" s="148">
        <v>2018</v>
      </c>
      <c r="I2736" s="148">
        <v>9</v>
      </c>
      <c r="J2736" s="148" t="s">
        <v>118</v>
      </c>
      <c r="K2736" s="148" t="s">
        <v>1754</v>
      </c>
      <c r="M2736" s="148" t="s">
        <v>1755</v>
      </c>
      <c r="N2736" s="148">
        <v>6</v>
      </c>
      <c r="O2736" s="148" t="s">
        <v>101</v>
      </c>
      <c r="P2736" s="148" t="s">
        <v>1989</v>
      </c>
      <c r="Y2736" s="150" t="s">
        <v>1990</v>
      </c>
      <c r="Z2736" s="148" t="s">
        <v>1991</v>
      </c>
    </row>
    <row r="2737" spans="1:26" ht="15.75" hidden="1" customHeight="1" x14ac:dyDescent="0.25">
      <c r="A2737" s="148" t="s">
        <v>26</v>
      </c>
      <c r="B2737" s="148" t="s">
        <v>198</v>
      </c>
      <c r="C2737" s="148" t="s">
        <v>45</v>
      </c>
      <c r="D2737" s="148" t="s">
        <v>478</v>
      </c>
      <c r="E2737" s="148" t="s">
        <v>30</v>
      </c>
      <c r="F2737" s="148" t="s">
        <v>199</v>
      </c>
      <c r="G2737" s="148" t="s">
        <v>258</v>
      </c>
      <c r="H2737" s="148">
        <v>2018</v>
      </c>
      <c r="I2737" s="148">
        <v>9</v>
      </c>
      <c r="J2737" s="148" t="s">
        <v>33</v>
      </c>
      <c r="U2737" s="149" t="s">
        <v>112</v>
      </c>
      <c r="V2737" s="148" t="s">
        <v>3698</v>
      </c>
      <c r="W2737" s="148" t="s">
        <v>34</v>
      </c>
      <c r="Y2737" s="150" t="s">
        <v>1992</v>
      </c>
    </row>
    <row r="2738" spans="1:26" ht="15.75" hidden="1" customHeight="1" x14ac:dyDescent="0.25">
      <c r="A2738" s="148" t="s">
        <v>26</v>
      </c>
      <c r="B2738" s="148" t="s">
        <v>198</v>
      </c>
      <c r="C2738" s="148" t="s">
        <v>45</v>
      </c>
      <c r="D2738" s="148" t="s">
        <v>516</v>
      </c>
      <c r="E2738" s="148" t="s">
        <v>30</v>
      </c>
      <c r="F2738" s="148" t="s">
        <v>199</v>
      </c>
      <c r="G2738" s="148" t="s">
        <v>200</v>
      </c>
      <c r="H2738" s="148">
        <v>2018</v>
      </c>
      <c r="I2738" s="148">
        <v>10</v>
      </c>
      <c r="J2738" s="148" t="s">
        <v>33</v>
      </c>
      <c r="U2738" s="149" t="s">
        <v>112</v>
      </c>
      <c r="V2738" s="148" t="s">
        <v>3699</v>
      </c>
      <c r="W2738" s="148" t="s">
        <v>34</v>
      </c>
      <c r="Y2738" s="150" t="s">
        <v>1993</v>
      </c>
    </row>
    <row r="2739" spans="1:26" ht="15.75" hidden="1" customHeight="1" x14ac:dyDescent="0.25">
      <c r="A2739" s="148" t="s">
        <v>76</v>
      </c>
      <c r="B2739" s="148" t="s">
        <v>36</v>
      </c>
      <c r="C2739" s="148" t="s">
        <v>28</v>
      </c>
      <c r="D2739" s="152" t="s">
        <v>887</v>
      </c>
      <c r="E2739" s="148" t="s">
        <v>30</v>
      </c>
      <c r="F2739" s="148" t="s">
        <v>3183</v>
      </c>
      <c r="G2739" s="148" t="s">
        <v>888</v>
      </c>
      <c r="H2739" s="148">
        <v>2018</v>
      </c>
      <c r="I2739" s="148">
        <v>10</v>
      </c>
      <c r="J2739" s="148" t="s">
        <v>80</v>
      </c>
      <c r="K2739" s="148" t="s">
        <v>1152</v>
      </c>
      <c r="M2739" s="148" t="s">
        <v>82</v>
      </c>
      <c r="N2739" s="148">
        <v>8</v>
      </c>
      <c r="O2739" s="148" t="s">
        <v>83</v>
      </c>
      <c r="P2739" s="148" t="s">
        <v>1994</v>
      </c>
      <c r="Y2739" s="150" t="s">
        <v>1995</v>
      </c>
      <c r="Z2739" s="148" t="s">
        <v>891</v>
      </c>
    </row>
    <row r="2740" spans="1:26" ht="15.75" hidden="1" customHeight="1" x14ac:dyDescent="0.25">
      <c r="A2740" s="148" t="s">
        <v>307</v>
      </c>
      <c r="B2740" s="148" t="s">
        <v>36</v>
      </c>
      <c r="C2740" s="148" t="s">
        <v>28</v>
      </c>
      <c r="D2740" s="148" t="s">
        <v>887</v>
      </c>
      <c r="E2740" s="148" t="s">
        <v>30</v>
      </c>
      <c r="F2740" s="148" t="s">
        <v>3183</v>
      </c>
      <c r="G2740" s="148" t="s">
        <v>888</v>
      </c>
      <c r="H2740" s="148">
        <v>2018</v>
      </c>
      <c r="I2740" s="148">
        <v>10</v>
      </c>
      <c r="J2740" s="148" t="s">
        <v>399</v>
      </c>
      <c r="Q2740" s="148" t="s">
        <v>426</v>
      </c>
      <c r="R2740" s="148" t="s">
        <v>1996</v>
      </c>
      <c r="S2740" s="148" t="s">
        <v>427</v>
      </c>
      <c r="T2740" s="148" t="s">
        <v>1997</v>
      </c>
      <c r="Y2740" s="150" t="s">
        <v>1998</v>
      </c>
      <c r="Z2740" s="148" t="s">
        <v>891</v>
      </c>
    </row>
    <row r="2741" spans="1:26" ht="15.75" hidden="1" customHeight="1" x14ac:dyDescent="0.25">
      <c r="A2741" s="148" t="s">
        <v>76</v>
      </c>
      <c r="B2741" s="148" t="s">
        <v>71</v>
      </c>
      <c r="C2741" s="148" t="s">
        <v>45</v>
      </c>
      <c r="D2741" s="148" t="s">
        <v>478</v>
      </c>
      <c r="E2741" s="148" t="s">
        <v>72</v>
      </c>
      <c r="F2741" s="148" t="s">
        <v>3183</v>
      </c>
      <c r="G2741" s="148" t="s">
        <v>73</v>
      </c>
      <c r="H2741" s="148">
        <v>2018</v>
      </c>
      <c r="I2741" s="148">
        <v>10</v>
      </c>
      <c r="J2741" s="148" t="s">
        <v>640</v>
      </c>
      <c r="K2741" s="148" t="s">
        <v>1152</v>
      </c>
      <c r="M2741" s="148" t="s">
        <v>82</v>
      </c>
      <c r="N2741" s="148">
        <v>8</v>
      </c>
      <c r="O2741" s="148" t="s">
        <v>83</v>
      </c>
      <c r="P2741" s="148" t="s">
        <v>1999</v>
      </c>
      <c r="Y2741" s="150" t="s">
        <v>2000</v>
      </c>
    </row>
    <row r="2742" spans="1:26" ht="13.5" hidden="1" customHeight="1" x14ac:dyDescent="0.25">
      <c r="A2742" s="148" t="s">
        <v>76</v>
      </c>
      <c r="B2742" s="148" t="s">
        <v>71</v>
      </c>
      <c r="C2742" s="148" t="s">
        <v>45</v>
      </c>
      <c r="D2742" s="148" t="s">
        <v>478</v>
      </c>
      <c r="E2742" s="148" t="s">
        <v>72</v>
      </c>
      <c r="F2742" s="148" t="s">
        <v>3183</v>
      </c>
      <c r="G2742" s="148" t="s">
        <v>73</v>
      </c>
      <c r="H2742" s="148">
        <v>2018</v>
      </c>
      <c r="I2742" s="148">
        <v>10</v>
      </c>
      <c r="J2742" s="148" t="s">
        <v>118</v>
      </c>
      <c r="K2742" s="148" t="s">
        <v>579</v>
      </c>
      <c r="M2742" s="148" t="s">
        <v>126</v>
      </c>
      <c r="N2742" s="148">
        <v>10</v>
      </c>
      <c r="O2742" s="148" t="s">
        <v>101</v>
      </c>
      <c r="P2742" s="148" t="s">
        <v>146</v>
      </c>
      <c r="Y2742" s="150" t="s">
        <v>2001</v>
      </c>
    </row>
    <row r="2743" spans="1:26" ht="15.75" hidden="1" customHeight="1" x14ac:dyDescent="0.25">
      <c r="A2743" s="148" t="s">
        <v>76</v>
      </c>
      <c r="B2743" s="148" t="s">
        <v>71</v>
      </c>
      <c r="C2743" s="148" t="s">
        <v>45</v>
      </c>
      <c r="D2743" s="148" t="s">
        <v>478</v>
      </c>
      <c r="E2743" s="148" t="s">
        <v>72</v>
      </c>
      <c r="F2743" s="148" t="s">
        <v>3183</v>
      </c>
      <c r="G2743" s="148" t="s">
        <v>73</v>
      </c>
      <c r="H2743" s="148">
        <v>2018</v>
      </c>
      <c r="I2743" s="148">
        <v>10</v>
      </c>
      <c r="J2743" s="148" t="s">
        <v>118</v>
      </c>
      <c r="K2743" s="148" t="s">
        <v>579</v>
      </c>
      <c r="M2743" s="148" t="s">
        <v>126</v>
      </c>
      <c r="N2743" s="148">
        <v>10</v>
      </c>
      <c r="O2743" s="148" t="s">
        <v>101</v>
      </c>
      <c r="P2743" s="148" t="s">
        <v>2002</v>
      </c>
      <c r="Y2743" s="150" t="s">
        <v>2003</v>
      </c>
    </row>
    <row r="2744" spans="1:26" ht="13.5" hidden="1" customHeight="1" x14ac:dyDescent="0.25">
      <c r="A2744" s="148" t="s">
        <v>76</v>
      </c>
      <c r="B2744" s="148" t="s">
        <v>198</v>
      </c>
      <c r="C2744" s="148" t="s">
        <v>45</v>
      </c>
      <c r="D2744" s="148" t="s">
        <v>99</v>
      </c>
      <c r="E2744" s="148" t="s">
        <v>30</v>
      </c>
      <c r="F2744" s="148" t="s">
        <v>199</v>
      </c>
      <c r="G2744" s="148" t="s">
        <v>205</v>
      </c>
      <c r="H2744" s="148">
        <v>2018</v>
      </c>
      <c r="I2744" s="148">
        <v>10</v>
      </c>
      <c r="J2744" s="148" t="s">
        <v>640</v>
      </c>
      <c r="K2744" s="148" t="s">
        <v>1152</v>
      </c>
      <c r="M2744" s="148" t="s">
        <v>82</v>
      </c>
      <c r="N2744" s="148">
        <v>8</v>
      </c>
      <c r="O2744" s="148" t="s">
        <v>83</v>
      </c>
      <c r="P2744" s="148" t="s">
        <v>2004</v>
      </c>
      <c r="Y2744" s="150" t="s">
        <v>2005</v>
      </c>
    </row>
    <row r="2745" spans="1:26" ht="15.75" hidden="1" customHeight="1" x14ac:dyDescent="0.25">
      <c r="A2745" s="148" t="s">
        <v>76</v>
      </c>
      <c r="B2745" s="148" t="s">
        <v>36</v>
      </c>
      <c r="C2745" s="148" t="s">
        <v>28</v>
      </c>
      <c r="D2745" s="148" t="s">
        <v>342</v>
      </c>
      <c r="E2745" s="148" t="s">
        <v>30</v>
      </c>
      <c r="F2745" s="148" t="s">
        <v>3183</v>
      </c>
      <c r="G2745" s="148" t="s">
        <v>438</v>
      </c>
      <c r="H2745" s="148">
        <v>2018</v>
      </c>
      <c r="I2745" s="148">
        <v>10</v>
      </c>
      <c r="J2745" s="148" t="s">
        <v>640</v>
      </c>
      <c r="K2745" s="148" t="s">
        <v>579</v>
      </c>
      <c r="M2745" s="148" t="s">
        <v>126</v>
      </c>
      <c r="N2745" s="148">
        <v>10</v>
      </c>
      <c r="O2745" s="148" t="s">
        <v>101</v>
      </c>
      <c r="P2745" s="148" t="s">
        <v>2006</v>
      </c>
      <c r="Y2745" s="150" t="s">
        <v>2007</v>
      </c>
    </row>
    <row r="2746" spans="1:26" ht="15.75" hidden="1" customHeight="1" x14ac:dyDescent="0.25">
      <c r="A2746" s="148" t="s">
        <v>76</v>
      </c>
      <c r="B2746" s="148" t="s">
        <v>198</v>
      </c>
      <c r="C2746" s="148" t="s">
        <v>45</v>
      </c>
      <c r="D2746" s="148" t="s">
        <v>158</v>
      </c>
      <c r="E2746" s="148" t="s">
        <v>30</v>
      </c>
      <c r="F2746" s="148" t="s">
        <v>199</v>
      </c>
      <c r="G2746" s="148" t="s">
        <v>1057</v>
      </c>
      <c r="H2746" s="148">
        <v>2018</v>
      </c>
      <c r="I2746" s="148">
        <v>10</v>
      </c>
      <c r="J2746" s="148" t="s">
        <v>100</v>
      </c>
      <c r="K2746" s="148" t="s">
        <v>1152</v>
      </c>
      <c r="M2746" s="148" t="s">
        <v>82</v>
      </c>
      <c r="N2746" s="148">
        <v>8</v>
      </c>
      <c r="O2746" s="148" t="s">
        <v>101</v>
      </c>
      <c r="P2746" s="148" t="s">
        <v>2008</v>
      </c>
      <c r="Y2746" s="150" t="s">
        <v>2009</v>
      </c>
      <c r="Z2746" s="148" t="s">
        <v>2010</v>
      </c>
    </row>
    <row r="2747" spans="1:26" ht="13.5" hidden="1" customHeight="1" x14ac:dyDescent="0.25">
      <c r="A2747" s="148" t="s">
        <v>76</v>
      </c>
      <c r="B2747" s="148" t="s">
        <v>198</v>
      </c>
      <c r="C2747" s="148" t="s">
        <v>45</v>
      </c>
      <c r="D2747" s="148" t="s">
        <v>99</v>
      </c>
      <c r="E2747" s="148" t="s">
        <v>30</v>
      </c>
      <c r="F2747" s="148" t="s">
        <v>199</v>
      </c>
      <c r="G2747" s="148" t="s">
        <v>975</v>
      </c>
      <c r="H2747" s="148">
        <v>2018</v>
      </c>
      <c r="I2747" s="148">
        <v>10</v>
      </c>
      <c r="J2747" s="148" t="s">
        <v>640</v>
      </c>
      <c r="K2747" s="148" t="s">
        <v>1152</v>
      </c>
      <c r="M2747" s="148" t="s">
        <v>82</v>
      </c>
      <c r="N2747" s="148">
        <v>8</v>
      </c>
      <c r="O2747" s="148" t="s">
        <v>83</v>
      </c>
      <c r="P2747" s="148" t="s">
        <v>2011</v>
      </c>
      <c r="Y2747" s="150" t="s">
        <v>2005</v>
      </c>
    </row>
    <row r="2748" spans="1:26" ht="16.5" hidden="1" customHeight="1" x14ac:dyDescent="0.25">
      <c r="A2748" s="148" t="s">
        <v>26</v>
      </c>
      <c r="B2748" s="148" t="s">
        <v>198</v>
      </c>
      <c r="C2748" s="148" t="s">
        <v>45</v>
      </c>
      <c r="D2748" s="148" t="s">
        <v>29</v>
      </c>
      <c r="E2748" s="148" t="s">
        <v>30</v>
      </c>
      <c r="F2748" s="148" t="s">
        <v>199</v>
      </c>
      <c r="G2748" s="148" t="s">
        <v>2012</v>
      </c>
      <c r="H2748" s="148">
        <v>2018</v>
      </c>
      <c r="I2748" s="148">
        <v>10</v>
      </c>
      <c r="J2748" s="148" t="s">
        <v>33</v>
      </c>
      <c r="U2748" s="149" t="s">
        <v>112</v>
      </c>
      <c r="V2748" s="148" t="s">
        <v>3699</v>
      </c>
      <c r="W2748" s="148" t="s">
        <v>34</v>
      </c>
      <c r="Y2748" s="150" t="s">
        <v>2013</v>
      </c>
    </row>
    <row r="2749" spans="1:26" ht="16.5" hidden="1" customHeight="1" x14ac:dyDescent="0.25">
      <c r="A2749" s="148" t="s">
        <v>76</v>
      </c>
      <c r="B2749" s="148" t="s">
        <v>198</v>
      </c>
      <c r="C2749" s="148" t="s">
        <v>45</v>
      </c>
      <c r="D2749" s="148" t="s">
        <v>478</v>
      </c>
      <c r="E2749" s="148" t="s">
        <v>30</v>
      </c>
      <c r="F2749" s="148" t="s">
        <v>199</v>
      </c>
      <c r="G2749" s="148" t="s">
        <v>241</v>
      </c>
      <c r="H2749" s="148">
        <v>2018</v>
      </c>
      <c r="I2749" s="148">
        <v>10</v>
      </c>
      <c r="J2749" s="148" t="s">
        <v>640</v>
      </c>
      <c r="K2749" s="148" t="s">
        <v>1152</v>
      </c>
      <c r="M2749" s="148" t="s">
        <v>82</v>
      </c>
      <c r="N2749" s="148">
        <v>8</v>
      </c>
      <c r="O2749" s="148" t="s">
        <v>101</v>
      </c>
      <c r="P2749" s="148" t="s">
        <v>2014</v>
      </c>
      <c r="Y2749" s="150" t="s">
        <v>2015</v>
      </c>
    </row>
    <row r="2750" spans="1:26" ht="15.75" hidden="1" customHeight="1" x14ac:dyDescent="0.25">
      <c r="A2750" s="148" t="s">
        <v>76</v>
      </c>
      <c r="B2750" s="148" t="s">
        <v>89</v>
      </c>
      <c r="C2750" s="148" t="s">
        <v>90</v>
      </c>
      <c r="D2750" s="148" t="s">
        <v>158</v>
      </c>
      <c r="E2750" s="148" t="s">
        <v>30</v>
      </c>
      <c r="F2750" s="148" t="s">
        <v>91</v>
      </c>
      <c r="G2750" s="148" t="s">
        <v>217</v>
      </c>
      <c r="H2750" s="148">
        <v>2018</v>
      </c>
      <c r="I2750" s="148">
        <v>10</v>
      </c>
      <c r="J2750" s="148" t="s">
        <v>640</v>
      </c>
      <c r="K2750" s="148" t="s">
        <v>1152</v>
      </c>
      <c r="M2750" s="148" t="s">
        <v>82</v>
      </c>
      <c r="N2750" s="148">
        <v>8</v>
      </c>
      <c r="O2750" s="148" t="s">
        <v>101</v>
      </c>
      <c r="P2750" s="148" t="s">
        <v>2014</v>
      </c>
      <c r="Y2750" s="150" t="s">
        <v>2015</v>
      </c>
    </row>
    <row r="2751" spans="1:26" ht="15.75" hidden="1" customHeight="1" x14ac:dyDescent="0.25">
      <c r="A2751" s="148" t="s">
        <v>307</v>
      </c>
      <c r="B2751" s="148" t="s">
        <v>103</v>
      </c>
      <c r="C2751" s="148" t="s">
        <v>55</v>
      </c>
      <c r="D2751" s="148" t="s">
        <v>158</v>
      </c>
      <c r="E2751" s="148" t="s">
        <v>30</v>
      </c>
      <c r="F2751" s="148" t="s">
        <v>56</v>
      </c>
      <c r="G2751" s="148" t="s">
        <v>1027</v>
      </c>
      <c r="H2751" s="148">
        <v>2018</v>
      </c>
      <c r="I2751" s="148">
        <v>10</v>
      </c>
      <c r="J2751" s="148" t="s">
        <v>399</v>
      </c>
      <c r="Q2751" s="148" t="s">
        <v>426</v>
      </c>
      <c r="R2751" s="148" t="s">
        <v>2016</v>
      </c>
      <c r="S2751" s="148" t="s">
        <v>427</v>
      </c>
      <c r="T2751" s="148" t="s">
        <v>2017</v>
      </c>
      <c r="Y2751" s="150" t="s">
        <v>2018</v>
      </c>
      <c r="Z2751" s="148" t="s">
        <v>2019</v>
      </c>
    </row>
    <row r="2752" spans="1:26" ht="15.75" hidden="1" customHeight="1" x14ac:dyDescent="0.25">
      <c r="A2752" s="148" t="s">
        <v>76</v>
      </c>
      <c r="B2752" s="148" t="s">
        <v>71</v>
      </c>
      <c r="C2752" s="148" t="s">
        <v>45</v>
      </c>
      <c r="D2752" s="148" t="s">
        <v>478</v>
      </c>
      <c r="E2752" s="148" t="s">
        <v>30</v>
      </c>
      <c r="F2752" s="148" t="s">
        <v>3183</v>
      </c>
      <c r="G2752" s="148" t="s">
        <v>621</v>
      </c>
      <c r="H2752" s="148">
        <v>2018</v>
      </c>
      <c r="I2752" s="148">
        <v>10</v>
      </c>
      <c r="J2752" s="148" t="s">
        <v>640</v>
      </c>
      <c r="K2752" s="148" t="s">
        <v>1152</v>
      </c>
      <c r="M2752" s="148" t="s">
        <v>82</v>
      </c>
      <c r="N2752" s="148">
        <v>8</v>
      </c>
      <c r="O2752" s="148" t="s">
        <v>101</v>
      </c>
      <c r="P2752" s="148" t="s">
        <v>2014</v>
      </c>
      <c r="Y2752" s="150" t="s">
        <v>2020</v>
      </c>
      <c r="Z2752" s="148" t="s">
        <v>623</v>
      </c>
    </row>
    <row r="2753" spans="1:27" ht="15.75" hidden="1" customHeight="1" x14ac:dyDescent="0.25">
      <c r="A2753" s="148" t="s">
        <v>76</v>
      </c>
      <c r="B2753" s="148" t="s">
        <v>103</v>
      </c>
      <c r="C2753" s="148" t="s">
        <v>55</v>
      </c>
      <c r="D2753" s="148" t="s">
        <v>478</v>
      </c>
      <c r="E2753" s="148" t="s">
        <v>95</v>
      </c>
      <c r="F2753" s="148" t="s">
        <v>56</v>
      </c>
      <c r="G2753" s="148" t="s">
        <v>104</v>
      </c>
      <c r="H2753" s="148">
        <v>2018</v>
      </c>
      <c r="I2753" s="148">
        <v>10</v>
      </c>
      <c r="J2753" s="148" t="s">
        <v>118</v>
      </c>
      <c r="K2753" s="148" t="s">
        <v>579</v>
      </c>
      <c r="M2753" s="148" t="s">
        <v>126</v>
      </c>
      <c r="N2753" s="148">
        <v>10</v>
      </c>
      <c r="O2753" s="148" t="s">
        <v>101</v>
      </c>
      <c r="P2753" s="148" t="s">
        <v>146</v>
      </c>
      <c r="Y2753" s="150" t="s">
        <v>2021</v>
      </c>
    </row>
    <row r="2754" spans="1:27" ht="15" hidden="1" customHeight="1" x14ac:dyDescent="0.25">
      <c r="A2754" s="148" t="s">
        <v>26</v>
      </c>
      <c r="B2754" s="148" t="s">
        <v>198</v>
      </c>
      <c r="C2754" s="148" t="s">
        <v>45</v>
      </c>
      <c r="D2754" s="148" t="s">
        <v>29</v>
      </c>
      <c r="E2754" s="148" t="s">
        <v>30</v>
      </c>
      <c r="F2754" s="148" t="s">
        <v>199</v>
      </c>
      <c r="G2754" s="148" t="s">
        <v>733</v>
      </c>
      <c r="H2754" s="148">
        <v>2018</v>
      </c>
      <c r="I2754" s="148">
        <v>10</v>
      </c>
      <c r="J2754" s="148" t="s">
        <v>33</v>
      </c>
      <c r="U2754" s="149" t="s">
        <v>112</v>
      </c>
      <c r="V2754" s="148" t="s">
        <v>3699</v>
      </c>
      <c r="W2754" s="148" t="s">
        <v>34</v>
      </c>
      <c r="Y2754" s="150" t="s">
        <v>2022</v>
      </c>
    </row>
    <row r="2755" spans="1:27" ht="13.5" hidden="1" customHeight="1" x14ac:dyDescent="0.25">
      <c r="A2755" s="148" t="s">
        <v>76</v>
      </c>
      <c r="B2755" s="148" t="s">
        <v>62</v>
      </c>
      <c r="C2755" s="148" t="s">
        <v>28</v>
      </c>
      <c r="D2755" s="148" t="s">
        <v>759</v>
      </c>
      <c r="E2755" s="148" t="s">
        <v>51</v>
      </c>
      <c r="F2755" s="148" t="s">
        <v>3183</v>
      </c>
      <c r="G2755" s="148" t="s">
        <v>409</v>
      </c>
      <c r="H2755" s="148">
        <v>2018</v>
      </c>
      <c r="I2755" s="148">
        <v>10</v>
      </c>
      <c r="J2755" s="148" t="s">
        <v>640</v>
      </c>
      <c r="K2755" s="148" t="s">
        <v>1152</v>
      </c>
      <c r="M2755" s="148" t="s">
        <v>82</v>
      </c>
      <c r="N2755" s="148">
        <v>8</v>
      </c>
      <c r="O2755" s="148" t="s">
        <v>83</v>
      </c>
      <c r="P2755" s="148" t="s">
        <v>1999</v>
      </c>
      <c r="Y2755" s="150" t="s">
        <v>2000</v>
      </c>
    </row>
    <row r="2756" spans="1:27" ht="13.5" hidden="1" customHeight="1" x14ac:dyDescent="0.25">
      <c r="A2756" s="148" t="s">
        <v>76</v>
      </c>
      <c r="B2756" s="148" t="s">
        <v>36</v>
      </c>
      <c r="C2756" s="148" t="s">
        <v>28</v>
      </c>
      <c r="D2756" s="148" t="s">
        <v>342</v>
      </c>
      <c r="E2756" s="148" t="s">
        <v>30</v>
      </c>
      <c r="F2756" s="148" t="s">
        <v>3183</v>
      </c>
      <c r="G2756" s="148" t="s">
        <v>242</v>
      </c>
      <c r="H2756" s="148">
        <v>2018</v>
      </c>
      <c r="I2756" s="148">
        <v>10</v>
      </c>
      <c r="J2756" s="148" t="s">
        <v>640</v>
      </c>
      <c r="K2756" s="148" t="s">
        <v>1152</v>
      </c>
      <c r="M2756" s="148" t="s">
        <v>82</v>
      </c>
      <c r="N2756" s="148">
        <v>8</v>
      </c>
      <c r="O2756" s="148" t="s">
        <v>83</v>
      </c>
      <c r="P2756" s="148" t="s">
        <v>1999</v>
      </c>
      <c r="Y2756" s="150" t="s">
        <v>2000</v>
      </c>
    </row>
    <row r="2757" spans="1:27" ht="15.75" hidden="1" customHeight="1" x14ac:dyDescent="0.25">
      <c r="A2757" s="148" t="s">
        <v>307</v>
      </c>
      <c r="B2757" s="148" t="s">
        <v>36</v>
      </c>
      <c r="C2757" s="148" t="s">
        <v>28</v>
      </c>
      <c r="D2757" s="148" t="s">
        <v>478</v>
      </c>
      <c r="E2757" s="148" t="s">
        <v>30</v>
      </c>
      <c r="F2757" s="148" t="s">
        <v>3183</v>
      </c>
      <c r="G2757" s="148" t="s">
        <v>67</v>
      </c>
      <c r="H2757" s="148">
        <v>2018</v>
      </c>
      <c r="I2757" s="148">
        <v>10</v>
      </c>
      <c r="J2757" s="148" t="s">
        <v>399</v>
      </c>
      <c r="Q2757" s="148" t="s">
        <v>594</v>
      </c>
      <c r="R2757" s="148" t="s">
        <v>2023</v>
      </c>
      <c r="S2757" s="148" t="s">
        <v>596</v>
      </c>
      <c r="T2757" s="148" t="s">
        <v>2024</v>
      </c>
      <c r="Y2757" s="150" t="s">
        <v>2025</v>
      </c>
      <c r="Z2757" s="148" t="s">
        <v>2026</v>
      </c>
    </row>
    <row r="2758" spans="1:27" ht="15.75" hidden="1" customHeight="1" x14ac:dyDescent="0.25">
      <c r="A2758" s="148" t="s">
        <v>76</v>
      </c>
      <c r="B2758" s="148" t="s">
        <v>36</v>
      </c>
      <c r="C2758" s="148" t="s">
        <v>28</v>
      </c>
      <c r="D2758" s="148" t="s">
        <v>478</v>
      </c>
      <c r="E2758" s="148" t="s">
        <v>30</v>
      </c>
      <c r="F2758" s="148" t="s">
        <v>3183</v>
      </c>
      <c r="G2758" s="148" t="s">
        <v>67</v>
      </c>
      <c r="H2758" s="148">
        <v>2018</v>
      </c>
      <c r="I2758" s="148">
        <v>10</v>
      </c>
      <c r="J2758" s="148" t="s">
        <v>640</v>
      </c>
      <c r="K2758" s="148" t="s">
        <v>579</v>
      </c>
      <c r="M2758" s="148" t="s">
        <v>126</v>
      </c>
      <c r="N2758" s="148">
        <v>10</v>
      </c>
      <c r="O2758" s="148" t="s">
        <v>101</v>
      </c>
      <c r="P2758" s="148" t="s">
        <v>2006</v>
      </c>
      <c r="Y2758" s="150" t="s">
        <v>2007</v>
      </c>
    </row>
    <row r="2759" spans="1:27" ht="15.75" hidden="1" customHeight="1" x14ac:dyDescent="0.25">
      <c r="A2759" s="148" t="s">
        <v>76</v>
      </c>
      <c r="B2759" s="148" t="s">
        <v>89</v>
      </c>
      <c r="C2759" s="148" t="s">
        <v>90</v>
      </c>
      <c r="D2759" s="148" t="s">
        <v>342</v>
      </c>
      <c r="E2759" s="148" t="s">
        <v>30</v>
      </c>
      <c r="F2759" s="148" t="s">
        <v>91</v>
      </c>
      <c r="G2759" s="148" t="s">
        <v>411</v>
      </c>
      <c r="H2759" s="148">
        <v>2018</v>
      </c>
      <c r="I2759" s="148">
        <v>10</v>
      </c>
      <c r="J2759" s="148" t="s">
        <v>640</v>
      </c>
      <c r="K2759" s="148" t="s">
        <v>1152</v>
      </c>
      <c r="M2759" s="148" t="s">
        <v>82</v>
      </c>
      <c r="N2759" s="148">
        <v>8</v>
      </c>
      <c r="O2759" s="148" t="s">
        <v>101</v>
      </c>
      <c r="P2759" s="148" t="s">
        <v>2014</v>
      </c>
      <c r="Y2759" s="150" t="s">
        <v>2015</v>
      </c>
    </row>
    <row r="2760" spans="1:27" ht="13.5" hidden="1" customHeight="1" x14ac:dyDescent="0.25">
      <c r="A2760" s="148" t="s">
        <v>76</v>
      </c>
      <c r="B2760" s="148" t="s">
        <v>36</v>
      </c>
      <c r="C2760" s="148" t="s">
        <v>28</v>
      </c>
      <c r="D2760" s="148" t="s">
        <v>342</v>
      </c>
      <c r="E2760" s="148" t="s">
        <v>30</v>
      </c>
      <c r="F2760" s="148" t="s">
        <v>3183</v>
      </c>
      <c r="G2760" s="148" t="s">
        <v>37</v>
      </c>
      <c r="H2760" s="148">
        <v>2018</v>
      </c>
      <c r="I2760" s="148">
        <v>10</v>
      </c>
      <c r="J2760" s="148" t="s">
        <v>640</v>
      </c>
      <c r="K2760" s="148" t="s">
        <v>1152</v>
      </c>
      <c r="M2760" s="148" t="s">
        <v>82</v>
      </c>
      <c r="N2760" s="148">
        <v>8</v>
      </c>
      <c r="O2760" s="148" t="s">
        <v>101</v>
      </c>
      <c r="P2760" s="148" t="s">
        <v>2014</v>
      </c>
      <c r="Y2760" s="150" t="s">
        <v>2020</v>
      </c>
    </row>
    <row r="2761" spans="1:27" ht="15.75" hidden="1" customHeight="1" x14ac:dyDescent="0.25">
      <c r="A2761" s="148" t="s">
        <v>307</v>
      </c>
      <c r="B2761" s="148" t="s">
        <v>62</v>
      </c>
      <c r="C2761" s="148" t="s">
        <v>28</v>
      </c>
      <c r="D2761" s="148" t="s">
        <v>46</v>
      </c>
      <c r="E2761" s="148" t="s">
        <v>30</v>
      </c>
      <c r="F2761" s="148" t="s">
        <v>3183</v>
      </c>
      <c r="G2761" s="148" t="s">
        <v>46</v>
      </c>
      <c r="H2761" s="148">
        <v>2018</v>
      </c>
      <c r="I2761" s="148">
        <v>10</v>
      </c>
      <c r="J2761" s="148" t="s">
        <v>399</v>
      </c>
      <c r="Q2761" s="148" t="s">
        <v>309</v>
      </c>
      <c r="R2761" s="148" t="s">
        <v>2027</v>
      </c>
      <c r="S2761" s="148" t="s">
        <v>660</v>
      </c>
      <c r="T2761" s="148" t="s">
        <v>2028</v>
      </c>
      <c r="Y2761" s="150" t="s">
        <v>2029</v>
      </c>
      <c r="Z2761" s="148" t="s">
        <v>2030</v>
      </c>
    </row>
    <row r="2762" spans="1:27" ht="15.75" hidden="1" customHeight="1" x14ac:dyDescent="0.25">
      <c r="A2762" s="148" t="s">
        <v>76</v>
      </c>
      <c r="B2762" s="148" t="s">
        <v>62</v>
      </c>
      <c r="C2762" s="148" t="s">
        <v>28</v>
      </c>
      <c r="D2762" s="148" t="s">
        <v>46</v>
      </c>
      <c r="E2762" s="148" t="s">
        <v>30</v>
      </c>
      <c r="F2762" s="148" t="s">
        <v>3183</v>
      </c>
      <c r="G2762" s="148" t="s">
        <v>46</v>
      </c>
      <c r="H2762" s="148">
        <v>2018</v>
      </c>
      <c r="I2762" s="148">
        <v>10</v>
      </c>
      <c r="J2762" s="148" t="s">
        <v>100</v>
      </c>
      <c r="K2762" s="148" t="s">
        <v>1152</v>
      </c>
      <c r="M2762" s="148" t="s">
        <v>82</v>
      </c>
      <c r="N2762" s="148">
        <v>8</v>
      </c>
      <c r="O2762" s="148" t="s">
        <v>101</v>
      </c>
      <c r="P2762" s="148" t="s">
        <v>2031</v>
      </c>
      <c r="Y2762" s="150" t="s">
        <v>2015</v>
      </c>
    </row>
    <row r="2763" spans="1:27" ht="15.75" hidden="1" customHeight="1" x14ac:dyDescent="0.25">
      <c r="A2763" s="129" t="s">
        <v>76</v>
      </c>
      <c r="B2763" s="128" t="s">
        <v>103</v>
      </c>
      <c r="C2763" s="128" t="s">
        <v>55</v>
      </c>
      <c r="D2763" s="128" t="s">
        <v>478</v>
      </c>
      <c r="E2763" s="128" t="s">
        <v>95</v>
      </c>
      <c r="F2763" s="128" t="s">
        <v>56</v>
      </c>
      <c r="G2763" s="128" t="s">
        <v>95</v>
      </c>
      <c r="H2763" s="128">
        <v>2018</v>
      </c>
      <c r="I2763" s="128">
        <v>10</v>
      </c>
      <c r="J2763" s="155" t="s">
        <v>640</v>
      </c>
      <c r="K2763" s="128" t="s">
        <v>2497</v>
      </c>
      <c r="L2763" s="128"/>
      <c r="M2763" s="128" t="s">
        <v>3340</v>
      </c>
      <c r="N2763" s="128">
        <v>6</v>
      </c>
      <c r="O2763" s="128" t="s">
        <v>101</v>
      </c>
      <c r="P2763" s="128" t="s">
        <v>3337</v>
      </c>
      <c r="Q2763" s="128"/>
      <c r="R2763" s="128"/>
      <c r="S2763" s="128"/>
      <c r="T2763" s="128"/>
      <c r="U2763" s="128"/>
      <c r="V2763" s="128"/>
      <c r="W2763" s="128"/>
      <c r="X2763" s="128"/>
      <c r="Y2763" s="159" t="s">
        <v>3341</v>
      </c>
      <c r="Z2763" s="128" t="s">
        <v>3342</v>
      </c>
      <c r="AA2763" s="128"/>
    </row>
    <row r="2764" spans="1:27" ht="15.75" hidden="1" customHeight="1" x14ac:dyDescent="0.25">
      <c r="A2764" s="148" t="s">
        <v>76</v>
      </c>
      <c r="B2764" s="148" t="s">
        <v>27</v>
      </c>
      <c r="C2764" s="148" t="s">
        <v>28</v>
      </c>
      <c r="D2764" s="148" t="s">
        <v>1452</v>
      </c>
      <c r="E2764" s="148" t="s">
        <v>30</v>
      </c>
      <c r="F2764" s="148" t="s">
        <v>3183</v>
      </c>
      <c r="G2764" s="148" t="s">
        <v>163</v>
      </c>
      <c r="H2764" s="148">
        <v>2018</v>
      </c>
      <c r="I2764" s="148">
        <v>10</v>
      </c>
      <c r="J2764" s="148" t="s">
        <v>640</v>
      </c>
      <c r="K2764" s="148" t="s">
        <v>579</v>
      </c>
      <c r="M2764" s="148" t="s">
        <v>126</v>
      </c>
      <c r="N2764" s="148">
        <v>10</v>
      </c>
      <c r="O2764" s="148" t="s">
        <v>101</v>
      </c>
      <c r="P2764" s="148" t="s">
        <v>2032</v>
      </c>
      <c r="Y2764" s="150" t="s">
        <v>2007</v>
      </c>
      <c r="Z2764" s="148" t="s">
        <v>2033</v>
      </c>
    </row>
    <row r="2765" spans="1:27" ht="15.75" hidden="1" customHeight="1" x14ac:dyDescent="0.25">
      <c r="A2765" s="148" t="s">
        <v>76</v>
      </c>
      <c r="B2765" s="148" t="s">
        <v>71</v>
      </c>
      <c r="C2765" s="148" t="s">
        <v>45</v>
      </c>
      <c r="D2765" s="148" t="s">
        <v>478</v>
      </c>
      <c r="E2765" s="148" t="s">
        <v>72</v>
      </c>
      <c r="F2765" s="148" t="s">
        <v>3183</v>
      </c>
      <c r="G2765" s="148" t="s">
        <v>75</v>
      </c>
      <c r="H2765" s="148">
        <v>2018</v>
      </c>
      <c r="I2765" s="148">
        <v>10</v>
      </c>
      <c r="J2765" s="148" t="s">
        <v>640</v>
      </c>
      <c r="K2765" s="148" t="s">
        <v>1152</v>
      </c>
      <c r="M2765" s="148" t="s">
        <v>82</v>
      </c>
      <c r="N2765" s="148">
        <v>8</v>
      </c>
      <c r="O2765" s="148" t="s">
        <v>83</v>
      </c>
      <c r="P2765" s="148" t="s">
        <v>1999</v>
      </c>
      <c r="Y2765" s="150" t="s">
        <v>2000</v>
      </c>
    </row>
    <row r="2766" spans="1:27" ht="13.5" hidden="1" customHeight="1" x14ac:dyDescent="0.25">
      <c r="A2766" s="148" t="s">
        <v>76</v>
      </c>
      <c r="B2766" s="148" t="s">
        <v>89</v>
      </c>
      <c r="C2766" s="148" t="s">
        <v>90</v>
      </c>
      <c r="D2766" s="148" t="s">
        <v>99</v>
      </c>
      <c r="E2766" s="148" t="s">
        <v>30</v>
      </c>
      <c r="F2766" s="148" t="s">
        <v>91</v>
      </c>
      <c r="G2766" s="148" t="s">
        <v>178</v>
      </c>
      <c r="H2766" s="148">
        <v>2018</v>
      </c>
      <c r="I2766" s="148">
        <v>10</v>
      </c>
      <c r="J2766" s="148" t="s">
        <v>640</v>
      </c>
      <c r="K2766" s="148" t="s">
        <v>1152</v>
      </c>
      <c r="M2766" s="148" t="s">
        <v>82</v>
      </c>
      <c r="N2766" s="148">
        <v>8</v>
      </c>
      <c r="O2766" s="148" t="s">
        <v>101</v>
      </c>
      <c r="P2766" s="148" t="s">
        <v>2034</v>
      </c>
      <c r="Y2766" s="150" t="s">
        <v>2035</v>
      </c>
    </row>
    <row r="2767" spans="1:27" ht="13.5" hidden="1" customHeight="1" x14ac:dyDescent="0.25">
      <c r="A2767" s="148" t="s">
        <v>76</v>
      </c>
      <c r="B2767" s="148" t="s">
        <v>62</v>
      </c>
      <c r="C2767" s="148" t="s">
        <v>28</v>
      </c>
      <c r="D2767" s="148" t="s">
        <v>51</v>
      </c>
      <c r="E2767" s="148" t="s">
        <v>30</v>
      </c>
      <c r="F2767" s="148" t="s">
        <v>3183</v>
      </c>
      <c r="G2767" s="148" t="s">
        <v>63</v>
      </c>
      <c r="H2767" s="148">
        <v>2018</v>
      </c>
      <c r="I2767" s="148">
        <v>10</v>
      </c>
      <c r="J2767" s="148" t="s">
        <v>640</v>
      </c>
      <c r="K2767" s="148" t="s">
        <v>1152</v>
      </c>
      <c r="M2767" s="148" t="s">
        <v>82</v>
      </c>
      <c r="N2767" s="148">
        <v>8</v>
      </c>
      <c r="O2767" s="148" t="s">
        <v>101</v>
      </c>
      <c r="P2767" s="148" t="s">
        <v>2036</v>
      </c>
      <c r="Y2767" s="150" t="s">
        <v>2037</v>
      </c>
    </row>
    <row r="2768" spans="1:27" ht="13.5" hidden="1" customHeight="1" x14ac:dyDescent="0.25">
      <c r="A2768" s="148" t="s">
        <v>307</v>
      </c>
      <c r="B2768" s="148" t="s">
        <v>27</v>
      </c>
      <c r="C2768" s="148" t="s">
        <v>28</v>
      </c>
      <c r="D2768" s="148" t="s">
        <v>1302</v>
      </c>
      <c r="E2768" s="148" t="s">
        <v>40</v>
      </c>
      <c r="F2768" s="148" t="s">
        <v>41</v>
      </c>
      <c r="G2768" s="148" t="s">
        <v>42</v>
      </c>
      <c r="H2768" s="148">
        <v>2018</v>
      </c>
      <c r="I2768" s="148">
        <v>10</v>
      </c>
      <c r="J2768" s="148" t="s">
        <v>399</v>
      </c>
      <c r="Q2768" s="148" t="s">
        <v>1229</v>
      </c>
      <c r="R2768" s="148" t="s">
        <v>2038</v>
      </c>
      <c r="S2768" s="148" t="s">
        <v>311</v>
      </c>
      <c r="T2768" s="148" t="s">
        <v>2039</v>
      </c>
      <c r="Y2768" s="150" t="s">
        <v>2040</v>
      </c>
      <c r="Z2768" s="148" t="s">
        <v>1786</v>
      </c>
    </row>
    <row r="2769" spans="1:27" ht="15.75" hidden="1" customHeight="1" x14ac:dyDescent="0.25">
      <c r="A2769" s="148" t="s">
        <v>76</v>
      </c>
      <c r="B2769" s="148" t="s">
        <v>54</v>
      </c>
      <c r="C2769" s="148" t="s">
        <v>55</v>
      </c>
      <c r="D2769" s="148" t="s">
        <v>1082</v>
      </c>
      <c r="E2769" s="148" t="s">
        <v>30</v>
      </c>
      <c r="F2769" s="148" t="s">
        <v>56</v>
      </c>
      <c r="G2769" s="148" t="s">
        <v>54</v>
      </c>
      <c r="H2769" s="148">
        <v>2018</v>
      </c>
      <c r="I2769" s="148">
        <v>10</v>
      </c>
      <c r="J2769" s="148" t="s">
        <v>118</v>
      </c>
      <c r="K2769" s="148" t="s">
        <v>710</v>
      </c>
      <c r="M2769" s="148" t="s">
        <v>126</v>
      </c>
      <c r="N2769" s="148">
        <v>10</v>
      </c>
      <c r="O2769" s="148" t="s">
        <v>101</v>
      </c>
      <c r="P2769" s="148" t="s">
        <v>146</v>
      </c>
      <c r="Y2769" s="150" t="s">
        <v>2041</v>
      </c>
    </row>
    <row r="2770" spans="1:27" ht="13.5" hidden="1" customHeight="1" x14ac:dyDescent="0.25">
      <c r="A2770" s="148" t="s">
        <v>76</v>
      </c>
      <c r="B2770" s="148" t="s">
        <v>103</v>
      </c>
      <c r="C2770" s="148" t="s">
        <v>55</v>
      </c>
      <c r="D2770" s="148" t="s">
        <v>478</v>
      </c>
      <c r="E2770" s="148" t="s">
        <v>30</v>
      </c>
      <c r="F2770" s="148" t="s">
        <v>56</v>
      </c>
      <c r="G2770" s="148" t="s">
        <v>519</v>
      </c>
      <c r="H2770" s="148">
        <v>2018</v>
      </c>
      <c r="I2770" s="148">
        <v>10</v>
      </c>
      <c r="J2770" s="148" t="s">
        <v>640</v>
      </c>
      <c r="K2770" s="148" t="s">
        <v>1152</v>
      </c>
      <c r="M2770" s="148" t="s">
        <v>82</v>
      </c>
      <c r="N2770" s="148">
        <v>8</v>
      </c>
      <c r="O2770" s="148" t="s">
        <v>101</v>
      </c>
      <c r="P2770" s="148" t="s">
        <v>2014</v>
      </c>
      <c r="Y2770" s="150" t="s">
        <v>2015</v>
      </c>
    </row>
    <row r="2771" spans="1:27" ht="15.75" customHeight="1" x14ac:dyDescent="0.25">
      <c r="A2771" s="148" t="s">
        <v>76</v>
      </c>
      <c r="B2771" s="148" t="s">
        <v>36</v>
      </c>
      <c r="C2771" s="148" t="s">
        <v>28</v>
      </c>
      <c r="D2771" s="148" t="s">
        <v>1304</v>
      </c>
      <c r="E2771" s="148" t="s">
        <v>30</v>
      </c>
      <c r="F2771" s="148" t="s">
        <v>3183</v>
      </c>
      <c r="G2771" s="148" t="s">
        <v>194</v>
      </c>
      <c r="H2771" s="148">
        <v>2018</v>
      </c>
      <c r="I2771" s="148">
        <v>10</v>
      </c>
      <c r="J2771" s="148" t="s">
        <v>640</v>
      </c>
      <c r="K2771" s="148" t="s">
        <v>1152</v>
      </c>
      <c r="M2771" s="148" t="s">
        <v>82</v>
      </c>
      <c r="N2771" s="148">
        <v>8</v>
      </c>
      <c r="O2771" s="148" t="s">
        <v>101</v>
      </c>
      <c r="P2771" s="148" t="s">
        <v>2042</v>
      </c>
      <c r="Y2771" s="150" t="s">
        <v>2043</v>
      </c>
    </row>
    <row r="2772" spans="1:27" ht="13.5" customHeight="1" x14ac:dyDescent="0.25">
      <c r="A2772" s="148" t="s">
        <v>76</v>
      </c>
      <c r="B2772" s="148" t="s">
        <v>36</v>
      </c>
      <c r="C2772" s="148" t="s">
        <v>28</v>
      </c>
      <c r="D2772" s="148" t="s">
        <v>1304</v>
      </c>
      <c r="E2772" s="148" t="s">
        <v>30</v>
      </c>
      <c r="F2772" s="148" t="s">
        <v>3183</v>
      </c>
      <c r="G2772" s="148" t="s">
        <v>194</v>
      </c>
      <c r="H2772" s="148">
        <v>2018</v>
      </c>
      <c r="I2772" s="148">
        <v>10</v>
      </c>
      <c r="J2772" s="148" t="s">
        <v>640</v>
      </c>
      <c r="K2772" s="148" t="s">
        <v>1152</v>
      </c>
      <c r="M2772" s="148" t="s">
        <v>82</v>
      </c>
      <c r="N2772" s="148">
        <v>8</v>
      </c>
      <c r="O2772" s="148" t="s">
        <v>83</v>
      </c>
      <c r="P2772" s="148" t="s">
        <v>2044</v>
      </c>
      <c r="Y2772" s="150" t="s">
        <v>2000</v>
      </c>
    </row>
    <row r="2773" spans="1:27" ht="13.5" customHeight="1" x14ac:dyDescent="0.25">
      <c r="A2773" s="148" t="s">
        <v>76</v>
      </c>
      <c r="B2773" s="148" t="s">
        <v>36</v>
      </c>
      <c r="C2773" s="148" t="s">
        <v>28</v>
      </c>
      <c r="D2773" s="148" t="s">
        <v>1304</v>
      </c>
      <c r="E2773" s="148" t="s">
        <v>30</v>
      </c>
      <c r="F2773" s="148" t="s">
        <v>3183</v>
      </c>
      <c r="G2773" s="148" t="s">
        <v>194</v>
      </c>
      <c r="H2773" s="148">
        <v>2018</v>
      </c>
      <c r="I2773" s="148">
        <v>10</v>
      </c>
      <c r="J2773" s="148" t="s">
        <v>640</v>
      </c>
      <c r="K2773" s="148" t="s">
        <v>579</v>
      </c>
      <c r="M2773" s="148" t="s">
        <v>126</v>
      </c>
      <c r="N2773" s="148">
        <v>10</v>
      </c>
      <c r="O2773" s="148" t="s">
        <v>101</v>
      </c>
      <c r="P2773" s="148" t="s">
        <v>2006</v>
      </c>
      <c r="Y2773" s="150" t="s">
        <v>2007</v>
      </c>
    </row>
    <row r="2774" spans="1:27" ht="13.5" hidden="1" customHeight="1" x14ac:dyDescent="0.25">
      <c r="A2774" s="148" t="s">
        <v>76</v>
      </c>
      <c r="B2774" s="148" t="s">
        <v>62</v>
      </c>
      <c r="C2774" s="148" t="s">
        <v>28</v>
      </c>
      <c r="D2774" s="148" t="s">
        <v>86</v>
      </c>
      <c r="E2774" s="148" t="s">
        <v>51</v>
      </c>
      <c r="F2774" s="148" t="s">
        <v>3183</v>
      </c>
      <c r="G2774" s="148" t="s">
        <v>130</v>
      </c>
      <c r="H2774" s="148">
        <v>2018</v>
      </c>
      <c r="I2774" s="148">
        <v>10</v>
      </c>
      <c r="J2774" s="148" t="s">
        <v>640</v>
      </c>
      <c r="K2774" s="148" t="s">
        <v>1152</v>
      </c>
      <c r="M2774" s="148" t="s">
        <v>82</v>
      </c>
      <c r="N2774" s="148">
        <v>8</v>
      </c>
      <c r="O2774" s="148" t="s">
        <v>83</v>
      </c>
      <c r="P2774" s="148" t="s">
        <v>1999</v>
      </c>
      <c r="Y2774" s="150" t="s">
        <v>2000</v>
      </c>
    </row>
    <row r="2775" spans="1:27" ht="15.75" hidden="1" customHeight="1" x14ac:dyDescent="0.25">
      <c r="A2775" s="148" t="s">
        <v>76</v>
      </c>
      <c r="B2775" s="148" t="s">
        <v>36</v>
      </c>
      <c r="C2775" s="148" t="s">
        <v>28</v>
      </c>
      <c r="D2775" s="148" t="s">
        <v>342</v>
      </c>
      <c r="E2775" s="148" t="s">
        <v>51</v>
      </c>
      <c r="F2775" s="148" t="s">
        <v>3183</v>
      </c>
      <c r="G2775" s="148" t="s">
        <v>52</v>
      </c>
      <c r="H2775" s="148">
        <v>2018</v>
      </c>
      <c r="I2775" s="148">
        <v>10</v>
      </c>
      <c r="J2775" s="148" t="s">
        <v>640</v>
      </c>
      <c r="K2775" s="148" t="s">
        <v>1152</v>
      </c>
      <c r="M2775" s="148" t="s">
        <v>82</v>
      </c>
      <c r="N2775" s="148">
        <v>8</v>
      </c>
      <c r="O2775" s="148" t="s">
        <v>83</v>
      </c>
      <c r="P2775" s="148" t="s">
        <v>1999</v>
      </c>
      <c r="Y2775" s="150" t="s">
        <v>2000</v>
      </c>
    </row>
    <row r="2776" spans="1:27" ht="15.75" hidden="1" customHeight="1" x14ac:dyDescent="0.25">
      <c r="A2776" s="148" t="s">
        <v>76</v>
      </c>
      <c r="B2776" s="148" t="s">
        <v>71</v>
      </c>
      <c r="C2776" s="148" t="s">
        <v>45</v>
      </c>
      <c r="D2776" s="148" t="s">
        <v>478</v>
      </c>
      <c r="E2776" s="148" t="s">
        <v>30</v>
      </c>
      <c r="F2776" s="148" t="s">
        <v>3183</v>
      </c>
      <c r="G2776" s="148" t="s">
        <v>769</v>
      </c>
      <c r="H2776" s="148">
        <v>2018</v>
      </c>
      <c r="I2776" s="148">
        <v>10</v>
      </c>
      <c r="J2776" s="148" t="s">
        <v>640</v>
      </c>
      <c r="K2776" s="148" t="s">
        <v>1152</v>
      </c>
      <c r="M2776" s="148" t="s">
        <v>82</v>
      </c>
      <c r="N2776" s="148">
        <v>8</v>
      </c>
      <c r="O2776" s="148" t="s">
        <v>101</v>
      </c>
      <c r="P2776" s="148" t="s">
        <v>2045</v>
      </c>
      <c r="Y2776" s="150" t="s">
        <v>2020</v>
      </c>
    </row>
    <row r="2777" spans="1:27" ht="15.75" hidden="1" customHeight="1" x14ac:dyDescent="0.25">
      <c r="A2777" s="148" t="s">
        <v>76</v>
      </c>
      <c r="B2777" s="148" t="s">
        <v>44</v>
      </c>
      <c r="C2777" s="148" t="s">
        <v>45</v>
      </c>
      <c r="D2777" s="148" t="s">
        <v>29</v>
      </c>
      <c r="E2777" s="148" t="s">
        <v>46</v>
      </c>
      <c r="F2777" s="148" t="s">
        <v>47</v>
      </c>
      <c r="G2777" s="148" t="s">
        <v>48</v>
      </c>
      <c r="H2777" s="148">
        <v>2018</v>
      </c>
      <c r="I2777" s="148">
        <v>10</v>
      </c>
      <c r="J2777" s="148" t="s">
        <v>640</v>
      </c>
      <c r="K2777" s="148" t="s">
        <v>1152</v>
      </c>
      <c r="M2777" s="148" t="s">
        <v>82</v>
      </c>
      <c r="N2777" s="148">
        <v>8</v>
      </c>
      <c r="O2777" s="148" t="s">
        <v>83</v>
      </c>
      <c r="P2777" s="148" t="s">
        <v>2046</v>
      </c>
      <c r="Y2777" s="150" t="s">
        <v>2047</v>
      </c>
    </row>
    <row r="2778" spans="1:27" ht="15.75" hidden="1" customHeight="1" x14ac:dyDescent="0.25">
      <c r="A2778" s="148" t="s">
        <v>76</v>
      </c>
      <c r="B2778" s="148" t="s">
        <v>71</v>
      </c>
      <c r="C2778" s="148" t="s">
        <v>45</v>
      </c>
      <c r="D2778" s="148" t="s">
        <v>29</v>
      </c>
      <c r="E2778" s="148" t="s">
        <v>30</v>
      </c>
      <c r="F2778" s="148" t="s">
        <v>3183</v>
      </c>
      <c r="G2778" s="148" t="s">
        <v>588</v>
      </c>
      <c r="H2778" s="148">
        <v>2018</v>
      </c>
      <c r="I2778" s="148">
        <v>10</v>
      </c>
      <c r="J2778" s="148" t="s">
        <v>640</v>
      </c>
      <c r="K2778" s="148" t="s">
        <v>1152</v>
      </c>
      <c r="M2778" s="148" t="s">
        <v>82</v>
      </c>
      <c r="N2778" s="148">
        <v>8</v>
      </c>
      <c r="O2778" s="148" t="s">
        <v>101</v>
      </c>
      <c r="P2778" s="148" t="s">
        <v>2048</v>
      </c>
      <c r="Y2778" s="150" t="s">
        <v>2020</v>
      </c>
    </row>
    <row r="2779" spans="1:27" ht="15.75" hidden="1" customHeight="1" x14ac:dyDescent="0.25">
      <c r="A2779" s="148" t="s">
        <v>76</v>
      </c>
      <c r="B2779" s="148" t="s">
        <v>198</v>
      </c>
      <c r="C2779" s="148" t="s">
        <v>45</v>
      </c>
      <c r="D2779" s="148" t="s">
        <v>478</v>
      </c>
      <c r="E2779" s="148" t="s">
        <v>30</v>
      </c>
      <c r="F2779" s="148" t="s">
        <v>199</v>
      </c>
      <c r="G2779" s="148" t="s">
        <v>258</v>
      </c>
      <c r="H2779" s="148">
        <v>2018</v>
      </c>
      <c r="I2779" s="148">
        <v>10</v>
      </c>
      <c r="J2779" s="148" t="s">
        <v>640</v>
      </c>
      <c r="K2779" s="148" t="s">
        <v>1152</v>
      </c>
      <c r="M2779" s="148" t="s">
        <v>82</v>
      </c>
      <c r="N2779" s="148">
        <v>8</v>
      </c>
      <c r="O2779" s="148" t="s">
        <v>101</v>
      </c>
      <c r="P2779" s="148" t="s">
        <v>2014</v>
      </c>
      <c r="Y2779" s="150" t="s">
        <v>2015</v>
      </c>
    </row>
    <row r="2780" spans="1:27" ht="15.75" hidden="1" customHeight="1" x14ac:dyDescent="0.25">
      <c r="A2780" s="148" t="s">
        <v>76</v>
      </c>
      <c r="B2780" s="148" t="s">
        <v>36</v>
      </c>
      <c r="C2780" s="148" t="s">
        <v>28</v>
      </c>
      <c r="D2780" s="148" t="s">
        <v>342</v>
      </c>
      <c r="E2780" s="148" t="s">
        <v>30</v>
      </c>
      <c r="F2780" s="148" t="s">
        <v>3183</v>
      </c>
      <c r="G2780" s="148" t="s">
        <v>114</v>
      </c>
      <c r="H2780" s="148">
        <v>2018</v>
      </c>
      <c r="I2780" s="148">
        <v>10</v>
      </c>
      <c r="J2780" s="148" t="s">
        <v>640</v>
      </c>
      <c r="K2780" s="148" t="s">
        <v>579</v>
      </c>
      <c r="M2780" s="148" t="s">
        <v>126</v>
      </c>
      <c r="N2780" s="148">
        <v>10</v>
      </c>
      <c r="O2780" s="148" t="s">
        <v>101</v>
      </c>
      <c r="P2780" s="148" t="s">
        <v>2006</v>
      </c>
      <c r="Y2780" s="150" t="s">
        <v>2007</v>
      </c>
    </row>
    <row r="2781" spans="1:27" ht="15.75" hidden="1" customHeight="1" x14ac:dyDescent="0.25">
      <c r="A2781" s="148" t="s">
        <v>76</v>
      </c>
      <c r="B2781" s="148" t="s">
        <v>198</v>
      </c>
      <c r="C2781" s="148" t="s">
        <v>45</v>
      </c>
      <c r="D2781" s="148" t="s">
        <v>29</v>
      </c>
      <c r="E2781" s="148" t="s">
        <v>30</v>
      </c>
      <c r="F2781" s="148" t="s">
        <v>199</v>
      </c>
      <c r="G2781" s="148" t="s">
        <v>232</v>
      </c>
      <c r="H2781" s="148">
        <v>2018</v>
      </c>
      <c r="I2781" s="148">
        <v>11</v>
      </c>
      <c r="J2781" s="148" t="s">
        <v>118</v>
      </c>
      <c r="K2781" s="148" t="s">
        <v>579</v>
      </c>
      <c r="M2781" s="148" t="s">
        <v>126</v>
      </c>
      <c r="N2781" s="148">
        <v>10</v>
      </c>
      <c r="O2781" s="148" t="s">
        <v>101</v>
      </c>
      <c r="P2781" s="148" t="s">
        <v>146</v>
      </c>
      <c r="Y2781" s="150" t="s">
        <v>2049</v>
      </c>
      <c r="Z2781" s="148" t="s">
        <v>2050</v>
      </c>
    </row>
    <row r="2782" spans="1:27" ht="15.75" hidden="1" customHeight="1" x14ac:dyDescent="0.25">
      <c r="A2782" s="148" t="s">
        <v>26</v>
      </c>
      <c r="B2782" s="148" t="s">
        <v>198</v>
      </c>
      <c r="C2782" s="148" t="s">
        <v>45</v>
      </c>
      <c r="D2782" s="148" t="s">
        <v>29</v>
      </c>
      <c r="E2782" s="148" t="s">
        <v>30</v>
      </c>
      <c r="F2782" s="148" t="s">
        <v>199</v>
      </c>
      <c r="G2782" s="148" t="s">
        <v>2051</v>
      </c>
      <c r="H2782" s="148">
        <v>2018</v>
      </c>
      <c r="I2782" s="148">
        <v>11</v>
      </c>
      <c r="J2782" s="148" t="s">
        <v>33</v>
      </c>
      <c r="U2782" s="149" t="s">
        <v>112</v>
      </c>
      <c r="V2782" s="148" t="s">
        <v>3700</v>
      </c>
      <c r="W2782" s="148" t="s">
        <v>34</v>
      </c>
      <c r="Y2782" s="150" t="s">
        <v>2052</v>
      </c>
    </row>
    <row r="2783" spans="1:27" ht="15.75" hidden="1" customHeight="1" x14ac:dyDescent="0.25">
      <c r="A2783" s="152" t="s">
        <v>26</v>
      </c>
      <c r="B2783" s="152" t="s">
        <v>198</v>
      </c>
      <c r="C2783" s="152" t="s">
        <v>45</v>
      </c>
      <c r="D2783" s="152" t="s">
        <v>478</v>
      </c>
      <c r="E2783" s="152" t="s">
        <v>30</v>
      </c>
      <c r="F2783" s="152" t="s">
        <v>199</v>
      </c>
      <c r="G2783" s="152" t="s">
        <v>241</v>
      </c>
      <c r="H2783" s="152">
        <v>2018</v>
      </c>
      <c r="I2783" s="152">
        <v>11</v>
      </c>
      <c r="J2783" s="152" t="s">
        <v>33</v>
      </c>
      <c r="K2783" s="152"/>
      <c r="L2783" s="152"/>
      <c r="M2783" s="152"/>
      <c r="N2783" s="152"/>
      <c r="O2783" s="152"/>
      <c r="P2783" s="152"/>
      <c r="Q2783" s="152"/>
      <c r="R2783" s="152"/>
      <c r="S2783" s="152"/>
      <c r="T2783" s="152"/>
      <c r="U2783" s="158" t="s">
        <v>112</v>
      </c>
      <c r="V2783" s="152" t="s">
        <v>3700</v>
      </c>
      <c r="W2783" s="152" t="s">
        <v>34</v>
      </c>
      <c r="X2783" s="152"/>
      <c r="Y2783" s="154" t="s">
        <v>2053</v>
      </c>
      <c r="Z2783" s="152"/>
      <c r="AA2783" s="152"/>
    </row>
    <row r="2784" spans="1:27" ht="15.75" hidden="1" customHeight="1" x14ac:dyDescent="0.25">
      <c r="A2784" s="148" t="s">
        <v>76</v>
      </c>
      <c r="B2784" s="148" t="s">
        <v>116</v>
      </c>
      <c r="C2784" s="148" t="s">
        <v>90</v>
      </c>
      <c r="D2784" s="148" t="s">
        <v>478</v>
      </c>
      <c r="E2784" s="148" t="s">
        <v>40</v>
      </c>
      <c r="F2784" s="148" t="s">
        <v>41</v>
      </c>
      <c r="G2784" s="148" t="s">
        <v>117</v>
      </c>
      <c r="H2784" s="148">
        <v>2018</v>
      </c>
      <c r="I2784" s="148">
        <v>11</v>
      </c>
      <c r="J2784" s="148" t="s">
        <v>118</v>
      </c>
      <c r="K2784" s="148" t="s">
        <v>1152</v>
      </c>
      <c r="M2784" s="148" t="s">
        <v>82</v>
      </c>
      <c r="N2784" s="148">
        <v>8</v>
      </c>
      <c r="O2784" s="148" t="s">
        <v>101</v>
      </c>
      <c r="P2784" s="148" t="s">
        <v>2054</v>
      </c>
      <c r="Y2784" s="150" t="s">
        <v>2055</v>
      </c>
    </row>
    <row r="2785" spans="1:26" ht="13.5" hidden="1" customHeight="1" x14ac:dyDescent="0.25">
      <c r="A2785" s="148" t="s">
        <v>76</v>
      </c>
      <c r="B2785" s="148" t="s">
        <v>27</v>
      </c>
      <c r="C2785" s="148" t="s">
        <v>28</v>
      </c>
      <c r="D2785" s="148" t="s">
        <v>566</v>
      </c>
      <c r="E2785" s="148" t="s">
        <v>30</v>
      </c>
      <c r="F2785" s="148" t="s">
        <v>3183</v>
      </c>
      <c r="G2785" s="148" t="s">
        <v>53</v>
      </c>
      <c r="H2785" s="148">
        <v>2018</v>
      </c>
      <c r="I2785" s="148">
        <v>11</v>
      </c>
      <c r="J2785" s="148" t="s">
        <v>118</v>
      </c>
      <c r="K2785" s="148" t="s">
        <v>1152</v>
      </c>
      <c r="M2785" s="148" t="s">
        <v>82</v>
      </c>
      <c r="N2785" s="148">
        <v>8</v>
      </c>
      <c r="O2785" s="148" t="s">
        <v>101</v>
      </c>
      <c r="P2785" s="148" t="s">
        <v>2056</v>
      </c>
      <c r="Y2785" s="150" t="s">
        <v>2057</v>
      </c>
    </row>
    <row r="2786" spans="1:26" ht="15.75" hidden="1" customHeight="1" x14ac:dyDescent="0.25">
      <c r="A2786" s="148" t="s">
        <v>76</v>
      </c>
      <c r="B2786" s="148" t="s">
        <v>62</v>
      </c>
      <c r="C2786" s="148" t="s">
        <v>28</v>
      </c>
      <c r="D2786" s="148" t="s">
        <v>478</v>
      </c>
      <c r="E2786" s="148" t="s">
        <v>30</v>
      </c>
      <c r="F2786" s="148" t="s">
        <v>3183</v>
      </c>
      <c r="G2786" s="148" t="s">
        <v>244</v>
      </c>
      <c r="H2786" s="148">
        <v>2018</v>
      </c>
      <c r="I2786" s="148">
        <v>11</v>
      </c>
      <c r="J2786" s="148" t="s">
        <v>118</v>
      </c>
      <c r="K2786" s="148" t="s">
        <v>1152</v>
      </c>
      <c r="M2786" s="148" t="s">
        <v>82</v>
      </c>
      <c r="N2786" s="148">
        <v>8</v>
      </c>
      <c r="O2786" s="148" t="s">
        <v>101</v>
      </c>
      <c r="P2786" s="148" t="s">
        <v>2058</v>
      </c>
      <c r="Y2786" s="150" t="s">
        <v>2059</v>
      </c>
    </row>
    <row r="2787" spans="1:26" ht="15.75" hidden="1" customHeight="1" x14ac:dyDescent="0.25">
      <c r="A2787" s="148" t="s">
        <v>76</v>
      </c>
      <c r="B2787" s="148" t="s">
        <v>36</v>
      </c>
      <c r="C2787" s="148" t="s">
        <v>28</v>
      </c>
      <c r="D2787" s="148" t="s">
        <v>342</v>
      </c>
      <c r="E2787" s="148" t="s">
        <v>30</v>
      </c>
      <c r="F2787" s="148" t="s">
        <v>3183</v>
      </c>
      <c r="G2787" s="148" t="s">
        <v>37</v>
      </c>
      <c r="H2787" s="148">
        <v>2018</v>
      </c>
      <c r="I2787" s="148">
        <v>11</v>
      </c>
      <c r="J2787" s="148" t="s">
        <v>118</v>
      </c>
      <c r="K2787" s="148" t="s">
        <v>1152</v>
      </c>
      <c r="M2787" s="148" t="s">
        <v>82</v>
      </c>
      <c r="N2787" s="148">
        <v>8</v>
      </c>
      <c r="O2787" s="148" t="s">
        <v>101</v>
      </c>
      <c r="P2787" s="148" t="s">
        <v>2060</v>
      </c>
      <c r="Y2787" s="150" t="s">
        <v>2061</v>
      </c>
    </row>
    <row r="2788" spans="1:26" ht="15.75" hidden="1" customHeight="1" x14ac:dyDescent="0.25">
      <c r="A2788" s="148" t="s">
        <v>76</v>
      </c>
      <c r="B2788" s="148" t="s">
        <v>36</v>
      </c>
      <c r="C2788" s="148" t="s">
        <v>28</v>
      </c>
      <c r="D2788" s="148" t="s">
        <v>342</v>
      </c>
      <c r="E2788" s="148" t="s">
        <v>51</v>
      </c>
      <c r="F2788" s="148" t="s">
        <v>3183</v>
      </c>
      <c r="G2788" s="148" t="s">
        <v>52</v>
      </c>
      <c r="H2788" s="148">
        <v>2018</v>
      </c>
      <c r="I2788" s="148">
        <v>11</v>
      </c>
      <c r="J2788" s="148" t="s">
        <v>118</v>
      </c>
      <c r="K2788" s="148" t="s">
        <v>1152</v>
      </c>
      <c r="M2788" s="148" t="s">
        <v>82</v>
      </c>
      <c r="N2788" s="148">
        <v>8</v>
      </c>
      <c r="O2788" s="148" t="s">
        <v>101</v>
      </c>
      <c r="P2788" s="148" t="s">
        <v>2062</v>
      </c>
      <c r="Y2788" s="150" t="s">
        <v>2063</v>
      </c>
    </row>
    <row r="2789" spans="1:26" ht="15.75" hidden="1" customHeight="1" x14ac:dyDescent="0.25">
      <c r="A2789" s="148" t="s">
        <v>76</v>
      </c>
      <c r="B2789" s="148" t="s">
        <v>46</v>
      </c>
      <c r="C2789" s="148" t="s">
        <v>46</v>
      </c>
      <c r="D2789" s="148" t="s">
        <v>78</v>
      </c>
      <c r="E2789" s="148" t="s">
        <v>30</v>
      </c>
      <c r="F2789" s="148" t="s">
        <v>46</v>
      </c>
      <c r="G2789" s="148" t="s">
        <v>1499</v>
      </c>
      <c r="H2789" s="148">
        <v>2018</v>
      </c>
      <c r="I2789" s="148">
        <v>11</v>
      </c>
      <c r="J2789" s="148" t="s">
        <v>100</v>
      </c>
      <c r="K2789" s="148" t="s">
        <v>1152</v>
      </c>
      <c r="M2789" s="148" t="s">
        <v>82</v>
      </c>
      <c r="N2789" s="148">
        <v>8</v>
      </c>
      <c r="O2789" s="148" t="s">
        <v>101</v>
      </c>
      <c r="P2789" s="148" t="s">
        <v>2064</v>
      </c>
      <c r="Y2789" s="150" t="s">
        <v>2065</v>
      </c>
      <c r="Z2789" s="148" t="s">
        <v>2066</v>
      </c>
    </row>
    <row r="2790" spans="1:26" ht="15.75" hidden="1" customHeight="1" x14ac:dyDescent="0.25">
      <c r="A2790" s="148" t="s">
        <v>76</v>
      </c>
      <c r="B2790" s="148" t="s">
        <v>44</v>
      </c>
      <c r="C2790" s="148" t="s">
        <v>45</v>
      </c>
      <c r="D2790" s="148" t="s">
        <v>29</v>
      </c>
      <c r="E2790" s="148" t="s">
        <v>46</v>
      </c>
      <c r="F2790" s="148" t="s">
        <v>47</v>
      </c>
      <c r="G2790" s="148" t="s">
        <v>48</v>
      </c>
      <c r="H2790" s="148">
        <v>2018</v>
      </c>
      <c r="I2790" s="148">
        <v>11</v>
      </c>
      <c r="J2790" s="148" t="s">
        <v>150</v>
      </c>
      <c r="K2790" s="148" t="s">
        <v>1152</v>
      </c>
      <c r="M2790" s="148" t="s">
        <v>82</v>
      </c>
      <c r="N2790" s="148">
        <v>8</v>
      </c>
      <c r="O2790" s="148" t="s">
        <v>83</v>
      </c>
      <c r="P2790" s="148" t="s">
        <v>183</v>
      </c>
      <c r="Y2790" s="150" t="s">
        <v>2067</v>
      </c>
    </row>
    <row r="2791" spans="1:26" ht="15.75" hidden="1" customHeight="1" x14ac:dyDescent="0.25">
      <c r="A2791" s="148" t="s">
        <v>76</v>
      </c>
      <c r="B2791" s="148" t="s">
        <v>44</v>
      </c>
      <c r="C2791" s="148" t="s">
        <v>45</v>
      </c>
      <c r="D2791" s="148" t="s">
        <v>29</v>
      </c>
      <c r="E2791" s="148" t="s">
        <v>46</v>
      </c>
      <c r="F2791" s="148" t="s">
        <v>47</v>
      </c>
      <c r="G2791" s="148" t="s">
        <v>48</v>
      </c>
      <c r="H2791" s="148">
        <v>2018</v>
      </c>
      <c r="I2791" s="148">
        <v>11</v>
      </c>
      <c r="J2791" s="148" t="s">
        <v>118</v>
      </c>
      <c r="K2791" s="148" t="s">
        <v>579</v>
      </c>
      <c r="M2791" s="148" t="s">
        <v>126</v>
      </c>
      <c r="N2791" s="148">
        <v>10</v>
      </c>
      <c r="O2791" s="148" t="s">
        <v>101</v>
      </c>
      <c r="P2791" s="148" t="s">
        <v>2068</v>
      </c>
      <c r="Y2791" s="150" t="s">
        <v>2069</v>
      </c>
    </row>
    <row r="2792" spans="1:26" ht="13.5" hidden="1" customHeight="1" x14ac:dyDescent="0.25">
      <c r="A2792" s="148" t="s">
        <v>307</v>
      </c>
      <c r="B2792" s="148" t="s">
        <v>44</v>
      </c>
      <c r="C2792" s="148" t="s">
        <v>45</v>
      </c>
      <c r="D2792" s="148" t="s">
        <v>29</v>
      </c>
      <c r="E2792" s="148" t="s">
        <v>46</v>
      </c>
      <c r="F2792" s="148" t="s">
        <v>47</v>
      </c>
      <c r="G2792" s="148" t="s">
        <v>48</v>
      </c>
      <c r="H2792" s="148">
        <v>2018</v>
      </c>
      <c r="I2792" s="148">
        <v>11</v>
      </c>
      <c r="J2792" s="148" t="s">
        <v>308</v>
      </c>
      <c r="Q2792" s="148" t="s">
        <v>426</v>
      </c>
      <c r="R2792" s="148" t="s">
        <v>2070</v>
      </c>
      <c r="S2792" s="148" t="s">
        <v>311</v>
      </c>
      <c r="T2792" s="148" t="s">
        <v>2071</v>
      </c>
      <c r="Y2792" s="150" t="s">
        <v>2072</v>
      </c>
    </row>
    <row r="2793" spans="1:26" ht="15.75" hidden="1" customHeight="1" x14ac:dyDescent="0.25">
      <c r="A2793" s="148" t="s">
        <v>76</v>
      </c>
      <c r="B2793" s="148" t="s">
        <v>36</v>
      </c>
      <c r="C2793" s="148" t="s">
        <v>28</v>
      </c>
      <c r="D2793" s="148" t="s">
        <v>342</v>
      </c>
      <c r="E2793" s="148" t="s">
        <v>30</v>
      </c>
      <c r="F2793" s="148" t="s">
        <v>3183</v>
      </c>
      <c r="G2793" s="148" t="s">
        <v>114</v>
      </c>
      <c r="H2793" s="148">
        <v>2018</v>
      </c>
      <c r="I2793" s="148">
        <v>11</v>
      </c>
      <c r="J2793" s="148" t="s">
        <v>150</v>
      </c>
      <c r="K2793" s="148" t="s">
        <v>1152</v>
      </c>
      <c r="M2793" s="148" t="s">
        <v>82</v>
      </c>
      <c r="N2793" s="148">
        <v>8</v>
      </c>
      <c r="O2793" s="148" t="s">
        <v>83</v>
      </c>
      <c r="P2793" s="148" t="s">
        <v>146</v>
      </c>
      <c r="Y2793" s="150" t="s">
        <v>2073</v>
      </c>
      <c r="Z2793" s="148" t="s">
        <v>2074</v>
      </c>
    </row>
    <row r="2794" spans="1:26" ht="13.5" hidden="1" customHeight="1" x14ac:dyDescent="0.25">
      <c r="A2794" s="148" t="s">
        <v>307</v>
      </c>
      <c r="B2794" s="148" t="s">
        <v>27</v>
      </c>
      <c r="C2794" s="148" t="s">
        <v>28</v>
      </c>
      <c r="D2794" s="148" t="s">
        <v>86</v>
      </c>
      <c r="E2794" s="148" t="s">
        <v>30</v>
      </c>
      <c r="F2794" s="148" t="s">
        <v>3183</v>
      </c>
      <c r="G2794" s="148" t="s">
        <v>32</v>
      </c>
      <c r="H2794" s="148">
        <v>2018</v>
      </c>
      <c r="I2794" s="148">
        <v>12</v>
      </c>
      <c r="J2794" s="148" t="s">
        <v>308</v>
      </c>
      <c r="Q2794" s="148" t="s">
        <v>309</v>
      </c>
      <c r="R2794" s="148" t="s">
        <v>1087</v>
      </c>
      <c r="S2794" s="148" t="s">
        <v>311</v>
      </c>
      <c r="T2794" s="148" t="s">
        <v>2075</v>
      </c>
      <c r="Y2794" s="150" t="s">
        <v>2076</v>
      </c>
    </row>
    <row r="2795" spans="1:26" ht="13.5" hidden="1" customHeight="1" x14ac:dyDescent="0.25">
      <c r="A2795" s="148" t="s">
        <v>26</v>
      </c>
      <c r="B2795" s="148" t="s">
        <v>198</v>
      </c>
      <c r="C2795" s="148" t="s">
        <v>45</v>
      </c>
      <c r="D2795" s="148" t="s">
        <v>342</v>
      </c>
      <c r="E2795" s="148" t="s">
        <v>30</v>
      </c>
      <c r="F2795" s="148" t="s">
        <v>199</v>
      </c>
      <c r="G2795" s="148" t="s">
        <v>296</v>
      </c>
      <c r="H2795" s="148">
        <v>2018</v>
      </c>
      <c r="I2795" s="148">
        <v>12</v>
      </c>
      <c r="J2795" s="148" t="s">
        <v>33</v>
      </c>
      <c r="U2795" s="149" t="s">
        <v>112</v>
      </c>
      <c r="V2795" s="148" t="s">
        <v>3701</v>
      </c>
      <c r="W2795" s="148" t="s">
        <v>34</v>
      </c>
      <c r="Y2795" s="150" t="s">
        <v>2077</v>
      </c>
    </row>
    <row r="2796" spans="1:26" ht="15.75" hidden="1" customHeight="1" x14ac:dyDescent="0.25">
      <c r="A2796" s="148" t="s">
        <v>307</v>
      </c>
      <c r="B2796" s="148" t="s">
        <v>198</v>
      </c>
      <c r="C2796" s="148" t="s">
        <v>45</v>
      </c>
      <c r="D2796" s="148" t="s">
        <v>342</v>
      </c>
      <c r="E2796" s="148" t="s">
        <v>30</v>
      </c>
      <c r="F2796" s="148" t="s">
        <v>199</v>
      </c>
      <c r="G2796" s="148" t="s">
        <v>296</v>
      </c>
      <c r="H2796" s="148">
        <v>2018</v>
      </c>
      <c r="I2796" s="148">
        <v>12</v>
      </c>
      <c r="J2796" s="148" t="s">
        <v>399</v>
      </c>
      <c r="Q2796" s="148" t="s">
        <v>426</v>
      </c>
      <c r="R2796" s="148" t="s">
        <v>1087</v>
      </c>
      <c r="S2796" s="148" t="s">
        <v>427</v>
      </c>
      <c r="T2796" s="148" t="s">
        <v>2078</v>
      </c>
      <c r="V2796" s="148" t="s">
        <v>3701</v>
      </c>
      <c r="W2796" s="148" t="s">
        <v>34</v>
      </c>
      <c r="Y2796" s="150" t="s">
        <v>2077</v>
      </c>
    </row>
    <row r="2797" spans="1:26" ht="15" hidden="1" customHeight="1" x14ac:dyDescent="0.25">
      <c r="A2797" s="148" t="s">
        <v>307</v>
      </c>
      <c r="B2797" s="148" t="s">
        <v>27</v>
      </c>
      <c r="C2797" s="148" t="s">
        <v>28</v>
      </c>
      <c r="D2797" s="148" t="s">
        <v>566</v>
      </c>
      <c r="E2797" s="148" t="s">
        <v>30</v>
      </c>
      <c r="F2797" s="148" t="s">
        <v>3183</v>
      </c>
      <c r="G2797" s="148" t="s">
        <v>53</v>
      </c>
      <c r="H2797" s="148">
        <v>2018</v>
      </c>
      <c r="I2797" s="148">
        <v>12</v>
      </c>
      <c r="J2797" s="148" t="s">
        <v>308</v>
      </c>
      <c r="Q2797" s="148" t="s">
        <v>309</v>
      </c>
      <c r="R2797" s="148" t="s">
        <v>2079</v>
      </c>
      <c r="S2797" s="148" t="s">
        <v>311</v>
      </c>
      <c r="T2797" s="148" t="s">
        <v>2080</v>
      </c>
      <c r="Y2797" s="150" t="s">
        <v>2081</v>
      </c>
      <c r="Z2797" s="148" t="s">
        <v>2082</v>
      </c>
    </row>
    <row r="2798" spans="1:26" ht="15.75" hidden="1" customHeight="1" x14ac:dyDescent="0.25">
      <c r="A2798" s="148" t="s">
        <v>76</v>
      </c>
      <c r="B2798" s="148" t="s">
        <v>36</v>
      </c>
      <c r="C2798" s="148" t="s">
        <v>28</v>
      </c>
      <c r="D2798" s="148" t="s">
        <v>342</v>
      </c>
      <c r="E2798" s="148" t="s">
        <v>30</v>
      </c>
      <c r="F2798" s="148" t="s">
        <v>3183</v>
      </c>
      <c r="G2798" s="148" t="s">
        <v>37</v>
      </c>
      <c r="H2798" s="148">
        <v>2018</v>
      </c>
      <c r="I2798" s="148">
        <v>12</v>
      </c>
      <c r="J2798" s="148" t="s">
        <v>118</v>
      </c>
      <c r="K2798" s="148" t="s">
        <v>2083</v>
      </c>
      <c r="M2798" s="148" t="s">
        <v>1318</v>
      </c>
      <c r="N2798" s="148">
        <v>5</v>
      </c>
      <c r="O2798" s="148" t="s">
        <v>101</v>
      </c>
      <c r="P2798" s="148" t="s">
        <v>2084</v>
      </c>
      <c r="Y2798" s="150" t="s">
        <v>2085</v>
      </c>
      <c r="Z2798" s="148" t="s">
        <v>2086</v>
      </c>
    </row>
    <row r="2799" spans="1:26" ht="13.5" hidden="1" customHeight="1" x14ac:dyDescent="0.25">
      <c r="A2799" s="148" t="s">
        <v>307</v>
      </c>
      <c r="B2799" s="148" t="s">
        <v>27</v>
      </c>
      <c r="C2799" s="148" t="s">
        <v>28</v>
      </c>
      <c r="D2799" s="148" t="s">
        <v>1302</v>
      </c>
      <c r="E2799" s="148" t="s">
        <v>40</v>
      </c>
      <c r="F2799" s="148" t="s">
        <v>41</v>
      </c>
      <c r="G2799" s="148" t="s">
        <v>42</v>
      </c>
      <c r="H2799" s="148">
        <v>2018</v>
      </c>
      <c r="I2799" s="148">
        <v>12</v>
      </c>
      <c r="J2799" s="148" t="s">
        <v>308</v>
      </c>
      <c r="Q2799" s="148" t="s">
        <v>594</v>
      </c>
      <c r="R2799" s="148" t="s">
        <v>2087</v>
      </c>
      <c r="S2799" s="148" t="s">
        <v>885</v>
      </c>
      <c r="T2799" s="148" t="s">
        <v>2088</v>
      </c>
      <c r="Y2799" s="150" t="s">
        <v>2089</v>
      </c>
    </row>
    <row r="2800" spans="1:26" ht="15.75" hidden="1" customHeight="1" x14ac:dyDescent="0.25">
      <c r="A2800" s="148" t="s">
        <v>76</v>
      </c>
      <c r="B2800" s="148" t="s">
        <v>103</v>
      </c>
      <c r="C2800" s="148" t="s">
        <v>55</v>
      </c>
      <c r="D2800" s="148" t="s">
        <v>1082</v>
      </c>
      <c r="E2800" s="148" t="s">
        <v>30</v>
      </c>
      <c r="F2800" s="148" t="s">
        <v>56</v>
      </c>
      <c r="G2800" s="148" t="s">
        <v>54</v>
      </c>
      <c r="H2800" s="148">
        <v>2018</v>
      </c>
      <c r="I2800" s="148">
        <v>12</v>
      </c>
      <c r="J2800" s="148" t="s">
        <v>118</v>
      </c>
      <c r="K2800" s="148" t="s">
        <v>1152</v>
      </c>
      <c r="M2800" s="148" t="s">
        <v>82</v>
      </c>
      <c r="N2800" s="148">
        <v>8</v>
      </c>
      <c r="O2800" s="148" t="s">
        <v>101</v>
      </c>
      <c r="P2800" s="148" t="s">
        <v>2090</v>
      </c>
      <c r="Y2800" s="150" t="s">
        <v>2091</v>
      </c>
    </row>
    <row r="2801" spans="1:26" ht="15.75" hidden="1" customHeight="1" x14ac:dyDescent="0.25">
      <c r="A2801" s="148" t="s">
        <v>307</v>
      </c>
      <c r="B2801" s="148" t="s">
        <v>103</v>
      </c>
      <c r="C2801" s="148" t="s">
        <v>55</v>
      </c>
      <c r="D2801" s="148" t="s">
        <v>478</v>
      </c>
      <c r="E2801" s="148" t="s">
        <v>95</v>
      </c>
      <c r="F2801" s="148" t="s">
        <v>56</v>
      </c>
      <c r="G2801" s="148" t="s">
        <v>338</v>
      </c>
      <c r="H2801" s="148">
        <v>2018</v>
      </c>
      <c r="I2801" s="148">
        <v>12</v>
      </c>
      <c r="J2801" s="148" t="s">
        <v>308</v>
      </c>
      <c r="Q2801" s="148" t="s">
        <v>426</v>
      </c>
      <c r="R2801" s="148" t="s">
        <v>2092</v>
      </c>
      <c r="S2801" s="148" t="s">
        <v>427</v>
      </c>
      <c r="T2801" s="148" t="s">
        <v>2093</v>
      </c>
      <c r="Y2801" s="150" t="s">
        <v>2094</v>
      </c>
    </row>
    <row r="2802" spans="1:26" ht="16.5" hidden="1" customHeight="1" x14ac:dyDescent="0.25">
      <c r="A2802" s="148" t="s">
        <v>76</v>
      </c>
      <c r="B2802" s="148" t="s">
        <v>71</v>
      </c>
      <c r="C2802" s="148" t="s">
        <v>45</v>
      </c>
      <c r="D2802" s="148" t="s">
        <v>478</v>
      </c>
      <c r="E2802" s="148" t="s">
        <v>72</v>
      </c>
      <c r="F2802" s="148" t="s">
        <v>3183</v>
      </c>
      <c r="G2802" s="148" t="s">
        <v>73</v>
      </c>
      <c r="H2802" s="148">
        <v>2019</v>
      </c>
      <c r="I2802" s="148">
        <v>1</v>
      </c>
      <c r="J2802" s="148" t="s">
        <v>118</v>
      </c>
      <c r="K2802" s="148" t="s">
        <v>579</v>
      </c>
      <c r="M2802" s="148" t="s">
        <v>126</v>
      </c>
      <c r="N2802" s="148">
        <v>10</v>
      </c>
      <c r="O2802" s="148" t="s">
        <v>101</v>
      </c>
      <c r="P2802" s="148" t="s">
        <v>146</v>
      </c>
      <c r="Y2802" s="150" t="s">
        <v>2095</v>
      </c>
      <c r="Z2802" s="148" t="s">
        <v>2096</v>
      </c>
    </row>
    <row r="2803" spans="1:26" ht="15.75" hidden="1" customHeight="1" x14ac:dyDescent="0.25">
      <c r="A2803" s="148" t="s">
        <v>26</v>
      </c>
      <c r="B2803" s="148" t="s">
        <v>36</v>
      </c>
      <c r="C2803" s="148" t="s">
        <v>28</v>
      </c>
      <c r="D2803" s="148" t="s">
        <v>342</v>
      </c>
      <c r="E2803" s="148" t="s">
        <v>30</v>
      </c>
      <c r="F2803" s="148" t="s">
        <v>3183</v>
      </c>
      <c r="G2803" s="148" t="s">
        <v>438</v>
      </c>
      <c r="H2803" s="148">
        <v>2019</v>
      </c>
      <c r="I2803" s="148">
        <v>1</v>
      </c>
      <c r="J2803" s="148" t="s">
        <v>33</v>
      </c>
      <c r="U2803" s="149" t="s">
        <v>3629</v>
      </c>
      <c r="V2803" s="149" t="s">
        <v>1964</v>
      </c>
      <c r="W2803" s="148" t="s">
        <v>49</v>
      </c>
      <c r="X2803" s="162" t="s">
        <v>3768</v>
      </c>
      <c r="Y2803" s="150" t="s">
        <v>2097</v>
      </c>
      <c r="Z2803" s="148" t="s">
        <v>2098</v>
      </c>
    </row>
    <row r="2804" spans="1:26" ht="13.5" hidden="1" customHeight="1" x14ac:dyDescent="0.25">
      <c r="A2804" s="148" t="s">
        <v>76</v>
      </c>
      <c r="B2804" s="148" t="s">
        <v>36</v>
      </c>
      <c r="C2804" s="148" t="s">
        <v>28</v>
      </c>
      <c r="D2804" s="148" t="s">
        <v>342</v>
      </c>
      <c r="E2804" s="148" t="s">
        <v>30</v>
      </c>
      <c r="F2804" s="148" t="s">
        <v>3183</v>
      </c>
      <c r="G2804" s="148" t="s">
        <v>242</v>
      </c>
      <c r="H2804" s="148">
        <v>2019</v>
      </c>
      <c r="I2804" s="148">
        <v>1</v>
      </c>
      <c r="J2804" s="148" t="s">
        <v>150</v>
      </c>
      <c r="K2804" s="148" t="s">
        <v>2099</v>
      </c>
      <c r="M2804" s="148" t="s">
        <v>2100</v>
      </c>
      <c r="N2804" s="148">
        <v>8</v>
      </c>
      <c r="O2804" s="148" t="s">
        <v>83</v>
      </c>
      <c r="P2804" s="148" t="s">
        <v>2101</v>
      </c>
      <c r="Y2804" s="150" t="s">
        <v>2102</v>
      </c>
      <c r="Z2804" s="148" t="s">
        <v>1786</v>
      </c>
    </row>
    <row r="2805" spans="1:26" ht="13.5" hidden="1" customHeight="1" x14ac:dyDescent="0.25">
      <c r="A2805" s="148" t="s">
        <v>307</v>
      </c>
      <c r="B2805" s="148" t="s">
        <v>27</v>
      </c>
      <c r="C2805" s="148" t="s">
        <v>28</v>
      </c>
      <c r="D2805" s="148" t="s">
        <v>1302</v>
      </c>
      <c r="E2805" s="148" t="s">
        <v>40</v>
      </c>
      <c r="F2805" s="148" t="s">
        <v>41</v>
      </c>
      <c r="G2805" s="148" t="s">
        <v>42</v>
      </c>
      <c r="H2805" s="148">
        <v>2019</v>
      </c>
      <c r="I2805" s="148">
        <v>1</v>
      </c>
      <c r="J2805" s="148" t="s">
        <v>399</v>
      </c>
      <c r="Q2805" s="148" t="s">
        <v>309</v>
      </c>
      <c r="R2805" s="148" t="s">
        <v>2103</v>
      </c>
      <c r="S2805" s="148" t="s">
        <v>311</v>
      </c>
      <c r="T2805" s="148" t="s">
        <v>2104</v>
      </c>
      <c r="Y2805" s="150" t="s">
        <v>2105</v>
      </c>
      <c r="Z2805" s="148" t="s">
        <v>2106</v>
      </c>
    </row>
    <row r="2806" spans="1:26" ht="15.75" hidden="1" customHeight="1" x14ac:dyDescent="0.25">
      <c r="A2806" s="148" t="s">
        <v>76</v>
      </c>
      <c r="B2806" s="148" t="s">
        <v>36</v>
      </c>
      <c r="C2806" s="148" t="s">
        <v>28</v>
      </c>
      <c r="D2806" s="148" t="s">
        <v>478</v>
      </c>
      <c r="E2806" s="148" t="s">
        <v>51</v>
      </c>
      <c r="F2806" s="148" t="s">
        <v>3183</v>
      </c>
      <c r="G2806" s="148" t="s">
        <v>69</v>
      </c>
      <c r="H2806" s="148">
        <v>2019</v>
      </c>
      <c r="I2806" s="148">
        <v>1</v>
      </c>
      <c r="J2806" s="148" t="s">
        <v>118</v>
      </c>
      <c r="K2806" s="148" t="s">
        <v>1152</v>
      </c>
      <c r="M2806" s="148" t="s">
        <v>82</v>
      </c>
      <c r="N2806" s="148">
        <v>8</v>
      </c>
      <c r="O2806" s="148" t="s">
        <v>101</v>
      </c>
      <c r="P2806" s="148" t="s">
        <v>2107</v>
      </c>
      <c r="Y2806" s="150" t="s">
        <v>2108</v>
      </c>
      <c r="Z2806" s="148" t="s">
        <v>2109</v>
      </c>
    </row>
    <row r="2807" spans="1:26" ht="15.75" hidden="1" customHeight="1" x14ac:dyDescent="0.25">
      <c r="A2807" s="148" t="s">
        <v>26</v>
      </c>
      <c r="B2807" s="148" t="s">
        <v>36</v>
      </c>
      <c r="C2807" s="148" t="s">
        <v>28</v>
      </c>
      <c r="D2807" s="148" t="s">
        <v>478</v>
      </c>
      <c r="E2807" s="148" t="s">
        <v>51</v>
      </c>
      <c r="F2807" s="148" t="s">
        <v>3183</v>
      </c>
      <c r="G2807" s="148" t="s">
        <v>69</v>
      </c>
      <c r="H2807" s="148">
        <v>2019</v>
      </c>
      <c r="I2807" s="148">
        <v>1</v>
      </c>
      <c r="J2807" s="148" t="s">
        <v>33</v>
      </c>
      <c r="U2807" s="149" t="s">
        <v>3629</v>
      </c>
      <c r="V2807" s="149" t="s">
        <v>1964</v>
      </c>
      <c r="W2807" s="148" t="s">
        <v>49</v>
      </c>
      <c r="X2807" s="162" t="s">
        <v>3768</v>
      </c>
      <c r="Y2807" s="150" t="s">
        <v>2110</v>
      </c>
      <c r="Z2807" s="148" t="s">
        <v>2098</v>
      </c>
    </row>
    <row r="2808" spans="1:26" ht="13.5" customHeight="1" x14ac:dyDescent="0.25">
      <c r="A2808" s="148" t="s">
        <v>76</v>
      </c>
      <c r="B2808" s="148" t="s">
        <v>36</v>
      </c>
      <c r="C2808" s="148" t="s">
        <v>28</v>
      </c>
      <c r="D2808" s="148" t="s">
        <v>1304</v>
      </c>
      <c r="E2808" s="148" t="s">
        <v>30</v>
      </c>
      <c r="F2808" s="148" t="s">
        <v>3183</v>
      </c>
      <c r="G2808" s="148" t="s">
        <v>194</v>
      </c>
      <c r="H2808" s="148">
        <v>2019</v>
      </c>
      <c r="I2808" s="148">
        <v>1</v>
      </c>
      <c r="J2808" s="148" t="s">
        <v>118</v>
      </c>
      <c r="K2808" s="148" t="s">
        <v>1152</v>
      </c>
      <c r="M2808" s="148" t="s">
        <v>82</v>
      </c>
      <c r="N2808" s="148">
        <v>8</v>
      </c>
      <c r="O2808" s="148" t="s">
        <v>101</v>
      </c>
      <c r="P2808" s="148" t="s">
        <v>2111</v>
      </c>
      <c r="Y2808" s="150" t="s">
        <v>2112</v>
      </c>
      <c r="Z2808" s="148" t="s">
        <v>2113</v>
      </c>
    </row>
    <row r="2809" spans="1:26" ht="13.5" hidden="1" customHeight="1" x14ac:dyDescent="0.25">
      <c r="A2809" s="148" t="s">
        <v>76</v>
      </c>
      <c r="B2809" s="148" t="s">
        <v>36</v>
      </c>
      <c r="C2809" s="148" t="s">
        <v>28</v>
      </c>
      <c r="D2809" s="148" t="s">
        <v>342</v>
      </c>
      <c r="E2809" s="148" t="s">
        <v>51</v>
      </c>
      <c r="F2809" s="148" t="s">
        <v>3183</v>
      </c>
      <c r="G2809" s="148" t="s">
        <v>52</v>
      </c>
      <c r="H2809" s="148">
        <v>2019</v>
      </c>
      <c r="I2809" s="148">
        <v>1</v>
      </c>
      <c r="J2809" s="148" t="s">
        <v>118</v>
      </c>
      <c r="K2809" s="148" t="s">
        <v>1152</v>
      </c>
      <c r="M2809" s="148" t="s">
        <v>82</v>
      </c>
      <c r="N2809" s="148">
        <v>8</v>
      </c>
      <c r="O2809" s="148" t="s">
        <v>101</v>
      </c>
      <c r="P2809" s="148" t="s">
        <v>2114</v>
      </c>
      <c r="Y2809" s="150" t="s">
        <v>2115</v>
      </c>
      <c r="Z2809" s="148" t="s">
        <v>2113</v>
      </c>
    </row>
    <row r="2810" spans="1:26" ht="15.75" hidden="1" customHeight="1" x14ac:dyDescent="0.25">
      <c r="A2810" s="148" t="s">
        <v>307</v>
      </c>
      <c r="B2810" s="148" t="s">
        <v>36</v>
      </c>
      <c r="C2810" s="148" t="s">
        <v>28</v>
      </c>
      <c r="D2810" s="148" t="s">
        <v>342</v>
      </c>
      <c r="E2810" s="148" t="s">
        <v>51</v>
      </c>
      <c r="F2810" s="148" t="s">
        <v>3183</v>
      </c>
      <c r="G2810" s="148" t="s">
        <v>52</v>
      </c>
      <c r="H2810" s="148">
        <v>2019</v>
      </c>
      <c r="I2810" s="148">
        <v>1</v>
      </c>
      <c r="J2810" s="148" t="s">
        <v>308</v>
      </c>
      <c r="Q2810" s="148" t="s">
        <v>309</v>
      </c>
      <c r="R2810" s="148" t="s">
        <v>2116</v>
      </c>
      <c r="S2810" s="148" t="s">
        <v>311</v>
      </c>
      <c r="Y2810" s="150" t="s">
        <v>2117</v>
      </c>
      <c r="Z2810" s="148" t="s">
        <v>2118</v>
      </c>
    </row>
    <row r="2811" spans="1:26" ht="15.75" hidden="1" customHeight="1" x14ac:dyDescent="0.25">
      <c r="A2811" s="148" t="s">
        <v>76</v>
      </c>
      <c r="B2811" s="148" t="s">
        <v>44</v>
      </c>
      <c r="C2811" s="148" t="s">
        <v>45</v>
      </c>
      <c r="D2811" s="148" t="s">
        <v>29</v>
      </c>
      <c r="E2811" s="148" t="s">
        <v>46</v>
      </c>
      <c r="F2811" s="148" t="s">
        <v>47</v>
      </c>
      <c r="G2811" s="148" t="s">
        <v>48</v>
      </c>
      <c r="H2811" s="148">
        <v>2019</v>
      </c>
      <c r="I2811" s="148">
        <v>1</v>
      </c>
      <c r="J2811" s="148" t="s">
        <v>118</v>
      </c>
      <c r="K2811" s="148" t="s">
        <v>1333</v>
      </c>
      <c r="M2811" s="148" t="s">
        <v>1441</v>
      </c>
      <c r="N2811" s="148">
        <v>8</v>
      </c>
      <c r="O2811" s="148" t="s">
        <v>101</v>
      </c>
      <c r="P2811" s="148" t="s">
        <v>2119</v>
      </c>
      <c r="Y2811" s="150" t="s">
        <v>2120</v>
      </c>
      <c r="Z2811" s="148" t="s">
        <v>2113</v>
      </c>
    </row>
    <row r="2812" spans="1:26" ht="15.75" hidden="1" customHeight="1" x14ac:dyDescent="0.25">
      <c r="A2812" s="148" t="s">
        <v>76</v>
      </c>
      <c r="B2812" s="148" t="s">
        <v>36</v>
      </c>
      <c r="C2812" s="148" t="s">
        <v>28</v>
      </c>
      <c r="D2812" s="148" t="s">
        <v>342</v>
      </c>
      <c r="E2812" s="148" t="s">
        <v>30</v>
      </c>
      <c r="F2812" s="148" t="s">
        <v>3183</v>
      </c>
      <c r="G2812" s="148" t="s">
        <v>438</v>
      </c>
      <c r="H2812" s="148">
        <v>2019</v>
      </c>
      <c r="I2812" s="148">
        <v>2</v>
      </c>
      <c r="J2812" s="148" t="s">
        <v>118</v>
      </c>
      <c r="K2812" s="148" t="s">
        <v>579</v>
      </c>
      <c r="M2812" s="148" t="s">
        <v>126</v>
      </c>
      <c r="N2812" s="148">
        <v>10</v>
      </c>
      <c r="O2812" s="148" t="s">
        <v>101</v>
      </c>
      <c r="P2812" s="148" t="s">
        <v>2121</v>
      </c>
      <c r="Y2812" s="150" t="s">
        <v>2122</v>
      </c>
      <c r="Z2812" s="148" t="s">
        <v>2123</v>
      </c>
    </row>
    <row r="2813" spans="1:26" ht="15.75" hidden="1" customHeight="1" x14ac:dyDescent="0.25">
      <c r="A2813" s="148" t="s">
        <v>76</v>
      </c>
      <c r="B2813" s="148" t="s">
        <v>77</v>
      </c>
      <c r="C2813" s="148" t="s">
        <v>55</v>
      </c>
      <c r="D2813" s="148" t="s">
        <v>478</v>
      </c>
      <c r="E2813" s="148" t="s">
        <v>30</v>
      </c>
      <c r="F2813" s="148" t="s">
        <v>41</v>
      </c>
      <c r="G2813" s="148" t="s">
        <v>161</v>
      </c>
      <c r="H2813" s="148">
        <v>2019</v>
      </c>
      <c r="I2813" s="148">
        <v>2</v>
      </c>
      <c r="J2813" s="148" t="s">
        <v>118</v>
      </c>
      <c r="K2813" s="148" t="s">
        <v>1152</v>
      </c>
      <c r="M2813" s="148" t="s">
        <v>82</v>
      </c>
      <c r="N2813" s="148">
        <v>8</v>
      </c>
      <c r="O2813" s="148" t="s">
        <v>101</v>
      </c>
      <c r="P2813" s="148" t="s">
        <v>2124</v>
      </c>
    </row>
    <row r="2814" spans="1:26" ht="13.5" hidden="1" customHeight="1" x14ac:dyDescent="0.25">
      <c r="A2814" s="148" t="s">
        <v>307</v>
      </c>
      <c r="B2814" s="148" t="s">
        <v>27</v>
      </c>
      <c r="C2814" s="148" t="s">
        <v>28</v>
      </c>
      <c r="D2814" s="148" t="s">
        <v>1302</v>
      </c>
      <c r="E2814" s="148" t="s">
        <v>40</v>
      </c>
      <c r="F2814" s="148" t="s">
        <v>41</v>
      </c>
      <c r="G2814" s="148" t="s">
        <v>42</v>
      </c>
      <c r="H2814" s="148">
        <v>2019</v>
      </c>
      <c r="I2814" s="148">
        <v>2</v>
      </c>
      <c r="J2814" s="148" t="s">
        <v>399</v>
      </c>
      <c r="Q2814" s="148" t="s">
        <v>309</v>
      </c>
      <c r="R2814" s="148" t="s">
        <v>2125</v>
      </c>
      <c r="S2814" s="148" t="s">
        <v>427</v>
      </c>
      <c r="T2814" s="148" t="s">
        <v>2126</v>
      </c>
      <c r="Y2814" s="150" t="s">
        <v>2127</v>
      </c>
      <c r="Z2814" s="148" t="s">
        <v>2128</v>
      </c>
    </row>
    <row r="2815" spans="1:26" ht="16.5" hidden="1" customHeight="1" x14ac:dyDescent="0.25">
      <c r="A2815" s="148" t="s">
        <v>307</v>
      </c>
      <c r="B2815" s="148" t="s">
        <v>36</v>
      </c>
      <c r="C2815" s="148" t="s">
        <v>28</v>
      </c>
      <c r="D2815" s="148" t="s">
        <v>342</v>
      </c>
      <c r="E2815" s="148" t="s">
        <v>51</v>
      </c>
      <c r="F2815" s="148" t="s">
        <v>3183</v>
      </c>
      <c r="G2815" s="148" t="s">
        <v>52</v>
      </c>
      <c r="H2815" s="148">
        <v>2019</v>
      </c>
      <c r="I2815" s="148">
        <v>2</v>
      </c>
      <c r="J2815" s="148" t="s">
        <v>399</v>
      </c>
      <c r="Q2815" s="148" t="s">
        <v>426</v>
      </c>
      <c r="R2815" s="148" t="s">
        <v>2129</v>
      </c>
      <c r="S2815" s="148" t="s">
        <v>311</v>
      </c>
      <c r="T2815" s="148" t="s">
        <v>2130</v>
      </c>
      <c r="Y2815" s="150" t="s">
        <v>2131</v>
      </c>
    </row>
    <row r="2816" spans="1:26" ht="15.75" hidden="1" customHeight="1" x14ac:dyDescent="0.25">
      <c r="A2816" s="148" t="s">
        <v>26</v>
      </c>
      <c r="B2816" s="148" t="s">
        <v>116</v>
      </c>
      <c r="C2816" s="148" t="s">
        <v>90</v>
      </c>
      <c r="D2816" s="148" t="s">
        <v>478</v>
      </c>
      <c r="E2816" s="148" t="s">
        <v>30</v>
      </c>
      <c r="F2816" s="148" t="s">
        <v>41</v>
      </c>
      <c r="G2816" s="148" t="s">
        <v>503</v>
      </c>
      <c r="H2816" s="148">
        <v>2019</v>
      </c>
      <c r="I2816" s="148">
        <v>2</v>
      </c>
      <c r="J2816" s="148" t="s">
        <v>33</v>
      </c>
      <c r="U2816" s="149" t="s">
        <v>3629</v>
      </c>
      <c r="V2816" s="148" t="s">
        <v>2208</v>
      </c>
      <c r="W2816" s="149" t="s">
        <v>87</v>
      </c>
      <c r="X2816" s="149" t="s">
        <v>2132</v>
      </c>
      <c r="Y2816" s="150" t="s">
        <v>2133</v>
      </c>
      <c r="Z2816" s="148" t="s">
        <v>2134</v>
      </c>
    </row>
    <row r="2817" spans="1:26" ht="15.75" hidden="1" customHeight="1" x14ac:dyDescent="0.25">
      <c r="A2817" s="148" t="s">
        <v>76</v>
      </c>
      <c r="B2817" s="148" t="s">
        <v>36</v>
      </c>
      <c r="C2817" s="148" t="s">
        <v>28</v>
      </c>
      <c r="D2817" s="148" t="s">
        <v>342</v>
      </c>
      <c r="E2817" s="148" t="s">
        <v>30</v>
      </c>
      <c r="F2817" s="148" t="s">
        <v>3183</v>
      </c>
      <c r="G2817" s="148" t="s">
        <v>114</v>
      </c>
      <c r="H2817" s="148">
        <v>2019</v>
      </c>
      <c r="I2817" s="148">
        <v>2</v>
      </c>
      <c r="J2817" s="148" t="s">
        <v>118</v>
      </c>
      <c r="K2817" s="148" t="s">
        <v>1152</v>
      </c>
      <c r="M2817" s="148" t="s">
        <v>82</v>
      </c>
      <c r="N2817" s="148">
        <v>8</v>
      </c>
      <c r="O2817" s="148" t="s">
        <v>101</v>
      </c>
      <c r="P2817" s="148" t="s">
        <v>2135</v>
      </c>
      <c r="Y2817" s="150" t="s">
        <v>2136</v>
      </c>
      <c r="Z2817" s="148" t="s">
        <v>1786</v>
      </c>
    </row>
    <row r="2818" spans="1:26" ht="13.5" hidden="1" customHeight="1" x14ac:dyDescent="0.25">
      <c r="A2818" s="148" t="s">
        <v>307</v>
      </c>
      <c r="B2818" s="148" t="s">
        <v>36</v>
      </c>
      <c r="C2818" s="148" t="s">
        <v>28</v>
      </c>
      <c r="D2818" s="148" t="s">
        <v>342</v>
      </c>
      <c r="E2818" s="148" t="s">
        <v>30</v>
      </c>
      <c r="F2818" s="148" t="s">
        <v>3183</v>
      </c>
      <c r="G2818" s="148" t="s">
        <v>438</v>
      </c>
      <c r="H2818" s="148">
        <v>2019</v>
      </c>
      <c r="I2818" s="148">
        <v>3</v>
      </c>
      <c r="J2818" s="148" t="s">
        <v>308</v>
      </c>
      <c r="Q2818" s="148" t="s">
        <v>309</v>
      </c>
      <c r="R2818" s="148" t="s">
        <v>2137</v>
      </c>
      <c r="S2818" s="148" t="s">
        <v>311</v>
      </c>
      <c r="Y2818" s="150" t="s">
        <v>2138</v>
      </c>
    </row>
    <row r="2819" spans="1:26" ht="16.5" hidden="1" customHeight="1" x14ac:dyDescent="0.25">
      <c r="A2819" s="148" t="s">
        <v>76</v>
      </c>
      <c r="B2819" s="148" t="s">
        <v>116</v>
      </c>
      <c r="C2819" s="148" t="s">
        <v>90</v>
      </c>
      <c r="D2819" s="148" t="s">
        <v>478</v>
      </c>
      <c r="E2819" s="148" t="s">
        <v>40</v>
      </c>
      <c r="F2819" s="148" t="s">
        <v>91</v>
      </c>
      <c r="G2819" s="148" t="s">
        <v>117</v>
      </c>
      <c r="H2819" s="148">
        <v>2019</v>
      </c>
      <c r="I2819" s="148">
        <v>3</v>
      </c>
      <c r="J2819" s="148" t="s">
        <v>150</v>
      </c>
      <c r="K2819" s="148" t="s">
        <v>1152</v>
      </c>
      <c r="M2819" s="148" t="s">
        <v>82</v>
      </c>
      <c r="N2819" s="148">
        <v>8</v>
      </c>
      <c r="O2819" s="148" t="s">
        <v>83</v>
      </c>
      <c r="P2819" s="148" t="s">
        <v>2139</v>
      </c>
      <c r="Y2819" s="150" t="s">
        <v>2140</v>
      </c>
      <c r="Z2819" s="148" t="s">
        <v>1786</v>
      </c>
    </row>
    <row r="2820" spans="1:26" ht="16.5" hidden="1" customHeight="1" x14ac:dyDescent="0.25">
      <c r="A2820" s="148" t="s">
        <v>307</v>
      </c>
      <c r="B2820" s="148" t="s">
        <v>36</v>
      </c>
      <c r="C2820" s="148" t="s">
        <v>28</v>
      </c>
      <c r="D2820" s="148" t="s">
        <v>478</v>
      </c>
      <c r="E2820" s="148" t="s">
        <v>30</v>
      </c>
      <c r="F2820" s="148" t="s">
        <v>3183</v>
      </c>
      <c r="G2820" s="148" t="s">
        <v>67</v>
      </c>
      <c r="H2820" s="148">
        <v>2019</v>
      </c>
      <c r="I2820" s="148">
        <v>3</v>
      </c>
      <c r="J2820" s="148" t="s">
        <v>399</v>
      </c>
      <c r="Q2820" s="148" t="s">
        <v>426</v>
      </c>
      <c r="R2820" s="148" t="s">
        <v>2141</v>
      </c>
      <c r="S2820" s="148" t="s">
        <v>427</v>
      </c>
      <c r="T2820" s="148" t="s">
        <v>2142</v>
      </c>
      <c r="Y2820" s="150" t="s">
        <v>2143</v>
      </c>
      <c r="Z2820" s="148" t="s">
        <v>2144</v>
      </c>
    </row>
    <row r="2821" spans="1:26" ht="16.5" hidden="1" customHeight="1" x14ac:dyDescent="0.25">
      <c r="A2821" s="148" t="s">
        <v>76</v>
      </c>
      <c r="B2821" s="148" t="s">
        <v>116</v>
      </c>
      <c r="C2821" s="148" t="s">
        <v>90</v>
      </c>
      <c r="D2821" s="148" t="s">
        <v>478</v>
      </c>
      <c r="E2821" s="148" t="s">
        <v>30</v>
      </c>
      <c r="F2821" s="148" t="s">
        <v>41</v>
      </c>
      <c r="G2821" s="148" t="s">
        <v>756</v>
      </c>
      <c r="H2821" s="148">
        <v>2019</v>
      </c>
      <c r="I2821" s="148">
        <v>3</v>
      </c>
      <c r="J2821" s="148" t="s">
        <v>150</v>
      </c>
      <c r="K2821" s="148" t="s">
        <v>1152</v>
      </c>
      <c r="M2821" s="148" t="s">
        <v>82</v>
      </c>
      <c r="N2821" s="148">
        <v>8</v>
      </c>
      <c r="O2821" s="148" t="s">
        <v>83</v>
      </c>
      <c r="P2821" s="148" t="s">
        <v>2145</v>
      </c>
      <c r="Y2821" s="150" t="s">
        <v>2146</v>
      </c>
      <c r="Z2821" s="148" t="s">
        <v>2147</v>
      </c>
    </row>
    <row r="2822" spans="1:26" ht="16.5" hidden="1" customHeight="1" x14ac:dyDescent="0.25">
      <c r="A2822" s="148" t="s">
        <v>76</v>
      </c>
      <c r="B2822" s="148" t="s">
        <v>62</v>
      </c>
      <c r="C2822" s="148" t="s">
        <v>28</v>
      </c>
      <c r="D2822" s="148" t="s">
        <v>86</v>
      </c>
      <c r="E2822" s="148" t="s">
        <v>51</v>
      </c>
      <c r="F2822" s="148" t="s">
        <v>3183</v>
      </c>
      <c r="G2822" s="148" t="s">
        <v>130</v>
      </c>
      <c r="H2822" s="148">
        <v>2019</v>
      </c>
      <c r="I2822" s="148">
        <v>3</v>
      </c>
      <c r="J2822" s="148" t="s">
        <v>118</v>
      </c>
      <c r="K2822" s="148" t="s">
        <v>579</v>
      </c>
      <c r="M2822" s="148" t="s">
        <v>126</v>
      </c>
      <c r="N2822" s="148">
        <v>10</v>
      </c>
      <c r="O2822" s="148" t="s">
        <v>101</v>
      </c>
      <c r="P2822" s="148" t="s">
        <v>2148</v>
      </c>
      <c r="Y2822" s="150" t="s">
        <v>2149</v>
      </c>
      <c r="Z2822" s="148" t="s">
        <v>2150</v>
      </c>
    </row>
    <row r="2823" spans="1:26" ht="15.75" hidden="1" customHeight="1" x14ac:dyDescent="0.25">
      <c r="A2823" s="148" t="s">
        <v>76</v>
      </c>
      <c r="B2823" s="148" t="s">
        <v>116</v>
      </c>
      <c r="C2823" s="148" t="s">
        <v>90</v>
      </c>
      <c r="D2823" s="148" t="s">
        <v>478</v>
      </c>
      <c r="E2823" s="148" t="s">
        <v>30</v>
      </c>
      <c r="F2823" s="148" t="s">
        <v>41</v>
      </c>
      <c r="G2823" s="148" t="s">
        <v>503</v>
      </c>
      <c r="H2823" s="148">
        <v>2019</v>
      </c>
      <c r="I2823" s="148">
        <v>3</v>
      </c>
      <c r="J2823" s="148" t="s">
        <v>150</v>
      </c>
      <c r="K2823" s="148" t="s">
        <v>1152</v>
      </c>
      <c r="M2823" s="148" t="s">
        <v>82</v>
      </c>
      <c r="N2823" s="148">
        <v>8</v>
      </c>
      <c r="O2823" s="148" t="s">
        <v>83</v>
      </c>
      <c r="P2823" s="148" t="s">
        <v>2151</v>
      </c>
    </row>
    <row r="2824" spans="1:26" ht="15.75" hidden="1" customHeight="1" x14ac:dyDescent="0.25">
      <c r="A2824" s="148" t="s">
        <v>307</v>
      </c>
      <c r="B2824" s="148" t="s">
        <v>36</v>
      </c>
      <c r="C2824" s="148" t="s">
        <v>28</v>
      </c>
      <c r="D2824" s="148" t="s">
        <v>887</v>
      </c>
      <c r="E2824" s="148" t="s">
        <v>30</v>
      </c>
      <c r="F2824" s="148" t="s">
        <v>3183</v>
      </c>
      <c r="G2824" s="148" t="s">
        <v>888</v>
      </c>
      <c r="H2824" s="148">
        <v>2019</v>
      </c>
      <c r="I2824" s="148">
        <v>4</v>
      </c>
      <c r="J2824" s="148" t="s">
        <v>399</v>
      </c>
      <c r="Q2824" s="148" t="s">
        <v>426</v>
      </c>
      <c r="R2824" s="148" t="s">
        <v>2152</v>
      </c>
      <c r="S2824" s="148" t="s">
        <v>427</v>
      </c>
      <c r="T2824" s="148" t="s">
        <v>2153</v>
      </c>
      <c r="Y2824" s="150" t="s">
        <v>2154</v>
      </c>
      <c r="Z2824" s="148" t="s">
        <v>2155</v>
      </c>
    </row>
    <row r="2825" spans="1:26" ht="15.75" hidden="1" customHeight="1" x14ac:dyDescent="0.25">
      <c r="A2825" s="148" t="s">
        <v>76</v>
      </c>
      <c r="B2825" s="148" t="s">
        <v>198</v>
      </c>
      <c r="C2825" s="148" t="s">
        <v>45</v>
      </c>
      <c r="D2825" s="148" t="s">
        <v>29</v>
      </c>
      <c r="E2825" s="148" t="s">
        <v>30</v>
      </c>
      <c r="F2825" s="148" t="s">
        <v>199</v>
      </c>
      <c r="G2825" s="148" t="s">
        <v>2051</v>
      </c>
      <c r="H2825" s="148">
        <v>2019</v>
      </c>
      <c r="I2825" s="148">
        <v>4</v>
      </c>
      <c r="J2825" s="148" t="s">
        <v>150</v>
      </c>
      <c r="K2825" s="148" t="s">
        <v>2156</v>
      </c>
      <c r="M2825" s="148" t="s">
        <v>2157</v>
      </c>
      <c r="N2825" s="148">
        <v>5</v>
      </c>
      <c r="O2825" s="148" t="s">
        <v>83</v>
      </c>
      <c r="P2825" s="148" t="s">
        <v>146</v>
      </c>
    </row>
    <row r="2826" spans="1:26" ht="15.75" hidden="1" customHeight="1" x14ac:dyDescent="0.25">
      <c r="A2826" s="148" t="s">
        <v>76</v>
      </c>
      <c r="B2826" s="148" t="s">
        <v>27</v>
      </c>
      <c r="C2826" s="148" t="s">
        <v>28</v>
      </c>
      <c r="D2826" s="148" t="s">
        <v>566</v>
      </c>
      <c r="E2826" s="148" t="s">
        <v>30</v>
      </c>
      <c r="F2826" s="148" t="s">
        <v>3183</v>
      </c>
      <c r="G2826" s="148" t="s">
        <v>53</v>
      </c>
      <c r="H2826" s="148">
        <v>2019</v>
      </c>
      <c r="I2826" s="148">
        <v>4</v>
      </c>
      <c r="J2826" s="148" t="s">
        <v>640</v>
      </c>
      <c r="K2826" s="148" t="s">
        <v>1152</v>
      </c>
      <c r="M2826" s="148" t="s">
        <v>82</v>
      </c>
      <c r="N2826" s="148">
        <v>8</v>
      </c>
      <c r="O2826" s="148" t="s">
        <v>83</v>
      </c>
      <c r="P2826" s="148" t="s">
        <v>1582</v>
      </c>
      <c r="Y2826" s="150" t="s">
        <v>2158</v>
      </c>
      <c r="Z2826" s="148" t="s">
        <v>1786</v>
      </c>
    </row>
    <row r="2827" spans="1:26" ht="15.75" hidden="1" customHeight="1" x14ac:dyDescent="0.25">
      <c r="A2827" s="148" t="s">
        <v>76</v>
      </c>
      <c r="B2827" s="148" t="s">
        <v>116</v>
      </c>
      <c r="C2827" s="148" t="s">
        <v>90</v>
      </c>
      <c r="D2827" s="148" t="s">
        <v>478</v>
      </c>
      <c r="E2827" s="148" t="s">
        <v>30</v>
      </c>
      <c r="F2827" s="148" t="s">
        <v>41</v>
      </c>
      <c r="G2827" s="148" t="s">
        <v>421</v>
      </c>
      <c r="H2827" s="148">
        <v>2019</v>
      </c>
      <c r="I2827" s="148">
        <v>4</v>
      </c>
      <c r="J2827" s="148" t="s">
        <v>150</v>
      </c>
      <c r="K2827" s="148" t="s">
        <v>1152</v>
      </c>
      <c r="M2827" s="148" t="s">
        <v>82</v>
      </c>
      <c r="N2827" s="148">
        <v>8</v>
      </c>
      <c r="O2827" s="148" t="s">
        <v>83</v>
      </c>
      <c r="P2827" s="148" t="s">
        <v>146</v>
      </c>
      <c r="Y2827" s="150" t="s">
        <v>2159</v>
      </c>
    </row>
    <row r="2828" spans="1:26" ht="13.5" hidden="1" customHeight="1" x14ac:dyDescent="0.25">
      <c r="A2828" s="148" t="s">
        <v>76</v>
      </c>
      <c r="B2828" s="148" t="s">
        <v>77</v>
      </c>
      <c r="C2828" s="148" t="s">
        <v>55</v>
      </c>
      <c r="D2828" s="148" t="s">
        <v>478</v>
      </c>
      <c r="E2828" s="148" t="s">
        <v>30</v>
      </c>
      <c r="F2828" s="148" t="s">
        <v>41</v>
      </c>
      <c r="G2828" s="148" t="s">
        <v>159</v>
      </c>
      <c r="H2828" s="148">
        <v>2019</v>
      </c>
      <c r="I2828" s="148">
        <v>4</v>
      </c>
      <c r="J2828" s="148" t="s">
        <v>640</v>
      </c>
      <c r="K2828" s="148" t="s">
        <v>1152</v>
      </c>
      <c r="M2828" s="148" t="s">
        <v>82</v>
      </c>
      <c r="N2828" s="148">
        <v>8</v>
      </c>
      <c r="O2828" s="148" t="s">
        <v>83</v>
      </c>
      <c r="P2828" s="148" t="s">
        <v>2160</v>
      </c>
      <c r="Y2828" s="150" t="s">
        <v>2158</v>
      </c>
      <c r="Z2828" s="148" t="s">
        <v>1786</v>
      </c>
    </row>
    <row r="2829" spans="1:26" ht="16.5" hidden="1" customHeight="1" x14ac:dyDescent="0.25">
      <c r="A2829" s="148" t="s">
        <v>76</v>
      </c>
      <c r="B2829" s="148" t="s">
        <v>77</v>
      </c>
      <c r="C2829" s="148" t="s">
        <v>55</v>
      </c>
      <c r="D2829" s="148" t="s">
        <v>478</v>
      </c>
      <c r="E2829" s="148" t="s">
        <v>30</v>
      </c>
      <c r="F2829" s="148" t="s">
        <v>41</v>
      </c>
      <c r="G2829" s="148" t="s">
        <v>161</v>
      </c>
      <c r="H2829" s="148">
        <v>2019</v>
      </c>
      <c r="I2829" s="148">
        <v>4</v>
      </c>
      <c r="J2829" s="148" t="s">
        <v>150</v>
      </c>
      <c r="K2829" s="148" t="s">
        <v>1152</v>
      </c>
      <c r="M2829" s="148" t="s">
        <v>82</v>
      </c>
      <c r="N2829" s="148">
        <v>8</v>
      </c>
      <c r="O2829" s="148" t="s">
        <v>83</v>
      </c>
      <c r="P2829" s="148" t="s">
        <v>154</v>
      </c>
      <c r="Y2829" s="150" t="s">
        <v>2161</v>
      </c>
      <c r="Z2829" s="148" t="s">
        <v>2162</v>
      </c>
    </row>
    <row r="2830" spans="1:26" ht="13.5" hidden="1" customHeight="1" x14ac:dyDescent="0.25">
      <c r="A2830" s="148" t="s">
        <v>76</v>
      </c>
      <c r="B2830" s="148" t="s">
        <v>62</v>
      </c>
      <c r="C2830" s="148" t="s">
        <v>28</v>
      </c>
      <c r="D2830" s="148" t="s">
        <v>478</v>
      </c>
      <c r="E2830" s="148" t="s">
        <v>30</v>
      </c>
      <c r="F2830" s="148" t="s">
        <v>3183</v>
      </c>
      <c r="G2830" s="148" t="s">
        <v>244</v>
      </c>
      <c r="H2830" s="148">
        <v>2019</v>
      </c>
      <c r="I2830" s="148">
        <v>4</v>
      </c>
      <c r="J2830" s="148" t="s">
        <v>150</v>
      </c>
      <c r="K2830" s="148" t="s">
        <v>1887</v>
      </c>
      <c r="M2830" s="148" t="s">
        <v>1576</v>
      </c>
      <c r="N2830" s="148">
        <v>6</v>
      </c>
      <c r="O2830" s="148" t="s">
        <v>101</v>
      </c>
      <c r="P2830" s="148" t="s">
        <v>2163</v>
      </c>
      <c r="Y2830" s="150" t="s">
        <v>2164</v>
      </c>
    </row>
    <row r="2831" spans="1:26" ht="15.75" hidden="1" customHeight="1" x14ac:dyDescent="0.25">
      <c r="A2831" s="148" t="s">
        <v>76</v>
      </c>
      <c r="B2831" s="148" t="s">
        <v>36</v>
      </c>
      <c r="C2831" s="148" t="s">
        <v>28</v>
      </c>
      <c r="D2831" s="148" t="s">
        <v>342</v>
      </c>
      <c r="E2831" s="148" t="s">
        <v>30</v>
      </c>
      <c r="F2831" s="148" t="s">
        <v>3183</v>
      </c>
      <c r="G2831" s="148" t="s">
        <v>37</v>
      </c>
      <c r="H2831" s="148">
        <v>2019</v>
      </c>
      <c r="I2831" s="148">
        <v>4</v>
      </c>
      <c r="J2831" s="148" t="s">
        <v>118</v>
      </c>
      <c r="K2831" s="148" t="s">
        <v>579</v>
      </c>
      <c r="M2831" s="148" t="s">
        <v>126</v>
      </c>
      <c r="N2831" s="148">
        <v>10</v>
      </c>
      <c r="O2831" s="148" t="s">
        <v>101</v>
      </c>
      <c r="P2831" s="148" t="s">
        <v>2165</v>
      </c>
      <c r="Y2831" s="150" t="s">
        <v>2166</v>
      </c>
    </row>
    <row r="2832" spans="1:26" ht="15.75" hidden="1" customHeight="1" x14ac:dyDescent="0.25">
      <c r="A2832" s="148" t="s">
        <v>307</v>
      </c>
      <c r="B2832" s="148" t="s">
        <v>62</v>
      </c>
      <c r="C2832" s="148" t="s">
        <v>28</v>
      </c>
      <c r="D2832" s="148" t="s">
        <v>46</v>
      </c>
      <c r="E2832" s="148" t="s">
        <v>30</v>
      </c>
      <c r="F2832" s="148" t="s">
        <v>3183</v>
      </c>
      <c r="G2832" s="148" t="s">
        <v>46</v>
      </c>
      <c r="H2832" s="148">
        <v>2019</v>
      </c>
      <c r="I2832" s="148">
        <v>4</v>
      </c>
      <c r="J2832" s="148" t="s">
        <v>399</v>
      </c>
      <c r="Q2832" s="148" t="s">
        <v>426</v>
      </c>
      <c r="R2832" s="148" t="s">
        <v>2167</v>
      </c>
      <c r="S2832" s="148" t="s">
        <v>427</v>
      </c>
      <c r="T2832" s="148" t="s">
        <v>2168</v>
      </c>
      <c r="Y2832" s="150" t="s">
        <v>2169</v>
      </c>
      <c r="Z2832" s="148" t="s">
        <v>2170</v>
      </c>
    </row>
    <row r="2833" spans="1:26" ht="13.5" hidden="1" customHeight="1" x14ac:dyDescent="0.25">
      <c r="A2833" s="148" t="s">
        <v>76</v>
      </c>
      <c r="B2833" s="148" t="s">
        <v>27</v>
      </c>
      <c r="C2833" s="148" t="s">
        <v>28</v>
      </c>
      <c r="D2833" s="148" t="s">
        <v>1302</v>
      </c>
      <c r="E2833" s="148" t="s">
        <v>40</v>
      </c>
      <c r="F2833" s="148" t="s">
        <v>41</v>
      </c>
      <c r="G2833" s="148" t="s">
        <v>42</v>
      </c>
      <c r="H2833" s="148">
        <v>2019</v>
      </c>
      <c r="I2833" s="148">
        <v>4</v>
      </c>
      <c r="J2833" s="148" t="s">
        <v>640</v>
      </c>
      <c r="K2833" s="148" t="s">
        <v>1152</v>
      </c>
      <c r="M2833" s="148" t="s">
        <v>82</v>
      </c>
      <c r="N2833" s="148">
        <v>8</v>
      </c>
      <c r="O2833" s="148" t="s">
        <v>83</v>
      </c>
      <c r="P2833" s="148" t="s">
        <v>524</v>
      </c>
      <c r="Y2833" s="150" t="s">
        <v>2158</v>
      </c>
      <c r="Z2833" s="148" t="s">
        <v>1786</v>
      </c>
    </row>
    <row r="2834" spans="1:26" ht="15.75" hidden="1" customHeight="1" x14ac:dyDescent="0.25">
      <c r="A2834" s="148" t="s">
        <v>76</v>
      </c>
      <c r="B2834" s="148" t="s">
        <v>27</v>
      </c>
      <c r="C2834" s="148" t="s">
        <v>28</v>
      </c>
      <c r="D2834" s="148" t="s">
        <v>1302</v>
      </c>
      <c r="E2834" s="148" t="s">
        <v>40</v>
      </c>
      <c r="F2834" s="148" t="s">
        <v>41</v>
      </c>
      <c r="G2834" s="148" t="s">
        <v>42</v>
      </c>
      <c r="H2834" s="148">
        <v>2019</v>
      </c>
      <c r="I2834" s="148">
        <v>4</v>
      </c>
      <c r="J2834" s="148" t="s">
        <v>118</v>
      </c>
      <c r="K2834" s="148" t="s">
        <v>1152</v>
      </c>
      <c r="M2834" s="148" t="s">
        <v>82</v>
      </c>
      <c r="N2834" s="148">
        <v>8</v>
      </c>
      <c r="O2834" s="148" t="s">
        <v>101</v>
      </c>
      <c r="P2834" s="148" t="s">
        <v>2171</v>
      </c>
      <c r="Y2834" s="150" t="s">
        <v>2172</v>
      </c>
      <c r="Z2834" s="148" t="s">
        <v>1786</v>
      </c>
    </row>
    <row r="2835" spans="1:26" ht="15.75" hidden="1" customHeight="1" x14ac:dyDescent="0.25">
      <c r="A2835" s="148" t="s">
        <v>307</v>
      </c>
      <c r="B2835" s="148" t="s">
        <v>54</v>
      </c>
      <c r="C2835" s="148" t="s">
        <v>55</v>
      </c>
      <c r="D2835" s="148" t="s">
        <v>2173</v>
      </c>
      <c r="E2835" s="148" t="s">
        <v>30</v>
      </c>
      <c r="F2835" s="148" t="s">
        <v>56</v>
      </c>
      <c r="G2835" s="148" t="s">
        <v>54</v>
      </c>
      <c r="H2835" s="148">
        <v>2019</v>
      </c>
      <c r="I2835" s="148">
        <v>4</v>
      </c>
      <c r="J2835" s="148" t="s">
        <v>308</v>
      </c>
      <c r="Q2835" s="148" t="s">
        <v>594</v>
      </c>
      <c r="R2835" s="148" t="s">
        <v>2174</v>
      </c>
      <c r="S2835" s="148" t="s">
        <v>427</v>
      </c>
      <c r="T2835" s="148" t="s">
        <v>2175</v>
      </c>
      <c r="Y2835" s="150" t="s">
        <v>2176</v>
      </c>
      <c r="Z2835" s="148" t="s">
        <v>2177</v>
      </c>
    </row>
    <row r="2836" spans="1:26" ht="13.5" hidden="1" customHeight="1" x14ac:dyDescent="0.25">
      <c r="A2836" s="148" t="s">
        <v>76</v>
      </c>
      <c r="B2836" s="148" t="s">
        <v>54</v>
      </c>
      <c r="C2836" s="148" t="s">
        <v>55</v>
      </c>
      <c r="D2836" s="148" t="s">
        <v>2173</v>
      </c>
      <c r="E2836" s="148" t="s">
        <v>30</v>
      </c>
      <c r="F2836" s="148" t="s">
        <v>56</v>
      </c>
      <c r="G2836" s="148" t="s">
        <v>54</v>
      </c>
      <c r="H2836" s="148">
        <v>2019</v>
      </c>
      <c r="I2836" s="148">
        <v>4</v>
      </c>
      <c r="J2836" s="148" t="s">
        <v>640</v>
      </c>
      <c r="K2836" s="148" t="s">
        <v>1152</v>
      </c>
      <c r="M2836" s="148" t="s">
        <v>82</v>
      </c>
      <c r="N2836" s="148">
        <v>8</v>
      </c>
      <c r="O2836" s="148" t="s">
        <v>83</v>
      </c>
      <c r="P2836" s="148" t="s">
        <v>2178</v>
      </c>
      <c r="Y2836" s="150" t="s">
        <v>2159</v>
      </c>
      <c r="Z2836" s="148" t="s">
        <v>2113</v>
      </c>
    </row>
    <row r="2837" spans="1:26" ht="15.75" hidden="1" customHeight="1" x14ac:dyDescent="0.25">
      <c r="A2837" s="148" t="s">
        <v>76</v>
      </c>
      <c r="B2837" s="148" t="s">
        <v>77</v>
      </c>
      <c r="C2837" s="148" t="s">
        <v>55</v>
      </c>
      <c r="D2837" s="148" t="s">
        <v>78</v>
      </c>
      <c r="E2837" s="148" t="s">
        <v>30</v>
      </c>
      <c r="F2837" s="148" t="s">
        <v>41</v>
      </c>
      <c r="G2837" s="148" t="s">
        <v>79</v>
      </c>
      <c r="H2837" s="148">
        <v>2019</v>
      </c>
      <c r="I2837" s="148">
        <v>4</v>
      </c>
      <c r="J2837" s="148" t="s">
        <v>80</v>
      </c>
      <c r="K2837" s="148" t="s">
        <v>1152</v>
      </c>
      <c r="M2837" s="148" t="s">
        <v>82</v>
      </c>
      <c r="N2837" s="148">
        <v>8</v>
      </c>
      <c r="O2837" s="148" t="s">
        <v>83</v>
      </c>
      <c r="P2837" s="148" t="s">
        <v>2179</v>
      </c>
      <c r="Y2837" s="150" t="s">
        <v>2180</v>
      </c>
    </row>
    <row r="2838" spans="1:26" ht="13.5" hidden="1" customHeight="1" x14ac:dyDescent="0.25">
      <c r="A2838" s="148" t="s">
        <v>76</v>
      </c>
      <c r="B2838" s="148" t="s">
        <v>103</v>
      </c>
      <c r="C2838" s="148" t="s">
        <v>55</v>
      </c>
      <c r="D2838" s="148" t="s">
        <v>478</v>
      </c>
      <c r="E2838" s="148" t="s">
        <v>30</v>
      </c>
      <c r="F2838" s="148" t="s">
        <v>56</v>
      </c>
      <c r="G2838" s="148" t="s">
        <v>519</v>
      </c>
      <c r="H2838" s="148">
        <v>2019</v>
      </c>
      <c r="I2838" s="148">
        <v>4</v>
      </c>
      <c r="J2838" s="148" t="s">
        <v>150</v>
      </c>
      <c r="K2838" s="148" t="s">
        <v>1152</v>
      </c>
      <c r="M2838" s="148" t="s">
        <v>82</v>
      </c>
      <c r="N2838" s="148">
        <v>8</v>
      </c>
      <c r="O2838" s="148" t="s">
        <v>83</v>
      </c>
      <c r="P2838" s="148" t="s">
        <v>146</v>
      </c>
      <c r="Y2838" s="150" t="s">
        <v>2159</v>
      </c>
      <c r="Z2838" s="148" t="s">
        <v>1786</v>
      </c>
    </row>
    <row r="2839" spans="1:26" ht="13.5" hidden="1" customHeight="1" x14ac:dyDescent="0.25">
      <c r="A2839" s="148" t="s">
        <v>26</v>
      </c>
      <c r="B2839" s="148" t="s">
        <v>89</v>
      </c>
      <c r="C2839" s="148" t="s">
        <v>90</v>
      </c>
      <c r="D2839" s="148" t="s">
        <v>29</v>
      </c>
      <c r="E2839" s="148" t="s">
        <v>30</v>
      </c>
      <c r="F2839" s="148" t="s">
        <v>91</v>
      </c>
      <c r="G2839" s="148" t="s">
        <v>2181</v>
      </c>
      <c r="H2839" s="148">
        <v>2019</v>
      </c>
      <c r="I2839" s="148">
        <v>4</v>
      </c>
      <c r="J2839" s="148" t="s">
        <v>33</v>
      </c>
      <c r="U2839" s="149" t="s">
        <v>3629</v>
      </c>
      <c r="V2839" s="148" t="s">
        <v>2182</v>
      </c>
      <c r="Z2839" s="157" t="s">
        <v>3773</v>
      </c>
    </row>
    <row r="2840" spans="1:26" ht="15.75" hidden="1" customHeight="1" x14ac:dyDescent="0.25">
      <c r="A2840" s="148" t="s">
        <v>76</v>
      </c>
      <c r="B2840" s="148" t="s">
        <v>77</v>
      </c>
      <c r="C2840" s="148" t="s">
        <v>55</v>
      </c>
      <c r="D2840" s="148" t="s">
        <v>478</v>
      </c>
      <c r="E2840" s="148" t="s">
        <v>30</v>
      </c>
      <c r="F2840" s="148" t="s">
        <v>41</v>
      </c>
      <c r="G2840" s="148" t="s">
        <v>363</v>
      </c>
      <c r="H2840" s="148">
        <v>2019</v>
      </c>
      <c r="I2840" s="148">
        <v>4</v>
      </c>
      <c r="J2840" s="148" t="s">
        <v>640</v>
      </c>
      <c r="K2840" s="148" t="s">
        <v>1152</v>
      </c>
      <c r="M2840" s="148" t="s">
        <v>82</v>
      </c>
      <c r="N2840" s="148">
        <v>8</v>
      </c>
      <c r="O2840" s="148" t="s">
        <v>83</v>
      </c>
      <c r="P2840" s="148" t="s">
        <v>294</v>
      </c>
      <c r="Y2840" s="150" t="s">
        <v>2183</v>
      </c>
      <c r="Z2840" s="148" t="s">
        <v>1786</v>
      </c>
    </row>
    <row r="2841" spans="1:26" ht="15.75" hidden="1" customHeight="1" x14ac:dyDescent="0.25">
      <c r="A2841" s="148" t="s">
        <v>307</v>
      </c>
      <c r="B2841" s="148" t="s">
        <v>36</v>
      </c>
      <c r="C2841" s="148" t="s">
        <v>28</v>
      </c>
      <c r="D2841" s="148" t="s">
        <v>887</v>
      </c>
      <c r="E2841" s="148" t="s">
        <v>30</v>
      </c>
      <c r="F2841" s="148" t="s">
        <v>3183</v>
      </c>
      <c r="G2841" s="148" t="s">
        <v>888</v>
      </c>
      <c r="H2841" s="148">
        <v>2019</v>
      </c>
      <c r="I2841" s="148">
        <v>5</v>
      </c>
      <c r="J2841" s="148" t="s">
        <v>399</v>
      </c>
      <c r="Q2841" s="148" t="s">
        <v>426</v>
      </c>
      <c r="R2841" s="148" t="s">
        <v>2184</v>
      </c>
      <c r="S2841" s="148" t="s">
        <v>427</v>
      </c>
      <c r="T2841" s="148" t="s">
        <v>2185</v>
      </c>
      <c r="Y2841" s="150" t="s">
        <v>2186</v>
      </c>
      <c r="Z2841" s="148" t="s">
        <v>2187</v>
      </c>
    </row>
    <row r="2842" spans="1:26" ht="13.5" hidden="1" customHeight="1" x14ac:dyDescent="0.25">
      <c r="A2842" s="148" t="s">
        <v>76</v>
      </c>
      <c r="B2842" s="148" t="s">
        <v>36</v>
      </c>
      <c r="C2842" s="148" t="s">
        <v>28</v>
      </c>
      <c r="D2842" s="148" t="s">
        <v>342</v>
      </c>
      <c r="E2842" s="148" t="s">
        <v>30</v>
      </c>
      <c r="F2842" s="148" t="s">
        <v>3183</v>
      </c>
      <c r="G2842" s="148" t="s">
        <v>438</v>
      </c>
      <c r="H2842" s="148">
        <v>2019</v>
      </c>
      <c r="I2842" s="148">
        <v>5</v>
      </c>
      <c r="J2842" s="148" t="s">
        <v>118</v>
      </c>
      <c r="K2842" s="148" t="s">
        <v>1152</v>
      </c>
      <c r="M2842" s="148" t="s">
        <v>82</v>
      </c>
      <c r="N2842" s="148">
        <v>8</v>
      </c>
      <c r="O2842" s="148" t="s">
        <v>101</v>
      </c>
      <c r="P2842" s="148" t="s">
        <v>2188</v>
      </c>
      <c r="Y2842" s="150" t="s">
        <v>2189</v>
      </c>
      <c r="Z2842" s="148" t="s">
        <v>1786</v>
      </c>
    </row>
    <row r="2843" spans="1:26" ht="15.75" hidden="1" customHeight="1" x14ac:dyDescent="0.25">
      <c r="A2843" s="148" t="s">
        <v>76</v>
      </c>
      <c r="B2843" s="148" t="s">
        <v>198</v>
      </c>
      <c r="C2843" s="148" t="s">
        <v>45</v>
      </c>
      <c r="D2843" s="148" t="s">
        <v>29</v>
      </c>
      <c r="E2843" s="148" t="s">
        <v>30</v>
      </c>
      <c r="F2843" s="148" t="s">
        <v>199</v>
      </c>
      <c r="G2843" s="148" t="s">
        <v>232</v>
      </c>
      <c r="H2843" s="148">
        <v>2019</v>
      </c>
      <c r="I2843" s="148">
        <v>5</v>
      </c>
      <c r="J2843" s="148" t="s">
        <v>150</v>
      </c>
      <c r="K2843" s="148" t="s">
        <v>2099</v>
      </c>
      <c r="M2843" s="148" t="s">
        <v>2100</v>
      </c>
      <c r="N2843" s="148">
        <v>8</v>
      </c>
      <c r="O2843" s="148" t="s">
        <v>83</v>
      </c>
      <c r="P2843" s="148" t="s">
        <v>2190</v>
      </c>
      <c r="Y2843" s="150" t="s">
        <v>2191</v>
      </c>
      <c r="Z2843" s="148" t="s">
        <v>1786</v>
      </c>
    </row>
    <row r="2844" spans="1:26" ht="15.75" hidden="1" customHeight="1" x14ac:dyDescent="0.25">
      <c r="A2844" s="148" t="s">
        <v>76</v>
      </c>
      <c r="B2844" s="148" t="s">
        <v>36</v>
      </c>
      <c r="C2844" s="148" t="s">
        <v>28</v>
      </c>
      <c r="D2844" s="148" t="s">
        <v>29</v>
      </c>
      <c r="E2844" s="148" t="s">
        <v>30</v>
      </c>
      <c r="F2844" s="148" t="s">
        <v>3183</v>
      </c>
      <c r="G2844" s="148" t="s">
        <v>722</v>
      </c>
      <c r="H2844" s="148">
        <v>2019</v>
      </c>
      <c r="I2844" s="148">
        <v>5</v>
      </c>
      <c r="J2844" s="148" t="s">
        <v>80</v>
      </c>
      <c r="K2844" s="148" t="s">
        <v>1152</v>
      </c>
      <c r="M2844" s="148" t="s">
        <v>82</v>
      </c>
      <c r="N2844" s="148">
        <v>8</v>
      </c>
      <c r="O2844" s="148" t="s">
        <v>83</v>
      </c>
      <c r="P2844" s="148" t="s">
        <v>2192</v>
      </c>
      <c r="Y2844" s="150" t="s">
        <v>2193</v>
      </c>
      <c r="Z2844" s="148" t="s">
        <v>2194</v>
      </c>
    </row>
    <row r="2845" spans="1:26" ht="15.75" customHeight="1" x14ac:dyDescent="0.25">
      <c r="A2845" s="148" t="s">
        <v>76</v>
      </c>
      <c r="B2845" s="148" t="s">
        <v>36</v>
      </c>
      <c r="C2845" s="148" t="s">
        <v>28</v>
      </c>
      <c r="D2845" s="148" t="s">
        <v>1304</v>
      </c>
      <c r="E2845" s="148" t="s">
        <v>30</v>
      </c>
      <c r="F2845" s="148" t="s">
        <v>3183</v>
      </c>
      <c r="G2845" s="148" t="s">
        <v>194</v>
      </c>
      <c r="H2845" s="148">
        <v>2019</v>
      </c>
      <c r="I2845" s="148">
        <v>5</v>
      </c>
      <c r="J2845" s="148" t="s">
        <v>150</v>
      </c>
      <c r="K2845" s="148" t="s">
        <v>1152</v>
      </c>
      <c r="M2845" s="148" t="s">
        <v>82</v>
      </c>
      <c r="N2845" s="148">
        <v>8</v>
      </c>
      <c r="O2845" s="148" t="s">
        <v>83</v>
      </c>
      <c r="P2845" s="148" t="s">
        <v>146</v>
      </c>
      <c r="Y2845" s="150" t="s">
        <v>2195</v>
      </c>
    </row>
    <row r="2846" spans="1:26" ht="13.5" hidden="1" customHeight="1" x14ac:dyDescent="0.25">
      <c r="A2846" s="148" t="s">
        <v>307</v>
      </c>
      <c r="B2846" s="148" t="s">
        <v>36</v>
      </c>
      <c r="C2846" s="148" t="s">
        <v>28</v>
      </c>
      <c r="D2846" s="148" t="s">
        <v>342</v>
      </c>
      <c r="E2846" s="148" t="s">
        <v>51</v>
      </c>
      <c r="F2846" s="148" t="s">
        <v>3183</v>
      </c>
      <c r="G2846" s="148" t="s">
        <v>52</v>
      </c>
      <c r="H2846" s="148">
        <v>2019</v>
      </c>
      <c r="I2846" s="148">
        <v>5</v>
      </c>
      <c r="J2846" s="148" t="s">
        <v>308</v>
      </c>
      <c r="Q2846" s="148" t="s">
        <v>426</v>
      </c>
      <c r="R2846" s="148" t="s">
        <v>2196</v>
      </c>
      <c r="S2846" s="148" t="s">
        <v>427</v>
      </c>
      <c r="T2846" s="148" t="s">
        <v>2197</v>
      </c>
      <c r="Y2846" s="150" t="s">
        <v>2198</v>
      </c>
      <c r="Z2846" s="148" t="s">
        <v>2106</v>
      </c>
    </row>
    <row r="2847" spans="1:26" ht="15.75" hidden="1" customHeight="1" x14ac:dyDescent="0.25">
      <c r="A2847" s="148" t="s">
        <v>76</v>
      </c>
      <c r="B2847" s="148" t="s">
        <v>44</v>
      </c>
      <c r="C2847" s="148" t="s">
        <v>45</v>
      </c>
      <c r="D2847" s="148" t="s">
        <v>29</v>
      </c>
      <c r="E2847" s="148" t="s">
        <v>46</v>
      </c>
      <c r="F2847" s="148" t="s">
        <v>47</v>
      </c>
      <c r="G2847" s="148" t="s">
        <v>48</v>
      </c>
      <c r="H2847" s="148">
        <v>2019</v>
      </c>
      <c r="I2847" s="148">
        <v>5</v>
      </c>
      <c r="J2847" s="148" t="s">
        <v>640</v>
      </c>
      <c r="K2847" s="148" t="s">
        <v>1152</v>
      </c>
      <c r="M2847" s="148" t="s">
        <v>82</v>
      </c>
      <c r="N2847" s="148">
        <v>8</v>
      </c>
      <c r="O2847" s="148" t="s">
        <v>83</v>
      </c>
      <c r="P2847" s="148" t="s">
        <v>2199</v>
      </c>
      <c r="Y2847" s="150" t="s">
        <v>2193</v>
      </c>
      <c r="Z2847" s="148" t="s">
        <v>1786</v>
      </c>
    </row>
    <row r="2848" spans="1:26" ht="13.5" hidden="1" customHeight="1" x14ac:dyDescent="0.25">
      <c r="A2848" s="148" t="s">
        <v>307</v>
      </c>
      <c r="B2848" s="148" t="s">
        <v>77</v>
      </c>
      <c r="C2848" s="148" t="s">
        <v>55</v>
      </c>
      <c r="D2848" s="148" t="s">
        <v>478</v>
      </c>
      <c r="E2848" s="148" t="s">
        <v>30</v>
      </c>
      <c r="F2848" s="148" t="s">
        <v>41</v>
      </c>
      <c r="G2848" s="148" t="s">
        <v>363</v>
      </c>
      <c r="H2848" s="148">
        <v>2019</v>
      </c>
      <c r="I2848" s="148">
        <v>5</v>
      </c>
      <c r="J2848" s="148" t="s">
        <v>308</v>
      </c>
      <c r="Q2848" s="148" t="s">
        <v>309</v>
      </c>
      <c r="R2848" s="148" t="s">
        <v>2200</v>
      </c>
      <c r="S2848" s="148" t="s">
        <v>660</v>
      </c>
      <c r="T2848" s="148" t="s">
        <v>2201</v>
      </c>
      <c r="Y2848" s="150" t="s">
        <v>2202</v>
      </c>
      <c r="Z2848" s="148" t="s">
        <v>2106</v>
      </c>
    </row>
    <row r="2849" spans="1:26" ht="13.5" hidden="1" customHeight="1" x14ac:dyDescent="0.25">
      <c r="A2849" s="148" t="s">
        <v>76</v>
      </c>
      <c r="B2849" s="148" t="s">
        <v>36</v>
      </c>
      <c r="C2849" s="148" t="s">
        <v>28</v>
      </c>
      <c r="D2849" s="148" t="s">
        <v>342</v>
      </c>
      <c r="E2849" s="148" t="s">
        <v>30</v>
      </c>
      <c r="F2849" s="148" t="s">
        <v>3183</v>
      </c>
      <c r="G2849" s="148" t="s">
        <v>114</v>
      </c>
      <c r="H2849" s="148">
        <v>2019</v>
      </c>
      <c r="I2849" s="148">
        <v>5</v>
      </c>
      <c r="J2849" s="148" t="s">
        <v>150</v>
      </c>
      <c r="K2849" s="148" t="s">
        <v>1152</v>
      </c>
      <c r="M2849" s="148" t="s">
        <v>82</v>
      </c>
      <c r="N2849" s="148">
        <v>8</v>
      </c>
      <c r="O2849" s="148" t="s">
        <v>83</v>
      </c>
      <c r="P2849" s="148" t="s">
        <v>2203</v>
      </c>
      <c r="Y2849" s="150" t="s">
        <v>2204</v>
      </c>
      <c r="Z2849" s="148" t="s">
        <v>1786</v>
      </c>
    </row>
    <row r="2850" spans="1:26" ht="16.5" hidden="1" customHeight="1" x14ac:dyDescent="0.25">
      <c r="A2850" s="148" t="s">
        <v>76</v>
      </c>
      <c r="B2850" s="148" t="s">
        <v>89</v>
      </c>
      <c r="C2850" s="148" t="s">
        <v>90</v>
      </c>
      <c r="D2850" s="148" t="s">
        <v>342</v>
      </c>
      <c r="E2850" s="148" t="s">
        <v>30</v>
      </c>
      <c r="F2850" s="148" t="s">
        <v>91</v>
      </c>
      <c r="G2850" s="148" t="s">
        <v>414</v>
      </c>
      <c r="H2850" s="148">
        <v>2019</v>
      </c>
      <c r="I2850" s="148">
        <v>5</v>
      </c>
      <c r="J2850" s="148" t="s">
        <v>118</v>
      </c>
      <c r="K2850" s="148" t="s">
        <v>1152</v>
      </c>
      <c r="M2850" s="148" t="s">
        <v>82</v>
      </c>
      <c r="N2850" s="148">
        <v>8</v>
      </c>
      <c r="O2850" s="148" t="s">
        <v>101</v>
      </c>
      <c r="P2850" s="148" t="s">
        <v>146</v>
      </c>
      <c r="Y2850" s="150" t="s">
        <v>2205</v>
      </c>
      <c r="Z2850" s="148" t="s">
        <v>1786</v>
      </c>
    </row>
    <row r="2851" spans="1:26" ht="13.5" hidden="1" customHeight="1" x14ac:dyDescent="0.25">
      <c r="A2851" s="148" t="s">
        <v>76</v>
      </c>
      <c r="B2851" s="148" t="s">
        <v>89</v>
      </c>
      <c r="C2851" s="148" t="s">
        <v>90</v>
      </c>
      <c r="D2851" s="148" t="s">
        <v>99</v>
      </c>
      <c r="E2851" s="148" t="s">
        <v>30</v>
      </c>
      <c r="F2851" s="148" t="s">
        <v>91</v>
      </c>
      <c r="G2851" s="148" t="s">
        <v>499</v>
      </c>
      <c r="H2851" s="148">
        <v>2019</v>
      </c>
      <c r="I2851" s="148">
        <v>6</v>
      </c>
      <c r="J2851" s="148" t="s">
        <v>150</v>
      </c>
      <c r="K2851" s="148" t="s">
        <v>579</v>
      </c>
      <c r="M2851" s="148" t="s">
        <v>2206</v>
      </c>
      <c r="N2851" s="148">
        <v>10</v>
      </c>
      <c r="O2851" s="148" t="s">
        <v>83</v>
      </c>
      <c r="P2851" s="148" t="s">
        <v>146</v>
      </c>
      <c r="Y2851" s="150" t="s">
        <v>2207</v>
      </c>
      <c r="Z2851" s="148" t="s">
        <v>1786</v>
      </c>
    </row>
    <row r="2852" spans="1:26" ht="15.75" hidden="1" customHeight="1" x14ac:dyDescent="0.25">
      <c r="A2852" s="148" t="s">
        <v>26</v>
      </c>
      <c r="B2852" s="148" t="s">
        <v>71</v>
      </c>
      <c r="C2852" s="148" t="s">
        <v>45</v>
      </c>
      <c r="D2852" s="148" t="s">
        <v>478</v>
      </c>
      <c r="E2852" s="148" t="s">
        <v>72</v>
      </c>
      <c r="F2852" s="148" t="s">
        <v>3183</v>
      </c>
      <c r="G2852" s="148" t="s">
        <v>73</v>
      </c>
      <c r="H2852" s="148">
        <v>2019</v>
      </c>
      <c r="I2852" s="148">
        <v>6</v>
      </c>
      <c r="J2852" s="148" t="s">
        <v>33</v>
      </c>
      <c r="U2852" s="149" t="s">
        <v>3629</v>
      </c>
      <c r="V2852" s="148" t="s">
        <v>2208</v>
      </c>
      <c r="W2852" s="149" t="s">
        <v>87</v>
      </c>
      <c r="X2852" s="157" t="s">
        <v>3769</v>
      </c>
      <c r="Y2852" s="150" t="s">
        <v>2209</v>
      </c>
      <c r="Z2852" s="148" t="s">
        <v>1786</v>
      </c>
    </row>
    <row r="2853" spans="1:26" ht="13.5" hidden="1" customHeight="1" x14ac:dyDescent="0.25">
      <c r="A2853" s="148" t="s">
        <v>307</v>
      </c>
      <c r="B2853" s="148" t="s">
        <v>36</v>
      </c>
      <c r="C2853" s="148" t="s">
        <v>28</v>
      </c>
      <c r="D2853" s="148" t="s">
        <v>342</v>
      </c>
      <c r="E2853" s="148" t="s">
        <v>30</v>
      </c>
      <c r="F2853" s="148" t="s">
        <v>3183</v>
      </c>
      <c r="G2853" s="148" t="s">
        <v>242</v>
      </c>
      <c r="H2853" s="148">
        <v>2019</v>
      </c>
      <c r="I2853" s="148">
        <v>6</v>
      </c>
      <c r="J2853" s="148" t="s">
        <v>308</v>
      </c>
      <c r="Q2853" s="148" t="s">
        <v>309</v>
      </c>
      <c r="R2853" s="148" t="s">
        <v>2210</v>
      </c>
      <c r="S2853" s="148" t="s">
        <v>311</v>
      </c>
      <c r="T2853" s="148" t="s">
        <v>2211</v>
      </c>
      <c r="Y2853" s="150" t="s">
        <v>2212</v>
      </c>
    </row>
    <row r="2854" spans="1:26" ht="15.75" hidden="1" customHeight="1" x14ac:dyDescent="0.25">
      <c r="A2854" s="148" t="s">
        <v>307</v>
      </c>
      <c r="B2854" s="148" t="s">
        <v>62</v>
      </c>
      <c r="C2854" s="148" t="s">
        <v>28</v>
      </c>
      <c r="D2854" s="148" t="s">
        <v>478</v>
      </c>
      <c r="E2854" s="148" t="s">
        <v>30</v>
      </c>
      <c r="F2854" s="148" t="s">
        <v>3183</v>
      </c>
      <c r="G2854" s="148" t="s">
        <v>244</v>
      </c>
      <c r="H2854" s="148">
        <v>2019</v>
      </c>
      <c r="I2854" s="148">
        <v>6</v>
      </c>
      <c r="J2854" s="148" t="s">
        <v>399</v>
      </c>
      <c r="Q2854" s="148" t="s">
        <v>426</v>
      </c>
      <c r="R2854" s="148" t="s">
        <v>2213</v>
      </c>
      <c r="S2854" s="148" t="s">
        <v>311</v>
      </c>
      <c r="T2854" s="148" t="s">
        <v>2214</v>
      </c>
      <c r="Y2854" s="150" t="s">
        <v>2215</v>
      </c>
    </row>
    <row r="2855" spans="1:26" ht="13.5" hidden="1" customHeight="1" x14ac:dyDescent="0.25">
      <c r="A2855" s="148" t="s">
        <v>76</v>
      </c>
      <c r="B2855" s="148" t="s">
        <v>89</v>
      </c>
      <c r="C2855" s="148" t="s">
        <v>90</v>
      </c>
      <c r="D2855" s="148" t="s">
        <v>342</v>
      </c>
      <c r="E2855" s="148" t="s">
        <v>30</v>
      </c>
      <c r="F2855" s="148" t="s">
        <v>91</v>
      </c>
      <c r="G2855" s="148" t="s">
        <v>411</v>
      </c>
      <c r="H2855" s="148">
        <v>2019</v>
      </c>
      <c r="I2855" s="148">
        <v>6</v>
      </c>
      <c r="J2855" s="148" t="s">
        <v>150</v>
      </c>
      <c r="K2855" s="148" t="s">
        <v>579</v>
      </c>
      <c r="M2855" s="148" t="s">
        <v>2206</v>
      </c>
      <c r="N2855" s="148">
        <v>10</v>
      </c>
      <c r="O2855" s="148" t="s">
        <v>83</v>
      </c>
      <c r="P2855" s="148" t="s">
        <v>154</v>
      </c>
      <c r="Y2855" s="150" t="s">
        <v>2216</v>
      </c>
      <c r="Z2855" s="148" t="s">
        <v>1786</v>
      </c>
    </row>
    <row r="2856" spans="1:26" ht="15.75" hidden="1" customHeight="1" x14ac:dyDescent="0.25">
      <c r="A2856" s="148" t="s">
        <v>76</v>
      </c>
      <c r="B2856" s="148" t="s">
        <v>27</v>
      </c>
      <c r="C2856" s="148" t="s">
        <v>28</v>
      </c>
      <c r="D2856" s="151" t="s">
        <v>3322</v>
      </c>
      <c r="E2856" s="148" t="s">
        <v>30</v>
      </c>
      <c r="F2856" s="148" t="s">
        <v>3183</v>
      </c>
      <c r="G2856" s="148" t="s">
        <v>163</v>
      </c>
      <c r="H2856" s="148">
        <v>2019</v>
      </c>
      <c r="I2856" s="148">
        <v>6</v>
      </c>
      <c r="J2856" s="148" t="s">
        <v>118</v>
      </c>
      <c r="K2856" s="148" t="s">
        <v>1152</v>
      </c>
      <c r="M2856" s="148" t="s">
        <v>82</v>
      </c>
      <c r="N2856" s="148">
        <v>8</v>
      </c>
      <c r="O2856" s="148" t="s">
        <v>101</v>
      </c>
      <c r="P2856" s="148" t="s">
        <v>2217</v>
      </c>
      <c r="T2856" s="148" t="s">
        <v>2218</v>
      </c>
      <c r="Y2856" s="150" t="s">
        <v>2219</v>
      </c>
    </row>
    <row r="2857" spans="1:26" ht="13.5" hidden="1" customHeight="1" x14ac:dyDescent="0.25">
      <c r="A2857" s="148" t="s">
        <v>76</v>
      </c>
      <c r="B2857" s="148" t="s">
        <v>27</v>
      </c>
      <c r="C2857" s="148" t="s">
        <v>28</v>
      </c>
      <c r="D2857" s="148" t="s">
        <v>1302</v>
      </c>
      <c r="E2857" s="148" t="s">
        <v>40</v>
      </c>
      <c r="F2857" s="148" t="s">
        <v>41</v>
      </c>
      <c r="G2857" s="148" t="s">
        <v>42</v>
      </c>
      <c r="H2857" s="148">
        <v>2019</v>
      </c>
      <c r="I2857" s="148">
        <v>6</v>
      </c>
      <c r="J2857" s="148" t="s">
        <v>118</v>
      </c>
      <c r="K2857" s="148" t="s">
        <v>1152</v>
      </c>
      <c r="M2857" s="148" t="s">
        <v>82</v>
      </c>
      <c r="N2857" s="148">
        <v>8</v>
      </c>
      <c r="O2857" s="148" t="s">
        <v>101</v>
      </c>
      <c r="P2857" s="148" t="s">
        <v>987</v>
      </c>
      <c r="Y2857" s="150" t="s">
        <v>2220</v>
      </c>
      <c r="Z2857" s="148" t="s">
        <v>1786</v>
      </c>
    </row>
    <row r="2858" spans="1:26" ht="15.75" hidden="1" customHeight="1" x14ac:dyDescent="0.25">
      <c r="A2858" s="148" t="s">
        <v>76</v>
      </c>
      <c r="B2858" s="148" t="s">
        <v>27</v>
      </c>
      <c r="C2858" s="148" t="s">
        <v>28</v>
      </c>
      <c r="D2858" s="148" t="s">
        <v>1302</v>
      </c>
      <c r="E2858" s="148" t="s">
        <v>40</v>
      </c>
      <c r="F2858" s="148" t="s">
        <v>41</v>
      </c>
      <c r="G2858" s="148" t="s">
        <v>42</v>
      </c>
      <c r="H2858" s="148">
        <v>2019</v>
      </c>
      <c r="I2858" s="148">
        <v>6</v>
      </c>
      <c r="J2858" s="148" t="s">
        <v>150</v>
      </c>
      <c r="K2858" s="148" t="s">
        <v>1892</v>
      </c>
      <c r="M2858" s="148" t="s">
        <v>1519</v>
      </c>
      <c r="N2858" s="148">
        <v>6</v>
      </c>
      <c r="O2858" s="148" t="s">
        <v>83</v>
      </c>
      <c r="P2858" s="148" t="s">
        <v>1693</v>
      </c>
      <c r="Y2858" s="150" t="s">
        <v>2221</v>
      </c>
    </row>
    <row r="2859" spans="1:26" ht="13.5" customHeight="1" x14ac:dyDescent="0.25">
      <c r="A2859" s="148" t="s">
        <v>76</v>
      </c>
      <c r="B2859" s="148" t="s">
        <v>36</v>
      </c>
      <c r="C2859" s="148" t="s">
        <v>28</v>
      </c>
      <c r="D2859" s="148" t="s">
        <v>1304</v>
      </c>
      <c r="E2859" s="148" t="s">
        <v>30</v>
      </c>
      <c r="F2859" s="148" t="s">
        <v>3183</v>
      </c>
      <c r="G2859" s="148" t="s">
        <v>194</v>
      </c>
      <c r="H2859" s="148">
        <v>2019</v>
      </c>
      <c r="I2859" s="148">
        <v>6</v>
      </c>
      <c r="J2859" s="148" t="s">
        <v>640</v>
      </c>
      <c r="K2859" s="148" t="s">
        <v>1152</v>
      </c>
      <c r="M2859" s="148" t="s">
        <v>82</v>
      </c>
      <c r="N2859" s="148">
        <v>8</v>
      </c>
      <c r="O2859" s="148" t="s">
        <v>83</v>
      </c>
      <c r="P2859" s="148" t="s">
        <v>2222</v>
      </c>
      <c r="Y2859" s="150" t="s">
        <v>2223</v>
      </c>
    </row>
    <row r="2860" spans="1:26" ht="15.75" hidden="1" customHeight="1" x14ac:dyDescent="0.25">
      <c r="A2860" s="148" t="s">
        <v>76</v>
      </c>
      <c r="B2860" s="148" t="s">
        <v>103</v>
      </c>
      <c r="C2860" s="148" t="s">
        <v>55</v>
      </c>
      <c r="D2860" s="148" t="s">
        <v>86</v>
      </c>
      <c r="E2860" s="148" t="s">
        <v>95</v>
      </c>
      <c r="F2860" s="148" t="s">
        <v>56</v>
      </c>
      <c r="G2860" s="148" t="s">
        <v>186</v>
      </c>
      <c r="H2860" s="148">
        <v>2019</v>
      </c>
      <c r="I2860" s="148">
        <v>6</v>
      </c>
      <c r="J2860" s="148" t="s">
        <v>118</v>
      </c>
      <c r="K2860" s="148" t="s">
        <v>1152</v>
      </c>
      <c r="M2860" s="148" t="s">
        <v>82</v>
      </c>
      <c r="N2860" s="148">
        <v>8</v>
      </c>
      <c r="O2860" s="148" t="s">
        <v>101</v>
      </c>
      <c r="P2860" s="148" t="s">
        <v>2224</v>
      </c>
      <c r="Y2860" s="150" t="s">
        <v>2225</v>
      </c>
    </row>
    <row r="2861" spans="1:26" ht="13.5" hidden="1" customHeight="1" x14ac:dyDescent="0.25">
      <c r="A2861" s="148" t="s">
        <v>76</v>
      </c>
      <c r="B2861" s="148" t="s">
        <v>89</v>
      </c>
      <c r="C2861" s="148" t="s">
        <v>90</v>
      </c>
      <c r="D2861" s="148" t="s">
        <v>292</v>
      </c>
      <c r="E2861" s="148" t="s">
        <v>30</v>
      </c>
      <c r="F2861" s="148" t="s">
        <v>91</v>
      </c>
      <c r="G2861" s="148" t="s">
        <v>288</v>
      </c>
      <c r="H2861" s="148">
        <v>2019</v>
      </c>
      <c r="I2861" s="148">
        <v>7</v>
      </c>
      <c r="J2861" s="148" t="s">
        <v>118</v>
      </c>
      <c r="K2861" s="148" t="s">
        <v>1152</v>
      </c>
      <c r="M2861" s="148" t="s">
        <v>82</v>
      </c>
      <c r="N2861" s="148">
        <v>8</v>
      </c>
      <c r="O2861" s="148" t="s">
        <v>101</v>
      </c>
      <c r="P2861" s="148" t="s">
        <v>146</v>
      </c>
      <c r="Y2861" s="150" t="s">
        <v>2226</v>
      </c>
      <c r="Z2861" s="148" t="s">
        <v>1786</v>
      </c>
    </row>
    <row r="2862" spans="1:26" ht="15.75" hidden="1" customHeight="1" x14ac:dyDescent="0.25">
      <c r="A2862" s="148" t="s">
        <v>26</v>
      </c>
      <c r="B2862" s="148" t="s">
        <v>103</v>
      </c>
      <c r="C2862" s="148" t="s">
        <v>55</v>
      </c>
      <c r="D2862" s="148" t="s">
        <v>478</v>
      </c>
      <c r="E2862" s="148" t="s">
        <v>95</v>
      </c>
      <c r="F2862" s="148" t="s">
        <v>56</v>
      </c>
      <c r="G2862" s="148" t="s">
        <v>111</v>
      </c>
      <c r="H2862" s="148">
        <v>2019</v>
      </c>
      <c r="I2862" s="148">
        <v>7</v>
      </c>
      <c r="J2862" s="148" t="s">
        <v>33</v>
      </c>
      <c r="U2862" s="149" t="s">
        <v>3629</v>
      </c>
      <c r="V2862" s="148" t="s">
        <v>2182</v>
      </c>
      <c r="W2862" s="157" t="s">
        <v>34</v>
      </c>
      <c r="X2862" s="157" t="s">
        <v>3770</v>
      </c>
      <c r="Y2862" s="150" t="s">
        <v>2228</v>
      </c>
    </row>
    <row r="2863" spans="1:26" ht="15.75" hidden="1" customHeight="1" x14ac:dyDescent="0.25">
      <c r="A2863" s="148" t="s">
        <v>307</v>
      </c>
      <c r="B2863" s="148" t="s">
        <v>103</v>
      </c>
      <c r="C2863" s="148" t="s">
        <v>55</v>
      </c>
      <c r="D2863" s="148" t="s">
        <v>478</v>
      </c>
      <c r="E2863" s="148" t="s">
        <v>95</v>
      </c>
      <c r="F2863" s="148" t="s">
        <v>56</v>
      </c>
      <c r="G2863" s="148" t="s">
        <v>104</v>
      </c>
      <c r="H2863" s="148">
        <v>2019</v>
      </c>
      <c r="I2863" s="148">
        <v>7</v>
      </c>
      <c r="J2863" s="148" t="s">
        <v>308</v>
      </c>
      <c r="Q2863" s="148" t="s">
        <v>426</v>
      </c>
      <c r="R2863" s="148" t="s">
        <v>1898</v>
      </c>
      <c r="S2863" s="148" t="s">
        <v>311</v>
      </c>
      <c r="Y2863" s="150" t="s">
        <v>2229</v>
      </c>
    </row>
    <row r="2864" spans="1:26" ht="13.5" hidden="1" customHeight="1" x14ac:dyDescent="0.25">
      <c r="A2864" s="148" t="s">
        <v>76</v>
      </c>
      <c r="B2864" s="148" t="s">
        <v>89</v>
      </c>
      <c r="C2864" s="148" t="s">
        <v>90</v>
      </c>
      <c r="D2864" s="148" t="s">
        <v>29</v>
      </c>
      <c r="E2864" s="148" t="s">
        <v>30</v>
      </c>
      <c r="F2864" s="148" t="s">
        <v>91</v>
      </c>
      <c r="G2864" s="148" t="s">
        <v>417</v>
      </c>
      <c r="H2864" s="148">
        <v>2019</v>
      </c>
      <c r="I2864" s="148">
        <v>7</v>
      </c>
      <c r="J2864" s="148" t="s">
        <v>118</v>
      </c>
      <c r="K2864" s="148" t="s">
        <v>1152</v>
      </c>
      <c r="M2864" s="148" t="s">
        <v>82</v>
      </c>
      <c r="N2864" s="148">
        <v>8</v>
      </c>
      <c r="O2864" s="148" t="s">
        <v>101</v>
      </c>
      <c r="P2864" s="148" t="s">
        <v>146</v>
      </c>
      <c r="Y2864" s="150" t="s">
        <v>2226</v>
      </c>
      <c r="Z2864" s="148" t="s">
        <v>1786</v>
      </c>
    </row>
    <row r="2865" spans="1:26" ht="13.5" hidden="1" customHeight="1" x14ac:dyDescent="0.25">
      <c r="A2865" s="148" t="s">
        <v>76</v>
      </c>
      <c r="B2865" s="148" t="s">
        <v>198</v>
      </c>
      <c r="C2865" s="148" t="s">
        <v>45</v>
      </c>
      <c r="D2865" s="148" t="s">
        <v>29</v>
      </c>
      <c r="E2865" s="148" t="s">
        <v>30</v>
      </c>
      <c r="F2865" s="148" t="s">
        <v>199</v>
      </c>
      <c r="G2865" s="148" t="s">
        <v>419</v>
      </c>
      <c r="H2865" s="148">
        <v>2019</v>
      </c>
      <c r="I2865" s="148">
        <v>7</v>
      </c>
      <c r="J2865" s="148" t="s">
        <v>118</v>
      </c>
      <c r="K2865" s="148" t="s">
        <v>1152</v>
      </c>
      <c r="M2865" s="148" t="s">
        <v>82</v>
      </c>
      <c r="N2865" s="148">
        <v>8</v>
      </c>
      <c r="O2865" s="148" t="s">
        <v>101</v>
      </c>
      <c r="P2865" s="148" t="s">
        <v>2230</v>
      </c>
      <c r="T2865" s="148" t="s">
        <v>2231</v>
      </c>
      <c r="Y2865" s="150" t="s">
        <v>2232</v>
      </c>
      <c r="Z2865" s="148" t="s">
        <v>2233</v>
      </c>
    </row>
    <row r="2866" spans="1:26" ht="16.5" hidden="1" customHeight="1" x14ac:dyDescent="0.25">
      <c r="A2866" s="148" t="s">
        <v>76</v>
      </c>
      <c r="B2866" s="148" t="s">
        <v>71</v>
      </c>
      <c r="C2866" s="148" t="s">
        <v>45</v>
      </c>
      <c r="D2866" s="148" t="s">
        <v>478</v>
      </c>
      <c r="E2866" s="148" t="s">
        <v>72</v>
      </c>
      <c r="F2866" s="148" t="s">
        <v>3183</v>
      </c>
      <c r="G2866" s="148" t="s">
        <v>75</v>
      </c>
      <c r="H2866" s="148">
        <v>2019</v>
      </c>
      <c r="I2866" s="148">
        <v>7</v>
      </c>
      <c r="J2866" s="148" t="s">
        <v>118</v>
      </c>
      <c r="K2866" s="148" t="s">
        <v>579</v>
      </c>
      <c r="M2866" s="148" t="s">
        <v>2234</v>
      </c>
      <c r="N2866" s="148">
        <v>10</v>
      </c>
      <c r="O2866" s="148" t="s">
        <v>101</v>
      </c>
      <c r="P2866" s="148" t="s">
        <v>146</v>
      </c>
      <c r="T2866" s="148" t="s">
        <v>2235</v>
      </c>
      <c r="Y2866" s="150" t="s">
        <v>2236</v>
      </c>
    </row>
    <row r="2867" spans="1:26" ht="13.5" hidden="1" customHeight="1" x14ac:dyDescent="0.25">
      <c r="A2867" s="148" t="s">
        <v>76</v>
      </c>
      <c r="B2867" s="148" t="s">
        <v>27</v>
      </c>
      <c r="C2867" s="148" t="s">
        <v>28</v>
      </c>
      <c r="D2867" s="148" t="s">
        <v>1302</v>
      </c>
      <c r="E2867" s="148" t="s">
        <v>40</v>
      </c>
      <c r="F2867" s="148" t="s">
        <v>41</v>
      </c>
      <c r="G2867" s="148" t="s">
        <v>42</v>
      </c>
      <c r="H2867" s="148">
        <v>2019</v>
      </c>
      <c r="I2867" s="148">
        <v>7</v>
      </c>
      <c r="J2867" s="148" t="s">
        <v>118</v>
      </c>
      <c r="K2867" s="148" t="s">
        <v>710</v>
      </c>
      <c r="M2867" s="148" t="s">
        <v>126</v>
      </c>
      <c r="N2867" s="148">
        <v>10</v>
      </c>
      <c r="O2867" s="148" t="s">
        <v>101</v>
      </c>
      <c r="P2867" s="148" t="s">
        <v>2237</v>
      </c>
      <c r="Y2867" s="150" t="s">
        <v>2238</v>
      </c>
      <c r="Z2867" s="148" t="s">
        <v>1786</v>
      </c>
    </row>
    <row r="2868" spans="1:26" ht="15.75" hidden="1" customHeight="1" x14ac:dyDescent="0.25">
      <c r="A2868" s="148" t="s">
        <v>26</v>
      </c>
      <c r="B2868" s="148" t="s">
        <v>54</v>
      </c>
      <c r="C2868" s="148" t="s">
        <v>55</v>
      </c>
      <c r="D2868" s="148" t="s">
        <v>2173</v>
      </c>
      <c r="E2868" s="148" t="s">
        <v>30</v>
      </c>
      <c r="F2868" s="148" t="s">
        <v>56</v>
      </c>
      <c r="G2868" s="148" t="s">
        <v>54</v>
      </c>
      <c r="H2868" s="148">
        <v>2019</v>
      </c>
      <c r="I2868" s="148">
        <v>7</v>
      </c>
      <c r="J2868" s="148" t="s">
        <v>785</v>
      </c>
      <c r="U2868" s="149" t="s">
        <v>3629</v>
      </c>
      <c r="V2868" s="148" t="s">
        <v>2182</v>
      </c>
      <c r="W2868" s="157" t="s">
        <v>34</v>
      </c>
      <c r="X2868" s="157" t="s">
        <v>3770</v>
      </c>
    </row>
    <row r="2869" spans="1:26" ht="13.5" hidden="1" customHeight="1" x14ac:dyDescent="0.25">
      <c r="A2869" s="148" t="s">
        <v>307</v>
      </c>
      <c r="B2869" s="148" t="s">
        <v>54</v>
      </c>
      <c r="C2869" s="148" t="s">
        <v>55</v>
      </c>
      <c r="D2869" s="148" t="s">
        <v>2173</v>
      </c>
      <c r="E2869" s="148" t="s">
        <v>30</v>
      </c>
      <c r="F2869" s="148" t="s">
        <v>56</v>
      </c>
      <c r="G2869" s="148" t="s">
        <v>54</v>
      </c>
      <c r="H2869" s="148">
        <v>2019</v>
      </c>
      <c r="I2869" s="148">
        <v>7</v>
      </c>
      <c r="J2869" s="148" t="s">
        <v>308</v>
      </c>
      <c r="Q2869" s="148" t="s">
        <v>2239</v>
      </c>
      <c r="R2869" s="148" t="s">
        <v>2240</v>
      </c>
      <c r="S2869" s="148" t="s">
        <v>885</v>
      </c>
      <c r="T2869" s="148" t="s">
        <v>2241</v>
      </c>
      <c r="Y2869" s="150" t="s">
        <v>2242</v>
      </c>
    </row>
    <row r="2870" spans="1:26" ht="15.75" hidden="1" customHeight="1" x14ac:dyDescent="0.25">
      <c r="A2870" s="148" t="s">
        <v>26</v>
      </c>
      <c r="B2870" s="148" t="s">
        <v>116</v>
      </c>
      <c r="C2870" s="148" t="s">
        <v>90</v>
      </c>
      <c r="D2870" s="148" t="s">
        <v>478</v>
      </c>
      <c r="E2870" s="148" t="s">
        <v>40</v>
      </c>
      <c r="F2870" s="148" t="s">
        <v>41</v>
      </c>
      <c r="G2870" s="148" t="s">
        <v>117</v>
      </c>
      <c r="H2870" s="148">
        <v>2019</v>
      </c>
      <c r="I2870" s="148">
        <v>8</v>
      </c>
      <c r="J2870" s="148" t="s">
        <v>792</v>
      </c>
      <c r="U2870" s="149" t="s">
        <v>3629</v>
      </c>
      <c r="V2870" s="148" t="s">
        <v>2182</v>
      </c>
      <c r="W2870" s="157" t="s">
        <v>34</v>
      </c>
      <c r="X2870" s="157" t="s">
        <v>3770</v>
      </c>
      <c r="Y2870" s="150" t="s">
        <v>2243</v>
      </c>
      <c r="Z2870" s="148" t="s">
        <v>2244</v>
      </c>
    </row>
    <row r="2871" spans="1:26" ht="15.75" hidden="1" customHeight="1" x14ac:dyDescent="0.25">
      <c r="A2871" s="148" t="s">
        <v>307</v>
      </c>
      <c r="B2871" s="148" t="s">
        <v>116</v>
      </c>
      <c r="C2871" s="148" t="s">
        <v>90</v>
      </c>
      <c r="D2871" s="148" t="s">
        <v>478</v>
      </c>
      <c r="E2871" s="148" t="s">
        <v>40</v>
      </c>
      <c r="F2871" s="148" t="s">
        <v>41</v>
      </c>
      <c r="G2871" s="148" t="s">
        <v>117</v>
      </c>
      <c r="H2871" s="148">
        <v>2019</v>
      </c>
      <c r="I2871" s="148">
        <v>8</v>
      </c>
      <c r="J2871" s="148" t="s">
        <v>308</v>
      </c>
      <c r="Q2871" s="148" t="s">
        <v>309</v>
      </c>
      <c r="R2871" s="148" t="s">
        <v>1087</v>
      </c>
      <c r="S2871" s="148" t="s">
        <v>427</v>
      </c>
      <c r="V2871" s="148" t="s">
        <v>2182</v>
      </c>
      <c r="X2871" s="148" t="s">
        <v>2227</v>
      </c>
      <c r="Y2871" s="150" t="s">
        <v>2245</v>
      </c>
    </row>
    <row r="2872" spans="1:26" ht="15.75" hidden="1" customHeight="1" x14ac:dyDescent="0.25">
      <c r="A2872" s="148" t="s">
        <v>307</v>
      </c>
      <c r="B2872" s="148" t="s">
        <v>77</v>
      </c>
      <c r="C2872" s="148" t="s">
        <v>55</v>
      </c>
      <c r="D2872" s="148" t="s">
        <v>478</v>
      </c>
      <c r="E2872" s="148" t="s">
        <v>30</v>
      </c>
      <c r="F2872" s="148" t="s">
        <v>41</v>
      </c>
      <c r="G2872" s="148" t="s">
        <v>161</v>
      </c>
      <c r="H2872" s="148">
        <v>2019</v>
      </c>
      <c r="I2872" s="148">
        <v>8</v>
      </c>
      <c r="J2872" s="148" t="s">
        <v>308</v>
      </c>
      <c r="Q2872" s="148" t="s">
        <v>309</v>
      </c>
      <c r="R2872" s="148" t="s">
        <v>2200</v>
      </c>
      <c r="S2872" s="148" t="s">
        <v>660</v>
      </c>
      <c r="T2872" s="148" t="s">
        <v>2246</v>
      </c>
      <c r="Y2872" s="150" t="s">
        <v>2247</v>
      </c>
      <c r="Z2872" s="148" t="s">
        <v>2248</v>
      </c>
    </row>
    <row r="2873" spans="1:26" ht="15.75" hidden="1" customHeight="1" x14ac:dyDescent="0.25">
      <c r="A2873" s="148" t="s">
        <v>307</v>
      </c>
      <c r="B2873" s="148" t="s">
        <v>36</v>
      </c>
      <c r="C2873" s="148" t="s">
        <v>28</v>
      </c>
      <c r="D2873" s="148" t="s">
        <v>342</v>
      </c>
      <c r="E2873" s="148" t="s">
        <v>30</v>
      </c>
      <c r="F2873" s="148" t="s">
        <v>3183</v>
      </c>
      <c r="G2873" s="148" t="s">
        <v>242</v>
      </c>
      <c r="H2873" s="148">
        <v>2019</v>
      </c>
      <c r="I2873" s="148">
        <v>8</v>
      </c>
      <c r="J2873" s="148" t="s">
        <v>308</v>
      </c>
      <c r="Q2873" s="148" t="s">
        <v>426</v>
      </c>
      <c r="R2873" s="160" t="s">
        <v>2249</v>
      </c>
      <c r="S2873" s="148" t="s">
        <v>311</v>
      </c>
      <c r="Y2873" s="150" t="s">
        <v>2250</v>
      </c>
    </row>
    <row r="2874" spans="1:26" ht="13.5" hidden="1" customHeight="1" x14ac:dyDescent="0.25">
      <c r="A2874" s="148" t="s">
        <v>307</v>
      </c>
      <c r="B2874" s="148" t="s">
        <v>27</v>
      </c>
      <c r="C2874" s="148" t="s">
        <v>28</v>
      </c>
      <c r="D2874" s="151" t="s">
        <v>3322</v>
      </c>
      <c r="E2874" s="148" t="s">
        <v>30</v>
      </c>
      <c r="F2874" s="148" t="s">
        <v>3183</v>
      </c>
      <c r="G2874" s="148" t="s">
        <v>163</v>
      </c>
      <c r="H2874" s="148">
        <v>2019</v>
      </c>
      <c r="I2874" s="148">
        <v>8</v>
      </c>
      <c r="J2874" s="148" t="s">
        <v>308</v>
      </c>
      <c r="Q2874" s="148" t="s">
        <v>309</v>
      </c>
      <c r="R2874" s="148" t="s">
        <v>2251</v>
      </c>
      <c r="S2874" s="148" t="s">
        <v>311</v>
      </c>
      <c r="T2874" s="148" t="s">
        <v>2252</v>
      </c>
      <c r="Y2874" s="150" t="s">
        <v>2253</v>
      </c>
      <c r="Z2874" s="148" t="s">
        <v>2254</v>
      </c>
    </row>
    <row r="2875" spans="1:26" ht="16.5" hidden="1" customHeight="1" x14ac:dyDescent="0.25">
      <c r="A2875" s="148" t="s">
        <v>76</v>
      </c>
      <c r="B2875" s="148" t="s">
        <v>62</v>
      </c>
      <c r="C2875" s="148" t="s">
        <v>28</v>
      </c>
      <c r="D2875" s="148" t="s">
        <v>51</v>
      </c>
      <c r="E2875" s="148" t="s">
        <v>30</v>
      </c>
      <c r="F2875" s="148" t="s">
        <v>3183</v>
      </c>
      <c r="G2875" s="148" t="s">
        <v>63</v>
      </c>
      <c r="H2875" s="148">
        <v>2019</v>
      </c>
      <c r="I2875" s="148">
        <v>8</v>
      </c>
      <c r="J2875" s="148" t="s">
        <v>118</v>
      </c>
      <c r="K2875" s="148" t="s">
        <v>710</v>
      </c>
      <c r="M2875" s="148" t="s">
        <v>126</v>
      </c>
      <c r="N2875" s="148">
        <v>10</v>
      </c>
      <c r="O2875" s="148" t="s">
        <v>101</v>
      </c>
      <c r="P2875" s="148" t="s">
        <v>2255</v>
      </c>
      <c r="Y2875" s="150" t="s">
        <v>2256</v>
      </c>
      <c r="Z2875" s="148" t="s">
        <v>1786</v>
      </c>
    </row>
    <row r="2876" spans="1:26" ht="13.5" hidden="1" customHeight="1" x14ac:dyDescent="0.25">
      <c r="A2876" s="148" t="s">
        <v>76</v>
      </c>
      <c r="B2876" s="148" t="s">
        <v>27</v>
      </c>
      <c r="C2876" s="148" t="s">
        <v>28</v>
      </c>
      <c r="D2876" s="148" t="s">
        <v>1302</v>
      </c>
      <c r="E2876" s="148" t="s">
        <v>40</v>
      </c>
      <c r="F2876" s="148" t="s">
        <v>41</v>
      </c>
      <c r="G2876" s="180" t="s">
        <v>42</v>
      </c>
      <c r="H2876" s="148">
        <v>2019</v>
      </c>
      <c r="I2876" s="148">
        <v>8</v>
      </c>
      <c r="J2876" s="148" t="s">
        <v>150</v>
      </c>
      <c r="K2876" s="148" t="s">
        <v>579</v>
      </c>
      <c r="M2876" s="148" t="s">
        <v>2206</v>
      </c>
      <c r="N2876" s="148">
        <v>10</v>
      </c>
      <c r="O2876" s="148" t="s">
        <v>83</v>
      </c>
      <c r="P2876" s="148" t="s">
        <v>1625</v>
      </c>
      <c r="Y2876" s="150" t="s">
        <v>2258</v>
      </c>
      <c r="Z2876" s="148" t="s">
        <v>1786</v>
      </c>
    </row>
    <row r="2877" spans="1:26" ht="15.75" hidden="1" customHeight="1" x14ac:dyDescent="0.25">
      <c r="A2877" s="148" t="s">
        <v>26</v>
      </c>
      <c r="B2877" s="148" t="s">
        <v>103</v>
      </c>
      <c r="C2877" s="148" t="s">
        <v>55</v>
      </c>
      <c r="D2877" s="148" t="s">
        <v>478</v>
      </c>
      <c r="E2877" s="148" t="s">
        <v>95</v>
      </c>
      <c r="F2877" s="148" t="s">
        <v>56</v>
      </c>
      <c r="G2877" s="148" t="s">
        <v>225</v>
      </c>
      <c r="H2877" s="148">
        <v>2019</v>
      </c>
      <c r="I2877" s="148">
        <v>8</v>
      </c>
      <c r="J2877" s="148" t="s">
        <v>792</v>
      </c>
      <c r="U2877" s="149" t="s">
        <v>3629</v>
      </c>
      <c r="V2877" s="148" t="s">
        <v>2182</v>
      </c>
      <c r="W2877" s="157" t="s">
        <v>34</v>
      </c>
      <c r="X2877" s="157" t="s">
        <v>3770</v>
      </c>
      <c r="Y2877" s="150" t="s">
        <v>2259</v>
      </c>
      <c r="Z2877" s="148" t="s">
        <v>1786</v>
      </c>
    </row>
    <row r="2878" spans="1:26" ht="15.75" hidden="1" customHeight="1" x14ac:dyDescent="0.25">
      <c r="A2878" s="148" t="s">
        <v>307</v>
      </c>
      <c r="B2878" s="148" t="s">
        <v>54</v>
      </c>
      <c r="C2878" s="148" t="s">
        <v>55</v>
      </c>
      <c r="D2878" s="148" t="s">
        <v>2173</v>
      </c>
      <c r="E2878" s="148" t="s">
        <v>30</v>
      </c>
      <c r="F2878" s="148" t="s">
        <v>56</v>
      </c>
      <c r="G2878" s="148" t="s">
        <v>54</v>
      </c>
      <c r="H2878" s="148">
        <v>2019</v>
      </c>
      <c r="I2878" s="148">
        <v>8</v>
      </c>
      <c r="J2878" s="148" t="s">
        <v>399</v>
      </c>
      <c r="Q2878" s="148" t="s">
        <v>1229</v>
      </c>
      <c r="R2878" s="148" t="s">
        <v>2260</v>
      </c>
      <c r="S2878" s="148" t="s">
        <v>311</v>
      </c>
      <c r="T2878" s="148" t="s">
        <v>2261</v>
      </c>
      <c r="Y2878" s="150" t="s">
        <v>2262</v>
      </c>
    </row>
    <row r="2879" spans="1:26" ht="15.75" hidden="1" customHeight="1" x14ac:dyDescent="0.25">
      <c r="A2879" s="148" t="s">
        <v>307</v>
      </c>
      <c r="B2879" s="148" t="s">
        <v>36</v>
      </c>
      <c r="C2879" s="148" t="s">
        <v>28</v>
      </c>
      <c r="D2879" s="152" t="s">
        <v>1304</v>
      </c>
      <c r="E2879" s="148" t="s">
        <v>30</v>
      </c>
      <c r="F2879" s="148" t="s">
        <v>3183</v>
      </c>
      <c r="G2879" s="148" t="s">
        <v>194</v>
      </c>
      <c r="H2879" s="148">
        <v>2019</v>
      </c>
      <c r="I2879" s="148">
        <v>8</v>
      </c>
      <c r="J2879" s="148" t="s">
        <v>308</v>
      </c>
      <c r="Q2879" s="148" t="s">
        <v>309</v>
      </c>
      <c r="R2879" s="148" t="s">
        <v>2263</v>
      </c>
      <c r="S2879" s="148" t="s">
        <v>311</v>
      </c>
      <c r="T2879" s="148" t="s">
        <v>2264</v>
      </c>
      <c r="Y2879" s="150" t="s">
        <v>2265</v>
      </c>
      <c r="Z2879" s="148" t="s">
        <v>2266</v>
      </c>
    </row>
    <row r="2880" spans="1:26" ht="13.5" hidden="1" customHeight="1" x14ac:dyDescent="0.25">
      <c r="A2880" s="148" t="s">
        <v>307</v>
      </c>
      <c r="B2880" s="148" t="s">
        <v>77</v>
      </c>
      <c r="C2880" s="148" t="s">
        <v>55</v>
      </c>
      <c r="D2880" s="148" t="s">
        <v>478</v>
      </c>
      <c r="E2880" s="148" t="s">
        <v>30</v>
      </c>
      <c r="F2880" s="148" t="s">
        <v>41</v>
      </c>
      <c r="G2880" s="148" t="s">
        <v>275</v>
      </c>
      <c r="H2880" s="148">
        <v>2019</v>
      </c>
      <c r="I2880" s="148">
        <v>8</v>
      </c>
      <c r="J2880" s="148" t="s">
        <v>308</v>
      </c>
      <c r="Q2880" s="148" t="s">
        <v>309</v>
      </c>
      <c r="R2880" s="148" t="s">
        <v>2200</v>
      </c>
      <c r="S2880" s="148" t="s">
        <v>596</v>
      </c>
      <c r="T2880" s="148" t="s">
        <v>2267</v>
      </c>
      <c r="Y2880" s="150" t="s">
        <v>2268</v>
      </c>
      <c r="Z2880" s="148" t="s">
        <v>2269</v>
      </c>
    </row>
    <row r="2881" spans="1:26" ht="15.75" hidden="1" customHeight="1" x14ac:dyDescent="0.25">
      <c r="A2881" s="148" t="s">
        <v>307</v>
      </c>
      <c r="B2881" s="148" t="s">
        <v>36</v>
      </c>
      <c r="C2881" s="148" t="s">
        <v>28</v>
      </c>
      <c r="D2881" s="148" t="s">
        <v>342</v>
      </c>
      <c r="E2881" s="148" t="s">
        <v>51</v>
      </c>
      <c r="F2881" s="148" t="s">
        <v>3183</v>
      </c>
      <c r="G2881" s="148" t="s">
        <v>52</v>
      </c>
      <c r="H2881" s="148">
        <v>2019</v>
      </c>
      <c r="I2881" s="148">
        <v>8</v>
      </c>
      <c r="J2881" s="148" t="s">
        <v>308</v>
      </c>
      <c r="Q2881" s="148" t="s">
        <v>594</v>
      </c>
      <c r="R2881" s="148" t="s">
        <v>2270</v>
      </c>
      <c r="S2881" s="148" t="s">
        <v>885</v>
      </c>
      <c r="T2881" s="148" t="s">
        <v>2271</v>
      </c>
      <c r="Y2881" s="150" t="s">
        <v>2272</v>
      </c>
      <c r="Z2881" s="148" t="s">
        <v>2273</v>
      </c>
    </row>
    <row r="2882" spans="1:26" ht="15.75" hidden="1" customHeight="1" x14ac:dyDescent="0.25">
      <c r="A2882" s="148" t="s">
        <v>76</v>
      </c>
      <c r="B2882" s="148" t="s">
        <v>198</v>
      </c>
      <c r="C2882" s="148" t="s">
        <v>45</v>
      </c>
      <c r="D2882" s="148" t="s">
        <v>478</v>
      </c>
      <c r="E2882" s="148" t="s">
        <v>40</v>
      </c>
      <c r="F2882" s="148" t="s">
        <v>199</v>
      </c>
      <c r="G2882" s="148" t="s">
        <v>282</v>
      </c>
      <c r="H2882" s="148">
        <v>2019</v>
      </c>
      <c r="I2882" s="148">
        <v>9</v>
      </c>
      <c r="J2882" s="148" t="s">
        <v>150</v>
      </c>
      <c r="K2882" s="148" t="s">
        <v>1152</v>
      </c>
      <c r="M2882" s="148" t="s">
        <v>82</v>
      </c>
      <c r="N2882" s="148">
        <v>8</v>
      </c>
      <c r="O2882" s="148" t="s">
        <v>83</v>
      </c>
      <c r="P2882" s="148" t="s">
        <v>602</v>
      </c>
      <c r="Y2882" s="150" t="s">
        <v>2274</v>
      </c>
      <c r="Z2882" s="148" t="s">
        <v>1786</v>
      </c>
    </row>
    <row r="2883" spans="1:26" ht="13.5" hidden="1" customHeight="1" x14ac:dyDescent="0.25">
      <c r="A2883" s="148" t="s">
        <v>307</v>
      </c>
      <c r="B2883" s="148" t="s">
        <v>71</v>
      </c>
      <c r="C2883" s="148" t="s">
        <v>45</v>
      </c>
      <c r="D2883" s="148" t="s">
        <v>478</v>
      </c>
      <c r="E2883" s="148" t="s">
        <v>72</v>
      </c>
      <c r="F2883" s="148" t="s">
        <v>3183</v>
      </c>
      <c r="G2883" s="148" t="s">
        <v>73</v>
      </c>
      <c r="H2883" s="148">
        <v>2019</v>
      </c>
      <c r="I2883" s="148">
        <v>9</v>
      </c>
      <c r="J2883" s="148" t="s">
        <v>399</v>
      </c>
      <c r="Q2883" s="148" t="s">
        <v>426</v>
      </c>
      <c r="R2883" s="148" t="s">
        <v>2275</v>
      </c>
      <c r="S2883" s="148" t="s">
        <v>885</v>
      </c>
      <c r="T2883" s="148" t="s">
        <v>2276</v>
      </c>
      <c r="Y2883" s="150" t="s">
        <v>2277</v>
      </c>
      <c r="Z2883" s="148" t="s">
        <v>2278</v>
      </c>
    </row>
    <row r="2884" spans="1:26" ht="15.75" hidden="1" customHeight="1" x14ac:dyDescent="0.25">
      <c r="A2884" s="148" t="s">
        <v>307</v>
      </c>
      <c r="B2884" s="148" t="s">
        <v>71</v>
      </c>
      <c r="C2884" s="148" t="s">
        <v>45</v>
      </c>
      <c r="D2884" s="148" t="s">
        <v>478</v>
      </c>
      <c r="E2884" s="148" t="s">
        <v>72</v>
      </c>
      <c r="F2884" s="148" t="s">
        <v>3183</v>
      </c>
      <c r="G2884" s="148" t="s">
        <v>73</v>
      </c>
      <c r="H2884" s="148">
        <v>2019</v>
      </c>
      <c r="I2884" s="148">
        <v>9</v>
      </c>
      <c r="J2884" s="148" t="s">
        <v>308</v>
      </c>
      <c r="Q2884" s="148" t="s">
        <v>426</v>
      </c>
      <c r="R2884" s="148" t="s">
        <v>2279</v>
      </c>
      <c r="S2884" s="148" t="s">
        <v>311</v>
      </c>
      <c r="T2884" s="148" t="s">
        <v>2280</v>
      </c>
      <c r="Y2884" s="150" t="s">
        <v>2281</v>
      </c>
    </row>
    <row r="2885" spans="1:26" ht="13.5" hidden="1" customHeight="1" x14ac:dyDescent="0.25">
      <c r="A2885" s="148" t="s">
        <v>76</v>
      </c>
      <c r="B2885" s="148" t="s">
        <v>27</v>
      </c>
      <c r="C2885" s="148" t="s">
        <v>28</v>
      </c>
      <c r="D2885" s="148" t="s">
        <v>86</v>
      </c>
      <c r="E2885" s="148" t="s">
        <v>30</v>
      </c>
      <c r="F2885" s="148" t="s">
        <v>3183</v>
      </c>
      <c r="G2885" s="148" t="s">
        <v>32</v>
      </c>
      <c r="H2885" s="148">
        <v>2019</v>
      </c>
      <c r="I2885" s="148">
        <v>9</v>
      </c>
      <c r="J2885" s="148" t="s">
        <v>118</v>
      </c>
      <c r="K2885" s="148" t="s">
        <v>1152</v>
      </c>
      <c r="M2885" s="148" t="s">
        <v>82</v>
      </c>
      <c r="N2885" s="148">
        <v>8</v>
      </c>
      <c r="O2885" s="148" t="s">
        <v>101</v>
      </c>
      <c r="P2885" s="148" t="s">
        <v>2282</v>
      </c>
      <c r="Y2885" s="150" t="s">
        <v>2283</v>
      </c>
      <c r="Z2885" s="148" t="s">
        <v>1786</v>
      </c>
    </row>
    <row r="2886" spans="1:26" ht="13.5" hidden="1" customHeight="1" x14ac:dyDescent="0.25">
      <c r="A2886" s="148" t="s">
        <v>76</v>
      </c>
      <c r="B2886" s="148" t="s">
        <v>198</v>
      </c>
      <c r="C2886" s="148" t="s">
        <v>45</v>
      </c>
      <c r="D2886" s="148" t="s">
        <v>478</v>
      </c>
      <c r="E2886" s="148" t="s">
        <v>30</v>
      </c>
      <c r="F2886" s="148" t="s">
        <v>199</v>
      </c>
      <c r="G2886" s="148" t="s">
        <v>208</v>
      </c>
      <c r="H2886" s="148">
        <v>2019</v>
      </c>
      <c r="I2886" s="148">
        <v>9</v>
      </c>
      <c r="J2886" s="148" t="s">
        <v>150</v>
      </c>
      <c r="K2886" s="148" t="s">
        <v>1152</v>
      </c>
      <c r="M2886" s="148" t="s">
        <v>82</v>
      </c>
      <c r="N2886" s="148">
        <v>8</v>
      </c>
      <c r="O2886" s="148" t="s">
        <v>83</v>
      </c>
      <c r="P2886" s="148" t="s">
        <v>2284</v>
      </c>
      <c r="Y2886" s="150" t="s">
        <v>2285</v>
      </c>
      <c r="Z2886" s="148" t="s">
        <v>1786</v>
      </c>
    </row>
    <row r="2887" spans="1:26" ht="15.75" hidden="1" customHeight="1" x14ac:dyDescent="0.25">
      <c r="A2887" s="148" t="s">
        <v>26</v>
      </c>
      <c r="B2887" s="148" t="s">
        <v>36</v>
      </c>
      <c r="C2887" s="148" t="s">
        <v>28</v>
      </c>
      <c r="D2887" s="148" t="s">
        <v>86</v>
      </c>
      <c r="E2887" s="148" t="s">
        <v>30</v>
      </c>
      <c r="F2887" s="148" t="s">
        <v>3183</v>
      </c>
      <c r="G2887" s="148" t="s">
        <v>211</v>
      </c>
      <c r="H2887" s="148">
        <v>2019</v>
      </c>
      <c r="I2887" s="148">
        <v>9</v>
      </c>
      <c r="J2887" s="148" t="s">
        <v>33</v>
      </c>
      <c r="U2887" s="149" t="s">
        <v>112</v>
      </c>
      <c r="V2887" s="148" t="s">
        <v>3702</v>
      </c>
      <c r="W2887" s="149" t="s">
        <v>87</v>
      </c>
      <c r="X2887" s="148" t="s">
        <v>2316</v>
      </c>
      <c r="Y2887" s="150" t="s">
        <v>2286</v>
      </c>
      <c r="Z2887" s="148" t="s">
        <v>1786</v>
      </c>
    </row>
    <row r="2888" spans="1:26" ht="15.75" hidden="1" customHeight="1" x14ac:dyDescent="0.25">
      <c r="A2888" s="148" t="s">
        <v>76</v>
      </c>
      <c r="B2888" s="148" t="s">
        <v>36</v>
      </c>
      <c r="C2888" s="148" t="s">
        <v>28</v>
      </c>
      <c r="D2888" s="148" t="s">
        <v>342</v>
      </c>
      <c r="E2888" s="148" t="s">
        <v>30</v>
      </c>
      <c r="F2888" s="148" t="s">
        <v>3183</v>
      </c>
      <c r="G2888" s="148" t="s">
        <v>438</v>
      </c>
      <c r="H2888" s="148">
        <v>2019</v>
      </c>
      <c r="I2888" s="148">
        <v>9</v>
      </c>
      <c r="J2888" s="148" t="s">
        <v>118</v>
      </c>
      <c r="K2888" s="148" t="s">
        <v>1152</v>
      </c>
      <c r="M2888" s="148" t="s">
        <v>82</v>
      </c>
      <c r="N2888" s="148">
        <v>8</v>
      </c>
      <c r="O2888" s="148" t="s">
        <v>101</v>
      </c>
      <c r="P2888" s="148" t="s">
        <v>2287</v>
      </c>
      <c r="Y2888" s="150" t="s">
        <v>2288</v>
      </c>
      <c r="Z2888" s="148" t="s">
        <v>1786</v>
      </c>
    </row>
    <row r="2889" spans="1:26" ht="15.75" hidden="1" customHeight="1" x14ac:dyDescent="0.25">
      <c r="A2889" s="148" t="s">
        <v>76</v>
      </c>
      <c r="B2889" s="148" t="s">
        <v>44</v>
      </c>
      <c r="C2889" s="148" t="s">
        <v>45</v>
      </c>
      <c r="D2889" s="148" t="s">
        <v>29</v>
      </c>
      <c r="E2889" s="148" t="s">
        <v>30</v>
      </c>
      <c r="F2889" s="148" t="s">
        <v>199</v>
      </c>
      <c r="G2889" s="148" t="s">
        <v>232</v>
      </c>
      <c r="H2889" s="148">
        <v>2019</v>
      </c>
      <c r="I2889" s="148">
        <v>9</v>
      </c>
      <c r="J2889" s="148" t="s">
        <v>118</v>
      </c>
      <c r="K2889" s="148" t="s">
        <v>579</v>
      </c>
      <c r="M2889" s="148" t="s">
        <v>2234</v>
      </c>
      <c r="N2889" s="148">
        <v>10</v>
      </c>
      <c r="O2889" s="148" t="s">
        <v>101</v>
      </c>
      <c r="P2889" s="148" t="s">
        <v>2289</v>
      </c>
      <c r="Y2889" s="150" t="s">
        <v>2290</v>
      </c>
      <c r="Z2889" s="148" t="s">
        <v>1786</v>
      </c>
    </row>
    <row r="2890" spans="1:26" ht="16.5" hidden="1" customHeight="1" x14ac:dyDescent="0.25">
      <c r="A2890" s="148" t="s">
        <v>76</v>
      </c>
      <c r="B2890" s="148" t="s">
        <v>116</v>
      </c>
      <c r="C2890" s="148" t="s">
        <v>90</v>
      </c>
      <c r="D2890" s="148" t="s">
        <v>478</v>
      </c>
      <c r="E2890" s="148" t="s">
        <v>30</v>
      </c>
      <c r="F2890" s="148" t="s">
        <v>41</v>
      </c>
      <c r="G2890" s="148" t="s">
        <v>421</v>
      </c>
      <c r="H2890" s="148">
        <v>2019</v>
      </c>
      <c r="I2890" s="148">
        <v>9</v>
      </c>
      <c r="J2890" s="148" t="s">
        <v>118</v>
      </c>
      <c r="K2890" s="148" t="s">
        <v>579</v>
      </c>
      <c r="M2890" s="148" t="s">
        <v>2234</v>
      </c>
      <c r="N2890" s="148">
        <v>10</v>
      </c>
      <c r="O2890" s="148" t="s">
        <v>101</v>
      </c>
      <c r="P2890" s="148" t="s">
        <v>2291</v>
      </c>
      <c r="Y2890" s="150" t="s">
        <v>2292</v>
      </c>
      <c r="Z2890" s="148" t="s">
        <v>1786</v>
      </c>
    </row>
    <row r="2891" spans="1:26" ht="15.75" hidden="1" customHeight="1" x14ac:dyDescent="0.25">
      <c r="A2891" s="148" t="s">
        <v>26</v>
      </c>
      <c r="B2891" s="148" t="s">
        <v>36</v>
      </c>
      <c r="C2891" s="148" t="s">
        <v>28</v>
      </c>
      <c r="D2891" s="148" t="s">
        <v>478</v>
      </c>
      <c r="E2891" s="148" t="s">
        <v>30</v>
      </c>
      <c r="F2891" s="148" t="s">
        <v>3183</v>
      </c>
      <c r="G2891" s="148" t="s">
        <v>67</v>
      </c>
      <c r="H2891" s="148">
        <v>2019</v>
      </c>
      <c r="I2891" s="148">
        <v>9</v>
      </c>
      <c r="J2891" s="148" t="s">
        <v>33</v>
      </c>
      <c r="U2891" s="149" t="s">
        <v>3629</v>
      </c>
      <c r="V2891" s="148" t="s">
        <v>2182</v>
      </c>
      <c r="W2891" s="157" t="s">
        <v>34</v>
      </c>
      <c r="X2891" s="157" t="s">
        <v>3770</v>
      </c>
      <c r="Y2891" s="150" t="s">
        <v>2293</v>
      </c>
    </row>
    <row r="2892" spans="1:26" ht="13.5" hidden="1" customHeight="1" x14ac:dyDescent="0.25">
      <c r="A2892" s="148" t="s">
        <v>26</v>
      </c>
      <c r="B2892" s="148" t="s">
        <v>89</v>
      </c>
      <c r="C2892" s="148" t="s">
        <v>90</v>
      </c>
      <c r="D2892" s="148" t="s">
        <v>342</v>
      </c>
      <c r="E2892" s="148" t="s">
        <v>30</v>
      </c>
      <c r="F2892" s="148" t="s">
        <v>91</v>
      </c>
      <c r="G2892" s="148" t="s">
        <v>411</v>
      </c>
      <c r="H2892" s="148">
        <v>2019</v>
      </c>
      <c r="I2892" s="148">
        <v>9</v>
      </c>
      <c r="J2892" s="148" t="s">
        <v>33</v>
      </c>
      <c r="U2892" s="149" t="s">
        <v>3629</v>
      </c>
      <c r="V2892" s="148" t="s">
        <v>2182</v>
      </c>
      <c r="W2892" s="157" t="s">
        <v>34</v>
      </c>
      <c r="X2892" s="157" t="s">
        <v>3770</v>
      </c>
      <c r="Y2892" s="150" t="s">
        <v>2293</v>
      </c>
    </row>
    <row r="2893" spans="1:26" ht="15.75" hidden="1" customHeight="1" x14ac:dyDescent="0.25">
      <c r="A2893" s="148" t="s">
        <v>76</v>
      </c>
      <c r="B2893" s="148" t="s">
        <v>62</v>
      </c>
      <c r="C2893" s="148" t="s">
        <v>28</v>
      </c>
      <c r="D2893" s="148" t="s">
        <v>51</v>
      </c>
      <c r="E2893" s="148" t="s">
        <v>30</v>
      </c>
      <c r="F2893" s="148" t="s">
        <v>3183</v>
      </c>
      <c r="G2893" s="148" t="s">
        <v>63</v>
      </c>
      <c r="H2893" s="148">
        <v>2019</v>
      </c>
      <c r="I2893" s="148">
        <v>9</v>
      </c>
      <c r="J2893" s="148" t="s">
        <v>118</v>
      </c>
      <c r="K2893" s="148" t="s">
        <v>1152</v>
      </c>
      <c r="M2893" s="148" t="s">
        <v>82</v>
      </c>
      <c r="N2893" s="148">
        <v>8</v>
      </c>
      <c r="O2893" s="148" t="s">
        <v>101</v>
      </c>
      <c r="P2893" s="148" t="s">
        <v>2287</v>
      </c>
      <c r="Y2893" s="150" t="s">
        <v>2288</v>
      </c>
      <c r="Z2893" s="148" t="s">
        <v>1786</v>
      </c>
    </row>
    <row r="2894" spans="1:26" ht="13.5" hidden="1" customHeight="1" x14ac:dyDescent="0.25">
      <c r="A2894" s="148" t="s">
        <v>307</v>
      </c>
      <c r="B2894" s="148" t="s">
        <v>27</v>
      </c>
      <c r="C2894" s="148" t="s">
        <v>28</v>
      </c>
      <c r="D2894" s="148" t="s">
        <v>1302</v>
      </c>
      <c r="E2894" s="148" t="s">
        <v>40</v>
      </c>
      <c r="F2894" s="148" t="s">
        <v>41</v>
      </c>
      <c r="G2894" s="148" t="s">
        <v>42</v>
      </c>
      <c r="H2894" s="148">
        <v>2019</v>
      </c>
      <c r="I2894" s="148">
        <v>9</v>
      </c>
      <c r="J2894" s="148" t="s">
        <v>308</v>
      </c>
      <c r="Q2894" s="148" t="s">
        <v>594</v>
      </c>
      <c r="R2894" s="148" t="s">
        <v>2294</v>
      </c>
      <c r="S2894" s="148" t="s">
        <v>885</v>
      </c>
      <c r="T2894" s="148" t="s">
        <v>2295</v>
      </c>
      <c r="Y2894" s="150" t="s">
        <v>2296</v>
      </c>
      <c r="Z2894" s="148" t="s">
        <v>2278</v>
      </c>
    </row>
    <row r="2895" spans="1:26" ht="13.5" hidden="1" customHeight="1" x14ac:dyDescent="0.25">
      <c r="A2895" s="148" t="s">
        <v>307</v>
      </c>
      <c r="B2895" s="148" t="s">
        <v>54</v>
      </c>
      <c r="C2895" s="148" t="s">
        <v>55</v>
      </c>
      <c r="D2895" s="148" t="s">
        <v>2173</v>
      </c>
      <c r="E2895" s="148" t="s">
        <v>30</v>
      </c>
      <c r="F2895" s="148" t="s">
        <v>56</v>
      </c>
      <c r="G2895" s="148" t="s">
        <v>54</v>
      </c>
      <c r="H2895" s="148">
        <v>2019</v>
      </c>
      <c r="I2895" s="148">
        <v>9</v>
      </c>
      <c r="J2895" s="148" t="s">
        <v>399</v>
      </c>
      <c r="Q2895" s="148" t="s">
        <v>594</v>
      </c>
      <c r="R2895" s="148" t="s">
        <v>2297</v>
      </c>
      <c r="S2895" s="148" t="s">
        <v>311</v>
      </c>
      <c r="T2895" s="148" t="s">
        <v>2298</v>
      </c>
      <c r="Y2895" s="150" t="s">
        <v>2299</v>
      </c>
      <c r="Z2895" s="148" t="s">
        <v>2300</v>
      </c>
    </row>
    <row r="2896" spans="1:26" ht="13.5" hidden="1" customHeight="1" x14ac:dyDescent="0.25">
      <c r="A2896" s="148" t="s">
        <v>76</v>
      </c>
      <c r="B2896" s="148" t="s">
        <v>54</v>
      </c>
      <c r="C2896" s="148" t="s">
        <v>55</v>
      </c>
      <c r="D2896" s="148" t="s">
        <v>2173</v>
      </c>
      <c r="E2896" s="148" t="s">
        <v>30</v>
      </c>
      <c r="F2896" s="148" t="s">
        <v>56</v>
      </c>
      <c r="G2896" s="148" t="s">
        <v>54</v>
      </c>
      <c r="H2896" s="148">
        <v>2019</v>
      </c>
      <c r="I2896" s="148">
        <v>9</v>
      </c>
      <c r="J2896" s="148" t="s">
        <v>150</v>
      </c>
      <c r="K2896" s="148" t="s">
        <v>1152</v>
      </c>
      <c r="M2896" s="148" t="s">
        <v>82</v>
      </c>
      <c r="N2896" s="148">
        <v>8</v>
      </c>
      <c r="O2896" s="148" t="s">
        <v>83</v>
      </c>
      <c r="P2896" s="148" t="s">
        <v>154</v>
      </c>
      <c r="T2896" s="148" t="s">
        <v>2301</v>
      </c>
      <c r="Y2896" s="150" t="s">
        <v>2302</v>
      </c>
    </row>
    <row r="2897" spans="1:26" ht="15.75" hidden="1" customHeight="1" x14ac:dyDescent="0.25">
      <c r="A2897" s="148" t="s">
        <v>76</v>
      </c>
      <c r="B2897" s="148" t="s">
        <v>54</v>
      </c>
      <c r="C2897" s="148" t="s">
        <v>55</v>
      </c>
      <c r="D2897" s="148" t="s">
        <v>2173</v>
      </c>
      <c r="E2897" s="148" t="s">
        <v>30</v>
      </c>
      <c r="F2897" s="148" t="s">
        <v>56</v>
      </c>
      <c r="G2897" s="148" t="s">
        <v>54</v>
      </c>
      <c r="H2897" s="148">
        <v>2019</v>
      </c>
      <c r="I2897" s="148">
        <v>9</v>
      </c>
      <c r="J2897" s="148" t="s">
        <v>150</v>
      </c>
      <c r="K2897" s="148" t="s">
        <v>710</v>
      </c>
      <c r="M2897" s="148" t="s">
        <v>126</v>
      </c>
      <c r="N2897" s="148">
        <v>10</v>
      </c>
      <c r="O2897" s="148" t="s">
        <v>83</v>
      </c>
      <c r="P2897" s="148" t="s">
        <v>2303</v>
      </c>
      <c r="Y2897" s="150" t="s">
        <v>2304</v>
      </c>
      <c r="Z2897" s="148" t="s">
        <v>1786</v>
      </c>
    </row>
    <row r="2898" spans="1:26" ht="15.75" hidden="1" customHeight="1" x14ac:dyDescent="0.25">
      <c r="A2898" s="148" t="s">
        <v>76</v>
      </c>
      <c r="B2898" s="148" t="s">
        <v>103</v>
      </c>
      <c r="C2898" s="148" t="s">
        <v>55</v>
      </c>
      <c r="D2898" s="152" t="s">
        <v>478</v>
      </c>
      <c r="E2898" s="148" t="s">
        <v>30</v>
      </c>
      <c r="F2898" s="148" t="s">
        <v>56</v>
      </c>
      <c r="G2898" s="148" t="s">
        <v>519</v>
      </c>
      <c r="H2898" s="148">
        <v>2019</v>
      </c>
      <c r="I2898" s="148">
        <v>9</v>
      </c>
      <c r="J2898" s="148" t="s">
        <v>150</v>
      </c>
      <c r="K2898" s="148" t="s">
        <v>710</v>
      </c>
      <c r="M2898" s="148" t="s">
        <v>126</v>
      </c>
      <c r="N2898" s="148">
        <v>10</v>
      </c>
      <c r="O2898" s="148" t="s">
        <v>83</v>
      </c>
      <c r="P2898" s="148" t="s">
        <v>2284</v>
      </c>
      <c r="Y2898" s="150" t="s">
        <v>2305</v>
      </c>
      <c r="Z2898" s="148" t="s">
        <v>1786</v>
      </c>
    </row>
    <row r="2899" spans="1:26" ht="13.5" hidden="1" customHeight="1" x14ac:dyDescent="0.25">
      <c r="A2899" s="148" t="s">
        <v>307</v>
      </c>
      <c r="B2899" s="148" t="s">
        <v>36</v>
      </c>
      <c r="C2899" s="148" t="s">
        <v>28</v>
      </c>
      <c r="D2899" s="152" t="s">
        <v>342</v>
      </c>
      <c r="E2899" s="148" t="s">
        <v>51</v>
      </c>
      <c r="F2899" s="148" t="s">
        <v>3183</v>
      </c>
      <c r="G2899" s="148" t="s">
        <v>52</v>
      </c>
      <c r="H2899" s="148">
        <v>2019</v>
      </c>
      <c r="I2899" s="148">
        <v>9</v>
      </c>
      <c r="J2899" s="148" t="s">
        <v>399</v>
      </c>
      <c r="Q2899" s="148" t="s">
        <v>426</v>
      </c>
      <c r="R2899" s="148" t="s">
        <v>1087</v>
      </c>
      <c r="S2899" s="148" t="s">
        <v>311</v>
      </c>
      <c r="T2899" s="148" t="s">
        <v>2306</v>
      </c>
      <c r="Y2899" s="150" t="s">
        <v>2307</v>
      </c>
      <c r="Z2899" s="148" t="s">
        <v>2308</v>
      </c>
    </row>
    <row r="2900" spans="1:26" ht="13.5" hidden="1" customHeight="1" x14ac:dyDescent="0.25">
      <c r="A2900" s="148" t="s">
        <v>26</v>
      </c>
      <c r="B2900" s="148" t="s">
        <v>36</v>
      </c>
      <c r="C2900" s="148" t="s">
        <v>28</v>
      </c>
      <c r="D2900" s="148" t="s">
        <v>158</v>
      </c>
      <c r="E2900" s="148" t="s">
        <v>30</v>
      </c>
      <c r="F2900" s="148" t="s">
        <v>3183</v>
      </c>
      <c r="G2900" s="148" t="s">
        <v>2309</v>
      </c>
      <c r="H2900" s="148">
        <v>2019</v>
      </c>
      <c r="I2900" s="148">
        <v>9</v>
      </c>
      <c r="J2900" s="148" t="s">
        <v>33</v>
      </c>
      <c r="U2900" s="149" t="s">
        <v>112</v>
      </c>
      <c r="V2900" s="148" t="s">
        <v>3702</v>
      </c>
      <c r="W2900" s="149" t="s">
        <v>87</v>
      </c>
      <c r="X2900" s="148" t="s">
        <v>2316</v>
      </c>
      <c r="Y2900" s="150" t="s">
        <v>2310</v>
      </c>
      <c r="Z2900" s="148" t="s">
        <v>1786</v>
      </c>
    </row>
    <row r="2901" spans="1:26" ht="15.75" hidden="1" customHeight="1" x14ac:dyDescent="0.25">
      <c r="A2901" s="148" t="s">
        <v>76</v>
      </c>
      <c r="B2901" s="148" t="s">
        <v>198</v>
      </c>
      <c r="C2901" s="148" t="s">
        <v>45</v>
      </c>
      <c r="D2901" s="148" t="s">
        <v>99</v>
      </c>
      <c r="E2901" s="148" t="s">
        <v>30</v>
      </c>
      <c r="F2901" s="148" t="s">
        <v>199</v>
      </c>
      <c r="G2901" s="148" t="s">
        <v>505</v>
      </c>
      <c r="H2901" s="148">
        <v>2019</v>
      </c>
      <c r="I2901" s="148">
        <v>9</v>
      </c>
      <c r="J2901" s="148" t="s">
        <v>150</v>
      </c>
      <c r="K2901" s="148" t="s">
        <v>1152</v>
      </c>
      <c r="M2901" s="148" t="s">
        <v>82</v>
      </c>
      <c r="N2901" s="148">
        <v>8</v>
      </c>
      <c r="O2901" s="148" t="s">
        <v>83</v>
      </c>
      <c r="P2901" s="148" t="s">
        <v>2311</v>
      </c>
      <c r="Y2901" s="150" t="s">
        <v>2312</v>
      </c>
    </row>
    <row r="2902" spans="1:26" ht="15.75" hidden="1" customHeight="1" x14ac:dyDescent="0.25">
      <c r="A2902" s="148" t="s">
        <v>76</v>
      </c>
      <c r="B2902" s="148" t="s">
        <v>89</v>
      </c>
      <c r="C2902" s="148" t="s">
        <v>90</v>
      </c>
      <c r="D2902" s="148" t="s">
        <v>99</v>
      </c>
      <c r="E2902" s="148" t="s">
        <v>30</v>
      </c>
      <c r="F2902" s="148" t="s">
        <v>91</v>
      </c>
      <c r="G2902" s="148" t="s">
        <v>499</v>
      </c>
      <c r="H2902" s="148">
        <v>2019</v>
      </c>
      <c r="I2902" s="148">
        <v>10</v>
      </c>
      <c r="J2902" s="148" t="s">
        <v>640</v>
      </c>
      <c r="K2902" s="148" t="s">
        <v>1152</v>
      </c>
      <c r="M2902" s="148" t="s">
        <v>82</v>
      </c>
      <c r="N2902" s="148">
        <v>8</v>
      </c>
      <c r="O2902" s="148" t="s">
        <v>101</v>
      </c>
      <c r="P2902" s="148" t="s">
        <v>2006</v>
      </c>
      <c r="Y2902" s="150" t="s">
        <v>2313</v>
      </c>
    </row>
    <row r="2903" spans="1:26" ht="13.5" hidden="1" customHeight="1" x14ac:dyDescent="0.25">
      <c r="A2903" s="148" t="s">
        <v>76</v>
      </c>
      <c r="B2903" s="148" t="s">
        <v>103</v>
      </c>
      <c r="C2903" s="148" t="s">
        <v>55</v>
      </c>
      <c r="D2903" s="148" t="s">
        <v>516</v>
      </c>
      <c r="E2903" s="148" t="s">
        <v>30</v>
      </c>
      <c r="F2903" s="148" t="s">
        <v>56</v>
      </c>
      <c r="G2903" s="148" t="s">
        <v>285</v>
      </c>
      <c r="H2903" s="148">
        <v>2019</v>
      </c>
      <c r="I2903" s="148">
        <v>10</v>
      </c>
      <c r="J2903" s="148" t="s">
        <v>640</v>
      </c>
      <c r="K2903" s="148" t="s">
        <v>1152</v>
      </c>
      <c r="M2903" s="148" t="s">
        <v>82</v>
      </c>
      <c r="N2903" s="148">
        <v>8</v>
      </c>
      <c r="O2903" s="148" t="s">
        <v>101</v>
      </c>
      <c r="P2903" s="148" t="s">
        <v>2006</v>
      </c>
      <c r="Y2903" s="150" t="s">
        <v>2313</v>
      </c>
      <c r="Z2903" s="148" t="s">
        <v>1786</v>
      </c>
    </row>
    <row r="2904" spans="1:26" ht="15.75" hidden="1" customHeight="1" x14ac:dyDescent="0.25">
      <c r="A2904" s="148" t="s">
        <v>76</v>
      </c>
      <c r="B2904" s="148" t="s">
        <v>103</v>
      </c>
      <c r="C2904" s="148" t="s">
        <v>55</v>
      </c>
      <c r="D2904" s="148" t="s">
        <v>516</v>
      </c>
      <c r="E2904" s="148" t="s">
        <v>30</v>
      </c>
      <c r="F2904" s="148" t="s">
        <v>56</v>
      </c>
      <c r="G2904" s="148" t="s">
        <v>260</v>
      </c>
      <c r="H2904" s="148">
        <v>2019</v>
      </c>
      <c r="I2904" s="148">
        <v>10</v>
      </c>
      <c r="J2904" s="148" t="s">
        <v>640</v>
      </c>
      <c r="K2904" s="148" t="s">
        <v>1152</v>
      </c>
      <c r="M2904" s="148" t="s">
        <v>82</v>
      </c>
      <c r="N2904" s="148">
        <v>8</v>
      </c>
      <c r="O2904" s="148" t="s">
        <v>101</v>
      </c>
      <c r="P2904" s="148" t="s">
        <v>2006</v>
      </c>
      <c r="Y2904" s="150" t="s">
        <v>2313</v>
      </c>
    </row>
    <row r="2905" spans="1:26" ht="13.5" hidden="1" customHeight="1" x14ac:dyDescent="0.25">
      <c r="A2905" s="148" t="s">
        <v>76</v>
      </c>
      <c r="B2905" s="148" t="s">
        <v>103</v>
      </c>
      <c r="C2905" s="148" t="s">
        <v>55</v>
      </c>
      <c r="D2905" s="148" t="s">
        <v>478</v>
      </c>
      <c r="E2905" s="148" t="s">
        <v>30</v>
      </c>
      <c r="F2905" s="148" t="s">
        <v>56</v>
      </c>
      <c r="G2905" s="148" t="s">
        <v>171</v>
      </c>
      <c r="H2905" s="148">
        <v>2019</v>
      </c>
      <c r="I2905" s="148">
        <v>10</v>
      </c>
      <c r="J2905" s="148" t="s">
        <v>640</v>
      </c>
      <c r="K2905" s="148" t="s">
        <v>1152</v>
      </c>
      <c r="M2905" s="148" t="s">
        <v>82</v>
      </c>
      <c r="N2905" s="148">
        <v>8</v>
      </c>
      <c r="O2905" s="148" t="s">
        <v>101</v>
      </c>
      <c r="P2905" s="148" t="s">
        <v>2006</v>
      </c>
      <c r="Y2905" s="150" t="s">
        <v>2313</v>
      </c>
    </row>
    <row r="2906" spans="1:26" ht="15.75" hidden="1" customHeight="1" x14ac:dyDescent="0.25">
      <c r="A2906" s="148" t="s">
        <v>76</v>
      </c>
      <c r="B2906" s="148" t="s">
        <v>36</v>
      </c>
      <c r="C2906" s="148" t="s">
        <v>28</v>
      </c>
      <c r="D2906" s="148" t="s">
        <v>86</v>
      </c>
      <c r="E2906" s="148" t="s">
        <v>30</v>
      </c>
      <c r="F2906" s="148" t="s">
        <v>3183</v>
      </c>
      <c r="G2906" s="148" t="s">
        <v>211</v>
      </c>
      <c r="H2906" s="148">
        <v>2019</v>
      </c>
      <c r="I2906" s="148">
        <v>10</v>
      </c>
      <c r="J2906" s="148" t="s">
        <v>118</v>
      </c>
      <c r="K2906" s="148" t="s">
        <v>1152</v>
      </c>
      <c r="M2906" s="148" t="s">
        <v>82</v>
      </c>
      <c r="N2906" s="148">
        <v>8</v>
      </c>
      <c r="O2906" s="148" t="s">
        <v>101</v>
      </c>
      <c r="P2906" s="148" t="s">
        <v>2314</v>
      </c>
      <c r="Y2906" s="150" t="s">
        <v>2315</v>
      </c>
      <c r="Z2906" s="148" t="s">
        <v>1786</v>
      </c>
    </row>
    <row r="2907" spans="1:26" ht="15.75" hidden="1" customHeight="1" x14ac:dyDescent="0.25">
      <c r="A2907" s="148" t="s">
        <v>26</v>
      </c>
      <c r="B2907" s="148" t="s">
        <v>36</v>
      </c>
      <c r="C2907" s="148" t="s">
        <v>28</v>
      </c>
      <c r="D2907" s="148" t="s">
        <v>86</v>
      </c>
      <c r="E2907" s="148" t="s">
        <v>30</v>
      </c>
      <c r="F2907" s="148" t="s">
        <v>3183</v>
      </c>
      <c r="G2907" s="148" t="s">
        <v>211</v>
      </c>
      <c r="H2907" s="148">
        <v>2019</v>
      </c>
      <c r="I2907" s="148">
        <v>10</v>
      </c>
      <c r="J2907" s="148" t="s">
        <v>33</v>
      </c>
      <c r="U2907" s="149" t="s">
        <v>112</v>
      </c>
      <c r="V2907" s="148" t="s">
        <v>3702</v>
      </c>
      <c r="W2907" s="149" t="s">
        <v>87</v>
      </c>
      <c r="X2907" s="148" t="s">
        <v>2316</v>
      </c>
    </row>
    <row r="2908" spans="1:26" ht="13.5" hidden="1" customHeight="1" x14ac:dyDescent="0.25">
      <c r="A2908" s="148" t="s">
        <v>76</v>
      </c>
      <c r="B2908" s="148" t="s">
        <v>36</v>
      </c>
      <c r="C2908" s="148" t="s">
        <v>28</v>
      </c>
      <c r="D2908" s="148" t="s">
        <v>342</v>
      </c>
      <c r="E2908" s="148" t="s">
        <v>30</v>
      </c>
      <c r="F2908" s="148" t="s">
        <v>3183</v>
      </c>
      <c r="G2908" s="148" t="s">
        <v>438</v>
      </c>
      <c r="H2908" s="148">
        <v>2019</v>
      </c>
      <c r="I2908" s="148">
        <v>10</v>
      </c>
      <c r="J2908" s="148" t="s">
        <v>118</v>
      </c>
      <c r="K2908" s="148" t="s">
        <v>1152</v>
      </c>
      <c r="M2908" s="148" t="s">
        <v>82</v>
      </c>
      <c r="N2908" s="148">
        <v>8</v>
      </c>
      <c r="O2908" s="148" t="s">
        <v>101</v>
      </c>
      <c r="P2908" s="148" t="s">
        <v>146</v>
      </c>
    </row>
    <row r="2909" spans="1:26" ht="15.75" hidden="1" customHeight="1" x14ac:dyDescent="0.25">
      <c r="A2909" s="148" t="s">
        <v>26</v>
      </c>
      <c r="B2909" s="148" t="s">
        <v>116</v>
      </c>
      <c r="C2909" s="148" t="s">
        <v>90</v>
      </c>
      <c r="D2909" s="148" t="s">
        <v>99</v>
      </c>
      <c r="E2909" s="148" t="s">
        <v>30</v>
      </c>
      <c r="F2909" s="148" t="s">
        <v>41</v>
      </c>
      <c r="G2909" s="148" t="s">
        <v>564</v>
      </c>
      <c r="H2909" s="148">
        <v>2019</v>
      </c>
      <c r="I2909" s="148">
        <v>10</v>
      </c>
      <c r="J2909" s="148" t="s">
        <v>792</v>
      </c>
      <c r="U2909" s="149" t="s">
        <v>3629</v>
      </c>
      <c r="V2909" s="148" t="s">
        <v>2317</v>
      </c>
      <c r="W2909" s="148" t="s">
        <v>49</v>
      </c>
      <c r="X2909" s="157" t="s">
        <v>3771</v>
      </c>
      <c r="Y2909" s="150" t="s">
        <v>2318</v>
      </c>
      <c r="Z2909" s="148" t="s">
        <v>2319</v>
      </c>
    </row>
    <row r="2910" spans="1:26" ht="13.5" hidden="1" customHeight="1" x14ac:dyDescent="0.25">
      <c r="A2910" s="148" t="s">
        <v>26</v>
      </c>
      <c r="B2910" s="148" t="s">
        <v>36</v>
      </c>
      <c r="C2910" s="148" t="s">
        <v>28</v>
      </c>
      <c r="D2910" s="148" t="s">
        <v>158</v>
      </c>
      <c r="E2910" s="148" t="s">
        <v>30</v>
      </c>
      <c r="F2910" s="148" t="s">
        <v>3183</v>
      </c>
      <c r="G2910" s="148" t="s">
        <v>239</v>
      </c>
      <c r="H2910" s="148">
        <v>2019</v>
      </c>
      <c r="I2910" s="148">
        <v>10</v>
      </c>
      <c r="J2910" s="148" t="s">
        <v>33</v>
      </c>
      <c r="U2910" s="149" t="s">
        <v>112</v>
      </c>
      <c r="V2910" s="148" t="s">
        <v>3702</v>
      </c>
      <c r="W2910" s="149" t="s">
        <v>87</v>
      </c>
      <c r="X2910" s="148" t="s">
        <v>2316</v>
      </c>
      <c r="Y2910" s="150" t="s">
        <v>2320</v>
      </c>
    </row>
    <row r="2911" spans="1:26" ht="15.75" hidden="1" customHeight="1" x14ac:dyDescent="0.25">
      <c r="A2911" s="148" t="s">
        <v>76</v>
      </c>
      <c r="B2911" s="148" t="s">
        <v>116</v>
      </c>
      <c r="C2911" s="148" t="s">
        <v>90</v>
      </c>
      <c r="D2911" s="148" t="s">
        <v>478</v>
      </c>
      <c r="E2911" s="148" t="s">
        <v>40</v>
      </c>
      <c r="F2911" s="148" t="s">
        <v>41</v>
      </c>
      <c r="G2911" s="148" t="s">
        <v>117</v>
      </c>
      <c r="H2911" s="148">
        <v>2019</v>
      </c>
      <c r="I2911" s="148">
        <v>10</v>
      </c>
      <c r="J2911" s="148" t="s">
        <v>640</v>
      </c>
      <c r="K2911" s="148" t="s">
        <v>1152</v>
      </c>
      <c r="M2911" s="148" t="s">
        <v>82</v>
      </c>
      <c r="N2911" s="148">
        <v>8</v>
      </c>
      <c r="O2911" s="148" t="s">
        <v>101</v>
      </c>
      <c r="P2911" s="148" t="s">
        <v>2006</v>
      </c>
      <c r="Y2911" s="150" t="s">
        <v>2321</v>
      </c>
    </row>
    <row r="2912" spans="1:26" ht="13.5" hidden="1" customHeight="1" x14ac:dyDescent="0.25">
      <c r="A2912" s="148" t="s">
        <v>76</v>
      </c>
      <c r="B2912" s="148" t="s">
        <v>89</v>
      </c>
      <c r="C2912" s="148" t="s">
        <v>90</v>
      </c>
      <c r="D2912" s="148" t="s">
        <v>342</v>
      </c>
      <c r="E2912" s="148" t="s">
        <v>30</v>
      </c>
      <c r="F2912" s="148" t="s">
        <v>91</v>
      </c>
      <c r="G2912" s="148" t="s">
        <v>391</v>
      </c>
      <c r="H2912" s="148">
        <v>2019</v>
      </c>
      <c r="I2912" s="148">
        <v>10</v>
      </c>
      <c r="J2912" s="148" t="s">
        <v>640</v>
      </c>
      <c r="K2912" s="148" t="s">
        <v>1152</v>
      </c>
      <c r="M2912" s="148" t="s">
        <v>82</v>
      </c>
      <c r="N2912" s="148">
        <v>8</v>
      </c>
      <c r="O2912" s="148" t="s">
        <v>101</v>
      </c>
      <c r="P2912" s="148" t="s">
        <v>2006</v>
      </c>
      <c r="Y2912" s="150" t="s">
        <v>2313</v>
      </c>
    </row>
    <row r="2913" spans="1:26" ht="13.5" hidden="1" customHeight="1" x14ac:dyDescent="0.25">
      <c r="A2913" s="148" t="s">
        <v>76</v>
      </c>
      <c r="B2913" s="148" t="s">
        <v>77</v>
      </c>
      <c r="C2913" s="148" t="s">
        <v>55</v>
      </c>
      <c r="D2913" s="148" t="s">
        <v>478</v>
      </c>
      <c r="E2913" s="148" t="s">
        <v>30</v>
      </c>
      <c r="F2913" s="148" t="s">
        <v>41</v>
      </c>
      <c r="G2913" s="148" t="s">
        <v>159</v>
      </c>
      <c r="H2913" s="148">
        <v>2019</v>
      </c>
      <c r="I2913" s="148">
        <v>10</v>
      </c>
      <c r="J2913" s="148" t="s">
        <v>640</v>
      </c>
      <c r="K2913" s="148" t="s">
        <v>1152</v>
      </c>
      <c r="M2913" s="148" t="s">
        <v>82</v>
      </c>
      <c r="N2913" s="148">
        <v>8</v>
      </c>
      <c r="O2913" s="148" t="s">
        <v>101</v>
      </c>
      <c r="P2913" s="148" t="s">
        <v>2006</v>
      </c>
      <c r="Y2913" s="150" t="s">
        <v>2313</v>
      </c>
    </row>
    <row r="2914" spans="1:26" ht="15.75" hidden="1" customHeight="1" x14ac:dyDescent="0.25">
      <c r="A2914" s="148" t="s">
        <v>307</v>
      </c>
      <c r="B2914" s="148" t="s">
        <v>77</v>
      </c>
      <c r="C2914" s="148" t="s">
        <v>55</v>
      </c>
      <c r="D2914" s="148" t="s">
        <v>478</v>
      </c>
      <c r="E2914" s="148" t="s">
        <v>30</v>
      </c>
      <c r="F2914" s="148" t="s">
        <v>41</v>
      </c>
      <c r="G2914" s="148" t="s">
        <v>159</v>
      </c>
      <c r="H2914" s="148">
        <v>2019</v>
      </c>
      <c r="I2914" s="148">
        <v>10</v>
      </c>
      <c r="J2914" s="148" t="s">
        <v>308</v>
      </c>
      <c r="Q2914" s="148" t="s">
        <v>309</v>
      </c>
      <c r="R2914" s="148" t="s">
        <v>2322</v>
      </c>
      <c r="S2914" s="148" t="s">
        <v>311</v>
      </c>
      <c r="T2914" s="148" t="s">
        <v>2323</v>
      </c>
      <c r="Y2914" s="150" t="s">
        <v>2324</v>
      </c>
    </row>
    <row r="2915" spans="1:26" ht="13.5" hidden="1" customHeight="1" x14ac:dyDescent="0.25">
      <c r="A2915" s="148" t="s">
        <v>76</v>
      </c>
      <c r="B2915" s="148" t="s">
        <v>77</v>
      </c>
      <c r="C2915" s="148" t="s">
        <v>55</v>
      </c>
      <c r="D2915" s="148" t="s">
        <v>478</v>
      </c>
      <c r="E2915" s="148" t="s">
        <v>30</v>
      </c>
      <c r="F2915" s="148" t="s">
        <v>41</v>
      </c>
      <c r="G2915" s="148" t="s">
        <v>161</v>
      </c>
      <c r="H2915" s="148">
        <v>2019</v>
      </c>
      <c r="I2915" s="148">
        <v>10</v>
      </c>
      <c r="J2915" s="148" t="s">
        <v>640</v>
      </c>
      <c r="K2915" s="148" t="s">
        <v>1152</v>
      </c>
      <c r="M2915" s="148" t="s">
        <v>82</v>
      </c>
      <c r="N2915" s="148">
        <v>8</v>
      </c>
      <c r="O2915" s="148" t="s">
        <v>101</v>
      </c>
      <c r="P2915" s="148" t="s">
        <v>2325</v>
      </c>
      <c r="Y2915" s="150" t="s">
        <v>2313</v>
      </c>
    </row>
    <row r="2916" spans="1:26" ht="13.5" hidden="1" customHeight="1" x14ac:dyDescent="0.25">
      <c r="A2916" s="148" t="s">
        <v>76</v>
      </c>
      <c r="B2916" s="148" t="s">
        <v>103</v>
      </c>
      <c r="C2916" s="148" t="s">
        <v>55</v>
      </c>
      <c r="D2916" s="148" t="s">
        <v>516</v>
      </c>
      <c r="E2916" s="148" t="s">
        <v>95</v>
      </c>
      <c r="F2916" s="148" t="s">
        <v>56</v>
      </c>
      <c r="G2916" s="148" t="s">
        <v>1013</v>
      </c>
      <c r="H2916" s="148">
        <v>2019</v>
      </c>
      <c r="I2916" s="148">
        <v>10</v>
      </c>
      <c r="J2916" s="148" t="s">
        <v>640</v>
      </c>
      <c r="K2916" s="148" t="s">
        <v>1152</v>
      </c>
      <c r="M2916" s="148" t="s">
        <v>82</v>
      </c>
      <c r="N2916" s="148">
        <v>8</v>
      </c>
      <c r="O2916" s="148" t="s">
        <v>101</v>
      </c>
      <c r="P2916" s="148" t="s">
        <v>2326</v>
      </c>
      <c r="Y2916" s="150" t="s">
        <v>2313</v>
      </c>
    </row>
    <row r="2917" spans="1:26" ht="15.75" hidden="1" customHeight="1" x14ac:dyDescent="0.25">
      <c r="A2917" s="148" t="s">
        <v>76</v>
      </c>
      <c r="B2917" s="148" t="s">
        <v>62</v>
      </c>
      <c r="C2917" s="148" t="s">
        <v>28</v>
      </c>
      <c r="D2917" s="148" t="s">
        <v>478</v>
      </c>
      <c r="E2917" s="148" t="s">
        <v>30</v>
      </c>
      <c r="F2917" s="148" t="s">
        <v>3183</v>
      </c>
      <c r="G2917" s="148" t="s">
        <v>244</v>
      </c>
      <c r="H2917" s="148">
        <v>2019</v>
      </c>
      <c r="I2917" s="148">
        <v>10</v>
      </c>
      <c r="J2917" s="148" t="s">
        <v>118</v>
      </c>
      <c r="K2917" s="148" t="s">
        <v>1152</v>
      </c>
      <c r="M2917" s="148" t="s">
        <v>82</v>
      </c>
      <c r="N2917" s="148">
        <v>8</v>
      </c>
      <c r="O2917" s="148" t="s">
        <v>101</v>
      </c>
      <c r="P2917" s="148" t="s">
        <v>850</v>
      </c>
    </row>
    <row r="2918" spans="1:26" ht="13.5" hidden="1" customHeight="1" x14ac:dyDescent="0.25">
      <c r="A2918" s="148" t="s">
        <v>76</v>
      </c>
      <c r="B2918" s="148" t="s">
        <v>62</v>
      </c>
      <c r="C2918" s="148" t="s">
        <v>28</v>
      </c>
      <c r="D2918" s="148" t="s">
        <v>46</v>
      </c>
      <c r="E2918" s="148" t="s">
        <v>30</v>
      </c>
      <c r="F2918" s="148" t="s">
        <v>3183</v>
      </c>
      <c r="G2918" s="148" t="s">
        <v>46</v>
      </c>
      <c r="H2918" s="148">
        <v>2019</v>
      </c>
      <c r="I2918" s="148">
        <v>10</v>
      </c>
      <c r="J2918" s="148" t="s">
        <v>100</v>
      </c>
      <c r="K2918" s="148" t="s">
        <v>1152</v>
      </c>
      <c r="M2918" s="148" t="s">
        <v>82</v>
      </c>
      <c r="N2918" s="148">
        <v>8</v>
      </c>
      <c r="O2918" s="148" t="s">
        <v>101</v>
      </c>
      <c r="P2918" s="148" t="s">
        <v>2327</v>
      </c>
      <c r="Y2918" s="150" t="s">
        <v>2015</v>
      </c>
    </row>
    <row r="2919" spans="1:26" ht="15.75" hidden="1" customHeight="1" x14ac:dyDescent="0.25">
      <c r="A2919" s="148" t="s">
        <v>26</v>
      </c>
      <c r="B2919" s="148" t="s">
        <v>71</v>
      </c>
      <c r="C2919" s="148" t="s">
        <v>45</v>
      </c>
      <c r="D2919" s="148" t="s">
        <v>478</v>
      </c>
      <c r="E2919" s="148" t="s">
        <v>72</v>
      </c>
      <c r="F2919" s="148" t="s">
        <v>3183</v>
      </c>
      <c r="G2919" s="148" t="s">
        <v>75</v>
      </c>
      <c r="H2919" s="148">
        <v>2019</v>
      </c>
      <c r="I2919" s="148">
        <v>10</v>
      </c>
      <c r="J2919" s="148" t="s">
        <v>33</v>
      </c>
      <c r="U2919" s="149" t="s">
        <v>112</v>
      </c>
      <c r="V2919" s="148" t="s">
        <v>3702</v>
      </c>
      <c r="W2919" s="149" t="s">
        <v>87</v>
      </c>
      <c r="X2919" s="148" t="s">
        <v>2316</v>
      </c>
      <c r="Y2919" s="150" t="s">
        <v>2328</v>
      </c>
      <c r="Z2919" s="148" t="s">
        <v>1786</v>
      </c>
    </row>
    <row r="2920" spans="1:26" ht="13.5" hidden="1" customHeight="1" x14ac:dyDescent="0.25">
      <c r="A2920" s="148" t="s">
        <v>76</v>
      </c>
      <c r="B2920" s="148" t="s">
        <v>62</v>
      </c>
      <c r="C2920" s="148" t="s">
        <v>28</v>
      </c>
      <c r="D2920" s="148" t="s">
        <v>51</v>
      </c>
      <c r="E2920" s="148" t="s">
        <v>30</v>
      </c>
      <c r="F2920" s="148" t="s">
        <v>3183</v>
      </c>
      <c r="G2920" s="148" t="s">
        <v>63</v>
      </c>
      <c r="H2920" s="148">
        <v>2019</v>
      </c>
      <c r="I2920" s="148">
        <v>10</v>
      </c>
      <c r="J2920" s="148" t="s">
        <v>150</v>
      </c>
      <c r="K2920" s="148" t="s">
        <v>2099</v>
      </c>
      <c r="M2920" s="148" t="s">
        <v>2100</v>
      </c>
      <c r="N2920" s="148">
        <v>8</v>
      </c>
      <c r="O2920" s="148" t="s">
        <v>83</v>
      </c>
      <c r="P2920" s="148" t="s">
        <v>2329</v>
      </c>
      <c r="Y2920" s="150" t="s">
        <v>2330</v>
      </c>
      <c r="Z2920" s="148" t="s">
        <v>1786</v>
      </c>
    </row>
    <row r="2921" spans="1:26" ht="13.5" hidden="1" customHeight="1" x14ac:dyDescent="0.25">
      <c r="A2921" s="148" t="s">
        <v>76</v>
      </c>
      <c r="B2921" s="148" t="s">
        <v>62</v>
      </c>
      <c r="C2921" s="148" t="s">
        <v>28</v>
      </c>
      <c r="D2921" s="148" t="s">
        <v>51</v>
      </c>
      <c r="E2921" s="148" t="s">
        <v>30</v>
      </c>
      <c r="F2921" s="148" t="s">
        <v>3183</v>
      </c>
      <c r="G2921" s="148" t="s">
        <v>63</v>
      </c>
      <c r="H2921" s="148">
        <v>2019</v>
      </c>
      <c r="I2921" s="148">
        <v>10</v>
      </c>
      <c r="J2921" s="148" t="s">
        <v>118</v>
      </c>
      <c r="K2921" s="148" t="s">
        <v>1152</v>
      </c>
      <c r="M2921" s="148" t="s">
        <v>82</v>
      </c>
      <c r="N2921" s="148">
        <v>8</v>
      </c>
      <c r="O2921" s="148" t="s">
        <v>101</v>
      </c>
      <c r="P2921" s="148" t="s">
        <v>146</v>
      </c>
    </row>
    <row r="2922" spans="1:26" ht="13.5" hidden="1" customHeight="1" x14ac:dyDescent="0.25">
      <c r="A2922" s="148" t="s">
        <v>76</v>
      </c>
      <c r="B2922" s="148" t="s">
        <v>27</v>
      </c>
      <c r="C2922" s="148" t="s">
        <v>28</v>
      </c>
      <c r="D2922" s="148" t="s">
        <v>1302</v>
      </c>
      <c r="E2922" s="148" t="s">
        <v>40</v>
      </c>
      <c r="F2922" s="148" t="s">
        <v>41</v>
      </c>
      <c r="G2922" s="148" t="s">
        <v>42</v>
      </c>
      <c r="H2922" s="148">
        <v>2019</v>
      </c>
      <c r="I2922" s="148">
        <v>10</v>
      </c>
      <c r="J2922" s="148" t="s">
        <v>118</v>
      </c>
      <c r="K2922" s="148" t="s">
        <v>579</v>
      </c>
      <c r="M2922" s="148" t="s">
        <v>126</v>
      </c>
      <c r="N2922" s="148">
        <v>10</v>
      </c>
      <c r="O2922" s="148" t="s">
        <v>101</v>
      </c>
      <c r="P2922" s="148" t="s">
        <v>203</v>
      </c>
      <c r="Y2922" s="150" t="s">
        <v>2331</v>
      </c>
      <c r="Z2922" s="148" t="s">
        <v>1786</v>
      </c>
    </row>
    <row r="2923" spans="1:26" ht="13.5" hidden="1" customHeight="1" x14ac:dyDescent="0.25">
      <c r="A2923" s="148" t="s">
        <v>76</v>
      </c>
      <c r="B2923" s="148" t="s">
        <v>36</v>
      </c>
      <c r="C2923" s="148" t="s">
        <v>45</v>
      </c>
      <c r="D2923" s="148" t="s">
        <v>478</v>
      </c>
      <c r="E2923" s="148" t="s">
        <v>30</v>
      </c>
      <c r="F2923" s="148" t="s">
        <v>3183</v>
      </c>
      <c r="G2923" s="148" t="s">
        <v>600</v>
      </c>
      <c r="H2923" s="148">
        <v>2019</v>
      </c>
      <c r="I2923" s="148">
        <v>10</v>
      </c>
      <c r="J2923" s="148" t="s">
        <v>640</v>
      </c>
      <c r="K2923" s="148" t="s">
        <v>1152</v>
      </c>
      <c r="M2923" s="148" t="s">
        <v>82</v>
      </c>
      <c r="N2923" s="148">
        <v>8</v>
      </c>
      <c r="O2923" s="148" t="s">
        <v>101</v>
      </c>
      <c r="P2923" s="148" t="s">
        <v>2006</v>
      </c>
      <c r="Y2923" s="150" t="s">
        <v>2313</v>
      </c>
    </row>
    <row r="2924" spans="1:26" ht="15.75" hidden="1" customHeight="1" x14ac:dyDescent="0.25">
      <c r="A2924" s="148" t="s">
        <v>26</v>
      </c>
      <c r="B2924" s="148" t="s">
        <v>36</v>
      </c>
      <c r="C2924" s="148" t="s">
        <v>45</v>
      </c>
      <c r="D2924" s="148" t="s">
        <v>478</v>
      </c>
      <c r="E2924" s="148" t="s">
        <v>30</v>
      </c>
      <c r="F2924" s="148" t="s">
        <v>3183</v>
      </c>
      <c r="G2924" s="148" t="s">
        <v>600</v>
      </c>
      <c r="H2924" s="148">
        <v>2019</v>
      </c>
      <c r="I2924" s="148">
        <v>10</v>
      </c>
      <c r="J2924" s="148" t="s">
        <v>33</v>
      </c>
      <c r="U2924" s="149" t="s">
        <v>112</v>
      </c>
      <c r="V2924" s="148" t="s">
        <v>3702</v>
      </c>
      <c r="W2924" s="149" t="s">
        <v>87</v>
      </c>
      <c r="X2924" s="148" t="s">
        <v>2316</v>
      </c>
      <c r="Y2924" s="150" t="s">
        <v>2332</v>
      </c>
      <c r="Z2924" s="148" t="s">
        <v>1786</v>
      </c>
    </row>
    <row r="2925" spans="1:26" ht="13.5" hidden="1" customHeight="1" x14ac:dyDescent="0.25">
      <c r="A2925" s="148" t="s">
        <v>76</v>
      </c>
      <c r="B2925" s="148" t="s">
        <v>54</v>
      </c>
      <c r="C2925" s="148" t="s">
        <v>55</v>
      </c>
      <c r="D2925" s="148" t="s">
        <v>2173</v>
      </c>
      <c r="E2925" s="148" t="s">
        <v>30</v>
      </c>
      <c r="F2925" s="148" t="s">
        <v>56</v>
      </c>
      <c r="G2925" s="148" t="s">
        <v>54</v>
      </c>
      <c r="H2925" s="148">
        <v>2019</v>
      </c>
      <c r="I2925" s="148">
        <v>10</v>
      </c>
      <c r="J2925" s="148" t="s">
        <v>640</v>
      </c>
      <c r="K2925" s="148" t="s">
        <v>710</v>
      </c>
      <c r="M2925" s="148" t="s">
        <v>126</v>
      </c>
      <c r="N2925" s="148">
        <v>10</v>
      </c>
      <c r="O2925" s="148" t="s">
        <v>101</v>
      </c>
      <c r="P2925" s="148" t="s">
        <v>2006</v>
      </c>
      <c r="Y2925" s="150" t="s">
        <v>2333</v>
      </c>
      <c r="Z2925" s="148" t="s">
        <v>2334</v>
      </c>
    </row>
    <row r="2926" spans="1:26" ht="13.5" hidden="1" customHeight="1" x14ac:dyDescent="0.25">
      <c r="A2926" s="148" t="s">
        <v>307</v>
      </c>
      <c r="B2926" s="148" t="s">
        <v>54</v>
      </c>
      <c r="C2926" s="148" t="s">
        <v>55</v>
      </c>
      <c r="D2926" s="148" t="s">
        <v>2173</v>
      </c>
      <c r="E2926" s="148" t="s">
        <v>30</v>
      </c>
      <c r="F2926" s="148" t="s">
        <v>56</v>
      </c>
      <c r="G2926" s="148" t="s">
        <v>54</v>
      </c>
      <c r="H2926" s="148">
        <v>2019</v>
      </c>
      <c r="I2926" s="148">
        <v>10</v>
      </c>
      <c r="J2926" s="148" t="s">
        <v>308</v>
      </c>
      <c r="Q2926" s="148" t="s">
        <v>309</v>
      </c>
      <c r="R2926" s="148" t="s">
        <v>2200</v>
      </c>
      <c r="S2926" s="148" t="s">
        <v>660</v>
      </c>
      <c r="T2926" s="148" t="s">
        <v>2335</v>
      </c>
      <c r="Y2926" s="150" t="s">
        <v>2336</v>
      </c>
      <c r="Z2926" s="148" t="s">
        <v>2337</v>
      </c>
    </row>
    <row r="2927" spans="1:26" ht="13.5" hidden="1" customHeight="1" x14ac:dyDescent="0.25">
      <c r="A2927" s="148" t="s">
        <v>76</v>
      </c>
      <c r="B2927" s="148" t="s">
        <v>89</v>
      </c>
      <c r="C2927" s="148" t="s">
        <v>90</v>
      </c>
      <c r="D2927" s="148" t="s">
        <v>29</v>
      </c>
      <c r="E2927" s="148" t="s">
        <v>30</v>
      </c>
      <c r="F2927" s="148" t="s">
        <v>91</v>
      </c>
      <c r="G2927" s="148" t="s">
        <v>634</v>
      </c>
      <c r="H2927" s="148">
        <v>2019</v>
      </c>
      <c r="I2927" s="148">
        <v>10</v>
      </c>
      <c r="J2927" s="148" t="s">
        <v>640</v>
      </c>
      <c r="K2927" s="148" t="s">
        <v>1152</v>
      </c>
      <c r="M2927" s="148" t="s">
        <v>82</v>
      </c>
      <c r="N2927" s="148">
        <v>8</v>
      </c>
      <c r="O2927" s="148" t="s">
        <v>101</v>
      </c>
      <c r="P2927" s="148" t="s">
        <v>2006</v>
      </c>
      <c r="Y2927" s="150" t="s">
        <v>2313</v>
      </c>
    </row>
    <row r="2928" spans="1:26" ht="15.75" hidden="1" customHeight="1" x14ac:dyDescent="0.25">
      <c r="A2928" s="148" t="s">
        <v>26</v>
      </c>
      <c r="B2928" s="148" t="s">
        <v>116</v>
      </c>
      <c r="C2928" s="148" t="s">
        <v>90</v>
      </c>
      <c r="D2928" s="148" t="s">
        <v>478</v>
      </c>
      <c r="E2928" s="148" t="s">
        <v>30</v>
      </c>
      <c r="F2928" s="148" t="s">
        <v>41</v>
      </c>
      <c r="G2928" s="148" t="s">
        <v>756</v>
      </c>
      <c r="H2928" s="148">
        <v>2019</v>
      </c>
      <c r="I2928" s="148">
        <v>10</v>
      </c>
      <c r="J2928" s="148" t="s">
        <v>792</v>
      </c>
      <c r="U2928" s="149" t="s">
        <v>3629</v>
      </c>
      <c r="V2928" s="148" t="s">
        <v>2317</v>
      </c>
      <c r="W2928" s="148" t="s">
        <v>49</v>
      </c>
      <c r="X2928" s="157" t="s">
        <v>3772</v>
      </c>
    </row>
    <row r="2929" spans="1:26" ht="13.5" hidden="1" customHeight="1" x14ac:dyDescent="0.25">
      <c r="A2929" s="148" t="s">
        <v>76</v>
      </c>
      <c r="B2929" s="148" t="s">
        <v>103</v>
      </c>
      <c r="C2929" s="148" t="s">
        <v>55</v>
      </c>
      <c r="D2929" s="148" t="s">
        <v>478</v>
      </c>
      <c r="E2929" s="148" t="s">
        <v>30</v>
      </c>
      <c r="F2929" s="148" t="s">
        <v>56</v>
      </c>
      <c r="G2929" s="148" t="s">
        <v>519</v>
      </c>
      <c r="H2929" s="148">
        <v>2019</v>
      </c>
      <c r="I2929" s="148">
        <v>10</v>
      </c>
      <c r="J2929" s="148" t="s">
        <v>640</v>
      </c>
      <c r="K2929" s="148" t="s">
        <v>710</v>
      </c>
      <c r="M2929" s="148" t="s">
        <v>126</v>
      </c>
      <c r="N2929" s="148">
        <v>10</v>
      </c>
      <c r="O2929" s="148" t="s">
        <v>101</v>
      </c>
      <c r="P2929" s="148" t="s">
        <v>2006</v>
      </c>
      <c r="Y2929" s="150" t="s">
        <v>2338</v>
      </c>
      <c r="Z2929" s="148" t="s">
        <v>2334</v>
      </c>
    </row>
    <row r="2930" spans="1:26" ht="13.5" customHeight="1" x14ac:dyDescent="0.25">
      <c r="A2930" s="148" t="s">
        <v>76</v>
      </c>
      <c r="B2930" s="148" t="s">
        <v>36</v>
      </c>
      <c r="C2930" s="148" t="s">
        <v>28</v>
      </c>
      <c r="D2930" s="148" t="s">
        <v>1304</v>
      </c>
      <c r="E2930" s="148" t="s">
        <v>30</v>
      </c>
      <c r="F2930" s="148" t="s">
        <v>3183</v>
      </c>
      <c r="G2930" s="148" t="s">
        <v>194</v>
      </c>
      <c r="H2930" s="148">
        <v>2019</v>
      </c>
      <c r="I2930" s="148">
        <v>10</v>
      </c>
      <c r="J2930" s="148" t="s">
        <v>118</v>
      </c>
      <c r="K2930" s="148" t="s">
        <v>1152</v>
      </c>
      <c r="M2930" s="148" t="s">
        <v>82</v>
      </c>
      <c r="N2930" s="148">
        <v>8</v>
      </c>
      <c r="O2930" s="148" t="s">
        <v>101</v>
      </c>
      <c r="P2930" s="148" t="s">
        <v>146</v>
      </c>
      <c r="Y2930" s="150" t="s">
        <v>2339</v>
      </c>
      <c r="Z2930" s="148" t="s">
        <v>2340</v>
      </c>
    </row>
    <row r="2931" spans="1:26" ht="15.75" customHeight="1" x14ac:dyDescent="0.25">
      <c r="A2931" s="148" t="s">
        <v>76</v>
      </c>
      <c r="B2931" s="148" t="s">
        <v>36</v>
      </c>
      <c r="C2931" s="148" t="s">
        <v>28</v>
      </c>
      <c r="D2931" s="148" t="s">
        <v>1304</v>
      </c>
      <c r="E2931" s="148" t="s">
        <v>30</v>
      </c>
      <c r="F2931" s="148" t="s">
        <v>3183</v>
      </c>
      <c r="G2931" s="148" t="s">
        <v>194</v>
      </c>
      <c r="H2931" s="148">
        <v>2019</v>
      </c>
      <c r="I2931" s="148">
        <v>10</v>
      </c>
      <c r="J2931" s="148" t="s">
        <v>640</v>
      </c>
      <c r="K2931" s="148" t="s">
        <v>579</v>
      </c>
      <c r="M2931" s="148" t="s">
        <v>2234</v>
      </c>
      <c r="N2931" s="148">
        <v>10</v>
      </c>
      <c r="O2931" s="148" t="s">
        <v>101</v>
      </c>
      <c r="P2931" s="148" t="s">
        <v>2341</v>
      </c>
      <c r="Y2931" s="150" t="s">
        <v>2342</v>
      </c>
      <c r="Z2931" s="148" t="s">
        <v>543</v>
      </c>
    </row>
    <row r="2932" spans="1:26" ht="15.75" hidden="1" customHeight="1" x14ac:dyDescent="0.25">
      <c r="A2932" s="148" t="s">
        <v>76</v>
      </c>
      <c r="B2932" s="148" t="s">
        <v>62</v>
      </c>
      <c r="C2932" s="148" t="s">
        <v>28</v>
      </c>
      <c r="D2932" s="148" t="s">
        <v>86</v>
      </c>
      <c r="E2932" s="148" t="s">
        <v>51</v>
      </c>
      <c r="F2932" s="148" t="s">
        <v>3183</v>
      </c>
      <c r="G2932" s="148" t="s">
        <v>130</v>
      </c>
      <c r="H2932" s="148">
        <v>2019</v>
      </c>
      <c r="I2932" s="148">
        <v>10</v>
      </c>
      <c r="J2932" s="148" t="s">
        <v>118</v>
      </c>
      <c r="K2932" s="148" t="s">
        <v>1152</v>
      </c>
      <c r="M2932" s="148" t="s">
        <v>82</v>
      </c>
      <c r="N2932" s="148">
        <v>8</v>
      </c>
      <c r="O2932" s="148" t="s">
        <v>101</v>
      </c>
      <c r="P2932" s="148" t="s">
        <v>146</v>
      </c>
      <c r="T2932" s="148" t="s">
        <v>2343</v>
      </c>
      <c r="Y2932" s="150" t="s">
        <v>2339</v>
      </c>
      <c r="Z2932" s="148" t="s">
        <v>2248</v>
      </c>
    </row>
    <row r="2933" spans="1:26" ht="13.5" hidden="1" customHeight="1" x14ac:dyDescent="0.25">
      <c r="A2933" s="148" t="s">
        <v>76</v>
      </c>
      <c r="B2933" s="148" t="s">
        <v>198</v>
      </c>
      <c r="C2933" s="148" t="s">
        <v>45</v>
      </c>
      <c r="D2933" s="148" t="s">
        <v>86</v>
      </c>
      <c r="E2933" s="148" t="s">
        <v>30</v>
      </c>
      <c r="F2933" s="148" t="s">
        <v>199</v>
      </c>
      <c r="G2933" s="148" t="s">
        <v>430</v>
      </c>
      <c r="H2933" s="148">
        <v>2019</v>
      </c>
      <c r="I2933" s="148">
        <v>10</v>
      </c>
      <c r="J2933" s="148" t="s">
        <v>640</v>
      </c>
      <c r="K2933" s="148" t="s">
        <v>1152</v>
      </c>
      <c r="M2933" s="148" t="s">
        <v>82</v>
      </c>
      <c r="N2933" s="148">
        <v>8</v>
      </c>
      <c r="O2933" s="148" t="s">
        <v>101</v>
      </c>
      <c r="P2933" s="148" t="s">
        <v>2006</v>
      </c>
      <c r="Y2933" s="150" t="s">
        <v>2313</v>
      </c>
    </row>
    <row r="2934" spans="1:26" ht="16.5" hidden="1" customHeight="1" x14ac:dyDescent="0.25">
      <c r="A2934" s="148" t="s">
        <v>76</v>
      </c>
      <c r="B2934" s="148" t="s">
        <v>116</v>
      </c>
      <c r="C2934" s="148" t="s">
        <v>90</v>
      </c>
      <c r="D2934" s="148" t="s">
        <v>478</v>
      </c>
      <c r="E2934" s="148" t="s">
        <v>30</v>
      </c>
      <c r="F2934" s="148" t="s">
        <v>41</v>
      </c>
      <c r="G2934" s="148" t="s">
        <v>503</v>
      </c>
      <c r="H2934" s="148">
        <v>2019</v>
      </c>
      <c r="I2934" s="148">
        <v>10</v>
      </c>
      <c r="J2934" s="148" t="s">
        <v>118</v>
      </c>
      <c r="K2934" s="148" t="s">
        <v>1152</v>
      </c>
      <c r="M2934" s="148" t="s">
        <v>82</v>
      </c>
      <c r="N2934" s="148">
        <v>8</v>
      </c>
      <c r="O2934" s="148" t="s">
        <v>101</v>
      </c>
      <c r="P2934" s="148" t="s">
        <v>2344</v>
      </c>
    </row>
    <row r="2935" spans="1:26" ht="15.75" hidden="1" customHeight="1" x14ac:dyDescent="0.25">
      <c r="A2935" s="148" t="s">
        <v>76</v>
      </c>
      <c r="B2935" s="148" t="s">
        <v>71</v>
      </c>
      <c r="C2935" s="148" t="s">
        <v>45</v>
      </c>
      <c r="D2935" s="148" t="s">
        <v>29</v>
      </c>
      <c r="E2935" s="148" t="s">
        <v>30</v>
      </c>
      <c r="F2935" s="148" t="s">
        <v>3183</v>
      </c>
      <c r="G2935" s="148" t="s">
        <v>588</v>
      </c>
      <c r="H2935" s="148">
        <v>2019</v>
      </c>
      <c r="I2935" s="148">
        <v>10</v>
      </c>
      <c r="J2935" s="148" t="s">
        <v>640</v>
      </c>
      <c r="K2935" s="148" t="s">
        <v>1152</v>
      </c>
      <c r="M2935" s="148" t="s">
        <v>82</v>
      </c>
      <c r="N2935" s="148">
        <v>8</v>
      </c>
      <c r="O2935" s="148" t="s">
        <v>101</v>
      </c>
      <c r="P2935" s="148" t="s">
        <v>2345</v>
      </c>
      <c r="Y2935" s="150" t="s">
        <v>2313</v>
      </c>
    </row>
    <row r="2936" spans="1:26" ht="15.75" hidden="1" customHeight="1" x14ac:dyDescent="0.25">
      <c r="A2936" s="148" t="s">
        <v>76</v>
      </c>
      <c r="B2936" s="148" t="s">
        <v>36</v>
      </c>
      <c r="C2936" s="148" t="s">
        <v>28</v>
      </c>
      <c r="D2936" s="148" t="s">
        <v>342</v>
      </c>
      <c r="E2936" s="148" t="s">
        <v>30</v>
      </c>
      <c r="F2936" s="148" t="s">
        <v>3183</v>
      </c>
      <c r="G2936" s="148" t="s">
        <v>114</v>
      </c>
      <c r="H2936" s="148">
        <v>2019</v>
      </c>
      <c r="I2936" s="148">
        <v>10</v>
      </c>
      <c r="J2936" s="148" t="s">
        <v>640</v>
      </c>
      <c r="K2936" s="148" t="s">
        <v>579</v>
      </c>
      <c r="M2936" s="148" t="s">
        <v>2234</v>
      </c>
      <c r="N2936" s="148">
        <v>10</v>
      </c>
      <c r="O2936" s="148" t="s">
        <v>101</v>
      </c>
      <c r="P2936" s="148" t="s">
        <v>2006</v>
      </c>
      <c r="Y2936" s="150" t="s">
        <v>2342</v>
      </c>
      <c r="Z2936" s="148" t="s">
        <v>1786</v>
      </c>
    </row>
    <row r="2937" spans="1:26" ht="13.5" hidden="1" customHeight="1" x14ac:dyDescent="0.25">
      <c r="A2937" s="148" t="s">
        <v>76</v>
      </c>
      <c r="B2937" s="148" t="s">
        <v>36</v>
      </c>
      <c r="C2937" s="148" t="s">
        <v>28</v>
      </c>
      <c r="D2937" s="148" t="s">
        <v>887</v>
      </c>
      <c r="E2937" s="148" t="s">
        <v>30</v>
      </c>
      <c r="F2937" s="148" t="s">
        <v>3183</v>
      </c>
      <c r="G2937" s="148" t="s">
        <v>888</v>
      </c>
      <c r="H2937" s="148">
        <v>2019</v>
      </c>
      <c r="I2937" s="148">
        <v>11</v>
      </c>
      <c r="J2937" s="148" t="s">
        <v>80</v>
      </c>
      <c r="K2937" s="148" t="s">
        <v>1152</v>
      </c>
      <c r="M2937" s="148" t="s">
        <v>82</v>
      </c>
      <c r="N2937" s="148">
        <v>8</v>
      </c>
      <c r="O2937" s="148" t="s">
        <v>83</v>
      </c>
      <c r="P2937" s="148" t="s">
        <v>2346</v>
      </c>
      <c r="Y2937" s="150" t="s">
        <v>2347</v>
      </c>
      <c r="Z2937" s="148" t="s">
        <v>2348</v>
      </c>
    </row>
    <row r="2938" spans="1:26" ht="15.75" hidden="1" customHeight="1" x14ac:dyDescent="0.25">
      <c r="A2938" s="148" t="s">
        <v>76</v>
      </c>
      <c r="B2938" s="148" t="s">
        <v>36</v>
      </c>
      <c r="C2938" s="148" t="s">
        <v>28</v>
      </c>
      <c r="D2938" s="148" t="s">
        <v>887</v>
      </c>
      <c r="E2938" s="148" t="s">
        <v>30</v>
      </c>
      <c r="F2938" s="148" t="s">
        <v>3183</v>
      </c>
      <c r="G2938" s="148" t="s">
        <v>888</v>
      </c>
      <c r="H2938" s="148">
        <v>2019</v>
      </c>
      <c r="I2938" s="148">
        <v>11</v>
      </c>
      <c r="J2938" s="148" t="s">
        <v>80</v>
      </c>
      <c r="K2938" s="148" t="s">
        <v>1152</v>
      </c>
      <c r="M2938" s="148" t="s">
        <v>82</v>
      </c>
      <c r="N2938" s="148">
        <v>8</v>
      </c>
      <c r="O2938" s="148" t="s">
        <v>83</v>
      </c>
      <c r="P2938" s="148" t="s">
        <v>2349</v>
      </c>
      <c r="Y2938" s="150" t="s">
        <v>2350</v>
      </c>
      <c r="Z2938" s="148" t="s">
        <v>891</v>
      </c>
    </row>
    <row r="2939" spans="1:26" ht="15.75" hidden="1" customHeight="1" x14ac:dyDescent="0.25">
      <c r="A2939" s="148" t="s">
        <v>307</v>
      </c>
      <c r="B2939" s="148" t="s">
        <v>36</v>
      </c>
      <c r="C2939" s="148" t="s">
        <v>28</v>
      </c>
      <c r="D2939" s="148" t="s">
        <v>887</v>
      </c>
      <c r="E2939" s="148" t="s">
        <v>30</v>
      </c>
      <c r="F2939" s="148" t="s">
        <v>3183</v>
      </c>
      <c r="G2939" s="148" t="s">
        <v>888</v>
      </c>
      <c r="H2939" s="148">
        <v>2019</v>
      </c>
      <c r="I2939" s="148">
        <v>11</v>
      </c>
      <c r="J2939" s="148" t="s">
        <v>399</v>
      </c>
      <c r="Q2939" s="148" t="s">
        <v>1465</v>
      </c>
      <c r="R2939" s="148" t="s">
        <v>2351</v>
      </c>
      <c r="S2939" s="148" t="s">
        <v>311</v>
      </c>
      <c r="T2939" s="148" t="s">
        <v>2352</v>
      </c>
      <c r="Y2939" s="150" t="s">
        <v>2353</v>
      </c>
      <c r="Z2939" s="148" t="s">
        <v>2354</v>
      </c>
    </row>
    <row r="2940" spans="1:26" ht="13.5" hidden="1" customHeight="1" x14ac:dyDescent="0.25">
      <c r="A2940" s="148" t="s">
        <v>76</v>
      </c>
      <c r="B2940" s="148" t="s">
        <v>71</v>
      </c>
      <c r="C2940" s="148" t="s">
        <v>45</v>
      </c>
      <c r="D2940" s="148" t="s">
        <v>478</v>
      </c>
      <c r="E2940" s="148" t="s">
        <v>72</v>
      </c>
      <c r="F2940" s="148" t="s">
        <v>3183</v>
      </c>
      <c r="G2940" s="148" t="s">
        <v>73</v>
      </c>
      <c r="H2940" s="148">
        <v>2019</v>
      </c>
      <c r="I2940" s="148">
        <v>11</v>
      </c>
      <c r="J2940" s="148" t="s">
        <v>640</v>
      </c>
      <c r="K2940" s="148" t="s">
        <v>1152</v>
      </c>
      <c r="M2940" s="148" t="s">
        <v>82</v>
      </c>
      <c r="N2940" s="148">
        <v>8</v>
      </c>
      <c r="O2940" s="148" t="s">
        <v>83</v>
      </c>
      <c r="P2940" s="148" t="s">
        <v>2355</v>
      </c>
      <c r="Y2940" s="150" t="s">
        <v>2347</v>
      </c>
    </row>
    <row r="2941" spans="1:26" ht="15.75" hidden="1" customHeight="1" x14ac:dyDescent="0.25">
      <c r="A2941" s="148" t="s">
        <v>76</v>
      </c>
      <c r="B2941" s="148" t="s">
        <v>71</v>
      </c>
      <c r="C2941" s="148" t="s">
        <v>45</v>
      </c>
      <c r="D2941" s="148" t="s">
        <v>478</v>
      </c>
      <c r="E2941" s="148" t="s">
        <v>72</v>
      </c>
      <c r="F2941" s="148" t="s">
        <v>3183</v>
      </c>
      <c r="G2941" s="148" t="s">
        <v>73</v>
      </c>
      <c r="H2941" s="148">
        <v>2019</v>
      </c>
      <c r="I2941" s="148">
        <v>11</v>
      </c>
      <c r="J2941" s="148" t="s">
        <v>150</v>
      </c>
      <c r="K2941" s="148" t="s">
        <v>1333</v>
      </c>
      <c r="M2941" s="148" t="s">
        <v>1441</v>
      </c>
      <c r="N2941" s="148">
        <v>8</v>
      </c>
      <c r="O2941" s="148" t="s">
        <v>83</v>
      </c>
      <c r="P2941" s="148" t="s">
        <v>524</v>
      </c>
      <c r="T2941" s="148" t="s">
        <v>2356</v>
      </c>
      <c r="Y2941" s="150" t="s">
        <v>2357</v>
      </c>
    </row>
    <row r="2942" spans="1:26" ht="15.75" hidden="1" customHeight="1" x14ac:dyDescent="0.25">
      <c r="A2942" s="148" t="s">
        <v>76</v>
      </c>
      <c r="B2942" s="148" t="s">
        <v>27</v>
      </c>
      <c r="C2942" s="148" t="s">
        <v>28</v>
      </c>
      <c r="D2942" s="148" t="s">
        <v>86</v>
      </c>
      <c r="E2942" s="148" t="s">
        <v>30</v>
      </c>
      <c r="F2942" s="148" t="s">
        <v>3183</v>
      </c>
      <c r="G2942" s="148" t="s">
        <v>32</v>
      </c>
      <c r="H2942" s="148">
        <v>2019</v>
      </c>
      <c r="I2942" s="148">
        <v>11</v>
      </c>
      <c r="J2942" s="148" t="s">
        <v>118</v>
      </c>
      <c r="K2942" s="148" t="s">
        <v>1152</v>
      </c>
      <c r="M2942" s="148" t="s">
        <v>82</v>
      </c>
      <c r="N2942" s="148">
        <v>8</v>
      </c>
      <c r="O2942" s="148" t="s">
        <v>101</v>
      </c>
      <c r="P2942" s="148" t="s">
        <v>2358</v>
      </c>
      <c r="Y2942" s="150" t="s">
        <v>2359</v>
      </c>
      <c r="Z2942" s="148" t="s">
        <v>1786</v>
      </c>
    </row>
    <row r="2943" spans="1:26" ht="13.5" hidden="1" customHeight="1" x14ac:dyDescent="0.25">
      <c r="A2943" s="148" t="s">
        <v>76</v>
      </c>
      <c r="B2943" s="148" t="s">
        <v>71</v>
      </c>
      <c r="C2943" s="148" t="s">
        <v>45</v>
      </c>
      <c r="D2943" s="148" t="s">
        <v>478</v>
      </c>
      <c r="E2943" s="148" t="s">
        <v>30</v>
      </c>
      <c r="F2943" s="148" t="s">
        <v>3183</v>
      </c>
      <c r="G2943" s="148" t="s">
        <v>621</v>
      </c>
      <c r="H2943" s="148">
        <v>2019</v>
      </c>
      <c r="I2943" s="148">
        <v>11</v>
      </c>
      <c r="J2943" s="148" t="s">
        <v>150</v>
      </c>
      <c r="K2943" s="148" t="s">
        <v>1333</v>
      </c>
      <c r="M2943" s="148" t="s">
        <v>1441</v>
      </c>
      <c r="N2943" s="148">
        <v>8</v>
      </c>
      <c r="O2943" s="148" t="s">
        <v>101</v>
      </c>
      <c r="P2943" s="148" t="s">
        <v>294</v>
      </c>
      <c r="Y2943" s="150" t="s">
        <v>2360</v>
      </c>
      <c r="Z2943" s="148" t="s">
        <v>1786</v>
      </c>
    </row>
    <row r="2944" spans="1:26" ht="15.75" hidden="1" customHeight="1" x14ac:dyDescent="0.25">
      <c r="A2944" s="148" t="s">
        <v>26</v>
      </c>
      <c r="B2944" s="148" t="s">
        <v>71</v>
      </c>
      <c r="C2944" s="148" t="s">
        <v>45</v>
      </c>
      <c r="D2944" s="148" t="s">
        <v>478</v>
      </c>
      <c r="E2944" s="148" t="s">
        <v>30</v>
      </c>
      <c r="F2944" s="148" t="s">
        <v>3183</v>
      </c>
      <c r="G2944" s="148" t="s">
        <v>621</v>
      </c>
      <c r="H2944" s="148">
        <v>2019</v>
      </c>
      <c r="I2944" s="148">
        <v>11</v>
      </c>
      <c r="J2944" s="148" t="s">
        <v>33</v>
      </c>
      <c r="U2944" s="149" t="s">
        <v>112</v>
      </c>
      <c r="V2944" s="148" t="s">
        <v>3702</v>
      </c>
      <c r="W2944" s="149" t="s">
        <v>87</v>
      </c>
      <c r="X2944" s="148" t="s">
        <v>2316</v>
      </c>
      <c r="Y2944" s="150" t="s">
        <v>2328</v>
      </c>
      <c r="Z2944" s="148" t="s">
        <v>2361</v>
      </c>
    </row>
    <row r="2945" spans="1:26" ht="15.75" hidden="1" customHeight="1" x14ac:dyDescent="0.25">
      <c r="A2945" s="148" t="s">
        <v>76</v>
      </c>
      <c r="B2945" s="148" t="s">
        <v>103</v>
      </c>
      <c r="C2945" s="148" t="s">
        <v>55</v>
      </c>
      <c r="D2945" s="148" t="s">
        <v>478</v>
      </c>
      <c r="E2945" s="148" t="s">
        <v>95</v>
      </c>
      <c r="F2945" s="148" t="s">
        <v>56</v>
      </c>
      <c r="G2945" s="148" t="s">
        <v>407</v>
      </c>
      <c r="H2945" s="148">
        <v>2019</v>
      </c>
      <c r="I2945" s="148">
        <v>11</v>
      </c>
      <c r="J2945" s="148" t="s">
        <v>118</v>
      </c>
      <c r="K2945" s="148" t="s">
        <v>1152</v>
      </c>
      <c r="M2945" s="148" t="s">
        <v>82</v>
      </c>
      <c r="N2945" s="148">
        <v>8</v>
      </c>
      <c r="O2945" s="148" t="s">
        <v>101</v>
      </c>
      <c r="P2945" s="148" t="s">
        <v>146</v>
      </c>
      <c r="Y2945" s="150" t="s">
        <v>2362</v>
      </c>
      <c r="Z2945" s="148" t="s">
        <v>1786</v>
      </c>
    </row>
    <row r="2946" spans="1:26" ht="13.5" hidden="1" customHeight="1" x14ac:dyDescent="0.25">
      <c r="A2946" s="148" t="s">
        <v>76</v>
      </c>
      <c r="B2946" s="148" t="s">
        <v>36</v>
      </c>
      <c r="C2946" s="148" t="s">
        <v>28</v>
      </c>
      <c r="D2946" s="148" t="s">
        <v>478</v>
      </c>
      <c r="E2946" s="148" t="s">
        <v>30</v>
      </c>
      <c r="F2946" s="148" t="s">
        <v>3183</v>
      </c>
      <c r="G2946" s="148" t="s">
        <v>59</v>
      </c>
      <c r="H2946" s="148">
        <v>2019</v>
      </c>
      <c r="I2946" s="148">
        <v>11</v>
      </c>
      <c r="J2946" s="148" t="s">
        <v>640</v>
      </c>
      <c r="K2946" s="148" t="s">
        <v>1152</v>
      </c>
      <c r="M2946" s="148" t="s">
        <v>82</v>
      </c>
      <c r="N2946" s="148">
        <v>8</v>
      </c>
      <c r="O2946" s="148" t="s">
        <v>83</v>
      </c>
      <c r="P2946" s="148" t="s">
        <v>2363</v>
      </c>
      <c r="Y2946" s="150" t="s">
        <v>2347</v>
      </c>
      <c r="Z2946" s="148" t="s">
        <v>1786</v>
      </c>
    </row>
    <row r="2947" spans="1:26" ht="15.75" hidden="1" customHeight="1" x14ac:dyDescent="0.25">
      <c r="A2947" s="148" t="s">
        <v>76</v>
      </c>
      <c r="B2947" s="148" t="s">
        <v>36</v>
      </c>
      <c r="C2947" s="148" t="s">
        <v>28</v>
      </c>
      <c r="D2947" s="148" t="s">
        <v>342</v>
      </c>
      <c r="E2947" s="148" t="s">
        <v>30</v>
      </c>
      <c r="F2947" s="148" t="s">
        <v>3183</v>
      </c>
      <c r="G2947" s="148" t="s">
        <v>242</v>
      </c>
      <c r="H2947" s="148">
        <v>2019</v>
      </c>
      <c r="I2947" s="148">
        <v>11</v>
      </c>
      <c r="J2947" s="148" t="s">
        <v>150</v>
      </c>
      <c r="K2947" s="148" t="s">
        <v>1152</v>
      </c>
      <c r="M2947" s="148" t="s">
        <v>82</v>
      </c>
      <c r="N2947" s="148">
        <v>8</v>
      </c>
      <c r="O2947" s="148" t="s">
        <v>101</v>
      </c>
      <c r="P2947" s="148" t="s">
        <v>154</v>
      </c>
      <c r="Y2947" s="150" t="s">
        <v>2364</v>
      </c>
      <c r="Z2947" s="148" t="s">
        <v>2365</v>
      </c>
    </row>
    <row r="2948" spans="1:26" ht="13.5" hidden="1" customHeight="1" x14ac:dyDescent="0.25">
      <c r="A2948" s="148" t="s">
        <v>76</v>
      </c>
      <c r="B2948" s="148" t="s">
        <v>36</v>
      </c>
      <c r="C2948" s="148" t="s">
        <v>28</v>
      </c>
      <c r="D2948" s="148" t="s">
        <v>478</v>
      </c>
      <c r="E2948" s="148" t="s">
        <v>30</v>
      </c>
      <c r="F2948" s="148" t="s">
        <v>3183</v>
      </c>
      <c r="G2948" s="148" t="s">
        <v>67</v>
      </c>
      <c r="H2948" s="148">
        <v>2019</v>
      </c>
      <c r="I2948" s="148">
        <v>11</v>
      </c>
      <c r="J2948" s="148" t="s">
        <v>640</v>
      </c>
      <c r="K2948" s="148" t="s">
        <v>1152</v>
      </c>
      <c r="M2948" s="148" t="s">
        <v>82</v>
      </c>
      <c r="N2948" s="148">
        <v>8</v>
      </c>
      <c r="O2948" s="148" t="s">
        <v>83</v>
      </c>
      <c r="P2948" s="148" t="s">
        <v>2366</v>
      </c>
      <c r="Y2948" s="150" t="s">
        <v>2347</v>
      </c>
      <c r="Z2948" s="148" t="s">
        <v>2367</v>
      </c>
    </row>
    <row r="2949" spans="1:26" ht="15.75" hidden="1" customHeight="1" x14ac:dyDescent="0.25">
      <c r="A2949" s="148" t="s">
        <v>76</v>
      </c>
      <c r="B2949" s="148" t="s">
        <v>71</v>
      </c>
      <c r="C2949" s="148" t="s">
        <v>45</v>
      </c>
      <c r="D2949" s="148" t="s">
        <v>478</v>
      </c>
      <c r="E2949" s="148" t="s">
        <v>72</v>
      </c>
      <c r="F2949" s="148" t="s">
        <v>3183</v>
      </c>
      <c r="G2949" s="148" t="s">
        <v>75</v>
      </c>
      <c r="H2949" s="148">
        <v>2019</v>
      </c>
      <c r="I2949" s="148">
        <v>11</v>
      </c>
      <c r="J2949" s="148" t="s">
        <v>640</v>
      </c>
      <c r="K2949" s="148" t="s">
        <v>1152</v>
      </c>
      <c r="M2949" s="148" t="s">
        <v>82</v>
      </c>
      <c r="N2949" s="148">
        <v>8</v>
      </c>
      <c r="O2949" s="148" t="s">
        <v>83</v>
      </c>
      <c r="P2949" s="148" t="s">
        <v>2368</v>
      </c>
      <c r="Y2949" s="150" t="s">
        <v>2347</v>
      </c>
    </row>
    <row r="2950" spans="1:26" ht="13.5" hidden="1" customHeight="1" x14ac:dyDescent="0.25">
      <c r="A2950" s="148" t="s">
        <v>76</v>
      </c>
      <c r="B2950" s="148" t="s">
        <v>71</v>
      </c>
      <c r="C2950" s="148" t="s">
        <v>45</v>
      </c>
      <c r="D2950" s="148" t="s">
        <v>478</v>
      </c>
      <c r="E2950" s="148" t="s">
        <v>72</v>
      </c>
      <c r="F2950" s="148" t="s">
        <v>3183</v>
      </c>
      <c r="G2950" s="148" t="s">
        <v>75</v>
      </c>
      <c r="H2950" s="148">
        <v>2019</v>
      </c>
      <c r="I2950" s="148">
        <v>11</v>
      </c>
      <c r="J2950" s="148" t="s">
        <v>150</v>
      </c>
      <c r="K2950" s="148" t="s">
        <v>1333</v>
      </c>
      <c r="M2950" s="148" t="s">
        <v>1441</v>
      </c>
      <c r="N2950" s="148">
        <v>8</v>
      </c>
      <c r="O2950" s="148" t="s">
        <v>83</v>
      </c>
      <c r="P2950" s="148" t="s">
        <v>2369</v>
      </c>
      <c r="T2950" s="148" t="s">
        <v>2370</v>
      </c>
      <c r="Y2950" s="150" t="s">
        <v>2371</v>
      </c>
      <c r="Z2950" s="148" t="s">
        <v>3328</v>
      </c>
    </row>
    <row r="2951" spans="1:26" ht="16.5" hidden="1" customHeight="1" x14ac:dyDescent="0.25">
      <c r="A2951" s="148" t="s">
        <v>76</v>
      </c>
      <c r="B2951" s="148" t="s">
        <v>54</v>
      </c>
      <c r="C2951" s="148" t="s">
        <v>55</v>
      </c>
      <c r="D2951" s="148" t="s">
        <v>2173</v>
      </c>
      <c r="E2951" s="148" t="s">
        <v>30</v>
      </c>
      <c r="F2951" s="148" t="s">
        <v>56</v>
      </c>
      <c r="G2951" s="148" t="s">
        <v>54</v>
      </c>
      <c r="H2951" s="148">
        <v>2019</v>
      </c>
      <c r="I2951" s="148">
        <v>11</v>
      </c>
      <c r="J2951" s="148" t="s">
        <v>118</v>
      </c>
      <c r="K2951" s="148" t="s">
        <v>1152</v>
      </c>
      <c r="M2951" s="148" t="s">
        <v>82</v>
      </c>
      <c r="N2951" s="148">
        <v>8</v>
      </c>
      <c r="O2951" s="148" t="s">
        <v>101</v>
      </c>
      <c r="P2951" s="148" t="s">
        <v>2372</v>
      </c>
      <c r="Y2951" s="150" t="s">
        <v>2373</v>
      </c>
      <c r="Z2951" s="148" t="s">
        <v>1786</v>
      </c>
    </row>
    <row r="2952" spans="1:26" ht="15.75" hidden="1" customHeight="1" x14ac:dyDescent="0.25">
      <c r="A2952" s="148" t="s">
        <v>307</v>
      </c>
      <c r="B2952" s="148" t="s">
        <v>116</v>
      </c>
      <c r="C2952" s="148" t="s">
        <v>90</v>
      </c>
      <c r="D2952" s="148" t="s">
        <v>478</v>
      </c>
      <c r="E2952" s="148" t="s">
        <v>30</v>
      </c>
      <c r="F2952" s="148" t="s">
        <v>41</v>
      </c>
      <c r="G2952" s="148" t="s">
        <v>756</v>
      </c>
      <c r="H2952" s="148">
        <v>2019</v>
      </c>
      <c r="I2952" s="148">
        <v>11</v>
      </c>
      <c r="J2952" s="148" t="s">
        <v>308</v>
      </c>
      <c r="Q2952" s="148" t="s">
        <v>426</v>
      </c>
      <c r="R2952" s="148" t="s">
        <v>2374</v>
      </c>
      <c r="S2952" s="148" t="s">
        <v>427</v>
      </c>
      <c r="Y2952" s="150" t="s">
        <v>2375</v>
      </c>
    </row>
    <row r="2953" spans="1:26" ht="16.5" hidden="1" customHeight="1" x14ac:dyDescent="0.25">
      <c r="A2953" s="148" t="s">
        <v>307</v>
      </c>
      <c r="B2953" s="148" t="s">
        <v>89</v>
      </c>
      <c r="C2953" s="148" t="s">
        <v>90</v>
      </c>
      <c r="D2953" s="148" t="s">
        <v>478</v>
      </c>
      <c r="E2953" s="148" t="s">
        <v>30</v>
      </c>
      <c r="F2953" s="148" t="s">
        <v>91</v>
      </c>
      <c r="G2953" s="148" t="s">
        <v>92</v>
      </c>
      <c r="H2953" s="148">
        <v>2019</v>
      </c>
      <c r="I2953" s="148">
        <v>11</v>
      </c>
      <c r="J2953" s="148" t="s">
        <v>399</v>
      </c>
      <c r="Q2953" s="148" t="s">
        <v>594</v>
      </c>
      <c r="R2953" s="148" t="s">
        <v>2376</v>
      </c>
      <c r="S2953" s="148" t="s">
        <v>427</v>
      </c>
      <c r="T2953" s="148" t="s">
        <v>2377</v>
      </c>
      <c r="Y2953" s="150" t="s">
        <v>2378</v>
      </c>
      <c r="Z2953" s="148" t="s">
        <v>2379</v>
      </c>
    </row>
    <row r="2954" spans="1:26" ht="16.5" hidden="1" customHeight="1" x14ac:dyDescent="0.25">
      <c r="A2954" s="148" t="s">
        <v>76</v>
      </c>
      <c r="B2954" s="148" t="s">
        <v>62</v>
      </c>
      <c r="C2954" s="148" t="s">
        <v>28</v>
      </c>
      <c r="D2954" s="148" t="s">
        <v>86</v>
      </c>
      <c r="E2954" s="148" t="s">
        <v>51</v>
      </c>
      <c r="F2954" s="148" t="s">
        <v>3183</v>
      </c>
      <c r="G2954" s="148" t="s">
        <v>130</v>
      </c>
      <c r="H2954" s="148">
        <v>2019</v>
      </c>
      <c r="I2954" s="148">
        <v>11</v>
      </c>
      <c r="J2954" s="148" t="s">
        <v>640</v>
      </c>
      <c r="K2954" s="148" t="s">
        <v>1152</v>
      </c>
      <c r="M2954" s="148" t="s">
        <v>82</v>
      </c>
      <c r="N2954" s="148">
        <v>8</v>
      </c>
      <c r="O2954" s="148" t="s">
        <v>83</v>
      </c>
      <c r="P2954" s="148" t="s">
        <v>2368</v>
      </c>
      <c r="Y2954" s="150" t="s">
        <v>2347</v>
      </c>
    </row>
    <row r="2955" spans="1:26" ht="16.5" hidden="1" customHeight="1" x14ac:dyDescent="0.25">
      <c r="A2955" s="148" t="s">
        <v>76</v>
      </c>
      <c r="B2955" s="148" t="s">
        <v>36</v>
      </c>
      <c r="C2955" s="148" t="s">
        <v>28</v>
      </c>
      <c r="D2955" s="148" t="s">
        <v>342</v>
      </c>
      <c r="E2955" s="148" t="s">
        <v>51</v>
      </c>
      <c r="F2955" s="148" t="s">
        <v>3183</v>
      </c>
      <c r="G2955" s="148" t="s">
        <v>52</v>
      </c>
      <c r="H2955" s="148">
        <v>2019</v>
      </c>
      <c r="I2955" s="148">
        <v>11</v>
      </c>
      <c r="J2955" s="148" t="s">
        <v>150</v>
      </c>
      <c r="K2955" s="148" t="s">
        <v>1152</v>
      </c>
      <c r="M2955" s="148" t="s">
        <v>82</v>
      </c>
      <c r="N2955" s="148">
        <v>8</v>
      </c>
      <c r="O2955" s="148" t="s">
        <v>83</v>
      </c>
      <c r="P2955" s="148" t="s">
        <v>2380</v>
      </c>
      <c r="Y2955" s="150" t="s">
        <v>2381</v>
      </c>
      <c r="Z2955" s="148" t="s">
        <v>2382</v>
      </c>
    </row>
    <row r="2956" spans="1:26" ht="15.75" hidden="1" customHeight="1" x14ac:dyDescent="0.25">
      <c r="A2956" s="148" t="s">
        <v>76</v>
      </c>
      <c r="B2956" s="148" t="s">
        <v>44</v>
      </c>
      <c r="C2956" s="148" t="s">
        <v>45</v>
      </c>
      <c r="D2956" s="148" t="s">
        <v>29</v>
      </c>
      <c r="E2956" s="148" t="s">
        <v>46</v>
      </c>
      <c r="F2956" s="148" t="s">
        <v>47</v>
      </c>
      <c r="G2956" s="148" t="s">
        <v>48</v>
      </c>
      <c r="H2956" s="148">
        <v>2019</v>
      </c>
      <c r="I2956" s="148">
        <v>11</v>
      </c>
      <c r="J2956" s="148" t="s">
        <v>640</v>
      </c>
      <c r="K2956" s="148" t="s">
        <v>1152</v>
      </c>
      <c r="M2956" s="148" t="s">
        <v>82</v>
      </c>
      <c r="N2956" s="148">
        <v>8</v>
      </c>
      <c r="O2956" s="148" t="s">
        <v>83</v>
      </c>
      <c r="P2956" s="148" t="s">
        <v>2383</v>
      </c>
      <c r="Y2956" s="150" t="s">
        <v>2384</v>
      </c>
      <c r="Z2956" s="148" t="s">
        <v>1786</v>
      </c>
    </row>
    <row r="2957" spans="1:26" ht="15.75" hidden="1" customHeight="1" x14ac:dyDescent="0.25">
      <c r="A2957" s="148" t="s">
        <v>307</v>
      </c>
      <c r="B2957" s="148" t="s">
        <v>44</v>
      </c>
      <c r="C2957" s="148" t="s">
        <v>45</v>
      </c>
      <c r="D2957" s="148" t="s">
        <v>29</v>
      </c>
      <c r="E2957" s="148" t="s">
        <v>46</v>
      </c>
      <c r="F2957" s="148" t="s">
        <v>47</v>
      </c>
      <c r="G2957" s="148" t="s">
        <v>48</v>
      </c>
      <c r="H2957" s="148">
        <v>2019</v>
      </c>
      <c r="I2957" s="148">
        <v>11</v>
      </c>
      <c r="J2957" s="148" t="s">
        <v>308</v>
      </c>
      <c r="Q2957" s="148" t="s">
        <v>426</v>
      </c>
      <c r="R2957" s="148" t="s">
        <v>2385</v>
      </c>
      <c r="S2957" s="148" t="s">
        <v>311</v>
      </c>
      <c r="T2957" s="148" t="s">
        <v>2386</v>
      </c>
      <c r="Y2957" s="150" t="s">
        <v>2387</v>
      </c>
    </row>
    <row r="2958" spans="1:26" ht="15.75" hidden="1" customHeight="1" x14ac:dyDescent="0.25">
      <c r="A2958" s="148" t="s">
        <v>307</v>
      </c>
      <c r="B2958" s="148" t="s">
        <v>116</v>
      </c>
      <c r="C2958" s="148" t="s">
        <v>90</v>
      </c>
      <c r="D2958" s="148" t="s">
        <v>99</v>
      </c>
      <c r="E2958" s="148" t="s">
        <v>30</v>
      </c>
      <c r="F2958" s="148" t="s">
        <v>41</v>
      </c>
      <c r="G2958" s="148" t="s">
        <v>564</v>
      </c>
      <c r="H2958" s="148">
        <v>2019</v>
      </c>
      <c r="I2958" s="148">
        <v>12</v>
      </c>
      <c r="J2958" s="148" t="s">
        <v>308</v>
      </c>
      <c r="Q2958" s="148" t="s">
        <v>426</v>
      </c>
      <c r="R2958" s="148" t="s">
        <v>2388</v>
      </c>
      <c r="S2958" s="148" t="s">
        <v>311</v>
      </c>
      <c r="T2958" s="148" t="s">
        <v>2389</v>
      </c>
      <c r="Y2958" s="150" t="s">
        <v>2390</v>
      </c>
      <c r="Z2958" s="148" t="s">
        <v>1786</v>
      </c>
    </row>
    <row r="2959" spans="1:26" ht="15.75" hidden="1" customHeight="1" x14ac:dyDescent="0.25">
      <c r="A2959" s="148" t="s">
        <v>307</v>
      </c>
      <c r="B2959" s="148" t="s">
        <v>27</v>
      </c>
      <c r="C2959" s="148" t="s">
        <v>28</v>
      </c>
      <c r="D2959" s="148" t="s">
        <v>566</v>
      </c>
      <c r="E2959" s="148" t="s">
        <v>30</v>
      </c>
      <c r="F2959" s="148" t="s">
        <v>3183</v>
      </c>
      <c r="G2959" s="148" t="s">
        <v>53</v>
      </c>
      <c r="H2959" s="148">
        <v>2019</v>
      </c>
      <c r="I2959" s="148">
        <v>12</v>
      </c>
      <c r="J2959" s="148" t="s">
        <v>308</v>
      </c>
      <c r="Q2959" s="148" t="s">
        <v>309</v>
      </c>
      <c r="R2959" s="148" t="s">
        <v>2391</v>
      </c>
      <c r="S2959" s="148" t="s">
        <v>311</v>
      </c>
      <c r="T2959" s="148" t="s">
        <v>2392</v>
      </c>
      <c r="Y2959" s="150" t="s">
        <v>2393</v>
      </c>
      <c r="Z2959" s="148" t="s">
        <v>2106</v>
      </c>
    </row>
    <row r="2960" spans="1:26" ht="15.75" hidden="1" customHeight="1" x14ac:dyDescent="0.25">
      <c r="A2960" s="148" t="s">
        <v>76</v>
      </c>
      <c r="B2960" s="148" t="s">
        <v>36</v>
      </c>
      <c r="C2960" s="148" t="s">
        <v>28</v>
      </c>
      <c r="D2960" s="148" t="s">
        <v>478</v>
      </c>
      <c r="E2960" s="148" t="s">
        <v>30</v>
      </c>
      <c r="F2960" s="148" t="s">
        <v>3183</v>
      </c>
      <c r="G2960" s="148" t="s">
        <v>59</v>
      </c>
      <c r="H2960" s="148">
        <v>2019</v>
      </c>
      <c r="I2960" s="148">
        <v>12</v>
      </c>
      <c r="J2960" s="148" t="s">
        <v>118</v>
      </c>
      <c r="K2960" s="148" t="s">
        <v>579</v>
      </c>
      <c r="M2960" s="148" t="s">
        <v>126</v>
      </c>
      <c r="N2960" s="148">
        <v>10</v>
      </c>
      <c r="O2960" s="148" t="s">
        <v>101</v>
      </c>
      <c r="P2960" s="148" t="s">
        <v>2394</v>
      </c>
      <c r="Y2960" s="150" t="s">
        <v>2395</v>
      </c>
      <c r="Z2960" s="148" t="s">
        <v>2396</v>
      </c>
    </row>
    <row r="2961" spans="1:27" ht="15.75" hidden="1" customHeight="1" x14ac:dyDescent="0.25">
      <c r="A2961" s="148" t="s">
        <v>307</v>
      </c>
      <c r="B2961" s="148" t="s">
        <v>116</v>
      </c>
      <c r="C2961" s="148" t="s">
        <v>90</v>
      </c>
      <c r="D2961" s="148" t="s">
        <v>478</v>
      </c>
      <c r="E2961" s="148" t="s">
        <v>30</v>
      </c>
      <c r="F2961" s="148" t="s">
        <v>41</v>
      </c>
      <c r="G2961" s="148" t="s">
        <v>421</v>
      </c>
      <c r="H2961" s="148">
        <v>2019</v>
      </c>
      <c r="I2961" s="148">
        <v>12</v>
      </c>
      <c r="J2961" s="148" t="s">
        <v>399</v>
      </c>
      <c r="Q2961" s="148" t="s">
        <v>1848</v>
      </c>
      <c r="R2961" s="148" t="s">
        <v>2397</v>
      </c>
      <c r="S2961" s="148" t="s">
        <v>427</v>
      </c>
      <c r="T2961" s="148" t="s">
        <v>2398</v>
      </c>
      <c r="Y2961" s="150" t="s">
        <v>2399</v>
      </c>
    </row>
    <row r="2962" spans="1:27" ht="15.75" hidden="1" customHeight="1" x14ac:dyDescent="0.25">
      <c r="A2962" s="152" t="s">
        <v>307</v>
      </c>
      <c r="B2962" s="152" t="s">
        <v>54</v>
      </c>
      <c r="C2962" s="152" t="s">
        <v>55</v>
      </c>
      <c r="D2962" s="152" t="s">
        <v>2173</v>
      </c>
      <c r="E2962" s="152" t="s">
        <v>30</v>
      </c>
      <c r="F2962" s="152" t="s">
        <v>56</v>
      </c>
      <c r="G2962" s="152" t="s">
        <v>421</v>
      </c>
      <c r="H2962" s="152">
        <v>2019</v>
      </c>
      <c r="I2962" s="152">
        <v>12</v>
      </c>
      <c r="J2962" s="152" t="s">
        <v>399</v>
      </c>
      <c r="K2962" s="152"/>
      <c r="L2962" s="152"/>
      <c r="M2962" s="152"/>
      <c r="N2962" s="152"/>
      <c r="O2962" s="152"/>
      <c r="P2962" s="152"/>
      <c r="Q2962" s="152" t="s">
        <v>594</v>
      </c>
      <c r="R2962" s="152" t="s">
        <v>2400</v>
      </c>
      <c r="S2962" s="152" t="s">
        <v>427</v>
      </c>
      <c r="T2962" s="152" t="s">
        <v>2401</v>
      </c>
      <c r="V2962" s="152"/>
      <c r="Y2962" s="154" t="s">
        <v>2399</v>
      </c>
      <c r="Z2962" s="152" t="s">
        <v>2402</v>
      </c>
      <c r="AA2962" s="152"/>
    </row>
    <row r="2963" spans="1:27" ht="15.75" hidden="1" customHeight="1" x14ac:dyDescent="0.25">
      <c r="A2963" s="148" t="s">
        <v>76</v>
      </c>
      <c r="B2963" s="148" t="s">
        <v>62</v>
      </c>
      <c r="C2963" s="148" t="s">
        <v>28</v>
      </c>
      <c r="D2963" s="148" t="s">
        <v>759</v>
      </c>
      <c r="E2963" s="148" t="s">
        <v>51</v>
      </c>
      <c r="F2963" s="148" t="s">
        <v>3183</v>
      </c>
      <c r="G2963" s="148" t="s">
        <v>409</v>
      </c>
      <c r="H2963" s="148">
        <v>2019</v>
      </c>
      <c r="I2963" s="148">
        <v>12</v>
      </c>
      <c r="J2963" s="148" t="s">
        <v>118</v>
      </c>
      <c r="K2963" s="148" t="s">
        <v>579</v>
      </c>
      <c r="M2963" s="148" t="s">
        <v>126</v>
      </c>
      <c r="N2963" s="148">
        <v>10</v>
      </c>
      <c r="O2963" s="148" t="s">
        <v>101</v>
      </c>
      <c r="P2963" s="148" t="s">
        <v>2403</v>
      </c>
      <c r="Y2963" s="150" t="s">
        <v>2404</v>
      </c>
      <c r="Z2963" s="148" t="s">
        <v>2396</v>
      </c>
    </row>
    <row r="2964" spans="1:27" ht="15.75" hidden="1" customHeight="1" x14ac:dyDescent="0.25">
      <c r="A2964" s="148" t="s">
        <v>26</v>
      </c>
      <c r="B2964" s="148" t="s">
        <v>89</v>
      </c>
      <c r="C2964" s="148" t="s">
        <v>90</v>
      </c>
      <c r="D2964" s="148" t="s">
        <v>158</v>
      </c>
      <c r="E2964" s="148" t="s">
        <v>30</v>
      </c>
      <c r="F2964" s="148" t="s">
        <v>91</v>
      </c>
      <c r="G2964" s="148" t="s">
        <v>222</v>
      </c>
      <c r="H2964" s="148">
        <v>2019</v>
      </c>
      <c r="I2964" s="148">
        <v>12</v>
      </c>
      <c r="J2964" s="148" t="s">
        <v>792</v>
      </c>
      <c r="U2964" s="149" t="s">
        <v>3629</v>
      </c>
      <c r="V2964" s="148" t="s">
        <v>2317</v>
      </c>
      <c r="W2964" s="148" t="s">
        <v>49</v>
      </c>
      <c r="X2964" s="157" t="s">
        <v>3772</v>
      </c>
    </row>
    <row r="2965" spans="1:27" ht="15.75" hidden="1" customHeight="1" x14ac:dyDescent="0.25">
      <c r="A2965" s="148" t="s">
        <v>307</v>
      </c>
      <c r="B2965" s="148" t="s">
        <v>27</v>
      </c>
      <c r="C2965" s="148" t="s">
        <v>28</v>
      </c>
      <c r="D2965" s="148" t="s">
        <v>1302</v>
      </c>
      <c r="E2965" s="148" t="s">
        <v>40</v>
      </c>
      <c r="F2965" s="148" t="s">
        <v>41</v>
      </c>
      <c r="G2965" s="148" t="s">
        <v>42</v>
      </c>
      <c r="H2965" s="148">
        <v>2019</v>
      </c>
      <c r="I2965" s="148">
        <v>12</v>
      </c>
      <c r="J2965" s="148" t="s">
        <v>308</v>
      </c>
      <c r="Q2965" s="148" t="s">
        <v>594</v>
      </c>
      <c r="R2965" s="148" t="s">
        <v>2405</v>
      </c>
      <c r="S2965" s="148" t="s">
        <v>311</v>
      </c>
      <c r="T2965" s="148" t="s">
        <v>2406</v>
      </c>
      <c r="Y2965" s="150" t="s">
        <v>2407</v>
      </c>
      <c r="Z2965" s="148" t="s">
        <v>2408</v>
      </c>
    </row>
    <row r="2966" spans="1:27" ht="15.75" hidden="1" customHeight="1" x14ac:dyDescent="0.25">
      <c r="A2966" s="148" t="s">
        <v>76</v>
      </c>
      <c r="B2966" s="148" t="s">
        <v>27</v>
      </c>
      <c r="C2966" s="148" t="s">
        <v>28</v>
      </c>
      <c r="D2966" s="148" t="s">
        <v>1302</v>
      </c>
      <c r="E2966" s="148" t="s">
        <v>40</v>
      </c>
      <c r="F2966" s="148" t="s">
        <v>41</v>
      </c>
      <c r="G2966" s="148" t="s">
        <v>42</v>
      </c>
      <c r="H2966" s="148">
        <v>2019</v>
      </c>
      <c r="I2966" s="148">
        <v>12</v>
      </c>
      <c r="J2966" s="148" t="s">
        <v>118</v>
      </c>
      <c r="K2966" s="148" t="s">
        <v>1152</v>
      </c>
      <c r="M2966" s="148" t="s">
        <v>82</v>
      </c>
      <c r="N2966" s="148">
        <v>8</v>
      </c>
      <c r="O2966" s="148" t="s">
        <v>101</v>
      </c>
      <c r="P2966" s="148" t="s">
        <v>2409</v>
      </c>
      <c r="Y2966" s="150" t="s">
        <v>2410</v>
      </c>
    </row>
    <row r="2967" spans="1:27" ht="15.75" hidden="1" customHeight="1" x14ac:dyDescent="0.25">
      <c r="A2967" s="148" t="s">
        <v>307</v>
      </c>
      <c r="B2967" s="148" t="s">
        <v>27</v>
      </c>
      <c r="C2967" s="148" t="s">
        <v>28</v>
      </c>
      <c r="D2967" s="148" t="s">
        <v>1302</v>
      </c>
      <c r="E2967" s="148" t="s">
        <v>40</v>
      </c>
      <c r="F2967" s="148" t="s">
        <v>41</v>
      </c>
      <c r="G2967" s="148" t="s">
        <v>42</v>
      </c>
      <c r="H2967" s="148">
        <v>2019</v>
      </c>
      <c r="I2967" s="148">
        <v>12</v>
      </c>
      <c r="J2967" s="148" t="s">
        <v>308</v>
      </c>
      <c r="Q2967" s="148" t="s">
        <v>309</v>
      </c>
      <c r="R2967" s="148" t="s">
        <v>2411</v>
      </c>
      <c r="S2967" s="148" t="s">
        <v>311</v>
      </c>
      <c r="T2967" s="148" t="s">
        <v>2412</v>
      </c>
      <c r="Y2967" s="150" t="s">
        <v>2413</v>
      </c>
      <c r="Z2967" s="148" t="s">
        <v>2414</v>
      </c>
    </row>
    <row r="2968" spans="1:27" ht="15.75" hidden="1" customHeight="1" x14ac:dyDescent="0.25">
      <c r="A2968" s="148" t="s">
        <v>26</v>
      </c>
      <c r="B2968" s="148" t="s">
        <v>89</v>
      </c>
      <c r="C2968" s="148" t="s">
        <v>90</v>
      </c>
      <c r="D2968" s="148" t="s">
        <v>478</v>
      </c>
      <c r="E2968" s="148" t="s">
        <v>30</v>
      </c>
      <c r="F2968" s="148" t="s">
        <v>91</v>
      </c>
      <c r="G2968" s="148" t="s">
        <v>92</v>
      </c>
      <c r="H2968" s="148">
        <v>2019</v>
      </c>
      <c r="I2968" s="148">
        <v>12</v>
      </c>
      <c r="J2968" s="148" t="s">
        <v>33</v>
      </c>
      <c r="U2968" s="149" t="s">
        <v>3629</v>
      </c>
      <c r="V2968" s="148" t="s">
        <v>2317</v>
      </c>
      <c r="W2968" s="148" t="s">
        <v>49</v>
      </c>
      <c r="X2968" s="157" t="s">
        <v>3772</v>
      </c>
    </row>
    <row r="2969" spans="1:27" ht="15.75" hidden="1" customHeight="1" x14ac:dyDescent="0.25">
      <c r="A2969" s="148" t="s">
        <v>307</v>
      </c>
      <c r="B2969" s="148" t="s">
        <v>89</v>
      </c>
      <c r="C2969" s="148" t="s">
        <v>90</v>
      </c>
      <c r="D2969" s="148" t="s">
        <v>158</v>
      </c>
      <c r="E2969" s="148" t="s">
        <v>30</v>
      </c>
      <c r="F2969" s="148" t="s">
        <v>91</v>
      </c>
      <c r="G2969" s="148" t="s">
        <v>93</v>
      </c>
      <c r="H2969" s="148">
        <v>2019</v>
      </c>
      <c r="I2969" s="148">
        <v>12</v>
      </c>
      <c r="J2969" s="148" t="s">
        <v>308</v>
      </c>
      <c r="Q2969" s="148" t="s">
        <v>594</v>
      </c>
      <c r="R2969" s="148" t="s">
        <v>2415</v>
      </c>
      <c r="S2969" s="148" t="s">
        <v>311</v>
      </c>
      <c r="T2969" s="148" t="s">
        <v>2416</v>
      </c>
      <c r="Y2969" s="150" t="s">
        <v>2417</v>
      </c>
    </row>
    <row r="2970" spans="1:27" ht="15.75" hidden="1" customHeight="1" x14ac:dyDescent="0.25">
      <c r="A2970" s="148" t="s">
        <v>76</v>
      </c>
      <c r="B2970" s="148" t="s">
        <v>44</v>
      </c>
      <c r="C2970" s="148" t="s">
        <v>45</v>
      </c>
      <c r="D2970" s="148" t="s">
        <v>29</v>
      </c>
      <c r="E2970" s="148" t="s">
        <v>46</v>
      </c>
      <c r="F2970" s="148" t="s">
        <v>47</v>
      </c>
      <c r="G2970" s="148" t="s">
        <v>48</v>
      </c>
      <c r="H2970" s="148">
        <v>2019</v>
      </c>
      <c r="I2970" s="148">
        <v>12</v>
      </c>
      <c r="J2970" s="148" t="s">
        <v>118</v>
      </c>
      <c r="K2970" s="148" t="s">
        <v>579</v>
      </c>
      <c r="M2970" s="148" t="s">
        <v>126</v>
      </c>
      <c r="N2970" s="148">
        <v>10</v>
      </c>
      <c r="O2970" s="148" t="s">
        <v>101</v>
      </c>
      <c r="P2970" s="148" t="s">
        <v>2068</v>
      </c>
      <c r="Y2970" s="150" t="s">
        <v>2418</v>
      </c>
    </row>
    <row r="2971" spans="1:27" ht="15.75" hidden="1" customHeight="1" x14ac:dyDescent="0.25">
      <c r="A2971" s="148" t="s">
        <v>76</v>
      </c>
      <c r="B2971" s="148" t="s">
        <v>27</v>
      </c>
      <c r="C2971" s="148" t="s">
        <v>28</v>
      </c>
      <c r="D2971" s="148" t="s">
        <v>566</v>
      </c>
      <c r="E2971" s="148" t="s">
        <v>30</v>
      </c>
      <c r="F2971" s="148" t="s">
        <v>3183</v>
      </c>
      <c r="G2971" s="148" t="s">
        <v>53</v>
      </c>
      <c r="H2971" s="148">
        <v>2020</v>
      </c>
      <c r="I2971" s="148">
        <v>1</v>
      </c>
      <c r="J2971" s="148" t="s">
        <v>118</v>
      </c>
      <c r="K2971" s="148" t="s">
        <v>1892</v>
      </c>
      <c r="M2971" s="148" t="s">
        <v>1519</v>
      </c>
      <c r="N2971" s="148">
        <v>6</v>
      </c>
      <c r="O2971" s="148" t="s">
        <v>101</v>
      </c>
      <c r="P2971" s="148" t="s">
        <v>2419</v>
      </c>
      <c r="Y2971" s="150" t="s">
        <v>2420</v>
      </c>
      <c r="AA2971" s="148" t="s">
        <v>543</v>
      </c>
    </row>
    <row r="2972" spans="1:27" ht="15.75" hidden="1" customHeight="1" x14ac:dyDescent="0.25">
      <c r="A2972" s="148" t="s">
        <v>307</v>
      </c>
      <c r="B2972" s="148" t="s">
        <v>27</v>
      </c>
      <c r="C2972" s="148" t="s">
        <v>28</v>
      </c>
      <c r="D2972" s="148" t="s">
        <v>1302</v>
      </c>
      <c r="E2972" s="148" t="s">
        <v>40</v>
      </c>
      <c r="F2972" s="148" t="s">
        <v>41</v>
      </c>
      <c r="G2972" s="148" t="s">
        <v>42</v>
      </c>
      <c r="H2972" s="148">
        <v>2020</v>
      </c>
      <c r="I2972" s="148">
        <v>1</v>
      </c>
      <c r="J2972" s="148" t="s">
        <v>308</v>
      </c>
      <c r="Q2972" s="148" t="s">
        <v>594</v>
      </c>
      <c r="R2972" s="148" t="s">
        <v>2421</v>
      </c>
      <c r="S2972" s="148" t="s">
        <v>427</v>
      </c>
      <c r="T2972" s="148" t="s">
        <v>2422</v>
      </c>
      <c r="Y2972" s="150" t="s">
        <v>2423</v>
      </c>
    </row>
    <row r="2973" spans="1:27" ht="15.75" hidden="1" customHeight="1" x14ac:dyDescent="0.25">
      <c r="A2973" s="148" t="s">
        <v>307</v>
      </c>
      <c r="B2973" s="148" t="s">
        <v>36</v>
      </c>
      <c r="C2973" s="148" t="s">
        <v>28</v>
      </c>
      <c r="D2973" s="148" t="s">
        <v>478</v>
      </c>
      <c r="E2973" s="148" t="s">
        <v>51</v>
      </c>
      <c r="F2973" s="148" t="s">
        <v>3183</v>
      </c>
      <c r="G2973" s="148" t="s">
        <v>69</v>
      </c>
      <c r="H2973" s="148">
        <v>2020</v>
      </c>
      <c r="I2973" s="148">
        <v>1</v>
      </c>
      <c r="J2973" s="148" t="s">
        <v>308</v>
      </c>
      <c r="Q2973" s="148" t="s">
        <v>426</v>
      </c>
      <c r="S2973" s="148" t="s">
        <v>2424</v>
      </c>
      <c r="T2973" s="148" t="s">
        <v>2425</v>
      </c>
      <c r="X2973" s="148" t="s">
        <v>2426</v>
      </c>
      <c r="Y2973" s="150" t="s">
        <v>2427</v>
      </c>
    </row>
    <row r="2974" spans="1:27" ht="15.75" hidden="1" customHeight="1" x14ac:dyDescent="0.25">
      <c r="A2974" s="148" t="s">
        <v>26</v>
      </c>
      <c r="B2974" s="148" t="s">
        <v>116</v>
      </c>
      <c r="C2974" s="148" t="s">
        <v>90</v>
      </c>
      <c r="D2974" s="148" t="s">
        <v>478</v>
      </c>
      <c r="E2974" s="148" t="s">
        <v>30</v>
      </c>
      <c r="F2974" s="148" t="s">
        <v>41</v>
      </c>
      <c r="G2974" s="148" t="s">
        <v>503</v>
      </c>
      <c r="H2974" s="148">
        <v>2020</v>
      </c>
      <c r="I2974" s="148">
        <v>1</v>
      </c>
      <c r="J2974" s="148" t="s">
        <v>33</v>
      </c>
      <c r="U2974" s="149" t="s">
        <v>3629</v>
      </c>
      <c r="V2974" s="148" t="s">
        <v>2317</v>
      </c>
      <c r="W2974" s="148" t="s">
        <v>49</v>
      </c>
      <c r="X2974" s="157" t="s">
        <v>3772</v>
      </c>
      <c r="Y2974" s="150" t="s">
        <v>2428</v>
      </c>
      <c r="Z2974" s="148" t="s">
        <v>2429</v>
      </c>
      <c r="AA2974" s="148" t="s">
        <v>543</v>
      </c>
    </row>
    <row r="2975" spans="1:27" ht="15.75" hidden="1" customHeight="1" x14ac:dyDescent="0.25">
      <c r="A2975" s="148" t="s">
        <v>26</v>
      </c>
      <c r="B2975" s="148" t="s">
        <v>27</v>
      </c>
      <c r="C2975" s="148" t="s">
        <v>2430</v>
      </c>
      <c r="D2975" s="148" t="s">
        <v>86</v>
      </c>
      <c r="E2975" s="148" t="s">
        <v>30</v>
      </c>
      <c r="F2975" s="148" t="s">
        <v>3183</v>
      </c>
      <c r="G2975" s="148" t="s">
        <v>32</v>
      </c>
      <c r="H2975" s="148">
        <v>2020</v>
      </c>
      <c r="I2975" s="148">
        <v>2</v>
      </c>
      <c r="J2975" s="148" t="s">
        <v>33</v>
      </c>
      <c r="U2975" s="149" t="s">
        <v>3629</v>
      </c>
      <c r="V2975" s="148" t="s">
        <v>2317</v>
      </c>
      <c r="W2975" s="148" t="s">
        <v>49</v>
      </c>
      <c r="X2975" s="157" t="s">
        <v>3772</v>
      </c>
      <c r="Y2975" s="150" t="s">
        <v>2431</v>
      </c>
      <c r="Z2975" s="148" t="s">
        <v>2429</v>
      </c>
      <c r="AA2975" s="148" t="s">
        <v>543</v>
      </c>
    </row>
    <row r="2976" spans="1:27" ht="15.75" hidden="1" customHeight="1" x14ac:dyDescent="0.25">
      <c r="A2976" s="148" t="s">
        <v>307</v>
      </c>
      <c r="B2976" s="148" t="s">
        <v>27</v>
      </c>
      <c r="C2976" s="148" t="s">
        <v>28</v>
      </c>
      <c r="D2976" s="148" t="s">
        <v>342</v>
      </c>
      <c r="E2976" s="148" t="s">
        <v>51</v>
      </c>
      <c r="F2976" s="148" t="s">
        <v>3183</v>
      </c>
      <c r="G2976" s="148" t="s">
        <v>52</v>
      </c>
      <c r="H2976" s="148">
        <v>2020</v>
      </c>
      <c r="I2976" s="148">
        <v>2</v>
      </c>
      <c r="J2976" s="148" t="s">
        <v>399</v>
      </c>
      <c r="Q2976" s="148" t="s">
        <v>426</v>
      </c>
      <c r="R2976" s="148" t="s">
        <v>2432</v>
      </c>
      <c r="S2976" s="148" t="s">
        <v>311</v>
      </c>
      <c r="T2976" s="148" t="s">
        <v>2433</v>
      </c>
      <c r="Y2976" s="150" t="s">
        <v>2434</v>
      </c>
    </row>
    <row r="2977" spans="1:27" ht="15.75" hidden="1" customHeight="1" x14ac:dyDescent="0.25">
      <c r="A2977" s="148" t="s">
        <v>307</v>
      </c>
      <c r="B2977" s="148" t="s">
        <v>36</v>
      </c>
      <c r="C2977" s="148" t="s">
        <v>28</v>
      </c>
      <c r="D2977" s="148" t="s">
        <v>342</v>
      </c>
      <c r="E2977" s="148" t="s">
        <v>30</v>
      </c>
      <c r="F2977" s="148" t="s">
        <v>3183</v>
      </c>
      <c r="G2977" s="148" t="s">
        <v>438</v>
      </c>
      <c r="H2977" s="148">
        <v>2020</v>
      </c>
      <c r="I2977" s="148">
        <v>3</v>
      </c>
      <c r="J2977" s="148" t="s">
        <v>308</v>
      </c>
      <c r="Q2977" s="148" t="s">
        <v>309</v>
      </c>
      <c r="R2977" s="148" t="s">
        <v>2435</v>
      </c>
      <c r="S2977" s="148" t="s">
        <v>311</v>
      </c>
      <c r="T2977" s="148" t="s">
        <v>2436</v>
      </c>
      <c r="Y2977" s="150" t="s">
        <v>2437</v>
      </c>
    </row>
    <row r="2978" spans="1:27" ht="15.75" customHeight="1" x14ac:dyDescent="0.25">
      <c r="A2978" s="148" t="s">
        <v>76</v>
      </c>
      <c r="B2978" s="148" t="s">
        <v>36</v>
      </c>
      <c r="C2978" s="148" t="s">
        <v>28</v>
      </c>
      <c r="D2978" s="148" t="s">
        <v>1304</v>
      </c>
      <c r="E2978" s="148" t="s">
        <v>30</v>
      </c>
      <c r="F2978" s="148" t="s">
        <v>3183</v>
      </c>
      <c r="G2978" s="148" t="s">
        <v>194</v>
      </c>
      <c r="H2978" s="148">
        <v>2020</v>
      </c>
      <c r="I2978" s="148">
        <v>3</v>
      </c>
      <c r="J2978" s="148" t="s">
        <v>2438</v>
      </c>
      <c r="K2978" s="148" t="s">
        <v>1152</v>
      </c>
      <c r="M2978" s="148" t="s">
        <v>82</v>
      </c>
      <c r="N2978" s="148">
        <v>8</v>
      </c>
      <c r="O2978" s="148" t="s">
        <v>2439</v>
      </c>
      <c r="P2978" s="148" t="s">
        <v>2440</v>
      </c>
      <c r="Y2978" s="150" t="s">
        <v>2441</v>
      </c>
      <c r="AA2978" s="148" t="s">
        <v>543</v>
      </c>
    </row>
    <row r="2979" spans="1:27" ht="15.75" hidden="1" customHeight="1" x14ac:dyDescent="0.25">
      <c r="A2979" s="148" t="s">
        <v>26</v>
      </c>
      <c r="B2979" s="148" t="s">
        <v>36</v>
      </c>
      <c r="C2979" s="148" t="s">
        <v>2430</v>
      </c>
      <c r="D2979" s="148" t="s">
        <v>342</v>
      </c>
      <c r="E2979" s="148" t="s">
        <v>51</v>
      </c>
      <c r="F2979" s="148" t="s">
        <v>3183</v>
      </c>
      <c r="G2979" s="148" t="s">
        <v>52</v>
      </c>
      <c r="H2979" s="148">
        <v>2020</v>
      </c>
      <c r="I2979" s="148">
        <v>3</v>
      </c>
      <c r="J2979" s="148" t="s">
        <v>33</v>
      </c>
      <c r="U2979" s="149" t="s">
        <v>3629</v>
      </c>
      <c r="V2979" s="148" t="s">
        <v>2317</v>
      </c>
      <c r="W2979" s="148" t="s">
        <v>49</v>
      </c>
      <c r="X2979" s="157" t="s">
        <v>3772</v>
      </c>
      <c r="Y2979" s="150" t="s">
        <v>2431</v>
      </c>
      <c r="Z2979" s="148" t="s">
        <v>2442</v>
      </c>
      <c r="AA2979" s="148" t="s">
        <v>543</v>
      </c>
    </row>
    <row r="2980" spans="1:27" ht="15.75" hidden="1" customHeight="1" x14ac:dyDescent="0.25">
      <c r="A2980" s="148" t="s">
        <v>76</v>
      </c>
      <c r="B2980" s="148" t="s">
        <v>44</v>
      </c>
      <c r="C2980" s="148" t="s">
        <v>45</v>
      </c>
      <c r="D2980" s="148" t="s">
        <v>29</v>
      </c>
      <c r="E2980" s="148" t="s">
        <v>46</v>
      </c>
      <c r="F2980" s="148" t="s">
        <v>47</v>
      </c>
      <c r="G2980" s="148" t="s">
        <v>48</v>
      </c>
      <c r="H2980" s="148">
        <v>2020</v>
      </c>
      <c r="I2980" s="148">
        <v>3</v>
      </c>
      <c r="J2980" s="148" t="s">
        <v>2438</v>
      </c>
      <c r="K2980" s="148" t="s">
        <v>1152</v>
      </c>
      <c r="M2980" s="148" t="s">
        <v>82</v>
      </c>
      <c r="N2980" s="148">
        <v>8</v>
      </c>
      <c r="O2980" s="148" t="s">
        <v>2439</v>
      </c>
      <c r="P2980" s="148" t="s">
        <v>2443</v>
      </c>
      <c r="Y2980" s="150" t="s">
        <v>2444</v>
      </c>
    </row>
    <row r="2981" spans="1:27" ht="15.75" hidden="1" customHeight="1" x14ac:dyDescent="0.25">
      <c r="A2981" s="148" t="s">
        <v>76</v>
      </c>
      <c r="B2981" s="148" t="s">
        <v>36</v>
      </c>
      <c r="C2981" s="148" t="s">
        <v>2430</v>
      </c>
      <c r="D2981" s="148" t="s">
        <v>342</v>
      </c>
      <c r="E2981" s="148" t="s">
        <v>30</v>
      </c>
      <c r="F2981" s="148" t="s">
        <v>3183</v>
      </c>
      <c r="G2981" s="148" t="s">
        <v>242</v>
      </c>
      <c r="H2981" s="148">
        <v>2020</v>
      </c>
      <c r="I2981" s="148">
        <v>4</v>
      </c>
      <c r="J2981" s="148" t="s">
        <v>2438</v>
      </c>
      <c r="K2981" s="148" t="s">
        <v>1152</v>
      </c>
      <c r="M2981" s="148" t="s">
        <v>82</v>
      </c>
      <c r="N2981" s="148">
        <v>8</v>
      </c>
      <c r="O2981" s="148" t="s">
        <v>2439</v>
      </c>
      <c r="P2981" s="148" t="s">
        <v>2445</v>
      </c>
      <c r="Y2981" s="150" t="s">
        <v>2446</v>
      </c>
    </row>
    <row r="2982" spans="1:27" ht="15.75" hidden="1" customHeight="1" x14ac:dyDescent="0.25">
      <c r="A2982" s="148" t="s">
        <v>76</v>
      </c>
      <c r="B2982" s="148" t="s">
        <v>36</v>
      </c>
      <c r="C2982" s="148" t="s">
        <v>2430</v>
      </c>
      <c r="D2982" s="148" t="s">
        <v>342</v>
      </c>
      <c r="E2982" s="148" t="s">
        <v>30</v>
      </c>
      <c r="F2982" s="148" t="s">
        <v>3183</v>
      </c>
      <c r="G2982" s="148" t="s">
        <v>37</v>
      </c>
      <c r="H2982" s="148">
        <v>2020</v>
      </c>
      <c r="I2982" s="148">
        <v>4</v>
      </c>
      <c r="J2982" s="148" t="s">
        <v>2438</v>
      </c>
      <c r="K2982" s="148" t="s">
        <v>1152</v>
      </c>
      <c r="M2982" s="148" t="s">
        <v>82</v>
      </c>
      <c r="N2982" s="148">
        <v>8</v>
      </c>
      <c r="O2982" s="148" t="s">
        <v>2439</v>
      </c>
      <c r="P2982" s="148" t="s">
        <v>850</v>
      </c>
      <c r="Y2982" s="150" t="s">
        <v>2446</v>
      </c>
    </row>
    <row r="2983" spans="1:27" ht="15.75" hidden="1" customHeight="1" x14ac:dyDescent="0.25">
      <c r="A2983" s="148" t="s">
        <v>76</v>
      </c>
      <c r="B2983" s="148" t="s">
        <v>44</v>
      </c>
      <c r="C2983" s="148" t="s">
        <v>45</v>
      </c>
      <c r="D2983" s="148" t="s">
        <v>29</v>
      </c>
      <c r="E2983" s="148" t="s">
        <v>46</v>
      </c>
      <c r="F2983" s="148" t="s">
        <v>47</v>
      </c>
      <c r="G2983" s="148" t="s">
        <v>48</v>
      </c>
      <c r="H2983" s="148">
        <v>2020</v>
      </c>
      <c r="I2983" s="148">
        <v>4</v>
      </c>
      <c r="J2983" s="148" t="s">
        <v>2438</v>
      </c>
      <c r="K2983" s="148" t="s">
        <v>1333</v>
      </c>
      <c r="M2983" s="148" t="s">
        <v>1441</v>
      </c>
      <c r="N2983" s="148">
        <v>8</v>
      </c>
      <c r="O2983" s="148" t="s">
        <v>2439</v>
      </c>
      <c r="P2983" s="148" t="s">
        <v>2447</v>
      </c>
      <c r="T2983" s="156" t="s">
        <v>543</v>
      </c>
      <c r="U2983" s="156"/>
      <c r="V2983" s="148" t="s">
        <v>543</v>
      </c>
      <c r="W2983" s="148" t="s">
        <v>543</v>
      </c>
      <c r="Y2983" s="150" t="s">
        <v>2448</v>
      </c>
    </row>
    <row r="2984" spans="1:27" ht="15.75" hidden="1" customHeight="1" x14ac:dyDescent="0.25">
      <c r="A2984" s="148" t="s">
        <v>76</v>
      </c>
      <c r="B2984" s="148" t="s">
        <v>36</v>
      </c>
      <c r="C2984" s="148" t="s">
        <v>2430</v>
      </c>
      <c r="D2984" s="148" t="s">
        <v>342</v>
      </c>
      <c r="E2984" s="148" t="s">
        <v>30</v>
      </c>
      <c r="F2984" s="148" t="s">
        <v>3183</v>
      </c>
      <c r="G2984" s="148" t="s">
        <v>114</v>
      </c>
      <c r="H2984" s="148">
        <v>2020</v>
      </c>
      <c r="I2984" s="148">
        <v>4</v>
      </c>
      <c r="J2984" s="148" t="s">
        <v>2438</v>
      </c>
      <c r="K2984" s="148" t="s">
        <v>1152</v>
      </c>
      <c r="M2984" s="148" t="s">
        <v>82</v>
      </c>
      <c r="N2984" s="148">
        <v>8</v>
      </c>
      <c r="O2984" s="148" t="s">
        <v>2439</v>
      </c>
      <c r="P2984" s="148" t="s">
        <v>2449</v>
      </c>
      <c r="Y2984" s="150" t="s">
        <v>2446</v>
      </c>
    </row>
    <row r="2985" spans="1:27" ht="15.75" hidden="1" customHeight="1" x14ac:dyDescent="0.25">
      <c r="A2985" s="148" t="s">
        <v>76</v>
      </c>
      <c r="B2985" s="148" t="s">
        <v>103</v>
      </c>
      <c r="C2985" s="148" t="s">
        <v>55</v>
      </c>
      <c r="D2985" s="148" t="s">
        <v>478</v>
      </c>
      <c r="E2985" s="148" t="s">
        <v>30</v>
      </c>
      <c r="F2985" s="148" t="s">
        <v>56</v>
      </c>
      <c r="G2985" s="148" t="s">
        <v>171</v>
      </c>
      <c r="H2985" s="148">
        <v>2020</v>
      </c>
      <c r="I2985" s="148">
        <v>5</v>
      </c>
      <c r="J2985" s="148" t="s">
        <v>2438</v>
      </c>
      <c r="K2985" s="148" t="s">
        <v>1152</v>
      </c>
      <c r="M2985" s="148" t="s">
        <v>82</v>
      </c>
      <c r="N2985" s="148">
        <v>8</v>
      </c>
      <c r="O2985" s="148" t="s">
        <v>2439</v>
      </c>
      <c r="P2985" s="148" t="s">
        <v>146</v>
      </c>
    </row>
    <row r="2986" spans="1:27" ht="15.75" hidden="1" customHeight="1" x14ac:dyDescent="0.25">
      <c r="A2986" s="148" t="s">
        <v>76</v>
      </c>
      <c r="B2986" s="148" t="s">
        <v>36</v>
      </c>
      <c r="C2986" s="148" t="s">
        <v>2430</v>
      </c>
      <c r="D2986" s="148" t="s">
        <v>342</v>
      </c>
      <c r="E2986" s="148" t="s">
        <v>30</v>
      </c>
      <c r="F2986" s="148" t="s">
        <v>3183</v>
      </c>
      <c r="G2986" s="148" t="s">
        <v>438</v>
      </c>
      <c r="H2986" s="148">
        <v>2020</v>
      </c>
      <c r="I2986" s="148">
        <v>5</v>
      </c>
      <c r="J2986" s="148" t="s">
        <v>2438</v>
      </c>
      <c r="K2986" s="148" t="s">
        <v>1152</v>
      </c>
      <c r="M2986" s="148" t="s">
        <v>82</v>
      </c>
      <c r="N2986" s="148">
        <v>8</v>
      </c>
      <c r="O2986" s="148" t="s">
        <v>2439</v>
      </c>
      <c r="P2986" s="148" t="s">
        <v>2450</v>
      </c>
    </row>
    <row r="2987" spans="1:27" ht="15.75" hidden="1" customHeight="1" x14ac:dyDescent="0.25">
      <c r="A2987" s="148" t="s">
        <v>76</v>
      </c>
      <c r="B2987" s="148" t="s">
        <v>36</v>
      </c>
      <c r="C2987" s="148" t="s">
        <v>2430</v>
      </c>
      <c r="D2987" s="152" t="s">
        <v>478</v>
      </c>
      <c r="E2987" s="148" t="s">
        <v>30</v>
      </c>
      <c r="F2987" s="148" t="s">
        <v>3183</v>
      </c>
      <c r="G2987" s="148" t="s">
        <v>59</v>
      </c>
      <c r="H2987" s="148">
        <v>2020</v>
      </c>
      <c r="I2987" s="148">
        <v>5</v>
      </c>
      <c r="J2987" s="148" t="s">
        <v>2438</v>
      </c>
      <c r="K2987" s="148" t="s">
        <v>1152</v>
      </c>
      <c r="M2987" s="148" t="s">
        <v>82</v>
      </c>
      <c r="N2987" s="148">
        <v>8</v>
      </c>
      <c r="O2987" s="148" t="s">
        <v>2439</v>
      </c>
      <c r="P2987" s="148" t="s">
        <v>146</v>
      </c>
    </row>
    <row r="2988" spans="1:27" ht="15.75" hidden="1" customHeight="1" x14ac:dyDescent="0.25">
      <c r="A2988" s="148" t="s">
        <v>76</v>
      </c>
      <c r="B2988" s="148" t="s">
        <v>36</v>
      </c>
      <c r="C2988" s="148" t="s">
        <v>2430</v>
      </c>
      <c r="D2988" s="148" t="s">
        <v>478</v>
      </c>
      <c r="E2988" s="148" t="s">
        <v>30</v>
      </c>
      <c r="F2988" s="148" t="s">
        <v>3183</v>
      </c>
      <c r="G2988" s="148" t="s">
        <v>67</v>
      </c>
      <c r="H2988" s="148">
        <v>2020</v>
      </c>
      <c r="I2988" s="148">
        <v>5</v>
      </c>
      <c r="J2988" s="148" t="s">
        <v>2438</v>
      </c>
      <c r="K2988" s="148" t="s">
        <v>1152</v>
      </c>
      <c r="M2988" s="148" t="s">
        <v>82</v>
      </c>
      <c r="N2988" s="148">
        <v>8</v>
      </c>
      <c r="O2988" s="148" t="s">
        <v>2439</v>
      </c>
      <c r="P2988" s="148" t="s">
        <v>146</v>
      </c>
    </row>
    <row r="2989" spans="1:27" ht="15.75" hidden="1" customHeight="1" x14ac:dyDescent="0.25">
      <c r="A2989" s="148" t="s">
        <v>76</v>
      </c>
      <c r="B2989" s="148" t="s">
        <v>36</v>
      </c>
      <c r="C2989" s="148" t="s">
        <v>2430</v>
      </c>
      <c r="D2989" s="148" t="s">
        <v>478</v>
      </c>
      <c r="E2989" s="148" t="s">
        <v>51</v>
      </c>
      <c r="F2989" s="148" t="s">
        <v>3183</v>
      </c>
      <c r="G2989" s="148" t="s">
        <v>69</v>
      </c>
      <c r="H2989" s="148">
        <v>2020</v>
      </c>
      <c r="I2989" s="148">
        <v>5</v>
      </c>
      <c r="J2989" s="148" t="s">
        <v>2438</v>
      </c>
      <c r="K2989" s="148" t="s">
        <v>1152</v>
      </c>
      <c r="M2989" s="148" t="s">
        <v>82</v>
      </c>
      <c r="N2989" s="148">
        <v>8</v>
      </c>
      <c r="O2989" s="148" t="s">
        <v>2439</v>
      </c>
      <c r="P2989" s="148" t="s">
        <v>524</v>
      </c>
    </row>
    <row r="2990" spans="1:27" ht="15.75" hidden="1" customHeight="1" x14ac:dyDescent="0.25">
      <c r="A2990" s="148" t="s">
        <v>76</v>
      </c>
      <c r="B2990" s="148" t="s">
        <v>54</v>
      </c>
      <c r="C2990" s="148" t="s">
        <v>55</v>
      </c>
      <c r="D2990" s="148" t="s">
        <v>2173</v>
      </c>
      <c r="E2990" s="148" t="s">
        <v>30</v>
      </c>
      <c r="F2990" s="148" t="s">
        <v>56</v>
      </c>
      <c r="G2990" s="148" t="s">
        <v>54</v>
      </c>
      <c r="H2990" s="148">
        <v>2020</v>
      </c>
      <c r="I2990" s="148">
        <v>5</v>
      </c>
      <c r="J2990" s="148" t="s">
        <v>2438</v>
      </c>
      <c r="K2990" s="148" t="s">
        <v>1152</v>
      </c>
      <c r="M2990" s="148" t="s">
        <v>82</v>
      </c>
      <c r="N2990" s="148">
        <v>8</v>
      </c>
      <c r="O2990" s="148" t="s">
        <v>2439</v>
      </c>
      <c r="P2990" s="148" t="s">
        <v>146</v>
      </c>
    </row>
    <row r="2991" spans="1:27" ht="15.75" hidden="1" customHeight="1" x14ac:dyDescent="0.25">
      <c r="A2991" s="148" t="s">
        <v>76</v>
      </c>
      <c r="B2991" s="148" t="s">
        <v>62</v>
      </c>
      <c r="C2991" s="148" t="s">
        <v>2430</v>
      </c>
      <c r="D2991" s="148" t="s">
        <v>86</v>
      </c>
      <c r="E2991" s="148" t="s">
        <v>51</v>
      </c>
      <c r="F2991" s="148" t="s">
        <v>3183</v>
      </c>
      <c r="G2991" s="148" t="s">
        <v>130</v>
      </c>
      <c r="H2991" s="148">
        <v>2020</v>
      </c>
      <c r="I2991" s="148">
        <v>5</v>
      </c>
      <c r="J2991" s="148" t="s">
        <v>2438</v>
      </c>
      <c r="K2991" s="148" t="s">
        <v>1152</v>
      </c>
      <c r="M2991" s="148" t="s">
        <v>82</v>
      </c>
      <c r="N2991" s="148">
        <v>8</v>
      </c>
      <c r="O2991" s="148" t="s">
        <v>2439</v>
      </c>
      <c r="P2991" s="148" t="s">
        <v>146</v>
      </c>
    </row>
    <row r="2992" spans="1:27" ht="15.75" hidden="1" customHeight="1" x14ac:dyDescent="0.25">
      <c r="A2992" s="148" t="s">
        <v>307</v>
      </c>
      <c r="B2992" s="148" t="s">
        <v>54</v>
      </c>
      <c r="C2992" s="148" t="s">
        <v>55</v>
      </c>
      <c r="D2992" s="148" t="s">
        <v>2173</v>
      </c>
      <c r="E2992" s="148" t="s">
        <v>30</v>
      </c>
      <c r="F2992" s="148" t="s">
        <v>56</v>
      </c>
      <c r="G2992" s="148" t="s">
        <v>54</v>
      </c>
      <c r="H2992" s="148">
        <v>2020</v>
      </c>
      <c r="I2992" s="148">
        <v>8</v>
      </c>
      <c r="J2992" s="148" t="s">
        <v>399</v>
      </c>
      <c r="M2992" s="148" t="s">
        <v>146</v>
      </c>
      <c r="Q2992" s="148" t="s">
        <v>1229</v>
      </c>
      <c r="R2992" s="148" t="s">
        <v>2451</v>
      </c>
      <c r="S2992" s="148" t="s">
        <v>311</v>
      </c>
      <c r="T2992" s="148" t="s">
        <v>2452</v>
      </c>
      <c r="Y2992" s="150" t="s">
        <v>2453</v>
      </c>
      <c r="Z2992" s="148" t="s">
        <v>2454</v>
      </c>
      <c r="AA2992" s="148" t="s">
        <v>543</v>
      </c>
    </row>
    <row r="2993" spans="1:27" ht="15.75" hidden="1" customHeight="1" x14ac:dyDescent="0.25">
      <c r="A2993" s="148" t="s">
        <v>76</v>
      </c>
      <c r="B2993" s="148" t="s">
        <v>44</v>
      </c>
      <c r="C2993" s="148" t="s">
        <v>45</v>
      </c>
      <c r="D2993" s="148" t="s">
        <v>29</v>
      </c>
      <c r="E2993" s="148" t="s">
        <v>46</v>
      </c>
      <c r="F2993" s="148" t="s">
        <v>47</v>
      </c>
      <c r="G2993" s="148" t="s">
        <v>48</v>
      </c>
      <c r="H2993" s="148">
        <v>2020</v>
      </c>
      <c r="I2993" s="148">
        <v>8</v>
      </c>
      <c r="J2993" s="148" t="s">
        <v>2438</v>
      </c>
      <c r="K2993" s="148" t="s">
        <v>1152</v>
      </c>
      <c r="M2993" s="148" t="s">
        <v>82</v>
      </c>
      <c r="N2993" s="148">
        <v>8</v>
      </c>
      <c r="O2993" s="148" t="s">
        <v>2439</v>
      </c>
      <c r="P2993" s="148" t="s">
        <v>2443</v>
      </c>
      <c r="Y2993" s="150" t="s">
        <v>2455</v>
      </c>
    </row>
    <row r="2994" spans="1:27" ht="15.75" hidden="1" customHeight="1" x14ac:dyDescent="0.25">
      <c r="A2994" s="148" t="s">
        <v>76</v>
      </c>
      <c r="B2994" s="148" t="s">
        <v>36</v>
      </c>
      <c r="C2994" s="148" t="s">
        <v>28</v>
      </c>
      <c r="D2994" s="148" t="s">
        <v>342</v>
      </c>
      <c r="E2994" s="148" t="s">
        <v>30</v>
      </c>
      <c r="F2994" s="148" t="s">
        <v>3183</v>
      </c>
      <c r="G2994" s="148" t="s">
        <v>114</v>
      </c>
      <c r="H2994" s="148">
        <v>2020</v>
      </c>
      <c r="I2994" s="148">
        <v>8</v>
      </c>
      <c r="J2994" s="148" t="s">
        <v>118</v>
      </c>
      <c r="K2994" s="148" t="s">
        <v>1152</v>
      </c>
      <c r="M2994" s="148" t="s">
        <v>82</v>
      </c>
      <c r="N2994" s="148">
        <v>8</v>
      </c>
      <c r="O2994" s="148" t="s">
        <v>101</v>
      </c>
      <c r="P2994" s="148" t="s">
        <v>2456</v>
      </c>
      <c r="Y2994" s="150" t="s">
        <v>2457</v>
      </c>
      <c r="Z2994" s="148" t="s">
        <v>2458</v>
      </c>
    </row>
    <row r="2995" spans="1:27" ht="15.75" hidden="1" customHeight="1" x14ac:dyDescent="0.25">
      <c r="A2995" s="148" t="s">
        <v>76</v>
      </c>
      <c r="B2995" s="148" t="s">
        <v>36</v>
      </c>
      <c r="C2995" s="148" t="s">
        <v>28</v>
      </c>
      <c r="D2995" s="148" t="s">
        <v>86</v>
      </c>
      <c r="E2995" s="148" t="s">
        <v>30</v>
      </c>
      <c r="F2995" s="148" t="s">
        <v>3183</v>
      </c>
      <c r="G2995" s="148" t="s">
        <v>211</v>
      </c>
      <c r="H2995" s="148">
        <v>2020</v>
      </c>
      <c r="I2995" s="148">
        <v>9</v>
      </c>
      <c r="J2995" s="148" t="s">
        <v>150</v>
      </c>
      <c r="K2995" s="148" t="s">
        <v>1152</v>
      </c>
      <c r="M2995" s="148" t="s">
        <v>82</v>
      </c>
      <c r="N2995" s="148">
        <v>8</v>
      </c>
      <c r="O2995" s="148" t="s">
        <v>83</v>
      </c>
      <c r="P2995" s="148" t="s">
        <v>2459</v>
      </c>
      <c r="Y2995" s="150" t="s">
        <v>2460</v>
      </c>
    </row>
    <row r="2996" spans="1:27" ht="15.75" hidden="1" customHeight="1" x14ac:dyDescent="0.25">
      <c r="A2996" s="148" t="s">
        <v>76</v>
      </c>
      <c r="B2996" s="148" t="s">
        <v>27</v>
      </c>
      <c r="C2996" s="148" t="s">
        <v>28</v>
      </c>
      <c r="D2996" s="148" t="s">
        <v>566</v>
      </c>
      <c r="E2996" s="148" t="s">
        <v>30</v>
      </c>
      <c r="F2996" s="148" t="s">
        <v>3183</v>
      </c>
      <c r="G2996" s="148" t="s">
        <v>53</v>
      </c>
      <c r="H2996" s="148">
        <v>2020</v>
      </c>
      <c r="I2996" s="148">
        <v>9</v>
      </c>
      <c r="J2996" s="148" t="s">
        <v>640</v>
      </c>
      <c r="K2996" s="148" t="s">
        <v>1152</v>
      </c>
      <c r="M2996" s="148" t="s">
        <v>82</v>
      </c>
      <c r="N2996" s="148">
        <v>8</v>
      </c>
      <c r="O2996" s="148" t="s">
        <v>83</v>
      </c>
      <c r="P2996" s="148" t="s">
        <v>2461</v>
      </c>
      <c r="Y2996" s="150" t="s">
        <v>2462</v>
      </c>
      <c r="Z2996" s="148" t="s">
        <v>2463</v>
      </c>
    </row>
    <row r="2997" spans="1:27" ht="15.75" hidden="1" customHeight="1" x14ac:dyDescent="0.25">
      <c r="A2997" s="148" t="s">
        <v>76</v>
      </c>
      <c r="B2997" s="148" t="s">
        <v>36</v>
      </c>
      <c r="C2997" s="148" t="s">
        <v>28</v>
      </c>
      <c r="D2997" s="148" t="s">
        <v>478</v>
      </c>
      <c r="E2997" s="148" t="s">
        <v>30</v>
      </c>
      <c r="F2997" s="148" t="s">
        <v>3183</v>
      </c>
      <c r="G2997" s="148" t="s">
        <v>59</v>
      </c>
      <c r="H2997" s="148">
        <v>2020</v>
      </c>
      <c r="I2997" s="148">
        <v>9</v>
      </c>
      <c r="J2997" s="148" t="s">
        <v>150</v>
      </c>
      <c r="K2997" s="148" t="s">
        <v>1152</v>
      </c>
      <c r="M2997" s="148" t="s">
        <v>82</v>
      </c>
      <c r="N2997" s="148">
        <v>8</v>
      </c>
      <c r="O2997" s="148" t="s">
        <v>83</v>
      </c>
      <c r="P2997" s="148" t="s">
        <v>850</v>
      </c>
      <c r="Y2997" s="150" t="s">
        <v>2464</v>
      </c>
    </row>
    <row r="2998" spans="1:27" ht="15.75" hidden="1" customHeight="1" x14ac:dyDescent="0.25">
      <c r="A2998" s="148" t="s">
        <v>76</v>
      </c>
      <c r="B2998" s="148" t="s">
        <v>36</v>
      </c>
      <c r="C2998" s="148" t="s">
        <v>28</v>
      </c>
      <c r="D2998" s="148" t="s">
        <v>478</v>
      </c>
      <c r="E2998" s="148" t="s">
        <v>30</v>
      </c>
      <c r="F2998" s="148" t="s">
        <v>3183</v>
      </c>
      <c r="G2998" s="148" t="s">
        <v>67</v>
      </c>
      <c r="H2998" s="148">
        <v>2020</v>
      </c>
      <c r="I2998" s="148">
        <v>9</v>
      </c>
      <c r="J2998" s="148" t="s">
        <v>150</v>
      </c>
      <c r="K2998" s="148" t="s">
        <v>1152</v>
      </c>
      <c r="M2998" s="148" t="s">
        <v>82</v>
      </c>
      <c r="N2998" s="148">
        <v>8</v>
      </c>
      <c r="O2998" s="148" t="s">
        <v>83</v>
      </c>
      <c r="P2998" s="148" t="s">
        <v>850</v>
      </c>
      <c r="Y2998" s="150" t="s">
        <v>2465</v>
      </c>
    </row>
    <row r="2999" spans="1:27" ht="15.75" hidden="1" customHeight="1" x14ac:dyDescent="0.25">
      <c r="A2999" s="148" t="s">
        <v>76</v>
      </c>
      <c r="B2999" s="148" t="s">
        <v>27</v>
      </c>
      <c r="C2999" s="148" t="s">
        <v>28</v>
      </c>
      <c r="D2999" s="148" t="s">
        <v>1302</v>
      </c>
      <c r="E2999" s="148" t="s">
        <v>40</v>
      </c>
      <c r="F2999" s="148" t="s">
        <v>41</v>
      </c>
      <c r="G2999" s="148" t="s">
        <v>42</v>
      </c>
      <c r="H2999" s="148">
        <v>2020</v>
      </c>
      <c r="I2999" s="148">
        <v>9</v>
      </c>
      <c r="J2999" s="148" t="s">
        <v>640</v>
      </c>
      <c r="K2999" s="148" t="s">
        <v>1152</v>
      </c>
      <c r="M2999" s="148" t="s">
        <v>82</v>
      </c>
      <c r="N2999" s="148">
        <v>8</v>
      </c>
      <c r="O2999" s="148" t="s">
        <v>83</v>
      </c>
      <c r="P2999" s="148" t="s">
        <v>2466</v>
      </c>
      <c r="Y2999" s="150" t="s">
        <v>2467</v>
      </c>
      <c r="Z2999" s="148" t="s">
        <v>2468</v>
      </c>
      <c r="AA2999" s="148" t="s">
        <v>543</v>
      </c>
    </row>
    <row r="3000" spans="1:27" ht="15.75" hidden="1" customHeight="1" x14ac:dyDescent="0.25">
      <c r="A3000" s="148" t="s">
        <v>76</v>
      </c>
      <c r="B3000" s="148" t="s">
        <v>36</v>
      </c>
      <c r="C3000" s="148" t="s">
        <v>28</v>
      </c>
      <c r="D3000" s="148" t="s">
        <v>478</v>
      </c>
      <c r="E3000" s="148" t="s">
        <v>51</v>
      </c>
      <c r="F3000" s="148" t="s">
        <v>3183</v>
      </c>
      <c r="G3000" s="148" t="s">
        <v>69</v>
      </c>
      <c r="H3000" s="148">
        <v>2020</v>
      </c>
      <c r="I3000" s="148">
        <v>9</v>
      </c>
      <c r="J3000" s="148" t="s">
        <v>150</v>
      </c>
      <c r="K3000" s="148" t="s">
        <v>1152</v>
      </c>
      <c r="M3000" s="148" t="s">
        <v>82</v>
      </c>
      <c r="N3000" s="148">
        <v>8</v>
      </c>
      <c r="O3000" s="148" t="s">
        <v>83</v>
      </c>
      <c r="P3000" s="148" t="s">
        <v>2469</v>
      </c>
      <c r="Y3000" s="150" t="s">
        <v>2470</v>
      </c>
    </row>
    <row r="3001" spans="1:27" ht="15.75" hidden="1" customHeight="1" x14ac:dyDescent="0.25">
      <c r="A3001" s="148" t="s">
        <v>307</v>
      </c>
      <c r="B3001" s="148" t="s">
        <v>54</v>
      </c>
      <c r="C3001" s="148" t="s">
        <v>55</v>
      </c>
      <c r="D3001" s="148" t="s">
        <v>2173</v>
      </c>
      <c r="E3001" s="148" t="s">
        <v>30</v>
      </c>
      <c r="F3001" s="148" t="s">
        <v>56</v>
      </c>
      <c r="G3001" s="148" t="s">
        <v>54</v>
      </c>
      <c r="H3001" s="148">
        <v>2020</v>
      </c>
      <c r="I3001" s="148">
        <v>9</v>
      </c>
      <c r="J3001" s="148" t="s">
        <v>399</v>
      </c>
      <c r="M3001" s="148" t="s">
        <v>146</v>
      </c>
      <c r="Q3001" s="148" t="s">
        <v>594</v>
      </c>
      <c r="R3001" s="148" t="s">
        <v>2471</v>
      </c>
      <c r="S3001" s="148" t="s">
        <v>311</v>
      </c>
      <c r="T3001" s="148" t="s">
        <v>2472</v>
      </c>
      <c r="Y3001" s="150" t="s">
        <v>2473</v>
      </c>
    </row>
    <row r="3002" spans="1:27" ht="15.75" hidden="1" customHeight="1" x14ac:dyDescent="0.25">
      <c r="A3002" s="148" t="s">
        <v>76</v>
      </c>
      <c r="B3002" s="148" t="s">
        <v>54</v>
      </c>
      <c r="C3002" s="148" t="s">
        <v>55</v>
      </c>
      <c r="D3002" s="148" t="s">
        <v>2173</v>
      </c>
      <c r="E3002" s="148" t="s">
        <v>30</v>
      </c>
      <c r="F3002" s="148" t="s">
        <v>56</v>
      </c>
      <c r="G3002" s="148" t="s">
        <v>54</v>
      </c>
      <c r="H3002" s="148">
        <v>2020</v>
      </c>
      <c r="I3002" s="148">
        <v>9</v>
      </c>
      <c r="J3002" s="148" t="s">
        <v>150</v>
      </c>
      <c r="K3002" s="148" t="s">
        <v>1152</v>
      </c>
      <c r="M3002" s="148" t="s">
        <v>82</v>
      </c>
      <c r="N3002" s="148">
        <v>8</v>
      </c>
      <c r="O3002" s="148" t="s">
        <v>83</v>
      </c>
      <c r="P3002" s="148" t="s">
        <v>850</v>
      </c>
      <c r="Y3002" s="150" t="s">
        <v>2474</v>
      </c>
      <c r="Z3002" s="148" t="s">
        <v>2475</v>
      </c>
      <c r="AA3002" s="148" t="s">
        <v>543</v>
      </c>
    </row>
    <row r="3003" spans="1:27" ht="15.75" hidden="1" customHeight="1" x14ac:dyDescent="0.25">
      <c r="A3003" s="148" t="s">
        <v>76</v>
      </c>
      <c r="B3003" s="148" t="s">
        <v>77</v>
      </c>
      <c r="C3003" s="148" t="s">
        <v>55</v>
      </c>
      <c r="D3003" s="148" t="s">
        <v>78</v>
      </c>
      <c r="E3003" s="148" t="s">
        <v>30</v>
      </c>
      <c r="F3003" s="148" t="s">
        <v>41</v>
      </c>
      <c r="G3003" s="148" t="s">
        <v>79</v>
      </c>
      <c r="H3003" s="148">
        <v>2020</v>
      </c>
      <c r="I3003" s="148">
        <v>9</v>
      </c>
      <c r="J3003" s="148" t="s">
        <v>80</v>
      </c>
      <c r="K3003" s="148" t="s">
        <v>1152</v>
      </c>
      <c r="M3003" s="148" t="s">
        <v>82</v>
      </c>
      <c r="N3003" s="148">
        <v>8</v>
      </c>
      <c r="O3003" s="148" t="s">
        <v>83</v>
      </c>
      <c r="P3003" s="148" t="s">
        <v>2476</v>
      </c>
      <c r="Y3003" s="150" t="s">
        <v>2474</v>
      </c>
      <c r="Z3003" s="148" t="s">
        <v>2468</v>
      </c>
      <c r="AA3003" s="148" t="s">
        <v>543</v>
      </c>
    </row>
    <row r="3004" spans="1:27" ht="15.75" hidden="1" customHeight="1" x14ac:dyDescent="0.25">
      <c r="A3004" s="148" t="s">
        <v>76</v>
      </c>
      <c r="B3004" s="148" t="s">
        <v>36</v>
      </c>
      <c r="C3004" s="148" t="s">
        <v>28</v>
      </c>
      <c r="D3004" s="148" t="s">
        <v>342</v>
      </c>
      <c r="E3004" s="148" t="s">
        <v>51</v>
      </c>
      <c r="F3004" s="148" t="s">
        <v>3183</v>
      </c>
      <c r="G3004" s="148" t="s">
        <v>52</v>
      </c>
      <c r="H3004" s="148">
        <v>2020</v>
      </c>
      <c r="I3004" s="148">
        <v>9</v>
      </c>
      <c r="J3004" s="148" t="s">
        <v>2438</v>
      </c>
      <c r="K3004" s="148" t="s">
        <v>2099</v>
      </c>
      <c r="M3004" s="148" t="s">
        <v>2100</v>
      </c>
      <c r="N3004" s="148">
        <v>8</v>
      </c>
      <c r="O3004" s="148" t="s">
        <v>2439</v>
      </c>
      <c r="P3004" s="148" t="s">
        <v>2477</v>
      </c>
      <c r="Y3004" s="150" t="s">
        <v>2478</v>
      </c>
    </row>
    <row r="3005" spans="1:27" ht="15.75" hidden="1" customHeight="1" x14ac:dyDescent="0.25">
      <c r="A3005" s="148" t="s">
        <v>76</v>
      </c>
      <c r="B3005" s="148" t="s">
        <v>62</v>
      </c>
      <c r="C3005" s="148" t="s">
        <v>28</v>
      </c>
      <c r="D3005" s="148" t="s">
        <v>86</v>
      </c>
      <c r="E3005" s="148" t="s">
        <v>51</v>
      </c>
      <c r="F3005" s="148" t="s">
        <v>3183</v>
      </c>
      <c r="G3005" s="148" t="s">
        <v>130</v>
      </c>
      <c r="H3005" s="148">
        <v>2020</v>
      </c>
      <c r="I3005" s="148">
        <v>10</v>
      </c>
      <c r="J3005" s="148" t="s">
        <v>2438</v>
      </c>
      <c r="K3005" s="148" t="s">
        <v>1152</v>
      </c>
      <c r="M3005" s="148" t="s">
        <v>82</v>
      </c>
      <c r="N3005" s="148">
        <v>8</v>
      </c>
      <c r="O3005" s="148" t="s">
        <v>2439</v>
      </c>
      <c r="P3005" s="148" t="s">
        <v>2479</v>
      </c>
      <c r="Y3005" s="150" t="s">
        <v>2480</v>
      </c>
    </row>
    <row r="3006" spans="1:27" ht="15.75" hidden="1" customHeight="1" x14ac:dyDescent="0.25">
      <c r="A3006" s="148" t="s">
        <v>76</v>
      </c>
      <c r="B3006" s="148" t="s">
        <v>44</v>
      </c>
      <c r="C3006" s="148" t="s">
        <v>45</v>
      </c>
      <c r="D3006" s="148" t="s">
        <v>29</v>
      </c>
      <c r="E3006" s="148" t="s">
        <v>46</v>
      </c>
      <c r="F3006" s="148" t="s">
        <v>47</v>
      </c>
      <c r="G3006" s="148" t="s">
        <v>48</v>
      </c>
      <c r="H3006" s="148">
        <v>2020</v>
      </c>
      <c r="I3006" s="148">
        <v>10</v>
      </c>
      <c r="J3006" s="148" t="s">
        <v>2438</v>
      </c>
      <c r="K3006" s="148" t="s">
        <v>1333</v>
      </c>
      <c r="M3006" s="148" t="s">
        <v>1441</v>
      </c>
      <c r="N3006" s="148">
        <v>8</v>
      </c>
      <c r="O3006" s="148" t="s">
        <v>2439</v>
      </c>
      <c r="P3006" s="148" t="s">
        <v>2447</v>
      </c>
      <c r="Y3006" s="150" t="s">
        <v>2481</v>
      </c>
      <c r="Z3006" s="148" t="s">
        <v>2482</v>
      </c>
      <c r="AA3006" s="148" t="s">
        <v>543</v>
      </c>
    </row>
    <row r="3007" spans="1:27" ht="15.75" hidden="1" customHeight="1" x14ac:dyDescent="0.25">
      <c r="A3007" s="148" t="s">
        <v>76</v>
      </c>
      <c r="B3007" s="148" t="s">
        <v>27</v>
      </c>
      <c r="C3007" s="148" t="s">
        <v>28</v>
      </c>
      <c r="D3007" s="151" t="s">
        <v>3322</v>
      </c>
      <c r="E3007" s="148" t="s">
        <v>30</v>
      </c>
      <c r="F3007" s="148" t="s">
        <v>3183</v>
      </c>
      <c r="G3007" s="148" t="s">
        <v>163</v>
      </c>
      <c r="H3007" s="148">
        <v>2020</v>
      </c>
      <c r="I3007" s="148">
        <v>11</v>
      </c>
      <c r="J3007" s="148" t="s">
        <v>150</v>
      </c>
      <c r="K3007" s="148" t="s">
        <v>1152</v>
      </c>
      <c r="M3007" s="148" t="s">
        <v>82</v>
      </c>
      <c r="N3007" s="148">
        <v>8</v>
      </c>
      <c r="O3007" s="148" t="s">
        <v>83</v>
      </c>
      <c r="P3007" s="148" t="s">
        <v>2483</v>
      </c>
      <c r="Y3007" s="150" t="s">
        <v>2484</v>
      </c>
      <c r="AA3007" s="148" t="s">
        <v>543</v>
      </c>
    </row>
    <row r="3008" spans="1:27" ht="15.75" hidden="1" customHeight="1" x14ac:dyDescent="0.25">
      <c r="A3008" s="148" t="s">
        <v>307</v>
      </c>
      <c r="B3008" s="148" t="s">
        <v>44</v>
      </c>
      <c r="C3008" s="148" t="s">
        <v>45</v>
      </c>
      <c r="D3008" s="148" t="s">
        <v>29</v>
      </c>
      <c r="E3008" s="148" t="s">
        <v>46</v>
      </c>
      <c r="F3008" s="148" t="s">
        <v>47</v>
      </c>
      <c r="G3008" s="148" t="s">
        <v>48</v>
      </c>
      <c r="H3008" s="148">
        <v>2020</v>
      </c>
      <c r="I3008" s="148">
        <v>11</v>
      </c>
      <c r="J3008" s="148" t="s">
        <v>308</v>
      </c>
      <c r="M3008" s="148" t="s">
        <v>146</v>
      </c>
      <c r="Q3008" s="148" t="s">
        <v>426</v>
      </c>
      <c r="R3008" s="148" t="s">
        <v>2485</v>
      </c>
      <c r="S3008" s="148" t="s">
        <v>311</v>
      </c>
      <c r="T3008" s="148" t="s">
        <v>2486</v>
      </c>
      <c r="Y3008" s="150" t="s">
        <v>2487</v>
      </c>
    </row>
    <row r="3009" spans="1:27" ht="15.75" hidden="1" customHeight="1" x14ac:dyDescent="0.25">
      <c r="A3009" s="148" t="s">
        <v>76</v>
      </c>
      <c r="B3009" s="148" t="s">
        <v>36</v>
      </c>
      <c r="C3009" s="148" t="s">
        <v>28</v>
      </c>
      <c r="D3009" s="148" t="s">
        <v>887</v>
      </c>
      <c r="E3009" s="148" t="s">
        <v>30</v>
      </c>
      <c r="F3009" s="148" t="s">
        <v>3183</v>
      </c>
      <c r="G3009" s="148" t="s">
        <v>888</v>
      </c>
      <c r="H3009" s="148">
        <v>2020</v>
      </c>
      <c r="I3009" s="148">
        <v>12</v>
      </c>
      <c r="J3009" s="148" t="s">
        <v>2488</v>
      </c>
      <c r="K3009" s="148" t="s">
        <v>1152</v>
      </c>
      <c r="M3009" s="148" t="s">
        <v>82</v>
      </c>
      <c r="N3009" s="148">
        <v>8</v>
      </c>
      <c r="O3009" s="148" t="s">
        <v>2439</v>
      </c>
      <c r="P3009" s="148" t="s">
        <v>2489</v>
      </c>
      <c r="Y3009" s="150" t="s">
        <v>2490</v>
      </c>
      <c r="Z3009" s="148" t="s">
        <v>2491</v>
      </c>
      <c r="AA3009" s="148" t="s">
        <v>543</v>
      </c>
    </row>
    <row r="3010" spans="1:27" ht="15.75" hidden="1" customHeight="1" x14ac:dyDescent="0.25">
      <c r="A3010" s="148" t="s">
        <v>76</v>
      </c>
      <c r="B3010" s="148" t="s">
        <v>62</v>
      </c>
      <c r="C3010" s="148" t="s">
        <v>2430</v>
      </c>
      <c r="D3010" s="148" t="s">
        <v>759</v>
      </c>
      <c r="E3010" s="148" t="s">
        <v>51</v>
      </c>
      <c r="F3010" s="148" t="s">
        <v>3183</v>
      </c>
      <c r="G3010" s="148" t="s">
        <v>409</v>
      </c>
      <c r="H3010" s="148">
        <v>2020</v>
      </c>
      <c r="I3010" s="148">
        <v>12</v>
      </c>
      <c r="J3010" s="148" t="s">
        <v>2438</v>
      </c>
      <c r="K3010" s="148" t="s">
        <v>1152</v>
      </c>
      <c r="M3010" s="148" t="s">
        <v>82</v>
      </c>
      <c r="N3010" s="148">
        <v>8</v>
      </c>
      <c r="O3010" s="148" t="s">
        <v>2439</v>
      </c>
      <c r="P3010" s="148" t="s">
        <v>2492</v>
      </c>
      <c r="Y3010" s="150" t="s">
        <v>2493</v>
      </c>
    </row>
    <row r="3011" spans="1:27" ht="15.75" hidden="1" customHeight="1" x14ac:dyDescent="0.25">
      <c r="A3011" s="148" t="s">
        <v>76</v>
      </c>
      <c r="B3011" s="148" t="s">
        <v>62</v>
      </c>
      <c r="C3011" s="148" t="s">
        <v>28</v>
      </c>
      <c r="D3011" s="148" t="s">
        <v>46</v>
      </c>
      <c r="E3011" s="148" t="s">
        <v>30</v>
      </c>
      <c r="F3011" s="148" t="s">
        <v>3183</v>
      </c>
      <c r="G3011" s="148" t="s">
        <v>46</v>
      </c>
      <c r="H3011" s="148">
        <v>2020</v>
      </c>
      <c r="I3011" s="148">
        <v>12</v>
      </c>
      <c r="J3011" s="148" t="s">
        <v>2488</v>
      </c>
      <c r="K3011" s="148" t="s">
        <v>2497</v>
      </c>
      <c r="M3011" s="148" t="s">
        <v>2498</v>
      </c>
      <c r="N3011" s="148">
        <v>5</v>
      </c>
      <c r="O3011" s="148" t="s">
        <v>2439</v>
      </c>
      <c r="P3011" s="148" t="s">
        <v>2498</v>
      </c>
      <c r="Y3011" s="150" t="s">
        <v>2499</v>
      </c>
      <c r="Z3011" s="148" t="s">
        <v>2500</v>
      </c>
    </row>
    <row r="3012" spans="1:27" ht="15.75" hidden="1" customHeight="1" x14ac:dyDescent="0.25">
      <c r="A3012" s="148" t="s">
        <v>76</v>
      </c>
      <c r="B3012" s="148" t="s">
        <v>27</v>
      </c>
      <c r="C3012" s="148" t="s">
        <v>28</v>
      </c>
      <c r="D3012" s="148" t="s">
        <v>1302</v>
      </c>
      <c r="E3012" s="148" t="s">
        <v>40</v>
      </c>
      <c r="F3012" s="148" t="s">
        <v>41</v>
      </c>
      <c r="G3012" s="148" t="s">
        <v>42</v>
      </c>
      <c r="H3012" s="148">
        <v>2020</v>
      </c>
      <c r="I3012" s="148">
        <v>12</v>
      </c>
      <c r="J3012" s="148" t="s">
        <v>640</v>
      </c>
      <c r="K3012" s="148" t="s">
        <v>1152</v>
      </c>
      <c r="M3012" s="148" t="s">
        <v>146</v>
      </c>
      <c r="O3012" s="148" t="s">
        <v>83</v>
      </c>
      <c r="P3012" s="148" t="s">
        <v>2494</v>
      </c>
      <c r="Y3012" s="150" t="s">
        <v>2495</v>
      </c>
      <c r="Z3012" s="148" t="s">
        <v>2496</v>
      </c>
    </row>
    <row r="3013" spans="1:27" ht="15.75" hidden="1" customHeight="1" x14ac:dyDescent="0.25">
      <c r="A3013" s="148" t="s">
        <v>307</v>
      </c>
      <c r="B3013" s="148" t="s">
        <v>27</v>
      </c>
      <c r="C3013" s="148" t="s">
        <v>28</v>
      </c>
      <c r="D3013" s="148" t="s">
        <v>1302</v>
      </c>
      <c r="E3013" s="148" t="s">
        <v>40</v>
      </c>
      <c r="F3013" s="148" t="s">
        <v>41</v>
      </c>
      <c r="G3013" s="148" t="s">
        <v>42</v>
      </c>
      <c r="H3013" s="148">
        <v>2020</v>
      </c>
      <c r="I3013" s="148">
        <v>12</v>
      </c>
      <c r="J3013" s="148" t="s">
        <v>308</v>
      </c>
      <c r="Q3013" s="148" t="s">
        <v>594</v>
      </c>
      <c r="R3013" s="148" t="s">
        <v>2501</v>
      </c>
      <c r="S3013" s="148" t="s">
        <v>885</v>
      </c>
      <c r="T3013" s="148" t="s">
        <v>2502</v>
      </c>
      <c r="Y3013" s="150" t="s">
        <v>2503</v>
      </c>
      <c r="AA3013" s="148" t="s">
        <v>543</v>
      </c>
    </row>
    <row r="3014" spans="1:27" ht="15.75" hidden="1" customHeight="1" x14ac:dyDescent="0.25">
      <c r="A3014" s="148" t="s">
        <v>307</v>
      </c>
      <c r="B3014" s="148" t="s">
        <v>54</v>
      </c>
      <c r="C3014" s="148" t="s">
        <v>55</v>
      </c>
      <c r="D3014" s="148" t="s">
        <v>2173</v>
      </c>
      <c r="E3014" s="148" t="s">
        <v>30</v>
      </c>
      <c r="F3014" s="148" t="s">
        <v>56</v>
      </c>
      <c r="G3014" s="148" t="s">
        <v>54</v>
      </c>
      <c r="H3014" s="148">
        <v>2020</v>
      </c>
      <c r="I3014" s="148">
        <v>12</v>
      </c>
      <c r="J3014" s="148" t="s">
        <v>308</v>
      </c>
      <c r="Q3014" s="148" t="s">
        <v>2239</v>
      </c>
      <c r="R3014" s="148" t="s">
        <v>2504</v>
      </c>
      <c r="S3014" s="148" t="s">
        <v>885</v>
      </c>
      <c r="T3014" s="148" t="s">
        <v>2505</v>
      </c>
      <c r="Y3014" s="150" t="s">
        <v>2506</v>
      </c>
      <c r="Z3014" s="148" t="s">
        <v>2507</v>
      </c>
    </row>
    <row r="3015" spans="1:27" ht="15.75" hidden="1" customHeight="1" x14ac:dyDescent="0.25">
      <c r="A3015" s="148" t="s">
        <v>76</v>
      </c>
      <c r="B3015" s="148" t="s">
        <v>44</v>
      </c>
      <c r="C3015" s="148" t="s">
        <v>45</v>
      </c>
      <c r="D3015" s="148" t="s">
        <v>29</v>
      </c>
      <c r="E3015" s="148" t="s">
        <v>46</v>
      </c>
      <c r="F3015" s="148" t="s">
        <v>47</v>
      </c>
      <c r="G3015" s="148" t="s">
        <v>48</v>
      </c>
      <c r="H3015" s="148">
        <v>2021</v>
      </c>
      <c r="I3015" s="148">
        <v>1</v>
      </c>
      <c r="J3015" s="148" t="s">
        <v>2438</v>
      </c>
      <c r="K3015" s="148" t="s">
        <v>2508</v>
      </c>
      <c r="M3015" s="148" t="s">
        <v>1441</v>
      </c>
      <c r="N3015" s="148">
        <v>8</v>
      </c>
      <c r="O3015" s="148" t="s">
        <v>2439</v>
      </c>
      <c r="P3015" s="148" t="s">
        <v>2447</v>
      </c>
      <c r="Y3015" s="150" t="s">
        <v>2481</v>
      </c>
      <c r="Z3015" s="148" t="s">
        <v>2509</v>
      </c>
      <c r="AA3015" s="148" t="s">
        <v>543</v>
      </c>
    </row>
    <row r="3016" spans="1:27" ht="15.75" hidden="1" customHeight="1" x14ac:dyDescent="0.25">
      <c r="A3016" s="148" t="s">
        <v>307</v>
      </c>
      <c r="B3016" s="148" t="s">
        <v>27</v>
      </c>
      <c r="C3016" s="148" t="s">
        <v>28</v>
      </c>
      <c r="D3016" s="148" t="s">
        <v>1302</v>
      </c>
      <c r="E3016" s="148" t="s">
        <v>40</v>
      </c>
      <c r="F3016" s="148" t="s">
        <v>41</v>
      </c>
      <c r="G3016" s="148" t="s">
        <v>42</v>
      </c>
      <c r="H3016" s="148">
        <v>2021</v>
      </c>
      <c r="I3016" s="148">
        <v>2</v>
      </c>
      <c r="J3016" s="148" t="s">
        <v>399</v>
      </c>
      <c r="Q3016" s="148" t="s">
        <v>1848</v>
      </c>
      <c r="R3016" s="148" t="s">
        <v>2510</v>
      </c>
      <c r="S3016" s="148" t="s">
        <v>427</v>
      </c>
      <c r="T3016" s="148" t="s">
        <v>2511</v>
      </c>
      <c r="Y3016" s="150" t="s">
        <v>2512</v>
      </c>
      <c r="AA3016" s="148" t="s">
        <v>543</v>
      </c>
    </row>
    <row r="3017" spans="1:27" ht="15.75" hidden="1" customHeight="1" x14ac:dyDescent="0.25">
      <c r="A3017" s="148" t="s">
        <v>307</v>
      </c>
      <c r="B3017" s="148" t="s">
        <v>36</v>
      </c>
      <c r="C3017" s="148" t="s">
        <v>28</v>
      </c>
      <c r="D3017" s="148" t="s">
        <v>1304</v>
      </c>
      <c r="E3017" s="148" t="s">
        <v>30</v>
      </c>
      <c r="F3017" s="148" t="s">
        <v>3183</v>
      </c>
      <c r="G3017" s="148" t="s">
        <v>194</v>
      </c>
      <c r="H3017" s="148">
        <v>2021</v>
      </c>
      <c r="I3017" s="148">
        <v>2</v>
      </c>
      <c r="J3017" s="148" t="s">
        <v>308</v>
      </c>
      <c r="Q3017" s="148" t="s">
        <v>426</v>
      </c>
      <c r="S3017" s="148" t="s">
        <v>427</v>
      </c>
      <c r="T3017" s="148" t="s">
        <v>2513</v>
      </c>
      <c r="Y3017" s="150" t="s">
        <v>2514</v>
      </c>
    </row>
    <row r="3018" spans="1:27" ht="15.75" hidden="1" customHeight="1" x14ac:dyDescent="0.25">
      <c r="A3018" s="148" t="s">
        <v>76</v>
      </c>
      <c r="B3018" s="148" t="s">
        <v>103</v>
      </c>
      <c r="C3018" s="148" t="s">
        <v>55</v>
      </c>
      <c r="D3018" s="148" t="s">
        <v>478</v>
      </c>
      <c r="E3018" s="148" t="s">
        <v>95</v>
      </c>
      <c r="F3018" s="148" t="s">
        <v>56</v>
      </c>
      <c r="G3018" s="148" t="s">
        <v>153</v>
      </c>
      <c r="H3018" s="148">
        <v>2021</v>
      </c>
      <c r="I3018" s="148">
        <v>3</v>
      </c>
      <c r="J3018" s="148" t="s">
        <v>150</v>
      </c>
      <c r="K3018" s="148" t="s">
        <v>1152</v>
      </c>
      <c r="M3018" s="148" t="s">
        <v>82</v>
      </c>
      <c r="N3018" s="148">
        <v>8</v>
      </c>
      <c r="O3018" s="148" t="s">
        <v>83</v>
      </c>
      <c r="P3018" s="148" t="s">
        <v>2515</v>
      </c>
      <c r="Y3018" s="150" t="s">
        <v>2516</v>
      </c>
    </row>
    <row r="3019" spans="1:27" ht="15.75" hidden="1" customHeight="1" x14ac:dyDescent="0.25">
      <c r="A3019" s="148" t="s">
        <v>76</v>
      </c>
      <c r="B3019" s="148" t="s">
        <v>103</v>
      </c>
      <c r="C3019" s="148" t="s">
        <v>55</v>
      </c>
      <c r="D3019" s="148" t="s">
        <v>478</v>
      </c>
      <c r="E3019" s="148" t="s">
        <v>95</v>
      </c>
      <c r="F3019" s="148" t="s">
        <v>56</v>
      </c>
      <c r="G3019" s="148" t="s">
        <v>407</v>
      </c>
      <c r="H3019" s="148">
        <v>2021</v>
      </c>
      <c r="I3019" s="148">
        <v>3</v>
      </c>
      <c r="J3019" s="148" t="s">
        <v>150</v>
      </c>
      <c r="K3019" s="148" t="s">
        <v>1152</v>
      </c>
      <c r="M3019" s="148" t="s">
        <v>82</v>
      </c>
      <c r="N3019" s="148">
        <v>8</v>
      </c>
      <c r="O3019" s="148" t="s">
        <v>83</v>
      </c>
      <c r="P3019" s="148" t="s">
        <v>2517</v>
      </c>
      <c r="Y3019" s="150" t="s">
        <v>2518</v>
      </c>
    </row>
    <row r="3020" spans="1:27" ht="15.75" hidden="1" customHeight="1" x14ac:dyDescent="0.25">
      <c r="A3020" s="148" t="s">
        <v>76</v>
      </c>
      <c r="B3020" s="148" t="s">
        <v>103</v>
      </c>
      <c r="C3020" s="148" t="s">
        <v>55</v>
      </c>
      <c r="D3020" s="148" t="s">
        <v>29</v>
      </c>
      <c r="E3020" s="148" t="s">
        <v>30</v>
      </c>
      <c r="F3020" s="148" t="s">
        <v>56</v>
      </c>
      <c r="G3020" s="148" t="s">
        <v>458</v>
      </c>
      <c r="H3020" s="148">
        <v>2021</v>
      </c>
      <c r="I3020" s="148">
        <v>3</v>
      </c>
      <c r="J3020" s="148" t="s">
        <v>150</v>
      </c>
      <c r="K3020" s="148" t="s">
        <v>1152</v>
      </c>
      <c r="M3020" s="148" t="s">
        <v>82</v>
      </c>
      <c r="N3020" s="148">
        <v>8</v>
      </c>
      <c r="O3020" s="148" t="s">
        <v>83</v>
      </c>
      <c r="P3020" s="148" t="s">
        <v>2519</v>
      </c>
      <c r="Y3020" s="150" t="s">
        <v>2520</v>
      </c>
    </row>
    <row r="3021" spans="1:27" ht="15.75" hidden="1" customHeight="1" x14ac:dyDescent="0.25">
      <c r="A3021" s="148" t="s">
        <v>76</v>
      </c>
      <c r="B3021" s="148" t="s">
        <v>62</v>
      </c>
      <c r="C3021" s="148" t="s">
        <v>28</v>
      </c>
      <c r="D3021" s="148" t="s">
        <v>478</v>
      </c>
      <c r="E3021" s="148" t="s">
        <v>30</v>
      </c>
      <c r="F3021" s="148" t="s">
        <v>3183</v>
      </c>
      <c r="G3021" s="148" t="s">
        <v>244</v>
      </c>
      <c r="H3021" s="148">
        <v>2021</v>
      </c>
      <c r="I3021" s="148">
        <v>3</v>
      </c>
      <c r="J3021" s="148" t="s">
        <v>2438</v>
      </c>
      <c r="K3021" s="148" t="s">
        <v>1152</v>
      </c>
      <c r="M3021" s="148" t="s">
        <v>82</v>
      </c>
      <c r="N3021" s="148">
        <v>8</v>
      </c>
      <c r="O3021" s="148" t="s">
        <v>2439</v>
      </c>
      <c r="P3021" s="148" t="s">
        <v>2445</v>
      </c>
      <c r="Y3021" s="150" t="s">
        <v>2521</v>
      </c>
      <c r="Z3021" s="148" t="s">
        <v>2522</v>
      </c>
      <c r="AA3021" s="148" t="s">
        <v>543</v>
      </c>
    </row>
    <row r="3022" spans="1:27" ht="15.75" hidden="1" customHeight="1" x14ac:dyDescent="0.25">
      <c r="A3022" s="148" t="s">
        <v>76</v>
      </c>
      <c r="B3022" s="148" t="s">
        <v>103</v>
      </c>
      <c r="C3022" s="148" t="s">
        <v>55</v>
      </c>
      <c r="D3022" s="148" t="s">
        <v>478</v>
      </c>
      <c r="E3022" s="148" t="s">
        <v>30</v>
      </c>
      <c r="F3022" s="148" t="s">
        <v>56</v>
      </c>
      <c r="G3022" s="148" t="s">
        <v>519</v>
      </c>
      <c r="H3022" s="148">
        <v>2021</v>
      </c>
      <c r="I3022" s="148">
        <v>3</v>
      </c>
      <c r="J3022" s="148" t="s">
        <v>150</v>
      </c>
      <c r="K3022" s="148" t="s">
        <v>1152</v>
      </c>
      <c r="M3022" s="148" t="s">
        <v>82</v>
      </c>
      <c r="N3022" s="148">
        <v>8</v>
      </c>
      <c r="O3022" s="148" t="s">
        <v>83</v>
      </c>
      <c r="P3022" s="148" t="s">
        <v>2523</v>
      </c>
      <c r="Y3022" s="150" t="s">
        <v>2524</v>
      </c>
    </row>
    <row r="3023" spans="1:27" ht="15.75" hidden="1" customHeight="1" x14ac:dyDescent="0.25">
      <c r="A3023" s="148" t="s">
        <v>76</v>
      </c>
      <c r="B3023" s="148" t="s">
        <v>27</v>
      </c>
      <c r="C3023" s="148" t="s">
        <v>28</v>
      </c>
      <c r="D3023" s="148" t="s">
        <v>86</v>
      </c>
      <c r="E3023" s="148" t="s">
        <v>30</v>
      </c>
      <c r="F3023" s="148" t="s">
        <v>3183</v>
      </c>
      <c r="G3023" s="148" t="s">
        <v>32</v>
      </c>
      <c r="H3023" s="148">
        <v>2021</v>
      </c>
      <c r="I3023" s="148">
        <v>4</v>
      </c>
      <c r="J3023" s="148" t="s">
        <v>150</v>
      </c>
      <c r="K3023" s="148" t="s">
        <v>1152</v>
      </c>
      <c r="M3023" s="148" t="s">
        <v>82</v>
      </c>
      <c r="N3023" s="148">
        <v>8</v>
      </c>
      <c r="O3023" s="148" t="s">
        <v>83</v>
      </c>
      <c r="P3023" s="148" t="s">
        <v>2525</v>
      </c>
      <c r="Y3023" s="150" t="s">
        <v>2526</v>
      </c>
    </row>
    <row r="3024" spans="1:27" ht="15.75" hidden="1" customHeight="1" x14ac:dyDescent="0.25">
      <c r="A3024" s="148" t="s">
        <v>76</v>
      </c>
      <c r="B3024" s="148" t="s">
        <v>27</v>
      </c>
      <c r="C3024" s="148" t="s">
        <v>28</v>
      </c>
      <c r="D3024" s="148" t="s">
        <v>86</v>
      </c>
      <c r="E3024" s="148" t="s">
        <v>30</v>
      </c>
      <c r="F3024" s="148" t="s">
        <v>3183</v>
      </c>
      <c r="G3024" s="148" t="s">
        <v>43</v>
      </c>
      <c r="H3024" s="148">
        <v>2021</v>
      </c>
      <c r="I3024" s="148">
        <v>4</v>
      </c>
      <c r="J3024" s="148" t="s">
        <v>150</v>
      </c>
      <c r="K3024" s="148" t="s">
        <v>1152</v>
      </c>
      <c r="M3024" s="148" t="s">
        <v>82</v>
      </c>
      <c r="N3024" s="148">
        <v>8</v>
      </c>
      <c r="O3024" s="148" t="s">
        <v>83</v>
      </c>
      <c r="P3024" s="148" t="s">
        <v>2527</v>
      </c>
      <c r="Y3024" s="150" t="s">
        <v>2528</v>
      </c>
    </row>
    <row r="3025" spans="1:27" ht="15.75" hidden="1" customHeight="1" x14ac:dyDescent="0.25">
      <c r="A3025" s="148" t="s">
        <v>76</v>
      </c>
      <c r="B3025" s="148" t="s">
        <v>36</v>
      </c>
      <c r="C3025" s="148" t="s">
        <v>28</v>
      </c>
      <c r="D3025" s="148" t="s">
        <v>342</v>
      </c>
      <c r="E3025" s="148" t="s">
        <v>30</v>
      </c>
      <c r="F3025" s="148" t="s">
        <v>3183</v>
      </c>
      <c r="G3025" s="148" t="s">
        <v>114</v>
      </c>
      <c r="H3025" s="148">
        <v>2021</v>
      </c>
      <c r="I3025" s="148">
        <v>4</v>
      </c>
      <c r="J3025" s="148" t="s">
        <v>150</v>
      </c>
      <c r="K3025" s="148" t="s">
        <v>1152</v>
      </c>
      <c r="M3025" s="148" t="s">
        <v>82</v>
      </c>
      <c r="N3025" s="148">
        <v>8</v>
      </c>
      <c r="O3025" s="148" t="s">
        <v>83</v>
      </c>
      <c r="P3025" s="148" t="s">
        <v>2529</v>
      </c>
      <c r="Y3025" s="150" t="s">
        <v>2530</v>
      </c>
      <c r="AA3025" s="148" t="s">
        <v>543</v>
      </c>
    </row>
    <row r="3026" spans="1:27" ht="15.75" hidden="1" customHeight="1" x14ac:dyDescent="0.25">
      <c r="A3026" s="148" t="s">
        <v>307</v>
      </c>
      <c r="B3026" s="148" t="s">
        <v>36</v>
      </c>
      <c r="C3026" s="148" t="s">
        <v>28</v>
      </c>
      <c r="D3026" s="148" t="s">
        <v>478</v>
      </c>
      <c r="E3026" s="148" t="s">
        <v>30</v>
      </c>
      <c r="F3026" s="148" t="s">
        <v>3183</v>
      </c>
      <c r="G3026" s="148" t="s">
        <v>59</v>
      </c>
      <c r="H3026" s="148">
        <v>2021</v>
      </c>
      <c r="I3026" s="148">
        <v>5</v>
      </c>
      <c r="J3026" s="148" t="s">
        <v>308</v>
      </c>
      <c r="Q3026" s="148" t="s">
        <v>426</v>
      </c>
      <c r="S3026" s="148" t="s">
        <v>427</v>
      </c>
      <c r="T3026" s="148" t="s">
        <v>2531</v>
      </c>
      <c r="Y3026" s="150" t="s">
        <v>2532</v>
      </c>
      <c r="Z3026" s="148" t="s">
        <v>2533</v>
      </c>
    </row>
    <row r="3027" spans="1:27" ht="15.75" hidden="1" customHeight="1" x14ac:dyDescent="0.25">
      <c r="A3027" s="148" t="s">
        <v>76</v>
      </c>
      <c r="B3027" s="148" t="s">
        <v>36</v>
      </c>
      <c r="C3027" s="148" t="s">
        <v>28</v>
      </c>
      <c r="D3027" s="148" t="s">
        <v>887</v>
      </c>
      <c r="E3027" s="148" t="s">
        <v>30</v>
      </c>
      <c r="F3027" s="148" t="s">
        <v>3183</v>
      </c>
      <c r="G3027" s="148" t="s">
        <v>888</v>
      </c>
      <c r="H3027" s="148">
        <v>2021</v>
      </c>
      <c r="I3027" s="148">
        <v>6</v>
      </c>
      <c r="J3027" s="148" t="s">
        <v>2488</v>
      </c>
      <c r="K3027" s="148" t="s">
        <v>1152</v>
      </c>
      <c r="M3027" s="148" t="s">
        <v>82</v>
      </c>
      <c r="N3027" s="148">
        <v>8</v>
      </c>
      <c r="O3027" s="148" t="s">
        <v>2439</v>
      </c>
      <c r="P3027" s="148" t="s">
        <v>2534</v>
      </c>
      <c r="Y3027" s="150" t="s">
        <v>2535</v>
      </c>
      <c r="Z3027" s="148" t="s">
        <v>2536</v>
      </c>
      <c r="AA3027" s="148" t="s">
        <v>2537</v>
      </c>
    </row>
    <row r="3028" spans="1:27" ht="15.75" hidden="1" customHeight="1" x14ac:dyDescent="0.25">
      <c r="A3028" s="148" t="s">
        <v>76</v>
      </c>
      <c r="B3028" s="148" t="s">
        <v>36</v>
      </c>
      <c r="C3028" s="148" t="s">
        <v>28</v>
      </c>
      <c r="D3028" s="148" t="s">
        <v>887</v>
      </c>
      <c r="E3028" s="148" t="s">
        <v>30</v>
      </c>
      <c r="F3028" s="148" t="s">
        <v>3183</v>
      </c>
      <c r="G3028" s="148" t="s">
        <v>888</v>
      </c>
      <c r="H3028" s="148">
        <v>2021</v>
      </c>
      <c r="I3028" s="148">
        <v>6</v>
      </c>
      <c r="J3028" s="148" t="s">
        <v>2488</v>
      </c>
      <c r="K3028" s="148" t="s">
        <v>1152</v>
      </c>
      <c r="M3028" s="148" t="s">
        <v>82</v>
      </c>
      <c r="N3028" s="148">
        <v>8</v>
      </c>
      <c r="O3028" s="148" t="s">
        <v>2439</v>
      </c>
      <c r="P3028" s="148" t="s">
        <v>2538</v>
      </c>
      <c r="Y3028" s="150" t="s">
        <v>2539</v>
      </c>
      <c r="Z3028" s="148" t="s">
        <v>2540</v>
      </c>
      <c r="AA3028" s="148" t="s">
        <v>543</v>
      </c>
    </row>
    <row r="3029" spans="1:27" ht="15.75" hidden="1" customHeight="1" x14ac:dyDescent="0.25">
      <c r="A3029" s="148" t="s">
        <v>76</v>
      </c>
      <c r="B3029" s="148" t="s">
        <v>54</v>
      </c>
      <c r="C3029" s="148" t="s">
        <v>55</v>
      </c>
      <c r="D3029" s="148" t="s">
        <v>2173</v>
      </c>
      <c r="E3029" s="148" t="s">
        <v>30</v>
      </c>
      <c r="F3029" s="148" t="s">
        <v>56</v>
      </c>
      <c r="G3029" s="148" t="s">
        <v>54</v>
      </c>
      <c r="H3029" s="148">
        <v>2021</v>
      </c>
      <c r="I3029" s="148">
        <v>6</v>
      </c>
      <c r="J3029" s="148" t="s">
        <v>2488</v>
      </c>
      <c r="K3029" s="148" t="s">
        <v>1152</v>
      </c>
      <c r="M3029" s="148" t="s">
        <v>82</v>
      </c>
      <c r="N3029" s="148">
        <v>8</v>
      </c>
      <c r="O3029" s="148" t="s">
        <v>2439</v>
      </c>
      <c r="P3029" s="148" t="s">
        <v>2178</v>
      </c>
      <c r="Y3029" s="150" t="s">
        <v>2541</v>
      </c>
      <c r="Z3029" s="148" t="s">
        <v>2542</v>
      </c>
      <c r="AA3029" s="148" t="s">
        <v>543</v>
      </c>
    </row>
    <row r="3030" spans="1:27" ht="15.75" customHeight="1" x14ac:dyDescent="0.25">
      <c r="A3030" s="148" t="s">
        <v>76</v>
      </c>
      <c r="B3030" s="148" t="s">
        <v>36</v>
      </c>
      <c r="C3030" s="148" t="s">
        <v>28</v>
      </c>
      <c r="D3030" s="148" t="s">
        <v>1304</v>
      </c>
      <c r="E3030" s="148" t="s">
        <v>30</v>
      </c>
      <c r="F3030" s="148" t="s">
        <v>3183</v>
      </c>
      <c r="G3030" s="148" t="s">
        <v>194</v>
      </c>
      <c r="H3030" s="148">
        <v>2021</v>
      </c>
      <c r="I3030" s="148">
        <v>6</v>
      </c>
      <c r="J3030" s="148" t="s">
        <v>2438</v>
      </c>
      <c r="K3030" s="148" t="s">
        <v>1152</v>
      </c>
      <c r="M3030" s="148" t="s">
        <v>82</v>
      </c>
      <c r="N3030" s="148">
        <v>8</v>
      </c>
      <c r="O3030" s="148" t="s">
        <v>2439</v>
      </c>
      <c r="P3030" s="148" t="s">
        <v>2543</v>
      </c>
      <c r="Y3030" s="150" t="s">
        <v>2544</v>
      </c>
      <c r="Z3030" s="148" t="s">
        <v>2545</v>
      </c>
      <c r="AA3030" s="148" t="s">
        <v>543</v>
      </c>
    </row>
    <row r="3031" spans="1:27" ht="15.75" hidden="1" customHeight="1" x14ac:dyDescent="0.25">
      <c r="A3031" s="148" t="s">
        <v>76</v>
      </c>
      <c r="B3031" s="148" t="s">
        <v>103</v>
      </c>
      <c r="C3031" s="148" t="s">
        <v>55</v>
      </c>
      <c r="D3031" s="148" t="s">
        <v>478</v>
      </c>
      <c r="E3031" s="148" t="s">
        <v>95</v>
      </c>
      <c r="F3031" s="148" t="s">
        <v>56</v>
      </c>
      <c r="G3031" s="148" t="s">
        <v>104</v>
      </c>
      <c r="H3031" s="148">
        <v>2021</v>
      </c>
      <c r="I3031" s="148">
        <v>7</v>
      </c>
      <c r="J3031" s="148" t="s">
        <v>2438</v>
      </c>
      <c r="K3031" s="148" t="s">
        <v>1152</v>
      </c>
      <c r="M3031" s="148" t="s">
        <v>82</v>
      </c>
      <c r="N3031" s="148">
        <v>8</v>
      </c>
      <c r="O3031" s="148" t="s">
        <v>2439</v>
      </c>
      <c r="P3031" s="148" t="s">
        <v>1582</v>
      </c>
      <c r="Y3031" s="150" t="s">
        <v>2546</v>
      </c>
      <c r="Z3031" s="148" t="s">
        <v>2491</v>
      </c>
      <c r="AA3031" s="148" t="s">
        <v>543</v>
      </c>
    </row>
    <row r="3032" spans="1:27" ht="15.75" hidden="1" customHeight="1" x14ac:dyDescent="0.25">
      <c r="A3032" s="148" t="s">
        <v>76</v>
      </c>
      <c r="B3032" s="148" t="s">
        <v>62</v>
      </c>
      <c r="C3032" s="148" t="s">
        <v>28</v>
      </c>
      <c r="D3032" s="148" t="s">
        <v>478</v>
      </c>
      <c r="E3032" s="148" t="s">
        <v>30</v>
      </c>
      <c r="F3032" s="148" t="s">
        <v>3183</v>
      </c>
      <c r="G3032" s="148" t="s">
        <v>244</v>
      </c>
      <c r="H3032" s="148">
        <v>2021</v>
      </c>
      <c r="I3032" s="148">
        <v>7</v>
      </c>
      <c r="J3032" s="148" t="s">
        <v>150</v>
      </c>
      <c r="K3032" s="148" t="s">
        <v>1152</v>
      </c>
      <c r="M3032" s="148" t="s">
        <v>82</v>
      </c>
      <c r="N3032" s="148">
        <v>8</v>
      </c>
      <c r="O3032" s="148" t="s">
        <v>83</v>
      </c>
      <c r="P3032" s="148" t="s">
        <v>850</v>
      </c>
      <c r="Y3032" s="150" t="s">
        <v>2547</v>
      </c>
    </row>
    <row r="3033" spans="1:27" ht="15.75" hidden="1" customHeight="1" x14ac:dyDescent="0.25">
      <c r="A3033" s="148" t="s">
        <v>76</v>
      </c>
      <c r="B3033" s="148" t="s">
        <v>27</v>
      </c>
      <c r="C3033" s="148" t="s">
        <v>28</v>
      </c>
      <c r="D3033" s="148" t="s">
        <v>1302</v>
      </c>
      <c r="E3033" s="148" t="s">
        <v>40</v>
      </c>
      <c r="F3033" s="148" t="s">
        <v>41</v>
      </c>
      <c r="G3033" s="148" t="s">
        <v>42</v>
      </c>
      <c r="H3033" s="148">
        <v>2021</v>
      </c>
      <c r="I3033" s="148">
        <v>7</v>
      </c>
      <c r="J3033" s="148" t="s">
        <v>640</v>
      </c>
      <c r="K3033" s="148" t="s">
        <v>1152</v>
      </c>
      <c r="M3033" s="148" t="s">
        <v>82</v>
      </c>
      <c r="N3033" s="148">
        <v>8</v>
      </c>
      <c r="O3033" s="148" t="s">
        <v>83</v>
      </c>
      <c r="P3033" s="148" t="s">
        <v>2565</v>
      </c>
      <c r="Y3033" s="150" t="s">
        <v>2566</v>
      </c>
      <c r="Z3033" s="148" t="s">
        <v>2496</v>
      </c>
    </row>
    <row r="3034" spans="1:27" ht="15.75" hidden="1" customHeight="1" x14ac:dyDescent="0.25">
      <c r="A3034" s="148" t="s">
        <v>307</v>
      </c>
      <c r="B3034" s="148" t="s">
        <v>103</v>
      </c>
      <c r="C3034" s="148" t="s">
        <v>55</v>
      </c>
      <c r="D3034" s="148" t="s">
        <v>2173</v>
      </c>
      <c r="E3034" s="148" t="s">
        <v>30</v>
      </c>
      <c r="F3034" s="148" t="s">
        <v>56</v>
      </c>
      <c r="G3034" s="148" t="s">
        <v>54</v>
      </c>
      <c r="H3034" s="148">
        <v>2021</v>
      </c>
      <c r="I3034" s="148">
        <v>7</v>
      </c>
      <c r="J3034" s="148" t="s">
        <v>399</v>
      </c>
      <c r="Q3034" s="148" t="s">
        <v>1229</v>
      </c>
      <c r="R3034" s="148" t="s">
        <v>2548</v>
      </c>
      <c r="S3034" s="148" t="s">
        <v>311</v>
      </c>
      <c r="T3034" s="148" t="s">
        <v>2549</v>
      </c>
      <c r="Y3034" s="150" t="s">
        <v>2550</v>
      </c>
      <c r="AA3034" s="148" t="s">
        <v>543</v>
      </c>
    </row>
    <row r="3035" spans="1:27" ht="15.75" hidden="1" customHeight="1" x14ac:dyDescent="0.25">
      <c r="A3035" s="148" t="s">
        <v>76</v>
      </c>
      <c r="B3035" s="148" t="s">
        <v>54</v>
      </c>
      <c r="C3035" s="148" t="s">
        <v>55</v>
      </c>
      <c r="D3035" s="148" t="s">
        <v>2173</v>
      </c>
      <c r="E3035" s="148" t="s">
        <v>30</v>
      </c>
      <c r="F3035" s="148" t="s">
        <v>56</v>
      </c>
      <c r="G3035" s="148" t="s">
        <v>54</v>
      </c>
      <c r="H3035" s="148">
        <v>2021</v>
      </c>
      <c r="I3035" s="148">
        <v>7</v>
      </c>
      <c r="J3035" s="148" t="s">
        <v>640</v>
      </c>
      <c r="K3035" s="148" t="s">
        <v>1152</v>
      </c>
      <c r="M3035" s="148" t="s">
        <v>82</v>
      </c>
      <c r="N3035" s="148">
        <v>8</v>
      </c>
      <c r="O3035" s="148" t="s">
        <v>83</v>
      </c>
      <c r="P3035" s="148" t="s">
        <v>2178</v>
      </c>
      <c r="Y3035" s="150" t="s">
        <v>2551</v>
      </c>
    </row>
    <row r="3036" spans="1:27" ht="15.75" hidden="1" customHeight="1" x14ac:dyDescent="0.25">
      <c r="A3036" s="148" t="s">
        <v>76</v>
      </c>
      <c r="B3036" s="148" t="s">
        <v>77</v>
      </c>
      <c r="C3036" s="148" t="s">
        <v>55</v>
      </c>
      <c r="D3036" s="148" t="s">
        <v>78</v>
      </c>
      <c r="E3036" s="148" t="s">
        <v>30</v>
      </c>
      <c r="F3036" s="148" t="s">
        <v>41</v>
      </c>
      <c r="G3036" s="148" t="s">
        <v>79</v>
      </c>
      <c r="H3036" s="148">
        <v>2021</v>
      </c>
      <c r="I3036" s="148">
        <v>7</v>
      </c>
      <c r="J3036" s="148" t="s">
        <v>80</v>
      </c>
      <c r="K3036" s="148" t="s">
        <v>1152</v>
      </c>
      <c r="M3036" s="148" t="s">
        <v>82</v>
      </c>
      <c r="N3036" s="148">
        <v>8</v>
      </c>
      <c r="O3036" s="148" t="s">
        <v>83</v>
      </c>
      <c r="P3036" s="148" t="s">
        <v>2552</v>
      </c>
      <c r="Y3036" s="150" t="s">
        <v>2553</v>
      </c>
      <c r="Z3036" s="148" t="s">
        <v>2554</v>
      </c>
      <c r="AA3036" s="148" t="s">
        <v>543</v>
      </c>
    </row>
    <row r="3037" spans="1:27" ht="15.75" hidden="1" customHeight="1" x14ac:dyDescent="0.25">
      <c r="A3037" s="148" t="s">
        <v>76</v>
      </c>
      <c r="B3037" s="148" t="s">
        <v>77</v>
      </c>
      <c r="C3037" s="148" t="s">
        <v>55</v>
      </c>
      <c r="D3037" s="148" t="s">
        <v>478</v>
      </c>
      <c r="E3037" s="148" t="s">
        <v>30</v>
      </c>
      <c r="F3037" s="148" t="s">
        <v>41</v>
      </c>
      <c r="G3037" s="148" t="s">
        <v>275</v>
      </c>
      <c r="H3037" s="148">
        <v>2021</v>
      </c>
      <c r="I3037" s="148">
        <v>7</v>
      </c>
      <c r="J3037" s="148" t="s">
        <v>150</v>
      </c>
      <c r="K3037" s="148" t="s">
        <v>1152</v>
      </c>
      <c r="M3037" s="148" t="s">
        <v>82</v>
      </c>
      <c r="N3037" s="148">
        <v>8</v>
      </c>
      <c r="O3037" s="148" t="s">
        <v>83</v>
      </c>
      <c r="P3037" s="148" t="s">
        <v>2555</v>
      </c>
      <c r="Y3037" s="150" t="s">
        <v>2556</v>
      </c>
    </row>
    <row r="3038" spans="1:27" ht="15.75" hidden="1" customHeight="1" x14ac:dyDescent="0.25">
      <c r="A3038" s="148" t="s">
        <v>307</v>
      </c>
      <c r="B3038" s="148" t="s">
        <v>36</v>
      </c>
      <c r="C3038" s="148" t="s">
        <v>28</v>
      </c>
      <c r="D3038" s="148" t="s">
        <v>342</v>
      </c>
      <c r="E3038" s="148" t="s">
        <v>51</v>
      </c>
      <c r="F3038" s="148" t="s">
        <v>3183</v>
      </c>
      <c r="G3038" s="148" t="s">
        <v>52</v>
      </c>
      <c r="H3038" s="148">
        <v>2021</v>
      </c>
      <c r="I3038" s="148">
        <v>7</v>
      </c>
      <c r="J3038" s="148" t="s">
        <v>399</v>
      </c>
      <c r="Q3038" s="148" t="s">
        <v>426</v>
      </c>
      <c r="R3038" s="148" t="s">
        <v>2557</v>
      </c>
      <c r="S3038" s="148" t="s">
        <v>311</v>
      </c>
      <c r="T3038" s="148" t="s">
        <v>2558</v>
      </c>
      <c r="Y3038" s="150" t="s">
        <v>2559</v>
      </c>
      <c r="Z3038" s="148" t="s">
        <v>2560</v>
      </c>
      <c r="AA3038" s="148" t="s">
        <v>543</v>
      </c>
    </row>
    <row r="3039" spans="1:27" ht="15.75" hidden="1" customHeight="1" x14ac:dyDescent="0.25">
      <c r="A3039" s="148" t="s">
        <v>307</v>
      </c>
      <c r="B3039" s="148" t="s">
        <v>54</v>
      </c>
      <c r="C3039" s="148" t="s">
        <v>55</v>
      </c>
      <c r="D3039" s="148" t="s">
        <v>2173</v>
      </c>
      <c r="E3039" s="148" t="s">
        <v>30</v>
      </c>
      <c r="F3039" s="148" t="s">
        <v>56</v>
      </c>
      <c r="G3039" s="148" t="s">
        <v>54</v>
      </c>
      <c r="H3039" s="148">
        <v>2021</v>
      </c>
      <c r="I3039" s="148">
        <v>8</v>
      </c>
      <c r="J3039" s="148" t="s">
        <v>308</v>
      </c>
      <c r="Q3039" s="148" t="s">
        <v>594</v>
      </c>
      <c r="R3039" s="148" t="s">
        <v>2561</v>
      </c>
      <c r="S3039" s="148" t="s">
        <v>311</v>
      </c>
      <c r="T3039" s="148" t="s">
        <v>2562</v>
      </c>
      <c r="Y3039" s="150" t="s">
        <v>2563</v>
      </c>
      <c r="AA3039" s="148" t="s">
        <v>543</v>
      </c>
    </row>
    <row r="3040" spans="1:27" ht="15.75" hidden="1" customHeight="1" x14ac:dyDescent="0.25">
      <c r="A3040" s="148" t="s">
        <v>76</v>
      </c>
      <c r="B3040" s="148" t="s">
        <v>36</v>
      </c>
      <c r="C3040" s="148" t="s">
        <v>28</v>
      </c>
      <c r="D3040" s="148" t="s">
        <v>478</v>
      </c>
      <c r="E3040" s="148" t="s">
        <v>30</v>
      </c>
      <c r="F3040" s="148" t="s">
        <v>3183</v>
      </c>
      <c r="G3040" s="148" t="s">
        <v>67</v>
      </c>
      <c r="H3040" s="148">
        <v>2021</v>
      </c>
      <c r="I3040" s="148">
        <v>9</v>
      </c>
      <c r="J3040" s="148" t="s">
        <v>2438</v>
      </c>
      <c r="K3040" s="148" t="s">
        <v>1152</v>
      </c>
      <c r="M3040" s="148" t="s">
        <v>82</v>
      </c>
      <c r="N3040" s="148">
        <v>8</v>
      </c>
      <c r="O3040" s="148" t="s">
        <v>2439</v>
      </c>
      <c r="P3040" s="148" t="s">
        <v>146</v>
      </c>
      <c r="Y3040" s="150" t="s">
        <v>2564</v>
      </c>
      <c r="AA3040" s="148" t="s">
        <v>543</v>
      </c>
    </row>
    <row r="3041" spans="1:27" ht="15.75" hidden="1" customHeight="1" x14ac:dyDescent="0.25">
      <c r="A3041" s="148" t="s">
        <v>76</v>
      </c>
      <c r="B3041" s="148" t="s">
        <v>62</v>
      </c>
      <c r="C3041" s="148" t="s">
        <v>28</v>
      </c>
      <c r="D3041" s="148" t="s">
        <v>46</v>
      </c>
      <c r="E3041" s="148" t="s">
        <v>30</v>
      </c>
      <c r="F3041" s="148" t="s">
        <v>3183</v>
      </c>
      <c r="G3041" s="148" t="s">
        <v>46</v>
      </c>
      <c r="H3041" s="148">
        <v>2021</v>
      </c>
      <c r="I3041" s="148">
        <v>9</v>
      </c>
      <c r="J3041" s="148" t="s">
        <v>2488</v>
      </c>
      <c r="K3041" s="163" t="s">
        <v>2570</v>
      </c>
      <c r="L3041" s="163"/>
      <c r="M3041" s="163" t="s">
        <v>368</v>
      </c>
      <c r="N3041" s="163"/>
      <c r="O3041" s="163" t="s">
        <v>2439</v>
      </c>
      <c r="P3041" s="148" t="s">
        <v>2571</v>
      </c>
      <c r="Q3041" s="163"/>
      <c r="R3041" s="163" t="s">
        <v>2572</v>
      </c>
      <c r="Y3041" s="150" t="s">
        <v>2573</v>
      </c>
      <c r="Z3041" s="163" t="s">
        <v>2574</v>
      </c>
    </row>
    <row r="3042" spans="1:27" ht="15.75" hidden="1" customHeight="1" x14ac:dyDescent="0.25">
      <c r="A3042" s="148" t="s">
        <v>76</v>
      </c>
      <c r="B3042" s="148" t="s">
        <v>27</v>
      </c>
      <c r="C3042" s="148" t="s">
        <v>28</v>
      </c>
      <c r="D3042" s="148" t="s">
        <v>1302</v>
      </c>
      <c r="E3042" s="148" t="s">
        <v>40</v>
      </c>
      <c r="F3042" s="148" t="s">
        <v>41</v>
      </c>
      <c r="G3042" s="148" t="s">
        <v>42</v>
      </c>
      <c r="H3042" s="148">
        <v>2021</v>
      </c>
      <c r="I3042" s="148">
        <v>9</v>
      </c>
      <c r="J3042" s="148" t="s">
        <v>640</v>
      </c>
      <c r="K3042" s="148" t="s">
        <v>1333</v>
      </c>
      <c r="M3042" s="148" t="s">
        <v>1441</v>
      </c>
      <c r="N3042" s="148">
        <v>8</v>
      </c>
      <c r="O3042" s="148" t="s">
        <v>83</v>
      </c>
      <c r="P3042" s="148" t="s">
        <v>2567</v>
      </c>
      <c r="Y3042" s="164" t="s">
        <v>2568</v>
      </c>
      <c r="Z3042" s="163" t="s">
        <v>2569</v>
      </c>
    </row>
    <row r="3043" spans="1:27" ht="15.75" hidden="1" customHeight="1" x14ac:dyDescent="0.25">
      <c r="A3043" s="148" t="s">
        <v>307</v>
      </c>
      <c r="B3043" s="148" t="s">
        <v>27</v>
      </c>
      <c r="C3043" s="148" t="s">
        <v>28</v>
      </c>
      <c r="D3043" s="148" t="s">
        <v>1302</v>
      </c>
      <c r="E3043" s="148" t="s">
        <v>40</v>
      </c>
      <c r="F3043" s="148" t="s">
        <v>41</v>
      </c>
      <c r="G3043" s="148" t="s">
        <v>42</v>
      </c>
      <c r="H3043" s="148">
        <v>2021</v>
      </c>
      <c r="I3043" s="148">
        <v>9</v>
      </c>
      <c r="J3043" s="148" t="s">
        <v>308</v>
      </c>
      <c r="Q3043" s="148" t="s">
        <v>309</v>
      </c>
      <c r="R3043" s="148" t="s">
        <v>2575</v>
      </c>
      <c r="S3043" s="148" t="s">
        <v>311</v>
      </c>
      <c r="T3043" s="148" t="s">
        <v>2576</v>
      </c>
      <c r="Y3043" s="150" t="s">
        <v>2577</v>
      </c>
      <c r="Z3043" s="148" t="s">
        <v>2578</v>
      </c>
    </row>
    <row r="3044" spans="1:27" ht="15.75" hidden="1" customHeight="1" x14ac:dyDescent="0.25">
      <c r="A3044" s="148" t="s">
        <v>307</v>
      </c>
      <c r="B3044" s="148" t="s">
        <v>27</v>
      </c>
      <c r="C3044" s="148" t="s">
        <v>28</v>
      </c>
      <c r="D3044" s="148" t="s">
        <v>1302</v>
      </c>
      <c r="E3044" s="148" t="s">
        <v>40</v>
      </c>
      <c r="F3044" s="148" t="s">
        <v>41</v>
      </c>
      <c r="G3044" s="148" t="s">
        <v>42</v>
      </c>
      <c r="H3044" s="148">
        <v>2021</v>
      </c>
      <c r="I3044" s="148">
        <v>9</v>
      </c>
      <c r="J3044" s="148" t="s">
        <v>399</v>
      </c>
      <c r="Q3044" s="148" t="s">
        <v>426</v>
      </c>
      <c r="R3044" s="148" t="s">
        <v>2579</v>
      </c>
      <c r="S3044" s="148" t="s">
        <v>311</v>
      </c>
      <c r="T3044" s="148" t="s">
        <v>2580</v>
      </c>
      <c r="Y3044" s="150" t="s">
        <v>2581</v>
      </c>
      <c r="Z3044" s="148" t="s">
        <v>2582</v>
      </c>
    </row>
    <row r="3045" spans="1:27" ht="15.75" hidden="1" customHeight="1" x14ac:dyDescent="0.25">
      <c r="A3045" s="148" t="s">
        <v>76</v>
      </c>
      <c r="B3045" s="148" t="s">
        <v>54</v>
      </c>
      <c r="C3045" s="148" t="s">
        <v>55</v>
      </c>
      <c r="D3045" s="148" t="s">
        <v>2173</v>
      </c>
      <c r="E3045" s="148" t="s">
        <v>30</v>
      </c>
      <c r="F3045" s="148" t="s">
        <v>56</v>
      </c>
      <c r="G3045" s="148" t="s">
        <v>54</v>
      </c>
      <c r="H3045" s="148">
        <v>2021</v>
      </c>
      <c r="I3045" s="148">
        <v>9</v>
      </c>
      <c r="J3045" s="148" t="s">
        <v>640</v>
      </c>
      <c r="K3045" s="148" t="s">
        <v>1333</v>
      </c>
      <c r="M3045" s="148" t="s">
        <v>1441</v>
      </c>
      <c r="N3045" s="148">
        <v>8</v>
      </c>
      <c r="O3045" s="148" t="s">
        <v>83</v>
      </c>
      <c r="P3045" s="148" t="s">
        <v>2567</v>
      </c>
      <c r="Y3045" s="164" t="s">
        <v>2568</v>
      </c>
      <c r="Z3045" s="163" t="s">
        <v>2569</v>
      </c>
    </row>
    <row r="3046" spans="1:27" ht="15.75" hidden="1" customHeight="1" x14ac:dyDescent="0.25">
      <c r="A3046" s="148" t="s">
        <v>307</v>
      </c>
      <c r="B3046" s="148" t="s">
        <v>54</v>
      </c>
      <c r="C3046" s="148" t="s">
        <v>55</v>
      </c>
      <c r="D3046" s="148" t="s">
        <v>78</v>
      </c>
      <c r="E3046" s="148" t="s">
        <v>30</v>
      </c>
      <c r="F3046" s="148" t="s">
        <v>41</v>
      </c>
      <c r="G3046" s="148" t="s">
        <v>79</v>
      </c>
      <c r="H3046" s="148">
        <v>2021</v>
      </c>
      <c r="I3046" s="148">
        <v>9</v>
      </c>
      <c r="J3046" s="148" t="s">
        <v>399</v>
      </c>
      <c r="Q3046" s="148" t="s">
        <v>594</v>
      </c>
      <c r="R3046" s="148" t="s">
        <v>2583</v>
      </c>
      <c r="S3046" s="148" t="s">
        <v>311</v>
      </c>
      <c r="T3046" s="148" t="s">
        <v>2584</v>
      </c>
      <c r="Y3046" s="150" t="s">
        <v>2585</v>
      </c>
      <c r="Z3046" s="148" t="s">
        <v>2586</v>
      </c>
      <c r="AA3046" s="148" t="s">
        <v>543</v>
      </c>
    </row>
    <row r="3047" spans="1:27" ht="15.75" hidden="1" customHeight="1" x14ac:dyDescent="0.25">
      <c r="A3047" s="148" t="s">
        <v>76</v>
      </c>
      <c r="B3047" s="148" t="s">
        <v>54</v>
      </c>
      <c r="C3047" s="148" t="s">
        <v>55</v>
      </c>
      <c r="D3047" s="148" t="s">
        <v>78</v>
      </c>
      <c r="E3047" s="148" t="s">
        <v>30</v>
      </c>
      <c r="F3047" s="148" t="s">
        <v>41</v>
      </c>
      <c r="G3047" s="148" t="s">
        <v>79</v>
      </c>
      <c r="H3047" s="148">
        <v>2021</v>
      </c>
      <c r="I3047" s="148">
        <v>9</v>
      </c>
      <c r="J3047" s="148" t="s">
        <v>80</v>
      </c>
      <c r="K3047" s="148" t="s">
        <v>1333</v>
      </c>
      <c r="M3047" s="148" t="s">
        <v>1441</v>
      </c>
      <c r="N3047" s="148">
        <v>8</v>
      </c>
      <c r="O3047" s="148" t="s">
        <v>101</v>
      </c>
      <c r="P3047" s="148" t="s">
        <v>2587</v>
      </c>
      <c r="Y3047" s="150" t="s">
        <v>2588</v>
      </c>
      <c r="AA3047" s="148" t="s">
        <v>543</v>
      </c>
    </row>
    <row r="3048" spans="1:27" ht="15.75" hidden="1" customHeight="1" x14ac:dyDescent="0.25">
      <c r="A3048" s="148" t="s">
        <v>307</v>
      </c>
      <c r="B3048" s="148" t="s">
        <v>36</v>
      </c>
      <c r="C3048" s="148" t="s">
        <v>28</v>
      </c>
      <c r="D3048" s="148" t="s">
        <v>1304</v>
      </c>
      <c r="E3048" s="148" t="s">
        <v>30</v>
      </c>
      <c r="F3048" s="148" t="s">
        <v>3183</v>
      </c>
      <c r="G3048" s="148" t="s">
        <v>194</v>
      </c>
      <c r="H3048" s="148">
        <v>2021</v>
      </c>
      <c r="I3048" s="148">
        <v>9</v>
      </c>
      <c r="J3048" s="148" t="s">
        <v>308</v>
      </c>
      <c r="Q3048" s="148" t="s">
        <v>426</v>
      </c>
      <c r="S3048" s="148" t="s">
        <v>427</v>
      </c>
      <c r="T3048" s="148" t="s">
        <v>2589</v>
      </c>
      <c r="Y3048" s="150" t="s">
        <v>2590</v>
      </c>
    </row>
    <row r="3049" spans="1:27" ht="15.75" customHeight="1" x14ac:dyDescent="0.25">
      <c r="A3049" s="148" t="s">
        <v>76</v>
      </c>
      <c r="B3049" s="148" t="s">
        <v>36</v>
      </c>
      <c r="C3049" s="148" t="s">
        <v>28</v>
      </c>
      <c r="D3049" s="148" t="s">
        <v>1304</v>
      </c>
      <c r="E3049" s="148" t="s">
        <v>30</v>
      </c>
      <c r="F3049" s="148" t="s">
        <v>3183</v>
      </c>
      <c r="G3049" s="148" t="s">
        <v>194</v>
      </c>
      <c r="H3049" s="148">
        <v>2021</v>
      </c>
      <c r="I3049" s="148">
        <v>9</v>
      </c>
      <c r="J3049" s="148" t="s">
        <v>2438</v>
      </c>
      <c r="K3049" s="148" t="s">
        <v>1680</v>
      </c>
      <c r="M3049" s="148" t="s">
        <v>1318</v>
      </c>
      <c r="N3049" s="148">
        <v>5</v>
      </c>
      <c r="O3049" s="148" t="s">
        <v>2439</v>
      </c>
      <c r="P3049" s="148" t="s">
        <v>2591</v>
      </c>
      <c r="Y3049" s="150" t="s">
        <v>2592</v>
      </c>
      <c r="Z3049" s="148" t="s">
        <v>2593</v>
      </c>
    </row>
    <row r="3050" spans="1:27" ht="15.75" hidden="1" customHeight="1" x14ac:dyDescent="0.25">
      <c r="A3050" s="148" t="s">
        <v>76</v>
      </c>
      <c r="B3050" s="148" t="s">
        <v>103</v>
      </c>
      <c r="C3050" s="148" t="s">
        <v>55</v>
      </c>
      <c r="D3050" s="148" t="s">
        <v>478</v>
      </c>
      <c r="E3050" s="148" t="s">
        <v>95</v>
      </c>
      <c r="F3050" s="148" t="s">
        <v>56</v>
      </c>
      <c r="G3050" s="148" t="s">
        <v>108</v>
      </c>
      <c r="H3050" s="148">
        <v>2021</v>
      </c>
      <c r="I3050" s="148">
        <v>9</v>
      </c>
      <c r="J3050" s="148" t="s">
        <v>2438</v>
      </c>
      <c r="K3050" s="148" t="s">
        <v>1333</v>
      </c>
      <c r="M3050" s="148" t="s">
        <v>1441</v>
      </c>
      <c r="N3050" s="148">
        <v>8</v>
      </c>
      <c r="O3050" s="148" t="s">
        <v>2439</v>
      </c>
      <c r="P3050" s="148" t="s">
        <v>2594</v>
      </c>
      <c r="Y3050" s="150" t="s">
        <v>2595</v>
      </c>
      <c r="Z3050" s="148" t="s">
        <v>2596</v>
      </c>
      <c r="AA3050" s="148" t="s">
        <v>543</v>
      </c>
    </row>
    <row r="3051" spans="1:27" ht="15.75" hidden="1" customHeight="1" x14ac:dyDescent="0.25">
      <c r="A3051" s="148" t="s">
        <v>76</v>
      </c>
      <c r="B3051" s="148" t="s">
        <v>198</v>
      </c>
      <c r="C3051" s="148" t="s">
        <v>45</v>
      </c>
      <c r="D3051" s="148" t="s">
        <v>478</v>
      </c>
      <c r="E3051" s="148" t="s">
        <v>40</v>
      </c>
      <c r="F3051" s="148" t="s">
        <v>199</v>
      </c>
      <c r="G3051" s="148" t="s">
        <v>282</v>
      </c>
      <c r="H3051" s="148">
        <v>2021</v>
      </c>
      <c r="I3051" s="148">
        <v>10</v>
      </c>
      <c r="J3051" s="148" t="s">
        <v>2438</v>
      </c>
      <c r="K3051" s="148" t="s">
        <v>1152</v>
      </c>
      <c r="M3051" s="148" t="s">
        <v>82</v>
      </c>
      <c r="N3051" s="148">
        <v>8</v>
      </c>
      <c r="O3051" s="148" t="s">
        <v>2439</v>
      </c>
      <c r="P3051" s="148" t="s">
        <v>850</v>
      </c>
      <c r="Y3051" s="150" t="s">
        <v>2597</v>
      </c>
    </row>
    <row r="3052" spans="1:27" ht="15.75" hidden="1" customHeight="1" x14ac:dyDescent="0.25">
      <c r="A3052" s="148" t="s">
        <v>76</v>
      </c>
      <c r="B3052" s="148" t="s">
        <v>62</v>
      </c>
      <c r="C3052" s="148" t="s">
        <v>28</v>
      </c>
      <c r="D3052" s="148" t="s">
        <v>46</v>
      </c>
      <c r="E3052" s="148" t="s">
        <v>30</v>
      </c>
      <c r="F3052" s="148" t="s">
        <v>3183</v>
      </c>
      <c r="G3052" s="148" t="s">
        <v>46</v>
      </c>
      <c r="H3052" s="148">
        <v>2021</v>
      </c>
      <c r="I3052" s="148">
        <v>10</v>
      </c>
      <c r="J3052" s="148" t="s">
        <v>2488</v>
      </c>
      <c r="K3052" s="148" t="s">
        <v>2497</v>
      </c>
      <c r="M3052" s="148" t="s">
        <v>2498</v>
      </c>
      <c r="N3052" s="148">
        <v>5</v>
      </c>
      <c r="O3052" s="148" t="s">
        <v>2439</v>
      </c>
      <c r="Y3052" s="150" t="s">
        <v>2598</v>
      </c>
      <c r="Z3052" s="148" t="s">
        <v>2599</v>
      </c>
      <c r="AA3052" s="148" t="s">
        <v>543</v>
      </c>
    </row>
    <row r="3053" spans="1:27" ht="15.75" hidden="1" customHeight="1" x14ac:dyDescent="0.25">
      <c r="A3053" s="148" t="s">
        <v>307</v>
      </c>
      <c r="B3053" s="148" t="s">
        <v>54</v>
      </c>
      <c r="C3053" s="148" t="s">
        <v>55</v>
      </c>
      <c r="D3053" s="148" t="s">
        <v>2173</v>
      </c>
      <c r="E3053" s="148" t="s">
        <v>30</v>
      </c>
      <c r="F3053" s="148" t="s">
        <v>56</v>
      </c>
      <c r="G3053" s="148" t="s">
        <v>54</v>
      </c>
      <c r="H3053" s="148">
        <v>2021</v>
      </c>
      <c r="I3053" s="148">
        <v>10</v>
      </c>
      <c r="J3053" s="148" t="s">
        <v>308</v>
      </c>
      <c r="Q3053" s="148" t="s">
        <v>594</v>
      </c>
      <c r="R3053" s="148" t="s">
        <v>2600</v>
      </c>
      <c r="S3053" s="148" t="s">
        <v>427</v>
      </c>
      <c r="T3053" s="148" t="s">
        <v>2601</v>
      </c>
      <c r="Y3053" s="150" t="s">
        <v>2602</v>
      </c>
      <c r="Z3053" s="148" t="s">
        <v>2603</v>
      </c>
    </row>
    <row r="3054" spans="1:27" ht="15.75" hidden="1" customHeight="1" x14ac:dyDescent="0.25">
      <c r="A3054" s="148" t="s">
        <v>307</v>
      </c>
      <c r="B3054" s="148" t="s">
        <v>54</v>
      </c>
      <c r="C3054" s="148" t="s">
        <v>55</v>
      </c>
      <c r="D3054" s="148" t="s">
        <v>2173</v>
      </c>
      <c r="E3054" s="148" t="s">
        <v>30</v>
      </c>
      <c r="F3054" s="148" t="s">
        <v>56</v>
      </c>
      <c r="G3054" s="148" t="s">
        <v>54</v>
      </c>
      <c r="H3054" s="148">
        <v>2021</v>
      </c>
      <c r="I3054" s="148">
        <v>10</v>
      </c>
      <c r="J3054" s="148" t="s">
        <v>308</v>
      </c>
      <c r="Q3054" s="148" t="s">
        <v>2239</v>
      </c>
      <c r="R3054" s="148" t="s">
        <v>2604</v>
      </c>
      <c r="S3054" s="148" t="s">
        <v>427</v>
      </c>
      <c r="T3054" s="148" t="s">
        <v>2605</v>
      </c>
      <c r="Y3054" s="150" t="s">
        <v>2606</v>
      </c>
      <c r="Z3054" s="148" t="s">
        <v>2607</v>
      </c>
    </row>
    <row r="3055" spans="1:27" ht="15.75" hidden="1" customHeight="1" x14ac:dyDescent="0.25">
      <c r="A3055" s="148" t="s">
        <v>76</v>
      </c>
      <c r="B3055" s="148" t="s">
        <v>36</v>
      </c>
      <c r="C3055" s="148" t="s">
        <v>28</v>
      </c>
      <c r="D3055" s="148" t="s">
        <v>478</v>
      </c>
      <c r="E3055" s="148" t="s">
        <v>30</v>
      </c>
      <c r="F3055" s="148" t="s">
        <v>3183</v>
      </c>
      <c r="G3055" s="148" t="s">
        <v>59</v>
      </c>
      <c r="H3055" s="148">
        <v>2021</v>
      </c>
      <c r="I3055" s="148">
        <v>11</v>
      </c>
      <c r="J3055" s="148" t="s">
        <v>2438</v>
      </c>
      <c r="K3055" s="148" t="s">
        <v>1152</v>
      </c>
      <c r="M3055" s="148" t="s">
        <v>82</v>
      </c>
      <c r="N3055" s="148">
        <v>8</v>
      </c>
      <c r="O3055" s="148" t="s">
        <v>2439</v>
      </c>
      <c r="P3055" s="148" t="s">
        <v>2394</v>
      </c>
      <c r="Y3055" s="150" t="s">
        <v>2608</v>
      </c>
      <c r="AA3055" s="148" t="s">
        <v>543</v>
      </c>
    </row>
    <row r="3056" spans="1:27" ht="15.75" hidden="1" customHeight="1" x14ac:dyDescent="0.25">
      <c r="A3056" s="148" t="s">
        <v>76</v>
      </c>
      <c r="B3056" s="148" t="s">
        <v>27</v>
      </c>
      <c r="C3056" s="148" t="s">
        <v>28</v>
      </c>
      <c r="D3056" s="148" t="s">
        <v>1302</v>
      </c>
      <c r="E3056" s="148" t="s">
        <v>40</v>
      </c>
      <c r="F3056" s="148" t="s">
        <v>41</v>
      </c>
      <c r="G3056" s="148" t="s">
        <v>42</v>
      </c>
      <c r="H3056" s="148">
        <v>2021</v>
      </c>
      <c r="I3056" s="148">
        <v>11</v>
      </c>
      <c r="J3056" s="148" t="s">
        <v>2438</v>
      </c>
      <c r="M3056" s="148" t="s">
        <v>2609</v>
      </c>
      <c r="N3056" s="148">
        <v>6</v>
      </c>
      <c r="O3056" s="148" t="s">
        <v>2439</v>
      </c>
      <c r="S3056" s="148" t="s">
        <v>2610</v>
      </c>
      <c r="Y3056" s="150" t="s">
        <v>2611</v>
      </c>
      <c r="Z3056" s="148" t="s">
        <v>2612</v>
      </c>
    </row>
    <row r="3057" spans="1:27" ht="15.75" hidden="1" customHeight="1" x14ac:dyDescent="0.25">
      <c r="A3057" s="148" t="s">
        <v>76</v>
      </c>
      <c r="B3057" s="148" t="s">
        <v>54</v>
      </c>
      <c r="C3057" s="148" t="s">
        <v>55</v>
      </c>
      <c r="D3057" s="148" t="s">
        <v>2173</v>
      </c>
      <c r="E3057" s="148" t="s">
        <v>30</v>
      </c>
      <c r="F3057" s="148" t="s">
        <v>56</v>
      </c>
      <c r="G3057" s="148" t="s">
        <v>54</v>
      </c>
      <c r="H3057" s="148">
        <v>2021</v>
      </c>
      <c r="I3057" s="148">
        <v>11</v>
      </c>
      <c r="J3057" s="148" t="s">
        <v>2438</v>
      </c>
      <c r="K3057" s="148" t="s">
        <v>1152</v>
      </c>
      <c r="M3057" s="148" t="s">
        <v>82</v>
      </c>
      <c r="N3057" s="148">
        <v>8</v>
      </c>
      <c r="O3057" s="148" t="s">
        <v>2439</v>
      </c>
      <c r="P3057" s="148" t="s">
        <v>2178</v>
      </c>
      <c r="Y3057" s="150" t="s">
        <v>2613</v>
      </c>
      <c r="AA3057" s="148" t="s">
        <v>543</v>
      </c>
    </row>
    <row r="3058" spans="1:27" ht="15.75" hidden="1" customHeight="1" x14ac:dyDescent="0.25">
      <c r="A3058" s="148" t="s">
        <v>307</v>
      </c>
      <c r="B3058" s="148" t="s">
        <v>54</v>
      </c>
      <c r="C3058" s="148" t="s">
        <v>55</v>
      </c>
      <c r="D3058" s="148" t="s">
        <v>2173</v>
      </c>
      <c r="E3058" s="148" t="s">
        <v>30</v>
      </c>
      <c r="F3058" s="148" t="s">
        <v>56</v>
      </c>
      <c r="G3058" s="148" t="s">
        <v>54</v>
      </c>
      <c r="H3058" s="148">
        <v>2021</v>
      </c>
      <c r="I3058" s="148">
        <v>11</v>
      </c>
      <c r="J3058" s="148" t="s">
        <v>308</v>
      </c>
      <c r="Q3058" s="148" t="s">
        <v>2239</v>
      </c>
      <c r="R3058" s="148" t="s">
        <v>2614</v>
      </c>
      <c r="S3058" s="148" t="s">
        <v>885</v>
      </c>
      <c r="T3058" s="148" t="s">
        <v>2615</v>
      </c>
      <c r="Y3058" s="150" t="s">
        <v>2616</v>
      </c>
      <c r="Z3058" s="148" t="s">
        <v>2617</v>
      </c>
    </row>
    <row r="3059" spans="1:27" ht="15.75" hidden="1" customHeight="1" x14ac:dyDescent="0.25">
      <c r="A3059" s="148" t="s">
        <v>76</v>
      </c>
      <c r="B3059" s="148" t="s">
        <v>36</v>
      </c>
      <c r="C3059" s="148" t="s">
        <v>28</v>
      </c>
      <c r="D3059" s="148" t="s">
        <v>342</v>
      </c>
      <c r="E3059" s="148" t="s">
        <v>30</v>
      </c>
      <c r="F3059" s="148" t="s">
        <v>3183</v>
      </c>
      <c r="G3059" s="148" t="s">
        <v>114</v>
      </c>
      <c r="H3059" s="148">
        <v>2021</v>
      </c>
      <c r="I3059" s="148">
        <v>11</v>
      </c>
      <c r="J3059" s="148" t="s">
        <v>2438</v>
      </c>
      <c r="K3059" s="148" t="s">
        <v>2618</v>
      </c>
      <c r="M3059" s="148" t="s">
        <v>2619</v>
      </c>
      <c r="N3059" s="148">
        <v>6</v>
      </c>
      <c r="O3059" s="148" t="s">
        <v>2439</v>
      </c>
      <c r="P3059" s="148" t="s">
        <v>2620</v>
      </c>
      <c r="Y3059" s="150" t="s">
        <v>2621</v>
      </c>
      <c r="AA3059" s="148" t="s">
        <v>543</v>
      </c>
    </row>
    <row r="3060" spans="1:27" ht="15.75" hidden="1" customHeight="1" x14ac:dyDescent="0.25">
      <c r="A3060" s="148" t="s">
        <v>76</v>
      </c>
      <c r="B3060" s="148" t="s">
        <v>62</v>
      </c>
      <c r="C3060" s="148" t="s">
        <v>28</v>
      </c>
      <c r="D3060" s="148" t="s">
        <v>759</v>
      </c>
      <c r="E3060" s="148" t="s">
        <v>2622</v>
      </c>
      <c r="F3060" s="148" t="s">
        <v>3183</v>
      </c>
      <c r="G3060" s="148" t="s">
        <v>409</v>
      </c>
      <c r="H3060" s="148">
        <v>2021</v>
      </c>
      <c r="I3060" s="148">
        <v>12</v>
      </c>
      <c r="J3060" s="148" t="s">
        <v>2438</v>
      </c>
      <c r="K3060" s="148" t="s">
        <v>1152</v>
      </c>
      <c r="M3060" s="148" t="s">
        <v>82</v>
      </c>
      <c r="N3060" s="148">
        <v>8</v>
      </c>
      <c r="O3060" s="148" t="s">
        <v>2439</v>
      </c>
      <c r="P3060" s="148" t="s">
        <v>2623</v>
      </c>
      <c r="Y3060" s="150" t="s">
        <v>2624</v>
      </c>
      <c r="AA3060" s="148" t="s">
        <v>543</v>
      </c>
    </row>
    <row r="3061" spans="1:27" ht="15.75" hidden="1" customHeight="1" x14ac:dyDescent="0.25">
      <c r="A3061" s="148" t="s">
        <v>307</v>
      </c>
      <c r="B3061" s="148" t="s">
        <v>36</v>
      </c>
      <c r="C3061" s="148" t="s">
        <v>28</v>
      </c>
      <c r="D3061" s="148" t="s">
        <v>342</v>
      </c>
      <c r="E3061" s="148" t="s">
        <v>30</v>
      </c>
      <c r="F3061" s="148" t="s">
        <v>3183</v>
      </c>
      <c r="G3061" s="148" t="s">
        <v>114</v>
      </c>
      <c r="H3061" s="148">
        <v>2021</v>
      </c>
      <c r="I3061" s="148">
        <v>12</v>
      </c>
      <c r="J3061" s="148" t="s">
        <v>308</v>
      </c>
      <c r="Q3061" s="148" t="s">
        <v>426</v>
      </c>
      <c r="R3061" s="148" t="s">
        <v>2625</v>
      </c>
      <c r="S3061" s="148" t="s">
        <v>311</v>
      </c>
      <c r="T3061" s="148" t="s">
        <v>2626</v>
      </c>
      <c r="Y3061" s="150" t="s">
        <v>2627</v>
      </c>
    </row>
    <row r="3062" spans="1:27" ht="15.75" hidden="1" customHeight="1" x14ac:dyDescent="0.25">
      <c r="A3062" s="148" t="s">
        <v>76</v>
      </c>
      <c r="B3062" s="148" t="s">
        <v>103</v>
      </c>
      <c r="C3062" s="148" t="s">
        <v>55</v>
      </c>
      <c r="D3062" s="148" t="s">
        <v>478</v>
      </c>
      <c r="E3062" s="148" t="s">
        <v>95</v>
      </c>
      <c r="F3062" s="148" t="s">
        <v>56</v>
      </c>
      <c r="G3062" s="148" t="s">
        <v>111</v>
      </c>
      <c r="H3062" s="148">
        <v>2022</v>
      </c>
      <c r="I3062" s="148">
        <v>1</v>
      </c>
      <c r="J3062" s="148" t="s">
        <v>2438</v>
      </c>
      <c r="K3062" s="148" t="s">
        <v>1680</v>
      </c>
      <c r="M3062" s="148" t="s">
        <v>1318</v>
      </c>
      <c r="N3062" s="148">
        <v>5</v>
      </c>
      <c r="O3062" s="148" t="s">
        <v>2439</v>
      </c>
      <c r="P3062" s="148" t="s">
        <v>2628</v>
      </c>
      <c r="Y3062" s="150" t="s">
        <v>2629</v>
      </c>
      <c r="Z3062" s="148" t="s">
        <v>2630</v>
      </c>
      <c r="AA3062" s="148" t="s">
        <v>543</v>
      </c>
    </row>
    <row r="3063" spans="1:27" ht="15.75" hidden="1" customHeight="1" x14ac:dyDescent="0.25">
      <c r="A3063" s="148" t="s">
        <v>307</v>
      </c>
      <c r="B3063" s="148" t="s">
        <v>116</v>
      </c>
      <c r="C3063" s="148" t="s">
        <v>90</v>
      </c>
      <c r="D3063" s="148" t="s">
        <v>478</v>
      </c>
      <c r="E3063" s="148" t="s">
        <v>30</v>
      </c>
      <c r="F3063" s="148" t="s">
        <v>41</v>
      </c>
      <c r="G3063" s="148" t="s">
        <v>421</v>
      </c>
      <c r="H3063" s="148">
        <v>2022</v>
      </c>
      <c r="I3063" s="148">
        <v>1</v>
      </c>
      <c r="J3063" s="148" t="s">
        <v>399</v>
      </c>
      <c r="Q3063" s="148" t="s">
        <v>1848</v>
      </c>
      <c r="R3063" s="148" t="s">
        <v>2631</v>
      </c>
      <c r="S3063" s="148" t="s">
        <v>427</v>
      </c>
      <c r="T3063" s="148" t="s">
        <v>2632</v>
      </c>
      <c r="Y3063" s="150" t="s">
        <v>2633</v>
      </c>
      <c r="Z3063" s="148" t="s">
        <v>2634</v>
      </c>
    </row>
    <row r="3064" spans="1:27" ht="15.75" hidden="1" customHeight="1" x14ac:dyDescent="0.25">
      <c r="A3064" s="148" t="s">
        <v>76</v>
      </c>
      <c r="B3064" s="148" t="s">
        <v>71</v>
      </c>
      <c r="C3064" s="148" t="s">
        <v>45</v>
      </c>
      <c r="D3064" s="148" t="s">
        <v>478</v>
      </c>
      <c r="E3064" s="148" t="s">
        <v>72</v>
      </c>
      <c r="F3064" s="148" t="s">
        <v>3183</v>
      </c>
      <c r="G3064" s="148" t="s">
        <v>75</v>
      </c>
      <c r="H3064" s="148">
        <v>2022</v>
      </c>
      <c r="I3064" s="148">
        <v>1</v>
      </c>
      <c r="J3064" s="148" t="s">
        <v>2438</v>
      </c>
      <c r="K3064" s="148" t="s">
        <v>1333</v>
      </c>
      <c r="M3064" s="148" t="s">
        <v>1441</v>
      </c>
      <c r="N3064" s="148">
        <v>8</v>
      </c>
      <c r="O3064" s="148" t="s">
        <v>2439</v>
      </c>
      <c r="P3064" s="148" t="s">
        <v>2369</v>
      </c>
      <c r="T3064" s="148" t="s">
        <v>543</v>
      </c>
      <c r="Y3064" s="150" t="s">
        <v>2635</v>
      </c>
      <c r="Z3064" s="148" t="s">
        <v>543</v>
      </c>
    </row>
    <row r="3065" spans="1:27" ht="15.75" hidden="1" customHeight="1" x14ac:dyDescent="0.25">
      <c r="A3065" s="148" t="s">
        <v>76</v>
      </c>
      <c r="B3065" s="148" t="s">
        <v>116</v>
      </c>
      <c r="C3065" s="148" t="s">
        <v>90</v>
      </c>
      <c r="D3065" s="148" t="s">
        <v>478</v>
      </c>
      <c r="E3065" s="148" t="s">
        <v>30</v>
      </c>
      <c r="F3065" s="148" t="s">
        <v>41</v>
      </c>
      <c r="G3065" s="148" t="s">
        <v>756</v>
      </c>
      <c r="H3065" s="148">
        <v>2022</v>
      </c>
      <c r="I3065" s="148">
        <v>1</v>
      </c>
      <c r="J3065" s="148" t="s">
        <v>2438</v>
      </c>
      <c r="K3065" s="148" t="s">
        <v>1152</v>
      </c>
      <c r="M3065" s="148" t="s">
        <v>82</v>
      </c>
      <c r="N3065" s="148">
        <v>8</v>
      </c>
      <c r="O3065" s="148" t="s">
        <v>2439</v>
      </c>
      <c r="P3065" s="148" t="s">
        <v>2636</v>
      </c>
      <c r="Y3065" s="150" t="s">
        <v>2637</v>
      </c>
      <c r="Z3065" s="148" t="s">
        <v>543</v>
      </c>
    </row>
    <row r="3066" spans="1:27" ht="15.75" hidden="1" customHeight="1" x14ac:dyDescent="0.25">
      <c r="A3066" s="148" t="s">
        <v>76</v>
      </c>
      <c r="B3066" s="148" t="s">
        <v>103</v>
      </c>
      <c r="C3066" s="148" t="s">
        <v>55</v>
      </c>
      <c r="D3066" s="148" t="s">
        <v>478</v>
      </c>
      <c r="E3066" s="148" t="s">
        <v>95</v>
      </c>
      <c r="F3066" s="148" t="s">
        <v>56</v>
      </c>
      <c r="G3066" s="148" t="s">
        <v>108</v>
      </c>
      <c r="H3066" s="148">
        <v>2022</v>
      </c>
      <c r="I3066" s="148">
        <v>1</v>
      </c>
      <c r="J3066" s="148" t="s">
        <v>2438</v>
      </c>
      <c r="K3066" s="148" t="s">
        <v>1680</v>
      </c>
      <c r="M3066" s="148" t="s">
        <v>1318</v>
      </c>
      <c r="N3066" s="148">
        <v>5</v>
      </c>
      <c r="O3066" s="148" t="s">
        <v>2439</v>
      </c>
      <c r="P3066" s="148" t="s">
        <v>2638</v>
      </c>
      <c r="Y3066" s="150" t="s">
        <v>2639</v>
      </c>
      <c r="Z3066" s="148" t="s">
        <v>2640</v>
      </c>
      <c r="AA3066" s="148" t="s">
        <v>543</v>
      </c>
    </row>
    <row r="3067" spans="1:27" ht="15.75" hidden="1" customHeight="1" x14ac:dyDescent="0.25">
      <c r="A3067" s="148" t="s">
        <v>76</v>
      </c>
      <c r="B3067" s="148" t="s">
        <v>36</v>
      </c>
      <c r="C3067" s="148" t="s">
        <v>2430</v>
      </c>
      <c r="D3067" s="148" t="s">
        <v>342</v>
      </c>
      <c r="E3067" s="148" t="s">
        <v>30</v>
      </c>
      <c r="F3067" s="148" t="s">
        <v>3183</v>
      </c>
      <c r="G3067" s="148" t="s">
        <v>438</v>
      </c>
      <c r="H3067" s="148">
        <v>2022</v>
      </c>
      <c r="I3067" s="148">
        <v>3</v>
      </c>
      <c r="J3067" s="148" t="s">
        <v>2438</v>
      </c>
      <c r="K3067" s="148" t="s">
        <v>2641</v>
      </c>
      <c r="M3067" s="148" t="s">
        <v>1519</v>
      </c>
      <c r="N3067" s="148">
        <v>8</v>
      </c>
      <c r="O3067" s="148" t="s">
        <v>2439</v>
      </c>
      <c r="P3067" s="148" t="s">
        <v>2642</v>
      </c>
      <c r="Y3067" s="150" t="s">
        <v>2643</v>
      </c>
    </row>
    <row r="3068" spans="1:27" ht="15.75" hidden="1" customHeight="1" x14ac:dyDescent="0.25">
      <c r="A3068" s="148" t="s">
        <v>76</v>
      </c>
      <c r="B3068" s="148" t="s">
        <v>89</v>
      </c>
      <c r="C3068" s="148" t="s">
        <v>90</v>
      </c>
      <c r="D3068" s="148" t="s">
        <v>478</v>
      </c>
      <c r="E3068" s="148" t="s">
        <v>30</v>
      </c>
      <c r="F3068" s="148" t="s">
        <v>91</v>
      </c>
      <c r="G3068" s="148" t="s">
        <v>92</v>
      </c>
      <c r="H3068" s="148">
        <v>2022</v>
      </c>
      <c r="I3068" s="148">
        <v>3</v>
      </c>
      <c r="J3068" s="148" t="s">
        <v>2438</v>
      </c>
      <c r="K3068" s="148" t="s">
        <v>1152</v>
      </c>
      <c r="M3068" s="148" t="s">
        <v>82</v>
      </c>
      <c r="N3068" s="148">
        <v>8</v>
      </c>
      <c r="O3068" s="148" t="s">
        <v>2439</v>
      </c>
      <c r="P3068" s="148" t="s">
        <v>2644</v>
      </c>
      <c r="Y3068" s="150" t="s">
        <v>2645</v>
      </c>
      <c r="Z3068" s="148" t="s">
        <v>543</v>
      </c>
    </row>
    <row r="3069" spans="1:27" ht="15.75" hidden="1" customHeight="1" x14ac:dyDescent="0.25">
      <c r="A3069" s="148" t="s">
        <v>76</v>
      </c>
      <c r="B3069" s="148" t="s">
        <v>36</v>
      </c>
      <c r="C3069" s="148" t="s">
        <v>28</v>
      </c>
      <c r="D3069" s="148" t="s">
        <v>342</v>
      </c>
      <c r="E3069" s="148" t="s">
        <v>51</v>
      </c>
      <c r="F3069" s="148" t="s">
        <v>3183</v>
      </c>
      <c r="G3069" s="148" t="s">
        <v>52</v>
      </c>
      <c r="H3069" s="148">
        <v>2022</v>
      </c>
      <c r="I3069" s="148">
        <v>3</v>
      </c>
      <c r="J3069" s="148" t="s">
        <v>2438</v>
      </c>
      <c r="K3069" s="148" t="s">
        <v>2646</v>
      </c>
      <c r="M3069" s="148" t="s">
        <v>2647</v>
      </c>
      <c r="N3069" s="148">
        <v>8</v>
      </c>
      <c r="O3069" s="148" t="s">
        <v>2439</v>
      </c>
      <c r="P3069" s="148" t="s">
        <v>2648</v>
      </c>
      <c r="Y3069" s="150" t="s">
        <v>2649</v>
      </c>
    </row>
    <row r="3070" spans="1:27" ht="15" hidden="1" customHeight="1" x14ac:dyDescent="0.25">
      <c r="A3070" s="148" t="s">
        <v>76</v>
      </c>
      <c r="B3070" s="148" t="s">
        <v>77</v>
      </c>
      <c r="C3070" s="148" t="s">
        <v>55</v>
      </c>
      <c r="D3070" s="148" t="s">
        <v>99</v>
      </c>
      <c r="E3070" s="148" t="s">
        <v>30</v>
      </c>
      <c r="F3070" s="148" t="s">
        <v>41</v>
      </c>
      <c r="G3070" s="148" t="s">
        <v>252</v>
      </c>
      <c r="H3070" s="148">
        <v>2022</v>
      </c>
      <c r="I3070" s="148">
        <v>3</v>
      </c>
      <c r="J3070" s="148" t="s">
        <v>2438</v>
      </c>
      <c r="K3070" s="148" t="s">
        <v>1152</v>
      </c>
      <c r="M3070" s="148" t="s">
        <v>82</v>
      </c>
      <c r="N3070" s="148">
        <v>8</v>
      </c>
      <c r="O3070" s="148" t="s">
        <v>2439</v>
      </c>
      <c r="P3070" s="148" t="s">
        <v>2650</v>
      </c>
      <c r="Y3070" s="150" t="s">
        <v>2651</v>
      </c>
    </row>
    <row r="3071" spans="1:27" ht="15.75" hidden="1" customHeight="1" x14ac:dyDescent="0.25">
      <c r="A3071" s="148" t="s">
        <v>76</v>
      </c>
      <c r="B3071" s="148" t="s">
        <v>116</v>
      </c>
      <c r="C3071" s="148" t="s">
        <v>90</v>
      </c>
      <c r="D3071" s="148" t="s">
        <v>478</v>
      </c>
      <c r="E3071" s="148" t="s">
        <v>30</v>
      </c>
      <c r="F3071" s="148" t="s">
        <v>41</v>
      </c>
      <c r="G3071" s="148" t="s">
        <v>421</v>
      </c>
      <c r="H3071" s="148">
        <v>2022</v>
      </c>
      <c r="I3071" s="148">
        <v>4</v>
      </c>
      <c r="J3071" s="148" t="s">
        <v>150</v>
      </c>
      <c r="K3071" s="148" t="s">
        <v>1152</v>
      </c>
      <c r="M3071" s="148" t="s">
        <v>82</v>
      </c>
      <c r="N3071" s="148">
        <v>8</v>
      </c>
      <c r="O3071" s="148" t="s">
        <v>83</v>
      </c>
      <c r="P3071" s="148" t="s">
        <v>2652</v>
      </c>
      <c r="Y3071" s="150" t="s">
        <v>2653</v>
      </c>
    </row>
    <row r="3072" spans="1:27" ht="15.75" hidden="1" customHeight="1" x14ac:dyDescent="0.25">
      <c r="A3072" s="148" t="s">
        <v>76</v>
      </c>
      <c r="B3072" s="148" t="s">
        <v>77</v>
      </c>
      <c r="C3072" s="148" t="s">
        <v>55</v>
      </c>
      <c r="D3072" s="148" t="s">
        <v>478</v>
      </c>
      <c r="E3072" s="148" t="s">
        <v>30</v>
      </c>
      <c r="F3072" s="148" t="s">
        <v>41</v>
      </c>
      <c r="G3072" s="148" t="s">
        <v>159</v>
      </c>
      <c r="H3072" s="148">
        <v>2022</v>
      </c>
      <c r="I3072" s="148">
        <v>4</v>
      </c>
      <c r="J3072" s="148" t="s">
        <v>150</v>
      </c>
      <c r="K3072" s="148" t="s">
        <v>1152</v>
      </c>
      <c r="M3072" s="148" t="s">
        <v>82</v>
      </c>
      <c r="N3072" s="148">
        <v>8</v>
      </c>
      <c r="O3072" s="148" t="s">
        <v>83</v>
      </c>
      <c r="P3072" s="148" t="s">
        <v>2654</v>
      </c>
      <c r="Y3072" s="150" t="s">
        <v>2655</v>
      </c>
      <c r="Z3072" s="148" t="s">
        <v>543</v>
      </c>
    </row>
    <row r="3073" spans="1:26" ht="15.75" hidden="1" customHeight="1" x14ac:dyDescent="0.25">
      <c r="A3073" s="148" t="s">
        <v>76</v>
      </c>
      <c r="B3073" s="148" t="s">
        <v>89</v>
      </c>
      <c r="C3073" s="148" t="s">
        <v>90</v>
      </c>
      <c r="D3073" s="148" t="s">
        <v>342</v>
      </c>
      <c r="E3073" s="148" t="s">
        <v>30</v>
      </c>
      <c r="F3073" s="148" t="s">
        <v>91</v>
      </c>
      <c r="G3073" s="148" t="s">
        <v>411</v>
      </c>
      <c r="H3073" s="148">
        <v>2022</v>
      </c>
      <c r="I3073" s="148">
        <v>4</v>
      </c>
      <c r="J3073" s="148" t="s">
        <v>2438</v>
      </c>
      <c r="K3073" s="148" t="s">
        <v>1152</v>
      </c>
      <c r="M3073" s="148" t="s">
        <v>82</v>
      </c>
      <c r="N3073" s="148">
        <v>8</v>
      </c>
      <c r="O3073" s="148" t="s">
        <v>2439</v>
      </c>
      <c r="P3073" s="148" t="s">
        <v>2656</v>
      </c>
      <c r="Y3073" s="150" t="s">
        <v>2657</v>
      </c>
      <c r="Z3073" s="148" t="s">
        <v>543</v>
      </c>
    </row>
    <row r="3074" spans="1:26" ht="15.75" hidden="1" customHeight="1" x14ac:dyDescent="0.25">
      <c r="A3074" s="148" t="s">
        <v>76</v>
      </c>
      <c r="B3074" s="148" t="s">
        <v>116</v>
      </c>
      <c r="C3074" s="148" t="s">
        <v>90</v>
      </c>
      <c r="D3074" s="148" t="s">
        <v>99</v>
      </c>
      <c r="E3074" s="148" t="s">
        <v>30</v>
      </c>
      <c r="F3074" s="148" t="s">
        <v>41</v>
      </c>
      <c r="G3074" s="148" t="s">
        <v>784</v>
      </c>
      <c r="H3074" s="148">
        <v>2022</v>
      </c>
      <c r="I3074" s="148">
        <v>4</v>
      </c>
      <c r="J3074" s="148" t="s">
        <v>150</v>
      </c>
      <c r="K3074" s="148" t="s">
        <v>1152</v>
      </c>
      <c r="M3074" s="148" t="s">
        <v>82</v>
      </c>
      <c r="N3074" s="148">
        <v>8</v>
      </c>
      <c r="O3074" s="148" t="s">
        <v>83</v>
      </c>
      <c r="P3074" s="148" t="s">
        <v>2658</v>
      </c>
      <c r="V3074" s="148" t="s">
        <v>543</v>
      </c>
      <c r="W3074" s="148" t="s">
        <v>543</v>
      </c>
      <c r="X3074" s="148" t="s">
        <v>543</v>
      </c>
      <c r="Y3074" s="150" t="s">
        <v>2659</v>
      </c>
    </row>
    <row r="3075" spans="1:26" ht="13.5" hidden="1" customHeight="1" x14ac:dyDescent="0.25">
      <c r="A3075" s="148" t="s">
        <v>76</v>
      </c>
      <c r="B3075" s="148" t="s">
        <v>77</v>
      </c>
      <c r="C3075" s="148" t="s">
        <v>55</v>
      </c>
      <c r="D3075" s="148" t="s">
        <v>99</v>
      </c>
      <c r="E3075" s="148" t="s">
        <v>30</v>
      </c>
      <c r="F3075" s="148" t="s">
        <v>41</v>
      </c>
      <c r="G3075" s="148" t="s">
        <v>252</v>
      </c>
      <c r="H3075" s="148">
        <v>2022</v>
      </c>
      <c r="I3075" s="148">
        <v>4</v>
      </c>
      <c r="J3075" s="148" t="s">
        <v>150</v>
      </c>
      <c r="K3075" s="148" t="s">
        <v>1152</v>
      </c>
      <c r="M3075" s="148" t="s">
        <v>82</v>
      </c>
      <c r="N3075" s="148">
        <v>8</v>
      </c>
      <c r="O3075" s="148" t="s">
        <v>83</v>
      </c>
      <c r="P3075" s="148" t="s">
        <v>2660</v>
      </c>
      <c r="Y3075" s="150" t="s">
        <v>2661</v>
      </c>
    </row>
    <row r="3076" spans="1:26" ht="15.75" hidden="1" customHeight="1" x14ac:dyDescent="0.25">
      <c r="A3076" s="148" t="s">
        <v>76</v>
      </c>
      <c r="B3076" s="148" t="s">
        <v>44</v>
      </c>
      <c r="C3076" s="148" t="s">
        <v>45</v>
      </c>
      <c r="D3076" s="148" t="s">
        <v>29</v>
      </c>
      <c r="E3076" s="148" t="s">
        <v>46</v>
      </c>
      <c r="F3076" s="148" t="s">
        <v>47</v>
      </c>
      <c r="G3076" s="148" t="s">
        <v>48</v>
      </c>
      <c r="H3076" s="148">
        <v>2022</v>
      </c>
      <c r="I3076" s="148">
        <v>4</v>
      </c>
      <c r="J3076" s="148" t="s">
        <v>2438</v>
      </c>
      <c r="K3076" s="148" t="s">
        <v>1152</v>
      </c>
      <c r="M3076" s="148" t="s">
        <v>82</v>
      </c>
      <c r="N3076" s="148">
        <v>8</v>
      </c>
      <c r="O3076" s="148" t="s">
        <v>2439</v>
      </c>
      <c r="P3076" s="148" t="s">
        <v>2662</v>
      </c>
      <c r="Y3076" s="150" t="s">
        <v>2663</v>
      </c>
    </row>
    <row r="3077" spans="1:26" ht="15.75" hidden="1" customHeight="1" x14ac:dyDescent="0.25">
      <c r="A3077" s="148" t="s">
        <v>76</v>
      </c>
      <c r="B3077" s="148" t="s">
        <v>36</v>
      </c>
      <c r="C3077" s="148" t="s">
        <v>2430</v>
      </c>
      <c r="D3077" s="148" t="s">
        <v>342</v>
      </c>
      <c r="E3077" s="148" t="s">
        <v>30</v>
      </c>
      <c r="F3077" s="148" t="s">
        <v>3183</v>
      </c>
      <c r="G3077" s="148" t="s">
        <v>114</v>
      </c>
      <c r="H3077" s="148">
        <v>2022</v>
      </c>
      <c r="I3077" s="148">
        <v>4</v>
      </c>
      <c r="J3077" s="148" t="s">
        <v>150</v>
      </c>
      <c r="K3077" s="148" t="s">
        <v>1152</v>
      </c>
      <c r="M3077" s="148" t="s">
        <v>82</v>
      </c>
      <c r="N3077" s="148">
        <v>8</v>
      </c>
      <c r="O3077" s="148" t="s">
        <v>83</v>
      </c>
      <c r="P3077" s="148" t="s">
        <v>2664</v>
      </c>
      <c r="Y3077" s="150" t="s">
        <v>2665</v>
      </c>
      <c r="Z3077" s="148" t="s">
        <v>2666</v>
      </c>
    </row>
    <row r="3078" spans="1:26" ht="15.75" hidden="1" customHeight="1" x14ac:dyDescent="0.25">
      <c r="A3078" s="148" t="s">
        <v>76</v>
      </c>
      <c r="B3078" s="148" t="s">
        <v>89</v>
      </c>
      <c r="C3078" s="148" t="s">
        <v>90</v>
      </c>
      <c r="D3078" s="148" t="s">
        <v>342</v>
      </c>
      <c r="E3078" s="148" t="s">
        <v>30</v>
      </c>
      <c r="F3078" s="148" t="s">
        <v>91</v>
      </c>
      <c r="G3078" s="148" t="s">
        <v>1859</v>
      </c>
      <c r="H3078" s="148">
        <v>2022</v>
      </c>
      <c r="I3078" s="148">
        <v>5</v>
      </c>
      <c r="J3078" s="148" t="s">
        <v>2488</v>
      </c>
      <c r="K3078" s="148" t="s">
        <v>2646</v>
      </c>
      <c r="M3078" s="148" t="s">
        <v>2647</v>
      </c>
      <c r="N3078" s="148">
        <v>8</v>
      </c>
      <c r="O3078" s="148" t="s">
        <v>2439</v>
      </c>
      <c r="P3078" s="148" t="s">
        <v>2667</v>
      </c>
      <c r="Y3078" s="150" t="s">
        <v>2668</v>
      </c>
      <c r="Z3078" s="148" t="s">
        <v>2669</v>
      </c>
    </row>
    <row r="3079" spans="1:26" ht="15" hidden="1" customHeight="1" x14ac:dyDescent="0.25">
      <c r="A3079" s="148" t="s">
        <v>307</v>
      </c>
      <c r="B3079" s="148" t="s">
        <v>54</v>
      </c>
      <c r="C3079" s="148" t="s">
        <v>55</v>
      </c>
      <c r="D3079" s="148" t="s">
        <v>2173</v>
      </c>
      <c r="E3079" s="148" t="s">
        <v>30</v>
      </c>
      <c r="F3079" s="148" t="s">
        <v>56</v>
      </c>
      <c r="G3079" s="148" t="s">
        <v>54</v>
      </c>
      <c r="H3079" s="148">
        <v>2022</v>
      </c>
      <c r="I3079" s="148">
        <v>5</v>
      </c>
      <c r="J3079" s="148" t="s">
        <v>308</v>
      </c>
      <c r="Q3079" s="148" t="s">
        <v>2239</v>
      </c>
      <c r="R3079" s="148" t="s">
        <v>2670</v>
      </c>
      <c r="S3079" s="148" t="s">
        <v>885</v>
      </c>
      <c r="T3079" s="148" t="s">
        <v>2671</v>
      </c>
      <c r="Y3079" s="150" t="s">
        <v>2672</v>
      </c>
      <c r="Z3079" s="148" t="s">
        <v>2507</v>
      </c>
    </row>
    <row r="3080" spans="1:26" ht="15.75" hidden="1" customHeight="1" x14ac:dyDescent="0.25">
      <c r="A3080" s="148" t="s">
        <v>76</v>
      </c>
      <c r="B3080" s="148" t="s">
        <v>89</v>
      </c>
      <c r="C3080" s="148" t="s">
        <v>90</v>
      </c>
      <c r="D3080" s="148" t="s">
        <v>158</v>
      </c>
      <c r="E3080" s="148" t="s">
        <v>30</v>
      </c>
      <c r="F3080" s="148" t="s">
        <v>91</v>
      </c>
      <c r="G3080" s="148" t="s">
        <v>93</v>
      </c>
      <c r="H3080" s="148">
        <v>2022</v>
      </c>
      <c r="I3080" s="148">
        <v>5</v>
      </c>
      <c r="J3080" s="148" t="s">
        <v>2438</v>
      </c>
      <c r="K3080" s="148" t="s">
        <v>1152</v>
      </c>
      <c r="M3080" s="148" t="s">
        <v>82</v>
      </c>
      <c r="N3080" s="148">
        <v>8</v>
      </c>
      <c r="O3080" s="148" t="s">
        <v>2439</v>
      </c>
      <c r="P3080" s="148" t="s">
        <v>2673</v>
      </c>
      <c r="Y3080" s="150" t="s">
        <v>2674</v>
      </c>
    </row>
    <row r="3081" spans="1:26" ht="13.5" hidden="1" customHeight="1" x14ac:dyDescent="0.25">
      <c r="A3081" s="148" t="s">
        <v>76</v>
      </c>
      <c r="B3081" s="148" t="s">
        <v>36</v>
      </c>
      <c r="C3081" s="148" t="s">
        <v>28</v>
      </c>
      <c r="D3081" s="148" t="s">
        <v>478</v>
      </c>
      <c r="E3081" s="148" t="s">
        <v>30</v>
      </c>
      <c r="F3081" s="148" t="s">
        <v>3183</v>
      </c>
      <c r="G3081" s="148" t="s">
        <v>888</v>
      </c>
      <c r="H3081" s="148">
        <v>2022</v>
      </c>
      <c r="I3081" s="148">
        <v>6</v>
      </c>
      <c r="J3081" s="148" t="s">
        <v>2488</v>
      </c>
      <c r="K3081" s="148" t="s">
        <v>1152</v>
      </c>
      <c r="M3081" s="148" t="s">
        <v>82</v>
      </c>
      <c r="N3081" s="148">
        <v>8</v>
      </c>
      <c r="O3081" s="148" t="s">
        <v>2439</v>
      </c>
      <c r="P3081" s="148" t="s">
        <v>2675</v>
      </c>
      <c r="Y3081" s="150" t="s">
        <v>2676</v>
      </c>
      <c r="Z3081" s="148" t="s">
        <v>2677</v>
      </c>
    </row>
    <row r="3082" spans="1:26" ht="15.75" hidden="1" customHeight="1" x14ac:dyDescent="0.25">
      <c r="A3082" s="148" t="s">
        <v>76</v>
      </c>
      <c r="B3082" s="148" t="s">
        <v>36</v>
      </c>
      <c r="C3082" s="148" t="s">
        <v>28</v>
      </c>
      <c r="D3082" s="148" t="s">
        <v>29</v>
      </c>
      <c r="E3082" s="148" t="s">
        <v>30</v>
      </c>
      <c r="F3082" s="148" t="s">
        <v>3183</v>
      </c>
      <c r="G3082" s="148" t="s">
        <v>722</v>
      </c>
      <c r="H3082" s="148">
        <v>2022</v>
      </c>
      <c r="I3082" s="148">
        <v>6</v>
      </c>
      <c r="J3082" s="148" t="s">
        <v>80</v>
      </c>
      <c r="K3082" s="148" t="s">
        <v>1152</v>
      </c>
      <c r="M3082" s="148" t="s">
        <v>82</v>
      </c>
      <c r="N3082" s="148">
        <v>8</v>
      </c>
      <c r="O3082" s="148" t="s">
        <v>83</v>
      </c>
      <c r="P3082" s="148" t="s">
        <v>2678</v>
      </c>
      <c r="Y3082" s="150" t="s">
        <v>2679</v>
      </c>
      <c r="Z3082" s="148" t="s">
        <v>2194</v>
      </c>
    </row>
    <row r="3083" spans="1:26" ht="15.75" hidden="1" customHeight="1" x14ac:dyDescent="0.25">
      <c r="A3083" s="148" t="s">
        <v>76</v>
      </c>
      <c r="B3083" s="148" t="s">
        <v>27</v>
      </c>
      <c r="C3083" s="148" t="s">
        <v>28</v>
      </c>
      <c r="D3083" s="148" t="s">
        <v>1302</v>
      </c>
      <c r="E3083" s="148" t="s">
        <v>40</v>
      </c>
      <c r="F3083" s="148" t="s">
        <v>41</v>
      </c>
      <c r="G3083" s="148" t="s">
        <v>42</v>
      </c>
      <c r="H3083" s="148">
        <v>2022</v>
      </c>
      <c r="I3083" s="148">
        <v>6</v>
      </c>
      <c r="J3083" s="148" t="s">
        <v>118</v>
      </c>
      <c r="K3083" s="148" t="s">
        <v>2680</v>
      </c>
      <c r="M3083" s="148" t="s">
        <v>126</v>
      </c>
      <c r="N3083" s="148">
        <v>10</v>
      </c>
      <c r="O3083" s="148" t="s">
        <v>101</v>
      </c>
      <c r="P3083" s="148" t="s">
        <v>2681</v>
      </c>
      <c r="Y3083" s="150" t="s">
        <v>2682</v>
      </c>
      <c r="Z3083" s="148" t="s">
        <v>543</v>
      </c>
    </row>
    <row r="3084" spans="1:26" ht="13.5" customHeight="1" x14ac:dyDescent="0.25">
      <c r="A3084" s="148" t="s">
        <v>76</v>
      </c>
      <c r="B3084" s="148" t="s">
        <v>36</v>
      </c>
      <c r="C3084" s="148" t="s">
        <v>28</v>
      </c>
      <c r="D3084" s="148" t="s">
        <v>1304</v>
      </c>
      <c r="E3084" s="148" t="s">
        <v>30</v>
      </c>
      <c r="F3084" s="148" t="s">
        <v>3183</v>
      </c>
      <c r="G3084" s="148" t="s">
        <v>194</v>
      </c>
      <c r="H3084" s="148">
        <v>2022</v>
      </c>
      <c r="I3084" s="148">
        <v>6</v>
      </c>
      <c r="J3084" s="148" t="s">
        <v>150</v>
      </c>
      <c r="K3084" s="148" t="s">
        <v>1152</v>
      </c>
      <c r="M3084" s="148" t="s">
        <v>82</v>
      </c>
      <c r="N3084" s="148">
        <v>8</v>
      </c>
      <c r="O3084" s="148" t="s">
        <v>83</v>
      </c>
      <c r="P3084" s="148" t="s">
        <v>2683</v>
      </c>
      <c r="Y3084" s="150" t="s">
        <v>2684</v>
      </c>
      <c r="Z3084" s="148" t="s">
        <v>2685</v>
      </c>
    </row>
    <row r="3085" spans="1:26" ht="15.75" hidden="1" customHeight="1" x14ac:dyDescent="0.25">
      <c r="A3085" s="148" t="s">
        <v>76</v>
      </c>
      <c r="B3085" s="148" t="s">
        <v>62</v>
      </c>
      <c r="C3085" s="148" t="s">
        <v>28</v>
      </c>
      <c r="D3085" s="148" t="s">
        <v>86</v>
      </c>
      <c r="E3085" s="148" t="s">
        <v>51</v>
      </c>
      <c r="F3085" s="148" t="s">
        <v>3183</v>
      </c>
      <c r="G3085" s="148" t="s">
        <v>130</v>
      </c>
      <c r="H3085" s="148">
        <v>2022</v>
      </c>
      <c r="I3085" s="148">
        <v>6</v>
      </c>
      <c r="J3085" s="148" t="s">
        <v>640</v>
      </c>
      <c r="K3085" s="148" t="s">
        <v>1152</v>
      </c>
      <c r="M3085" s="148" t="s">
        <v>82</v>
      </c>
      <c r="N3085" s="148">
        <v>8</v>
      </c>
      <c r="O3085" s="148" t="s">
        <v>83</v>
      </c>
      <c r="P3085" s="148" t="s">
        <v>3100</v>
      </c>
      <c r="Y3085" s="150" t="s">
        <v>3101</v>
      </c>
    </row>
    <row r="3086" spans="1:26" ht="13.5" hidden="1" customHeight="1" x14ac:dyDescent="0.25">
      <c r="A3086" s="148" t="s">
        <v>76</v>
      </c>
      <c r="B3086" s="148" t="s">
        <v>44</v>
      </c>
      <c r="C3086" s="148" t="s">
        <v>45</v>
      </c>
      <c r="D3086" s="148" t="s">
        <v>29</v>
      </c>
      <c r="E3086" s="148" t="s">
        <v>46</v>
      </c>
      <c r="F3086" s="148" t="s">
        <v>47</v>
      </c>
      <c r="G3086" s="148" t="s">
        <v>48</v>
      </c>
      <c r="H3086" s="148">
        <v>2022</v>
      </c>
      <c r="I3086" s="148">
        <v>6</v>
      </c>
      <c r="J3086" s="148" t="s">
        <v>640</v>
      </c>
      <c r="K3086" s="148" t="s">
        <v>1152</v>
      </c>
      <c r="M3086" s="148" t="s">
        <v>82</v>
      </c>
      <c r="N3086" s="148">
        <v>8</v>
      </c>
      <c r="O3086" s="148" t="s">
        <v>83</v>
      </c>
      <c r="P3086" s="148" t="s">
        <v>2199</v>
      </c>
      <c r="Y3086" s="150" t="s">
        <v>2686</v>
      </c>
      <c r="Z3086" s="148" t="s">
        <v>2687</v>
      </c>
    </row>
    <row r="3087" spans="1:26" ht="13.5" hidden="1" customHeight="1" x14ac:dyDescent="0.25">
      <c r="A3087" s="148" t="s">
        <v>76</v>
      </c>
      <c r="B3087" s="148" t="s">
        <v>89</v>
      </c>
      <c r="C3087" s="148" t="s">
        <v>90</v>
      </c>
      <c r="D3087" s="148" t="s">
        <v>342</v>
      </c>
      <c r="E3087" s="148" t="s">
        <v>30</v>
      </c>
      <c r="F3087" s="148" t="s">
        <v>91</v>
      </c>
      <c r="G3087" s="148" t="s">
        <v>1859</v>
      </c>
      <c r="H3087" s="148">
        <v>2022</v>
      </c>
      <c r="I3087" s="148">
        <v>7</v>
      </c>
      <c r="J3087" s="148" t="s">
        <v>2488</v>
      </c>
      <c r="K3087" s="148" t="s">
        <v>1152</v>
      </c>
      <c r="M3087" s="148" t="s">
        <v>82</v>
      </c>
      <c r="N3087" s="148">
        <v>8</v>
      </c>
      <c r="O3087" s="148" t="s">
        <v>2439</v>
      </c>
      <c r="P3087" s="148" t="s">
        <v>2688</v>
      </c>
      <c r="T3087" s="148" t="s">
        <v>2689</v>
      </c>
      <c r="Y3087" s="150" t="s">
        <v>2690</v>
      </c>
    </row>
    <row r="3088" spans="1:26" ht="13.5" hidden="1" customHeight="1" x14ac:dyDescent="0.25">
      <c r="A3088" s="148" t="s">
        <v>307</v>
      </c>
      <c r="B3088" s="148" t="s">
        <v>36</v>
      </c>
      <c r="C3088" s="148" t="s">
        <v>28</v>
      </c>
      <c r="D3088" s="148" t="s">
        <v>342</v>
      </c>
      <c r="E3088" s="148" t="s">
        <v>30</v>
      </c>
      <c r="F3088" s="148" t="s">
        <v>3183</v>
      </c>
      <c r="G3088" s="148" t="s">
        <v>242</v>
      </c>
      <c r="H3088" s="148">
        <v>2022</v>
      </c>
      <c r="I3088" s="148">
        <v>7</v>
      </c>
      <c r="J3088" s="148" t="s">
        <v>308</v>
      </c>
      <c r="Q3088" s="148" t="s">
        <v>426</v>
      </c>
      <c r="R3088" s="148" t="s">
        <v>2691</v>
      </c>
      <c r="S3088" s="148" t="s">
        <v>311</v>
      </c>
      <c r="Y3088" s="150" t="s">
        <v>2692</v>
      </c>
    </row>
    <row r="3089" spans="1:27" ht="15.75" hidden="1" customHeight="1" x14ac:dyDescent="0.25">
      <c r="A3089" s="148" t="s">
        <v>307</v>
      </c>
      <c r="B3089" s="148" t="s">
        <v>27</v>
      </c>
      <c r="C3089" s="148" t="s">
        <v>28</v>
      </c>
      <c r="D3089" s="148" t="s">
        <v>1302</v>
      </c>
      <c r="E3089" s="148" t="s">
        <v>40</v>
      </c>
      <c r="F3089" s="148" t="s">
        <v>41</v>
      </c>
      <c r="G3089" s="148" t="s">
        <v>42</v>
      </c>
      <c r="H3089" s="148">
        <v>2022</v>
      </c>
      <c r="I3089" s="148">
        <v>7</v>
      </c>
      <c r="J3089" s="148" t="s">
        <v>308</v>
      </c>
      <c r="Q3089" s="148" t="s">
        <v>594</v>
      </c>
      <c r="R3089" s="148" t="s">
        <v>2421</v>
      </c>
      <c r="S3089" s="148" t="s">
        <v>427</v>
      </c>
      <c r="T3089" s="148" t="s">
        <v>2693</v>
      </c>
      <c r="Y3089" s="150" t="s">
        <v>2694</v>
      </c>
    </row>
    <row r="3090" spans="1:27" ht="13.5" hidden="1" customHeight="1" x14ac:dyDescent="0.25">
      <c r="A3090" s="148" t="s">
        <v>76</v>
      </c>
      <c r="B3090" s="148" t="s">
        <v>44</v>
      </c>
      <c r="C3090" s="148" t="s">
        <v>45</v>
      </c>
      <c r="D3090" s="148" t="s">
        <v>29</v>
      </c>
      <c r="E3090" s="148" t="s">
        <v>46</v>
      </c>
      <c r="F3090" s="148" t="s">
        <v>47</v>
      </c>
      <c r="G3090" s="148" t="s">
        <v>48</v>
      </c>
      <c r="H3090" s="148">
        <v>2022</v>
      </c>
      <c r="I3090" s="148">
        <v>7</v>
      </c>
      <c r="J3090" s="148" t="s">
        <v>2438</v>
      </c>
      <c r="K3090" s="148" t="s">
        <v>1333</v>
      </c>
      <c r="M3090" s="148" t="s">
        <v>1441</v>
      </c>
      <c r="N3090" s="148">
        <v>8</v>
      </c>
      <c r="O3090" s="148" t="s">
        <v>2439</v>
      </c>
      <c r="P3090" s="148" t="s">
        <v>2447</v>
      </c>
      <c r="T3090" s="156" t="s">
        <v>543</v>
      </c>
      <c r="U3090" s="156"/>
      <c r="V3090" s="148" t="s">
        <v>543</v>
      </c>
      <c r="W3090" s="148" t="s">
        <v>543</v>
      </c>
      <c r="Y3090" s="150" t="s">
        <v>2695</v>
      </c>
    </row>
    <row r="3091" spans="1:27" ht="13.5" hidden="1" customHeight="1" x14ac:dyDescent="0.25">
      <c r="A3091" s="148" t="s">
        <v>76</v>
      </c>
      <c r="B3091" s="148" t="s">
        <v>36</v>
      </c>
      <c r="C3091" s="148" t="s">
        <v>28</v>
      </c>
      <c r="D3091" s="148" t="s">
        <v>342</v>
      </c>
      <c r="E3091" s="148" t="s">
        <v>30</v>
      </c>
      <c r="F3091" s="148" t="s">
        <v>3183</v>
      </c>
      <c r="G3091" s="148" t="s">
        <v>438</v>
      </c>
      <c r="H3091" s="148">
        <v>2022</v>
      </c>
      <c r="I3091" s="148">
        <v>8</v>
      </c>
      <c r="J3091" s="148" t="s">
        <v>118</v>
      </c>
      <c r="K3091" s="148" t="s">
        <v>579</v>
      </c>
      <c r="M3091" s="148" t="s">
        <v>126</v>
      </c>
      <c r="N3091" s="148">
        <v>10</v>
      </c>
      <c r="O3091" s="148" t="s">
        <v>101</v>
      </c>
      <c r="P3091" s="148" t="s">
        <v>2696</v>
      </c>
      <c r="Y3091" s="150" t="s">
        <v>2697</v>
      </c>
    </row>
    <row r="3092" spans="1:27" ht="15.75" hidden="1" customHeight="1" x14ac:dyDescent="0.25">
      <c r="A3092" s="148" t="s">
        <v>307</v>
      </c>
      <c r="B3092" s="148" t="s">
        <v>103</v>
      </c>
      <c r="C3092" s="148" t="s">
        <v>55</v>
      </c>
      <c r="D3092" s="148" t="s">
        <v>2173</v>
      </c>
      <c r="E3092" s="148" t="s">
        <v>30</v>
      </c>
      <c r="F3092" s="148" t="s">
        <v>56</v>
      </c>
      <c r="G3092" s="148" t="s">
        <v>54</v>
      </c>
      <c r="H3092" s="148">
        <v>2022</v>
      </c>
      <c r="I3092" s="148">
        <v>8</v>
      </c>
      <c r="J3092" s="148" t="s">
        <v>399</v>
      </c>
      <c r="Q3092" s="148" t="s">
        <v>1229</v>
      </c>
      <c r="R3092" s="148" t="s">
        <v>2698</v>
      </c>
      <c r="S3092" s="148" t="s">
        <v>311</v>
      </c>
      <c r="T3092" s="148" t="s">
        <v>2699</v>
      </c>
      <c r="Y3092" s="150" t="s">
        <v>2700</v>
      </c>
      <c r="Z3092" s="148" t="s">
        <v>2701</v>
      </c>
      <c r="AA3092" s="148" t="s">
        <v>543</v>
      </c>
    </row>
    <row r="3093" spans="1:27" ht="15.75" hidden="1" customHeight="1" x14ac:dyDescent="0.25">
      <c r="A3093" s="148" t="s">
        <v>76</v>
      </c>
      <c r="B3093" s="148" t="s">
        <v>54</v>
      </c>
      <c r="C3093" s="148" t="s">
        <v>55</v>
      </c>
      <c r="D3093" s="148" t="s">
        <v>2173</v>
      </c>
      <c r="E3093" s="148" t="s">
        <v>30</v>
      </c>
      <c r="F3093" s="148" t="s">
        <v>56</v>
      </c>
      <c r="G3093" s="148" t="s">
        <v>54</v>
      </c>
      <c r="H3093" s="148">
        <v>2022</v>
      </c>
      <c r="I3093" s="148">
        <v>8</v>
      </c>
      <c r="J3093" s="148" t="s">
        <v>2488</v>
      </c>
      <c r="K3093" s="148" t="s">
        <v>1152</v>
      </c>
      <c r="M3093" s="148" t="s">
        <v>82</v>
      </c>
      <c r="N3093" s="148">
        <v>8</v>
      </c>
      <c r="O3093" s="148" t="s">
        <v>2439</v>
      </c>
      <c r="P3093" s="148" t="s">
        <v>3102</v>
      </c>
      <c r="Y3093" s="150" t="s">
        <v>2702</v>
      </c>
      <c r="Z3093" s="148" t="s">
        <v>2542</v>
      </c>
      <c r="AA3093" s="148" t="s">
        <v>543</v>
      </c>
    </row>
    <row r="3094" spans="1:27" ht="15.75" hidden="1" customHeight="1" x14ac:dyDescent="0.25">
      <c r="A3094" s="148" t="s">
        <v>76</v>
      </c>
      <c r="B3094" s="148" t="s">
        <v>77</v>
      </c>
      <c r="C3094" s="148" t="s">
        <v>55</v>
      </c>
      <c r="D3094" s="148" t="s">
        <v>78</v>
      </c>
      <c r="E3094" s="148" t="s">
        <v>30</v>
      </c>
      <c r="F3094" s="148" t="s">
        <v>41</v>
      </c>
      <c r="G3094" s="148" t="s">
        <v>79</v>
      </c>
      <c r="H3094" s="148">
        <v>2022</v>
      </c>
      <c r="I3094" s="148">
        <v>8</v>
      </c>
      <c r="J3094" s="148" t="s">
        <v>2488</v>
      </c>
      <c r="K3094" s="148" t="s">
        <v>1152</v>
      </c>
      <c r="M3094" s="148" t="s">
        <v>82</v>
      </c>
      <c r="N3094" s="148">
        <v>8</v>
      </c>
      <c r="O3094" s="148" t="s">
        <v>2439</v>
      </c>
      <c r="P3094" s="148" t="s">
        <v>2703</v>
      </c>
      <c r="Y3094" s="150" t="s">
        <v>2704</v>
      </c>
      <c r="Z3094" s="148" t="s">
        <v>2554</v>
      </c>
      <c r="AA3094" s="148" t="s">
        <v>543</v>
      </c>
    </row>
    <row r="3095" spans="1:27" ht="15.75" hidden="1" customHeight="1" x14ac:dyDescent="0.25">
      <c r="A3095" s="148" t="s">
        <v>76</v>
      </c>
      <c r="B3095" s="148" t="s">
        <v>36</v>
      </c>
      <c r="C3095" s="148" t="s">
        <v>28</v>
      </c>
      <c r="D3095" s="148" t="s">
        <v>342</v>
      </c>
      <c r="E3095" s="148" t="s">
        <v>51</v>
      </c>
      <c r="F3095" s="148" t="s">
        <v>3183</v>
      </c>
      <c r="G3095" s="148" t="s">
        <v>52</v>
      </c>
      <c r="H3095" s="148">
        <v>2022</v>
      </c>
      <c r="I3095" s="148">
        <v>8</v>
      </c>
      <c r="J3095" s="148" t="s">
        <v>2438</v>
      </c>
      <c r="K3095" s="148" t="s">
        <v>2705</v>
      </c>
      <c r="M3095" s="148" t="s">
        <v>368</v>
      </c>
      <c r="N3095" s="148">
        <v>8</v>
      </c>
      <c r="O3095" s="148" t="s">
        <v>2439</v>
      </c>
      <c r="P3095" s="148" t="s">
        <v>2706</v>
      </c>
      <c r="Y3095" s="150" t="s">
        <v>2707</v>
      </c>
    </row>
    <row r="3096" spans="1:27" ht="15.75" hidden="1" customHeight="1" x14ac:dyDescent="0.25">
      <c r="A3096" s="148" t="s">
        <v>307</v>
      </c>
      <c r="B3096" s="148" t="s">
        <v>36</v>
      </c>
      <c r="C3096" s="148" t="s">
        <v>28</v>
      </c>
      <c r="D3096" s="148" t="s">
        <v>342</v>
      </c>
      <c r="E3096" s="148" t="s">
        <v>51</v>
      </c>
      <c r="F3096" s="148" t="s">
        <v>3183</v>
      </c>
      <c r="G3096" s="148" t="s">
        <v>52</v>
      </c>
      <c r="H3096" s="148">
        <v>2022</v>
      </c>
      <c r="I3096" s="148">
        <v>8</v>
      </c>
      <c r="J3096" s="148" t="s">
        <v>308</v>
      </c>
      <c r="Q3096" s="148" t="s">
        <v>594</v>
      </c>
      <c r="R3096" s="148" t="s">
        <v>2708</v>
      </c>
      <c r="S3096" s="148" t="s">
        <v>885</v>
      </c>
      <c r="T3096" s="148" t="s">
        <v>2709</v>
      </c>
      <c r="Y3096" s="150" t="s">
        <v>2710</v>
      </c>
    </row>
    <row r="3097" spans="1:27" ht="13.5" hidden="1" customHeight="1" x14ac:dyDescent="0.25">
      <c r="A3097" s="148" t="s">
        <v>76</v>
      </c>
      <c r="B3097" s="148" t="s">
        <v>27</v>
      </c>
      <c r="C3097" s="148" t="s">
        <v>28</v>
      </c>
      <c r="D3097" s="148" t="s">
        <v>1302</v>
      </c>
      <c r="E3097" s="148" t="s">
        <v>40</v>
      </c>
      <c r="F3097" s="148" t="s">
        <v>41</v>
      </c>
      <c r="G3097" s="148" t="s">
        <v>42</v>
      </c>
      <c r="H3097" s="148">
        <v>2022</v>
      </c>
      <c r="I3097" s="148">
        <v>9</v>
      </c>
      <c r="J3097" s="148" t="s">
        <v>118</v>
      </c>
      <c r="K3097" s="148" t="s">
        <v>1152</v>
      </c>
      <c r="M3097" s="148" t="s">
        <v>82</v>
      </c>
      <c r="N3097" s="148">
        <v>8</v>
      </c>
      <c r="O3097" s="148" t="s">
        <v>101</v>
      </c>
      <c r="P3097" s="148" t="s">
        <v>2711</v>
      </c>
      <c r="Y3097" s="150" t="s">
        <v>2682</v>
      </c>
      <c r="Z3097" s="148" t="s">
        <v>543</v>
      </c>
    </row>
    <row r="3098" spans="1:27" ht="15.75" hidden="1" customHeight="1" x14ac:dyDescent="0.25">
      <c r="A3098" s="148" t="s">
        <v>307</v>
      </c>
      <c r="B3098" s="148" t="s">
        <v>54</v>
      </c>
      <c r="C3098" s="148" t="s">
        <v>55</v>
      </c>
      <c r="D3098" s="148" t="s">
        <v>2173</v>
      </c>
      <c r="E3098" s="148" t="s">
        <v>30</v>
      </c>
      <c r="F3098" s="148" t="s">
        <v>56</v>
      </c>
      <c r="G3098" s="148" t="s">
        <v>54</v>
      </c>
      <c r="H3098" s="148">
        <v>2022</v>
      </c>
      <c r="I3098" s="148">
        <v>9</v>
      </c>
      <c r="J3098" s="148" t="s">
        <v>399</v>
      </c>
      <c r="Q3098" s="148" t="s">
        <v>594</v>
      </c>
      <c r="R3098" s="148" t="s">
        <v>2712</v>
      </c>
      <c r="S3098" s="148" t="s">
        <v>596</v>
      </c>
      <c r="T3098" s="148" t="s">
        <v>2713</v>
      </c>
      <c r="Y3098" s="150" t="s">
        <v>2714</v>
      </c>
    </row>
    <row r="3099" spans="1:27" ht="13.5" hidden="1" customHeight="1" x14ac:dyDescent="0.25">
      <c r="A3099" s="148" t="s">
        <v>307</v>
      </c>
      <c r="B3099" s="148" t="s">
        <v>54</v>
      </c>
      <c r="C3099" s="148" t="s">
        <v>55</v>
      </c>
      <c r="D3099" s="148" t="s">
        <v>2173</v>
      </c>
      <c r="E3099" s="148" t="s">
        <v>30</v>
      </c>
      <c r="F3099" s="148" t="s">
        <v>56</v>
      </c>
      <c r="G3099" s="148" t="s">
        <v>54</v>
      </c>
      <c r="H3099" s="148">
        <v>2022</v>
      </c>
      <c r="I3099" s="148">
        <v>9</v>
      </c>
      <c r="J3099" s="148" t="s">
        <v>308</v>
      </c>
      <c r="Q3099" s="148" t="s">
        <v>2239</v>
      </c>
      <c r="R3099" s="148" t="s">
        <v>2604</v>
      </c>
      <c r="S3099" s="148" t="s">
        <v>427</v>
      </c>
      <c r="T3099" s="148" t="s">
        <v>2715</v>
      </c>
      <c r="Y3099" s="150" t="s">
        <v>2716</v>
      </c>
      <c r="Z3099" s="148" t="s">
        <v>2717</v>
      </c>
    </row>
    <row r="3100" spans="1:27" ht="15.75" hidden="1" customHeight="1" x14ac:dyDescent="0.25">
      <c r="A3100" s="148" t="s">
        <v>76</v>
      </c>
      <c r="B3100" s="148" t="s">
        <v>36</v>
      </c>
      <c r="C3100" s="148" t="s">
        <v>28</v>
      </c>
      <c r="D3100" s="148" t="s">
        <v>342</v>
      </c>
      <c r="E3100" s="148" t="s">
        <v>30</v>
      </c>
      <c r="F3100" s="148" t="s">
        <v>3183</v>
      </c>
      <c r="G3100" s="148" t="s">
        <v>114</v>
      </c>
      <c r="H3100" s="148">
        <v>2022</v>
      </c>
      <c r="I3100" s="148">
        <v>9</v>
      </c>
      <c r="J3100" s="148" t="s">
        <v>2438</v>
      </c>
      <c r="K3100" s="148" t="s">
        <v>2718</v>
      </c>
      <c r="M3100" s="148" t="s">
        <v>2719</v>
      </c>
      <c r="N3100" s="148">
        <v>6</v>
      </c>
      <c r="O3100" s="148" t="s">
        <v>2439</v>
      </c>
      <c r="P3100" s="148" t="s">
        <v>2720</v>
      </c>
      <c r="Y3100" s="150" t="s">
        <v>2721</v>
      </c>
      <c r="AA3100" s="148" t="s">
        <v>543</v>
      </c>
    </row>
    <row r="3101" spans="1:27" ht="15.75" hidden="1" customHeight="1" x14ac:dyDescent="0.25">
      <c r="A3101" s="148" t="s">
        <v>76</v>
      </c>
      <c r="B3101" s="148" t="s">
        <v>62</v>
      </c>
      <c r="C3101" s="148" t="s">
        <v>28</v>
      </c>
      <c r="D3101" s="148" t="s">
        <v>46</v>
      </c>
      <c r="E3101" s="148" t="s">
        <v>30</v>
      </c>
      <c r="F3101" s="148" t="s">
        <v>3183</v>
      </c>
      <c r="G3101" s="148" t="s">
        <v>46</v>
      </c>
      <c r="H3101" s="148">
        <v>2022</v>
      </c>
      <c r="I3101" s="148">
        <v>10</v>
      </c>
      <c r="J3101" s="148" t="s">
        <v>100</v>
      </c>
      <c r="K3101" s="148" t="s">
        <v>2722</v>
      </c>
      <c r="M3101" s="148" t="s">
        <v>2723</v>
      </c>
      <c r="N3101" s="148">
        <v>6</v>
      </c>
      <c r="O3101" s="148" t="s">
        <v>101</v>
      </c>
      <c r="P3101" s="148" t="s">
        <v>2724</v>
      </c>
      <c r="Y3101" s="150" t="s">
        <v>2725</v>
      </c>
      <c r="Z3101" s="148" t="s">
        <v>2726</v>
      </c>
    </row>
    <row r="3102" spans="1:27" ht="15.75" hidden="1" customHeight="1" x14ac:dyDescent="0.25">
      <c r="A3102" s="148" t="s">
        <v>76</v>
      </c>
      <c r="B3102" s="148" t="s">
        <v>62</v>
      </c>
      <c r="C3102" s="148" t="s">
        <v>28</v>
      </c>
      <c r="D3102" s="148" t="s">
        <v>46</v>
      </c>
      <c r="E3102" s="148" t="s">
        <v>30</v>
      </c>
      <c r="F3102" s="148" t="s">
        <v>3183</v>
      </c>
      <c r="G3102" s="148" t="s">
        <v>46</v>
      </c>
      <c r="H3102" s="148">
        <v>2022</v>
      </c>
      <c r="I3102" s="148">
        <v>10</v>
      </c>
      <c r="J3102" s="148" t="s">
        <v>100</v>
      </c>
      <c r="K3102" s="148" t="s">
        <v>2727</v>
      </c>
      <c r="M3102" s="148" t="s">
        <v>2728</v>
      </c>
      <c r="N3102" s="148">
        <v>5</v>
      </c>
      <c r="O3102" s="148" t="s">
        <v>101</v>
      </c>
      <c r="P3102" s="148" t="s">
        <v>2729</v>
      </c>
      <c r="Y3102" s="150" t="s">
        <v>2730</v>
      </c>
      <c r="Z3102" s="148" t="s">
        <v>2731</v>
      </c>
    </row>
    <row r="3103" spans="1:27" ht="15.75" hidden="1" customHeight="1" x14ac:dyDescent="0.25">
      <c r="A3103" s="148" t="s">
        <v>76</v>
      </c>
      <c r="B3103" s="148" t="s">
        <v>54</v>
      </c>
      <c r="C3103" s="148" t="s">
        <v>55</v>
      </c>
      <c r="D3103" s="148" t="s">
        <v>2173</v>
      </c>
      <c r="E3103" s="148" t="s">
        <v>30</v>
      </c>
      <c r="F3103" s="148" t="s">
        <v>56</v>
      </c>
      <c r="G3103" s="148" t="s">
        <v>54</v>
      </c>
      <c r="H3103" s="148">
        <v>2022</v>
      </c>
      <c r="I3103" s="148">
        <v>10</v>
      </c>
      <c r="J3103" s="148" t="s">
        <v>2438</v>
      </c>
      <c r="K3103" s="148" t="s">
        <v>1152</v>
      </c>
      <c r="M3103" s="148" t="s">
        <v>82</v>
      </c>
      <c r="N3103" s="148">
        <v>8</v>
      </c>
      <c r="O3103" s="148" t="s">
        <v>2439</v>
      </c>
      <c r="P3103" s="148" t="s">
        <v>2732</v>
      </c>
      <c r="Y3103" s="150" t="s">
        <v>2733</v>
      </c>
      <c r="Z3103" s="148" t="s">
        <v>2542</v>
      </c>
      <c r="AA3103" s="148" t="s">
        <v>543</v>
      </c>
    </row>
    <row r="3104" spans="1:27" ht="15.75" hidden="1" customHeight="1" x14ac:dyDescent="0.25">
      <c r="A3104" s="148" t="s">
        <v>76</v>
      </c>
      <c r="B3104" s="148" t="s">
        <v>89</v>
      </c>
      <c r="C3104" s="148" t="s">
        <v>90</v>
      </c>
      <c r="D3104" s="148" t="s">
        <v>342</v>
      </c>
      <c r="E3104" s="148" t="s">
        <v>30</v>
      </c>
      <c r="F3104" s="148" t="s">
        <v>91</v>
      </c>
      <c r="G3104" s="148" t="s">
        <v>836</v>
      </c>
      <c r="H3104" s="148">
        <v>2022</v>
      </c>
      <c r="I3104" s="148">
        <v>10</v>
      </c>
      <c r="J3104" s="148" t="s">
        <v>80</v>
      </c>
      <c r="K3104" s="148" t="s">
        <v>2734</v>
      </c>
      <c r="M3104" s="148" t="s">
        <v>2735</v>
      </c>
      <c r="N3104" s="148">
        <v>5</v>
      </c>
      <c r="O3104" s="148" t="s">
        <v>83</v>
      </c>
      <c r="P3104" s="148" t="s">
        <v>2736</v>
      </c>
      <c r="Y3104" s="150" t="s">
        <v>2737</v>
      </c>
      <c r="Z3104" s="148" t="s">
        <v>2738</v>
      </c>
    </row>
    <row r="3105" spans="1:27" ht="13.5" hidden="1" customHeight="1" x14ac:dyDescent="0.25">
      <c r="A3105" s="148" t="s">
        <v>76</v>
      </c>
      <c r="B3105" s="148" t="s">
        <v>36</v>
      </c>
      <c r="C3105" s="148" t="s">
        <v>28</v>
      </c>
      <c r="D3105" s="148" t="s">
        <v>478</v>
      </c>
      <c r="E3105" s="148" t="s">
        <v>30</v>
      </c>
      <c r="F3105" s="148" t="s">
        <v>3183</v>
      </c>
      <c r="G3105" s="148" t="s">
        <v>888</v>
      </c>
      <c r="H3105" s="148">
        <v>2022</v>
      </c>
      <c r="I3105" s="148">
        <v>11</v>
      </c>
      <c r="J3105" s="148" t="s">
        <v>80</v>
      </c>
      <c r="K3105" s="148" t="s">
        <v>1152</v>
      </c>
      <c r="M3105" s="148" t="s">
        <v>82</v>
      </c>
      <c r="N3105" s="148">
        <v>8</v>
      </c>
      <c r="O3105" s="148" t="s">
        <v>83</v>
      </c>
      <c r="P3105" s="148" t="s">
        <v>2489</v>
      </c>
      <c r="Y3105" s="150" t="s">
        <v>2739</v>
      </c>
    </row>
    <row r="3106" spans="1:27" ht="13.5" hidden="1" customHeight="1" x14ac:dyDescent="0.25">
      <c r="A3106" s="148" t="s">
        <v>76</v>
      </c>
      <c r="B3106" s="148" t="s">
        <v>36</v>
      </c>
      <c r="C3106" s="148" t="s">
        <v>28</v>
      </c>
      <c r="D3106" s="148" t="s">
        <v>342</v>
      </c>
      <c r="E3106" s="148" t="s">
        <v>30</v>
      </c>
      <c r="F3106" s="148" t="s">
        <v>3183</v>
      </c>
      <c r="G3106" s="148" t="s">
        <v>438</v>
      </c>
      <c r="H3106" s="148">
        <v>2022</v>
      </c>
      <c r="I3106" s="148">
        <v>11</v>
      </c>
      <c r="J3106" s="148" t="s">
        <v>150</v>
      </c>
      <c r="K3106" s="148" t="s">
        <v>1152</v>
      </c>
      <c r="M3106" s="148" t="s">
        <v>82</v>
      </c>
      <c r="N3106" s="148">
        <v>8</v>
      </c>
      <c r="O3106" s="148" t="s">
        <v>83</v>
      </c>
      <c r="P3106" s="148" t="s">
        <v>2740</v>
      </c>
      <c r="Y3106" s="150" t="s">
        <v>2741</v>
      </c>
      <c r="Z3106" s="148" t="s">
        <v>2742</v>
      </c>
    </row>
    <row r="3107" spans="1:27" ht="15.75" hidden="1" customHeight="1" x14ac:dyDescent="0.25">
      <c r="A3107" s="148" t="s">
        <v>26</v>
      </c>
      <c r="B3107" s="148" t="s">
        <v>36</v>
      </c>
      <c r="C3107" s="148" t="s">
        <v>28</v>
      </c>
      <c r="D3107" s="148" t="s">
        <v>478</v>
      </c>
      <c r="E3107" s="148" t="s">
        <v>30</v>
      </c>
      <c r="F3107" s="148" t="s">
        <v>3183</v>
      </c>
      <c r="G3107" s="165" t="s">
        <v>59</v>
      </c>
      <c r="H3107" s="148">
        <v>2022</v>
      </c>
      <c r="I3107" s="148">
        <v>11</v>
      </c>
      <c r="J3107" s="148" t="s">
        <v>895</v>
      </c>
      <c r="U3107" s="149" t="s">
        <v>112</v>
      </c>
      <c r="V3107" s="148" t="s">
        <v>3703</v>
      </c>
      <c r="W3107" s="148" t="s">
        <v>34</v>
      </c>
      <c r="X3107" s="148" t="s">
        <v>2743</v>
      </c>
      <c r="Y3107" s="150" t="s">
        <v>2744</v>
      </c>
    </row>
    <row r="3108" spans="1:27" ht="15.75" hidden="1" customHeight="1" x14ac:dyDescent="0.25">
      <c r="A3108" s="148" t="s">
        <v>76</v>
      </c>
      <c r="B3108" s="148" t="s">
        <v>36</v>
      </c>
      <c r="C3108" s="148" t="s">
        <v>28</v>
      </c>
      <c r="D3108" s="148" t="s">
        <v>478</v>
      </c>
      <c r="E3108" s="148" t="s">
        <v>30</v>
      </c>
      <c r="F3108" s="148" t="s">
        <v>3183</v>
      </c>
      <c r="G3108" s="148" t="s">
        <v>59</v>
      </c>
      <c r="H3108" s="148">
        <v>2022</v>
      </c>
      <c r="I3108" s="148">
        <v>11</v>
      </c>
      <c r="J3108" s="148" t="s">
        <v>118</v>
      </c>
      <c r="K3108" s="148" t="s">
        <v>1152</v>
      </c>
      <c r="M3108" s="148" t="s">
        <v>82</v>
      </c>
      <c r="N3108" s="148">
        <v>8</v>
      </c>
      <c r="O3108" s="148" t="s">
        <v>101</v>
      </c>
      <c r="P3108" s="148" t="s">
        <v>2745</v>
      </c>
      <c r="Y3108" s="150" t="s">
        <v>2746</v>
      </c>
    </row>
    <row r="3109" spans="1:27" ht="15.75" hidden="1" customHeight="1" x14ac:dyDescent="0.25">
      <c r="A3109" s="148" t="s">
        <v>76</v>
      </c>
      <c r="B3109" s="148" t="s">
        <v>36</v>
      </c>
      <c r="C3109" s="148" t="s">
        <v>28</v>
      </c>
      <c r="D3109" s="148" t="s">
        <v>342</v>
      </c>
      <c r="E3109" s="148" t="s">
        <v>30</v>
      </c>
      <c r="F3109" s="148" t="s">
        <v>3183</v>
      </c>
      <c r="G3109" s="148" t="s">
        <v>242</v>
      </c>
      <c r="H3109" s="148">
        <v>2022</v>
      </c>
      <c r="I3109" s="148">
        <v>11</v>
      </c>
      <c r="J3109" s="148" t="s">
        <v>118</v>
      </c>
      <c r="K3109" s="148" t="s">
        <v>2747</v>
      </c>
      <c r="M3109" s="148" t="s">
        <v>2748</v>
      </c>
      <c r="N3109" s="148">
        <v>6</v>
      </c>
      <c r="O3109" s="148" t="s">
        <v>101</v>
      </c>
      <c r="P3109" s="148" t="s">
        <v>2749</v>
      </c>
      <c r="R3109" s="148" t="s">
        <v>543</v>
      </c>
      <c r="S3109" s="148" t="s">
        <v>543</v>
      </c>
      <c r="Y3109" s="150" t="s">
        <v>2750</v>
      </c>
      <c r="Z3109" s="148" t="s">
        <v>2751</v>
      </c>
    </row>
    <row r="3110" spans="1:27" ht="15.75" hidden="1" customHeight="1" x14ac:dyDescent="0.25">
      <c r="A3110" s="148" t="s">
        <v>76</v>
      </c>
      <c r="B3110" s="148" t="s">
        <v>62</v>
      </c>
      <c r="C3110" s="148" t="s">
        <v>28</v>
      </c>
      <c r="D3110" s="148" t="s">
        <v>478</v>
      </c>
      <c r="E3110" s="148" t="s">
        <v>30</v>
      </c>
      <c r="F3110" s="148" t="s">
        <v>3183</v>
      </c>
      <c r="G3110" s="148" t="s">
        <v>244</v>
      </c>
      <c r="H3110" s="148">
        <v>2022</v>
      </c>
      <c r="I3110" s="148">
        <v>11</v>
      </c>
      <c r="J3110" s="148" t="s">
        <v>2438</v>
      </c>
      <c r="K3110" s="148" t="s">
        <v>1152</v>
      </c>
      <c r="M3110" s="148" t="s">
        <v>82</v>
      </c>
      <c r="N3110" s="148">
        <v>8</v>
      </c>
      <c r="O3110" s="148" t="s">
        <v>2439</v>
      </c>
      <c r="P3110" s="148" t="s">
        <v>2752</v>
      </c>
      <c r="Y3110" s="150" t="s">
        <v>2753</v>
      </c>
      <c r="AA3110" s="148" t="s">
        <v>543</v>
      </c>
    </row>
    <row r="3111" spans="1:27" ht="15.75" hidden="1" customHeight="1" x14ac:dyDescent="0.25">
      <c r="A3111" s="148" t="s">
        <v>307</v>
      </c>
      <c r="B3111" s="148" t="s">
        <v>54</v>
      </c>
      <c r="C3111" s="148" t="s">
        <v>55</v>
      </c>
      <c r="D3111" s="148" t="s">
        <v>2173</v>
      </c>
      <c r="E3111" s="148" t="s">
        <v>30</v>
      </c>
      <c r="F3111" s="148" t="s">
        <v>56</v>
      </c>
      <c r="G3111" s="148" t="s">
        <v>54</v>
      </c>
      <c r="H3111" s="148">
        <v>2022</v>
      </c>
      <c r="I3111" s="148">
        <v>11</v>
      </c>
      <c r="J3111" s="148" t="s">
        <v>308</v>
      </c>
      <c r="Q3111" s="148" t="s">
        <v>2239</v>
      </c>
      <c r="R3111" s="148" t="s">
        <v>2910</v>
      </c>
      <c r="S3111" s="148" t="s">
        <v>885</v>
      </c>
      <c r="T3111" s="148" t="s">
        <v>2754</v>
      </c>
      <c r="Y3111" s="154" t="s">
        <v>2755</v>
      </c>
      <c r="Z3111" s="148" t="s">
        <v>2756</v>
      </c>
    </row>
    <row r="3112" spans="1:27" ht="15.75" customHeight="1" x14ac:dyDescent="0.25">
      <c r="A3112" s="148" t="s">
        <v>76</v>
      </c>
      <c r="B3112" s="148" t="s">
        <v>36</v>
      </c>
      <c r="C3112" s="148" t="s">
        <v>28</v>
      </c>
      <c r="D3112" s="148" t="s">
        <v>1304</v>
      </c>
      <c r="E3112" s="148" t="s">
        <v>30</v>
      </c>
      <c r="F3112" s="148" t="s">
        <v>3183</v>
      </c>
      <c r="G3112" s="148" t="s">
        <v>194</v>
      </c>
      <c r="H3112" s="148">
        <v>2022</v>
      </c>
      <c r="I3112" s="148">
        <v>11</v>
      </c>
      <c r="J3112" s="148" t="s">
        <v>118</v>
      </c>
      <c r="K3112" s="148" t="s">
        <v>1152</v>
      </c>
      <c r="M3112" s="148" t="s">
        <v>82</v>
      </c>
      <c r="N3112" s="148">
        <v>8</v>
      </c>
      <c r="O3112" s="148" t="s">
        <v>101</v>
      </c>
      <c r="P3112" s="148" t="s">
        <v>2757</v>
      </c>
      <c r="Y3112" s="154" t="s">
        <v>2758</v>
      </c>
    </row>
    <row r="3113" spans="1:27" ht="13.5" hidden="1" customHeight="1" x14ac:dyDescent="0.25">
      <c r="A3113" s="148" t="s">
        <v>76</v>
      </c>
      <c r="B3113" s="148" t="s">
        <v>44</v>
      </c>
      <c r="C3113" s="148" t="s">
        <v>45</v>
      </c>
      <c r="D3113" s="148" t="s">
        <v>29</v>
      </c>
      <c r="E3113" s="148" t="s">
        <v>46</v>
      </c>
      <c r="F3113" s="148" t="s">
        <v>47</v>
      </c>
      <c r="G3113" s="148" t="s">
        <v>48</v>
      </c>
      <c r="H3113" s="148">
        <v>2022</v>
      </c>
      <c r="I3113" s="148">
        <v>11</v>
      </c>
      <c r="J3113" s="148" t="s">
        <v>640</v>
      </c>
      <c r="K3113" s="148" t="s">
        <v>1152</v>
      </c>
      <c r="M3113" s="148" t="s">
        <v>82</v>
      </c>
      <c r="N3113" s="148">
        <v>8</v>
      </c>
      <c r="O3113" s="148" t="s">
        <v>83</v>
      </c>
      <c r="P3113" s="148" t="s">
        <v>2383</v>
      </c>
      <c r="Y3113" s="154" t="s">
        <v>2759</v>
      </c>
      <c r="Z3113" s="148" t="s">
        <v>1418</v>
      </c>
    </row>
    <row r="3114" spans="1:27" ht="13.5" hidden="1" customHeight="1" x14ac:dyDescent="0.25">
      <c r="A3114" s="148" t="s">
        <v>26</v>
      </c>
      <c r="B3114" s="148" t="s">
        <v>27</v>
      </c>
      <c r="C3114" s="148" t="s">
        <v>2430</v>
      </c>
      <c r="D3114" s="148" t="s">
        <v>86</v>
      </c>
      <c r="E3114" s="148" t="s">
        <v>30</v>
      </c>
      <c r="F3114" s="148" t="s">
        <v>3183</v>
      </c>
      <c r="G3114" s="148" t="s">
        <v>32</v>
      </c>
      <c r="H3114" s="148">
        <v>2022</v>
      </c>
      <c r="I3114" s="148">
        <v>12</v>
      </c>
      <c r="J3114" s="148" t="s">
        <v>33</v>
      </c>
      <c r="U3114" s="149" t="s">
        <v>112</v>
      </c>
      <c r="V3114" s="148" t="s">
        <v>3704</v>
      </c>
      <c r="W3114" s="148" t="s">
        <v>87</v>
      </c>
      <c r="X3114" s="148" t="s">
        <v>2760</v>
      </c>
      <c r="Y3114" s="154" t="s">
        <v>2761</v>
      </c>
      <c r="Z3114" s="148" t="s">
        <v>2762</v>
      </c>
      <c r="AA3114" s="148" t="s">
        <v>543</v>
      </c>
    </row>
    <row r="3115" spans="1:27" ht="13.5" hidden="1" customHeight="1" x14ac:dyDescent="0.25">
      <c r="A3115" s="148" t="s">
        <v>76</v>
      </c>
      <c r="B3115" s="148" t="s">
        <v>198</v>
      </c>
      <c r="C3115" s="148" t="s">
        <v>45</v>
      </c>
      <c r="D3115" s="148" t="s">
        <v>158</v>
      </c>
      <c r="E3115" s="148" t="s">
        <v>30</v>
      </c>
      <c r="F3115" s="148" t="s">
        <v>199</v>
      </c>
      <c r="G3115" s="148" t="s">
        <v>1057</v>
      </c>
      <c r="H3115" s="148">
        <v>2022</v>
      </c>
      <c r="I3115" s="148">
        <v>12</v>
      </c>
      <c r="J3115" s="148" t="s">
        <v>2488</v>
      </c>
      <c r="K3115" s="148" t="s">
        <v>1152</v>
      </c>
      <c r="M3115" s="148" t="s">
        <v>82</v>
      </c>
      <c r="N3115" s="148">
        <v>8</v>
      </c>
      <c r="O3115" s="148" t="s">
        <v>2439</v>
      </c>
      <c r="P3115" s="148" t="s">
        <v>2763</v>
      </c>
      <c r="Y3115" s="154" t="s">
        <v>2764</v>
      </c>
      <c r="Z3115" s="148" t="s">
        <v>2765</v>
      </c>
    </row>
    <row r="3116" spans="1:27" ht="13.5" hidden="1" customHeight="1" x14ac:dyDescent="0.25">
      <c r="A3116" s="148" t="s">
        <v>76</v>
      </c>
      <c r="B3116" s="148" t="s">
        <v>62</v>
      </c>
      <c r="C3116" s="148" t="s">
        <v>28</v>
      </c>
      <c r="D3116" s="148" t="s">
        <v>46</v>
      </c>
      <c r="E3116" s="148" t="s">
        <v>30</v>
      </c>
      <c r="F3116" s="148" t="s">
        <v>3183</v>
      </c>
      <c r="G3116" s="148" t="s">
        <v>46</v>
      </c>
      <c r="H3116" s="148">
        <v>2022</v>
      </c>
      <c r="I3116" s="148">
        <v>12</v>
      </c>
      <c r="J3116" s="148" t="s">
        <v>2488</v>
      </c>
      <c r="K3116" s="148" t="s">
        <v>2497</v>
      </c>
      <c r="M3116" s="148" t="s">
        <v>2498</v>
      </c>
      <c r="N3116" s="148">
        <v>5</v>
      </c>
      <c r="O3116" s="148" t="s">
        <v>2439</v>
      </c>
      <c r="P3116" s="148" t="s">
        <v>2766</v>
      </c>
      <c r="Y3116" s="154" t="s">
        <v>2767</v>
      </c>
      <c r="Z3116" s="148" t="s">
        <v>2500</v>
      </c>
    </row>
    <row r="3117" spans="1:27" ht="13.5" hidden="1" customHeight="1" x14ac:dyDescent="0.25">
      <c r="A3117" s="148" t="s">
        <v>307</v>
      </c>
      <c r="B3117" s="148" t="s">
        <v>54</v>
      </c>
      <c r="C3117" s="148" t="s">
        <v>55</v>
      </c>
      <c r="D3117" s="148" t="s">
        <v>2173</v>
      </c>
      <c r="E3117" s="148" t="s">
        <v>30</v>
      </c>
      <c r="F3117" s="148" t="s">
        <v>56</v>
      </c>
      <c r="G3117" s="148" t="s">
        <v>54</v>
      </c>
      <c r="H3117" s="148">
        <v>2022</v>
      </c>
      <c r="I3117" s="148">
        <v>12</v>
      </c>
      <c r="J3117" s="148" t="s">
        <v>308</v>
      </c>
      <c r="Q3117" s="148" t="s">
        <v>594</v>
      </c>
      <c r="R3117" s="148" t="s">
        <v>2768</v>
      </c>
      <c r="S3117" s="148" t="s">
        <v>427</v>
      </c>
      <c r="T3117" s="148" t="s">
        <v>2769</v>
      </c>
      <c r="Y3117" s="150" t="s">
        <v>2770</v>
      </c>
      <c r="Z3117" s="148" t="s">
        <v>2771</v>
      </c>
    </row>
    <row r="3118" spans="1:27" ht="13.5" hidden="1" customHeight="1" x14ac:dyDescent="0.25">
      <c r="A3118" s="148" t="s">
        <v>76</v>
      </c>
      <c r="B3118" s="148" t="s">
        <v>77</v>
      </c>
      <c r="C3118" s="148" t="s">
        <v>55</v>
      </c>
      <c r="D3118" s="148" t="s">
        <v>78</v>
      </c>
      <c r="E3118" s="148" t="s">
        <v>30</v>
      </c>
      <c r="F3118" s="148" t="s">
        <v>41</v>
      </c>
      <c r="G3118" s="148" t="s">
        <v>79</v>
      </c>
      <c r="H3118" s="148">
        <v>2022</v>
      </c>
      <c r="I3118" s="148">
        <v>12</v>
      </c>
      <c r="J3118" s="148" t="s">
        <v>2488</v>
      </c>
      <c r="K3118" s="148" t="s">
        <v>1152</v>
      </c>
      <c r="M3118" s="148" t="s">
        <v>82</v>
      </c>
      <c r="N3118" s="148">
        <v>8</v>
      </c>
      <c r="O3118" s="148" t="s">
        <v>2439</v>
      </c>
      <c r="P3118" s="148" t="s">
        <v>2772</v>
      </c>
      <c r="Y3118" s="154" t="s">
        <v>2773</v>
      </c>
      <c r="Z3118" s="148" t="s">
        <v>2554</v>
      </c>
      <c r="AA3118" s="148" t="s">
        <v>543</v>
      </c>
    </row>
    <row r="3119" spans="1:27" ht="13.5" hidden="1" customHeight="1" x14ac:dyDescent="0.25">
      <c r="A3119" s="148" t="s">
        <v>76</v>
      </c>
      <c r="B3119" s="148" t="s">
        <v>77</v>
      </c>
      <c r="C3119" s="148" t="s">
        <v>55</v>
      </c>
      <c r="D3119" s="148" t="s">
        <v>3185</v>
      </c>
      <c r="E3119" s="148" t="s">
        <v>30</v>
      </c>
      <c r="F3119" s="148" t="s">
        <v>41</v>
      </c>
      <c r="G3119" s="148" t="s">
        <v>252</v>
      </c>
      <c r="H3119" s="148">
        <v>2023</v>
      </c>
      <c r="I3119" s="148">
        <v>1</v>
      </c>
      <c r="J3119" s="148" t="s">
        <v>118</v>
      </c>
      <c r="K3119" s="148" t="s">
        <v>1152</v>
      </c>
      <c r="M3119" s="148" t="s">
        <v>82</v>
      </c>
      <c r="N3119" s="148">
        <v>8</v>
      </c>
      <c r="O3119" s="148" t="s">
        <v>101</v>
      </c>
      <c r="P3119" s="148" t="s">
        <v>2884</v>
      </c>
      <c r="Q3119" s="166"/>
      <c r="Y3119" s="154" t="s">
        <v>2885</v>
      </c>
      <c r="Z3119" s="148" t="s">
        <v>3018</v>
      </c>
    </row>
    <row r="3120" spans="1:27" ht="13.5" hidden="1" customHeight="1" x14ac:dyDescent="0.25">
      <c r="A3120" s="148" t="s">
        <v>76</v>
      </c>
      <c r="B3120" s="148" t="s">
        <v>36</v>
      </c>
      <c r="C3120" s="148" t="s">
        <v>28</v>
      </c>
      <c r="D3120" s="148" t="s">
        <v>342</v>
      </c>
      <c r="E3120" s="148" t="s">
        <v>30</v>
      </c>
      <c r="F3120" s="129" t="s">
        <v>3183</v>
      </c>
      <c r="G3120" s="148" t="s">
        <v>438</v>
      </c>
      <c r="H3120" s="148">
        <v>2023</v>
      </c>
      <c r="I3120" s="148">
        <v>2</v>
      </c>
      <c r="J3120" s="148" t="s">
        <v>118</v>
      </c>
      <c r="K3120" s="148" t="s">
        <v>710</v>
      </c>
      <c r="M3120" s="148" t="s">
        <v>126</v>
      </c>
      <c r="N3120" s="148">
        <v>10</v>
      </c>
      <c r="O3120" s="148" t="s">
        <v>101</v>
      </c>
      <c r="P3120" s="148" t="s">
        <v>2886</v>
      </c>
      <c r="Q3120" s="166"/>
      <c r="Y3120" s="154" t="s">
        <v>2887</v>
      </c>
    </row>
    <row r="3121" spans="1:26" ht="15" hidden="1" customHeight="1" x14ac:dyDescent="0.25">
      <c r="A3121" s="148" t="s">
        <v>307</v>
      </c>
      <c r="B3121" s="148" t="s">
        <v>27</v>
      </c>
      <c r="C3121" s="148" t="s">
        <v>28</v>
      </c>
      <c r="D3121" s="148" t="s">
        <v>1302</v>
      </c>
      <c r="E3121" s="148" t="s">
        <v>40</v>
      </c>
      <c r="F3121" s="148" t="s">
        <v>41</v>
      </c>
      <c r="G3121" s="148" t="s">
        <v>42</v>
      </c>
      <c r="H3121" s="148">
        <v>2023</v>
      </c>
      <c r="I3121" s="148">
        <v>2</v>
      </c>
      <c r="J3121" s="148" t="s">
        <v>399</v>
      </c>
      <c r="Q3121" s="148" t="s">
        <v>818</v>
      </c>
      <c r="R3121" s="148" t="s">
        <v>2888</v>
      </c>
      <c r="S3121" s="148" t="s">
        <v>427</v>
      </c>
      <c r="T3121" s="148" t="s">
        <v>2891</v>
      </c>
      <c r="Y3121" s="150" t="s">
        <v>2889</v>
      </c>
    </row>
    <row r="3122" spans="1:26" ht="15" hidden="1" customHeight="1" x14ac:dyDescent="0.25">
      <c r="A3122" s="148" t="s">
        <v>307</v>
      </c>
      <c r="B3122" s="148" t="s">
        <v>89</v>
      </c>
      <c r="C3122" s="148" t="s">
        <v>90</v>
      </c>
      <c r="D3122" s="148" t="s">
        <v>478</v>
      </c>
      <c r="E3122" s="148" t="s">
        <v>30</v>
      </c>
      <c r="F3122" s="148" t="s">
        <v>91</v>
      </c>
      <c r="G3122" s="148" t="s">
        <v>92</v>
      </c>
      <c r="H3122" s="148">
        <v>2023</v>
      </c>
      <c r="I3122" s="148">
        <v>2</v>
      </c>
      <c r="J3122" s="148" t="s">
        <v>399</v>
      </c>
      <c r="Q3122" s="148" t="s">
        <v>309</v>
      </c>
      <c r="R3122" s="148" t="s">
        <v>1087</v>
      </c>
      <c r="S3122" s="148" t="s">
        <v>427</v>
      </c>
      <c r="T3122" s="148" t="s">
        <v>2892</v>
      </c>
      <c r="Y3122" s="150" t="s">
        <v>2890</v>
      </c>
    </row>
    <row r="3123" spans="1:26" ht="15" hidden="1" customHeight="1" x14ac:dyDescent="0.25">
      <c r="A3123" s="148" t="s">
        <v>307</v>
      </c>
      <c r="B3123" s="148" t="s">
        <v>36</v>
      </c>
      <c r="C3123" s="148" t="s">
        <v>28</v>
      </c>
      <c r="D3123" s="148" t="s">
        <v>3185</v>
      </c>
      <c r="E3123" s="148" t="s">
        <v>51</v>
      </c>
      <c r="F3123" s="148" t="s">
        <v>3183</v>
      </c>
      <c r="G3123" s="148" t="s">
        <v>52</v>
      </c>
      <c r="H3123" s="148">
        <v>2023</v>
      </c>
      <c r="I3123" s="148">
        <v>2</v>
      </c>
      <c r="J3123" s="148" t="s">
        <v>399</v>
      </c>
      <c r="O3123" s="148" t="s">
        <v>83</v>
      </c>
      <c r="Q3123" s="148" t="s">
        <v>426</v>
      </c>
      <c r="R3123" s="148" t="s">
        <v>2893</v>
      </c>
      <c r="S3123" s="148" t="s">
        <v>311</v>
      </c>
      <c r="T3123" s="148" t="s">
        <v>2894</v>
      </c>
      <c r="Y3123" s="154" t="s">
        <v>2895</v>
      </c>
      <c r="Z3123" s="148" t="s">
        <v>3018</v>
      </c>
    </row>
    <row r="3124" spans="1:26" ht="15" hidden="1" customHeight="1" x14ac:dyDescent="0.25">
      <c r="A3124" s="148" t="s">
        <v>307</v>
      </c>
      <c r="B3124" s="148" t="s">
        <v>36</v>
      </c>
      <c r="C3124" s="148" t="s">
        <v>28</v>
      </c>
      <c r="D3124" s="148" t="s">
        <v>342</v>
      </c>
      <c r="E3124" s="148" t="s">
        <v>30</v>
      </c>
      <c r="F3124" s="148" t="s">
        <v>3183</v>
      </c>
      <c r="G3124" s="148" t="s">
        <v>438</v>
      </c>
      <c r="H3124" s="148">
        <v>2023</v>
      </c>
      <c r="I3124" s="148">
        <v>3</v>
      </c>
      <c r="J3124" s="148" t="s">
        <v>308</v>
      </c>
      <c r="Q3124" s="148" t="s">
        <v>426</v>
      </c>
      <c r="R3124" s="148" t="s">
        <v>2960</v>
      </c>
      <c r="S3124" s="148" t="s">
        <v>596</v>
      </c>
      <c r="T3124" s="148" t="s">
        <v>2998</v>
      </c>
      <c r="Y3124" s="154" t="s">
        <v>2999</v>
      </c>
    </row>
    <row r="3125" spans="1:26" ht="15" hidden="1" customHeight="1" x14ac:dyDescent="0.25">
      <c r="A3125" s="148" t="s">
        <v>307</v>
      </c>
      <c r="B3125" s="148" t="s">
        <v>116</v>
      </c>
      <c r="C3125" s="148" t="s">
        <v>90</v>
      </c>
      <c r="D3125" s="148" t="s">
        <v>478</v>
      </c>
      <c r="E3125" s="148" t="s">
        <v>30</v>
      </c>
      <c r="F3125" s="148" t="s">
        <v>41</v>
      </c>
      <c r="G3125" s="148" t="s">
        <v>421</v>
      </c>
      <c r="H3125" s="148">
        <v>2023</v>
      </c>
      <c r="I3125" s="148">
        <v>3</v>
      </c>
      <c r="J3125" s="148" t="s">
        <v>399</v>
      </c>
      <c r="Q3125" s="148" t="s">
        <v>866</v>
      </c>
      <c r="R3125" s="148" t="s">
        <v>3053</v>
      </c>
      <c r="S3125" s="148" t="s">
        <v>427</v>
      </c>
      <c r="T3125" s="167" t="s">
        <v>3055</v>
      </c>
      <c r="U3125" s="167"/>
      <c r="Y3125" s="154" t="s">
        <v>3054</v>
      </c>
    </row>
    <row r="3126" spans="1:26" ht="15" hidden="1" customHeight="1" x14ac:dyDescent="0.25">
      <c r="A3126" s="148" t="s">
        <v>76</v>
      </c>
      <c r="B3126" s="148" t="s">
        <v>27</v>
      </c>
      <c r="C3126" s="148" t="s">
        <v>2430</v>
      </c>
      <c r="D3126" s="148" t="s">
        <v>86</v>
      </c>
      <c r="E3126" s="148" t="s">
        <v>30</v>
      </c>
      <c r="F3126" s="148" t="s">
        <v>3183</v>
      </c>
      <c r="G3126" s="148" t="s">
        <v>32</v>
      </c>
      <c r="H3126" s="148">
        <v>2023</v>
      </c>
      <c r="I3126" s="148">
        <v>4</v>
      </c>
      <c r="J3126" s="148" t="s">
        <v>118</v>
      </c>
      <c r="K3126" s="148" t="s">
        <v>2896</v>
      </c>
      <c r="M3126" s="148" t="s">
        <v>82</v>
      </c>
      <c r="N3126" s="148">
        <v>8</v>
      </c>
      <c r="O3126" s="148" t="s">
        <v>101</v>
      </c>
      <c r="P3126" s="148" t="s">
        <v>3057</v>
      </c>
      <c r="T3126" s="167"/>
      <c r="U3126" s="167"/>
      <c r="Y3126" s="154" t="s">
        <v>3070</v>
      </c>
    </row>
    <row r="3127" spans="1:26" ht="15" hidden="1" customHeight="1" x14ac:dyDescent="0.25">
      <c r="A3127" s="148" t="s">
        <v>76</v>
      </c>
      <c r="B3127" s="148" t="s">
        <v>103</v>
      </c>
      <c r="C3127" s="148" t="s">
        <v>55</v>
      </c>
      <c r="D3127" s="148" t="s">
        <v>478</v>
      </c>
      <c r="E3127" s="148" t="s">
        <v>30</v>
      </c>
      <c r="F3127" s="148" t="s">
        <v>56</v>
      </c>
      <c r="G3127" s="148" t="s">
        <v>171</v>
      </c>
      <c r="H3127" s="148">
        <v>2023</v>
      </c>
      <c r="I3127" s="148">
        <v>4</v>
      </c>
      <c r="J3127" s="148" t="s">
        <v>640</v>
      </c>
      <c r="K3127" s="148" t="s">
        <v>2896</v>
      </c>
      <c r="M3127" s="148" t="s">
        <v>82</v>
      </c>
      <c r="N3127" s="148">
        <v>8</v>
      </c>
      <c r="O3127" s="148" t="s">
        <v>83</v>
      </c>
      <c r="P3127" s="148" t="s">
        <v>1819</v>
      </c>
      <c r="Y3127" s="154" t="s">
        <v>3073</v>
      </c>
    </row>
    <row r="3128" spans="1:26" ht="15" hidden="1" customHeight="1" x14ac:dyDescent="0.25">
      <c r="A3128" s="148" t="s">
        <v>76</v>
      </c>
      <c r="B3128" s="148" t="s">
        <v>27</v>
      </c>
      <c r="C3128" s="148" t="s">
        <v>28</v>
      </c>
      <c r="D3128" s="148" t="s">
        <v>566</v>
      </c>
      <c r="E3128" s="148" t="s">
        <v>30</v>
      </c>
      <c r="F3128" s="148" t="s">
        <v>3183</v>
      </c>
      <c r="G3128" s="148" t="s">
        <v>53</v>
      </c>
      <c r="H3128" s="148">
        <v>2023</v>
      </c>
      <c r="I3128" s="148">
        <v>4</v>
      </c>
      <c r="J3128" s="148" t="s">
        <v>640</v>
      </c>
      <c r="K3128" s="148" t="s">
        <v>2896</v>
      </c>
      <c r="M3128" s="148" t="s">
        <v>82</v>
      </c>
      <c r="N3128" s="148">
        <v>8</v>
      </c>
      <c r="O3128" s="148" t="s">
        <v>83</v>
      </c>
      <c r="P3128" s="148" t="s">
        <v>3010</v>
      </c>
      <c r="Y3128" s="154" t="s">
        <v>3073</v>
      </c>
    </row>
    <row r="3129" spans="1:26" ht="15" hidden="1" customHeight="1" x14ac:dyDescent="0.25">
      <c r="A3129" s="148" t="s">
        <v>76</v>
      </c>
      <c r="B3129" s="148" t="s">
        <v>116</v>
      </c>
      <c r="C3129" s="148" t="s">
        <v>90</v>
      </c>
      <c r="D3129" s="148" t="s">
        <v>478</v>
      </c>
      <c r="E3129" s="148" t="s">
        <v>30</v>
      </c>
      <c r="F3129" s="148" t="s">
        <v>41</v>
      </c>
      <c r="G3129" s="148" t="s">
        <v>421</v>
      </c>
      <c r="H3129" s="148">
        <v>2023</v>
      </c>
      <c r="I3129" s="148">
        <v>4</v>
      </c>
      <c r="J3129" s="148" t="s">
        <v>640</v>
      </c>
      <c r="K3129" s="148" t="s">
        <v>2896</v>
      </c>
      <c r="M3129" s="148" t="s">
        <v>82</v>
      </c>
      <c r="N3129" s="148">
        <v>8</v>
      </c>
      <c r="O3129" s="148" t="s">
        <v>83</v>
      </c>
      <c r="P3129" s="148" t="s">
        <v>1819</v>
      </c>
      <c r="Y3129" s="154" t="s">
        <v>3073</v>
      </c>
    </row>
    <row r="3130" spans="1:26" ht="15" hidden="1" customHeight="1" x14ac:dyDescent="0.25">
      <c r="A3130" s="148" t="s">
        <v>76</v>
      </c>
      <c r="B3130" s="148" t="s">
        <v>77</v>
      </c>
      <c r="C3130" s="148" t="s">
        <v>55</v>
      </c>
      <c r="D3130" s="148" t="s">
        <v>478</v>
      </c>
      <c r="E3130" s="148" t="s">
        <v>30</v>
      </c>
      <c r="F3130" s="148" t="s">
        <v>41</v>
      </c>
      <c r="G3130" s="148" t="s">
        <v>159</v>
      </c>
      <c r="H3130" s="148">
        <v>2023</v>
      </c>
      <c r="I3130" s="148">
        <v>4</v>
      </c>
      <c r="J3130" s="148" t="s">
        <v>640</v>
      </c>
      <c r="K3130" s="148" t="s">
        <v>2896</v>
      </c>
      <c r="M3130" s="148" t="s">
        <v>82</v>
      </c>
      <c r="N3130" s="148">
        <v>8</v>
      </c>
      <c r="O3130" s="148" t="s">
        <v>83</v>
      </c>
      <c r="P3130" s="148" t="s">
        <v>1819</v>
      </c>
      <c r="Y3130" s="150" t="s">
        <v>3073</v>
      </c>
    </row>
    <row r="3131" spans="1:26" ht="15" hidden="1" customHeight="1" x14ac:dyDescent="0.25">
      <c r="A3131" s="148" t="s">
        <v>76</v>
      </c>
      <c r="B3131" s="148" t="s">
        <v>77</v>
      </c>
      <c r="C3131" s="148" t="s">
        <v>55</v>
      </c>
      <c r="D3131" s="148" t="s">
        <v>478</v>
      </c>
      <c r="E3131" s="148" t="s">
        <v>30</v>
      </c>
      <c r="F3131" s="148" t="s">
        <v>41</v>
      </c>
      <c r="G3131" s="148" t="s">
        <v>161</v>
      </c>
      <c r="H3131" s="148">
        <v>2023</v>
      </c>
      <c r="I3131" s="148">
        <v>4</v>
      </c>
      <c r="J3131" s="148" t="s">
        <v>640</v>
      </c>
      <c r="K3131" s="148" t="s">
        <v>2896</v>
      </c>
      <c r="M3131" s="148" t="s">
        <v>82</v>
      </c>
      <c r="N3131" s="148">
        <v>8</v>
      </c>
      <c r="O3131" s="148" t="s">
        <v>83</v>
      </c>
      <c r="P3131" s="148" t="s">
        <v>1819</v>
      </c>
      <c r="Y3131" s="150" t="s">
        <v>3073</v>
      </c>
    </row>
    <row r="3132" spans="1:26" ht="15" hidden="1" customHeight="1" x14ac:dyDescent="0.25">
      <c r="A3132" s="148" t="s">
        <v>76</v>
      </c>
      <c r="B3132" s="148" t="s">
        <v>27</v>
      </c>
      <c r="C3132" s="148" t="s">
        <v>28</v>
      </c>
      <c r="D3132" s="148" t="s">
        <v>1302</v>
      </c>
      <c r="E3132" s="148" t="s">
        <v>40</v>
      </c>
      <c r="F3132" s="148" t="s">
        <v>41</v>
      </c>
      <c r="G3132" s="148" t="s">
        <v>42</v>
      </c>
      <c r="H3132" s="148">
        <v>2023</v>
      </c>
      <c r="I3132" s="148">
        <v>4</v>
      </c>
      <c r="J3132" s="148" t="s">
        <v>118</v>
      </c>
      <c r="K3132" s="148" t="s">
        <v>710</v>
      </c>
      <c r="M3132" s="148" t="s">
        <v>126</v>
      </c>
      <c r="N3132" s="148">
        <v>10</v>
      </c>
      <c r="O3132" s="148" t="s">
        <v>101</v>
      </c>
      <c r="P3132" s="148" t="s">
        <v>2897</v>
      </c>
      <c r="T3132" s="167"/>
      <c r="U3132" s="167"/>
      <c r="Y3132" s="168" t="s">
        <v>2898</v>
      </c>
    </row>
    <row r="3133" spans="1:26" ht="15" hidden="1" customHeight="1" x14ac:dyDescent="0.25">
      <c r="A3133" s="148" t="s">
        <v>76</v>
      </c>
      <c r="B3133" s="148" t="s">
        <v>54</v>
      </c>
      <c r="C3133" s="148" t="s">
        <v>55</v>
      </c>
      <c r="D3133" s="148" t="s">
        <v>2173</v>
      </c>
      <c r="E3133" s="148" t="s">
        <v>30</v>
      </c>
      <c r="F3133" s="148" t="s">
        <v>56</v>
      </c>
      <c r="G3133" s="148" t="s">
        <v>54</v>
      </c>
      <c r="H3133" s="148">
        <v>2023</v>
      </c>
      <c r="I3133" s="148">
        <v>4</v>
      </c>
      <c r="J3133" s="148" t="s">
        <v>150</v>
      </c>
      <c r="K3133" s="148" t="s">
        <v>2896</v>
      </c>
      <c r="M3133" s="148" t="s">
        <v>82</v>
      </c>
      <c r="N3133" s="148">
        <v>8</v>
      </c>
      <c r="O3133" s="148" t="s">
        <v>83</v>
      </c>
      <c r="P3133" s="148" t="s">
        <v>2178</v>
      </c>
      <c r="Q3133" s="71"/>
      <c r="Y3133" s="150" t="s">
        <v>3071</v>
      </c>
    </row>
    <row r="3134" spans="1:26" ht="15" hidden="1" customHeight="1" x14ac:dyDescent="0.25">
      <c r="A3134" s="148" t="s">
        <v>76</v>
      </c>
      <c r="B3134" s="148" t="s">
        <v>54</v>
      </c>
      <c r="C3134" s="148" t="s">
        <v>55</v>
      </c>
      <c r="D3134" s="148" t="s">
        <v>2173</v>
      </c>
      <c r="E3134" s="148" t="s">
        <v>30</v>
      </c>
      <c r="F3134" s="148" t="s">
        <v>56</v>
      </c>
      <c r="G3134" s="148" t="s">
        <v>54</v>
      </c>
      <c r="H3134" s="148">
        <v>2023</v>
      </c>
      <c r="I3134" s="148">
        <v>4</v>
      </c>
      <c r="J3134" s="148" t="s">
        <v>640</v>
      </c>
      <c r="K3134" s="148" t="s">
        <v>2896</v>
      </c>
      <c r="M3134" s="148" t="s">
        <v>82</v>
      </c>
      <c r="N3134" s="148">
        <v>8</v>
      </c>
      <c r="O3134" s="148" t="s">
        <v>83</v>
      </c>
      <c r="P3134" s="148" t="s">
        <v>1819</v>
      </c>
      <c r="Y3134" s="130" t="s">
        <v>3074</v>
      </c>
    </row>
    <row r="3135" spans="1:26" ht="15" hidden="1" customHeight="1" x14ac:dyDescent="0.25">
      <c r="A3135" s="148" t="s">
        <v>76</v>
      </c>
      <c r="B3135" s="148" t="s">
        <v>27</v>
      </c>
      <c r="C3135" s="148" t="s">
        <v>28</v>
      </c>
      <c r="D3135" s="148" t="s">
        <v>78</v>
      </c>
      <c r="E3135" s="148" t="s">
        <v>30</v>
      </c>
      <c r="F3135" s="148" t="s">
        <v>3183</v>
      </c>
      <c r="G3135" s="148" t="s">
        <v>79</v>
      </c>
      <c r="H3135" s="148">
        <v>2023</v>
      </c>
      <c r="I3135" s="148">
        <v>4</v>
      </c>
      <c r="J3135" s="148" t="s">
        <v>80</v>
      </c>
      <c r="K3135" s="148" t="s">
        <v>2896</v>
      </c>
      <c r="M3135" s="148" t="s">
        <v>82</v>
      </c>
      <c r="N3135" s="148">
        <v>8</v>
      </c>
      <c r="O3135" s="148" t="s">
        <v>83</v>
      </c>
      <c r="P3135" s="148" t="s">
        <v>3112</v>
      </c>
      <c r="Y3135" s="154" t="s">
        <v>3110</v>
      </c>
    </row>
    <row r="3136" spans="1:26" ht="15" hidden="1" customHeight="1" x14ac:dyDescent="0.25">
      <c r="A3136" s="148" t="s">
        <v>307</v>
      </c>
      <c r="B3136" s="148" t="s">
        <v>36</v>
      </c>
      <c r="C3136" s="148" t="s">
        <v>28</v>
      </c>
      <c r="D3136" s="148" t="s">
        <v>3190</v>
      </c>
      <c r="E3136" s="148" t="s">
        <v>30</v>
      </c>
      <c r="F3136" s="148" t="s">
        <v>3183</v>
      </c>
      <c r="G3136" s="148" t="s">
        <v>194</v>
      </c>
      <c r="H3136" s="148">
        <v>2023</v>
      </c>
      <c r="I3136" s="148">
        <v>4</v>
      </c>
      <c r="J3136" s="148" t="s">
        <v>308</v>
      </c>
      <c r="Q3136" s="148" t="s">
        <v>866</v>
      </c>
      <c r="R3136" s="148" t="s">
        <v>3060</v>
      </c>
      <c r="S3136" s="148" t="s">
        <v>427</v>
      </c>
      <c r="T3136" s="148" t="s">
        <v>3059</v>
      </c>
      <c r="Y3136" s="154" t="s">
        <v>3058</v>
      </c>
      <c r="Z3136" s="152" t="s">
        <v>3188</v>
      </c>
    </row>
    <row r="3137" spans="1:27" ht="15" hidden="1" customHeight="1" x14ac:dyDescent="0.25">
      <c r="A3137" s="148" t="s">
        <v>76</v>
      </c>
      <c r="B3137" s="148" t="s">
        <v>77</v>
      </c>
      <c r="C3137" s="148" t="s">
        <v>55</v>
      </c>
      <c r="D3137" s="148" t="s">
        <v>478</v>
      </c>
      <c r="E3137" s="148" t="s">
        <v>30</v>
      </c>
      <c r="F3137" s="148" t="s">
        <v>41</v>
      </c>
      <c r="G3137" s="148" t="s">
        <v>275</v>
      </c>
      <c r="H3137" s="148">
        <v>2023</v>
      </c>
      <c r="I3137" s="148">
        <v>4</v>
      </c>
      <c r="J3137" s="148" t="s">
        <v>640</v>
      </c>
      <c r="K3137" s="148" t="s">
        <v>2896</v>
      </c>
      <c r="M3137" s="148" t="s">
        <v>82</v>
      </c>
      <c r="N3137" s="148">
        <v>8</v>
      </c>
      <c r="O3137" s="148" t="s">
        <v>83</v>
      </c>
      <c r="P3137" s="148" t="s">
        <v>1819</v>
      </c>
      <c r="Y3137" s="154" t="s">
        <v>3073</v>
      </c>
      <c r="Z3137" s="152"/>
    </row>
    <row r="3138" spans="1:27" ht="15" hidden="1" customHeight="1" x14ac:dyDescent="0.25">
      <c r="A3138" s="148" t="s">
        <v>76</v>
      </c>
      <c r="B3138" s="148" t="s">
        <v>36</v>
      </c>
      <c r="C3138" s="148" t="s">
        <v>28</v>
      </c>
      <c r="D3138" s="148" t="s">
        <v>3185</v>
      </c>
      <c r="E3138" s="148" t="s">
        <v>51</v>
      </c>
      <c r="F3138" s="148" t="s">
        <v>3183</v>
      </c>
      <c r="G3138" s="148" t="s">
        <v>52</v>
      </c>
      <c r="H3138" s="148">
        <v>2023</v>
      </c>
      <c r="I3138" s="148">
        <v>4</v>
      </c>
      <c r="J3138" s="148" t="s">
        <v>118</v>
      </c>
      <c r="K3138" s="148" t="s">
        <v>2896</v>
      </c>
      <c r="M3138" s="148" t="s">
        <v>82</v>
      </c>
      <c r="N3138" s="148">
        <v>8</v>
      </c>
      <c r="O3138" s="148" t="s">
        <v>101</v>
      </c>
      <c r="P3138" s="148" t="s">
        <v>2062</v>
      </c>
      <c r="Q3138" s="71"/>
      <c r="Y3138" s="150" t="s">
        <v>3072</v>
      </c>
    </row>
    <row r="3139" spans="1:27" ht="15" hidden="1" customHeight="1" x14ac:dyDescent="0.25">
      <c r="A3139" s="148" t="s">
        <v>76</v>
      </c>
      <c r="B3139" s="148" t="s">
        <v>77</v>
      </c>
      <c r="C3139" s="148" t="s">
        <v>55</v>
      </c>
      <c r="D3139" s="148" t="s">
        <v>478</v>
      </c>
      <c r="E3139" s="148" t="s">
        <v>30</v>
      </c>
      <c r="F3139" s="148" t="s">
        <v>41</v>
      </c>
      <c r="G3139" s="148" t="s">
        <v>363</v>
      </c>
      <c r="H3139" s="148">
        <v>2023</v>
      </c>
      <c r="I3139" s="148">
        <v>4</v>
      </c>
      <c r="J3139" s="148" t="s">
        <v>640</v>
      </c>
      <c r="K3139" s="148" t="s">
        <v>2896</v>
      </c>
      <c r="M3139" s="148" t="s">
        <v>82</v>
      </c>
      <c r="N3139" s="148">
        <v>8</v>
      </c>
      <c r="O3139" s="148" t="s">
        <v>83</v>
      </c>
      <c r="P3139" s="148" t="s">
        <v>1819</v>
      </c>
      <c r="Y3139" s="150" t="s">
        <v>3073</v>
      </c>
    </row>
    <row r="3140" spans="1:27" ht="15" hidden="1" customHeight="1" x14ac:dyDescent="0.25">
      <c r="A3140" s="148" t="s">
        <v>76</v>
      </c>
      <c r="B3140" s="148" t="s">
        <v>89</v>
      </c>
      <c r="C3140" s="148" t="s">
        <v>90</v>
      </c>
      <c r="D3140" s="148" t="s">
        <v>3191</v>
      </c>
      <c r="E3140" s="148" t="s">
        <v>30</v>
      </c>
      <c r="F3140" s="148" t="s">
        <v>91</v>
      </c>
      <c r="G3140" s="148" t="s">
        <v>620</v>
      </c>
      <c r="H3140" s="148">
        <v>2023</v>
      </c>
      <c r="I3140" s="148">
        <v>5</v>
      </c>
      <c r="J3140" s="148" t="s">
        <v>118</v>
      </c>
      <c r="K3140" s="148" t="s">
        <v>2896</v>
      </c>
      <c r="M3140" s="148" t="s">
        <v>82</v>
      </c>
      <c r="N3140" s="148">
        <v>8</v>
      </c>
      <c r="O3140" s="148" t="s">
        <v>101</v>
      </c>
      <c r="P3140" s="148" t="s">
        <v>2906</v>
      </c>
      <c r="Y3140" s="154" t="s">
        <v>3077</v>
      </c>
      <c r="Z3140" s="148" t="s">
        <v>3188</v>
      </c>
    </row>
    <row r="3141" spans="1:27" ht="15" hidden="1" customHeight="1" x14ac:dyDescent="0.25">
      <c r="A3141" s="148" t="s">
        <v>307</v>
      </c>
      <c r="B3141" s="148" t="s">
        <v>89</v>
      </c>
      <c r="C3141" s="148" t="s">
        <v>90</v>
      </c>
      <c r="D3141" s="148" t="s">
        <v>158</v>
      </c>
      <c r="E3141" s="148" t="s">
        <v>30</v>
      </c>
      <c r="F3141" s="148" t="s">
        <v>91</v>
      </c>
      <c r="G3141" s="148" t="s">
        <v>443</v>
      </c>
      <c r="H3141" s="148">
        <v>2023</v>
      </c>
      <c r="I3141" s="148">
        <v>5</v>
      </c>
      <c r="J3141" s="148" t="s">
        <v>308</v>
      </c>
      <c r="Q3141" s="148" t="s">
        <v>426</v>
      </c>
      <c r="R3141" s="148" t="s">
        <v>46</v>
      </c>
      <c r="S3141" s="148" t="s">
        <v>311</v>
      </c>
      <c r="T3141" s="148" t="s">
        <v>2900</v>
      </c>
      <c r="Y3141" s="150" t="s">
        <v>2901</v>
      </c>
    </row>
    <row r="3142" spans="1:27" ht="15" hidden="1" customHeight="1" x14ac:dyDescent="0.25">
      <c r="A3142" s="148" t="s">
        <v>76</v>
      </c>
      <c r="B3142" s="148" t="s">
        <v>62</v>
      </c>
      <c r="C3142" s="148" t="s">
        <v>28</v>
      </c>
      <c r="D3142" s="148" t="s">
        <v>759</v>
      </c>
      <c r="E3142" s="148" t="s">
        <v>51</v>
      </c>
      <c r="F3142" s="148" t="s">
        <v>3183</v>
      </c>
      <c r="G3142" s="148" t="s">
        <v>409</v>
      </c>
      <c r="H3142" s="148">
        <v>2023</v>
      </c>
      <c r="I3142" s="148">
        <v>5</v>
      </c>
      <c r="J3142" s="148" t="s">
        <v>2438</v>
      </c>
      <c r="K3142" s="148" t="s">
        <v>2896</v>
      </c>
      <c r="M3142" s="148" t="s">
        <v>82</v>
      </c>
      <c r="N3142" s="148">
        <v>8</v>
      </c>
      <c r="O3142" s="148" t="s">
        <v>2439</v>
      </c>
      <c r="P3142" s="148" t="s">
        <v>2905</v>
      </c>
      <c r="Y3142" s="150" t="s">
        <v>3076</v>
      </c>
    </row>
    <row r="3143" spans="1:27" ht="15" hidden="1" customHeight="1" x14ac:dyDescent="0.25">
      <c r="A3143" s="148" t="s">
        <v>307</v>
      </c>
      <c r="B3143" s="148" t="s">
        <v>36</v>
      </c>
      <c r="C3143" s="148" t="s">
        <v>28</v>
      </c>
      <c r="D3143" s="148" t="s">
        <v>342</v>
      </c>
      <c r="E3143" s="148" t="s">
        <v>30</v>
      </c>
      <c r="F3143" s="148" t="s">
        <v>3183</v>
      </c>
      <c r="G3143" s="148" t="s">
        <v>242</v>
      </c>
      <c r="H3143" s="148">
        <v>2023</v>
      </c>
      <c r="I3143" s="148">
        <v>5</v>
      </c>
      <c r="J3143" s="148" t="s">
        <v>308</v>
      </c>
      <c r="Q3143" s="148" t="s">
        <v>309</v>
      </c>
      <c r="R3143" s="148" t="s">
        <v>2902</v>
      </c>
      <c r="S3143" s="148" t="s">
        <v>311</v>
      </c>
      <c r="T3143" s="148" t="s">
        <v>2903</v>
      </c>
      <c r="Y3143" s="150" t="s">
        <v>2904</v>
      </c>
    </row>
    <row r="3144" spans="1:27" ht="15" hidden="1" customHeight="1" x14ac:dyDescent="0.25">
      <c r="A3144" s="150" t="s">
        <v>76</v>
      </c>
      <c r="B3144" s="155" t="s">
        <v>71</v>
      </c>
      <c r="C3144" s="155" t="s">
        <v>45</v>
      </c>
      <c r="D3144" s="155" t="s">
        <v>478</v>
      </c>
      <c r="E3144" s="155" t="s">
        <v>72</v>
      </c>
      <c r="F3144" s="155" t="s">
        <v>3183</v>
      </c>
      <c r="G3144" s="155" t="s">
        <v>75</v>
      </c>
      <c r="H3144" s="155">
        <v>2023</v>
      </c>
      <c r="I3144" s="155">
        <v>5</v>
      </c>
      <c r="J3144" s="155" t="s">
        <v>118</v>
      </c>
      <c r="K3144" s="155" t="s">
        <v>39</v>
      </c>
      <c r="L3144" s="155"/>
      <c r="M3144" s="155" t="s">
        <v>39</v>
      </c>
      <c r="N3144" s="155">
        <v>5</v>
      </c>
      <c r="O3144" s="155" t="s">
        <v>101</v>
      </c>
      <c r="P3144" s="155" t="s">
        <v>1681</v>
      </c>
      <c r="Q3144" s="155"/>
      <c r="R3144" s="155"/>
      <c r="S3144" s="155"/>
      <c r="T3144" s="155"/>
      <c r="U3144" s="155"/>
      <c r="V3144" s="155"/>
      <c r="W3144" s="155"/>
      <c r="X3144" s="155"/>
      <c r="Y3144" s="159" t="s">
        <v>3591</v>
      </c>
      <c r="Z3144" s="155" t="s">
        <v>3592</v>
      </c>
      <c r="AA3144" s="155"/>
    </row>
    <row r="3145" spans="1:27" ht="15" hidden="1" customHeight="1" x14ac:dyDescent="0.25">
      <c r="A3145" s="148" t="s">
        <v>76</v>
      </c>
      <c r="B3145" s="148" t="s">
        <v>27</v>
      </c>
      <c r="C3145" s="148" t="s">
        <v>28</v>
      </c>
      <c r="D3145" s="152" t="s">
        <v>1302</v>
      </c>
      <c r="E3145" s="148" t="s">
        <v>40</v>
      </c>
      <c r="F3145" s="148" t="s">
        <v>41</v>
      </c>
      <c r="G3145" s="148" t="s">
        <v>42</v>
      </c>
      <c r="H3145" s="148">
        <v>2023</v>
      </c>
      <c r="I3145" s="148">
        <v>5</v>
      </c>
      <c r="J3145" s="148" t="s">
        <v>118</v>
      </c>
      <c r="K3145" s="148" t="s">
        <v>2896</v>
      </c>
      <c r="M3145" s="148" t="s">
        <v>82</v>
      </c>
      <c r="N3145" s="148">
        <v>8</v>
      </c>
      <c r="O3145" s="148" t="s">
        <v>101</v>
      </c>
      <c r="P3145" s="148" t="s">
        <v>2899</v>
      </c>
      <c r="Y3145" s="150" t="s">
        <v>3075</v>
      </c>
    </row>
    <row r="3146" spans="1:27" ht="15" hidden="1" customHeight="1" x14ac:dyDescent="0.25">
      <c r="A3146" s="148" t="s">
        <v>26</v>
      </c>
      <c r="B3146" s="148" t="s">
        <v>36</v>
      </c>
      <c r="C3146" s="148" t="s">
        <v>28</v>
      </c>
      <c r="D3146" s="148" t="s">
        <v>342</v>
      </c>
      <c r="E3146" s="148" t="s">
        <v>51</v>
      </c>
      <c r="F3146" s="148" t="s">
        <v>3183</v>
      </c>
      <c r="G3146" s="148" t="s">
        <v>52</v>
      </c>
      <c r="H3146" s="148">
        <v>2023</v>
      </c>
      <c r="I3146" s="148">
        <v>5</v>
      </c>
      <c r="J3146" s="148" t="s">
        <v>33</v>
      </c>
      <c r="U3146" s="149" t="s">
        <v>112</v>
      </c>
      <c r="V3146" s="148" t="s">
        <v>3702</v>
      </c>
      <c r="W3146" s="149" t="s">
        <v>87</v>
      </c>
      <c r="X3146" s="148" t="s">
        <v>2316</v>
      </c>
      <c r="Y3146" s="150" t="s">
        <v>2908</v>
      </c>
    </row>
    <row r="3147" spans="1:27" ht="15" hidden="1" customHeight="1" x14ac:dyDescent="0.25">
      <c r="A3147" s="148" t="s">
        <v>26</v>
      </c>
      <c r="B3147" s="148" t="s">
        <v>36</v>
      </c>
      <c r="C3147" s="148" t="s">
        <v>28</v>
      </c>
      <c r="D3147" s="148" t="s">
        <v>478</v>
      </c>
      <c r="E3147" s="148" t="s">
        <v>30</v>
      </c>
      <c r="F3147" s="148" t="s">
        <v>3183</v>
      </c>
      <c r="G3147" s="148" t="s">
        <v>114</v>
      </c>
      <c r="H3147" s="148">
        <v>2023</v>
      </c>
      <c r="I3147" s="148">
        <v>5</v>
      </c>
      <c r="J3147" s="148" t="s">
        <v>33</v>
      </c>
      <c r="U3147" s="149" t="s">
        <v>112</v>
      </c>
      <c r="V3147" s="148" t="s">
        <v>3702</v>
      </c>
      <c r="W3147" s="149" t="s">
        <v>87</v>
      </c>
      <c r="X3147" s="148" t="s">
        <v>2316</v>
      </c>
      <c r="Y3147" s="150" t="s">
        <v>2909</v>
      </c>
      <c r="Z3147" s="148" t="s">
        <v>3018</v>
      </c>
    </row>
    <row r="3148" spans="1:27" ht="15" hidden="1" customHeight="1" x14ac:dyDescent="0.25">
      <c r="A3148" s="128" t="s">
        <v>76</v>
      </c>
      <c r="B3148" s="128" t="s">
        <v>198</v>
      </c>
      <c r="C3148" s="128" t="s">
        <v>45</v>
      </c>
      <c r="D3148" s="128" t="s">
        <v>478</v>
      </c>
      <c r="E3148" s="128" t="s">
        <v>30</v>
      </c>
      <c r="F3148" s="128" t="s">
        <v>199</v>
      </c>
      <c r="G3148" s="128" t="s">
        <v>208</v>
      </c>
      <c r="H3148" s="128">
        <v>2023</v>
      </c>
      <c r="I3148" s="128">
        <v>6</v>
      </c>
      <c r="J3148" s="128" t="s">
        <v>150</v>
      </c>
      <c r="K3148" s="128" t="s">
        <v>2718</v>
      </c>
      <c r="L3148" s="128"/>
      <c r="M3148" s="128" t="s">
        <v>2719</v>
      </c>
      <c r="N3148" s="128">
        <v>8</v>
      </c>
      <c r="O3148" s="128" t="s">
        <v>83</v>
      </c>
      <c r="P3148" s="128" t="s">
        <v>562</v>
      </c>
      <c r="Q3148" s="128"/>
      <c r="R3148" s="128"/>
      <c r="S3148" s="128"/>
      <c r="T3148" s="128"/>
      <c r="U3148" s="128"/>
      <c r="V3148" s="128"/>
      <c r="W3148" s="128"/>
      <c r="X3148" s="128"/>
      <c r="Y3148" s="169" t="s">
        <v>3343</v>
      </c>
      <c r="Z3148" s="128" t="s">
        <v>3344</v>
      </c>
      <c r="AA3148" s="128"/>
    </row>
    <row r="3149" spans="1:27" ht="15" hidden="1" customHeight="1" x14ac:dyDescent="0.25">
      <c r="A3149" s="148" t="s">
        <v>26</v>
      </c>
      <c r="B3149" s="148" t="s">
        <v>36</v>
      </c>
      <c r="C3149" s="148" t="s">
        <v>28</v>
      </c>
      <c r="D3149" s="148" t="s">
        <v>86</v>
      </c>
      <c r="E3149" s="148" t="s">
        <v>30</v>
      </c>
      <c r="F3149" s="148" t="s">
        <v>3183</v>
      </c>
      <c r="G3149" s="148" t="s">
        <v>211</v>
      </c>
      <c r="H3149" s="148">
        <v>2023</v>
      </c>
      <c r="I3149" s="148">
        <v>6</v>
      </c>
      <c r="J3149" s="148" t="s">
        <v>33</v>
      </c>
      <c r="U3149" s="149" t="s">
        <v>112</v>
      </c>
      <c r="V3149" s="148" t="s">
        <v>3702</v>
      </c>
      <c r="W3149" s="149" t="s">
        <v>87</v>
      </c>
      <c r="X3149" s="148" t="s">
        <v>2316</v>
      </c>
      <c r="Y3149" s="150" t="s">
        <v>2907</v>
      </c>
    </row>
    <row r="3150" spans="1:27" ht="15" hidden="1" customHeight="1" x14ac:dyDescent="0.25">
      <c r="A3150" s="148" t="s">
        <v>76</v>
      </c>
      <c r="B3150" s="148" t="s">
        <v>36</v>
      </c>
      <c r="C3150" s="148" t="s">
        <v>28</v>
      </c>
      <c r="D3150" s="148" t="s">
        <v>29</v>
      </c>
      <c r="E3150" s="148" t="s">
        <v>30</v>
      </c>
      <c r="F3150" s="148" t="s">
        <v>3183</v>
      </c>
      <c r="G3150" s="148" t="s">
        <v>722</v>
      </c>
      <c r="H3150" s="148">
        <v>2023</v>
      </c>
      <c r="I3150" s="148">
        <v>6</v>
      </c>
      <c r="J3150" s="148" t="s">
        <v>80</v>
      </c>
      <c r="K3150" s="148" t="s">
        <v>2896</v>
      </c>
      <c r="M3150" s="148" t="s">
        <v>82</v>
      </c>
      <c r="N3150" s="148">
        <v>8</v>
      </c>
      <c r="O3150" s="148" t="s">
        <v>83</v>
      </c>
      <c r="P3150" s="148" t="s">
        <v>3096</v>
      </c>
      <c r="Y3150" s="150" t="s">
        <v>3097</v>
      </c>
      <c r="Z3150" s="148" t="s">
        <v>2194</v>
      </c>
    </row>
    <row r="3151" spans="1:27" ht="15" hidden="1" customHeight="1" x14ac:dyDescent="0.25">
      <c r="A3151" s="148" t="s">
        <v>76</v>
      </c>
      <c r="B3151" s="148" t="s">
        <v>36</v>
      </c>
      <c r="C3151" s="148" t="s">
        <v>28</v>
      </c>
      <c r="D3151" s="148" t="s">
        <v>478</v>
      </c>
      <c r="E3151" s="148" t="s">
        <v>30</v>
      </c>
      <c r="F3151" s="148" t="s">
        <v>3183</v>
      </c>
      <c r="G3151" s="148" t="s">
        <v>59</v>
      </c>
      <c r="H3151" s="148">
        <v>2023</v>
      </c>
      <c r="I3151" s="148">
        <v>6</v>
      </c>
      <c r="J3151" s="148" t="s">
        <v>640</v>
      </c>
      <c r="K3151" s="148" t="s">
        <v>2896</v>
      </c>
      <c r="M3151" s="148" t="s">
        <v>82</v>
      </c>
      <c r="N3151" s="148">
        <v>8</v>
      </c>
      <c r="O3151" s="148" t="s">
        <v>83</v>
      </c>
      <c r="P3151" s="148" t="s">
        <v>3063</v>
      </c>
      <c r="Y3151" s="170" t="s">
        <v>3064</v>
      </c>
    </row>
    <row r="3152" spans="1:27" ht="15" hidden="1" customHeight="1" x14ac:dyDescent="0.25">
      <c r="A3152" s="148" t="s">
        <v>307</v>
      </c>
      <c r="B3152" s="148" t="s">
        <v>36</v>
      </c>
      <c r="C3152" s="148" t="s">
        <v>28</v>
      </c>
      <c r="D3152" s="148" t="s">
        <v>478</v>
      </c>
      <c r="E3152" s="148" t="s">
        <v>30</v>
      </c>
      <c r="F3152" s="148" t="s">
        <v>3183</v>
      </c>
      <c r="G3152" s="148" t="s">
        <v>59</v>
      </c>
      <c r="H3152" s="148">
        <v>2023</v>
      </c>
      <c r="I3152" s="148">
        <v>6</v>
      </c>
      <c r="J3152" s="148" t="s">
        <v>399</v>
      </c>
      <c r="Q3152" s="148" t="s">
        <v>426</v>
      </c>
      <c r="R3152" s="148" t="s">
        <v>2774</v>
      </c>
      <c r="S3152" s="148" t="s">
        <v>427</v>
      </c>
      <c r="T3152" s="167" t="s">
        <v>2775</v>
      </c>
      <c r="U3152" s="167"/>
      <c r="Y3152" s="168" t="s">
        <v>2776</v>
      </c>
      <c r="Z3152" s="148" t="s">
        <v>2777</v>
      </c>
    </row>
    <row r="3153" spans="1:27" ht="15" hidden="1" customHeight="1" x14ac:dyDescent="0.25">
      <c r="A3153" s="128" t="s">
        <v>26</v>
      </c>
      <c r="B3153" s="128" t="s">
        <v>89</v>
      </c>
      <c r="C3153" s="128" t="s">
        <v>90</v>
      </c>
      <c r="D3153" s="150" t="s">
        <v>29</v>
      </c>
      <c r="E3153" s="128" t="s">
        <v>30</v>
      </c>
      <c r="F3153" s="128" t="s">
        <v>91</v>
      </c>
      <c r="G3153" s="128" t="s">
        <v>747</v>
      </c>
      <c r="H3153" s="128">
        <v>2023</v>
      </c>
      <c r="I3153" s="128">
        <v>6</v>
      </c>
      <c r="J3153" s="128" t="s">
        <v>33</v>
      </c>
      <c r="K3153" s="128"/>
      <c r="L3153" s="128"/>
      <c r="M3153" s="128"/>
      <c r="N3153" s="128"/>
      <c r="O3153" s="128"/>
      <c r="P3153" s="128"/>
      <c r="Q3153" s="128"/>
      <c r="R3153" s="128"/>
      <c r="S3153" s="128"/>
      <c r="T3153" s="128"/>
      <c r="U3153" s="149" t="s">
        <v>3629</v>
      </c>
      <c r="V3153" s="128" t="s">
        <v>3007</v>
      </c>
      <c r="W3153" s="128" t="s">
        <v>87</v>
      </c>
      <c r="X3153" s="128" t="s">
        <v>3052</v>
      </c>
      <c r="Y3153" s="171" t="s">
        <v>3345</v>
      </c>
      <c r="Z3153" s="128" t="s">
        <v>3346</v>
      </c>
      <c r="AA3153" s="128"/>
    </row>
    <row r="3154" spans="1:27" ht="15" hidden="1" customHeight="1" x14ac:dyDescent="0.25">
      <c r="A3154" s="148" t="s">
        <v>26</v>
      </c>
      <c r="B3154" s="148" t="s">
        <v>89</v>
      </c>
      <c r="C3154" s="148" t="s">
        <v>90</v>
      </c>
      <c r="D3154" s="148" t="s">
        <v>29</v>
      </c>
      <c r="E3154" s="148" t="s">
        <v>30</v>
      </c>
      <c r="F3154" s="148" t="s">
        <v>91</v>
      </c>
      <c r="G3154" s="148" t="s">
        <v>747</v>
      </c>
      <c r="H3154" s="148">
        <v>2023</v>
      </c>
      <c r="I3154" s="148">
        <v>6</v>
      </c>
      <c r="J3154" s="148" t="s">
        <v>33</v>
      </c>
      <c r="U3154" s="149" t="s">
        <v>3629</v>
      </c>
      <c r="V3154" s="148" t="s">
        <v>3008</v>
      </c>
      <c r="X3154" s="148" t="s">
        <v>3052</v>
      </c>
      <c r="Y3154" s="154" t="s">
        <v>2921</v>
      </c>
    </row>
    <row r="3155" spans="1:27" ht="15" hidden="1" customHeight="1" x14ac:dyDescent="0.25">
      <c r="A3155" s="148" t="s">
        <v>76</v>
      </c>
      <c r="B3155" s="148" t="s">
        <v>62</v>
      </c>
      <c r="C3155" s="148" t="s">
        <v>28</v>
      </c>
      <c r="D3155" s="148" t="s">
        <v>759</v>
      </c>
      <c r="E3155" s="148" t="s">
        <v>51</v>
      </c>
      <c r="F3155" s="148" t="s">
        <v>3183</v>
      </c>
      <c r="G3155" s="148" t="s">
        <v>409</v>
      </c>
      <c r="H3155" s="148">
        <v>2023</v>
      </c>
      <c r="I3155" s="148">
        <v>6</v>
      </c>
      <c r="J3155" s="148" t="s">
        <v>640</v>
      </c>
      <c r="K3155" s="148" t="s">
        <v>2896</v>
      </c>
      <c r="M3155" s="148" t="s">
        <v>82</v>
      </c>
      <c r="N3155" s="148">
        <v>8</v>
      </c>
      <c r="O3155" s="148" t="s">
        <v>83</v>
      </c>
      <c r="P3155" s="148" t="s">
        <v>3061</v>
      </c>
      <c r="Y3155" s="154" t="s">
        <v>3062</v>
      </c>
    </row>
    <row r="3156" spans="1:27" ht="15" hidden="1" customHeight="1" x14ac:dyDescent="0.25">
      <c r="A3156" s="148" t="s">
        <v>307</v>
      </c>
      <c r="B3156" s="148" t="s">
        <v>62</v>
      </c>
      <c r="C3156" s="148" t="s">
        <v>28</v>
      </c>
      <c r="D3156" s="148" t="s">
        <v>478</v>
      </c>
      <c r="E3156" s="148" t="s">
        <v>30</v>
      </c>
      <c r="F3156" s="148" t="s">
        <v>3183</v>
      </c>
      <c r="G3156" s="148" t="s">
        <v>244</v>
      </c>
      <c r="H3156" s="148">
        <v>2023</v>
      </c>
      <c r="I3156" s="148">
        <v>6</v>
      </c>
      <c r="J3156" s="148" t="s">
        <v>399</v>
      </c>
      <c r="Q3156" s="148" t="s">
        <v>426</v>
      </c>
      <c r="R3156" s="148" t="s">
        <v>3066</v>
      </c>
      <c r="S3156" s="148" t="s">
        <v>311</v>
      </c>
      <c r="T3156" s="148" t="s">
        <v>3067</v>
      </c>
      <c r="Y3156" s="150" t="s">
        <v>3068</v>
      </c>
    </row>
    <row r="3157" spans="1:27" ht="15" hidden="1" customHeight="1" x14ac:dyDescent="0.25">
      <c r="A3157" s="148" t="s">
        <v>76</v>
      </c>
      <c r="B3157" s="148" t="s">
        <v>27</v>
      </c>
      <c r="C3157" s="148" t="s">
        <v>28</v>
      </c>
      <c r="D3157" s="148" t="s">
        <v>1302</v>
      </c>
      <c r="E3157" s="148" t="s">
        <v>40</v>
      </c>
      <c r="F3157" s="148" t="s">
        <v>41</v>
      </c>
      <c r="G3157" s="148" t="s">
        <v>42</v>
      </c>
      <c r="H3157" s="148">
        <v>2023</v>
      </c>
      <c r="I3157" s="148">
        <v>6</v>
      </c>
      <c r="J3157" s="148" t="s">
        <v>118</v>
      </c>
      <c r="K3157" s="148" t="s">
        <v>710</v>
      </c>
      <c r="M3157" s="148" t="s">
        <v>126</v>
      </c>
      <c r="N3157" s="148">
        <v>10</v>
      </c>
      <c r="O3157" s="148" t="s">
        <v>101</v>
      </c>
      <c r="P3157" s="148" t="s">
        <v>2918</v>
      </c>
      <c r="V3157" s="71"/>
      <c r="Y3157" s="154" t="s">
        <v>2919</v>
      </c>
    </row>
    <row r="3158" spans="1:27" ht="15" hidden="1" customHeight="1" x14ac:dyDescent="0.25">
      <c r="A3158" s="148" t="s">
        <v>26</v>
      </c>
      <c r="B3158" s="148" t="s">
        <v>36</v>
      </c>
      <c r="C3158" s="148" t="s">
        <v>28</v>
      </c>
      <c r="D3158" s="148" t="s">
        <v>478</v>
      </c>
      <c r="E3158" s="148" t="s">
        <v>51</v>
      </c>
      <c r="F3158" s="148" t="s">
        <v>3183</v>
      </c>
      <c r="G3158" s="148" t="s">
        <v>69</v>
      </c>
      <c r="H3158" s="148">
        <v>2023</v>
      </c>
      <c r="I3158" s="148">
        <v>6</v>
      </c>
      <c r="J3158" s="148" t="s">
        <v>33</v>
      </c>
      <c r="U3158" s="149" t="s">
        <v>112</v>
      </c>
      <c r="V3158" s="148" t="s">
        <v>3702</v>
      </c>
      <c r="W3158" s="149" t="s">
        <v>87</v>
      </c>
      <c r="X3158" s="152" t="s">
        <v>2316</v>
      </c>
      <c r="Y3158" s="154" t="s">
        <v>2917</v>
      </c>
    </row>
    <row r="3159" spans="1:27" ht="15" hidden="1" customHeight="1" x14ac:dyDescent="0.25">
      <c r="A3159" s="148" t="s">
        <v>307</v>
      </c>
      <c r="B3159" s="148" t="s">
        <v>54</v>
      </c>
      <c r="C3159" s="148" t="s">
        <v>55</v>
      </c>
      <c r="D3159" s="148" t="s">
        <v>2173</v>
      </c>
      <c r="E3159" s="148" t="s">
        <v>30</v>
      </c>
      <c r="F3159" s="148" t="s">
        <v>56</v>
      </c>
      <c r="G3159" s="148" t="s">
        <v>54</v>
      </c>
      <c r="H3159" s="148">
        <v>2023</v>
      </c>
      <c r="I3159" s="148">
        <v>6</v>
      </c>
      <c r="J3159" s="148" t="s">
        <v>308</v>
      </c>
      <c r="Q3159" s="148" t="s">
        <v>2239</v>
      </c>
      <c r="R3159" s="148" t="s">
        <v>2911</v>
      </c>
      <c r="S3159" s="148" t="s">
        <v>885</v>
      </c>
      <c r="T3159" s="148" t="s">
        <v>2912</v>
      </c>
      <c r="X3159" s="152"/>
      <c r="Y3159" s="130" t="s">
        <v>2913</v>
      </c>
    </row>
    <row r="3160" spans="1:27" ht="15" hidden="1" customHeight="1" x14ac:dyDescent="0.25">
      <c r="A3160" s="148" t="s">
        <v>76</v>
      </c>
      <c r="B3160" s="148" t="s">
        <v>54</v>
      </c>
      <c r="C3160" s="148" t="s">
        <v>55</v>
      </c>
      <c r="D3160" s="148" t="s">
        <v>2173</v>
      </c>
      <c r="E3160" s="148" t="s">
        <v>30</v>
      </c>
      <c r="F3160" s="148" t="s">
        <v>56</v>
      </c>
      <c r="G3160" s="148" t="s">
        <v>54</v>
      </c>
      <c r="H3160" s="148">
        <v>2023</v>
      </c>
      <c r="I3160" s="148">
        <v>6</v>
      </c>
      <c r="J3160" s="148" t="s">
        <v>2438</v>
      </c>
      <c r="K3160" s="148" t="s">
        <v>2641</v>
      </c>
      <c r="M3160" s="148" t="s">
        <v>1441</v>
      </c>
      <c r="N3160" s="148">
        <v>8</v>
      </c>
      <c r="O3160" s="148" t="s">
        <v>2439</v>
      </c>
      <c r="P3160" s="148" t="s">
        <v>2914</v>
      </c>
      <c r="Y3160" s="150" t="s">
        <v>2915</v>
      </c>
    </row>
    <row r="3161" spans="1:27" ht="15" customHeight="1" x14ac:dyDescent="0.25">
      <c r="A3161" s="148" t="s">
        <v>76</v>
      </c>
      <c r="B3161" s="148" t="s">
        <v>36</v>
      </c>
      <c r="C3161" s="148" t="s">
        <v>28</v>
      </c>
      <c r="D3161" s="148" t="s">
        <v>1304</v>
      </c>
      <c r="E3161" s="148" t="s">
        <v>30</v>
      </c>
      <c r="F3161" s="148" t="s">
        <v>3183</v>
      </c>
      <c r="G3161" s="148" t="s">
        <v>194</v>
      </c>
      <c r="H3161" s="148">
        <v>2023</v>
      </c>
      <c r="I3161" s="148">
        <v>6</v>
      </c>
      <c r="J3161" s="148" t="s">
        <v>150</v>
      </c>
      <c r="K3161" s="148" t="s">
        <v>2896</v>
      </c>
      <c r="M3161" s="148" t="s">
        <v>82</v>
      </c>
      <c r="N3161" s="148">
        <v>8</v>
      </c>
      <c r="O3161" s="148" t="s">
        <v>83</v>
      </c>
      <c r="P3161" s="148" t="s">
        <v>3098</v>
      </c>
      <c r="Y3161" s="150" t="s">
        <v>3099</v>
      </c>
    </row>
    <row r="3162" spans="1:27" ht="15" hidden="1" customHeight="1" x14ac:dyDescent="0.25">
      <c r="A3162" s="148" t="s">
        <v>76</v>
      </c>
      <c r="B3162" s="148" t="s">
        <v>89</v>
      </c>
      <c r="C3162" s="148" t="s">
        <v>90</v>
      </c>
      <c r="D3162" s="148" t="s">
        <v>478</v>
      </c>
      <c r="E3162" s="148" t="s">
        <v>30</v>
      </c>
      <c r="F3162" s="148" t="s">
        <v>91</v>
      </c>
      <c r="G3162" s="148" t="s">
        <v>92</v>
      </c>
      <c r="H3162" s="148">
        <v>2023</v>
      </c>
      <c r="I3162" s="148">
        <v>6</v>
      </c>
      <c r="J3162" s="148" t="s">
        <v>118</v>
      </c>
      <c r="K3162" s="148" t="s">
        <v>2896</v>
      </c>
      <c r="M3162" s="148" t="s">
        <v>82</v>
      </c>
      <c r="N3162" s="148">
        <v>8</v>
      </c>
      <c r="O3162" s="148" t="s">
        <v>101</v>
      </c>
      <c r="P3162" s="148" t="s">
        <v>2920</v>
      </c>
      <c r="V3162" s="71"/>
      <c r="Y3162" s="154" t="s">
        <v>3079</v>
      </c>
    </row>
    <row r="3163" spans="1:27" ht="15" hidden="1" customHeight="1" x14ac:dyDescent="0.25">
      <c r="A3163" s="148" t="s">
        <v>76</v>
      </c>
      <c r="B3163" s="148" t="s">
        <v>36</v>
      </c>
      <c r="C3163" s="148" t="s">
        <v>28</v>
      </c>
      <c r="D3163" s="148" t="s">
        <v>342</v>
      </c>
      <c r="E3163" s="148" t="s">
        <v>51</v>
      </c>
      <c r="F3163" s="148" t="s">
        <v>3183</v>
      </c>
      <c r="G3163" s="148" t="s">
        <v>52</v>
      </c>
      <c r="H3163" s="148">
        <v>2023</v>
      </c>
      <c r="I3163" s="148">
        <v>6</v>
      </c>
      <c r="J3163" s="148" t="s">
        <v>118</v>
      </c>
      <c r="K3163" s="148" t="s">
        <v>2896</v>
      </c>
      <c r="M3163" s="148" t="s">
        <v>82</v>
      </c>
      <c r="N3163" s="148">
        <v>8</v>
      </c>
      <c r="O3163" s="148" t="s">
        <v>101</v>
      </c>
      <c r="P3163" s="148" t="s">
        <v>2916</v>
      </c>
      <c r="Y3163" s="150" t="s">
        <v>3078</v>
      </c>
    </row>
    <row r="3164" spans="1:27" ht="15" hidden="1" customHeight="1" x14ac:dyDescent="0.25">
      <c r="A3164" s="148" t="s">
        <v>76</v>
      </c>
      <c r="B3164" s="148" t="s">
        <v>103</v>
      </c>
      <c r="C3164" s="148" t="s">
        <v>55</v>
      </c>
      <c r="D3164" s="148" t="s">
        <v>86</v>
      </c>
      <c r="E3164" s="148" t="s">
        <v>30</v>
      </c>
      <c r="F3164" s="148" t="s">
        <v>56</v>
      </c>
      <c r="G3164" s="148" t="s">
        <v>137</v>
      </c>
      <c r="H3164" s="148">
        <v>2023</v>
      </c>
      <c r="I3164" s="148">
        <v>6</v>
      </c>
      <c r="J3164" s="148" t="s">
        <v>640</v>
      </c>
      <c r="K3164" s="148" t="s">
        <v>2896</v>
      </c>
      <c r="M3164" s="148" t="s">
        <v>82</v>
      </c>
      <c r="N3164" s="148">
        <v>8</v>
      </c>
      <c r="O3164" s="148" t="s">
        <v>83</v>
      </c>
      <c r="P3164" s="148" t="s">
        <v>2222</v>
      </c>
      <c r="Y3164" s="168" t="s">
        <v>3065</v>
      </c>
    </row>
    <row r="3165" spans="1:27" ht="15" hidden="1" customHeight="1" x14ac:dyDescent="0.25">
      <c r="A3165" s="148" t="s">
        <v>76</v>
      </c>
      <c r="B3165" s="148" t="s">
        <v>36</v>
      </c>
      <c r="C3165" s="148" t="s">
        <v>28</v>
      </c>
      <c r="D3165" s="148" t="s">
        <v>478</v>
      </c>
      <c r="E3165" s="148" t="s">
        <v>30</v>
      </c>
      <c r="F3165" s="148" t="s">
        <v>3183</v>
      </c>
      <c r="G3165" s="148" t="s">
        <v>114</v>
      </c>
      <c r="H3165" s="148">
        <v>2023</v>
      </c>
      <c r="I3165" s="148">
        <v>6</v>
      </c>
      <c r="J3165" s="148" t="s">
        <v>118</v>
      </c>
      <c r="K3165" s="148" t="s">
        <v>2896</v>
      </c>
      <c r="M3165" s="148" t="s">
        <v>82</v>
      </c>
      <c r="N3165" s="148">
        <v>8</v>
      </c>
      <c r="O3165" s="148" t="s">
        <v>101</v>
      </c>
      <c r="P3165" s="148" t="s">
        <v>2922</v>
      </c>
      <c r="Y3165" s="154" t="s">
        <v>3080</v>
      </c>
    </row>
    <row r="3166" spans="1:27" ht="15" hidden="1" customHeight="1" x14ac:dyDescent="0.25">
      <c r="A3166" s="148" t="s">
        <v>26</v>
      </c>
      <c r="B3166" s="148" t="s">
        <v>89</v>
      </c>
      <c r="C3166" s="148" t="s">
        <v>90</v>
      </c>
      <c r="D3166" s="148" t="s">
        <v>478</v>
      </c>
      <c r="E3166" s="148" t="s">
        <v>30</v>
      </c>
      <c r="F3166" s="148" t="s">
        <v>91</v>
      </c>
      <c r="G3166" s="148" t="s">
        <v>145</v>
      </c>
      <c r="H3166" s="148">
        <v>2023</v>
      </c>
      <c r="I3166" s="148">
        <v>7</v>
      </c>
      <c r="J3166" s="148" t="s">
        <v>33</v>
      </c>
      <c r="U3166" s="149" t="s">
        <v>3629</v>
      </c>
      <c r="V3166" s="148" t="s">
        <v>3007</v>
      </c>
      <c r="W3166" s="148" t="s">
        <v>87</v>
      </c>
      <c r="X3166" s="162" t="s">
        <v>3009</v>
      </c>
      <c r="Y3166" s="150" t="s">
        <v>2930</v>
      </c>
    </row>
    <row r="3167" spans="1:27" ht="15" hidden="1" customHeight="1" x14ac:dyDescent="0.25">
      <c r="A3167" s="148" t="s">
        <v>26</v>
      </c>
      <c r="B3167" s="148" t="s">
        <v>89</v>
      </c>
      <c r="C3167" s="148" t="s">
        <v>90</v>
      </c>
      <c r="D3167" s="148" t="s">
        <v>3319</v>
      </c>
      <c r="E3167" s="148" t="s">
        <v>30</v>
      </c>
      <c r="F3167" s="148" t="s">
        <v>91</v>
      </c>
      <c r="G3167" s="148" t="s">
        <v>298</v>
      </c>
      <c r="H3167" s="148">
        <v>2023</v>
      </c>
      <c r="I3167" s="148">
        <v>7</v>
      </c>
      <c r="J3167" s="148" t="s">
        <v>33</v>
      </c>
      <c r="Q3167" s="71"/>
      <c r="R3167" s="71"/>
      <c r="U3167" s="149" t="s">
        <v>3629</v>
      </c>
      <c r="V3167" s="148" t="s">
        <v>3007</v>
      </c>
      <c r="W3167" s="148" t="s">
        <v>87</v>
      </c>
      <c r="X3167" s="162" t="s">
        <v>3009</v>
      </c>
      <c r="Y3167" s="150" t="s">
        <v>2929</v>
      </c>
    </row>
    <row r="3168" spans="1:27" ht="15" hidden="1" customHeight="1" x14ac:dyDescent="0.25">
      <c r="A3168" s="128" t="s">
        <v>26</v>
      </c>
      <c r="B3168" s="128" t="s">
        <v>89</v>
      </c>
      <c r="C3168" s="128" t="s">
        <v>90</v>
      </c>
      <c r="D3168" s="150" t="s">
        <v>29</v>
      </c>
      <c r="E3168" s="128" t="s">
        <v>30</v>
      </c>
      <c r="F3168" s="128" t="s">
        <v>91</v>
      </c>
      <c r="G3168" s="128" t="s">
        <v>417</v>
      </c>
      <c r="H3168" s="128">
        <v>2023</v>
      </c>
      <c r="I3168" s="128">
        <v>7</v>
      </c>
      <c r="J3168" s="128" t="s">
        <v>33</v>
      </c>
      <c r="K3168" s="128"/>
      <c r="L3168" s="128"/>
      <c r="M3168" s="128"/>
      <c r="N3168" s="128"/>
      <c r="O3168" s="128"/>
      <c r="P3168" s="128"/>
      <c r="Q3168" s="128"/>
      <c r="R3168" s="128"/>
      <c r="S3168" s="128"/>
      <c r="T3168" s="128"/>
      <c r="U3168" s="149" t="s">
        <v>3629</v>
      </c>
      <c r="V3168" s="128" t="s">
        <v>3007</v>
      </c>
      <c r="W3168" s="128" t="s">
        <v>87</v>
      </c>
      <c r="X3168" s="128" t="s">
        <v>3052</v>
      </c>
      <c r="Y3168" s="171" t="s">
        <v>3347</v>
      </c>
      <c r="Z3168" s="128" t="s">
        <v>3348</v>
      </c>
      <c r="AA3168" s="128"/>
    </row>
    <row r="3169" spans="1:27" ht="15" hidden="1" customHeight="1" x14ac:dyDescent="0.25">
      <c r="A3169" s="148" t="s">
        <v>26</v>
      </c>
      <c r="B3169" s="148" t="s">
        <v>71</v>
      </c>
      <c r="C3169" s="148" t="s">
        <v>45</v>
      </c>
      <c r="D3169" s="148" t="s">
        <v>29</v>
      </c>
      <c r="E3169" s="148" t="s">
        <v>30</v>
      </c>
      <c r="F3169" s="148" t="s">
        <v>3183</v>
      </c>
      <c r="G3169" s="148" t="s">
        <v>2933</v>
      </c>
      <c r="H3169" s="148">
        <v>2023</v>
      </c>
      <c r="I3169" s="148">
        <v>7</v>
      </c>
      <c r="J3169" s="148" t="s">
        <v>33</v>
      </c>
      <c r="T3169" s="148" t="s">
        <v>2934</v>
      </c>
      <c r="U3169" s="149" t="s">
        <v>112</v>
      </c>
      <c r="V3169" s="148" t="s">
        <v>3705</v>
      </c>
      <c r="Y3169" s="154" t="s">
        <v>2935</v>
      </c>
    </row>
    <row r="3170" spans="1:27" ht="15" hidden="1" customHeight="1" x14ac:dyDescent="0.25">
      <c r="A3170" s="128" t="s">
        <v>26</v>
      </c>
      <c r="B3170" s="128" t="s">
        <v>89</v>
      </c>
      <c r="C3170" s="128" t="s">
        <v>90</v>
      </c>
      <c r="D3170" s="128" t="s">
        <v>478</v>
      </c>
      <c r="E3170" s="128" t="s">
        <v>30</v>
      </c>
      <c r="F3170" s="128" t="s">
        <v>91</v>
      </c>
      <c r="G3170" s="128" t="s">
        <v>178</v>
      </c>
      <c r="H3170" s="128">
        <v>2023</v>
      </c>
      <c r="I3170" s="128">
        <v>7</v>
      </c>
      <c r="J3170" s="128" t="s">
        <v>33</v>
      </c>
      <c r="K3170" s="128"/>
      <c r="L3170" s="128"/>
      <c r="M3170" s="128"/>
      <c r="N3170" s="128"/>
      <c r="O3170" s="128"/>
      <c r="P3170" s="128"/>
      <c r="Q3170" s="128"/>
      <c r="R3170" s="128"/>
      <c r="S3170" s="128"/>
      <c r="T3170" s="128"/>
      <c r="U3170" s="149" t="s">
        <v>3629</v>
      </c>
      <c r="V3170" s="128" t="s">
        <v>3007</v>
      </c>
      <c r="W3170" s="128" t="s">
        <v>87</v>
      </c>
      <c r="X3170" s="128" t="s">
        <v>3052</v>
      </c>
      <c r="Y3170" s="171" t="s">
        <v>3349</v>
      </c>
      <c r="Z3170" s="128" t="s">
        <v>3350</v>
      </c>
      <c r="AA3170" s="128"/>
    </row>
    <row r="3171" spans="1:27" ht="15" hidden="1" customHeight="1" x14ac:dyDescent="0.25">
      <c r="A3171" s="148" t="s">
        <v>76</v>
      </c>
      <c r="B3171" s="148" t="s">
        <v>27</v>
      </c>
      <c r="C3171" s="148" t="s">
        <v>28</v>
      </c>
      <c r="D3171" s="148" t="s">
        <v>1302</v>
      </c>
      <c r="E3171" s="148" t="s">
        <v>40</v>
      </c>
      <c r="F3171" s="148" t="s">
        <v>41</v>
      </c>
      <c r="G3171" s="148" t="s">
        <v>42</v>
      </c>
      <c r="H3171" s="148">
        <v>2023</v>
      </c>
      <c r="I3171" s="148">
        <v>7</v>
      </c>
      <c r="J3171" s="148" t="s">
        <v>118</v>
      </c>
      <c r="K3171" s="148" t="s">
        <v>2896</v>
      </c>
      <c r="M3171" s="148" t="s">
        <v>82</v>
      </c>
      <c r="N3171" s="148">
        <v>8</v>
      </c>
      <c r="O3171" s="148" t="s">
        <v>101</v>
      </c>
      <c r="P3171" s="148" t="s">
        <v>2936</v>
      </c>
      <c r="Y3171" s="150" t="s">
        <v>3082</v>
      </c>
    </row>
    <row r="3172" spans="1:27" ht="15" hidden="1" customHeight="1" x14ac:dyDescent="0.25">
      <c r="A3172" s="148" t="s">
        <v>76</v>
      </c>
      <c r="B3172" s="148" t="s">
        <v>54</v>
      </c>
      <c r="C3172" s="148" t="s">
        <v>55</v>
      </c>
      <c r="D3172" s="148" t="s">
        <v>2173</v>
      </c>
      <c r="E3172" s="148" t="s">
        <v>30</v>
      </c>
      <c r="F3172" s="148" t="s">
        <v>56</v>
      </c>
      <c r="G3172" s="148" t="s">
        <v>54</v>
      </c>
      <c r="H3172" s="148">
        <v>2023</v>
      </c>
      <c r="I3172" s="148">
        <v>7</v>
      </c>
      <c r="J3172" s="148" t="s">
        <v>118</v>
      </c>
      <c r="K3172" s="148" t="s">
        <v>2896</v>
      </c>
      <c r="M3172" s="148" t="s">
        <v>82</v>
      </c>
      <c r="N3172" s="148">
        <v>8</v>
      </c>
      <c r="O3172" s="148" t="s">
        <v>101</v>
      </c>
      <c r="P3172" s="148" t="s">
        <v>2923</v>
      </c>
      <c r="Y3172" s="150" t="s">
        <v>3081</v>
      </c>
    </row>
    <row r="3173" spans="1:27" ht="15" hidden="1" customHeight="1" x14ac:dyDescent="0.25">
      <c r="A3173" s="148" t="s">
        <v>307</v>
      </c>
      <c r="B3173" s="148" t="s">
        <v>54</v>
      </c>
      <c r="C3173" s="148" t="s">
        <v>55</v>
      </c>
      <c r="D3173" s="148" t="s">
        <v>2173</v>
      </c>
      <c r="E3173" s="148" t="s">
        <v>30</v>
      </c>
      <c r="F3173" s="148" t="s">
        <v>56</v>
      </c>
      <c r="G3173" s="148" t="s">
        <v>54</v>
      </c>
      <c r="H3173" s="148">
        <v>2023</v>
      </c>
      <c r="I3173" s="148">
        <v>7</v>
      </c>
      <c r="J3173" s="148" t="s">
        <v>308</v>
      </c>
      <c r="Q3173" s="148" t="s">
        <v>594</v>
      </c>
      <c r="R3173" s="148" t="s">
        <v>2931</v>
      </c>
      <c r="S3173" s="148" t="s">
        <v>596</v>
      </c>
      <c r="T3173" s="148" t="s">
        <v>3015</v>
      </c>
      <c r="Y3173" s="150" t="s">
        <v>2932</v>
      </c>
    </row>
    <row r="3174" spans="1:27" ht="15" hidden="1" customHeight="1" x14ac:dyDescent="0.25">
      <c r="A3174" s="148" t="s">
        <v>26</v>
      </c>
      <c r="B3174" s="148" t="s">
        <v>89</v>
      </c>
      <c r="C3174" s="148" t="s">
        <v>90</v>
      </c>
      <c r="D3174" s="148" t="s">
        <v>478</v>
      </c>
      <c r="E3174" s="148" t="s">
        <v>30</v>
      </c>
      <c r="F3174" s="148" t="s">
        <v>91</v>
      </c>
      <c r="G3174" s="148" t="s">
        <v>92</v>
      </c>
      <c r="H3174" s="148">
        <v>2023</v>
      </c>
      <c r="I3174" s="148">
        <v>7</v>
      </c>
      <c r="J3174" s="148" t="s">
        <v>33</v>
      </c>
      <c r="U3174" s="149" t="s">
        <v>3629</v>
      </c>
      <c r="V3174" s="148" t="s">
        <v>3007</v>
      </c>
      <c r="W3174" s="148" t="s">
        <v>87</v>
      </c>
      <c r="X3174" s="148" t="s">
        <v>3052</v>
      </c>
      <c r="Y3174" s="150" t="s">
        <v>2937</v>
      </c>
    </row>
    <row r="3175" spans="1:27" ht="15" hidden="1" customHeight="1" x14ac:dyDescent="0.25">
      <c r="A3175" s="148" t="s">
        <v>307</v>
      </c>
      <c r="B3175" s="148" t="s">
        <v>36</v>
      </c>
      <c r="C3175" s="148" t="s">
        <v>28</v>
      </c>
      <c r="D3175" s="148" t="s">
        <v>342</v>
      </c>
      <c r="E3175" s="148" t="s">
        <v>51</v>
      </c>
      <c r="F3175" s="148" t="s">
        <v>3183</v>
      </c>
      <c r="G3175" s="148" t="s">
        <v>52</v>
      </c>
      <c r="H3175" s="148">
        <v>2023</v>
      </c>
      <c r="I3175" s="148">
        <v>7</v>
      </c>
      <c r="J3175" s="148" t="s">
        <v>308</v>
      </c>
      <c r="Q3175" s="148" t="s">
        <v>594</v>
      </c>
      <c r="R3175" s="148" t="s">
        <v>2924</v>
      </c>
      <c r="S3175" s="148" t="s">
        <v>885</v>
      </c>
      <c r="T3175" s="148" t="s">
        <v>2925</v>
      </c>
      <c r="Y3175" s="150" t="s">
        <v>2926</v>
      </c>
    </row>
    <row r="3176" spans="1:27" ht="15" hidden="1" customHeight="1" x14ac:dyDescent="0.25">
      <c r="A3176" s="148" t="s">
        <v>26</v>
      </c>
      <c r="B3176" s="148" t="s">
        <v>71</v>
      </c>
      <c r="C3176" s="148" t="s">
        <v>45</v>
      </c>
      <c r="D3176" s="148" t="s">
        <v>478</v>
      </c>
      <c r="E3176" s="148" t="s">
        <v>30</v>
      </c>
      <c r="F3176" s="148" t="s">
        <v>3183</v>
      </c>
      <c r="G3176" s="148" t="s">
        <v>769</v>
      </c>
      <c r="H3176" s="148">
        <v>2023</v>
      </c>
      <c r="I3176" s="148">
        <v>7</v>
      </c>
      <c r="J3176" s="148" t="s">
        <v>33</v>
      </c>
      <c r="Q3176" s="71"/>
      <c r="R3176" s="71"/>
      <c r="U3176" s="149" t="s">
        <v>112</v>
      </c>
      <c r="V3176" s="148" t="s">
        <v>3705</v>
      </c>
      <c r="W3176" s="148" t="s">
        <v>34</v>
      </c>
      <c r="X3176" s="148" t="s">
        <v>2927</v>
      </c>
      <c r="Y3176" s="150" t="s">
        <v>2928</v>
      </c>
    </row>
    <row r="3177" spans="1:27" ht="15" hidden="1" customHeight="1" x14ac:dyDescent="0.25">
      <c r="A3177" s="148" t="s">
        <v>76</v>
      </c>
      <c r="B3177" s="148" t="s">
        <v>103</v>
      </c>
      <c r="C3177" s="148" t="s">
        <v>55</v>
      </c>
      <c r="D3177" s="148" t="s">
        <v>478</v>
      </c>
      <c r="E3177" s="148" t="s">
        <v>30</v>
      </c>
      <c r="F3177" s="148" t="s">
        <v>56</v>
      </c>
      <c r="G3177" s="148" t="s">
        <v>171</v>
      </c>
      <c r="H3177" s="148">
        <v>2023</v>
      </c>
      <c r="I3177" s="148">
        <v>8</v>
      </c>
      <c r="J3177" s="148" t="s">
        <v>150</v>
      </c>
      <c r="K3177" s="148" t="s">
        <v>2896</v>
      </c>
      <c r="M3177" s="148" t="s">
        <v>82</v>
      </c>
      <c r="N3177" s="148">
        <v>8</v>
      </c>
      <c r="O3177" s="148" t="s">
        <v>83</v>
      </c>
      <c r="P3177" s="148" t="s">
        <v>2939</v>
      </c>
      <c r="Y3177" s="150" t="s">
        <v>3084</v>
      </c>
    </row>
    <row r="3178" spans="1:27" ht="15" hidden="1" customHeight="1" x14ac:dyDescent="0.25">
      <c r="A3178" s="148" t="s">
        <v>76</v>
      </c>
      <c r="B3178" s="148" t="s">
        <v>116</v>
      </c>
      <c r="C3178" s="148" t="s">
        <v>90</v>
      </c>
      <c r="D3178" s="148" t="s">
        <v>478</v>
      </c>
      <c r="E3178" s="148" t="s">
        <v>30</v>
      </c>
      <c r="F3178" s="148" t="s">
        <v>41</v>
      </c>
      <c r="G3178" s="148" t="s">
        <v>421</v>
      </c>
      <c r="H3178" s="148">
        <v>2023</v>
      </c>
      <c r="I3178" s="148">
        <v>8</v>
      </c>
      <c r="J3178" s="148" t="s">
        <v>640</v>
      </c>
      <c r="K3178" s="148" t="s">
        <v>2896</v>
      </c>
      <c r="M3178" s="148" t="s">
        <v>82</v>
      </c>
      <c r="N3178" s="148">
        <v>8</v>
      </c>
      <c r="O3178" s="148" t="s">
        <v>83</v>
      </c>
      <c r="P3178" s="148" t="s">
        <v>3105</v>
      </c>
      <c r="Y3178" s="150" t="s">
        <v>3104</v>
      </c>
    </row>
    <row r="3179" spans="1:27" ht="15" hidden="1" customHeight="1" x14ac:dyDescent="0.25">
      <c r="A3179" s="148" t="s">
        <v>76</v>
      </c>
      <c r="B3179" s="148" t="s">
        <v>77</v>
      </c>
      <c r="C3179" s="148" t="s">
        <v>55</v>
      </c>
      <c r="D3179" s="148" t="s">
        <v>478</v>
      </c>
      <c r="E3179" s="148" t="s">
        <v>30</v>
      </c>
      <c r="F3179" s="148" t="s">
        <v>41</v>
      </c>
      <c r="G3179" s="148" t="s">
        <v>159</v>
      </c>
      <c r="H3179" s="148">
        <v>2023</v>
      </c>
      <c r="I3179" s="148">
        <v>8</v>
      </c>
      <c r="J3179" s="148" t="s">
        <v>640</v>
      </c>
      <c r="K3179" s="148" t="s">
        <v>2896</v>
      </c>
      <c r="M3179" s="148" t="s">
        <v>82</v>
      </c>
      <c r="N3179" s="148">
        <v>8</v>
      </c>
      <c r="O3179" s="148" t="s">
        <v>83</v>
      </c>
      <c r="P3179" s="148" t="s">
        <v>3105</v>
      </c>
      <c r="Y3179" s="150" t="s">
        <v>3104</v>
      </c>
    </row>
    <row r="3180" spans="1:27" ht="15" hidden="1" customHeight="1" x14ac:dyDescent="0.25">
      <c r="A3180" s="148" t="s">
        <v>26</v>
      </c>
      <c r="B3180" s="148" t="s">
        <v>36</v>
      </c>
      <c r="C3180" s="148" t="s">
        <v>28</v>
      </c>
      <c r="D3180" s="148" t="s">
        <v>478</v>
      </c>
      <c r="E3180" s="148" t="s">
        <v>30</v>
      </c>
      <c r="F3180" s="148" t="s">
        <v>3183</v>
      </c>
      <c r="G3180" s="148" t="s">
        <v>67</v>
      </c>
      <c r="H3180" s="148">
        <v>2023</v>
      </c>
      <c r="I3180" s="148">
        <v>8</v>
      </c>
      <c r="J3180" s="148" t="s">
        <v>33</v>
      </c>
      <c r="U3180" s="149" t="s">
        <v>3629</v>
      </c>
      <c r="V3180" s="148" t="s">
        <v>3007</v>
      </c>
      <c r="W3180" s="148" t="s">
        <v>87</v>
      </c>
      <c r="X3180" s="148" t="s">
        <v>3052</v>
      </c>
      <c r="Y3180" s="150" t="s">
        <v>2940</v>
      </c>
    </row>
    <row r="3181" spans="1:27" ht="15" hidden="1" customHeight="1" x14ac:dyDescent="0.25">
      <c r="A3181" s="148" t="s">
        <v>307</v>
      </c>
      <c r="B3181" s="148" t="s">
        <v>27</v>
      </c>
      <c r="C3181" s="148" t="s">
        <v>28</v>
      </c>
      <c r="D3181" s="148" t="s">
        <v>1302</v>
      </c>
      <c r="E3181" s="148" t="s">
        <v>40</v>
      </c>
      <c r="F3181" s="148" t="s">
        <v>41</v>
      </c>
      <c r="G3181" s="148" t="s">
        <v>42</v>
      </c>
      <c r="H3181" s="148">
        <v>2023</v>
      </c>
      <c r="I3181" s="148">
        <v>8</v>
      </c>
      <c r="J3181" s="148" t="s">
        <v>308</v>
      </c>
      <c r="Q3181" s="148" t="s">
        <v>594</v>
      </c>
      <c r="R3181" s="148" t="s">
        <v>2942</v>
      </c>
      <c r="S3181" s="148" t="s">
        <v>885</v>
      </c>
      <c r="T3181" s="148" t="s">
        <v>2943</v>
      </c>
      <c r="Y3181" s="150" t="s">
        <v>2944</v>
      </c>
    </row>
    <row r="3182" spans="1:27" ht="15" hidden="1" customHeight="1" x14ac:dyDescent="0.25">
      <c r="A3182" s="148" t="s">
        <v>76</v>
      </c>
      <c r="B3182" s="148" t="s">
        <v>54</v>
      </c>
      <c r="C3182" s="148" t="s">
        <v>55</v>
      </c>
      <c r="D3182" s="148" t="s">
        <v>2173</v>
      </c>
      <c r="E3182" s="148" t="s">
        <v>30</v>
      </c>
      <c r="F3182" s="148" t="s">
        <v>56</v>
      </c>
      <c r="G3182" s="148" t="s">
        <v>54</v>
      </c>
      <c r="H3182" s="148">
        <v>2023</v>
      </c>
      <c r="I3182" s="148">
        <v>8</v>
      </c>
      <c r="J3182" s="148" t="s">
        <v>80</v>
      </c>
      <c r="K3182" s="148" t="s">
        <v>2896</v>
      </c>
      <c r="M3182" s="148" t="s">
        <v>82</v>
      </c>
      <c r="N3182" s="148">
        <v>8</v>
      </c>
      <c r="O3182" s="148" t="s">
        <v>83</v>
      </c>
      <c r="P3182" s="148" t="s">
        <v>3083</v>
      </c>
      <c r="Y3182" s="150" t="s">
        <v>3104</v>
      </c>
    </row>
    <row r="3183" spans="1:27" ht="15" hidden="1" customHeight="1" x14ac:dyDescent="0.25">
      <c r="A3183" s="148" t="s">
        <v>76</v>
      </c>
      <c r="B3183" s="148" t="s">
        <v>116</v>
      </c>
      <c r="C3183" s="148" t="s">
        <v>90</v>
      </c>
      <c r="D3183" s="148" t="s">
        <v>478</v>
      </c>
      <c r="E3183" s="148" t="s">
        <v>30</v>
      </c>
      <c r="F3183" s="148" t="s">
        <v>41</v>
      </c>
      <c r="G3183" s="148" t="s">
        <v>756</v>
      </c>
      <c r="H3183" s="148">
        <v>2023</v>
      </c>
      <c r="I3183" s="148">
        <v>8</v>
      </c>
      <c r="J3183" s="148" t="s">
        <v>640</v>
      </c>
      <c r="K3183" s="148" t="s">
        <v>2896</v>
      </c>
      <c r="M3183" s="148" t="s">
        <v>82</v>
      </c>
      <c r="N3183" s="148">
        <v>8</v>
      </c>
      <c r="O3183" s="148" t="s">
        <v>83</v>
      </c>
      <c r="P3183" s="148" t="s">
        <v>3105</v>
      </c>
      <c r="Y3183" s="150" t="s">
        <v>3104</v>
      </c>
    </row>
    <row r="3184" spans="1:27" ht="15" hidden="1" customHeight="1" x14ac:dyDescent="0.25">
      <c r="A3184" s="148" t="s">
        <v>76</v>
      </c>
      <c r="B3184" s="148" t="s">
        <v>116</v>
      </c>
      <c r="C3184" s="148" t="s">
        <v>90</v>
      </c>
      <c r="D3184" s="148" t="s">
        <v>478</v>
      </c>
      <c r="E3184" s="148" t="s">
        <v>30</v>
      </c>
      <c r="F3184" s="148" t="s">
        <v>41</v>
      </c>
      <c r="G3184" s="148" t="s">
        <v>503</v>
      </c>
      <c r="H3184" s="148">
        <v>2023</v>
      </c>
      <c r="I3184" s="148">
        <v>8</v>
      </c>
      <c r="J3184" s="148" t="s">
        <v>118</v>
      </c>
      <c r="K3184" s="148" t="s">
        <v>2896</v>
      </c>
      <c r="M3184" s="148" t="s">
        <v>82</v>
      </c>
      <c r="N3184" s="148">
        <v>8</v>
      </c>
      <c r="O3184" s="148" t="s">
        <v>101</v>
      </c>
      <c r="P3184" s="148" t="s">
        <v>2941</v>
      </c>
      <c r="Y3184" s="150" t="s">
        <v>3085</v>
      </c>
    </row>
    <row r="3185" spans="1:27" ht="15" hidden="1" customHeight="1" x14ac:dyDescent="0.25">
      <c r="A3185" s="148" t="s">
        <v>76</v>
      </c>
      <c r="B3185" s="148" t="s">
        <v>36</v>
      </c>
      <c r="C3185" s="148" t="s">
        <v>2430</v>
      </c>
      <c r="D3185" s="148" t="s">
        <v>478</v>
      </c>
      <c r="E3185" s="148" t="s">
        <v>30</v>
      </c>
      <c r="F3185" s="148" t="s">
        <v>3183</v>
      </c>
      <c r="G3185" s="148" t="s">
        <v>114</v>
      </c>
      <c r="H3185" s="148">
        <v>2023</v>
      </c>
      <c r="I3185" s="148">
        <v>8</v>
      </c>
      <c r="J3185" s="148" t="s">
        <v>640</v>
      </c>
      <c r="K3185" s="148" t="s">
        <v>2896</v>
      </c>
      <c r="M3185" s="148" t="s">
        <v>82</v>
      </c>
      <c r="N3185" s="148">
        <v>8</v>
      </c>
      <c r="O3185" s="148" t="s">
        <v>83</v>
      </c>
      <c r="P3185" s="148" t="s">
        <v>3105</v>
      </c>
      <c r="Y3185" s="150" t="s">
        <v>3104</v>
      </c>
    </row>
    <row r="3186" spans="1:27" ht="15" hidden="1" customHeight="1" x14ac:dyDescent="0.25">
      <c r="A3186" s="148" t="s">
        <v>307</v>
      </c>
      <c r="B3186" s="148" t="s">
        <v>36</v>
      </c>
      <c r="C3186" s="148" t="s">
        <v>28</v>
      </c>
      <c r="D3186" s="148" t="s">
        <v>342</v>
      </c>
      <c r="E3186" s="148" t="s">
        <v>30</v>
      </c>
      <c r="F3186" s="148" t="s">
        <v>3183</v>
      </c>
      <c r="G3186" s="148" t="s">
        <v>438</v>
      </c>
      <c r="H3186" s="148">
        <v>2023</v>
      </c>
      <c r="I3186" s="148">
        <v>9</v>
      </c>
      <c r="J3186" s="148" t="s">
        <v>399</v>
      </c>
      <c r="Q3186" s="148" t="s">
        <v>426</v>
      </c>
      <c r="R3186" s="148" t="s">
        <v>2952</v>
      </c>
      <c r="S3186" s="148" t="s">
        <v>311</v>
      </c>
      <c r="T3186" s="148" t="s">
        <v>2953</v>
      </c>
      <c r="Y3186" s="150" t="s">
        <v>2954</v>
      </c>
    </row>
    <row r="3187" spans="1:27" ht="15" hidden="1" customHeight="1" x14ac:dyDescent="0.25">
      <c r="A3187" s="148" t="s">
        <v>26</v>
      </c>
      <c r="B3187" s="148" t="s">
        <v>36</v>
      </c>
      <c r="C3187" s="148" t="s">
        <v>28</v>
      </c>
      <c r="D3187" s="148" t="s">
        <v>478</v>
      </c>
      <c r="E3187" s="148" t="s">
        <v>30</v>
      </c>
      <c r="F3187" s="148" t="s">
        <v>3183</v>
      </c>
      <c r="G3187" s="148" t="s">
        <v>59</v>
      </c>
      <c r="H3187" s="148">
        <v>2023</v>
      </c>
      <c r="I3187" s="148">
        <v>9</v>
      </c>
      <c r="J3187" s="148" t="s">
        <v>33</v>
      </c>
      <c r="U3187" s="149" t="s">
        <v>112</v>
      </c>
      <c r="V3187" s="148" t="s">
        <v>3702</v>
      </c>
      <c r="W3187" s="149" t="s">
        <v>87</v>
      </c>
      <c r="X3187" s="148" t="s">
        <v>2316</v>
      </c>
      <c r="Y3187" s="150" t="s">
        <v>2955</v>
      </c>
    </row>
    <row r="3188" spans="1:27" ht="15" hidden="1" customHeight="1" x14ac:dyDescent="0.25">
      <c r="A3188" s="128" t="s">
        <v>76</v>
      </c>
      <c r="B3188" s="128" t="s">
        <v>77</v>
      </c>
      <c r="C3188" s="128" t="s">
        <v>55</v>
      </c>
      <c r="D3188" s="128" t="s">
        <v>3187</v>
      </c>
      <c r="E3188" s="128" t="s">
        <v>30</v>
      </c>
      <c r="F3188" s="128" t="s">
        <v>41</v>
      </c>
      <c r="G3188" s="128" t="s">
        <v>159</v>
      </c>
      <c r="H3188" s="128">
        <v>2023</v>
      </c>
      <c r="I3188" s="128">
        <v>9</v>
      </c>
      <c r="J3188" s="148" t="s">
        <v>640</v>
      </c>
      <c r="K3188" s="128" t="s">
        <v>710</v>
      </c>
      <c r="L3188" s="128"/>
      <c r="M3188" s="128" t="s">
        <v>3351</v>
      </c>
      <c r="N3188" s="128">
        <v>10</v>
      </c>
      <c r="O3188" s="128" t="s">
        <v>101</v>
      </c>
      <c r="P3188" s="128" t="s">
        <v>146</v>
      </c>
      <c r="Q3188" s="128"/>
      <c r="R3188" s="128"/>
      <c r="S3188" s="128"/>
      <c r="T3188" s="128"/>
      <c r="U3188" s="128"/>
      <c r="V3188" s="128"/>
      <c r="W3188" s="128"/>
      <c r="X3188" s="128"/>
      <c r="Y3188" s="128" t="s">
        <v>3352</v>
      </c>
      <c r="Z3188" s="128" t="s">
        <v>3353</v>
      </c>
      <c r="AA3188" s="128"/>
    </row>
    <row r="3189" spans="1:27" ht="15" hidden="1" customHeight="1" x14ac:dyDescent="0.25">
      <c r="A3189" s="148" t="s">
        <v>307</v>
      </c>
      <c r="B3189" s="148" t="s">
        <v>36</v>
      </c>
      <c r="C3189" s="148" t="s">
        <v>28</v>
      </c>
      <c r="D3189" s="148" t="s">
        <v>1304</v>
      </c>
      <c r="E3189" s="148" t="s">
        <v>30</v>
      </c>
      <c r="F3189" s="148" t="s">
        <v>3183</v>
      </c>
      <c r="G3189" s="148" t="s">
        <v>194</v>
      </c>
      <c r="H3189" s="148">
        <v>2023</v>
      </c>
      <c r="I3189" s="148">
        <v>9</v>
      </c>
      <c r="J3189" s="148" t="s">
        <v>308</v>
      </c>
      <c r="Q3189" s="150" t="s">
        <v>309</v>
      </c>
      <c r="R3189" s="148" t="s">
        <v>2949</v>
      </c>
      <c r="S3189" s="148" t="s">
        <v>311</v>
      </c>
      <c r="T3189" s="148" t="s">
        <v>2950</v>
      </c>
      <c r="Y3189" s="150" t="s">
        <v>2951</v>
      </c>
    </row>
    <row r="3190" spans="1:27" ht="15" hidden="1" customHeight="1" x14ac:dyDescent="0.25">
      <c r="A3190" s="148" t="s">
        <v>307</v>
      </c>
      <c r="B3190" s="148" t="s">
        <v>36</v>
      </c>
      <c r="C3190" s="148" t="s">
        <v>28</v>
      </c>
      <c r="D3190" s="148" t="s">
        <v>342</v>
      </c>
      <c r="E3190" s="148" t="s">
        <v>51</v>
      </c>
      <c r="F3190" s="148" t="s">
        <v>3183</v>
      </c>
      <c r="G3190" s="148" t="s">
        <v>52</v>
      </c>
      <c r="H3190" s="148">
        <v>2023</v>
      </c>
      <c r="I3190" s="148">
        <v>9</v>
      </c>
      <c r="J3190" s="148" t="s">
        <v>308</v>
      </c>
      <c r="Q3190" s="148" t="s">
        <v>594</v>
      </c>
      <c r="R3190" s="148" t="s">
        <v>2945</v>
      </c>
      <c r="S3190" s="148" t="s">
        <v>427</v>
      </c>
      <c r="T3190" s="148" t="s">
        <v>2946</v>
      </c>
      <c r="Y3190" s="150" t="s">
        <v>2947</v>
      </c>
    </row>
    <row r="3191" spans="1:27" ht="15" hidden="1" customHeight="1" x14ac:dyDescent="0.25">
      <c r="A3191" s="148" t="s">
        <v>26</v>
      </c>
      <c r="B3191" s="148" t="s">
        <v>36</v>
      </c>
      <c r="C3191" s="148" t="s">
        <v>28</v>
      </c>
      <c r="D3191" s="148" t="s">
        <v>478</v>
      </c>
      <c r="E3191" s="148" t="s">
        <v>30</v>
      </c>
      <c r="F3191" s="148" t="s">
        <v>3183</v>
      </c>
      <c r="G3191" s="148" t="s">
        <v>2309</v>
      </c>
      <c r="H3191" s="148">
        <v>2023</v>
      </c>
      <c r="I3191" s="148">
        <v>9</v>
      </c>
      <c r="J3191" s="148" t="s">
        <v>33</v>
      </c>
      <c r="U3191" s="149" t="s">
        <v>112</v>
      </c>
      <c r="V3191" s="148" t="s">
        <v>3706</v>
      </c>
      <c r="Y3191" s="150" t="s">
        <v>2948</v>
      </c>
      <c r="Z3191" s="148" t="s">
        <v>3018</v>
      </c>
    </row>
    <row r="3192" spans="1:27" ht="15" hidden="1" customHeight="1" x14ac:dyDescent="0.25">
      <c r="A3192" s="148" t="s">
        <v>307</v>
      </c>
      <c r="B3192" s="148" t="s">
        <v>116</v>
      </c>
      <c r="C3192" s="148" t="s">
        <v>90</v>
      </c>
      <c r="D3192" s="148" t="s">
        <v>29</v>
      </c>
      <c r="E3192" s="148" t="s">
        <v>30</v>
      </c>
      <c r="F3192" s="148" t="s">
        <v>41</v>
      </c>
      <c r="G3192" s="148" t="s">
        <v>604</v>
      </c>
      <c r="H3192" s="148">
        <v>2023</v>
      </c>
      <c r="I3192" s="148">
        <v>10</v>
      </c>
      <c r="J3192" s="148" t="s">
        <v>308</v>
      </c>
      <c r="Q3192" s="148" t="s">
        <v>426</v>
      </c>
      <c r="R3192" s="148" t="s">
        <v>46</v>
      </c>
      <c r="S3192" s="148" t="s">
        <v>885</v>
      </c>
      <c r="T3192" s="148" t="s">
        <v>2961</v>
      </c>
      <c r="Y3192" s="150" t="s">
        <v>2962</v>
      </c>
    </row>
    <row r="3193" spans="1:27" ht="15" hidden="1" customHeight="1" x14ac:dyDescent="0.25">
      <c r="A3193" s="148" t="s">
        <v>76</v>
      </c>
      <c r="B3193" s="148" t="s">
        <v>103</v>
      </c>
      <c r="C3193" s="148" t="s">
        <v>55</v>
      </c>
      <c r="D3193" s="148" t="s">
        <v>516</v>
      </c>
      <c r="E3193" s="148" t="s">
        <v>30</v>
      </c>
      <c r="F3193" s="148" t="s">
        <v>56</v>
      </c>
      <c r="G3193" s="148" t="s">
        <v>260</v>
      </c>
      <c r="H3193" s="148">
        <v>2023</v>
      </c>
      <c r="I3193" s="148">
        <v>10</v>
      </c>
      <c r="J3193" s="148" t="s">
        <v>640</v>
      </c>
      <c r="K3193" s="148" t="s">
        <v>2971</v>
      </c>
      <c r="M3193" s="148" t="s">
        <v>126</v>
      </c>
      <c r="N3193" s="148">
        <v>10</v>
      </c>
      <c r="O3193" s="148" t="s">
        <v>101</v>
      </c>
      <c r="P3193" s="148" t="s">
        <v>2979</v>
      </c>
      <c r="Y3193" s="150" t="s">
        <v>2978</v>
      </c>
    </row>
    <row r="3194" spans="1:27" ht="15" hidden="1" customHeight="1" x14ac:dyDescent="0.25">
      <c r="A3194" s="148" t="s">
        <v>76</v>
      </c>
      <c r="B3194" s="148" t="s">
        <v>36</v>
      </c>
      <c r="C3194" s="148" t="s">
        <v>28</v>
      </c>
      <c r="D3194" s="148" t="s">
        <v>342</v>
      </c>
      <c r="E3194" s="148" t="s">
        <v>30</v>
      </c>
      <c r="F3194" s="148" t="s">
        <v>3183</v>
      </c>
      <c r="G3194" s="148" t="s">
        <v>438</v>
      </c>
      <c r="H3194" s="148">
        <v>2023</v>
      </c>
      <c r="I3194" s="148">
        <v>10</v>
      </c>
      <c r="J3194" s="148" t="s">
        <v>640</v>
      </c>
      <c r="K3194" s="148" t="s">
        <v>2971</v>
      </c>
      <c r="M3194" s="148" t="s">
        <v>126</v>
      </c>
      <c r="N3194" s="148">
        <v>10</v>
      </c>
      <c r="O3194" s="148" t="s">
        <v>101</v>
      </c>
      <c r="P3194" s="148" t="s">
        <v>2981</v>
      </c>
      <c r="Y3194" s="150" t="s">
        <v>2978</v>
      </c>
    </row>
    <row r="3195" spans="1:27" ht="15" hidden="1" customHeight="1" x14ac:dyDescent="0.25">
      <c r="A3195" s="148" t="s">
        <v>26</v>
      </c>
      <c r="B3195" s="148" t="s">
        <v>71</v>
      </c>
      <c r="C3195" s="148" t="s">
        <v>45</v>
      </c>
      <c r="D3195" s="148" t="s">
        <v>478</v>
      </c>
      <c r="E3195" s="148" t="s">
        <v>30</v>
      </c>
      <c r="F3195" s="148" t="s">
        <v>3183</v>
      </c>
      <c r="G3195" s="148" t="s">
        <v>621</v>
      </c>
      <c r="H3195" s="148">
        <v>2023</v>
      </c>
      <c r="I3195" s="148">
        <v>10</v>
      </c>
      <c r="J3195" s="148" t="s">
        <v>33</v>
      </c>
      <c r="U3195" s="149" t="s">
        <v>112</v>
      </c>
      <c r="V3195" s="148" t="s">
        <v>3702</v>
      </c>
      <c r="W3195" s="149" t="s">
        <v>87</v>
      </c>
      <c r="X3195" s="148" t="s">
        <v>2316</v>
      </c>
      <c r="Y3195" s="150" t="s">
        <v>2956</v>
      </c>
    </row>
    <row r="3196" spans="1:27" ht="15" hidden="1" customHeight="1" x14ac:dyDescent="0.25">
      <c r="A3196" s="177" t="s">
        <v>26</v>
      </c>
      <c r="B3196" s="148" t="s">
        <v>116</v>
      </c>
      <c r="C3196" s="148" t="s">
        <v>90</v>
      </c>
      <c r="D3196" s="148" t="s">
        <v>99</v>
      </c>
      <c r="E3196" s="148" t="s">
        <v>40</v>
      </c>
      <c r="F3196" s="148" t="s">
        <v>41</v>
      </c>
      <c r="G3196" s="148" t="s">
        <v>345</v>
      </c>
      <c r="H3196" s="148">
        <v>2023</v>
      </c>
      <c r="I3196" s="148">
        <v>10</v>
      </c>
      <c r="J3196" s="177" t="s">
        <v>817</v>
      </c>
      <c r="R3196" s="148" t="s">
        <v>46</v>
      </c>
      <c r="T3196" s="148" t="s">
        <v>2987</v>
      </c>
      <c r="V3196" s="148" t="s">
        <v>3005</v>
      </c>
      <c r="W3196" s="148" t="s">
        <v>34</v>
      </c>
      <c r="X3196" s="148" t="s">
        <v>3040</v>
      </c>
      <c r="Y3196" s="150" t="s">
        <v>2967</v>
      </c>
      <c r="Z3196" s="177" t="s">
        <v>3779</v>
      </c>
    </row>
    <row r="3197" spans="1:27" ht="15" hidden="1" customHeight="1" x14ac:dyDescent="0.25">
      <c r="A3197" s="148" t="s">
        <v>76</v>
      </c>
      <c r="B3197" s="148" t="s">
        <v>36</v>
      </c>
      <c r="C3197" s="148" t="s">
        <v>28</v>
      </c>
      <c r="D3197" s="148" t="s">
        <v>342</v>
      </c>
      <c r="E3197" s="148" t="s">
        <v>30</v>
      </c>
      <c r="F3197" s="148" t="s">
        <v>3183</v>
      </c>
      <c r="G3197" s="148" t="s">
        <v>242</v>
      </c>
      <c r="H3197" s="148">
        <v>2023</v>
      </c>
      <c r="I3197" s="148">
        <v>10</v>
      </c>
      <c r="J3197" s="148" t="s">
        <v>640</v>
      </c>
      <c r="K3197" s="148" t="s">
        <v>710</v>
      </c>
      <c r="M3197" s="148" t="s">
        <v>126</v>
      </c>
      <c r="N3197" s="148">
        <v>10</v>
      </c>
      <c r="O3197" s="148" t="s">
        <v>101</v>
      </c>
      <c r="P3197" s="148" t="s">
        <v>2968</v>
      </c>
      <c r="Y3197" s="150" t="s">
        <v>2969</v>
      </c>
    </row>
    <row r="3198" spans="1:27" ht="15" hidden="1" customHeight="1" x14ac:dyDescent="0.25">
      <c r="A3198" s="128" t="s">
        <v>76</v>
      </c>
      <c r="B3198" s="128" t="s">
        <v>36</v>
      </c>
      <c r="C3198" s="128" t="s">
        <v>28</v>
      </c>
      <c r="D3198" s="128" t="s">
        <v>342</v>
      </c>
      <c r="E3198" s="128" t="s">
        <v>30</v>
      </c>
      <c r="F3198" s="128" t="s">
        <v>3183</v>
      </c>
      <c r="G3198" s="128" t="s">
        <v>242</v>
      </c>
      <c r="H3198" s="128">
        <v>2023</v>
      </c>
      <c r="I3198" s="128">
        <v>10</v>
      </c>
      <c r="J3198" s="148" t="s">
        <v>640</v>
      </c>
      <c r="K3198" s="128" t="s">
        <v>710</v>
      </c>
      <c r="L3198" s="128"/>
      <c r="M3198" s="128" t="s">
        <v>3351</v>
      </c>
      <c r="N3198" s="128">
        <v>10</v>
      </c>
      <c r="O3198" s="128" t="s">
        <v>101</v>
      </c>
      <c r="P3198" s="128" t="s">
        <v>3354</v>
      </c>
      <c r="Q3198" s="128"/>
      <c r="R3198" s="128"/>
      <c r="S3198" s="128"/>
      <c r="T3198" s="128"/>
      <c r="U3198" s="128"/>
      <c r="V3198" s="128"/>
      <c r="W3198" s="128"/>
      <c r="X3198" s="128"/>
      <c r="Y3198" s="128" t="s">
        <v>3355</v>
      </c>
      <c r="Z3198" s="128" t="s">
        <v>3356</v>
      </c>
      <c r="AA3198" s="128"/>
    </row>
    <row r="3199" spans="1:27" ht="15" hidden="1" customHeight="1" x14ac:dyDescent="0.25">
      <c r="A3199" s="148" t="s">
        <v>76</v>
      </c>
      <c r="B3199" s="148" t="s">
        <v>62</v>
      </c>
      <c r="C3199" s="148" t="s">
        <v>28</v>
      </c>
      <c r="D3199" s="148" t="s">
        <v>478</v>
      </c>
      <c r="E3199" s="148" t="s">
        <v>30</v>
      </c>
      <c r="F3199" s="148" t="s">
        <v>3183</v>
      </c>
      <c r="G3199" s="148" t="s">
        <v>244</v>
      </c>
      <c r="H3199" s="148">
        <v>2023</v>
      </c>
      <c r="I3199" s="148">
        <v>10</v>
      </c>
      <c r="J3199" s="148" t="s">
        <v>640</v>
      </c>
      <c r="K3199" s="148" t="s">
        <v>710</v>
      </c>
      <c r="M3199" s="148" t="s">
        <v>126</v>
      </c>
      <c r="N3199" s="148">
        <v>10</v>
      </c>
      <c r="O3199" s="148" t="s">
        <v>101</v>
      </c>
      <c r="P3199" s="148" t="s">
        <v>2970</v>
      </c>
      <c r="Y3199" s="150" t="s">
        <v>2969</v>
      </c>
    </row>
    <row r="3200" spans="1:27" ht="15" hidden="1" customHeight="1" x14ac:dyDescent="0.25">
      <c r="A3200" s="128" t="s">
        <v>76</v>
      </c>
      <c r="B3200" s="128" t="s">
        <v>62</v>
      </c>
      <c r="C3200" s="128" t="s">
        <v>28</v>
      </c>
      <c r="D3200" s="128" t="s">
        <v>478</v>
      </c>
      <c r="E3200" s="128" t="s">
        <v>30</v>
      </c>
      <c r="F3200" s="128" t="s">
        <v>3183</v>
      </c>
      <c r="G3200" s="128" t="s">
        <v>244</v>
      </c>
      <c r="H3200" s="128">
        <v>2023</v>
      </c>
      <c r="I3200" s="128">
        <v>10</v>
      </c>
      <c r="J3200" s="148" t="s">
        <v>640</v>
      </c>
      <c r="K3200" s="128" t="s">
        <v>710</v>
      </c>
      <c r="L3200" s="128"/>
      <c r="M3200" s="128" t="s">
        <v>3351</v>
      </c>
      <c r="N3200" s="128">
        <v>10</v>
      </c>
      <c r="O3200" s="128" t="s">
        <v>101</v>
      </c>
      <c r="P3200" s="128" t="s">
        <v>146</v>
      </c>
      <c r="Q3200" s="128"/>
      <c r="R3200" s="128"/>
      <c r="S3200" s="128"/>
      <c r="T3200" s="128"/>
      <c r="U3200" s="128"/>
      <c r="V3200" s="128"/>
      <c r="W3200" s="128"/>
      <c r="X3200" s="128"/>
      <c r="Y3200" s="128" t="s">
        <v>3355</v>
      </c>
      <c r="Z3200" s="128" t="s">
        <v>3357</v>
      </c>
      <c r="AA3200" s="128"/>
    </row>
    <row r="3201" spans="1:27" ht="15" hidden="1" customHeight="1" x14ac:dyDescent="0.25">
      <c r="A3201" s="148" t="s">
        <v>76</v>
      </c>
      <c r="B3201" s="148" t="s">
        <v>62</v>
      </c>
      <c r="C3201" s="148" t="s">
        <v>28</v>
      </c>
      <c r="D3201" s="148" t="s">
        <v>46</v>
      </c>
      <c r="E3201" s="148" t="s">
        <v>30</v>
      </c>
      <c r="F3201" s="148" t="s">
        <v>3183</v>
      </c>
      <c r="G3201" s="148" t="s">
        <v>46</v>
      </c>
      <c r="H3201" s="148">
        <v>2023</v>
      </c>
      <c r="I3201" s="148">
        <v>10</v>
      </c>
      <c r="J3201" s="148" t="s">
        <v>100</v>
      </c>
      <c r="K3201" s="148" t="s">
        <v>710</v>
      </c>
      <c r="M3201" s="148" t="s">
        <v>126</v>
      </c>
      <c r="N3201" s="148">
        <v>10</v>
      </c>
      <c r="O3201" s="148" t="s">
        <v>101</v>
      </c>
      <c r="P3201" s="148" t="s">
        <v>3108</v>
      </c>
      <c r="Y3201" s="150" t="s">
        <v>3109</v>
      </c>
    </row>
    <row r="3202" spans="1:27" ht="15" hidden="1" customHeight="1" x14ac:dyDescent="0.25">
      <c r="A3202" s="148" t="s">
        <v>76</v>
      </c>
      <c r="B3202" s="148" t="s">
        <v>89</v>
      </c>
      <c r="C3202" s="148" t="s">
        <v>90</v>
      </c>
      <c r="D3202" s="148" t="s">
        <v>99</v>
      </c>
      <c r="E3202" s="148" t="s">
        <v>30</v>
      </c>
      <c r="F3202" s="148" t="s">
        <v>91</v>
      </c>
      <c r="G3202" s="148" t="s">
        <v>178</v>
      </c>
      <c r="H3202" s="148">
        <v>2023</v>
      </c>
      <c r="I3202" s="148">
        <v>10</v>
      </c>
      <c r="J3202" s="148" t="s">
        <v>640</v>
      </c>
      <c r="K3202" s="148" t="s">
        <v>2971</v>
      </c>
      <c r="M3202" s="148" t="s">
        <v>126</v>
      </c>
      <c r="N3202" s="148">
        <v>10</v>
      </c>
      <c r="O3202" s="148" t="s">
        <v>101</v>
      </c>
      <c r="P3202" s="148" t="s">
        <v>2977</v>
      </c>
      <c r="Y3202" s="154" t="s">
        <v>2978</v>
      </c>
    </row>
    <row r="3203" spans="1:27" ht="15" hidden="1" customHeight="1" x14ac:dyDescent="0.25">
      <c r="A3203" s="148" t="s">
        <v>26</v>
      </c>
      <c r="B3203" s="148" t="s">
        <v>116</v>
      </c>
      <c r="C3203" s="148" t="s">
        <v>90</v>
      </c>
      <c r="D3203" s="148" t="s">
        <v>29</v>
      </c>
      <c r="E3203" s="148" t="s">
        <v>30</v>
      </c>
      <c r="F3203" s="148" t="s">
        <v>41</v>
      </c>
      <c r="G3203" s="148" t="s">
        <v>784</v>
      </c>
      <c r="H3203" s="148">
        <v>2023</v>
      </c>
      <c r="I3203" s="148">
        <v>10</v>
      </c>
      <c r="J3203" s="148" t="s">
        <v>33</v>
      </c>
      <c r="T3203" s="148" t="s">
        <v>2963</v>
      </c>
      <c r="U3203" s="149" t="s">
        <v>3629</v>
      </c>
      <c r="V3203" s="148" t="s">
        <v>3005</v>
      </c>
      <c r="W3203" s="148" t="s">
        <v>34</v>
      </c>
      <c r="X3203" s="148" t="s">
        <v>3040</v>
      </c>
      <c r="Y3203" s="154" t="s">
        <v>2964</v>
      </c>
    </row>
    <row r="3204" spans="1:27" ht="15" hidden="1" customHeight="1" x14ac:dyDescent="0.25">
      <c r="A3204" s="148" t="s">
        <v>76</v>
      </c>
      <c r="B3204" s="148" t="s">
        <v>36</v>
      </c>
      <c r="C3204" s="148" t="s">
        <v>45</v>
      </c>
      <c r="D3204" s="148" t="s">
        <v>478</v>
      </c>
      <c r="E3204" s="148" t="s">
        <v>30</v>
      </c>
      <c r="F3204" s="148" t="s">
        <v>3183</v>
      </c>
      <c r="G3204" s="148" t="s">
        <v>600</v>
      </c>
      <c r="H3204" s="148">
        <v>2023</v>
      </c>
      <c r="I3204" s="148">
        <v>10</v>
      </c>
      <c r="J3204" s="148" t="s">
        <v>640</v>
      </c>
      <c r="K3204" s="148" t="s">
        <v>710</v>
      </c>
      <c r="M3204" s="148" t="s">
        <v>126</v>
      </c>
      <c r="N3204" s="148">
        <v>10</v>
      </c>
      <c r="O3204" s="148" t="s">
        <v>101</v>
      </c>
      <c r="P3204" s="148" t="s">
        <v>2982</v>
      </c>
      <c r="Y3204" s="154" t="s">
        <v>2984</v>
      </c>
    </row>
    <row r="3205" spans="1:27" ht="15" hidden="1" customHeight="1" x14ac:dyDescent="0.25">
      <c r="A3205" s="128" t="s">
        <v>76</v>
      </c>
      <c r="B3205" s="128" t="s">
        <v>36</v>
      </c>
      <c r="C3205" s="128" t="s">
        <v>45</v>
      </c>
      <c r="D3205" s="128" t="s">
        <v>478</v>
      </c>
      <c r="E3205" s="128" t="s">
        <v>30</v>
      </c>
      <c r="F3205" s="128" t="s">
        <v>3183</v>
      </c>
      <c r="G3205" s="128" t="s">
        <v>600</v>
      </c>
      <c r="H3205" s="128">
        <v>2023</v>
      </c>
      <c r="I3205" s="128">
        <v>10</v>
      </c>
      <c r="J3205" s="148" t="s">
        <v>640</v>
      </c>
      <c r="K3205" s="128" t="s">
        <v>710</v>
      </c>
      <c r="L3205" s="128"/>
      <c r="M3205" s="128" t="s">
        <v>3351</v>
      </c>
      <c r="N3205" s="128">
        <v>10</v>
      </c>
      <c r="O3205" s="128" t="s">
        <v>101</v>
      </c>
      <c r="P3205" s="128" t="s">
        <v>850</v>
      </c>
      <c r="Q3205" s="128"/>
      <c r="R3205" s="128"/>
      <c r="S3205" s="128"/>
      <c r="T3205" s="128"/>
      <c r="U3205" s="128"/>
      <c r="V3205" s="128"/>
      <c r="W3205" s="128"/>
      <c r="X3205" s="128"/>
      <c r="Y3205" s="159" t="s">
        <v>3358</v>
      </c>
      <c r="Z3205" s="128" t="s">
        <v>3359</v>
      </c>
      <c r="AA3205" s="128"/>
    </row>
    <row r="3206" spans="1:27" ht="15" hidden="1" customHeight="1" x14ac:dyDescent="0.25">
      <c r="A3206" s="148" t="s">
        <v>26</v>
      </c>
      <c r="B3206" s="148" t="s">
        <v>116</v>
      </c>
      <c r="C3206" s="148" t="s">
        <v>90</v>
      </c>
      <c r="D3206" s="148" t="s">
        <v>99</v>
      </c>
      <c r="E3206" s="148" t="s">
        <v>30</v>
      </c>
      <c r="F3206" s="148" t="s">
        <v>41</v>
      </c>
      <c r="G3206" s="148" t="s">
        <v>653</v>
      </c>
      <c r="H3206" s="148">
        <v>2023</v>
      </c>
      <c r="I3206" s="148">
        <v>10</v>
      </c>
      <c r="J3206" s="148" t="s">
        <v>33</v>
      </c>
      <c r="U3206" s="149" t="s">
        <v>3629</v>
      </c>
      <c r="V3206" s="148" t="s">
        <v>3005</v>
      </c>
      <c r="W3206" s="148" t="s">
        <v>34</v>
      </c>
      <c r="X3206" s="148" t="s">
        <v>3040</v>
      </c>
      <c r="Y3206" s="150" t="s">
        <v>2976</v>
      </c>
    </row>
    <row r="3207" spans="1:27" ht="15" hidden="1" customHeight="1" x14ac:dyDescent="0.25">
      <c r="A3207" s="148" t="s">
        <v>76</v>
      </c>
      <c r="B3207" s="148" t="s">
        <v>54</v>
      </c>
      <c r="C3207" s="148" t="s">
        <v>55</v>
      </c>
      <c r="D3207" s="148" t="s">
        <v>2173</v>
      </c>
      <c r="E3207" s="148" t="s">
        <v>30</v>
      </c>
      <c r="F3207" s="148" t="s">
        <v>56</v>
      </c>
      <c r="G3207" s="148" t="s">
        <v>54</v>
      </c>
      <c r="H3207" s="148">
        <v>2023</v>
      </c>
      <c r="I3207" s="148">
        <v>10</v>
      </c>
      <c r="J3207" s="148" t="s">
        <v>640</v>
      </c>
      <c r="K3207" s="148" t="s">
        <v>710</v>
      </c>
      <c r="M3207" s="148" t="s">
        <v>126</v>
      </c>
      <c r="N3207" s="148">
        <v>10</v>
      </c>
      <c r="O3207" s="148" t="s">
        <v>101</v>
      </c>
      <c r="P3207" s="148" t="s">
        <v>2974</v>
      </c>
      <c r="Y3207" s="150" t="s">
        <v>2975</v>
      </c>
    </row>
    <row r="3208" spans="1:27" ht="15" hidden="1" customHeight="1" x14ac:dyDescent="0.25">
      <c r="A3208" s="148" t="s">
        <v>307</v>
      </c>
      <c r="B3208" s="148" t="s">
        <v>116</v>
      </c>
      <c r="C3208" s="148" t="s">
        <v>90</v>
      </c>
      <c r="D3208" s="148" t="s">
        <v>478</v>
      </c>
      <c r="E3208" s="148" t="s">
        <v>30</v>
      </c>
      <c r="F3208" s="148" t="s">
        <v>41</v>
      </c>
      <c r="G3208" s="148" t="s">
        <v>756</v>
      </c>
      <c r="H3208" s="148">
        <v>2023</v>
      </c>
      <c r="I3208" s="148">
        <v>10</v>
      </c>
      <c r="J3208" s="148" t="s">
        <v>308</v>
      </c>
      <c r="Q3208" s="148" t="s">
        <v>309</v>
      </c>
      <c r="R3208" s="148" t="s">
        <v>2957</v>
      </c>
      <c r="S3208" s="148" t="s">
        <v>427</v>
      </c>
      <c r="T3208" s="148" t="s">
        <v>2958</v>
      </c>
      <c r="Y3208" s="150" t="s">
        <v>2959</v>
      </c>
    </row>
    <row r="3209" spans="1:27" s="128" customFormat="1" hidden="1" x14ac:dyDescent="0.25">
      <c r="A3209" s="148" t="s">
        <v>76</v>
      </c>
      <c r="B3209" s="148" t="s">
        <v>103</v>
      </c>
      <c r="C3209" s="148" t="s">
        <v>55</v>
      </c>
      <c r="D3209" s="148" t="s">
        <v>478</v>
      </c>
      <c r="E3209" s="148" t="s">
        <v>30</v>
      </c>
      <c r="F3209" s="148" t="s">
        <v>56</v>
      </c>
      <c r="G3209" s="148" t="s">
        <v>519</v>
      </c>
      <c r="H3209" s="148">
        <v>2023</v>
      </c>
      <c r="I3209" s="148">
        <v>10</v>
      </c>
      <c r="J3209" s="148" t="s">
        <v>118</v>
      </c>
      <c r="K3209" s="148" t="s">
        <v>710</v>
      </c>
      <c r="L3209" s="148"/>
      <c r="M3209" s="148" t="s">
        <v>126</v>
      </c>
      <c r="N3209" s="148">
        <v>10</v>
      </c>
      <c r="O3209" s="148" t="s">
        <v>101</v>
      </c>
      <c r="P3209" s="148" t="s">
        <v>2965</v>
      </c>
      <c r="Q3209" s="148"/>
      <c r="R3209" s="148"/>
      <c r="S3209" s="148"/>
      <c r="T3209" s="148"/>
      <c r="U3209" s="148"/>
      <c r="V3209" s="148"/>
      <c r="W3209" s="148"/>
      <c r="X3209" s="148"/>
      <c r="Y3209" s="150" t="s">
        <v>2966</v>
      </c>
      <c r="Z3209" s="148"/>
      <c r="AA3209" s="148"/>
    </row>
    <row r="3210" spans="1:27" s="128" customFormat="1" x14ac:dyDescent="0.25">
      <c r="A3210" s="148" t="s">
        <v>76</v>
      </c>
      <c r="B3210" s="148" t="s">
        <v>36</v>
      </c>
      <c r="C3210" s="148" t="s">
        <v>28</v>
      </c>
      <c r="D3210" s="148" t="s">
        <v>1304</v>
      </c>
      <c r="E3210" s="148" t="s">
        <v>30</v>
      </c>
      <c r="F3210" s="148" t="s">
        <v>3183</v>
      </c>
      <c r="G3210" s="148" t="s">
        <v>194</v>
      </c>
      <c r="H3210" s="148">
        <v>2023</v>
      </c>
      <c r="I3210" s="148">
        <v>10</v>
      </c>
      <c r="J3210" s="148" t="s">
        <v>640</v>
      </c>
      <c r="K3210" s="148" t="s">
        <v>2971</v>
      </c>
      <c r="L3210" s="148"/>
      <c r="M3210" s="148" t="s">
        <v>126</v>
      </c>
      <c r="N3210" s="148">
        <v>10</v>
      </c>
      <c r="O3210" s="148" t="s">
        <v>101</v>
      </c>
      <c r="P3210" s="148" t="s">
        <v>2980</v>
      </c>
      <c r="Q3210" s="148"/>
      <c r="R3210" s="148"/>
      <c r="S3210" s="148"/>
      <c r="T3210" s="148"/>
      <c r="U3210" s="148"/>
      <c r="V3210" s="148"/>
      <c r="W3210" s="148"/>
      <c r="X3210" s="148"/>
      <c r="Y3210" s="150" t="s">
        <v>2978</v>
      </c>
      <c r="Z3210" s="148"/>
      <c r="AA3210" s="148"/>
    </row>
    <row r="3211" spans="1:27" s="128" customFormat="1" hidden="1" x14ac:dyDescent="0.25">
      <c r="A3211" s="148" t="s">
        <v>76</v>
      </c>
      <c r="B3211" s="148" t="s">
        <v>198</v>
      </c>
      <c r="C3211" s="148" t="s">
        <v>45</v>
      </c>
      <c r="D3211" s="148" t="s">
        <v>86</v>
      </c>
      <c r="E3211" s="148" t="s">
        <v>30</v>
      </c>
      <c r="F3211" s="148" t="s">
        <v>199</v>
      </c>
      <c r="G3211" s="148" t="s">
        <v>430</v>
      </c>
      <c r="H3211" s="148">
        <v>2023</v>
      </c>
      <c r="I3211" s="148">
        <v>10</v>
      </c>
      <c r="J3211" s="148" t="s">
        <v>640</v>
      </c>
      <c r="K3211" s="148" t="s">
        <v>710</v>
      </c>
      <c r="L3211" s="148"/>
      <c r="M3211" s="148" t="s">
        <v>126</v>
      </c>
      <c r="N3211" s="148">
        <v>10</v>
      </c>
      <c r="O3211" s="148" t="s">
        <v>101</v>
      </c>
      <c r="P3211" s="148" t="s">
        <v>2985</v>
      </c>
      <c r="Q3211" s="148"/>
      <c r="R3211" s="148"/>
      <c r="S3211" s="148"/>
      <c r="T3211" s="148"/>
      <c r="U3211" s="148"/>
      <c r="V3211" s="148"/>
      <c r="W3211" s="148"/>
      <c r="X3211" s="148"/>
      <c r="Y3211" s="150" t="s">
        <v>2986</v>
      </c>
      <c r="Z3211" s="148"/>
      <c r="AA3211" s="148"/>
    </row>
    <row r="3212" spans="1:27" s="128" customFormat="1" hidden="1" x14ac:dyDescent="0.25">
      <c r="A3212" s="148" t="s">
        <v>76</v>
      </c>
      <c r="B3212" s="148" t="s">
        <v>36</v>
      </c>
      <c r="C3212" s="148" t="s">
        <v>28</v>
      </c>
      <c r="D3212" s="148" t="s">
        <v>478</v>
      </c>
      <c r="E3212" s="148" t="s">
        <v>30</v>
      </c>
      <c r="F3212" s="148" t="s">
        <v>3183</v>
      </c>
      <c r="G3212" s="148" t="s">
        <v>114</v>
      </c>
      <c r="H3212" s="148">
        <v>2023</v>
      </c>
      <c r="I3212" s="148">
        <v>10</v>
      </c>
      <c r="J3212" s="148" t="s">
        <v>640</v>
      </c>
      <c r="K3212" s="148" t="s">
        <v>2971</v>
      </c>
      <c r="L3212" s="148"/>
      <c r="M3212" s="148" t="s">
        <v>126</v>
      </c>
      <c r="N3212" s="148">
        <v>10</v>
      </c>
      <c r="O3212" s="148" t="s">
        <v>101</v>
      </c>
      <c r="P3212" s="148" t="s">
        <v>2972</v>
      </c>
      <c r="Q3212" s="148"/>
      <c r="R3212" s="148"/>
      <c r="S3212" s="148"/>
      <c r="T3212" s="148"/>
      <c r="U3212" s="148"/>
      <c r="V3212" s="148"/>
      <c r="W3212" s="148"/>
      <c r="X3212" s="148"/>
      <c r="Y3212" s="150" t="s">
        <v>2973</v>
      </c>
      <c r="Z3212" s="148"/>
      <c r="AA3212" s="148"/>
    </row>
    <row r="3213" spans="1:27" s="128" customFormat="1" hidden="1" x14ac:dyDescent="0.25">
      <c r="A3213" s="148" t="s">
        <v>76</v>
      </c>
      <c r="B3213" s="148" t="s">
        <v>89</v>
      </c>
      <c r="C3213" s="148" t="s">
        <v>90</v>
      </c>
      <c r="D3213" s="148" t="s">
        <v>342</v>
      </c>
      <c r="E3213" s="148" t="s">
        <v>30</v>
      </c>
      <c r="F3213" s="148" t="s">
        <v>91</v>
      </c>
      <c r="G3213" s="148" t="s">
        <v>414</v>
      </c>
      <c r="H3213" s="148">
        <v>2023</v>
      </c>
      <c r="I3213" s="148">
        <v>10</v>
      </c>
      <c r="J3213" s="148" t="s">
        <v>640</v>
      </c>
      <c r="K3213" s="148" t="s">
        <v>710</v>
      </c>
      <c r="L3213" s="148"/>
      <c r="M3213" s="148" t="s">
        <v>126</v>
      </c>
      <c r="N3213" s="148">
        <v>10</v>
      </c>
      <c r="O3213" s="148" t="s">
        <v>101</v>
      </c>
      <c r="P3213" s="148" t="s">
        <v>2983</v>
      </c>
      <c r="Q3213" s="148"/>
      <c r="R3213" s="148"/>
      <c r="S3213" s="148"/>
      <c r="T3213" s="148"/>
      <c r="U3213" s="148"/>
      <c r="V3213" s="148"/>
      <c r="W3213" s="148"/>
      <c r="X3213" s="148"/>
      <c r="Y3213" s="150" t="s">
        <v>2984</v>
      </c>
      <c r="Z3213" s="148"/>
      <c r="AA3213" s="148"/>
    </row>
    <row r="3214" spans="1:27" s="128" customFormat="1" hidden="1" x14ac:dyDescent="0.25">
      <c r="A3214" s="128" t="s">
        <v>76</v>
      </c>
      <c r="B3214" s="128" t="s">
        <v>89</v>
      </c>
      <c r="C3214" s="128" t="s">
        <v>90</v>
      </c>
      <c r="D3214" s="128" t="s">
        <v>342</v>
      </c>
      <c r="E3214" s="128" t="s">
        <v>30</v>
      </c>
      <c r="F3214" s="128" t="s">
        <v>91</v>
      </c>
      <c r="G3214" s="128" t="s">
        <v>414</v>
      </c>
      <c r="H3214" s="128">
        <v>2023</v>
      </c>
      <c r="I3214" s="128">
        <v>10</v>
      </c>
      <c r="J3214" s="148" t="s">
        <v>640</v>
      </c>
      <c r="K3214" s="128" t="s">
        <v>710</v>
      </c>
      <c r="M3214" s="128" t="s">
        <v>3351</v>
      </c>
      <c r="N3214" s="128">
        <v>10</v>
      </c>
      <c r="O3214" s="128" t="s">
        <v>101</v>
      </c>
      <c r="P3214" s="128" t="s">
        <v>850</v>
      </c>
      <c r="Y3214" s="159" t="s">
        <v>3358</v>
      </c>
      <c r="Z3214" s="128" t="s">
        <v>3359</v>
      </c>
    </row>
    <row r="3215" spans="1:27" s="128" customFormat="1" hidden="1" x14ac:dyDescent="0.25">
      <c r="A3215" s="148" t="s">
        <v>307</v>
      </c>
      <c r="B3215" s="148" t="s">
        <v>36</v>
      </c>
      <c r="C3215" s="148" t="s">
        <v>28</v>
      </c>
      <c r="D3215" s="148" t="s">
        <v>478</v>
      </c>
      <c r="E3215" s="148" t="s">
        <v>30</v>
      </c>
      <c r="F3215" s="148" t="s">
        <v>3183</v>
      </c>
      <c r="G3215" s="148" t="s">
        <v>888</v>
      </c>
      <c r="H3215" s="148">
        <v>2023</v>
      </c>
      <c r="I3215" s="148">
        <v>11</v>
      </c>
      <c r="J3215" s="148" t="s">
        <v>399</v>
      </c>
      <c r="K3215" s="148"/>
      <c r="L3215" s="148"/>
      <c r="M3215" s="148"/>
      <c r="N3215" s="148"/>
      <c r="O3215" s="148"/>
      <c r="P3215" s="148"/>
      <c r="Q3215" s="148" t="s">
        <v>309</v>
      </c>
      <c r="R3215" s="148" t="s">
        <v>3011</v>
      </c>
      <c r="S3215" s="148" t="s">
        <v>596</v>
      </c>
      <c r="T3215" s="148" t="s">
        <v>3013</v>
      </c>
      <c r="U3215" s="148"/>
      <c r="V3215" s="148"/>
      <c r="W3215" s="148"/>
      <c r="X3215" s="148"/>
      <c r="Y3215" s="150" t="s">
        <v>3014</v>
      </c>
      <c r="Z3215" s="148" t="s">
        <v>3012</v>
      </c>
      <c r="AA3215" s="148"/>
    </row>
    <row r="3216" spans="1:27" s="128" customFormat="1" hidden="1" x14ac:dyDescent="0.25">
      <c r="A3216" s="148" t="s">
        <v>76</v>
      </c>
      <c r="B3216" s="148" t="s">
        <v>36</v>
      </c>
      <c r="C3216" s="148" t="s">
        <v>28</v>
      </c>
      <c r="D3216" s="148" t="s">
        <v>342</v>
      </c>
      <c r="E3216" s="148" t="s">
        <v>30</v>
      </c>
      <c r="F3216" s="148" t="s">
        <v>3183</v>
      </c>
      <c r="G3216" s="148" t="s">
        <v>242</v>
      </c>
      <c r="H3216" s="148">
        <v>2023</v>
      </c>
      <c r="I3216" s="148">
        <v>11</v>
      </c>
      <c r="J3216" s="148" t="s">
        <v>150</v>
      </c>
      <c r="K3216" s="148" t="s">
        <v>2747</v>
      </c>
      <c r="L3216" s="148"/>
      <c r="M3216" s="148" t="s">
        <v>2748</v>
      </c>
      <c r="N3216" s="148">
        <v>6</v>
      </c>
      <c r="O3216" s="148" t="s">
        <v>83</v>
      </c>
      <c r="P3216" s="148" t="s">
        <v>3045</v>
      </c>
      <c r="Q3216" s="148"/>
      <c r="R3216" s="148"/>
      <c r="S3216" s="148"/>
      <c r="T3216" s="148"/>
      <c r="U3216" s="148"/>
      <c r="V3216" s="148"/>
      <c r="W3216" s="148"/>
      <c r="X3216" s="148"/>
      <c r="Y3216" s="150" t="s">
        <v>3046</v>
      </c>
      <c r="Z3216" s="148" t="s">
        <v>3047</v>
      </c>
      <c r="AA3216" s="148"/>
    </row>
    <row r="3217" spans="1:27" s="128" customFormat="1" hidden="1" x14ac:dyDescent="0.25">
      <c r="A3217" s="148" t="s">
        <v>307</v>
      </c>
      <c r="B3217" s="148" t="s">
        <v>62</v>
      </c>
      <c r="C3217" s="148" t="s">
        <v>28</v>
      </c>
      <c r="D3217" s="148" t="s">
        <v>478</v>
      </c>
      <c r="E3217" s="148" t="s">
        <v>30</v>
      </c>
      <c r="F3217" s="148" t="s">
        <v>3183</v>
      </c>
      <c r="G3217" s="148" t="s">
        <v>244</v>
      </c>
      <c r="H3217" s="148">
        <v>2023</v>
      </c>
      <c r="I3217" s="148">
        <v>11</v>
      </c>
      <c r="J3217" s="148" t="s">
        <v>308</v>
      </c>
      <c r="K3217" s="148"/>
      <c r="L3217" s="148"/>
      <c r="M3217" s="148"/>
      <c r="N3217" s="148"/>
      <c r="O3217" s="148"/>
      <c r="P3217" s="148"/>
      <c r="Q3217" s="148" t="s">
        <v>309</v>
      </c>
      <c r="R3217" s="148" t="s">
        <v>2990</v>
      </c>
      <c r="S3217" s="148" t="s">
        <v>2991</v>
      </c>
      <c r="T3217" s="148"/>
      <c r="U3217" s="148"/>
      <c r="V3217" s="148"/>
      <c r="W3217" s="148"/>
      <c r="X3217" s="148"/>
      <c r="Y3217" s="150" t="s">
        <v>2992</v>
      </c>
      <c r="Z3217" s="148"/>
      <c r="AA3217" s="148"/>
    </row>
    <row r="3218" spans="1:27" s="128" customFormat="1" hidden="1" x14ac:dyDescent="0.25">
      <c r="A3218" s="148" t="s">
        <v>26</v>
      </c>
      <c r="B3218" s="148" t="s">
        <v>36</v>
      </c>
      <c r="C3218" s="148" t="s">
        <v>2430</v>
      </c>
      <c r="D3218" s="148" t="s">
        <v>342</v>
      </c>
      <c r="E3218" s="148" t="s">
        <v>30</v>
      </c>
      <c r="F3218" s="148" t="s">
        <v>3183</v>
      </c>
      <c r="G3218" s="148" t="s">
        <v>37</v>
      </c>
      <c r="H3218" s="148">
        <v>2023</v>
      </c>
      <c r="I3218" s="148">
        <v>11</v>
      </c>
      <c r="J3218" s="148" t="s">
        <v>33</v>
      </c>
      <c r="K3218" s="148"/>
      <c r="L3218" s="148"/>
      <c r="M3218" s="148"/>
      <c r="N3218" s="148"/>
      <c r="O3218" s="148"/>
      <c r="P3218" s="148"/>
      <c r="Q3218" s="148"/>
      <c r="R3218" s="148"/>
      <c r="S3218" s="148"/>
      <c r="T3218" s="148"/>
      <c r="U3218" s="149" t="s">
        <v>3629</v>
      </c>
      <c r="V3218" s="148" t="s">
        <v>3005</v>
      </c>
      <c r="W3218" s="148" t="s">
        <v>34</v>
      </c>
      <c r="X3218" s="148" t="s">
        <v>3040</v>
      </c>
      <c r="Y3218" s="150" t="s">
        <v>3048</v>
      </c>
      <c r="Z3218" s="148"/>
      <c r="AA3218" s="148"/>
    </row>
    <row r="3219" spans="1:27" s="128" customFormat="1" hidden="1" x14ac:dyDescent="0.25">
      <c r="A3219" s="148" t="s">
        <v>307</v>
      </c>
      <c r="B3219" s="148" t="s">
        <v>27</v>
      </c>
      <c r="C3219" s="148" t="s">
        <v>28</v>
      </c>
      <c r="D3219" s="151" t="s">
        <v>3322</v>
      </c>
      <c r="E3219" s="148" t="s">
        <v>30</v>
      </c>
      <c r="F3219" s="148" t="s">
        <v>3183</v>
      </c>
      <c r="G3219" s="148" t="s">
        <v>163</v>
      </c>
      <c r="H3219" s="148">
        <v>2023</v>
      </c>
      <c r="I3219" s="148">
        <v>11</v>
      </c>
      <c r="J3219" s="148" t="s">
        <v>308</v>
      </c>
      <c r="K3219" s="148"/>
      <c r="L3219" s="148"/>
      <c r="M3219" s="148"/>
      <c r="N3219" s="148"/>
      <c r="O3219" s="148"/>
      <c r="P3219" s="148"/>
      <c r="Q3219" s="148" t="s">
        <v>426</v>
      </c>
      <c r="R3219" s="148" t="s">
        <v>46</v>
      </c>
      <c r="S3219" s="148" t="s">
        <v>885</v>
      </c>
      <c r="T3219" s="148" t="s">
        <v>3044</v>
      </c>
      <c r="U3219" s="148"/>
      <c r="V3219" s="148"/>
      <c r="W3219" s="148"/>
      <c r="X3219" s="148"/>
      <c r="Y3219" s="150" t="s">
        <v>3043</v>
      </c>
      <c r="Z3219" s="148"/>
      <c r="AA3219" s="148"/>
    </row>
    <row r="3220" spans="1:27" s="128" customFormat="1" hidden="1" x14ac:dyDescent="0.25">
      <c r="A3220" s="148" t="s">
        <v>307</v>
      </c>
      <c r="B3220" s="148" t="s">
        <v>27</v>
      </c>
      <c r="C3220" s="148" t="s">
        <v>28</v>
      </c>
      <c r="D3220" s="148" t="s">
        <v>1302</v>
      </c>
      <c r="E3220" s="148" t="s">
        <v>40</v>
      </c>
      <c r="F3220" s="148" t="s">
        <v>41</v>
      </c>
      <c r="G3220" s="148" t="s">
        <v>42</v>
      </c>
      <c r="H3220" s="148">
        <v>2023</v>
      </c>
      <c r="I3220" s="148">
        <v>11</v>
      </c>
      <c r="J3220" s="148" t="s">
        <v>308</v>
      </c>
      <c r="K3220" s="148"/>
      <c r="L3220" s="148"/>
      <c r="M3220" s="148"/>
      <c r="N3220" s="148"/>
      <c r="O3220" s="148"/>
      <c r="P3220" s="148"/>
      <c r="Q3220" s="148" t="s">
        <v>426</v>
      </c>
      <c r="R3220" s="148" t="s">
        <v>3333</v>
      </c>
      <c r="S3220" s="148" t="s">
        <v>427</v>
      </c>
      <c r="T3220" s="148" t="s">
        <v>2995</v>
      </c>
      <c r="U3220" s="148"/>
      <c r="V3220" s="148"/>
      <c r="W3220" s="148"/>
      <c r="X3220" s="148"/>
      <c r="Y3220" s="150" t="s">
        <v>2996</v>
      </c>
      <c r="Z3220" s="148" t="s">
        <v>2997</v>
      </c>
      <c r="AA3220" s="148"/>
    </row>
    <row r="3221" spans="1:27" s="128" customFormat="1" hidden="1" x14ac:dyDescent="0.25">
      <c r="A3221" s="128" t="s">
        <v>76</v>
      </c>
      <c r="B3221" s="128" t="s">
        <v>116</v>
      </c>
      <c r="C3221" s="128" t="s">
        <v>90</v>
      </c>
      <c r="D3221" s="128" t="s">
        <v>99</v>
      </c>
      <c r="E3221" s="128" t="s">
        <v>30</v>
      </c>
      <c r="F3221" s="128" t="s">
        <v>41</v>
      </c>
      <c r="G3221" s="128" t="s">
        <v>653</v>
      </c>
      <c r="H3221" s="128">
        <v>2023</v>
      </c>
      <c r="I3221" s="128">
        <v>11</v>
      </c>
      <c r="J3221" s="148" t="s">
        <v>150</v>
      </c>
      <c r="K3221" s="128" t="s">
        <v>3360</v>
      </c>
      <c r="M3221" s="128" t="s">
        <v>3361</v>
      </c>
      <c r="N3221" s="128">
        <v>5</v>
      </c>
      <c r="O3221" s="128" t="s">
        <v>83</v>
      </c>
      <c r="P3221" s="128" t="s">
        <v>545</v>
      </c>
      <c r="Y3221" s="129" t="s">
        <v>3590</v>
      </c>
      <c r="Z3221" s="128" t="s">
        <v>3362</v>
      </c>
    </row>
    <row r="3222" spans="1:27" s="150" customFormat="1" ht="16.149999999999999" hidden="1" customHeight="1" x14ac:dyDescent="0.25">
      <c r="A3222" s="148" t="s">
        <v>76</v>
      </c>
      <c r="B3222" s="148" t="s">
        <v>54</v>
      </c>
      <c r="C3222" s="148" t="s">
        <v>55</v>
      </c>
      <c r="D3222" s="148" t="s">
        <v>2173</v>
      </c>
      <c r="E3222" s="148" t="s">
        <v>30</v>
      </c>
      <c r="F3222" s="148" t="s">
        <v>56</v>
      </c>
      <c r="G3222" s="148" t="s">
        <v>54</v>
      </c>
      <c r="H3222" s="148">
        <v>2023</v>
      </c>
      <c r="I3222" s="148">
        <v>11</v>
      </c>
      <c r="J3222" s="148" t="s">
        <v>150</v>
      </c>
      <c r="K3222" s="148" t="s">
        <v>710</v>
      </c>
      <c r="L3222" s="148"/>
      <c r="M3222" s="148" t="s">
        <v>126</v>
      </c>
      <c r="N3222" s="148">
        <v>10</v>
      </c>
      <c r="O3222" s="148" t="s">
        <v>83</v>
      </c>
      <c r="P3222" s="148" t="s">
        <v>2993</v>
      </c>
      <c r="Q3222" s="148"/>
      <c r="R3222" s="148"/>
      <c r="S3222" s="148"/>
      <c r="T3222" s="148"/>
      <c r="U3222" s="148"/>
      <c r="V3222" s="148"/>
      <c r="W3222" s="148"/>
      <c r="X3222" s="148"/>
      <c r="Y3222" s="150" t="s">
        <v>2994</v>
      </c>
      <c r="Z3222" s="148"/>
      <c r="AA3222" s="148"/>
    </row>
    <row r="3223" spans="1:27" s="128" customFormat="1" hidden="1" x14ac:dyDescent="0.25">
      <c r="A3223" s="128" t="s">
        <v>76</v>
      </c>
      <c r="B3223" s="128" t="s">
        <v>89</v>
      </c>
      <c r="C3223" s="128" t="s">
        <v>90</v>
      </c>
      <c r="D3223" s="128" t="s">
        <v>86</v>
      </c>
      <c r="E3223" s="128" t="s">
        <v>30</v>
      </c>
      <c r="F3223" s="128" t="s">
        <v>91</v>
      </c>
      <c r="G3223" s="128" t="s">
        <v>430</v>
      </c>
      <c r="H3223" s="128">
        <v>2023</v>
      </c>
      <c r="I3223" s="128">
        <v>11</v>
      </c>
      <c r="J3223" s="148" t="s">
        <v>640</v>
      </c>
      <c r="K3223" s="128" t="s">
        <v>710</v>
      </c>
      <c r="M3223" s="128" t="s">
        <v>3351</v>
      </c>
      <c r="N3223" s="128">
        <v>10</v>
      </c>
      <c r="O3223" s="128" t="s">
        <v>101</v>
      </c>
      <c r="P3223" s="128" t="s">
        <v>850</v>
      </c>
      <c r="Y3223" s="159" t="s">
        <v>3363</v>
      </c>
      <c r="Z3223" s="128" t="s">
        <v>3364</v>
      </c>
    </row>
    <row r="3224" spans="1:27" s="128" customFormat="1" hidden="1" x14ac:dyDescent="0.25">
      <c r="A3224" s="148" t="s">
        <v>26</v>
      </c>
      <c r="B3224" s="148" t="s">
        <v>116</v>
      </c>
      <c r="C3224" s="148" t="s">
        <v>90</v>
      </c>
      <c r="D3224" s="148" t="s">
        <v>478</v>
      </c>
      <c r="E3224" s="148" t="s">
        <v>30</v>
      </c>
      <c r="F3224" s="148" t="s">
        <v>41</v>
      </c>
      <c r="G3224" s="148" t="s">
        <v>503</v>
      </c>
      <c r="H3224" s="148">
        <v>2023</v>
      </c>
      <c r="I3224" s="148">
        <v>11</v>
      </c>
      <c r="J3224" s="148" t="s">
        <v>33</v>
      </c>
      <c r="K3224" s="148"/>
      <c r="L3224" s="148"/>
      <c r="M3224" s="148"/>
      <c r="N3224" s="148"/>
      <c r="O3224" s="148"/>
      <c r="P3224" s="148"/>
      <c r="Q3224" s="148"/>
      <c r="R3224" s="148"/>
      <c r="S3224" s="148"/>
      <c r="T3224" s="148" t="s">
        <v>2988</v>
      </c>
      <c r="U3224" s="149" t="s">
        <v>3629</v>
      </c>
      <c r="V3224" s="148" t="s">
        <v>3005</v>
      </c>
      <c r="W3224" s="148" t="s">
        <v>34</v>
      </c>
      <c r="X3224" s="148" t="s">
        <v>3040</v>
      </c>
      <c r="Y3224" s="150" t="s">
        <v>2989</v>
      </c>
      <c r="Z3224" s="148"/>
      <c r="AA3224" s="148"/>
    </row>
    <row r="3225" spans="1:27" s="128" customFormat="1" hidden="1" x14ac:dyDescent="0.25">
      <c r="A3225" s="148" t="s">
        <v>76</v>
      </c>
      <c r="B3225" s="148" t="s">
        <v>36</v>
      </c>
      <c r="C3225" s="148" t="s">
        <v>28</v>
      </c>
      <c r="D3225" s="148" t="s">
        <v>342</v>
      </c>
      <c r="E3225" s="148" t="s">
        <v>30</v>
      </c>
      <c r="F3225" s="148" t="s">
        <v>3183</v>
      </c>
      <c r="G3225" s="148" t="s">
        <v>438</v>
      </c>
      <c r="H3225" s="148">
        <v>2023</v>
      </c>
      <c r="I3225" s="148">
        <v>12</v>
      </c>
      <c r="J3225" s="148" t="s">
        <v>150</v>
      </c>
      <c r="K3225" s="148" t="s">
        <v>2971</v>
      </c>
      <c r="L3225" s="148"/>
      <c r="M3225" s="148" t="s">
        <v>126</v>
      </c>
      <c r="N3225" s="148">
        <v>10</v>
      </c>
      <c r="O3225" s="148" t="s">
        <v>83</v>
      </c>
      <c r="P3225" s="148" t="s">
        <v>294</v>
      </c>
      <c r="Q3225" s="148"/>
      <c r="R3225" s="148"/>
      <c r="S3225" s="148"/>
      <c r="T3225" s="148"/>
      <c r="U3225" s="148"/>
      <c r="V3225" s="148"/>
      <c r="W3225" s="148"/>
      <c r="X3225" s="148"/>
      <c r="Y3225" s="150" t="s">
        <v>3181</v>
      </c>
      <c r="Z3225" s="148"/>
      <c r="AA3225" s="148"/>
    </row>
    <row r="3226" spans="1:27" s="128" customFormat="1" hidden="1" x14ac:dyDescent="0.25">
      <c r="A3226" s="129" t="s">
        <v>76</v>
      </c>
      <c r="B3226" s="148" t="s">
        <v>36</v>
      </c>
      <c r="C3226" s="148" t="s">
        <v>28</v>
      </c>
      <c r="D3226" s="148" t="s">
        <v>342</v>
      </c>
      <c r="E3226" s="148" t="s">
        <v>30</v>
      </c>
      <c r="F3226" s="148" t="s">
        <v>3183</v>
      </c>
      <c r="G3226" s="148" t="s">
        <v>242</v>
      </c>
      <c r="H3226" s="148">
        <v>2023</v>
      </c>
      <c r="I3226" s="148">
        <v>12</v>
      </c>
      <c r="J3226" s="148" t="s">
        <v>150</v>
      </c>
      <c r="K3226" s="148" t="s">
        <v>2971</v>
      </c>
      <c r="L3226" s="148"/>
      <c r="M3226" s="148" t="s">
        <v>126</v>
      </c>
      <c r="N3226" s="148">
        <v>10</v>
      </c>
      <c r="O3226" s="148" t="s">
        <v>83</v>
      </c>
      <c r="P3226" s="148" t="s">
        <v>154</v>
      </c>
      <c r="Q3226" s="148"/>
      <c r="R3226" s="148"/>
      <c r="S3226" s="148"/>
      <c r="T3226" s="148"/>
      <c r="U3226" s="148"/>
      <c r="V3226" s="148"/>
      <c r="W3226" s="148"/>
      <c r="X3226" s="148"/>
      <c r="Y3226" s="150" t="s">
        <v>3049</v>
      </c>
      <c r="Z3226" s="148"/>
      <c r="AA3226" s="148"/>
    </row>
    <row r="3227" spans="1:27" s="128" customFormat="1" hidden="1" x14ac:dyDescent="0.25">
      <c r="A3227" s="148" t="s">
        <v>307</v>
      </c>
      <c r="B3227" s="148" t="s">
        <v>54</v>
      </c>
      <c r="C3227" s="148" t="s">
        <v>55</v>
      </c>
      <c r="D3227" s="148" t="s">
        <v>2173</v>
      </c>
      <c r="E3227" s="148" t="s">
        <v>30</v>
      </c>
      <c r="F3227" s="148" t="s">
        <v>56</v>
      </c>
      <c r="G3227" s="148" t="s">
        <v>54</v>
      </c>
      <c r="H3227" s="148">
        <v>2023</v>
      </c>
      <c r="I3227" s="148">
        <v>12</v>
      </c>
      <c r="J3227" s="148" t="s">
        <v>308</v>
      </c>
      <c r="K3227" s="148"/>
      <c r="L3227" s="148"/>
      <c r="M3227" s="148"/>
      <c r="N3227" s="148"/>
      <c r="O3227" s="148"/>
      <c r="P3227" s="148"/>
      <c r="Q3227" s="148" t="s">
        <v>2239</v>
      </c>
      <c r="R3227" s="148" t="s">
        <v>2911</v>
      </c>
      <c r="S3227" s="148" t="s">
        <v>885</v>
      </c>
      <c r="T3227" s="148" t="s">
        <v>3332</v>
      </c>
      <c r="U3227" s="148"/>
      <c r="V3227" s="148"/>
      <c r="W3227" s="148"/>
      <c r="X3227" s="148"/>
      <c r="Y3227" s="150" t="s">
        <v>3051</v>
      </c>
      <c r="Z3227" s="148" t="s">
        <v>3331</v>
      </c>
      <c r="AA3227" s="148"/>
    </row>
    <row r="3228" spans="1:27" s="128" customFormat="1" hidden="1" x14ac:dyDescent="0.25">
      <c r="A3228" s="148" t="s">
        <v>26</v>
      </c>
      <c r="B3228" s="148" t="s">
        <v>36</v>
      </c>
      <c r="C3228" s="148" t="s">
        <v>28</v>
      </c>
      <c r="D3228" s="148" t="s">
        <v>1304</v>
      </c>
      <c r="E3228" s="148" t="s">
        <v>30</v>
      </c>
      <c r="F3228" s="148" t="s">
        <v>3183</v>
      </c>
      <c r="G3228" s="148" t="s">
        <v>194</v>
      </c>
      <c r="H3228" s="148">
        <v>2023</v>
      </c>
      <c r="I3228" s="148">
        <v>12</v>
      </c>
      <c r="J3228" s="148" t="s">
        <v>33</v>
      </c>
      <c r="K3228" s="148"/>
      <c r="L3228" s="148"/>
      <c r="M3228" s="148"/>
      <c r="N3228" s="148"/>
      <c r="O3228" s="148"/>
      <c r="P3228" s="148"/>
      <c r="Q3228" s="148"/>
      <c r="R3228" s="148"/>
      <c r="S3228" s="148"/>
      <c r="T3228" s="148"/>
      <c r="U3228" s="149" t="s">
        <v>3629</v>
      </c>
      <c r="V3228" s="148" t="s">
        <v>3005</v>
      </c>
      <c r="W3228" s="148" t="s">
        <v>34</v>
      </c>
      <c r="X3228" s="148" t="s">
        <v>3040</v>
      </c>
      <c r="Y3228" s="150" t="s">
        <v>3050</v>
      </c>
      <c r="Z3228" s="148"/>
      <c r="AA3228" s="148"/>
    </row>
    <row r="3229" spans="1:27" s="128" customFormat="1" hidden="1" x14ac:dyDescent="0.25">
      <c r="A3229" s="128" t="s">
        <v>76</v>
      </c>
      <c r="B3229" s="128" t="s">
        <v>44</v>
      </c>
      <c r="C3229" s="128" t="s">
        <v>45</v>
      </c>
      <c r="D3229" s="128" t="s">
        <v>29</v>
      </c>
      <c r="E3229" s="128" t="s">
        <v>46</v>
      </c>
      <c r="F3229" s="128" t="s">
        <v>47</v>
      </c>
      <c r="G3229" s="128" t="s">
        <v>48</v>
      </c>
      <c r="H3229" s="128">
        <v>2023</v>
      </c>
      <c r="I3229" s="128">
        <v>12</v>
      </c>
      <c r="J3229" s="128" t="s">
        <v>2438</v>
      </c>
      <c r="K3229" s="128" t="s">
        <v>2641</v>
      </c>
      <c r="M3229" s="128" t="s">
        <v>3365</v>
      </c>
      <c r="N3229" s="128">
        <v>8</v>
      </c>
      <c r="O3229" s="128" t="s">
        <v>2439</v>
      </c>
      <c r="P3229" s="128" t="s">
        <v>3366</v>
      </c>
      <c r="Y3229" s="159" t="s">
        <v>3367</v>
      </c>
      <c r="Z3229" s="128" t="s">
        <v>3368</v>
      </c>
      <c r="AA3229" s="150"/>
    </row>
    <row r="3230" spans="1:27" s="128" customFormat="1" hidden="1" x14ac:dyDescent="0.25">
      <c r="A3230" s="128" t="s">
        <v>76</v>
      </c>
      <c r="B3230" s="128" t="s">
        <v>54</v>
      </c>
      <c r="C3230" s="128" t="s">
        <v>55</v>
      </c>
      <c r="D3230" s="128" t="s">
        <v>2173</v>
      </c>
      <c r="E3230" s="128" t="s">
        <v>30</v>
      </c>
      <c r="F3230" s="128" t="s">
        <v>56</v>
      </c>
      <c r="G3230" s="128" t="s">
        <v>54</v>
      </c>
      <c r="H3230" s="128">
        <v>2024</v>
      </c>
      <c r="I3230" s="128">
        <v>1</v>
      </c>
      <c r="J3230" s="128" t="s">
        <v>2438</v>
      </c>
      <c r="K3230" s="128" t="s">
        <v>2646</v>
      </c>
      <c r="M3230" s="128" t="s">
        <v>82</v>
      </c>
      <c r="N3230" s="128">
        <v>8</v>
      </c>
      <c r="O3230" s="128" t="s">
        <v>2439</v>
      </c>
      <c r="P3230" s="128" t="s">
        <v>2938</v>
      </c>
      <c r="Y3230" s="128" t="s">
        <v>3030</v>
      </c>
    </row>
    <row r="3231" spans="1:27" s="128" customFormat="1" hidden="1" x14ac:dyDescent="0.25">
      <c r="A3231" s="128" t="s">
        <v>307</v>
      </c>
      <c r="B3231" s="128" t="s">
        <v>36</v>
      </c>
      <c r="C3231" s="128" t="s">
        <v>28</v>
      </c>
      <c r="D3231" s="128" t="s">
        <v>342</v>
      </c>
      <c r="E3231" s="128" t="s">
        <v>51</v>
      </c>
      <c r="F3231" s="128" t="s">
        <v>3183</v>
      </c>
      <c r="G3231" s="128" t="s">
        <v>52</v>
      </c>
      <c r="H3231" s="128">
        <v>2024</v>
      </c>
      <c r="I3231" s="128">
        <v>2</v>
      </c>
      <c r="J3231" s="128" t="s">
        <v>399</v>
      </c>
      <c r="Q3231" s="128" t="s">
        <v>426</v>
      </c>
      <c r="R3231" s="128" t="s">
        <v>3177</v>
      </c>
      <c r="S3231" s="128" t="s">
        <v>311</v>
      </c>
      <c r="T3231" s="128" t="s">
        <v>3369</v>
      </c>
      <c r="Y3231" s="150" t="s">
        <v>3178</v>
      </c>
    </row>
    <row r="3232" spans="1:27" s="128" customFormat="1" hidden="1" x14ac:dyDescent="0.25">
      <c r="A3232" s="128" t="s">
        <v>76</v>
      </c>
      <c r="B3232" s="128" t="s">
        <v>36</v>
      </c>
      <c r="C3232" s="128" t="s">
        <v>28</v>
      </c>
      <c r="D3232" s="128" t="s">
        <v>342</v>
      </c>
      <c r="E3232" s="128" t="s">
        <v>30</v>
      </c>
      <c r="F3232" s="128" t="s">
        <v>3183</v>
      </c>
      <c r="G3232" s="128" t="s">
        <v>438</v>
      </c>
      <c r="H3232" s="128">
        <v>2024</v>
      </c>
      <c r="I3232" s="128">
        <v>3</v>
      </c>
      <c r="J3232" s="128" t="s">
        <v>150</v>
      </c>
      <c r="K3232" s="128" t="s">
        <v>2971</v>
      </c>
      <c r="M3232" s="128" t="s">
        <v>3351</v>
      </c>
      <c r="N3232" s="128">
        <v>10</v>
      </c>
      <c r="O3232" s="128" t="s">
        <v>83</v>
      </c>
      <c r="P3232" s="128" t="s">
        <v>3370</v>
      </c>
      <c r="Y3232" s="150" t="s">
        <v>3371</v>
      </c>
    </row>
    <row r="3233" spans="1:26" s="128" customFormat="1" hidden="1" x14ac:dyDescent="0.25">
      <c r="A3233" s="128" t="s">
        <v>76</v>
      </c>
      <c r="B3233" s="128" t="s">
        <v>36</v>
      </c>
      <c r="C3233" s="128" t="s">
        <v>28</v>
      </c>
      <c r="D3233" s="128" t="s">
        <v>342</v>
      </c>
      <c r="E3233" s="128" t="s">
        <v>30</v>
      </c>
      <c r="F3233" s="128" t="s">
        <v>3183</v>
      </c>
      <c r="G3233" s="128" t="s">
        <v>438</v>
      </c>
      <c r="H3233" s="128">
        <v>2024</v>
      </c>
      <c r="I3233" s="128">
        <v>3</v>
      </c>
      <c r="J3233" s="128" t="s">
        <v>118</v>
      </c>
      <c r="K3233" s="128" t="s">
        <v>2646</v>
      </c>
      <c r="M3233" s="128" t="s">
        <v>850</v>
      </c>
      <c r="N3233" s="128">
        <v>8</v>
      </c>
      <c r="O3233" s="128" t="s">
        <v>101</v>
      </c>
      <c r="P3233" s="128" t="s">
        <v>206</v>
      </c>
      <c r="Y3233" s="150" t="s">
        <v>3372</v>
      </c>
      <c r="Z3233" s="128" t="s">
        <v>3373</v>
      </c>
    </row>
    <row r="3234" spans="1:26" s="128" customFormat="1" hidden="1" x14ac:dyDescent="0.25">
      <c r="A3234" s="128" t="s">
        <v>307</v>
      </c>
      <c r="B3234" s="128" t="s">
        <v>116</v>
      </c>
      <c r="C3234" s="128" t="s">
        <v>90</v>
      </c>
      <c r="D3234" s="128" t="s">
        <v>478</v>
      </c>
      <c r="E3234" s="128" t="s">
        <v>30</v>
      </c>
      <c r="F3234" s="128" t="s">
        <v>41</v>
      </c>
      <c r="G3234" s="128" t="s">
        <v>421</v>
      </c>
      <c r="H3234" s="128">
        <v>2024</v>
      </c>
      <c r="I3234" s="128">
        <v>3</v>
      </c>
      <c r="J3234" s="128" t="s">
        <v>399</v>
      </c>
      <c r="L3234" s="172"/>
      <c r="Q3234" s="128" t="s">
        <v>866</v>
      </c>
      <c r="R3234" s="128" t="s">
        <v>3056</v>
      </c>
      <c r="S3234" s="128" t="s">
        <v>427</v>
      </c>
      <c r="T3234" s="128" t="s">
        <v>3374</v>
      </c>
      <c r="Y3234" s="131" t="s">
        <v>3069</v>
      </c>
    </row>
    <row r="3235" spans="1:26" s="128" customFormat="1" hidden="1" x14ac:dyDescent="0.25">
      <c r="A3235" s="128" t="s">
        <v>76</v>
      </c>
      <c r="B3235" s="128" t="s">
        <v>36</v>
      </c>
      <c r="C3235" s="128" t="s">
        <v>28</v>
      </c>
      <c r="D3235" s="128" t="s">
        <v>3375</v>
      </c>
      <c r="E3235" s="128" t="s">
        <v>30</v>
      </c>
      <c r="F3235" s="128" t="s">
        <v>3183</v>
      </c>
      <c r="G3235" s="128" t="s">
        <v>791</v>
      </c>
      <c r="H3235" s="128">
        <v>2024</v>
      </c>
      <c r="I3235" s="128">
        <v>3</v>
      </c>
      <c r="J3235" s="128" t="s">
        <v>150</v>
      </c>
      <c r="K3235" s="128" t="s">
        <v>3376</v>
      </c>
      <c r="M3235" s="128" t="s">
        <v>3377</v>
      </c>
      <c r="N3235" s="128">
        <v>5</v>
      </c>
      <c r="O3235" s="128" t="s">
        <v>83</v>
      </c>
      <c r="P3235" s="128" t="s">
        <v>850</v>
      </c>
      <c r="Y3235" s="131" t="s">
        <v>3378</v>
      </c>
      <c r="Z3235" s="162" t="s">
        <v>3379</v>
      </c>
    </row>
    <row r="3236" spans="1:26" s="128" customFormat="1" ht="15" hidden="1" customHeight="1" x14ac:dyDescent="0.25">
      <c r="A3236" s="128" t="s">
        <v>26</v>
      </c>
      <c r="B3236" s="128" t="s">
        <v>89</v>
      </c>
      <c r="C3236" s="128" t="s">
        <v>90</v>
      </c>
      <c r="D3236" s="128" t="s">
        <v>3186</v>
      </c>
      <c r="E3236" s="128" t="s">
        <v>30</v>
      </c>
      <c r="F3236" s="128" t="s">
        <v>91</v>
      </c>
      <c r="G3236" s="128" t="s">
        <v>93</v>
      </c>
      <c r="H3236" s="128">
        <v>2024</v>
      </c>
      <c r="I3236" s="128">
        <v>3</v>
      </c>
      <c r="J3236" s="128" t="s">
        <v>33</v>
      </c>
      <c r="U3236" s="149" t="s">
        <v>3629</v>
      </c>
      <c r="V3236" s="128" t="s">
        <v>3006</v>
      </c>
      <c r="W3236" s="128" t="s">
        <v>34</v>
      </c>
      <c r="X3236" s="128" t="s">
        <v>3041</v>
      </c>
      <c r="Y3236" s="131" t="s">
        <v>3003</v>
      </c>
    </row>
    <row r="3237" spans="1:26" s="128" customFormat="1" hidden="1" x14ac:dyDescent="0.25">
      <c r="A3237" s="128" t="s">
        <v>76</v>
      </c>
      <c r="B3237" s="128" t="s">
        <v>103</v>
      </c>
      <c r="C3237" s="128" t="s">
        <v>55</v>
      </c>
      <c r="D3237" s="128" t="s">
        <v>478</v>
      </c>
      <c r="E3237" s="128" t="s">
        <v>30</v>
      </c>
      <c r="F3237" s="128" t="s">
        <v>56</v>
      </c>
      <c r="G3237" s="128" t="s">
        <v>171</v>
      </c>
      <c r="H3237" s="128">
        <v>2024</v>
      </c>
      <c r="I3237" s="128">
        <v>4</v>
      </c>
      <c r="J3237" s="128" t="s">
        <v>640</v>
      </c>
      <c r="K3237" s="128" t="s">
        <v>2646</v>
      </c>
      <c r="M3237" s="128" t="s">
        <v>82</v>
      </c>
      <c r="N3237" s="128">
        <v>8</v>
      </c>
      <c r="O3237" s="128" t="s">
        <v>83</v>
      </c>
      <c r="P3237" s="128" t="s">
        <v>1819</v>
      </c>
      <c r="Y3237" s="150" t="s">
        <v>3037</v>
      </c>
    </row>
    <row r="3238" spans="1:26" s="128" customFormat="1" hidden="1" x14ac:dyDescent="0.25">
      <c r="A3238" s="128" t="s">
        <v>76</v>
      </c>
      <c r="B3238" s="128" t="s">
        <v>44</v>
      </c>
      <c r="C3238" s="128" t="s">
        <v>45</v>
      </c>
      <c r="D3238" s="128" t="s">
        <v>29</v>
      </c>
      <c r="E3238" s="128" t="s">
        <v>30</v>
      </c>
      <c r="F3238" s="128" t="s">
        <v>199</v>
      </c>
      <c r="G3238" s="128" t="s">
        <v>232</v>
      </c>
      <c r="H3238" s="128">
        <v>2024</v>
      </c>
      <c r="I3238" s="128">
        <v>4</v>
      </c>
      <c r="J3238" s="128" t="s">
        <v>118</v>
      </c>
      <c r="K3238" s="128" t="s">
        <v>2971</v>
      </c>
      <c r="M3238" s="128" t="s">
        <v>126</v>
      </c>
      <c r="N3238" s="128">
        <v>10</v>
      </c>
      <c r="O3238" s="128" t="s">
        <v>101</v>
      </c>
      <c r="P3238" s="128" t="s">
        <v>3001</v>
      </c>
      <c r="Y3238" s="150" t="s">
        <v>3002</v>
      </c>
    </row>
    <row r="3239" spans="1:26" s="128" customFormat="1" hidden="1" x14ac:dyDescent="0.25">
      <c r="A3239" s="128" t="s">
        <v>76</v>
      </c>
      <c r="B3239" s="128" t="s">
        <v>103</v>
      </c>
      <c r="C3239" s="128" t="s">
        <v>55</v>
      </c>
      <c r="D3239" s="128" t="s">
        <v>478</v>
      </c>
      <c r="E3239" s="128" t="s">
        <v>95</v>
      </c>
      <c r="F3239" s="128" t="s">
        <v>56</v>
      </c>
      <c r="G3239" s="129" t="s">
        <v>111</v>
      </c>
      <c r="H3239" s="128">
        <v>2024</v>
      </c>
      <c r="I3239" s="128">
        <v>4</v>
      </c>
      <c r="J3239" s="128" t="s">
        <v>118</v>
      </c>
      <c r="K3239" s="128" t="s">
        <v>2747</v>
      </c>
      <c r="M3239" s="128" t="s">
        <v>2748</v>
      </c>
      <c r="N3239" s="128">
        <v>6</v>
      </c>
      <c r="O3239" s="128" t="s">
        <v>101</v>
      </c>
      <c r="P3239" s="128" t="s">
        <v>3182</v>
      </c>
      <c r="Y3239" s="150" t="s">
        <v>3092</v>
      </c>
    </row>
    <row r="3240" spans="1:26" s="128" customFormat="1" hidden="1" x14ac:dyDescent="0.25">
      <c r="A3240" s="128" t="s">
        <v>76</v>
      </c>
      <c r="B3240" s="128" t="s">
        <v>36</v>
      </c>
      <c r="C3240" s="128" t="s">
        <v>28</v>
      </c>
      <c r="D3240" s="128" t="s">
        <v>478</v>
      </c>
      <c r="E3240" s="128" t="s">
        <v>30</v>
      </c>
      <c r="F3240" s="128" t="s">
        <v>3183</v>
      </c>
      <c r="G3240" s="128" t="s">
        <v>59</v>
      </c>
      <c r="H3240" s="128">
        <v>2024</v>
      </c>
      <c r="I3240" s="128">
        <v>4</v>
      </c>
      <c r="J3240" s="128" t="s">
        <v>118</v>
      </c>
      <c r="K3240" s="128" t="s">
        <v>2646</v>
      </c>
      <c r="M3240" s="128" t="s">
        <v>82</v>
      </c>
      <c r="N3240" s="128">
        <v>8</v>
      </c>
      <c r="O3240" s="128" t="s">
        <v>101</v>
      </c>
      <c r="P3240" s="128" t="s">
        <v>3087</v>
      </c>
      <c r="Y3240" s="131" t="s">
        <v>3088</v>
      </c>
    </row>
    <row r="3241" spans="1:26" s="128" customFormat="1" hidden="1" x14ac:dyDescent="0.25">
      <c r="A3241" s="128" t="s">
        <v>76</v>
      </c>
      <c r="B3241" s="128" t="s">
        <v>116</v>
      </c>
      <c r="C3241" s="128" t="s">
        <v>90</v>
      </c>
      <c r="D3241" s="128" t="s">
        <v>478</v>
      </c>
      <c r="E3241" s="128" t="s">
        <v>30</v>
      </c>
      <c r="F3241" s="128" t="s">
        <v>41</v>
      </c>
      <c r="G3241" s="128" t="s">
        <v>421</v>
      </c>
      <c r="H3241" s="128">
        <v>2024</v>
      </c>
      <c r="I3241" s="128">
        <v>4</v>
      </c>
      <c r="J3241" s="128" t="s">
        <v>640</v>
      </c>
      <c r="K3241" s="128" t="s">
        <v>2646</v>
      </c>
      <c r="M3241" s="128" t="s">
        <v>82</v>
      </c>
      <c r="N3241" s="128">
        <v>8</v>
      </c>
      <c r="O3241" s="128" t="s">
        <v>83</v>
      </c>
      <c r="P3241" s="128" t="s">
        <v>1819</v>
      </c>
      <c r="Y3241" s="150" t="s">
        <v>3037</v>
      </c>
    </row>
    <row r="3242" spans="1:26" s="128" customFormat="1" hidden="1" x14ac:dyDescent="0.25">
      <c r="A3242" s="128" t="s">
        <v>76</v>
      </c>
      <c r="B3242" s="128" t="s">
        <v>77</v>
      </c>
      <c r="C3242" s="128" t="s">
        <v>55</v>
      </c>
      <c r="D3242" s="128" t="s">
        <v>3187</v>
      </c>
      <c r="E3242" s="128" t="s">
        <v>30</v>
      </c>
      <c r="F3242" s="128" t="s">
        <v>41</v>
      </c>
      <c r="G3242" s="128" t="s">
        <v>159</v>
      </c>
      <c r="H3242" s="128">
        <v>2024</v>
      </c>
      <c r="I3242" s="128">
        <v>4</v>
      </c>
      <c r="J3242" s="128" t="s">
        <v>150</v>
      </c>
      <c r="K3242" s="128" t="s">
        <v>2646</v>
      </c>
      <c r="M3242" s="128" t="s">
        <v>82</v>
      </c>
      <c r="N3242" s="128">
        <v>8</v>
      </c>
      <c r="O3242" s="128" t="s">
        <v>83</v>
      </c>
      <c r="P3242" s="128" t="s">
        <v>3004</v>
      </c>
      <c r="Y3242" s="150" t="s">
        <v>3037</v>
      </c>
      <c r="Z3242" s="128" t="s">
        <v>3189</v>
      </c>
    </row>
    <row r="3243" spans="1:26" s="128" customFormat="1" hidden="1" x14ac:dyDescent="0.25">
      <c r="A3243" s="128" t="s">
        <v>76</v>
      </c>
      <c r="B3243" s="128" t="s">
        <v>77</v>
      </c>
      <c r="C3243" s="128" t="s">
        <v>55</v>
      </c>
      <c r="D3243" s="128" t="s">
        <v>478</v>
      </c>
      <c r="E3243" s="128" t="s">
        <v>30</v>
      </c>
      <c r="F3243" s="128" t="s">
        <v>41</v>
      </c>
      <c r="G3243" s="128" t="s">
        <v>161</v>
      </c>
      <c r="H3243" s="128">
        <v>2024</v>
      </c>
      <c r="I3243" s="128">
        <v>4</v>
      </c>
      <c r="J3243" s="128" t="s">
        <v>640</v>
      </c>
      <c r="K3243" s="128" t="s">
        <v>2646</v>
      </c>
      <c r="M3243" s="128" t="s">
        <v>82</v>
      </c>
      <c r="N3243" s="128">
        <v>8</v>
      </c>
      <c r="O3243" s="128" t="s">
        <v>83</v>
      </c>
      <c r="P3243" s="128" t="s">
        <v>1819</v>
      </c>
      <c r="Y3243" s="131" t="s">
        <v>3037</v>
      </c>
    </row>
    <row r="3244" spans="1:26" s="128" customFormat="1" hidden="1" x14ac:dyDescent="0.25">
      <c r="A3244" s="128" t="s">
        <v>26</v>
      </c>
      <c r="B3244" s="128" t="s">
        <v>89</v>
      </c>
      <c r="C3244" s="128" t="s">
        <v>90</v>
      </c>
      <c r="D3244" s="128" t="s">
        <v>94</v>
      </c>
      <c r="E3244" s="128" t="s">
        <v>30</v>
      </c>
      <c r="F3244" s="128" t="s">
        <v>91</v>
      </c>
      <c r="G3244" s="128" t="s">
        <v>752</v>
      </c>
      <c r="H3244" s="128">
        <v>2024</v>
      </c>
      <c r="I3244" s="128">
        <v>4</v>
      </c>
      <c r="J3244" s="128" t="s">
        <v>33</v>
      </c>
      <c r="U3244" s="149" t="s">
        <v>3629</v>
      </c>
      <c r="V3244" s="128" t="s">
        <v>3006</v>
      </c>
      <c r="W3244" s="128" t="s">
        <v>34</v>
      </c>
      <c r="X3244" s="128" t="s">
        <v>3041</v>
      </c>
      <c r="Y3244" s="150" t="s">
        <v>3026</v>
      </c>
    </row>
    <row r="3245" spans="1:26" s="128" customFormat="1" hidden="1" x14ac:dyDescent="0.25">
      <c r="A3245" s="128" t="s">
        <v>26</v>
      </c>
      <c r="B3245" s="128" t="s">
        <v>89</v>
      </c>
      <c r="C3245" s="128" t="s">
        <v>90</v>
      </c>
      <c r="D3245" s="128" t="s">
        <v>342</v>
      </c>
      <c r="E3245" s="128" t="s">
        <v>30</v>
      </c>
      <c r="F3245" s="128" t="s">
        <v>91</v>
      </c>
      <c r="G3245" s="128" t="s">
        <v>411</v>
      </c>
      <c r="H3245" s="128">
        <v>2024</v>
      </c>
      <c r="I3245" s="128">
        <v>4</v>
      </c>
      <c r="J3245" s="128" t="s">
        <v>33</v>
      </c>
      <c r="U3245" s="149" t="s">
        <v>3629</v>
      </c>
      <c r="V3245" s="128" t="s">
        <v>3006</v>
      </c>
      <c r="W3245" s="128" t="s">
        <v>34</v>
      </c>
      <c r="X3245" s="128" t="s">
        <v>3041</v>
      </c>
      <c r="Y3245" s="150" t="s">
        <v>3025</v>
      </c>
    </row>
    <row r="3246" spans="1:26" s="128" customFormat="1" hidden="1" x14ac:dyDescent="0.25">
      <c r="A3246" s="128" t="s">
        <v>76</v>
      </c>
      <c r="B3246" s="128" t="s">
        <v>27</v>
      </c>
      <c r="C3246" s="128" t="s">
        <v>28</v>
      </c>
      <c r="D3246" s="128" t="s">
        <v>1302</v>
      </c>
      <c r="E3246" s="128" t="s">
        <v>40</v>
      </c>
      <c r="F3246" s="128" t="s">
        <v>41</v>
      </c>
      <c r="G3246" s="128" t="s">
        <v>42</v>
      </c>
      <c r="H3246" s="128">
        <v>2024</v>
      </c>
      <c r="I3246" s="128">
        <v>4</v>
      </c>
      <c r="J3246" s="128" t="s">
        <v>640</v>
      </c>
      <c r="K3246" s="128" t="s">
        <v>2646</v>
      </c>
      <c r="M3246" s="128" t="s">
        <v>82</v>
      </c>
      <c r="N3246" s="128">
        <v>8</v>
      </c>
      <c r="O3246" s="128" t="s">
        <v>83</v>
      </c>
      <c r="P3246" s="128" t="s">
        <v>1819</v>
      </c>
      <c r="Y3246" s="150" t="s">
        <v>3037</v>
      </c>
    </row>
    <row r="3247" spans="1:26" s="128" customFormat="1" hidden="1" x14ac:dyDescent="0.25">
      <c r="A3247" s="128" t="s">
        <v>76</v>
      </c>
      <c r="B3247" s="128" t="s">
        <v>54</v>
      </c>
      <c r="C3247" s="128" t="s">
        <v>55</v>
      </c>
      <c r="D3247" s="128" t="s">
        <v>2173</v>
      </c>
      <c r="E3247" s="128" t="s">
        <v>30</v>
      </c>
      <c r="F3247" s="128" t="s">
        <v>56</v>
      </c>
      <c r="G3247" s="128" t="s">
        <v>54</v>
      </c>
      <c r="H3247" s="128">
        <v>2024</v>
      </c>
      <c r="I3247" s="128">
        <v>4</v>
      </c>
      <c r="J3247" s="128" t="s">
        <v>640</v>
      </c>
      <c r="K3247" s="128" t="s">
        <v>2646</v>
      </c>
      <c r="M3247" s="128" t="s">
        <v>82</v>
      </c>
      <c r="N3247" s="128">
        <v>8</v>
      </c>
      <c r="O3247" s="128" t="s">
        <v>83</v>
      </c>
      <c r="P3247" s="128" t="s">
        <v>1819</v>
      </c>
      <c r="Y3247" s="150" t="s">
        <v>3037</v>
      </c>
    </row>
    <row r="3248" spans="1:26" s="128" customFormat="1" hidden="1" x14ac:dyDescent="0.25">
      <c r="A3248" s="128" t="s">
        <v>76</v>
      </c>
      <c r="B3248" s="128" t="s">
        <v>77</v>
      </c>
      <c r="C3248" s="128" t="s">
        <v>55</v>
      </c>
      <c r="D3248" s="128" t="s">
        <v>78</v>
      </c>
      <c r="E3248" s="128" t="s">
        <v>30</v>
      </c>
      <c r="F3248" s="128" t="s">
        <v>41</v>
      </c>
      <c r="G3248" s="128" t="s">
        <v>79</v>
      </c>
      <c r="H3248" s="128">
        <v>2024</v>
      </c>
      <c r="I3248" s="128">
        <v>4</v>
      </c>
      <c r="J3248" s="128" t="s">
        <v>80</v>
      </c>
      <c r="K3248" s="128" t="s">
        <v>2646</v>
      </c>
      <c r="M3248" s="128" t="s">
        <v>82</v>
      </c>
      <c r="N3248" s="128">
        <v>8</v>
      </c>
      <c r="O3248" s="128" t="s">
        <v>83</v>
      </c>
      <c r="P3248" s="128" t="s">
        <v>3111</v>
      </c>
      <c r="Y3248" s="150" t="s">
        <v>3103</v>
      </c>
    </row>
    <row r="3249" spans="1:26" s="128" customFormat="1" hidden="1" x14ac:dyDescent="0.25">
      <c r="A3249" s="128" t="s">
        <v>26</v>
      </c>
      <c r="B3249" s="128" t="s">
        <v>89</v>
      </c>
      <c r="C3249" s="128" t="s">
        <v>90</v>
      </c>
      <c r="D3249" s="128" t="s">
        <v>99</v>
      </c>
      <c r="E3249" s="128" t="s">
        <v>30</v>
      </c>
      <c r="F3249" s="128" t="s">
        <v>91</v>
      </c>
      <c r="G3249" s="128" t="s">
        <v>743</v>
      </c>
      <c r="H3249" s="128">
        <v>2024</v>
      </c>
      <c r="I3249" s="128">
        <v>4</v>
      </c>
      <c r="J3249" s="128" t="s">
        <v>33</v>
      </c>
      <c r="U3249" s="149" t="s">
        <v>3629</v>
      </c>
      <c r="V3249" s="128" t="s">
        <v>3006</v>
      </c>
      <c r="W3249" s="128" t="s">
        <v>34</v>
      </c>
      <c r="X3249" s="128" t="s">
        <v>3041</v>
      </c>
      <c r="Y3249" s="150" t="s">
        <v>3003</v>
      </c>
    </row>
    <row r="3250" spans="1:26" s="128" customFormat="1" hidden="1" x14ac:dyDescent="0.25">
      <c r="A3250" s="128" t="s">
        <v>76</v>
      </c>
      <c r="B3250" s="128" t="s">
        <v>77</v>
      </c>
      <c r="C3250" s="128" t="s">
        <v>55</v>
      </c>
      <c r="D3250" s="128" t="s">
        <v>3186</v>
      </c>
      <c r="E3250" s="128" t="s">
        <v>30</v>
      </c>
      <c r="F3250" s="128" t="s">
        <v>41</v>
      </c>
      <c r="G3250" s="128" t="s">
        <v>275</v>
      </c>
      <c r="H3250" s="128">
        <v>2024</v>
      </c>
      <c r="I3250" s="128">
        <v>4</v>
      </c>
      <c r="J3250" s="128" t="s">
        <v>640</v>
      </c>
      <c r="K3250" s="128" t="s">
        <v>2646</v>
      </c>
      <c r="M3250" s="128" t="s">
        <v>82</v>
      </c>
      <c r="N3250" s="128">
        <v>8</v>
      </c>
      <c r="O3250" s="128" t="s">
        <v>83</v>
      </c>
      <c r="P3250" s="128" t="s">
        <v>3039</v>
      </c>
      <c r="Y3250" s="150" t="s">
        <v>3024</v>
      </c>
      <c r="Z3250" s="128" t="s">
        <v>3189</v>
      </c>
    </row>
    <row r="3251" spans="1:26" s="128" customFormat="1" hidden="1" x14ac:dyDescent="0.25">
      <c r="A3251" s="128" t="s">
        <v>76</v>
      </c>
      <c r="B3251" s="128" t="s">
        <v>44</v>
      </c>
      <c r="C3251" s="128" t="s">
        <v>45</v>
      </c>
      <c r="D3251" s="128" t="s">
        <v>29</v>
      </c>
      <c r="E3251" s="128" t="s">
        <v>46</v>
      </c>
      <c r="F3251" s="128" t="s">
        <v>47</v>
      </c>
      <c r="G3251" s="128" t="s">
        <v>48</v>
      </c>
      <c r="H3251" s="128">
        <v>2024</v>
      </c>
      <c r="I3251" s="128">
        <v>4</v>
      </c>
      <c r="J3251" s="128" t="s">
        <v>2438</v>
      </c>
      <c r="K3251" s="128" t="s">
        <v>2646</v>
      </c>
      <c r="M3251" s="128" t="s">
        <v>82</v>
      </c>
      <c r="N3251" s="128">
        <v>8</v>
      </c>
      <c r="O3251" s="128" t="s">
        <v>2439</v>
      </c>
      <c r="P3251" s="128" t="s">
        <v>3175</v>
      </c>
      <c r="Y3251" s="150" t="s">
        <v>3000</v>
      </c>
    </row>
    <row r="3252" spans="1:26" s="128" customFormat="1" hidden="1" x14ac:dyDescent="0.25">
      <c r="A3252" s="128" t="s">
        <v>76</v>
      </c>
      <c r="B3252" s="128" t="s">
        <v>77</v>
      </c>
      <c r="C3252" s="128" t="s">
        <v>55</v>
      </c>
      <c r="D3252" s="128" t="s">
        <v>3324</v>
      </c>
      <c r="E3252" s="128" t="s">
        <v>30</v>
      </c>
      <c r="F3252" s="128" t="s">
        <v>41</v>
      </c>
      <c r="G3252" s="128" t="s">
        <v>363</v>
      </c>
      <c r="H3252" s="128">
        <v>2024</v>
      </c>
      <c r="I3252" s="128">
        <v>4</v>
      </c>
      <c r="J3252" s="128" t="s">
        <v>640</v>
      </c>
      <c r="K3252" s="128" t="s">
        <v>2646</v>
      </c>
      <c r="M3252" s="128" t="s">
        <v>82</v>
      </c>
      <c r="N3252" s="128">
        <v>8</v>
      </c>
      <c r="O3252" s="128" t="s">
        <v>83</v>
      </c>
      <c r="P3252" s="128" t="s">
        <v>3038</v>
      </c>
      <c r="Y3252" s="150" t="s">
        <v>3037</v>
      </c>
    </row>
    <row r="3253" spans="1:26" s="128" customFormat="1" hidden="1" x14ac:dyDescent="0.25">
      <c r="A3253" s="128" t="s">
        <v>76</v>
      </c>
      <c r="B3253" s="128" t="s">
        <v>36</v>
      </c>
      <c r="C3253" s="128" t="s">
        <v>28</v>
      </c>
      <c r="D3253" s="128" t="s">
        <v>478</v>
      </c>
      <c r="E3253" s="128" t="s">
        <v>30</v>
      </c>
      <c r="F3253" s="128" t="s">
        <v>3183</v>
      </c>
      <c r="G3253" s="128" t="s">
        <v>114</v>
      </c>
      <c r="H3253" s="128">
        <v>2024</v>
      </c>
      <c r="I3253" s="128">
        <v>4</v>
      </c>
      <c r="J3253" s="128" t="s">
        <v>118</v>
      </c>
      <c r="K3253" s="128" t="s">
        <v>2646</v>
      </c>
      <c r="M3253" s="128" t="s">
        <v>82</v>
      </c>
      <c r="N3253" s="128">
        <v>8</v>
      </c>
      <c r="O3253" s="128" t="s">
        <v>101</v>
      </c>
      <c r="P3253" s="128" t="s">
        <v>2922</v>
      </c>
      <c r="Y3253" s="131" t="s">
        <v>3089</v>
      </c>
      <c r="Z3253" s="128" t="s">
        <v>3090</v>
      </c>
    </row>
    <row r="3254" spans="1:26" s="128" customFormat="1" hidden="1" x14ac:dyDescent="0.25">
      <c r="A3254" s="128" t="s">
        <v>307</v>
      </c>
      <c r="B3254" s="128" t="s">
        <v>27</v>
      </c>
      <c r="C3254" s="128" t="s">
        <v>2430</v>
      </c>
      <c r="D3254" s="128" t="s">
        <v>3186</v>
      </c>
      <c r="E3254" s="128" t="s">
        <v>30</v>
      </c>
      <c r="F3254" s="128" t="s">
        <v>3183</v>
      </c>
      <c r="G3254" s="128" t="s">
        <v>32</v>
      </c>
      <c r="H3254" s="128">
        <v>2024</v>
      </c>
      <c r="I3254" s="128">
        <v>5</v>
      </c>
      <c r="J3254" s="128" t="s">
        <v>308</v>
      </c>
      <c r="Q3254" s="128" t="s">
        <v>309</v>
      </c>
      <c r="R3254" s="128" t="s">
        <v>3152</v>
      </c>
      <c r="S3254" s="128" t="s">
        <v>311</v>
      </c>
      <c r="T3254" s="128" t="s">
        <v>3153</v>
      </c>
      <c r="Y3254" s="150" t="s">
        <v>3154</v>
      </c>
    </row>
    <row r="3255" spans="1:26" s="128" customFormat="1" hidden="1" x14ac:dyDescent="0.25">
      <c r="A3255" s="128" t="s">
        <v>307</v>
      </c>
      <c r="B3255" s="128" t="s">
        <v>36</v>
      </c>
      <c r="C3255" s="128" t="s">
        <v>28</v>
      </c>
      <c r="D3255" s="128" t="s">
        <v>342</v>
      </c>
      <c r="E3255" s="128" t="s">
        <v>30</v>
      </c>
      <c r="F3255" s="128" t="s">
        <v>3183</v>
      </c>
      <c r="G3255" s="128" t="s">
        <v>438</v>
      </c>
      <c r="H3255" s="128">
        <v>2024</v>
      </c>
      <c r="I3255" s="128">
        <v>5</v>
      </c>
      <c r="J3255" s="128" t="s">
        <v>308</v>
      </c>
      <c r="Q3255" s="128" t="s">
        <v>309</v>
      </c>
      <c r="R3255" s="128" t="s">
        <v>3016</v>
      </c>
      <c r="S3255" s="128" t="s">
        <v>427</v>
      </c>
      <c r="T3255" s="128" t="s">
        <v>3019</v>
      </c>
      <c r="Y3255" s="131" t="s">
        <v>3017</v>
      </c>
      <c r="Z3255" s="128" t="s">
        <v>3380</v>
      </c>
    </row>
    <row r="3256" spans="1:26" s="128" customFormat="1" hidden="1" x14ac:dyDescent="0.25">
      <c r="A3256" s="128" t="s">
        <v>26</v>
      </c>
      <c r="B3256" s="128" t="s">
        <v>36</v>
      </c>
      <c r="C3256" s="128" t="s">
        <v>28</v>
      </c>
      <c r="D3256" s="128" t="s">
        <v>342</v>
      </c>
      <c r="E3256" s="128" t="s">
        <v>30</v>
      </c>
      <c r="F3256" s="128" t="s">
        <v>3183</v>
      </c>
      <c r="G3256" s="128" t="s">
        <v>438</v>
      </c>
      <c r="H3256" s="128">
        <v>2024</v>
      </c>
      <c r="I3256" s="128">
        <v>5</v>
      </c>
      <c r="J3256" s="128" t="s">
        <v>33</v>
      </c>
      <c r="U3256" s="149" t="s">
        <v>112</v>
      </c>
      <c r="V3256" s="155" t="s">
        <v>3707</v>
      </c>
      <c r="X3256" s="128" t="s">
        <v>3034</v>
      </c>
      <c r="Y3256" s="131" t="s">
        <v>3035</v>
      </c>
    </row>
    <row r="3257" spans="1:26" s="128" customFormat="1" hidden="1" x14ac:dyDescent="0.25">
      <c r="A3257" s="128" t="s">
        <v>26</v>
      </c>
      <c r="B3257" s="128" t="s">
        <v>36</v>
      </c>
      <c r="C3257" s="128" t="s">
        <v>28</v>
      </c>
      <c r="D3257" s="128" t="s">
        <v>478</v>
      </c>
      <c r="E3257" s="128" t="s">
        <v>30</v>
      </c>
      <c r="F3257" s="128" t="s">
        <v>3183</v>
      </c>
      <c r="G3257" s="128" t="s">
        <v>67</v>
      </c>
      <c r="H3257" s="128">
        <v>2024</v>
      </c>
      <c r="I3257" s="128">
        <v>5</v>
      </c>
      <c r="J3257" s="128" t="s">
        <v>33</v>
      </c>
      <c r="U3257" s="149" t="s">
        <v>3629</v>
      </c>
      <c r="V3257" s="128" t="s">
        <v>3006</v>
      </c>
      <c r="W3257" s="128" t="s">
        <v>34</v>
      </c>
      <c r="X3257" s="128" t="s">
        <v>3041</v>
      </c>
      <c r="Y3257" s="150" t="s">
        <v>3155</v>
      </c>
    </row>
    <row r="3258" spans="1:26" s="128" customFormat="1" hidden="1" x14ac:dyDescent="0.25">
      <c r="A3258" s="128" t="s">
        <v>307</v>
      </c>
      <c r="B3258" s="128" t="s">
        <v>62</v>
      </c>
      <c r="C3258" s="128" t="s">
        <v>28</v>
      </c>
      <c r="D3258" s="128" t="s">
        <v>478</v>
      </c>
      <c r="E3258" s="128" t="s">
        <v>30</v>
      </c>
      <c r="F3258" s="128" t="s">
        <v>3183</v>
      </c>
      <c r="G3258" s="128" t="s">
        <v>244</v>
      </c>
      <c r="H3258" s="128">
        <v>2024</v>
      </c>
      <c r="I3258" s="128">
        <v>5</v>
      </c>
      <c r="J3258" s="128" t="s">
        <v>308</v>
      </c>
      <c r="Q3258" s="128" t="s">
        <v>309</v>
      </c>
      <c r="R3258" s="128" t="s">
        <v>3022</v>
      </c>
      <c r="S3258" s="128" t="s">
        <v>311</v>
      </c>
      <c r="T3258" s="128" t="s">
        <v>3023</v>
      </c>
      <c r="Y3258" s="131" t="s">
        <v>3029</v>
      </c>
    </row>
    <row r="3259" spans="1:26" s="128" customFormat="1" hidden="1" x14ac:dyDescent="0.25">
      <c r="A3259" s="128" t="s">
        <v>76</v>
      </c>
      <c r="B3259" s="128" t="s">
        <v>116</v>
      </c>
      <c r="C3259" s="128" t="s">
        <v>90</v>
      </c>
      <c r="D3259" s="128" t="s">
        <v>99</v>
      </c>
      <c r="E3259" s="128" t="s">
        <v>30</v>
      </c>
      <c r="F3259" s="128" t="s">
        <v>41</v>
      </c>
      <c r="G3259" s="128" t="s">
        <v>653</v>
      </c>
      <c r="H3259" s="128">
        <v>2024</v>
      </c>
      <c r="I3259" s="128">
        <v>5</v>
      </c>
      <c r="J3259" s="128" t="s">
        <v>118</v>
      </c>
      <c r="K3259" s="128" t="s">
        <v>2646</v>
      </c>
      <c r="M3259" s="128" t="s">
        <v>82</v>
      </c>
      <c r="N3259" s="128">
        <v>8</v>
      </c>
      <c r="O3259" s="128" t="s">
        <v>101</v>
      </c>
      <c r="P3259" s="128" t="s">
        <v>3021</v>
      </c>
      <c r="Y3259" s="131" t="s">
        <v>3020</v>
      </c>
    </row>
    <row r="3260" spans="1:26" s="128" customFormat="1" x14ac:dyDescent="0.25">
      <c r="A3260" s="128" t="s">
        <v>76</v>
      </c>
      <c r="B3260" s="128" t="s">
        <v>36</v>
      </c>
      <c r="C3260" s="128" t="s">
        <v>28</v>
      </c>
      <c r="D3260" s="128" t="s">
        <v>1304</v>
      </c>
      <c r="E3260" s="128" t="s">
        <v>30</v>
      </c>
      <c r="F3260" s="128" t="s">
        <v>3183</v>
      </c>
      <c r="G3260" s="128" t="s">
        <v>194</v>
      </c>
      <c r="H3260" s="128">
        <v>2024</v>
      </c>
      <c r="I3260" s="128">
        <v>5</v>
      </c>
      <c r="J3260" s="128" t="s">
        <v>150</v>
      </c>
      <c r="K3260" s="128" t="s">
        <v>2646</v>
      </c>
      <c r="M3260" s="128" t="s">
        <v>82</v>
      </c>
      <c r="N3260" s="128">
        <v>8</v>
      </c>
      <c r="O3260" s="128" t="s">
        <v>83</v>
      </c>
      <c r="P3260" s="128" t="s">
        <v>3032</v>
      </c>
      <c r="Y3260" s="150" t="s">
        <v>3033</v>
      </c>
      <c r="Z3260" s="128" t="s">
        <v>3381</v>
      </c>
    </row>
    <row r="3261" spans="1:26" s="128" customFormat="1" hidden="1" x14ac:dyDescent="0.25">
      <c r="A3261" s="128" t="s">
        <v>26</v>
      </c>
      <c r="B3261" s="128" t="s">
        <v>89</v>
      </c>
      <c r="C3261" s="128" t="s">
        <v>90</v>
      </c>
      <c r="D3261" s="128" t="s">
        <v>3323</v>
      </c>
      <c r="E3261" s="128" t="s">
        <v>30</v>
      </c>
      <c r="F3261" s="128" t="s">
        <v>91</v>
      </c>
      <c r="G3261" s="128" t="s">
        <v>92</v>
      </c>
      <c r="H3261" s="128">
        <v>2024</v>
      </c>
      <c r="I3261" s="128">
        <v>5</v>
      </c>
      <c r="J3261" s="128" t="s">
        <v>983</v>
      </c>
      <c r="U3261" s="149" t="s">
        <v>3629</v>
      </c>
      <c r="V3261" s="128" t="s">
        <v>3027</v>
      </c>
      <c r="W3261" s="128" t="s">
        <v>87</v>
      </c>
      <c r="X3261" s="173" t="s">
        <v>3774</v>
      </c>
      <c r="Y3261" s="131" t="s">
        <v>3028</v>
      </c>
      <c r="Z3261" s="128" t="s">
        <v>3382</v>
      </c>
    </row>
    <row r="3262" spans="1:26" s="128" customFormat="1" hidden="1" x14ac:dyDescent="0.25">
      <c r="A3262" s="128" t="s">
        <v>76</v>
      </c>
      <c r="B3262" s="128" t="s">
        <v>89</v>
      </c>
      <c r="C3262" s="128" t="s">
        <v>90</v>
      </c>
      <c r="D3262" s="128" t="s">
        <v>3323</v>
      </c>
      <c r="E3262" s="128" t="s">
        <v>30</v>
      </c>
      <c r="F3262" s="128" t="s">
        <v>91</v>
      </c>
      <c r="G3262" s="128" t="s">
        <v>92</v>
      </c>
      <c r="H3262" s="128">
        <v>2024</v>
      </c>
      <c r="I3262" s="128">
        <v>5</v>
      </c>
      <c r="J3262" s="128" t="s">
        <v>118</v>
      </c>
      <c r="K3262" s="128" t="s">
        <v>2646</v>
      </c>
      <c r="M3262" s="128" t="s">
        <v>82</v>
      </c>
      <c r="N3262" s="128">
        <v>8</v>
      </c>
      <c r="O3262" s="128" t="s">
        <v>101</v>
      </c>
      <c r="P3262" s="128" t="s">
        <v>562</v>
      </c>
      <c r="Y3262" s="131" t="s">
        <v>3156</v>
      </c>
    </row>
    <row r="3263" spans="1:26" s="128" customFormat="1" hidden="1" x14ac:dyDescent="0.25">
      <c r="A3263" s="128" t="s">
        <v>26</v>
      </c>
      <c r="B3263" s="128" t="s">
        <v>36</v>
      </c>
      <c r="C3263" s="128" t="s">
        <v>28</v>
      </c>
      <c r="D3263" s="128" t="s">
        <v>478</v>
      </c>
      <c r="E3263" s="128" t="s">
        <v>30</v>
      </c>
      <c r="F3263" s="128" t="s">
        <v>3183</v>
      </c>
      <c r="G3263" s="128" t="s">
        <v>2309</v>
      </c>
      <c r="H3263" s="128">
        <v>2024</v>
      </c>
      <c r="I3263" s="128">
        <v>5</v>
      </c>
      <c r="J3263" s="128" t="s">
        <v>33</v>
      </c>
      <c r="U3263" s="149" t="s">
        <v>112</v>
      </c>
      <c r="V3263" s="155" t="s">
        <v>3707</v>
      </c>
      <c r="X3263" s="128" t="s">
        <v>3034</v>
      </c>
      <c r="Y3263" s="131" t="s">
        <v>3036</v>
      </c>
    </row>
    <row r="3264" spans="1:26" s="128" customFormat="1" hidden="1" x14ac:dyDescent="0.25">
      <c r="A3264" s="128" t="s">
        <v>76</v>
      </c>
      <c r="B3264" s="128" t="s">
        <v>103</v>
      </c>
      <c r="C3264" s="128" t="s">
        <v>55</v>
      </c>
      <c r="D3264" s="128" t="s">
        <v>478</v>
      </c>
      <c r="E3264" s="128" t="s">
        <v>95</v>
      </c>
      <c r="F3264" s="128" t="s">
        <v>56</v>
      </c>
      <c r="G3264" s="128" t="s">
        <v>108</v>
      </c>
      <c r="H3264" s="128">
        <v>2024</v>
      </c>
      <c r="I3264" s="128">
        <v>5</v>
      </c>
      <c r="J3264" s="128" t="s">
        <v>2438</v>
      </c>
      <c r="K3264" s="128" t="s">
        <v>2641</v>
      </c>
      <c r="M3264" s="128" t="s">
        <v>3383</v>
      </c>
      <c r="N3264" s="128">
        <v>8</v>
      </c>
      <c r="O3264" s="128" t="s">
        <v>2439</v>
      </c>
      <c r="P3264" s="128" t="s">
        <v>545</v>
      </c>
      <c r="Y3264" s="150" t="s">
        <v>3384</v>
      </c>
      <c r="Z3264" s="128" t="s">
        <v>3385</v>
      </c>
    </row>
    <row r="3265" spans="1:26" s="128" customFormat="1" hidden="1" x14ac:dyDescent="0.25">
      <c r="A3265" s="128" t="s">
        <v>76</v>
      </c>
      <c r="B3265" s="128" t="s">
        <v>71</v>
      </c>
      <c r="C3265" s="128" t="s">
        <v>45</v>
      </c>
      <c r="D3265" s="128" t="s">
        <v>478</v>
      </c>
      <c r="E3265" s="128" t="s">
        <v>72</v>
      </c>
      <c r="F3265" s="128" t="s">
        <v>3183</v>
      </c>
      <c r="G3265" s="128" t="s">
        <v>73</v>
      </c>
      <c r="H3265" s="128">
        <v>2024</v>
      </c>
      <c r="I3265" s="128">
        <v>6</v>
      </c>
      <c r="J3265" s="128" t="s">
        <v>640</v>
      </c>
      <c r="K3265" s="128" t="s">
        <v>2646</v>
      </c>
      <c r="M3265" s="128" t="s">
        <v>850</v>
      </c>
      <c r="N3265" s="128">
        <v>8</v>
      </c>
      <c r="O3265" s="128" t="s">
        <v>83</v>
      </c>
      <c r="P3265" s="128" t="s">
        <v>3386</v>
      </c>
      <c r="Y3265" s="179" t="s">
        <v>3387</v>
      </c>
      <c r="Z3265" s="128" t="s">
        <v>3388</v>
      </c>
    </row>
    <row r="3266" spans="1:26" s="128" customFormat="1" hidden="1" x14ac:dyDescent="0.25">
      <c r="A3266" s="128" t="s">
        <v>76</v>
      </c>
      <c r="B3266" s="128" t="s">
        <v>36</v>
      </c>
      <c r="C3266" s="128" t="s">
        <v>28</v>
      </c>
      <c r="D3266" s="128" t="s">
        <v>342</v>
      </c>
      <c r="E3266" s="128" t="s">
        <v>30</v>
      </c>
      <c r="F3266" s="128" t="s">
        <v>3183</v>
      </c>
      <c r="G3266" s="128" t="s">
        <v>438</v>
      </c>
      <c r="H3266" s="128">
        <v>2024</v>
      </c>
      <c r="I3266" s="128">
        <v>6</v>
      </c>
      <c r="J3266" s="128" t="s">
        <v>640</v>
      </c>
      <c r="K3266" s="128" t="s">
        <v>2646</v>
      </c>
      <c r="M3266" s="128" t="s">
        <v>850</v>
      </c>
      <c r="N3266" s="128">
        <v>8</v>
      </c>
      <c r="O3266" s="128" t="s">
        <v>83</v>
      </c>
      <c r="P3266" s="128" t="s">
        <v>849</v>
      </c>
      <c r="Y3266" s="150" t="s">
        <v>3389</v>
      </c>
      <c r="Z3266" s="128" t="s">
        <v>3390</v>
      </c>
    </row>
    <row r="3267" spans="1:26" s="128" customFormat="1" ht="16.149999999999999" hidden="1" customHeight="1" x14ac:dyDescent="0.25">
      <c r="A3267" s="128" t="s">
        <v>76</v>
      </c>
      <c r="B3267" s="128" t="s">
        <v>44</v>
      </c>
      <c r="C3267" s="128" t="s">
        <v>45</v>
      </c>
      <c r="D3267" s="128" t="s">
        <v>99</v>
      </c>
      <c r="E3267" s="128" t="s">
        <v>95</v>
      </c>
      <c r="F3267" s="128" t="s">
        <v>47</v>
      </c>
      <c r="G3267" s="128" t="s">
        <v>96</v>
      </c>
      <c r="H3267" s="128">
        <v>2024</v>
      </c>
      <c r="I3267" s="128">
        <v>6</v>
      </c>
      <c r="J3267" s="128" t="s">
        <v>640</v>
      </c>
      <c r="K3267" s="128" t="s">
        <v>2646</v>
      </c>
      <c r="M3267" s="128" t="s">
        <v>850</v>
      </c>
      <c r="N3267" s="128">
        <v>8</v>
      </c>
      <c r="O3267" s="128" t="s">
        <v>83</v>
      </c>
      <c r="P3267" s="128" t="s">
        <v>146</v>
      </c>
      <c r="Y3267" s="150" t="s">
        <v>3387</v>
      </c>
      <c r="Z3267" s="128" t="s">
        <v>3388</v>
      </c>
    </row>
    <row r="3268" spans="1:26" s="128" customFormat="1" hidden="1" x14ac:dyDescent="0.25">
      <c r="A3268" s="128" t="s">
        <v>76</v>
      </c>
      <c r="B3268" s="128" t="s">
        <v>103</v>
      </c>
      <c r="C3268" s="128" t="s">
        <v>55</v>
      </c>
      <c r="D3268" s="128" t="s">
        <v>158</v>
      </c>
      <c r="E3268" s="128" t="s">
        <v>30</v>
      </c>
      <c r="F3268" s="128" t="s">
        <v>56</v>
      </c>
      <c r="G3268" s="128" t="s">
        <v>1027</v>
      </c>
      <c r="H3268" s="128">
        <v>2024</v>
      </c>
      <c r="I3268" s="128">
        <v>6</v>
      </c>
      <c r="J3268" s="128" t="s">
        <v>640</v>
      </c>
      <c r="K3268" s="128" t="s">
        <v>2646</v>
      </c>
      <c r="M3268" s="128" t="s">
        <v>850</v>
      </c>
      <c r="N3268" s="128">
        <v>8</v>
      </c>
      <c r="O3268" s="128" t="s">
        <v>83</v>
      </c>
      <c r="P3268" s="128" t="s">
        <v>3391</v>
      </c>
      <c r="Y3268" s="150" t="s">
        <v>3392</v>
      </c>
      <c r="Z3268" s="128" t="s">
        <v>3393</v>
      </c>
    </row>
    <row r="3269" spans="1:26" s="128" customFormat="1" hidden="1" x14ac:dyDescent="0.25">
      <c r="A3269" s="128" t="s">
        <v>76</v>
      </c>
      <c r="B3269" s="128" t="s">
        <v>103</v>
      </c>
      <c r="C3269" s="128" t="s">
        <v>55</v>
      </c>
      <c r="D3269" s="128" t="s">
        <v>478</v>
      </c>
      <c r="E3269" s="128" t="s">
        <v>95</v>
      </c>
      <c r="F3269" s="128" t="s">
        <v>56</v>
      </c>
      <c r="G3269" s="128" t="s">
        <v>111</v>
      </c>
      <c r="H3269" s="128">
        <v>2024</v>
      </c>
      <c r="I3269" s="128">
        <v>6</v>
      </c>
      <c r="J3269" s="128" t="s">
        <v>640</v>
      </c>
      <c r="K3269" s="128" t="s">
        <v>2646</v>
      </c>
      <c r="M3269" s="128" t="s">
        <v>850</v>
      </c>
      <c r="N3269" s="128">
        <v>8</v>
      </c>
      <c r="O3269" s="128" t="s">
        <v>83</v>
      </c>
      <c r="P3269" s="128" t="s">
        <v>3394</v>
      </c>
      <c r="Y3269" s="150" t="s">
        <v>3389</v>
      </c>
      <c r="Z3269" s="128" t="s">
        <v>3395</v>
      </c>
    </row>
    <row r="3270" spans="1:26" s="128" customFormat="1" ht="16.149999999999999" hidden="1" customHeight="1" x14ac:dyDescent="0.25">
      <c r="A3270" s="128" t="s">
        <v>76</v>
      </c>
      <c r="B3270" s="128" t="s">
        <v>36</v>
      </c>
      <c r="C3270" s="128" t="s">
        <v>28</v>
      </c>
      <c r="D3270" s="128" t="s">
        <v>29</v>
      </c>
      <c r="E3270" s="128" t="s">
        <v>30</v>
      </c>
      <c r="F3270" s="128" t="s">
        <v>3183</v>
      </c>
      <c r="G3270" s="128" t="s">
        <v>722</v>
      </c>
      <c r="H3270" s="128">
        <v>2024</v>
      </c>
      <c r="I3270" s="128">
        <v>6</v>
      </c>
      <c r="J3270" s="128" t="s">
        <v>80</v>
      </c>
      <c r="K3270" s="128" t="s">
        <v>2646</v>
      </c>
      <c r="M3270" s="128" t="s">
        <v>82</v>
      </c>
      <c r="N3270" s="128">
        <v>8</v>
      </c>
      <c r="O3270" s="128" t="s">
        <v>83</v>
      </c>
      <c r="P3270" s="128" t="s">
        <v>3106</v>
      </c>
      <c r="Y3270" s="150" t="s">
        <v>3107</v>
      </c>
    </row>
    <row r="3271" spans="1:26" s="128" customFormat="1" ht="17.25" hidden="1" customHeight="1" x14ac:dyDescent="0.25">
      <c r="A3271" s="128" t="s">
        <v>76</v>
      </c>
      <c r="B3271" s="128" t="s">
        <v>62</v>
      </c>
      <c r="C3271" s="128" t="s">
        <v>28</v>
      </c>
      <c r="D3271" s="128" t="s">
        <v>759</v>
      </c>
      <c r="E3271" s="128" t="s">
        <v>51</v>
      </c>
      <c r="F3271" s="128" t="s">
        <v>3183</v>
      </c>
      <c r="G3271" s="128" t="s">
        <v>409</v>
      </c>
      <c r="H3271" s="128">
        <v>2024</v>
      </c>
      <c r="I3271" s="128">
        <v>6</v>
      </c>
      <c r="J3271" s="128" t="s">
        <v>640</v>
      </c>
      <c r="K3271" s="128" t="s">
        <v>2646</v>
      </c>
      <c r="M3271" s="128" t="s">
        <v>850</v>
      </c>
      <c r="N3271" s="128">
        <v>8</v>
      </c>
      <c r="O3271" s="128" t="s">
        <v>83</v>
      </c>
      <c r="P3271" s="128" t="s">
        <v>850</v>
      </c>
      <c r="Y3271" s="150" t="s">
        <v>3389</v>
      </c>
      <c r="Z3271" s="128" t="s">
        <v>3396</v>
      </c>
    </row>
    <row r="3272" spans="1:26" s="128" customFormat="1" hidden="1" x14ac:dyDescent="0.25">
      <c r="A3272" s="128" t="s">
        <v>76</v>
      </c>
      <c r="B3272" s="128" t="s">
        <v>89</v>
      </c>
      <c r="C3272" s="128" t="s">
        <v>90</v>
      </c>
      <c r="D3272" s="128" t="s">
        <v>342</v>
      </c>
      <c r="E3272" s="128" t="s">
        <v>30</v>
      </c>
      <c r="F3272" s="128" t="s">
        <v>91</v>
      </c>
      <c r="G3272" s="128" t="s">
        <v>411</v>
      </c>
      <c r="H3272" s="128">
        <v>2024</v>
      </c>
      <c r="I3272" s="128">
        <v>6</v>
      </c>
      <c r="J3272" s="128" t="s">
        <v>118</v>
      </c>
      <c r="K3272" s="128" t="s">
        <v>2646</v>
      </c>
      <c r="M3272" s="128" t="s">
        <v>850</v>
      </c>
      <c r="N3272" s="128">
        <v>8</v>
      </c>
      <c r="O3272" s="128" t="s">
        <v>101</v>
      </c>
      <c r="P3272" s="128" t="s">
        <v>850</v>
      </c>
      <c r="Y3272" s="150" t="s">
        <v>3397</v>
      </c>
      <c r="Z3272" s="128" t="s">
        <v>3398</v>
      </c>
    </row>
    <row r="3273" spans="1:26" s="128" customFormat="1" hidden="1" x14ac:dyDescent="0.25">
      <c r="A3273" s="128" t="s">
        <v>76</v>
      </c>
      <c r="B3273" s="128" t="s">
        <v>71</v>
      </c>
      <c r="C3273" s="128" t="s">
        <v>45</v>
      </c>
      <c r="D3273" s="128" t="s">
        <v>478</v>
      </c>
      <c r="E3273" s="128" t="s">
        <v>72</v>
      </c>
      <c r="F3273" s="128" t="s">
        <v>3183</v>
      </c>
      <c r="G3273" s="128" t="s">
        <v>75</v>
      </c>
      <c r="H3273" s="128">
        <v>2024</v>
      </c>
      <c r="I3273" s="128">
        <v>6</v>
      </c>
      <c r="J3273" s="128" t="s">
        <v>640</v>
      </c>
      <c r="K3273" s="128" t="s">
        <v>2646</v>
      </c>
      <c r="M3273" s="128" t="s">
        <v>850</v>
      </c>
      <c r="N3273" s="128">
        <v>8</v>
      </c>
      <c r="O3273" s="128" t="s">
        <v>83</v>
      </c>
      <c r="P3273" s="128" t="s">
        <v>2461</v>
      </c>
      <c r="Y3273" s="150" t="s">
        <v>3389</v>
      </c>
      <c r="Z3273" s="128" t="s">
        <v>3399</v>
      </c>
    </row>
    <row r="3274" spans="1:26" s="128" customFormat="1" hidden="1" x14ac:dyDescent="0.25">
      <c r="A3274" s="128" t="s">
        <v>307</v>
      </c>
      <c r="B3274" s="128" t="s">
        <v>89</v>
      </c>
      <c r="C3274" s="128" t="s">
        <v>90</v>
      </c>
      <c r="D3274" s="128" t="s">
        <v>478</v>
      </c>
      <c r="E3274" s="128" t="s">
        <v>30</v>
      </c>
      <c r="F3274" s="128" t="s">
        <v>91</v>
      </c>
      <c r="G3274" s="128" t="s">
        <v>178</v>
      </c>
      <c r="H3274" s="128">
        <v>2024</v>
      </c>
      <c r="I3274" s="128">
        <v>6</v>
      </c>
      <c r="J3274" s="128" t="s">
        <v>399</v>
      </c>
      <c r="Q3274" s="128" t="s">
        <v>818</v>
      </c>
      <c r="R3274" s="128" t="s">
        <v>46</v>
      </c>
      <c r="S3274" s="128" t="s">
        <v>427</v>
      </c>
      <c r="T3274" s="128" t="s">
        <v>3094</v>
      </c>
      <c r="V3274" s="128" t="s">
        <v>3027</v>
      </c>
      <c r="W3274" s="128" t="s">
        <v>87</v>
      </c>
      <c r="X3274" s="128" t="s">
        <v>3093</v>
      </c>
      <c r="Y3274" s="150" t="s">
        <v>3095</v>
      </c>
    </row>
    <row r="3275" spans="1:26" s="128" customFormat="1" hidden="1" x14ac:dyDescent="0.25">
      <c r="A3275" s="128" t="s">
        <v>307</v>
      </c>
      <c r="B3275" s="128" t="s">
        <v>54</v>
      </c>
      <c r="C3275" s="128" t="s">
        <v>55</v>
      </c>
      <c r="D3275" s="128" t="s">
        <v>2173</v>
      </c>
      <c r="E3275" s="128" t="s">
        <v>30</v>
      </c>
      <c r="F3275" s="128" t="s">
        <v>56</v>
      </c>
      <c r="G3275" s="128" t="s">
        <v>54</v>
      </c>
      <c r="H3275" s="128">
        <v>2024</v>
      </c>
      <c r="I3275" s="128">
        <v>6</v>
      </c>
      <c r="J3275" s="128" t="s">
        <v>308</v>
      </c>
      <c r="Q3275" s="128" t="s">
        <v>309</v>
      </c>
      <c r="R3275" s="128" t="s">
        <v>3157</v>
      </c>
      <c r="S3275" s="128" t="s">
        <v>311</v>
      </c>
      <c r="T3275" s="128" t="s">
        <v>3158</v>
      </c>
      <c r="Y3275" s="150" t="s">
        <v>3159</v>
      </c>
    </row>
    <row r="3276" spans="1:26" s="128" customFormat="1" hidden="1" x14ac:dyDescent="0.25">
      <c r="A3276" s="128" t="s">
        <v>76</v>
      </c>
      <c r="B3276" s="128" t="s">
        <v>116</v>
      </c>
      <c r="C3276" s="128" t="s">
        <v>90</v>
      </c>
      <c r="D3276" s="128" t="s">
        <v>478</v>
      </c>
      <c r="E3276" s="128" t="s">
        <v>30</v>
      </c>
      <c r="F3276" s="128" t="s">
        <v>41</v>
      </c>
      <c r="G3276" s="128" t="s">
        <v>756</v>
      </c>
      <c r="H3276" s="128">
        <v>2024</v>
      </c>
      <c r="I3276" s="128">
        <v>6</v>
      </c>
      <c r="J3276" s="128" t="s">
        <v>118</v>
      </c>
      <c r="K3276" s="128" t="s">
        <v>710</v>
      </c>
      <c r="M3276" s="128" t="s">
        <v>126</v>
      </c>
      <c r="N3276" s="128">
        <v>10</v>
      </c>
      <c r="O3276" s="128" t="s">
        <v>101</v>
      </c>
      <c r="P3276" s="128" t="s">
        <v>3160</v>
      </c>
      <c r="Y3276" s="150" t="s">
        <v>3161</v>
      </c>
    </row>
    <row r="3277" spans="1:26" s="128" customFormat="1" hidden="1" x14ac:dyDescent="0.25">
      <c r="A3277" s="128" t="s">
        <v>76</v>
      </c>
      <c r="B3277" s="128" t="s">
        <v>36</v>
      </c>
      <c r="C3277" s="128" t="s">
        <v>28</v>
      </c>
      <c r="D3277" s="128" t="s">
        <v>3185</v>
      </c>
      <c r="E3277" s="128" t="s">
        <v>51</v>
      </c>
      <c r="F3277" s="128" t="s">
        <v>3183</v>
      </c>
      <c r="G3277" s="128" t="s">
        <v>52</v>
      </c>
      <c r="H3277" s="128">
        <v>2024</v>
      </c>
      <c r="I3277" s="128">
        <v>6</v>
      </c>
      <c r="J3277" s="128" t="s">
        <v>640</v>
      </c>
      <c r="K3277" s="128" t="s">
        <v>2646</v>
      </c>
      <c r="M3277" s="128" t="s">
        <v>850</v>
      </c>
      <c r="N3277" s="128">
        <v>8</v>
      </c>
      <c r="O3277" s="128" t="s">
        <v>83</v>
      </c>
      <c r="P3277" s="128" t="s">
        <v>2461</v>
      </c>
      <c r="Y3277" s="150" t="s">
        <v>3389</v>
      </c>
      <c r="Z3277" s="128" t="s">
        <v>3400</v>
      </c>
    </row>
    <row r="3278" spans="1:26" s="128" customFormat="1" hidden="1" x14ac:dyDescent="0.25">
      <c r="A3278" s="128" t="s">
        <v>76</v>
      </c>
      <c r="B3278" s="128" t="s">
        <v>44</v>
      </c>
      <c r="C3278" s="128" t="s">
        <v>45</v>
      </c>
      <c r="D3278" s="128" t="s">
        <v>29</v>
      </c>
      <c r="E3278" s="128" t="s">
        <v>46</v>
      </c>
      <c r="F3278" s="128" t="s">
        <v>47</v>
      </c>
      <c r="G3278" s="128" t="s">
        <v>48</v>
      </c>
      <c r="H3278" s="128">
        <v>2024</v>
      </c>
      <c r="I3278" s="128">
        <v>6</v>
      </c>
      <c r="J3278" s="128" t="s">
        <v>640</v>
      </c>
      <c r="K3278" s="128" t="s">
        <v>2646</v>
      </c>
      <c r="M3278" s="128" t="s">
        <v>82</v>
      </c>
      <c r="N3278" s="128">
        <v>8</v>
      </c>
      <c r="O3278" s="128" t="s">
        <v>83</v>
      </c>
      <c r="P3278" s="128" t="s">
        <v>3176</v>
      </c>
      <c r="Y3278" s="150" t="s">
        <v>3031</v>
      </c>
    </row>
    <row r="3279" spans="1:26" s="128" customFormat="1" hidden="1" x14ac:dyDescent="0.25">
      <c r="A3279" s="128" t="s">
        <v>307</v>
      </c>
      <c r="B3279" s="128" t="s">
        <v>103</v>
      </c>
      <c r="C3279" s="128" t="s">
        <v>55</v>
      </c>
      <c r="D3279" s="128" t="s">
        <v>478</v>
      </c>
      <c r="E3279" s="128" t="s">
        <v>30</v>
      </c>
      <c r="F3279" s="128" t="s">
        <v>56</v>
      </c>
      <c r="G3279" s="128" t="s">
        <v>171</v>
      </c>
      <c r="H3279" s="128">
        <v>2024</v>
      </c>
      <c r="I3279" s="128">
        <v>7</v>
      </c>
      <c r="J3279" s="128" t="s">
        <v>308</v>
      </c>
      <c r="Q3279" s="128" t="s">
        <v>309</v>
      </c>
      <c r="R3279" s="128" t="s">
        <v>3165</v>
      </c>
      <c r="S3279" s="128" t="s">
        <v>311</v>
      </c>
      <c r="T3279" s="128" t="s">
        <v>3166</v>
      </c>
      <c r="Y3279" s="150" t="s">
        <v>3167</v>
      </c>
    </row>
    <row r="3280" spans="1:26" s="128" customFormat="1" hidden="1" x14ac:dyDescent="0.25">
      <c r="A3280" s="128" t="s">
        <v>76</v>
      </c>
      <c r="B3280" s="128" t="s">
        <v>198</v>
      </c>
      <c r="C3280" s="128" t="s">
        <v>45</v>
      </c>
      <c r="D3280" s="128" t="s">
        <v>478</v>
      </c>
      <c r="E3280" s="128" t="s">
        <v>30</v>
      </c>
      <c r="F3280" s="128" t="s">
        <v>199</v>
      </c>
      <c r="G3280" s="128" t="s">
        <v>208</v>
      </c>
      <c r="H3280" s="128">
        <v>2024</v>
      </c>
      <c r="I3280" s="128">
        <v>7</v>
      </c>
      <c r="J3280" s="128" t="s">
        <v>118</v>
      </c>
      <c r="K3280" s="128" t="s">
        <v>2646</v>
      </c>
      <c r="M3280" s="128" t="s">
        <v>82</v>
      </c>
      <c r="N3280" s="128">
        <v>8</v>
      </c>
      <c r="O3280" s="128" t="s">
        <v>101</v>
      </c>
      <c r="P3280" s="128" t="s">
        <v>206</v>
      </c>
      <c r="Y3280" s="150" t="s">
        <v>3168</v>
      </c>
    </row>
    <row r="3281" spans="1:26" s="128" customFormat="1" hidden="1" x14ac:dyDescent="0.25">
      <c r="A3281" s="128" t="s">
        <v>307</v>
      </c>
      <c r="B3281" s="128" t="s">
        <v>89</v>
      </c>
      <c r="C3281" s="128" t="s">
        <v>90</v>
      </c>
      <c r="D3281" s="128" t="s">
        <v>478</v>
      </c>
      <c r="E3281" s="128" t="s">
        <v>30</v>
      </c>
      <c r="F3281" s="128" t="s">
        <v>91</v>
      </c>
      <c r="G3281" s="128" t="s">
        <v>564</v>
      </c>
      <c r="H3281" s="128">
        <v>2024</v>
      </c>
      <c r="I3281" s="128">
        <v>7</v>
      </c>
      <c r="J3281" s="128" t="s">
        <v>308</v>
      </c>
      <c r="Q3281" s="128" t="s">
        <v>309</v>
      </c>
      <c r="R3281" s="155" t="s">
        <v>3609</v>
      </c>
      <c r="S3281" s="155" t="s">
        <v>311</v>
      </c>
      <c r="T3281" s="155" t="s">
        <v>3612</v>
      </c>
      <c r="U3281" s="155"/>
      <c r="Y3281" s="131" t="s">
        <v>3610</v>
      </c>
      <c r="Z3281" s="155" t="s">
        <v>3611</v>
      </c>
    </row>
    <row r="3282" spans="1:26" s="128" customFormat="1" hidden="1" x14ac:dyDescent="0.25">
      <c r="A3282" s="128" t="s">
        <v>307</v>
      </c>
      <c r="B3282" s="128" t="s">
        <v>36</v>
      </c>
      <c r="C3282" s="128" t="s">
        <v>28</v>
      </c>
      <c r="D3282" s="128" t="s">
        <v>342</v>
      </c>
      <c r="E3282" s="128" t="s">
        <v>30</v>
      </c>
      <c r="F3282" s="128" t="s">
        <v>3183</v>
      </c>
      <c r="G3282" s="128" t="s">
        <v>242</v>
      </c>
      <c r="H3282" s="128">
        <v>2024</v>
      </c>
      <c r="I3282" s="128">
        <v>7</v>
      </c>
      <c r="J3282" s="128" t="s">
        <v>308</v>
      </c>
      <c r="Q3282" s="128" t="s">
        <v>426</v>
      </c>
      <c r="R3282" s="128" t="s">
        <v>3162</v>
      </c>
      <c r="S3282" s="128" t="s">
        <v>311</v>
      </c>
      <c r="T3282" s="128" t="s">
        <v>3163</v>
      </c>
      <c r="Y3282" s="150" t="s">
        <v>3164</v>
      </c>
    </row>
    <row r="3283" spans="1:26" s="128" customFormat="1" hidden="1" x14ac:dyDescent="0.25">
      <c r="A3283" s="128" t="s">
        <v>26</v>
      </c>
      <c r="B3283" s="128" t="s">
        <v>89</v>
      </c>
      <c r="C3283" s="128" t="s">
        <v>90</v>
      </c>
      <c r="D3283" s="128" t="s">
        <v>99</v>
      </c>
      <c r="E3283" s="128" t="s">
        <v>40</v>
      </c>
      <c r="F3283" s="128" t="s">
        <v>91</v>
      </c>
      <c r="G3283" s="128" t="s">
        <v>142</v>
      </c>
      <c r="H3283" s="128">
        <v>2024</v>
      </c>
      <c r="I3283" s="128">
        <v>7</v>
      </c>
      <c r="J3283" s="128" t="s">
        <v>817</v>
      </c>
      <c r="U3283" s="149" t="s">
        <v>3629</v>
      </c>
      <c r="V3283" s="128" t="s">
        <v>3027</v>
      </c>
      <c r="W3283" s="128" t="s">
        <v>87</v>
      </c>
      <c r="X3283" s="128" t="s">
        <v>3093</v>
      </c>
      <c r="Y3283" s="150" t="s">
        <v>3174</v>
      </c>
    </row>
    <row r="3284" spans="1:26" s="128" customFormat="1" hidden="1" x14ac:dyDescent="0.25">
      <c r="A3284" s="128" t="s">
        <v>26</v>
      </c>
      <c r="B3284" s="128" t="s">
        <v>54</v>
      </c>
      <c r="C3284" s="128" t="s">
        <v>55</v>
      </c>
      <c r="D3284" s="128" t="s">
        <v>3401</v>
      </c>
      <c r="E3284" s="128" t="s">
        <v>30</v>
      </c>
      <c r="F3284" s="128" t="s">
        <v>56</v>
      </c>
      <c r="G3284" s="128" t="s">
        <v>54</v>
      </c>
      <c r="H3284" s="128">
        <v>2024</v>
      </c>
      <c r="I3284" s="128">
        <v>7</v>
      </c>
      <c r="J3284" s="128" t="s">
        <v>817</v>
      </c>
      <c r="Q3284" s="128" t="s">
        <v>543</v>
      </c>
      <c r="R3284" s="128" t="s">
        <v>543</v>
      </c>
      <c r="S3284" s="128" t="s">
        <v>543</v>
      </c>
      <c r="T3284" s="128" t="s">
        <v>543</v>
      </c>
      <c r="U3284" s="149" t="s">
        <v>112</v>
      </c>
      <c r="V3284" s="155" t="s">
        <v>3708</v>
      </c>
      <c r="W3284" s="128" t="s">
        <v>87</v>
      </c>
      <c r="X3284" s="128" t="s">
        <v>3413</v>
      </c>
      <c r="Y3284" s="131" t="s">
        <v>3414</v>
      </c>
      <c r="Z3284" s="128" t="s">
        <v>3415</v>
      </c>
    </row>
    <row r="3285" spans="1:26" s="128" customFormat="1" hidden="1" x14ac:dyDescent="0.25">
      <c r="A3285" s="128" t="s">
        <v>307</v>
      </c>
      <c r="B3285" s="128" t="s">
        <v>54</v>
      </c>
      <c r="C3285" s="128" t="s">
        <v>55</v>
      </c>
      <c r="D3285" s="128" t="s">
        <v>3401</v>
      </c>
      <c r="E3285" s="128" t="s">
        <v>30</v>
      </c>
      <c r="F3285" s="128" t="s">
        <v>56</v>
      </c>
      <c r="G3285" s="128" t="s">
        <v>54</v>
      </c>
      <c r="H3285" s="128">
        <v>2024</v>
      </c>
      <c r="I3285" s="128">
        <v>7</v>
      </c>
      <c r="J3285" s="128" t="s">
        <v>308</v>
      </c>
      <c r="Q3285" s="128" t="s">
        <v>2239</v>
      </c>
      <c r="R3285" s="128" t="s">
        <v>3405</v>
      </c>
      <c r="S3285" s="128" t="s">
        <v>885</v>
      </c>
      <c r="T3285" s="128" t="s">
        <v>3406</v>
      </c>
      <c r="Y3285" s="131" t="s">
        <v>3407</v>
      </c>
      <c r="Z3285" s="128" t="s">
        <v>3408</v>
      </c>
    </row>
    <row r="3286" spans="1:26" s="128" customFormat="1" hidden="1" x14ac:dyDescent="0.25">
      <c r="A3286" s="128" t="s">
        <v>307</v>
      </c>
      <c r="B3286" s="128" t="s">
        <v>54</v>
      </c>
      <c r="C3286" s="128" t="s">
        <v>55</v>
      </c>
      <c r="D3286" s="128" t="s">
        <v>3401</v>
      </c>
      <c r="E3286" s="128" t="s">
        <v>30</v>
      </c>
      <c r="F3286" s="128" t="s">
        <v>56</v>
      </c>
      <c r="G3286" s="128" t="s">
        <v>54</v>
      </c>
      <c r="H3286" s="128">
        <v>2024</v>
      </c>
      <c r="I3286" s="128">
        <v>7</v>
      </c>
      <c r="J3286" s="128" t="s">
        <v>308</v>
      </c>
      <c r="Q3286" s="128" t="s">
        <v>2239</v>
      </c>
      <c r="R3286" s="128" t="s">
        <v>3409</v>
      </c>
      <c r="S3286" s="128" t="s">
        <v>427</v>
      </c>
      <c r="T3286" s="128" t="s">
        <v>3410</v>
      </c>
      <c r="Y3286" s="131" t="s">
        <v>3411</v>
      </c>
      <c r="Z3286" s="128" t="s">
        <v>3412</v>
      </c>
    </row>
    <row r="3287" spans="1:26" s="128" customFormat="1" hidden="1" x14ac:dyDescent="0.25">
      <c r="A3287" s="128" t="s">
        <v>26</v>
      </c>
      <c r="B3287" s="128" t="s">
        <v>54</v>
      </c>
      <c r="C3287" s="128" t="s">
        <v>55</v>
      </c>
      <c r="D3287" s="128" t="s">
        <v>3401</v>
      </c>
      <c r="E3287" s="128" t="s">
        <v>30</v>
      </c>
      <c r="F3287" s="128" t="s">
        <v>56</v>
      </c>
      <c r="G3287" s="128" t="s">
        <v>54</v>
      </c>
      <c r="H3287" s="128">
        <v>2024</v>
      </c>
      <c r="I3287" s="128">
        <v>7</v>
      </c>
      <c r="J3287" s="128" t="s">
        <v>33</v>
      </c>
      <c r="U3287" s="149" t="s">
        <v>112</v>
      </c>
      <c r="V3287" s="155" t="s">
        <v>3709</v>
      </c>
      <c r="W3287" s="128" t="s">
        <v>34</v>
      </c>
      <c r="X3287" s="128" t="s">
        <v>3402</v>
      </c>
      <c r="Y3287" s="150" t="s">
        <v>3403</v>
      </c>
      <c r="Z3287" s="128" t="s">
        <v>3404</v>
      </c>
    </row>
    <row r="3288" spans="1:26" s="128" customFormat="1" hidden="1" x14ac:dyDescent="0.25">
      <c r="A3288" s="128" t="s">
        <v>307</v>
      </c>
      <c r="B3288" s="128" t="s">
        <v>54</v>
      </c>
      <c r="C3288" s="128" t="s">
        <v>55</v>
      </c>
      <c r="D3288" s="128" t="s">
        <v>2173</v>
      </c>
      <c r="E3288" s="128" t="s">
        <v>30</v>
      </c>
      <c r="F3288" s="128" t="s">
        <v>56</v>
      </c>
      <c r="G3288" s="128" t="s">
        <v>54</v>
      </c>
      <c r="H3288" s="128">
        <v>2024</v>
      </c>
      <c r="I3288" s="128">
        <v>7</v>
      </c>
      <c r="J3288" s="128" t="s">
        <v>308</v>
      </c>
      <c r="Q3288" s="128" t="s">
        <v>594</v>
      </c>
      <c r="R3288" s="128" t="s">
        <v>3171</v>
      </c>
      <c r="S3288" s="128" t="s">
        <v>427</v>
      </c>
      <c r="T3288" s="128" t="s">
        <v>3172</v>
      </c>
      <c r="Y3288" s="150" t="s">
        <v>3173</v>
      </c>
    </row>
    <row r="3289" spans="1:26" s="128" customFormat="1" hidden="1" x14ac:dyDescent="0.25">
      <c r="A3289" s="128" t="s">
        <v>26</v>
      </c>
      <c r="B3289" s="128" t="s">
        <v>89</v>
      </c>
      <c r="C3289" s="128" t="s">
        <v>90</v>
      </c>
      <c r="D3289" s="128" t="s">
        <v>99</v>
      </c>
      <c r="E3289" s="128" t="s">
        <v>30</v>
      </c>
      <c r="F3289" s="128" t="s">
        <v>91</v>
      </c>
      <c r="G3289" s="128" t="s">
        <v>743</v>
      </c>
      <c r="H3289" s="128">
        <v>2024</v>
      </c>
      <c r="I3289" s="128">
        <v>7</v>
      </c>
      <c r="J3289" s="128" t="s">
        <v>33</v>
      </c>
      <c r="U3289" s="149" t="s">
        <v>112</v>
      </c>
      <c r="V3289" s="128" t="s">
        <v>3710</v>
      </c>
      <c r="W3289" s="128" t="s">
        <v>34</v>
      </c>
      <c r="Y3289" s="131" t="s">
        <v>3416</v>
      </c>
    </row>
    <row r="3290" spans="1:26" s="128" customFormat="1" hidden="1" x14ac:dyDescent="0.25">
      <c r="A3290" s="128" t="s">
        <v>26</v>
      </c>
      <c r="B3290" s="128" t="s">
        <v>89</v>
      </c>
      <c r="C3290" s="128" t="s">
        <v>90</v>
      </c>
      <c r="D3290" s="128" t="s">
        <v>3186</v>
      </c>
      <c r="E3290" s="128" t="s">
        <v>30</v>
      </c>
      <c r="F3290" s="128" t="s">
        <v>91</v>
      </c>
      <c r="G3290" s="128" t="s">
        <v>93</v>
      </c>
      <c r="H3290" s="128">
        <v>2024</v>
      </c>
      <c r="I3290" s="128">
        <v>7</v>
      </c>
      <c r="J3290" s="128" t="s">
        <v>33</v>
      </c>
      <c r="U3290" s="149" t="s">
        <v>112</v>
      </c>
      <c r="V3290" s="155" t="s">
        <v>3711</v>
      </c>
      <c r="W3290" s="128" t="s">
        <v>34</v>
      </c>
      <c r="Y3290" s="150" t="s">
        <v>3417</v>
      </c>
      <c r="Z3290" s="128" t="s">
        <v>3418</v>
      </c>
    </row>
    <row r="3291" spans="1:26" s="128" customFormat="1" hidden="1" x14ac:dyDescent="0.25">
      <c r="A3291" s="128" t="s">
        <v>307</v>
      </c>
      <c r="B3291" s="128" t="s">
        <v>89</v>
      </c>
      <c r="C3291" s="128" t="s">
        <v>90</v>
      </c>
      <c r="D3291" s="128" t="s">
        <v>3186</v>
      </c>
      <c r="E3291" s="128" t="s">
        <v>30</v>
      </c>
      <c r="F3291" s="128" t="s">
        <v>91</v>
      </c>
      <c r="G3291" s="128" t="s">
        <v>93</v>
      </c>
      <c r="H3291" s="128">
        <v>2024</v>
      </c>
      <c r="I3291" s="128">
        <v>7</v>
      </c>
      <c r="J3291" s="128" t="s">
        <v>399</v>
      </c>
      <c r="Q3291" s="128" t="s">
        <v>594</v>
      </c>
      <c r="R3291" s="128" t="s">
        <v>3419</v>
      </c>
      <c r="S3291" s="128" t="s">
        <v>596</v>
      </c>
      <c r="T3291" s="155" t="s">
        <v>3607</v>
      </c>
      <c r="U3291" s="155"/>
      <c r="W3291" s="128" t="s">
        <v>3420</v>
      </c>
      <c r="Y3291" s="150" t="s">
        <v>3608</v>
      </c>
      <c r="Z3291" s="128" t="s">
        <v>3421</v>
      </c>
    </row>
    <row r="3292" spans="1:26" s="128" customFormat="1" hidden="1" x14ac:dyDescent="0.25">
      <c r="A3292" s="128" t="s">
        <v>307</v>
      </c>
      <c r="B3292" s="128" t="s">
        <v>116</v>
      </c>
      <c r="C3292" s="128" t="s">
        <v>90</v>
      </c>
      <c r="D3292" s="128" t="s">
        <v>478</v>
      </c>
      <c r="E3292" s="128" t="s">
        <v>30</v>
      </c>
      <c r="F3292" s="128" t="s">
        <v>41</v>
      </c>
      <c r="G3292" s="128" t="s">
        <v>503</v>
      </c>
      <c r="H3292" s="128">
        <v>2024</v>
      </c>
      <c r="I3292" s="128">
        <v>7</v>
      </c>
      <c r="J3292" s="128" t="s">
        <v>308</v>
      </c>
      <c r="Q3292" s="128" t="s">
        <v>426</v>
      </c>
      <c r="R3292" s="128" t="s">
        <v>3169</v>
      </c>
      <c r="S3292" s="128" t="s">
        <v>885</v>
      </c>
      <c r="T3292" s="128" t="s">
        <v>3179</v>
      </c>
      <c r="Y3292" s="150" t="s">
        <v>3170</v>
      </c>
      <c r="Z3292" s="128" t="s">
        <v>3180</v>
      </c>
    </row>
    <row r="3293" spans="1:26" s="128" customFormat="1" hidden="1" x14ac:dyDescent="0.25">
      <c r="A3293" s="128" t="s">
        <v>26</v>
      </c>
      <c r="B3293" s="128" t="s">
        <v>89</v>
      </c>
      <c r="C3293" s="128" t="s">
        <v>90</v>
      </c>
      <c r="D3293" s="128" t="s">
        <v>478</v>
      </c>
      <c r="E3293" s="128" t="s">
        <v>40</v>
      </c>
      <c r="F3293" s="128" t="s">
        <v>41</v>
      </c>
      <c r="G3293" s="128" t="s">
        <v>117</v>
      </c>
      <c r="H3293" s="128">
        <v>2024</v>
      </c>
      <c r="I3293" s="128">
        <v>8</v>
      </c>
      <c r="J3293" s="128" t="s">
        <v>33</v>
      </c>
      <c r="U3293" s="149" t="s">
        <v>3629</v>
      </c>
      <c r="V3293" s="128" t="s">
        <v>3027</v>
      </c>
      <c r="W3293" s="128" t="s">
        <v>87</v>
      </c>
      <c r="X3293" s="128" t="s">
        <v>3422</v>
      </c>
      <c r="Y3293" s="131" t="s">
        <v>3423</v>
      </c>
      <c r="Z3293" s="128" t="s">
        <v>3424</v>
      </c>
    </row>
    <row r="3294" spans="1:26" s="128" customFormat="1" hidden="1" x14ac:dyDescent="0.25">
      <c r="A3294" s="128" t="s">
        <v>26</v>
      </c>
      <c r="B3294" s="128" t="s">
        <v>89</v>
      </c>
      <c r="C3294" s="128" t="s">
        <v>90</v>
      </c>
      <c r="D3294" s="128" t="s">
        <v>342</v>
      </c>
      <c r="E3294" s="128" t="s">
        <v>30</v>
      </c>
      <c r="F3294" s="128" t="s">
        <v>91</v>
      </c>
      <c r="G3294" s="128" t="s">
        <v>752</v>
      </c>
      <c r="H3294" s="128">
        <v>2024</v>
      </c>
      <c r="I3294" s="128">
        <v>8</v>
      </c>
      <c r="J3294" s="128" t="s">
        <v>33</v>
      </c>
      <c r="U3294" s="149" t="s">
        <v>112</v>
      </c>
      <c r="V3294" s="155" t="s">
        <v>3711</v>
      </c>
      <c r="W3294" s="128" t="s">
        <v>34</v>
      </c>
      <c r="Y3294" s="150" t="s">
        <v>3425</v>
      </c>
      <c r="Z3294" s="128" t="s">
        <v>3426</v>
      </c>
    </row>
    <row r="3295" spans="1:26" s="128" customFormat="1" hidden="1" x14ac:dyDescent="0.25">
      <c r="A3295" s="128" t="s">
        <v>26</v>
      </c>
      <c r="B3295" s="128" t="s">
        <v>89</v>
      </c>
      <c r="C3295" s="128" t="s">
        <v>90</v>
      </c>
      <c r="D3295" s="128" t="s">
        <v>342</v>
      </c>
      <c r="E3295" s="128" t="s">
        <v>30</v>
      </c>
      <c r="F3295" s="128" t="s">
        <v>91</v>
      </c>
      <c r="G3295" s="128" t="s">
        <v>411</v>
      </c>
      <c r="H3295" s="128">
        <v>2024</v>
      </c>
      <c r="I3295" s="128">
        <v>8</v>
      </c>
      <c r="J3295" s="128" t="s">
        <v>33</v>
      </c>
      <c r="U3295" s="149" t="s">
        <v>112</v>
      </c>
      <c r="V3295" s="155" t="s">
        <v>3711</v>
      </c>
      <c r="W3295" s="128" t="s">
        <v>34</v>
      </c>
      <c r="Y3295" s="150" t="s">
        <v>3427</v>
      </c>
      <c r="Z3295" s="128" t="s">
        <v>3428</v>
      </c>
    </row>
    <row r="3296" spans="1:26" s="128" customFormat="1" hidden="1" x14ac:dyDescent="0.25">
      <c r="A3296" s="128" t="s">
        <v>307</v>
      </c>
      <c r="B3296" s="128" t="s">
        <v>89</v>
      </c>
      <c r="C3296" s="128" t="s">
        <v>90</v>
      </c>
      <c r="D3296" s="128" t="s">
        <v>342</v>
      </c>
      <c r="E3296" s="128" t="s">
        <v>30</v>
      </c>
      <c r="F3296" s="128" t="s">
        <v>91</v>
      </c>
      <c r="G3296" s="128" t="s">
        <v>411</v>
      </c>
      <c r="H3296" s="174">
        <v>2024</v>
      </c>
      <c r="I3296" s="174">
        <v>8</v>
      </c>
      <c r="J3296" s="128" t="s">
        <v>308</v>
      </c>
      <c r="Q3296" s="128" t="s">
        <v>818</v>
      </c>
      <c r="R3296" s="128" t="s">
        <v>3419</v>
      </c>
      <c r="S3296" s="128" t="s">
        <v>427</v>
      </c>
      <c r="T3296" s="128" t="s">
        <v>3429</v>
      </c>
      <c r="W3296" s="128" t="s">
        <v>87</v>
      </c>
      <c r="Y3296" s="150" t="s">
        <v>3430</v>
      </c>
      <c r="Z3296" s="128" t="s">
        <v>3431</v>
      </c>
    </row>
    <row r="3297" spans="1:27" s="128" customFormat="1" hidden="1" x14ac:dyDescent="0.25">
      <c r="A3297" s="155" t="s">
        <v>76</v>
      </c>
      <c r="B3297" s="155" t="s">
        <v>71</v>
      </c>
      <c r="C3297" s="155" t="s">
        <v>45</v>
      </c>
      <c r="D3297" s="155" t="s">
        <v>478</v>
      </c>
      <c r="E3297" s="155" t="s">
        <v>72</v>
      </c>
      <c r="F3297" s="155" t="s">
        <v>3183</v>
      </c>
      <c r="G3297" s="155" t="s">
        <v>75</v>
      </c>
      <c r="H3297" s="155">
        <v>2024</v>
      </c>
      <c r="I3297" s="155">
        <v>8</v>
      </c>
      <c r="J3297" s="155" t="s">
        <v>150</v>
      </c>
      <c r="K3297" s="155" t="s">
        <v>39</v>
      </c>
      <c r="L3297" s="155"/>
      <c r="M3297" s="155" t="s">
        <v>39</v>
      </c>
      <c r="N3297" s="155">
        <v>5</v>
      </c>
      <c r="O3297" s="155" t="s">
        <v>83</v>
      </c>
      <c r="P3297" s="155" t="s">
        <v>3599</v>
      </c>
      <c r="Q3297" s="155"/>
      <c r="R3297" s="155"/>
      <c r="S3297" s="155"/>
      <c r="T3297" s="155"/>
      <c r="U3297" s="155"/>
      <c r="V3297" s="155"/>
      <c r="W3297" s="155"/>
      <c r="X3297" s="155"/>
      <c r="Y3297" s="150" t="s">
        <v>3593</v>
      </c>
      <c r="Z3297" s="155" t="s">
        <v>3594</v>
      </c>
      <c r="AA3297" s="155"/>
    </row>
    <row r="3298" spans="1:27" s="128" customFormat="1" hidden="1" x14ac:dyDescent="0.25">
      <c r="A3298" s="128" t="s">
        <v>26</v>
      </c>
      <c r="B3298" s="128" t="s">
        <v>89</v>
      </c>
      <c r="C3298" s="128" t="s">
        <v>90</v>
      </c>
      <c r="D3298" s="128" t="s">
        <v>3323</v>
      </c>
      <c r="E3298" s="128" t="s">
        <v>30</v>
      </c>
      <c r="F3298" s="128" t="s">
        <v>91</v>
      </c>
      <c r="G3298" s="128" t="s">
        <v>92</v>
      </c>
      <c r="H3298" s="128">
        <v>2024</v>
      </c>
      <c r="I3298" s="128">
        <v>8</v>
      </c>
      <c r="J3298" s="128" t="s">
        <v>33</v>
      </c>
      <c r="U3298" s="149" t="s">
        <v>112</v>
      </c>
      <c r="V3298" s="155" t="s">
        <v>3711</v>
      </c>
      <c r="W3298" s="128" t="s">
        <v>34</v>
      </c>
      <c r="Y3298" s="150" t="s">
        <v>3432</v>
      </c>
    </row>
    <row r="3299" spans="1:27" s="128" customFormat="1" hidden="1" x14ac:dyDescent="0.25">
      <c r="A3299" s="128" t="s">
        <v>26</v>
      </c>
      <c r="B3299" s="128" t="s">
        <v>27</v>
      </c>
      <c r="C3299" s="128" t="s">
        <v>28</v>
      </c>
      <c r="D3299" s="128" t="s">
        <v>86</v>
      </c>
      <c r="E3299" s="128" t="s">
        <v>30</v>
      </c>
      <c r="F3299" s="128" t="s">
        <v>3183</v>
      </c>
      <c r="G3299" s="128" t="s">
        <v>43</v>
      </c>
      <c r="H3299" s="128">
        <v>2024</v>
      </c>
      <c r="I3299" s="128">
        <v>8</v>
      </c>
      <c r="J3299" s="128" t="s">
        <v>817</v>
      </c>
      <c r="U3299" s="149" t="s">
        <v>112</v>
      </c>
      <c r="V3299" s="155" t="s">
        <v>3712</v>
      </c>
      <c r="W3299" s="128" t="s">
        <v>87</v>
      </c>
      <c r="X3299" s="128" t="s">
        <v>3433</v>
      </c>
      <c r="Y3299" s="131" t="s">
        <v>3434</v>
      </c>
    </row>
    <row r="3300" spans="1:27" s="128" customFormat="1" hidden="1" x14ac:dyDescent="0.25">
      <c r="A3300" s="128" t="s">
        <v>307</v>
      </c>
      <c r="B3300" s="128" t="s">
        <v>36</v>
      </c>
      <c r="C3300" s="128" t="s">
        <v>28</v>
      </c>
      <c r="D3300" s="128" t="s">
        <v>3185</v>
      </c>
      <c r="E3300" s="128" t="s">
        <v>51</v>
      </c>
      <c r="F3300" s="128" t="s">
        <v>3183</v>
      </c>
      <c r="G3300" s="128" t="s">
        <v>52</v>
      </c>
      <c r="H3300" s="174">
        <v>2024</v>
      </c>
      <c r="I3300" s="174">
        <v>8</v>
      </c>
      <c r="J3300" s="128" t="s">
        <v>308</v>
      </c>
      <c r="Q3300" s="128" t="s">
        <v>594</v>
      </c>
      <c r="R3300" s="128" t="s">
        <v>3435</v>
      </c>
      <c r="S3300" s="128" t="s">
        <v>885</v>
      </c>
      <c r="T3300" s="128" t="s">
        <v>3436</v>
      </c>
      <c r="Y3300" s="150" t="s">
        <v>3437</v>
      </c>
    </row>
    <row r="3301" spans="1:27" s="128" customFormat="1" hidden="1" x14ac:dyDescent="0.25">
      <c r="A3301" s="128" t="s">
        <v>76</v>
      </c>
      <c r="B3301" s="128" t="s">
        <v>44</v>
      </c>
      <c r="C3301" s="128" t="s">
        <v>45</v>
      </c>
      <c r="D3301" s="128" t="s">
        <v>29</v>
      </c>
      <c r="E3301" s="128" t="s">
        <v>46</v>
      </c>
      <c r="F3301" s="128" t="s">
        <v>3183</v>
      </c>
      <c r="G3301" s="128" t="s">
        <v>48</v>
      </c>
      <c r="H3301" s="128">
        <v>2024</v>
      </c>
      <c r="I3301" s="128">
        <v>8</v>
      </c>
      <c r="J3301" s="128" t="s">
        <v>118</v>
      </c>
      <c r="K3301" s="128" t="s">
        <v>710</v>
      </c>
      <c r="M3301" s="128" t="s">
        <v>3351</v>
      </c>
      <c r="N3301" s="128">
        <v>10</v>
      </c>
      <c r="O3301" s="128" t="s">
        <v>101</v>
      </c>
      <c r="P3301" s="128" t="s">
        <v>3438</v>
      </c>
      <c r="Y3301" s="131" t="s">
        <v>3439</v>
      </c>
      <c r="Z3301" s="128" t="s">
        <v>3440</v>
      </c>
    </row>
    <row r="3302" spans="1:27" s="128" customFormat="1" hidden="1" x14ac:dyDescent="0.25">
      <c r="A3302" s="128" t="s">
        <v>76</v>
      </c>
      <c r="B3302" s="128" t="s">
        <v>36</v>
      </c>
      <c r="C3302" s="128" t="s">
        <v>28</v>
      </c>
      <c r="D3302" s="128" t="s">
        <v>478</v>
      </c>
      <c r="E3302" s="128" t="s">
        <v>30</v>
      </c>
      <c r="F3302" s="128" t="s">
        <v>3183</v>
      </c>
      <c r="G3302" s="128" t="s">
        <v>114</v>
      </c>
      <c r="H3302" s="128">
        <v>2024</v>
      </c>
      <c r="I3302" s="128">
        <v>8</v>
      </c>
      <c r="J3302" s="128" t="s">
        <v>118</v>
      </c>
      <c r="K3302" s="128" t="s">
        <v>2646</v>
      </c>
      <c r="M3302" s="128" t="s">
        <v>850</v>
      </c>
      <c r="N3302" s="128">
        <v>8</v>
      </c>
      <c r="O3302" s="128" t="s">
        <v>101</v>
      </c>
      <c r="P3302" s="128" t="s">
        <v>850</v>
      </c>
      <c r="Y3302" s="150" t="s">
        <v>3441</v>
      </c>
    </row>
    <row r="3303" spans="1:27" s="128" customFormat="1" hidden="1" x14ac:dyDescent="0.25">
      <c r="A3303" s="128" t="s">
        <v>26</v>
      </c>
      <c r="B3303" s="128" t="s">
        <v>89</v>
      </c>
      <c r="C3303" s="128" t="s">
        <v>90</v>
      </c>
      <c r="D3303" s="128" t="s">
        <v>3442</v>
      </c>
      <c r="E3303" s="128" t="s">
        <v>30</v>
      </c>
      <c r="F3303" s="128" t="s">
        <v>91</v>
      </c>
      <c r="G3303" s="128" t="s">
        <v>499</v>
      </c>
      <c r="H3303" s="128">
        <v>2024</v>
      </c>
      <c r="I3303" s="128">
        <v>9</v>
      </c>
      <c r="J3303" s="128" t="s">
        <v>33</v>
      </c>
      <c r="U3303" s="149" t="s">
        <v>112</v>
      </c>
      <c r="V3303" s="155" t="s">
        <v>3711</v>
      </c>
      <c r="W3303" s="128" t="s">
        <v>34</v>
      </c>
      <c r="Y3303" s="150" t="s">
        <v>3443</v>
      </c>
      <c r="Z3303" s="128" t="s">
        <v>3444</v>
      </c>
    </row>
    <row r="3304" spans="1:27" s="128" customFormat="1" hidden="1" x14ac:dyDescent="0.25">
      <c r="A3304" s="128" t="s">
        <v>76</v>
      </c>
      <c r="B3304" s="128" t="s">
        <v>103</v>
      </c>
      <c r="C3304" s="128" t="s">
        <v>55</v>
      </c>
      <c r="D3304" s="128" t="s">
        <v>516</v>
      </c>
      <c r="E3304" s="128" t="s">
        <v>30</v>
      </c>
      <c r="F3304" s="128" t="s">
        <v>56</v>
      </c>
      <c r="G3304" s="128" t="s">
        <v>285</v>
      </c>
      <c r="H3304" s="128">
        <v>2024</v>
      </c>
      <c r="I3304" s="128">
        <v>9</v>
      </c>
      <c r="J3304" s="128" t="s">
        <v>640</v>
      </c>
      <c r="K3304" s="128" t="s">
        <v>2646</v>
      </c>
      <c r="M3304" s="128" t="s">
        <v>850</v>
      </c>
      <c r="N3304" s="128">
        <v>8</v>
      </c>
      <c r="O3304" s="128" t="s">
        <v>101</v>
      </c>
      <c r="P3304" s="128" t="s">
        <v>146</v>
      </c>
      <c r="Y3304" s="150" t="s">
        <v>3445</v>
      </c>
      <c r="Z3304" s="128" t="s">
        <v>3446</v>
      </c>
    </row>
    <row r="3305" spans="1:27" s="128" customFormat="1" hidden="1" x14ac:dyDescent="0.25">
      <c r="A3305" s="128" t="s">
        <v>76</v>
      </c>
      <c r="B3305" s="128" t="s">
        <v>103</v>
      </c>
      <c r="C3305" s="128" t="s">
        <v>55</v>
      </c>
      <c r="D3305" s="128" t="s">
        <v>1302</v>
      </c>
      <c r="E3305" s="128" t="s">
        <v>30</v>
      </c>
      <c r="F3305" s="128" t="s">
        <v>56</v>
      </c>
      <c r="G3305" s="128" t="s">
        <v>171</v>
      </c>
      <c r="H3305" s="128">
        <v>2024</v>
      </c>
      <c r="I3305" s="128">
        <v>9</v>
      </c>
      <c r="J3305" s="128" t="s">
        <v>640</v>
      </c>
      <c r="K3305" s="128" t="s">
        <v>2646</v>
      </c>
      <c r="M3305" s="128" t="s">
        <v>850</v>
      </c>
      <c r="N3305" s="128">
        <v>8</v>
      </c>
      <c r="O3305" s="128" t="s">
        <v>101</v>
      </c>
      <c r="P3305" s="128" t="s">
        <v>146</v>
      </c>
      <c r="Y3305" s="150" t="s">
        <v>3445</v>
      </c>
      <c r="Z3305" s="128" t="s">
        <v>3447</v>
      </c>
    </row>
    <row r="3306" spans="1:27" s="128" customFormat="1" hidden="1" x14ac:dyDescent="0.25">
      <c r="A3306" s="128" t="s">
        <v>307</v>
      </c>
      <c r="B3306" s="128" t="s">
        <v>198</v>
      </c>
      <c r="C3306" s="128" t="s">
        <v>45</v>
      </c>
      <c r="D3306" s="128" t="s">
        <v>478</v>
      </c>
      <c r="E3306" s="128" t="s">
        <v>40</v>
      </c>
      <c r="F3306" s="128" t="s">
        <v>199</v>
      </c>
      <c r="G3306" s="128" t="s">
        <v>208</v>
      </c>
      <c r="H3306" s="128">
        <v>2024</v>
      </c>
      <c r="I3306" s="128">
        <v>9</v>
      </c>
      <c r="J3306" s="128" t="s">
        <v>399</v>
      </c>
      <c r="Q3306" s="128" t="s">
        <v>594</v>
      </c>
      <c r="R3306" s="128" t="s">
        <v>3448</v>
      </c>
      <c r="S3306" s="128" t="s">
        <v>427</v>
      </c>
      <c r="T3306" s="128" t="s">
        <v>3449</v>
      </c>
      <c r="Y3306" s="150" t="s">
        <v>3450</v>
      </c>
      <c r="Z3306" s="128" t="s">
        <v>3451</v>
      </c>
    </row>
    <row r="3307" spans="1:27" s="128" customFormat="1" hidden="1" x14ac:dyDescent="0.25">
      <c r="A3307" s="128" t="s">
        <v>76</v>
      </c>
      <c r="B3307" s="128" t="s">
        <v>36</v>
      </c>
      <c r="C3307" s="128" t="s">
        <v>28</v>
      </c>
      <c r="D3307" s="128" t="s">
        <v>342</v>
      </c>
      <c r="E3307" s="128" t="s">
        <v>30</v>
      </c>
      <c r="F3307" s="128" t="s">
        <v>3183</v>
      </c>
      <c r="G3307" s="128" t="s">
        <v>438</v>
      </c>
      <c r="H3307" s="128">
        <v>2024</v>
      </c>
      <c r="I3307" s="128">
        <v>9</v>
      </c>
      <c r="J3307" s="128" t="s">
        <v>640</v>
      </c>
      <c r="K3307" s="128" t="s">
        <v>710</v>
      </c>
      <c r="M3307" s="128" t="s">
        <v>3351</v>
      </c>
      <c r="N3307" s="128">
        <v>10</v>
      </c>
      <c r="O3307" s="128" t="s">
        <v>101</v>
      </c>
      <c r="P3307" s="128" t="s">
        <v>3354</v>
      </c>
      <c r="Y3307" s="150" t="s">
        <v>3452</v>
      </c>
      <c r="Z3307" s="128" t="s">
        <v>3453</v>
      </c>
    </row>
    <row r="3308" spans="1:27" s="128" customFormat="1" hidden="1" x14ac:dyDescent="0.25">
      <c r="A3308" s="128" t="s">
        <v>76</v>
      </c>
      <c r="B3308" s="128" t="s">
        <v>89</v>
      </c>
      <c r="C3308" s="128" t="s">
        <v>90</v>
      </c>
      <c r="D3308" s="128" t="s">
        <v>478</v>
      </c>
      <c r="E3308" s="128" t="s">
        <v>30</v>
      </c>
      <c r="F3308" s="128" t="s">
        <v>91</v>
      </c>
      <c r="G3308" s="128" t="s">
        <v>293</v>
      </c>
      <c r="H3308" s="128">
        <v>2024</v>
      </c>
      <c r="I3308" s="128">
        <v>9</v>
      </c>
      <c r="J3308" s="128" t="s">
        <v>640</v>
      </c>
      <c r="K3308" s="128" t="s">
        <v>2646</v>
      </c>
      <c r="M3308" s="128" t="s">
        <v>850</v>
      </c>
      <c r="N3308" s="128">
        <v>8</v>
      </c>
      <c r="O3308" s="128" t="s">
        <v>101</v>
      </c>
      <c r="P3308" s="128" t="s">
        <v>146</v>
      </c>
      <c r="Y3308" s="150" t="s">
        <v>3454</v>
      </c>
      <c r="Z3308" s="128" t="s">
        <v>3455</v>
      </c>
    </row>
    <row r="3309" spans="1:27" s="128" customFormat="1" hidden="1" x14ac:dyDescent="0.25">
      <c r="A3309" s="128" t="s">
        <v>76</v>
      </c>
      <c r="B3309" s="128" t="s">
        <v>198</v>
      </c>
      <c r="C3309" s="128" t="s">
        <v>45</v>
      </c>
      <c r="D3309" s="128" t="s">
        <v>478</v>
      </c>
      <c r="E3309" s="128" t="s">
        <v>30</v>
      </c>
      <c r="F3309" s="128" t="s">
        <v>199</v>
      </c>
      <c r="G3309" s="128" t="s">
        <v>296</v>
      </c>
      <c r="H3309" s="128">
        <v>2024</v>
      </c>
      <c r="I3309" s="128">
        <v>9</v>
      </c>
      <c r="J3309" s="128" t="s">
        <v>640</v>
      </c>
      <c r="K3309" s="128" t="s">
        <v>2646</v>
      </c>
      <c r="M3309" s="128" t="s">
        <v>850</v>
      </c>
      <c r="N3309" s="128">
        <v>8</v>
      </c>
      <c r="O3309" s="128" t="s">
        <v>101</v>
      </c>
      <c r="P3309" s="128" t="s">
        <v>146</v>
      </c>
      <c r="Y3309" s="150" t="s">
        <v>3445</v>
      </c>
      <c r="Z3309" s="128" t="s">
        <v>3456</v>
      </c>
    </row>
    <row r="3310" spans="1:27" s="128" customFormat="1" hidden="1" x14ac:dyDescent="0.25">
      <c r="A3310" s="128" t="s">
        <v>26</v>
      </c>
      <c r="B3310" s="128" t="s">
        <v>89</v>
      </c>
      <c r="C3310" s="128" t="s">
        <v>90</v>
      </c>
      <c r="D3310" s="128" t="s">
        <v>478</v>
      </c>
      <c r="E3310" s="128" t="s">
        <v>30</v>
      </c>
      <c r="F3310" s="128" t="s">
        <v>91</v>
      </c>
      <c r="G3310" s="128" t="s">
        <v>145</v>
      </c>
      <c r="H3310" s="128">
        <v>2024</v>
      </c>
      <c r="I3310" s="128">
        <v>9</v>
      </c>
      <c r="J3310" s="128" t="s">
        <v>33</v>
      </c>
      <c r="U3310" s="149" t="s">
        <v>112</v>
      </c>
      <c r="V3310" s="155" t="s">
        <v>3711</v>
      </c>
      <c r="W3310" s="128" t="s">
        <v>34</v>
      </c>
      <c r="Y3310" s="150" t="s">
        <v>3457</v>
      </c>
      <c r="Z3310" s="128" t="s">
        <v>3458</v>
      </c>
    </row>
    <row r="3311" spans="1:27" s="128" customFormat="1" hidden="1" x14ac:dyDescent="0.25">
      <c r="A3311" s="128" t="s">
        <v>76</v>
      </c>
      <c r="B3311" s="128" t="s">
        <v>71</v>
      </c>
      <c r="C3311" s="128" t="s">
        <v>45</v>
      </c>
      <c r="D3311" s="128" t="s">
        <v>478</v>
      </c>
      <c r="E3311" s="128" t="s">
        <v>30</v>
      </c>
      <c r="F3311" s="128" t="s">
        <v>3183</v>
      </c>
      <c r="G3311" s="128" t="s">
        <v>621</v>
      </c>
      <c r="H3311" s="128">
        <v>2024</v>
      </c>
      <c r="I3311" s="128">
        <v>9</v>
      </c>
      <c r="J3311" s="128" t="s">
        <v>640</v>
      </c>
      <c r="K3311" s="128" t="s">
        <v>2646</v>
      </c>
      <c r="M3311" s="128" t="s">
        <v>850</v>
      </c>
      <c r="N3311" s="128">
        <v>8</v>
      </c>
      <c r="O3311" s="128" t="s">
        <v>101</v>
      </c>
      <c r="P3311" s="128" t="s">
        <v>3459</v>
      </c>
      <c r="Y3311" s="150" t="s">
        <v>3460</v>
      </c>
      <c r="Z3311" s="128" t="s">
        <v>3461</v>
      </c>
    </row>
    <row r="3312" spans="1:27" s="128" customFormat="1" hidden="1" x14ac:dyDescent="0.25">
      <c r="A3312" s="128" t="s">
        <v>76</v>
      </c>
      <c r="B3312" s="128" t="s">
        <v>103</v>
      </c>
      <c r="C3312" s="128" t="s">
        <v>55</v>
      </c>
      <c r="D3312" s="128" t="s">
        <v>478</v>
      </c>
      <c r="E3312" s="128" t="s">
        <v>95</v>
      </c>
      <c r="F3312" s="128" t="s">
        <v>56</v>
      </c>
      <c r="G3312" s="155" t="s">
        <v>111</v>
      </c>
      <c r="H3312" s="128">
        <v>2024</v>
      </c>
      <c r="I3312" s="128">
        <v>9</v>
      </c>
      <c r="J3312" s="128" t="s">
        <v>640</v>
      </c>
      <c r="K3312" s="128" t="s">
        <v>3509</v>
      </c>
      <c r="M3312" s="128" t="s">
        <v>3510</v>
      </c>
      <c r="N3312" s="128">
        <v>6</v>
      </c>
      <c r="O3312" s="128" t="s">
        <v>83</v>
      </c>
      <c r="P3312" s="128" t="s">
        <v>3513</v>
      </c>
      <c r="Y3312" s="150" t="s">
        <v>3512</v>
      </c>
      <c r="Z3312" s="155" t="s">
        <v>3600</v>
      </c>
    </row>
    <row r="3313" spans="1:26" s="128" customFormat="1" hidden="1" x14ac:dyDescent="0.25">
      <c r="A3313" s="128" t="s">
        <v>26</v>
      </c>
      <c r="B3313" s="128" t="s">
        <v>89</v>
      </c>
      <c r="C3313" s="128" t="s">
        <v>90</v>
      </c>
      <c r="D3313" s="128" t="s">
        <v>3462</v>
      </c>
      <c r="E3313" s="128" t="s">
        <v>30</v>
      </c>
      <c r="F3313" s="128" t="s">
        <v>91</v>
      </c>
      <c r="G3313" s="128" t="s">
        <v>298</v>
      </c>
      <c r="H3313" s="128">
        <v>2024</v>
      </c>
      <c r="I3313" s="128">
        <v>9</v>
      </c>
      <c r="J3313" s="128" t="s">
        <v>817</v>
      </c>
      <c r="U3313" s="149" t="s">
        <v>112</v>
      </c>
      <c r="V3313" s="155" t="s">
        <v>3711</v>
      </c>
      <c r="W3313" s="128" t="s">
        <v>34</v>
      </c>
      <c r="Y3313" s="150" t="s">
        <v>3463</v>
      </c>
      <c r="Z3313" s="128" t="s">
        <v>3464</v>
      </c>
    </row>
    <row r="3314" spans="1:26" s="128" customFormat="1" hidden="1" x14ac:dyDescent="0.25">
      <c r="A3314" s="128" t="s">
        <v>76</v>
      </c>
      <c r="B3314" s="128" t="s">
        <v>89</v>
      </c>
      <c r="C3314" s="128" t="s">
        <v>90</v>
      </c>
      <c r="D3314" s="128" t="s">
        <v>3462</v>
      </c>
      <c r="E3314" s="128" t="s">
        <v>30</v>
      </c>
      <c r="F3314" s="128" t="s">
        <v>91</v>
      </c>
      <c r="G3314" s="128" t="s">
        <v>298</v>
      </c>
      <c r="H3314" s="128">
        <v>2024</v>
      </c>
      <c r="I3314" s="128">
        <v>9</v>
      </c>
      <c r="J3314" s="128" t="s">
        <v>640</v>
      </c>
      <c r="K3314" s="128" t="s">
        <v>2646</v>
      </c>
      <c r="M3314" s="128" t="s">
        <v>850</v>
      </c>
      <c r="N3314" s="128">
        <v>8</v>
      </c>
      <c r="O3314" s="128" t="s">
        <v>101</v>
      </c>
      <c r="P3314" s="128" t="s">
        <v>146</v>
      </c>
      <c r="Y3314" s="150" t="s">
        <v>3454</v>
      </c>
      <c r="Z3314" s="128" t="s">
        <v>3465</v>
      </c>
    </row>
    <row r="3315" spans="1:26" s="128" customFormat="1" hidden="1" x14ac:dyDescent="0.25">
      <c r="A3315" s="128" t="s">
        <v>26</v>
      </c>
      <c r="B3315" s="128" t="s">
        <v>36</v>
      </c>
      <c r="C3315" s="128" t="s">
        <v>28</v>
      </c>
      <c r="D3315" s="128" t="s">
        <v>478</v>
      </c>
      <c r="E3315" s="128" t="s">
        <v>30</v>
      </c>
      <c r="F3315" s="128" t="s">
        <v>3183</v>
      </c>
      <c r="G3315" s="128" t="s">
        <v>59</v>
      </c>
      <c r="H3315" s="128">
        <v>2024</v>
      </c>
      <c r="I3315" s="128">
        <v>9</v>
      </c>
      <c r="J3315" s="128" t="s">
        <v>33</v>
      </c>
      <c r="U3315" s="149" t="s">
        <v>112</v>
      </c>
      <c r="V3315" s="155" t="s">
        <v>3713</v>
      </c>
      <c r="W3315" s="128" t="s">
        <v>49</v>
      </c>
      <c r="X3315" s="128" t="s">
        <v>3466</v>
      </c>
      <c r="Y3315" s="150" t="s">
        <v>3467</v>
      </c>
      <c r="Z3315" s="128" t="s">
        <v>3468</v>
      </c>
    </row>
    <row r="3316" spans="1:26" s="128" customFormat="1" hidden="1" x14ac:dyDescent="0.25">
      <c r="A3316" s="128" t="s">
        <v>76</v>
      </c>
      <c r="B3316" s="128" t="s">
        <v>77</v>
      </c>
      <c r="C3316" s="128" t="s">
        <v>55</v>
      </c>
      <c r="D3316" s="128" t="s">
        <v>3187</v>
      </c>
      <c r="E3316" s="128" t="s">
        <v>30</v>
      </c>
      <c r="F3316" s="128" t="s">
        <v>41</v>
      </c>
      <c r="G3316" s="128" t="s">
        <v>159</v>
      </c>
      <c r="H3316" s="128">
        <v>2024</v>
      </c>
      <c r="I3316" s="128">
        <v>9</v>
      </c>
      <c r="J3316" s="128" t="s">
        <v>640</v>
      </c>
      <c r="K3316" s="128" t="s">
        <v>710</v>
      </c>
      <c r="M3316" s="128" t="s">
        <v>3351</v>
      </c>
      <c r="N3316" s="128">
        <v>10</v>
      </c>
      <c r="O3316" s="128" t="s">
        <v>101</v>
      </c>
      <c r="P3316" s="128" t="s">
        <v>3469</v>
      </c>
      <c r="Y3316" s="131" t="s">
        <v>3352</v>
      </c>
      <c r="Z3316" s="128" t="s">
        <v>3470</v>
      </c>
    </row>
    <row r="3317" spans="1:26" s="128" customFormat="1" hidden="1" x14ac:dyDescent="0.25">
      <c r="A3317" s="128" t="s">
        <v>76</v>
      </c>
      <c r="B3317" s="128" t="s">
        <v>77</v>
      </c>
      <c r="C3317" s="128" t="s">
        <v>55</v>
      </c>
      <c r="D3317" s="128" t="s">
        <v>3471</v>
      </c>
      <c r="E3317" s="128" t="s">
        <v>30</v>
      </c>
      <c r="F3317" s="128" t="s">
        <v>41</v>
      </c>
      <c r="G3317" s="128" t="s">
        <v>161</v>
      </c>
      <c r="H3317" s="128">
        <v>2024</v>
      </c>
      <c r="I3317" s="128">
        <v>9</v>
      </c>
      <c r="J3317" s="128" t="s">
        <v>640</v>
      </c>
      <c r="K3317" s="128" t="s">
        <v>2646</v>
      </c>
      <c r="M3317" s="128" t="s">
        <v>850</v>
      </c>
      <c r="N3317" s="128">
        <v>8</v>
      </c>
      <c r="O3317" s="128" t="s">
        <v>101</v>
      </c>
      <c r="P3317" s="128" t="s">
        <v>146</v>
      </c>
      <c r="Y3317" s="150" t="s">
        <v>3454</v>
      </c>
      <c r="Z3317" s="128" t="s">
        <v>3472</v>
      </c>
    </row>
    <row r="3318" spans="1:26" s="128" customFormat="1" hidden="1" x14ac:dyDescent="0.25">
      <c r="A3318" s="128" t="s">
        <v>76</v>
      </c>
      <c r="B3318" s="128" t="s">
        <v>36</v>
      </c>
      <c r="C3318" s="128" t="s">
        <v>28</v>
      </c>
      <c r="D3318" s="128" t="s">
        <v>342</v>
      </c>
      <c r="E3318" s="128" t="s">
        <v>30</v>
      </c>
      <c r="F3318" s="128" t="s">
        <v>3183</v>
      </c>
      <c r="G3318" s="128" t="s">
        <v>242</v>
      </c>
      <c r="H3318" s="128">
        <v>2024</v>
      </c>
      <c r="I3318" s="128">
        <v>9</v>
      </c>
      <c r="J3318" s="128" t="s">
        <v>640</v>
      </c>
      <c r="K3318" s="128" t="s">
        <v>2646</v>
      </c>
      <c r="M3318" s="128" t="s">
        <v>850</v>
      </c>
      <c r="N3318" s="128">
        <v>8</v>
      </c>
      <c r="O3318" s="128" t="s">
        <v>101</v>
      </c>
      <c r="P3318" s="128" t="s">
        <v>3354</v>
      </c>
      <c r="Y3318" s="150" t="s">
        <v>3454</v>
      </c>
      <c r="Z3318" s="128" t="s">
        <v>3473</v>
      </c>
    </row>
    <row r="3319" spans="1:26" s="128" customFormat="1" ht="15.75" hidden="1" customHeight="1" x14ac:dyDescent="0.25">
      <c r="A3319" s="128" t="s">
        <v>76</v>
      </c>
      <c r="B3319" s="128" t="s">
        <v>89</v>
      </c>
      <c r="C3319" s="128" t="s">
        <v>90</v>
      </c>
      <c r="D3319" s="128" t="s">
        <v>342</v>
      </c>
      <c r="E3319" s="128" t="s">
        <v>30</v>
      </c>
      <c r="F3319" s="128" t="s">
        <v>91</v>
      </c>
      <c r="G3319" s="128" t="s">
        <v>752</v>
      </c>
      <c r="H3319" s="128">
        <v>2024</v>
      </c>
      <c r="I3319" s="128">
        <v>9</v>
      </c>
      <c r="J3319" s="128" t="s">
        <v>640</v>
      </c>
      <c r="K3319" s="128" t="s">
        <v>2646</v>
      </c>
      <c r="M3319" s="128" t="s">
        <v>850</v>
      </c>
      <c r="N3319" s="128">
        <v>8</v>
      </c>
      <c r="O3319" s="128" t="s">
        <v>101</v>
      </c>
      <c r="P3319" s="128" t="s">
        <v>146</v>
      </c>
      <c r="Y3319" s="150" t="s">
        <v>3445</v>
      </c>
      <c r="Z3319" s="128" t="s">
        <v>3474</v>
      </c>
    </row>
    <row r="3320" spans="1:26" s="128" customFormat="1" ht="15" hidden="1" customHeight="1" x14ac:dyDescent="0.25">
      <c r="A3320" s="128" t="s">
        <v>76</v>
      </c>
      <c r="B3320" s="128" t="s">
        <v>36</v>
      </c>
      <c r="C3320" s="128" t="s">
        <v>28</v>
      </c>
      <c r="D3320" s="128" t="s">
        <v>3375</v>
      </c>
      <c r="E3320" s="128" t="s">
        <v>30</v>
      </c>
      <c r="F3320" s="128" t="s">
        <v>3183</v>
      </c>
      <c r="G3320" s="128" t="s">
        <v>791</v>
      </c>
      <c r="H3320" s="128">
        <v>2024</v>
      </c>
      <c r="I3320" s="128">
        <v>9</v>
      </c>
      <c r="J3320" s="128" t="s">
        <v>640</v>
      </c>
      <c r="K3320" s="128" t="s">
        <v>2646</v>
      </c>
      <c r="M3320" s="128" t="s">
        <v>850</v>
      </c>
      <c r="N3320" s="128">
        <v>8</v>
      </c>
      <c r="O3320" s="128" t="s">
        <v>101</v>
      </c>
      <c r="P3320" s="128" t="s">
        <v>146</v>
      </c>
      <c r="Y3320" s="150" t="s">
        <v>3445</v>
      </c>
      <c r="Z3320" s="128" t="s">
        <v>3475</v>
      </c>
    </row>
    <row r="3321" spans="1:26" s="128" customFormat="1" ht="15" hidden="1" customHeight="1" x14ac:dyDescent="0.25">
      <c r="A3321" s="128" t="s">
        <v>76</v>
      </c>
      <c r="B3321" s="128" t="s">
        <v>89</v>
      </c>
      <c r="C3321" s="128" t="s">
        <v>90</v>
      </c>
      <c r="D3321" s="128" t="s">
        <v>99</v>
      </c>
      <c r="E3321" s="128" t="s">
        <v>30</v>
      </c>
      <c r="F3321" s="128" t="s">
        <v>91</v>
      </c>
      <c r="G3321" s="128" t="s">
        <v>1167</v>
      </c>
      <c r="H3321" s="128">
        <v>2024</v>
      </c>
      <c r="I3321" s="128">
        <v>9</v>
      </c>
      <c r="J3321" s="128" t="s">
        <v>640</v>
      </c>
      <c r="K3321" s="128" t="s">
        <v>2646</v>
      </c>
      <c r="M3321" s="128" t="s">
        <v>850</v>
      </c>
      <c r="N3321" s="128">
        <v>8</v>
      </c>
      <c r="O3321" s="128" t="s">
        <v>101</v>
      </c>
      <c r="P3321" s="128" t="s">
        <v>146</v>
      </c>
      <c r="Y3321" s="150" t="s">
        <v>3445</v>
      </c>
      <c r="Z3321" s="128" t="s">
        <v>3476</v>
      </c>
    </row>
    <row r="3322" spans="1:26" s="128" customFormat="1" ht="15" hidden="1" customHeight="1" x14ac:dyDescent="0.25">
      <c r="A3322" s="128" t="s">
        <v>76</v>
      </c>
      <c r="B3322" s="128" t="s">
        <v>36</v>
      </c>
      <c r="C3322" s="128" t="s">
        <v>28</v>
      </c>
      <c r="D3322" s="128" t="s">
        <v>342</v>
      </c>
      <c r="E3322" s="128" t="s">
        <v>30</v>
      </c>
      <c r="F3322" s="128" t="s">
        <v>3183</v>
      </c>
      <c r="G3322" s="128" t="s">
        <v>37</v>
      </c>
      <c r="H3322" s="128">
        <v>2024</v>
      </c>
      <c r="I3322" s="128">
        <v>9</v>
      </c>
      <c r="J3322" s="128" t="s">
        <v>640</v>
      </c>
      <c r="K3322" s="128" t="s">
        <v>2971</v>
      </c>
      <c r="M3322" s="128" t="s">
        <v>3351</v>
      </c>
      <c r="N3322" s="128">
        <v>10</v>
      </c>
      <c r="O3322" s="128" t="s">
        <v>101</v>
      </c>
      <c r="P3322" s="128" t="s">
        <v>954</v>
      </c>
      <c r="Y3322" s="150" t="s">
        <v>3477</v>
      </c>
      <c r="Z3322" s="128" t="s">
        <v>3478</v>
      </c>
    </row>
    <row r="3323" spans="1:26" s="128" customFormat="1" ht="15" hidden="1" customHeight="1" x14ac:dyDescent="0.25">
      <c r="A3323" s="128" t="s">
        <v>76</v>
      </c>
      <c r="B3323" s="128" t="s">
        <v>62</v>
      </c>
      <c r="C3323" s="128" t="s">
        <v>28</v>
      </c>
      <c r="D3323" s="128" t="s">
        <v>46</v>
      </c>
      <c r="E3323" s="128" t="s">
        <v>30</v>
      </c>
      <c r="F3323" s="128" t="s">
        <v>3183</v>
      </c>
      <c r="G3323" s="128" t="s">
        <v>46</v>
      </c>
      <c r="H3323" s="128">
        <v>2024</v>
      </c>
      <c r="I3323" s="128">
        <v>9</v>
      </c>
      <c r="J3323" s="128" t="s">
        <v>100</v>
      </c>
      <c r="K3323" s="128" t="s">
        <v>2646</v>
      </c>
      <c r="M3323" s="128" t="s">
        <v>850</v>
      </c>
      <c r="N3323" s="128">
        <v>8</v>
      </c>
      <c r="O3323" s="128" t="s">
        <v>101</v>
      </c>
      <c r="P3323" s="128" t="s">
        <v>3479</v>
      </c>
      <c r="Y3323" s="131" t="s">
        <v>3480</v>
      </c>
    </row>
    <row r="3324" spans="1:26" s="128" customFormat="1" ht="15" hidden="1" customHeight="1" x14ac:dyDescent="0.25">
      <c r="A3324" s="128" t="s">
        <v>307</v>
      </c>
      <c r="B3324" s="128" t="s">
        <v>27</v>
      </c>
      <c r="C3324" s="128" t="s">
        <v>28</v>
      </c>
      <c r="D3324" s="128" t="s">
        <v>3322</v>
      </c>
      <c r="E3324" s="128" t="s">
        <v>30</v>
      </c>
      <c r="F3324" s="128" t="s">
        <v>3183</v>
      </c>
      <c r="G3324" s="128" t="s">
        <v>163</v>
      </c>
      <c r="H3324" s="128">
        <v>2024</v>
      </c>
      <c r="I3324" s="128">
        <v>9</v>
      </c>
      <c r="J3324" s="128" t="s">
        <v>308</v>
      </c>
      <c r="Q3324" s="128" t="s">
        <v>309</v>
      </c>
      <c r="R3324" s="128" t="s">
        <v>3481</v>
      </c>
      <c r="S3324" s="128" t="s">
        <v>311</v>
      </c>
      <c r="T3324" s="128" t="s">
        <v>3482</v>
      </c>
      <c r="Y3324" s="150" t="s">
        <v>3483</v>
      </c>
      <c r="Z3324" s="128" t="s">
        <v>3484</v>
      </c>
    </row>
    <row r="3325" spans="1:26" s="128" customFormat="1" ht="15" hidden="1" customHeight="1" x14ac:dyDescent="0.25">
      <c r="A3325" s="128" t="s">
        <v>76</v>
      </c>
      <c r="B3325" s="128" t="s">
        <v>27</v>
      </c>
      <c r="C3325" s="128" t="s">
        <v>28</v>
      </c>
      <c r="D3325" s="128" t="s">
        <v>1302</v>
      </c>
      <c r="E3325" s="128" t="s">
        <v>40</v>
      </c>
      <c r="F3325" s="128" t="s">
        <v>41</v>
      </c>
      <c r="G3325" s="128" t="s">
        <v>42</v>
      </c>
      <c r="H3325" s="128">
        <v>2024</v>
      </c>
      <c r="I3325" s="128">
        <v>9</v>
      </c>
      <c r="J3325" s="128" t="s">
        <v>640</v>
      </c>
      <c r="K3325" s="128" t="s">
        <v>2971</v>
      </c>
      <c r="M3325" s="128" t="s">
        <v>3351</v>
      </c>
      <c r="N3325" s="128">
        <v>10</v>
      </c>
      <c r="O3325" s="128" t="s">
        <v>101</v>
      </c>
      <c r="P3325" s="128" t="s">
        <v>3485</v>
      </c>
      <c r="Y3325" s="150" t="s">
        <v>3486</v>
      </c>
      <c r="Z3325" s="128" t="s">
        <v>3487</v>
      </c>
    </row>
    <row r="3326" spans="1:26" s="128" customFormat="1" ht="15" hidden="1" customHeight="1" x14ac:dyDescent="0.25">
      <c r="A3326" s="148" t="s">
        <v>76</v>
      </c>
      <c r="B3326" s="148" t="s">
        <v>36</v>
      </c>
      <c r="C3326" s="148" t="s">
        <v>28</v>
      </c>
      <c r="D3326" s="148" t="s">
        <v>478</v>
      </c>
      <c r="E3326" s="148" t="s">
        <v>51</v>
      </c>
      <c r="F3326" s="128" t="s">
        <v>3183</v>
      </c>
      <c r="G3326" s="155" t="s">
        <v>69</v>
      </c>
      <c r="H3326" s="128">
        <v>2024</v>
      </c>
      <c r="I3326" s="128">
        <v>9</v>
      </c>
      <c r="J3326" s="128" t="s">
        <v>640</v>
      </c>
      <c r="K3326" s="128" t="s">
        <v>3509</v>
      </c>
      <c r="M3326" s="128" t="s">
        <v>3510</v>
      </c>
      <c r="N3326" s="128">
        <v>6</v>
      </c>
      <c r="O3326" s="128" t="s">
        <v>83</v>
      </c>
      <c r="P3326" s="128" t="s">
        <v>3513</v>
      </c>
      <c r="Y3326" s="150" t="s">
        <v>3512</v>
      </c>
      <c r="Z3326" s="155" t="s">
        <v>3600</v>
      </c>
    </row>
    <row r="3327" spans="1:26" s="128" customFormat="1" ht="15" hidden="1" customHeight="1" x14ac:dyDescent="0.25">
      <c r="A3327" s="128" t="s">
        <v>76</v>
      </c>
      <c r="B3327" s="128" t="s">
        <v>54</v>
      </c>
      <c r="C3327" s="128" t="s">
        <v>55</v>
      </c>
      <c r="D3327" s="128" t="s">
        <v>3401</v>
      </c>
      <c r="E3327" s="128" t="s">
        <v>30</v>
      </c>
      <c r="F3327" s="128" t="s">
        <v>56</v>
      </c>
      <c r="G3327" s="128" t="s">
        <v>54</v>
      </c>
      <c r="H3327" s="128">
        <v>2024</v>
      </c>
      <c r="I3327" s="128">
        <v>9</v>
      </c>
      <c r="J3327" s="128" t="s">
        <v>640</v>
      </c>
      <c r="K3327" s="128" t="s">
        <v>2646</v>
      </c>
      <c r="M3327" s="128" t="s">
        <v>850</v>
      </c>
      <c r="N3327" s="128">
        <v>8</v>
      </c>
      <c r="O3327" s="128" t="s">
        <v>101</v>
      </c>
      <c r="P3327" s="128" t="s">
        <v>3488</v>
      </c>
      <c r="Y3327" s="150" t="s">
        <v>3445</v>
      </c>
      <c r="Z3327" s="128" t="s">
        <v>3489</v>
      </c>
    </row>
    <row r="3328" spans="1:26" s="128" customFormat="1" ht="15" hidden="1" customHeight="1" x14ac:dyDescent="0.25">
      <c r="A3328" s="128" t="s">
        <v>307</v>
      </c>
      <c r="B3328" s="128" t="s">
        <v>54</v>
      </c>
      <c r="C3328" s="128" t="s">
        <v>55</v>
      </c>
      <c r="D3328" s="128" t="s">
        <v>3401</v>
      </c>
      <c r="E3328" s="128" t="s">
        <v>30</v>
      </c>
      <c r="F3328" s="128" t="s">
        <v>56</v>
      </c>
      <c r="G3328" s="128" t="s">
        <v>54</v>
      </c>
      <c r="H3328" s="128">
        <v>2024</v>
      </c>
      <c r="I3328" s="128">
        <v>9</v>
      </c>
      <c r="J3328" s="128" t="s">
        <v>308</v>
      </c>
      <c r="Q3328" s="128" t="s">
        <v>594</v>
      </c>
      <c r="R3328" s="128" t="s">
        <v>3490</v>
      </c>
      <c r="S3328" s="128" t="s">
        <v>596</v>
      </c>
      <c r="T3328" s="128" t="s">
        <v>3491</v>
      </c>
      <c r="Y3328" s="150" t="s">
        <v>3492</v>
      </c>
      <c r="Z3328" s="128" t="s">
        <v>3493</v>
      </c>
    </row>
    <row r="3329" spans="1:27" s="128" customFormat="1" ht="15" hidden="1" customHeight="1" x14ac:dyDescent="0.25">
      <c r="A3329" s="128" t="s">
        <v>307</v>
      </c>
      <c r="B3329" s="128" t="s">
        <v>54</v>
      </c>
      <c r="C3329" s="128" t="s">
        <v>55</v>
      </c>
      <c r="D3329" s="128" t="s">
        <v>3401</v>
      </c>
      <c r="E3329" s="128" t="s">
        <v>30</v>
      </c>
      <c r="F3329" s="128" t="s">
        <v>56</v>
      </c>
      <c r="G3329" s="128" t="s">
        <v>54</v>
      </c>
      <c r="H3329" s="128">
        <v>2024</v>
      </c>
      <c r="I3329" s="128">
        <v>9</v>
      </c>
      <c r="J3329" s="128" t="s">
        <v>308</v>
      </c>
      <c r="Q3329" s="128" t="s">
        <v>2239</v>
      </c>
      <c r="R3329" s="128" t="s">
        <v>3494</v>
      </c>
      <c r="S3329" s="128" t="s">
        <v>427</v>
      </c>
      <c r="T3329" s="128" t="s">
        <v>3495</v>
      </c>
      <c r="Y3329" s="131" t="s">
        <v>3496</v>
      </c>
      <c r="Z3329" s="128" t="s">
        <v>3497</v>
      </c>
    </row>
    <row r="3330" spans="1:27" s="128" customFormat="1" ht="15" customHeight="1" x14ac:dyDescent="0.25">
      <c r="A3330" s="128" t="s">
        <v>76</v>
      </c>
      <c r="B3330" s="128" t="s">
        <v>36</v>
      </c>
      <c r="C3330" s="128" t="s">
        <v>28</v>
      </c>
      <c r="D3330" s="128" t="s">
        <v>3190</v>
      </c>
      <c r="E3330" s="128" t="s">
        <v>30</v>
      </c>
      <c r="F3330" s="128" t="s">
        <v>3183</v>
      </c>
      <c r="G3330" s="128" t="s">
        <v>194</v>
      </c>
      <c r="H3330" s="128">
        <v>2024</v>
      </c>
      <c r="I3330" s="128">
        <v>9</v>
      </c>
      <c r="J3330" s="128" t="s">
        <v>640</v>
      </c>
      <c r="K3330" s="128" t="s">
        <v>710</v>
      </c>
      <c r="M3330" s="128" t="s">
        <v>3351</v>
      </c>
      <c r="N3330" s="128">
        <v>10</v>
      </c>
      <c r="O3330" s="128" t="s">
        <v>101</v>
      </c>
      <c r="P3330" s="128" t="s">
        <v>146</v>
      </c>
      <c r="Y3330" s="150" t="s">
        <v>3452</v>
      </c>
      <c r="Z3330" s="128" t="s">
        <v>3498</v>
      </c>
    </row>
    <row r="3331" spans="1:27" s="128" customFormat="1" ht="15" hidden="1" customHeight="1" x14ac:dyDescent="0.25">
      <c r="A3331" s="128" t="s">
        <v>307</v>
      </c>
      <c r="B3331" s="128" t="s">
        <v>36</v>
      </c>
      <c r="C3331" s="128" t="s">
        <v>28</v>
      </c>
      <c r="D3331" s="128" t="s">
        <v>1304</v>
      </c>
      <c r="E3331" s="128" t="s">
        <v>30</v>
      </c>
      <c r="F3331" s="128" t="s">
        <v>3183</v>
      </c>
      <c r="G3331" s="128" t="s">
        <v>194</v>
      </c>
      <c r="H3331" s="174">
        <v>2024</v>
      </c>
      <c r="I3331" s="174">
        <v>9</v>
      </c>
      <c r="J3331" s="128" t="s">
        <v>308</v>
      </c>
      <c r="Q3331" s="128" t="s">
        <v>818</v>
      </c>
      <c r="R3331" s="175" t="s">
        <v>3499</v>
      </c>
      <c r="S3331" s="128" t="s">
        <v>427</v>
      </c>
      <c r="W3331" s="128" t="s">
        <v>87</v>
      </c>
      <c r="Y3331" s="150" t="s">
        <v>3500</v>
      </c>
      <c r="Z3331" s="176" t="s">
        <v>3501</v>
      </c>
    </row>
    <row r="3332" spans="1:27" s="128" customFormat="1" ht="15" customHeight="1" x14ac:dyDescent="0.25">
      <c r="A3332" s="128" t="s">
        <v>76</v>
      </c>
      <c r="B3332" s="128" t="s">
        <v>36</v>
      </c>
      <c r="C3332" s="128" t="s">
        <v>28</v>
      </c>
      <c r="D3332" s="128" t="s">
        <v>3190</v>
      </c>
      <c r="E3332" s="128" t="s">
        <v>30</v>
      </c>
      <c r="F3332" s="128" t="s">
        <v>3183</v>
      </c>
      <c r="G3332" s="155" t="s">
        <v>194</v>
      </c>
      <c r="H3332" s="128">
        <v>2024</v>
      </c>
      <c r="I3332" s="128">
        <v>9</v>
      </c>
      <c r="J3332" s="128" t="s">
        <v>640</v>
      </c>
      <c r="K3332" s="128" t="s">
        <v>3509</v>
      </c>
      <c r="M3332" s="128" t="s">
        <v>3510</v>
      </c>
      <c r="N3332" s="128">
        <v>6</v>
      </c>
      <c r="O3332" s="128" t="s">
        <v>83</v>
      </c>
      <c r="P3332" s="128" t="s">
        <v>3513</v>
      </c>
      <c r="Y3332" s="150" t="s">
        <v>3512</v>
      </c>
      <c r="Z3332" s="155" t="s">
        <v>3600</v>
      </c>
    </row>
    <row r="3333" spans="1:27" s="128" customFormat="1" ht="15" hidden="1" customHeight="1" x14ac:dyDescent="0.25">
      <c r="A3333" s="128" t="s">
        <v>76</v>
      </c>
      <c r="B3333" s="128" t="s">
        <v>89</v>
      </c>
      <c r="C3333" s="128" t="s">
        <v>90</v>
      </c>
      <c r="D3333" s="128" t="s">
        <v>3323</v>
      </c>
      <c r="E3333" s="128" t="s">
        <v>30</v>
      </c>
      <c r="F3333" s="128" t="s">
        <v>91</v>
      </c>
      <c r="G3333" s="128" t="s">
        <v>92</v>
      </c>
      <c r="H3333" s="128">
        <v>2024</v>
      </c>
      <c r="I3333" s="128">
        <v>9</v>
      </c>
      <c r="J3333" s="128" t="s">
        <v>640</v>
      </c>
      <c r="K3333" s="128" t="s">
        <v>2971</v>
      </c>
      <c r="M3333" s="128" t="s">
        <v>3351</v>
      </c>
      <c r="N3333" s="128">
        <v>10</v>
      </c>
      <c r="O3333" s="128" t="s">
        <v>101</v>
      </c>
      <c r="P3333" s="128" t="s">
        <v>850</v>
      </c>
      <c r="Y3333" s="150" t="s">
        <v>3486</v>
      </c>
      <c r="Z3333" s="128" t="s">
        <v>3502</v>
      </c>
    </row>
    <row r="3334" spans="1:27" s="128" customFormat="1" ht="15" hidden="1" customHeight="1" x14ac:dyDescent="0.25">
      <c r="A3334" s="128" t="s">
        <v>76</v>
      </c>
      <c r="B3334" s="128" t="s">
        <v>77</v>
      </c>
      <c r="C3334" s="128" t="s">
        <v>55</v>
      </c>
      <c r="D3334" s="128" t="s">
        <v>3503</v>
      </c>
      <c r="E3334" s="128" t="s">
        <v>30</v>
      </c>
      <c r="F3334" s="128" t="s">
        <v>41</v>
      </c>
      <c r="G3334" s="128" t="s">
        <v>275</v>
      </c>
      <c r="H3334" s="128">
        <v>2024</v>
      </c>
      <c r="I3334" s="128">
        <v>9</v>
      </c>
      <c r="J3334" s="128" t="s">
        <v>640</v>
      </c>
      <c r="K3334" s="128" t="s">
        <v>2646</v>
      </c>
      <c r="M3334" s="128" t="s">
        <v>850</v>
      </c>
      <c r="N3334" s="128">
        <v>8</v>
      </c>
      <c r="O3334" s="128" t="s">
        <v>101</v>
      </c>
      <c r="P3334" s="128" t="s">
        <v>146</v>
      </c>
      <c r="Y3334" s="150" t="s">
        <v>3445</v>
      </c>
      <c r="Z3334" s="128" t="s">
        <v>3504</v>
      </c>
    </row>
    <row r="3335" spans="1:27" s="128" customFormat="1" ht="15" hidden="1" customHeight="1" x14ac:dyDescent="0.25">
      <c r="A3335" s="128" t="s">
        <v>76</v>
      </c>
      <c r="B3335" s="128" t="s">
        <v>89</v>
      </c>
      <c r="C3335" s="128" t="s">
        <v>90</v>
      </c>
      <c r="D3335" s="128" t="s">
        <v>3186</v>
      </c>
      <c r="E3335" s="128" t="s">
        <v>30</v>
      </c>
      <c r="F3335" s="128" t="s">
        <v>91</v>
      </c>
      <c r="G3335" s="128" t="s">
        <v>93</v>
      </c>
      <c r="H3335" s="128">
        <v>2024</v>
      </c>
      <c r="I3335" s="128">
        <v>9</v>
      </c>
      <c r="J3335" s="128" t="s">
        <v>640</v>
      </c>
      <c r="K3335" s="128" t="s">
        <v>2646</v>
      </c>
      <c r="M3335" s="128" t="s">
        <v>850</v>
      </c>
      <c r="N3335" s="128">
        <v>8</v>
      </c>
      <c r="O3335" s="128" t="s">
        <v>101</v>
      </c>
      <c r="P3335" s="128" t="s">
        <v>3505</v>
      </c>
      <c r="Y3335" s="150" t="s">
        <v>3460</v>
      </c>
      <c r="Z3335" s="128" t="s">
        <v>3506</v>
      </c>
    </row>
    <row r="3336" spans="1:27" s="128" customFormat="1" ht="15" hidden="1" customHeight="1" x14ac:dyDescent="0.25">
      <c r="A3336" s="128" t="s">
        <v>76</v>
      </c>
      <c r="B3336" s="128" t="s">
        <v>36</v>
      </c>
      <c r="C3336" s="128" t="s">
        <v>28</v>
      </c>
      <c r="D3336" s="128" t="s">
        <v>3185</v>
      </c>
      <c r="E3336" s="128" t="s">
        <v>51</v>
      </c>
      <c r="F3336" s="128" t="s">
        <v>3183</v>
      </c>
      <c r="G3336" s="155" t="s">
        <v>52</v>
      </c>
      <c r="H3336" s="128">
        <v>2024</v>
      </c>
      <c r="I3336" s="128">
        <v>9</v>
      </c>
      <c r="J3336" s="128" t="s">
        <v>640</v>
      </c>
      <c r="K3336" s="128" t="s">
        <v>3509</v>
      </c>
      <c r="M3336" s="128" t="s">
        <v>3510</v>
      </c>
      <c r="N3336" s="128">
        <v>6</v>
      </c>
      <c r="O3336" s="128" t="s">
        <v>83</v>
      </c>
      <c r="P3336" s="128" t="s">
        <v>3513</v>
      </c>
      <c r="Y3336" s="150" t="s">
        <v>3512</v>
      </c>
      <c r="Z3336" s="155" t="s">
        <v>3600</v>
      </c>
    </row>
    <row r="3337" spans="1:27" s="128" customFormat="1" ht="15" hidden="1" customHeight="1" x14ac:dyDescent="0.25">
      <c r="A3337" s="128" t="s">
        <v>76</v>
      </c>
      <c r="B3337" s="128" t="s">
        <v>116</v>
      </c>
      <c r="C3337" s="128" t="s">
        <v>90</v>
      </c>
      <c r="D3337" s="128" t="s">
        <v>478</v>
      </c>
      <c r="E3337" s="128" t="s">
        <v>30</v>
      </c>
      <c r="F3337" s="128" t="s">
        <v>41</v>
      </c>
      <c r="G3337" s="128" t="s">
        <v>503</v>
      </c>
      <c r="H3337" s="128">
        <v>2024</v>
      </c>
      <c r="I3337" s="128">
        <v>9</v>
      </c>
      <c r="J3337" s="128" t="s">
        <v>640</v>
      </c>
      <c r="K3337" s="128" t="s">
        <v>2646</v>
      </c>
      <c r="M3337" s="128" t="s">
        <v>850</v>
      </c>
      <c r="N3337" s="128">
        <v>8</v>
      </c>
      <c r="O3337" s="128" t="s">
        <v>101</v>
      </c>
      <c r="P3337" s="128" t="s">
        <v>3507</v>
      </c>
      <c r="Y3337" s="150" t="s">
        <v>3454</v>
      </c>
      <c r="Z3337" s="128" t="s">
        <v>3508</v>
      </c>
    </row>
    <row r="3338" spans="1:27" s="128" customFormat="1" ht="15" hidden="1" customHeight="1" x14ac:dyDescent="0.25">
      <c r="A3338" s="128" t="s">
        <v>76</v>
      </c>
      <c r="B3338" s="128" t="s">
        <v>103</v>
      </c>
      <c r="C3338" s="128" t="s">
        <v>55</v>
      </c>
      <c r="D3338" s="128" t="s">
        <v>478</v>
      </c>
      <c r="E3338" s="128" t="s">
        <v>95</v>
      </c>
      <c r="F3338" s="128" t="s">
        <v>56</v>
      </c>
      <c r="G3338" s="155" t="s">
        <v>108</v>
      </c>
      <c r="H3338" s="128">
        <v>2024</v>
      </c>
      <c r="I3338" s="128">
        <v>9</v>
      </c>
      <c r="J3338" s="128" t="s">
        <v>640</v>
      </c>
      <c r="K3338" s="128" t="s">
        <v>3509</v>
      </c>
      <c r="M3338" s="128" t="s">
        <v>3510</v>
      </c>
      <c r="N3338" s="128">
        <v>6</v>
      </c>
      <c r="O3338" s="128" t="s">
        <v>83</v>
      </c>
      <c r="P3338" s="128" t="s">
        <v>3513</v>
      </c>
      <c r="Y3338" s="150" t="s">
        <v>3512</v>
      </c>
      <c r="Z3338" s="155" t="s">
        <v>3600</v>
      </c>
    </row>
    <row r="3339" spans="1:27" s="128" customFormat="1" ht="15" hidden="1" customHeight="1" x14ac:dyDescent="0.25">
      <c r="A3339" s="155" t="s">
        <v>76</v>
      </c>
      <c r="B3339" s="155" t="s">
        <v>103</v>
      </c>
      <c r="C3339" s="155" t="s">
        <v>55</v>
      </c>
      <c r="D3339" s="155" t="s">
        <v>478</v>
      </c>
      <c r="E3339" s="155" t="s">
        <v>95</v>
      </c>
      <c r="F3339" s="155" t="s">
        <v>56</v>
      </c>
      <c r="G3339" s="155" t="s">
        <v>108</v>
      </c>
      <c r="H3339" s="155">
        <v>2024</v>
      </c>
      <c r="I3339" s="155">
        <v>9</v>
      </c>
      <c r="J3339" s="155" t="s">
        <v>118</v>
      </c>
      <c r="K3339" s="155" t="s">
        <v>39</v>
      </c>
      <c r="L3339" s="155"/>
      <c r="M3339" s="155" t="s">
        <v>39</v>
      </c>
      <c r="N3339" s="155">
        <v>5</v>
      </c>
      <c r="O3339" s="155"/>
      <c r="P3339" s="155"/>
      <c r="Q3339" s="155"/>
      <c r="R3339" s="155"/>
      <c r="S3339" s="155"/>
      <c r="T3339" s="155"/>
      <c r="U3339" s="155"/>
      <c r="V3339" s="155"/>
      <c r="W3339" s="155"/>
      <c r="X3339" s="155"/>
      <c r="Y3339" s="150" t="s">
        <v>3595</v>
      </c>
      <c r="Z3339" s="155" t="s">
        <v>3596</v>
      </c>
      <c r="AA3339" s="155"/>
    </row>
    <row r="3340" spans="1:27" s="128" customFormat="1" ht="15" hidden="1" customHeight="1" x14ac:dyDescent="0.25">
      <c r="A3340" s="128" t="s">
        <v>76</v>
      </c>
      <c r="B3340" s="128" t="s">
        <v>44</v>
      </c>
      <c r="C3340" s="128" t="s">
        <v>45</v>
      </c>
      <c r="D3340" s="128" t="s">
        <v>29</v>
      </c>
      <c r="E3340" s="128" t="s">
        <v>46</v>
      </c>
      <c r="F3340" s="128" t="s">
        <v>3183</v>
      </c>
      <c r="G3340" s="128" t="s">
        <v>48</v>
      </c>
      <c r="H3340" s="128">
        <v>2024</v>
      </c>
      <c r="I3340" s="128">
        <v>9</v>
      </c>
      <c r="J3340" s="128" t="s">
        <v>80</v>
      </c>
      <c r="K3340" s="128" t="s">
        <v>3509</v>
      </c>
      <c r="M3340" s="128" t="s">
        <v>3510</v>
      </c>
      <c r="N3340" s="128">
        <v>6</v>
      </c>
      <c r="O3340" s="128" t="s">
        <v>83</v>
      </c>
      <c r="P3340" s="128" t="s">
        <v>3511</v>
      </c>
      <c r="Y3340" s="150" t="s">
        <v>3512</v>
      </c>
      <c r="Z3340" s="155" t="s">
        <v>3602</v>
      </c>
    </row>
    <row r="3341" spans="1:27" s="128" customFormat="1" ht="15" hidden="1" customHeight="1" x14ac:dyDescent="0.25">
      <c r="A3341" s="128" t="s">
        <v>76</v>
      </c>
      <c r="B3341" s="128" t="s">
        <v>44</v>
      </c>
      <c r="C3341" s="128" t="s">
        <v>45</v>
      </c>
      <c r="D3341" s="128" t="s">
        <v>29</v>
      </c>
      <c r="E3341" s="128" t="s">
        <v>46</v>
      </c>
      <c r="F3341" s="128" t="s">
        <v>3183</v>
      </c>
      <c r="G3341" s="128" t="s">
        <v>48</v>
      </c>
      <c r="H3341" s="128">
        <v>2024</v>
      </c>
      <c r="I3341" s="128">
        <v>9</v>
      </c>
      <c r="J3341" s="128" t="s">
        <v>640</v>
      </c>
      <c r="K3341" s="128" t="s">
        <v>3509</v>
      </c>
      <c r="M3341" s="128" t="s">
        <v>3510</v>
      </c>
      <c r="N3341" s="128">
        <v>6</v>
      </c>
      <c r="O3341" s="128" t="s">
        <v>83</v>
      </c>
      <c r="P3341" s="128" t="s">
        <v>3513</v>
      </c>
      <c r="Y3341" s="150" t="s">
        <v>3512</v>
      </c>
      <c r="Z3341" s="128" t="s">
        <v>3514</v>
      </c>
    </row>
    <row r="3342" spans="1:27" s="128" customFormat="1" ht="15" hidden="1" customHeight="1" x14ac:dyDescent="0.25">
      <c r="A3342" s="128" t="s">
        <v>76</v>
      </c>
      <c r="B3342" s="128" t="s">
        <v>44</v>
      </c>
      <c r="C3342" s="128" t="s">
        <v>45</v>
      </c>
      <c r="D3342" s="128" t="s">
        <v>29</v>
      </c>
      <c r="E3342" s="128" t="s">
        <v>46</v>
      </c>
      <c r="F3342" s="128" t="s">
        <v>3183</v>
      </c>
      <c r="G3342" s="128" t="s">
        <v>48</v>
      </c>
      <c r="H3342" s="128">
        <v>2024</v>
      </c>
      <c r="I3342" s="128">
        <v>9</v>
      </c>
      <c r="J3342" s="128" t="s">
        <v>2438</v>
      </c>
      <c r="K3342" s="128" t="s">
        <v>3509</v>
      </c>
      <c r="M3342" s="128" t="s">
        <v>3510</v>
      </c>
      <c r="N3342" s="128">
        <v>6</v>
      </c>
      <c r="O3342" s="128" t="s">
        <v>2439</v>
      </c>
      <c r="P3342" s="128" t="s">
        <v>3513</v>
      </c>
      <c r="Y3342" s="131" t="s">
        <v>3515</v>
      </c>
      <c r="Z3342" s="128" t="s">
        <v>3516</v>
      </c>
    </row>
    <row r="3343" spans="1:27" s="128" customFormat="1" ht="15" hidden="1" customHeight="1" x14ac:dyDescent="0.25">
      <c r="A3343" s="128" t="s">
        <v>26</v>
      </c>
      <c r="B3343" s="128" t="s">
        <v>36</v>
      </c>
      <c r="C3343" s="128" t="s">
        <v>28</v>
      </c>
      <c r="D3343" s="128" t="s">
        <v>478</v>
      </c>
      <c r="E3343" s="128" t="s">
        <v>30</v>
      </c>
      <c r="F3343" s="128" t="s">
        <v>3183</v>
      </c>
      <c r="G3343" s="128" t="s">
        <v>114</v>
      </c>
      <c r="H3343" s="128">
        <v>2024</v>
      </c>
      <c r="I3343" s="128">
        <v>9</v>
      </c>
      <c r="J3343" s="128" t="s">
        <v>33</v>
      </c>
      <c r="U3343" s="149" t="s">
        <v>112</v>
      </c>
      <c r="V3343" s="155" t="s">
        <v>3713</v>
      </c>
      <c r="W3343" s="128" t="s">
        <v>49</v>
      </c>
      <c r="X3343" s="128" t="s">
        <v>3466</v>
      </c>
      <c r="Y3343" s="150" t="s">
        <v>3467</v>
      </c>
      <c r="Z3343" s="128" t="s">
        <v>3468</v>
      </c>
    </row>
    <row r="3344" spans="1:27" s="128" customFormat="1" ht="15" hidden="1" customHeight="1" x14ac:dyDescent="0.25">
      <c r="A3344" s="128" t="s">
        <v>76</v>
      </c>
      <c r="B3344" s="128" t="s">
        <v>36</v>
      </c>
      <c r="C3344" s="128" t="s">
        <v>28</v>
      </c>
      <c r="D3344" s="128" t="s">
        <v>478</v>
      </c>
      <c r="E3344" s="128" t="s">
        <v>30</v>
      </c>
      <c r="F3344" s="128" t="s">
        <v>3183</v>
      </c>
      <c r="G3344" s="128" t="s">
        <v>114</v>
      </c>
      <c r="H3344" s="128">
        <v>2024</v>
      </c>
      <c r="I3344" s="128">
        <v>9</v>
      </c>
      <c r="J3344" s="128" t="s">
        <v>640</v>
      </c>
      <c r="K3344" s="128" t="s">
        <v>710</v>
      </c>
      <c r="M3344" s="128" t="s">
        <v>3351</v>
      </c>
      <c r="N3344" s="128">
        <v>10</v>
      </c>
      <c r="O3344" s="128" t="s">
        <v>101</v>
      </c>
      <c r="P3344" s="128" t="s">
        <v>146</v>
      </c>
      <c r="Y3344" s="150" t="s">
        <v>3352</v>
      </c>
      <c r="Z3344" s="128" t="s">
        <v>3517</v>
      </c>
    </row>
    <row r="3345" spans="1:26" s="128" customFormat="1" ht="15" hidden="1" customHeight="1" x14ac:dyDescent="0.25">
      <c r="A3345" s="128" t="s">
        <v>26</v>
      </c>
      <c r="B3345" s="128" t="s">
        <v>27</v>
      </c>
      <c r="C3345" s="128" t="s">
        <v>28</v>
      </c>
      <c r="D3345" s="128" t="s">
        <v>3186</v>
      </c>
      <c r="E3345" s="128" t="s">
        <v>30</v>
      </c>
      <c r="F3345" s="128" t="s">
        <v>3183</v>
      </c>
      <c r="G3345" s="128" t="s">
        <v>32</v>
      </c>
      <c r="H3345" s="128">
        <v>2024</v>
      </c>
      <c r="I3345" s="128">
        <v>10</v>
      </c>
      <c r="J3345" s="128" t="s">
        <v>33</v>
      </c>
      <c r="U3345" s="149" t="s">
        <v>112</v>
      </c>
      <c r="V3345" s="155" t="s">
        <v>3714</v>
      </c>
      <c r="W3345" s="128" t="s">
        <v>87</v>
      </c>
      <c r="X3345" s="128" t="s">
        <v>3518</v>
      </c>
      <c r="Y3345" s="150" t="s">
        <v>3519</v>
      </c>
      <c r="Z3345" s="128" t="s">
        <v>3520</v>
      </c>
    </row>
    <row r="3346" spans="1:26" s="128" customFormat="1" ht="15" hidden="1" customHeight="1" x14ac:dyDescent="0.25">
      <c r="A3346" s="128" t="s">
        <v>26</v>
      </c>
      <c r="B3346" s="128" t="s">
        <v>89</v>
      </c>
      <c r="C3346" s="128" t="s">
        <v>90</v>
      </c>
      <c r="D3346" s="128" t="s">
        <v>99</v>
      </c>
      <c r="E3346" s="128" t="s">
        <v>30</v>
      </c>
      <c r="F3346" s="128" t="s">
        <v>91</v>
      </c>
      <c r="G3346" s="128" t="s">
        <v>288</v>
      </c>
      <c r="H3346" s="128">
        <v>2024</v>
      </c>
      <c r="I3346" s="128">
        <v>10</v>
      </c>
      <c r="J3346" s="128" t="s">
        <v>33</v>
      </c>
      <c r="U3346" s="149" t="s">
        <v>112</v>
      </c>
      <c r="V3346" s="155" t="s">
        <v>3711</v>
      </c>
      <c r="W3346" s="128" t="s">
        <v>34</v>
      </c>
      <c r="Y3346" s="150" t="s">
        <v>3521</v>
      </c>
    </row>
    <row r="3347" spans="1:26" s="128" customFormat="1" ht="15" hidden="1" customHeight="1" x14ac:dyDescent="0.25">
      <c r="A3347" s="128" t="s">
        <v>26</v>
      </c>
      <c r="B3347" s="128" t="s">
        <v>89</v>
      </c>
      <c r="C3347" s="128" t="s">
        <v>90</v>
      </c>
      <c r="D3347" s="128" t="s">
        <v>478</v>
      </c>
      <c r="E3347" s="128" t="s">
        <v>30</v>
      </c>
      <c r="F3347" s="128" t="s">
        <v>91</v>
      </c>
      <c r="G3347" s="128" t="s">
        <v>293</v>
      </c>
      <c r="H3347" s="128">
        <v>2024</v>
      </c>
      <c r="I3347" s="128">
        <v>10</v>
      </c>
      <c r="J3347" s="128" t="s">
        <v>33</v>
      </c>
      <c r="U3347" s="149" t="s">
        <v>112</v>
      </c>
      <c r="V3347" s="155" t="s">
        <v>3711</v>
      </c>
      <c r="W3347" s="128" t="s">
        <v>34</v>
      </c>
      <c r="Y3347" s="150" t="s">
        <v>3522</v>
      </c>
      <c r="Z3347" s="128" t="s">
        <v>3523</v>
      </c>
    </row>
    <row r="3348" spans="1:26" s="128" customFormat="1" ht="15" hidden="1" customHeight="1" x14ac:dyDescent="0.25">
      <c r="A3348" s="128" t="s">
        <v>307</v>
      </c>
      <c r="B3348" s="128" t="s">
        <v>89</v>
      </c>
      <c r="C3348" s="128" t="s">
        <v>90</v>
      </c>
      <c r="D3348" s="128" t="s">
        <v>478</v>
      </c>
      <c r="E3348" s="128" t="s">
        <v>30</v>
      </c>
      <c r="F3348" s="128" t="s">
        <v>91</v>
      </c>
      <c r="G3348" s="128" t="s">
        <v>564</v>
      </c>
      <c r="H3348" s="128">
        <v>2024</v>
      </c>
      <c r="I3348" s="128">
        <v>10</v>
      </c>
      <c r="J3348" s="128" t="s">
        <v>308</v>
      </c>
      <c r="Q3348" s="128" t="s">
        <v>309</v>
      </c>
      <c r="R3348" s="128" t="s">
        <v>3524</v>
      </c>
      <c r="S3348" s="128" t="s">
        <v>596</v>
      </c>
      <c r="T3348" s="155" t="s">
        <v>3613</v>
      </c>
      <c r="U3348" s="155"/>
      <c r="Y3348" s="150" t="s">
        <v>3525</v>
      </c>
      <c r="Z3348" s="155" t="s">
        <v>3614</v>
      </c>
    </row>
    <row r="3349" spans="1:26" s="128" customFormat="1" ht="15" hidden="1" customHeight="1" x14ac:dyDescent="0.25">
      <c r="A3349" s="128" t="s">
        <v>26</v>
      </c>
      <c r="B3349" s="128" t="s">
        <v>36</v>
      </c>
      <c r="C3349" s="128" t="s">
        <v>28</v>
      </c>
      <c r="D3349" s="128" t="s">
        <v>478</v>
      </c>
      <c r="E3349" s="128" t="s">
        <v>30</v>
      </c>
      <c r="F3349" s="128" t="s">
        <v>3183</v>
      </c>
      <c r="G3349" s="128" t="s">
        <v>67</v>
      </c>
      <c r="H3349" s="128">
        <v>2024</v>
      </c>
      <c r="I3349" s="128">
        <v>10</v>
      </c>
      <c r="J3349" s="128" t="s">
        <v>33</v>
      </c>
      <c r="U3349" s="149" t="s">
        <v>112</v>
      </c>
      <c r="V3349" s="155" t="s">
        <v>3713</v>
      </c>
      <c r="W3349" s="128" t="s">
        <v>49</v>
      </c>
      <c r="X3349" s="128" t="s">
        <v>3466</v>
      </c>
      <c r="Y3349" s="150" t="s">
        <v>3526</v>
      </c>
      <c r="Z3349" s="128" t="s">
        <v>3468</v>
      </c>
    </row>
    <row r="3350" spans="1:26" s="128" customFormat="1" ht="15" hidden="1" customHeight="1" x14ac:dyDescent="0.25">
      <c r="A3350" s="128" t="s">
        <v>26</v>
      </c>
      <c r="B3350" s="128" t="s">
        <v>89</v>
      </c>
      <c r="C3350" s="128" t="s">
        <v>90</v>
      </c>
      <c r="D3350" s="128" t="s">
        <v>99</v>
      </c>
      <c r="E3350" s="128" t="s">
        <v>30</v>
      </c>
      <c r="F3350" s="128" t="s">
        <v>91</v>
      </c>
      <c r="G3350" s="128" t="s">
        <v>1167</v>
      </c>
      <c r="H3350" s="128">
        <v>2024</v>
      </c>
      <c r="I3350" s="128">
        <v>10</v>
      </c>
      <c r="J3350" s="128" t="s">
        <v>33</v>
      </c>
      <c r="U3350" s="149" t="s">
        <v>112</v>
      </c>
      <c r="V3350" s="155" t="s">
        <v>3711</v>
      </c>
      <c r="W3350" s="128" t="s">
        <v>34</v>
      </c>
      <c r="Y3350" s="150" t="s">
        <v>3527</v>
      </c>
      <c r="Z3350" s="128" t="s">
        <v>3528</v>
      </c>
    </row>
    <row r="3351" spans="1:26" s="128" customFormat="1" ht="15" hidden="1" customHeight="1" x14ac:dyDescent="0.25">
      <c r="A3351" s="128" t="s">
        <v>76</v>
      </c>
      <c r="B3351" s="128" t="s">
        <v>54</v>
      </c>
      <c r="C3351" s="128" t="s">
        <v>55</v>
      </c>
      <c r="D3351" s="128" t="s">
        <v>3401</v>
      </c>
      <c r="E3351" s="128" t="s">
        <v>30</v>
      </c>
      <c r="F3351" s="128" t="s">
        <v>56</v>
      </c>
      <c r="G3351" s="128" t="s">
        <v>54</v>
      </c>
      <c r="H3351" s="128">
        <v>2024</v>
      </c>
      <c r="I3351" s="128">
        <v>10</v>
      </c>
      <c r="J3351" s="128" t="s">
        <v>118</v>
      </c>
      <c r="K3351" s="128" t="s">
        <v>710</v>
      </c>
      <c r="M3351" s="128" t="s">
        <v>3351</v>
      </c>
      <c r="N3351" s="128">
        <v>10</v>
      </c>
      <c r="O3351" s="128" t="s">
        <v>101</v>
      </c>
      <c r="P3351" s="128" t="s">
        <v>850</v>
      </c>
      <c r="Y3351" s="150" t="s">
        <v>3529</v>
      </c>
      <c r="Z3351" s="128" t="s">
        <v>3530</v>
      </c>
    </row>
    <row r="3352" spans="1:26" s="128" customFormat="1" ht="15" hidden="1" customHeight="1" x14ac:dyDescent="0.25">
      <c r="A3352" s="128" t="s">
        <v>26</v>
      </c>
      <c r="B3352" s="128" t="s">
        <v>27</v>
      </c>
      <c r="C3352" s="128" t="s">
        <v>28</v>
      </c>
      <c r="D3352" s="128" t="s">
        <v>86</v>
      </c>
      <c r="E3352" s="128" t="s">
        <v>30</v>
      </c>
      <c r="F3352" s="128" t="s">
        <v>3183</v>
      </c>
      <c r="G3352" s="128" t="s">
        <v>43</v>
      </c>
      <c r="H3352" s="128">
        <v>2024</v>
      </c>
      <c r="I3352" s="128">
        <v>10</v>
      </c>
      <c r="J3352" s="128" t="s">
        <v>33</v>
      </c>
      <c r="U3352" s="149" t="s">
        <v>112</v>
      </c>
      <c r="V3352" s="155" t="s">
        <v>3713</v>
      </c>
      <c r="W3352" s="128" t="s">
        <v>49</v>
      </c>
      <c r="X3352" s="128" t="s">
        <v>3466</v>
      </c>
      <c r="Y3352" s="150" t="s">
        <v>3467</v>
      </c>
      <c r="Z3352" s="128" t="s">
        <v>3468</v>
      </c>
    </row>
    <row r="3353" spans="1:26" s="128" customFormat="1" ht="15" hidden="1" customHeight="1" x14ac:dyDescent="0.25">
      <c r="A3353" s="128" t="s">
        <v>307</v>
      </c>
      <c r="B3353" s="128" t="s">
        <v>36</v>
      </c>
      <c r="C3353" s="128" t="s">
        <v>28</v>
      </c>
      <c r="D3353" s="128" t="s">
        <v>3185</v>
      </c>
      <c r="E3353" s="128" t="s">
        <v>51</v>
      </c>
      <c r="F3353" s="128" t="s">
        <v>3183</v>
      </c>
      <c r="G3353" s="128" t="s">
        <v>52</v>
      </c>
      <c r="H3353" s="128">
        <v>2024</v>
      </c>
      <c r="I3353" s="128">
        <v>10</v>
      </c>
      <c r="J3353" s="128" t="s">
        <v>308</v>
      </c>
      <c r="Q3353" s="128" t="s">
        <v>309</v>
      </c>
      <c r="R3353" s="128" t="s">
        <v>3531</v>
      </c>
      <c r="S3353" s="128" t="s">
        <v>311</v>
      </c>
      <c r="T3353" s="128" t="s">
        <v>3532</v>
      </c>
      <c r="Y3353" s="150" t="s">
        <v>3533</v>
      </c>
      <c r="Z3353" s="128" t="s">
        <v>3534</v>
      </c>
    </row>
    <row r="3354" spans="1:26" s="128" customFormat="1" ht="15" hidden="1" customHeight="1" x14ac:dyDescent="0.25">
      <c r="A3354" s="128" t="s">
        <v>76</v>
      </c>
      <c r="B3354" s="128" t="s">
        <v>36</v>
      </c>
      <c r="C3354" s="128" t="s">
        <v>28</v>
      </c>
      <c r="D3354" s="128" t="s">
        <v>478</v>
      </c>
      <c r="E3354" s="128" t="s">
        <v>30</v>
      </c>
      <c r="F3354" s="128" t="s">
        <v>3183</v>
      </c>
      <c r="G3354" s="128" t="s">
        <v>114</v>
      </c>
      <c r="H3354" s="128">
        <v>2024</v>
      </c>
      <c r="I3354" s="128">
        <v>10</v>
      </c>
      <c r="J3354" s="128" t="s">
        <v>150</v>
      </c>
      <c r="K3354" s="128" t="s">
        <v>710</v>
      </c>
      <c r="M3354" s="128" t="s">
        <v>3351</v>
      </c>
      <c r="N3354" s="128">
        <v>10</v>
      </c>
      <c r="O3354" s="128" t="s">
        <v>83</v>
      </c>
      <c r="P3354" s="128" t="s">
        <v>3535</v>
      </c>
      <c r="Y3354" s="150" t="s">
        <v>3536</v>
      </c>
      <c r="Z3354" s="128" t="s">
        <v>3537</v>
      </c>
    </row>
    <row r="3355" spans="1:26" s="128" customFormat="1" ht="15" hidden="1" customHeight="1" x14ac:dyDescent="0.25">
      <c r="A3355" s="128" t="s">
        <v>26</v>
      </c>
      <c r="B3355" s="128" t="s">
        <v>89</v>
      </c>
      <c r="C3355" s="128" t="s">
        <v>90</v>
      </c>
      <c r="D3355" s="128" t="s">
        <v>478</v>
      </c>
      <c r="E3355" s="128" t="s">
        <v>30</v>
      </c>
      <c r="F3355" s="128" t="s">
        <v>91</v>
      </c>
      <c r="G3355" s="128" t="s">
        <v>371</v>
      </c>
      <c r="H3355" s="128">
        <v>2024</v>
      </c>
      <c r="I3355" s="128">
        <v>11</v>
      </c>
      <c r="J3355" s="128" t="s">
        <v>983</v>
      </c>
      <c r="U3355" s="149" t="s">
        <v>112</v>
      </c>
      <c r="V3355" s="155" t="s">
        <v>3711</v>
      </c>
      <c r="W3355" s="128" t="s">
        <v>34</v>
      </c>
      <c r="Y3355" s="150" t="s">
        <v>3538</v>
      </c>
      <c r="Z3355" s="128" t="s">
        <v>3539</v>
      </c>
    </row>
    <row r="3356" spans="1:26" s="128" customFormat="1" ht="15" hidden="1" customHeight="1" x14ac:dyDescent="0.25">
      <c r="A3356" s="128" t="s">
        <v>76</v>
      </c>
      <c r="B3356" s="128" t="s">
        <v>36</v>
      </c>
      <c r="C3356" s="128" t="s">
        <v>28</v>
      </c>
      <c r="D3356" s="128" t="s">
        <v>3540</v>
      </c>
      <c r="E3356" s="128" t="s">
        <v>30</v>
      </c>
      <c r="F3356" s="129" t="s">
        <v>3183</v>
      </c>
      <c r="G3356" s="128" t="s">
        <v>888</v>
      </c>
      <c r="H3356" s="128">
        <v>2024</v>
      </c>
      <c r="I3356" s="128">
        <v>11</v>
      </c>
      <c r="J3356" s="128" t="s">
        <v>80</v>
      </c>
      <c r="K3356" s="128" t="s">
        <v>2646</v>
      </c>
      <c r="M3356" s="128" t="s">
        <v>850</v>
      </c>
      <c r="N3356" s="128">
        <v>8</v>
      </c>
      <c r="O3356" s="128" t="s">
        <v>83</v>
      </c>
      <c r="P3356" s="128" t="s">
        <v>3386</v>
      </c>
      <c r="Y3356" s="150" t="s">
        <v>3541</v>
      </c>
      <c r="Z3356" s="128" t="s">
        <v>3542</v>
      </c>
    </row>
    <row r="3357" spans="1:26" s="128" customFormat="1" ht="15" hidden="1" customHeight="1" x14ac:dyDescent="0.25">
      <c r="A3357" s="128" t="s">
        <v>76</v>
      </c>
      <c r="B3357" s="128" t="s">
        <v>36</v>
      </c>
      <c r="C3357" s="128" t="s">
        <v>28</v>
      </c>
      <c r="D3357" s="128" t="s">
        <v>3540</v>
      </c>
      <c r="E3357" s="128" t="s">
        <v>30</v>
      </c>
      <c r="F3357" s="129" t="s">
        <v>3183</v>
      </c>
      <c r="G3357" s="128" t="s">
        <v>888</v>
      </c>
      <c r="H3357" s="128">
        <v>2024</v>
      </c>
      <c r="I3357" s="128">
        <v>11</v>
      </c>
      <c r="J3357" s="128" t="s">
        <v>80</v>
      </c>
      <c r="K3357" s="128" t="s">
        <v>2646</v>
      </c>
      <c r="M3357" s="128" t="s">
        <v>850</v>
      </c>
      <c r="N3357" s="128">
        <v>8</v>
      </c>
      <c r="O3357" s="128" t="s">
        <v>83</v>
      </c>
      <c r="P3357" s="128" t="s">
        <v>3386</v>
      </c>
      <c r="Y3357" s="131" t="s">
        <v>3543</v>
      </c>
      <c r="Z3357" s="128" t="s">
        <v>3544</v>
      </c>
    </row>
    <row r="3358" spans="1:26" s="128" customFormat="1" ht="15" hidden="1" customHeight="1" x14ac:dyDescent="0.25">
      <c r="A3358" s="128" t="s">
        <v>76</v>
      </c>
      <c r="B3358" s="128" t="s">
        <v>27</v>
      </c>
      <c r="C3358" s="128" t="s">
        <v>28</v>
      </c>
      <c r="D3358" s="128" t="s">
        <v>566</v>
      </c>
      <c r="E3358" s="128" t="s">
        <v>30</v>
      </c>
      <c r="F3358" s="128" t="s">
        <v>3183</v>
      </c>
      <c r="G3358" s="128" t="s">
        <v>53</v>
      </c>
      <c r="H3358" s="128">
        <v>2024</v>
      </c>
      <c r="I3358" s="128">
        <v>11</v>
      </c>
      <c r="J3358" s="128" t="s">
        <v>640</v>
      </c>
      <c r="K3358" s="128" t="s">
        <v>2646</v>
      </c>
      <c r="M3358" s="128" t="s">
        <v>850</v>
      </c>
      <c r="N3358" s="128">
        <v>8</v>
      </c>
      <c r="O3358" s="128" t="s">
        <v>83</v>
      </c>
      <c r="P3358" s="128" t="s">
        <v>850</v>
      </c>
      <c r="Y3358" s="150" t="s">
        <v>3541</v>
      </c>
      <c r="Z3358" s="128" t="s">
        <v>3545</v>
      </c>
    </row>
    <row r="3359" spans="1:26" s="128" customFormat="1" ht="15" hidden="1" customHeight="1" x14ac:dyDescent="0.25">
      <c r="A3359" s="128" t="s">
        <v>76</v>
      </c>
      <c r="B3359" s="128" t="s">
        <v>62</v>
      </c>
      <c r="C3359" s="128" t="s">
        <v>28</v>
      </c>
      <c r="D3359" s="128" t="s">
        <v>759</v>
      </c>
      <c r="E3359" s="128" t="s">
        <v>51</v>
      </c>
      <c r="F3359" s="128" t="s">
        <v>3183</v>
      </c>
      <c r="G3359" s="128" t="s">
        <v>409</v>
      </c>
      <c r="H3359" s="128">
        <v>2024</v>
      </c>
      <c r="I3359" s="128">
        <v>11</v>
      </c>
      <c r="J3359" s="128" t="s">
        <v>640</v>
      </c>
      <c r="K3359" s="128" t="s">
        <v>2646</v>
      </c>
      <c r="M3359" s="128" t="s">
        <v>850</v>
      </c>
      <c r="N3359" s="128">
        <v>8</v>
      </c>
      <c r="O3359" s="128" t="s">
        <v>83</v>
      </c>
      <c r="P3359" s="128" t="s">
        <v>850</v>
      </c>
      <c r="Y3359" s="131" t="s">
        <v>3543</v>
      </c>
      <c r="Z3359" s="128" t="s">
        <v>3546</v>
      </c>
    </row>
    <row r="3360" spans="1:26" s="128" customFormat="1" ht="15" hidden="1" customHeight="1" x14ac:dyDescent="0.25">
      <c r="A3360" s="128" t="s">
        <v>76</v>
      </c>
      <c r="B3360" s="128" t="s">
        <v>36</v>
      </c>
      <c r="C3360" s="128" t="s">
        <v>28</v>
      </c>
      <c r="D3360" s="128" t="s">
        <v>342</v>
      </c>
      <c r="E3360" s="128" t="s">
        <v>30</v>
      </c>
      <c r="F3360" s="128" t="s">
        <v>3183</v>
      </c>
      <c r="G3360" s="128" t="s">
        <v>242</v>
      </c>
      <c r="H3360" s="128">
        <v>2024</v>
      </c>
      <c r="I3360" s="128">
        <v>11</v>
      </c>
      <c r="J3360" s="128" t="s">
        <v>150</v>
      </c>
      <c r="K3360" s="128" t="s">
        <v>2646</v>
      </c>
      <c r="M3360" s="128" t="s">
        <v>850</v>
      </c>
      <c r="N3360" s="128">
        <v>8</v>
      </c>
      <c r="O3360" s="128" t="s">
        <v>83</v>
      </c>
      <c r="P3360" s="128" t="s">
        <v>3547</v>
      </c>
      <c r="Y3360" s="150" t="s">
        <v>3548</v>
      </c>
      <c r="Z3360" s="128" t="s">
        <v>3549</v>
      </c>
    </row>
    <row r="3361" spans="1:27" s="128" customFormat="1" ht="15" hidden="1" customHeight="1" x14ac:dyDescent="0.25">
      <c r="A3361" s="128" t="s">
        <v>307</v>
      </c>
      <c r="B3361" s="128" t="s">
        <v>36</v>
      </c>
      <c r="C3361" s="128" t="s">
        <v>28</v>
      </c>
      <c r="D3361" s="128" t="s">
        <v>342</v>
      </c>
      <c r="E3361" s="128" t="s">
        <v>30</v>
      </c>
      <c r="F3361" s="128" t="s">
        <v>3183</v>
      </c>
      <c r="G3361" s="128" t="s">
        <v>242</v>
      </c>
      <c r="H3361" s="128">
        <v>2024</v>
      </c>
      <c r="I3361" s="128">
        <v>11</v>
      </c>
      <c r="J3361" s="128" t="s">
        <v>308</v>
      </c>
      <c r="Q3361" s="128" t="s">
        <v>426</v>
      </c>
      <c r="R3361" s="128" t="s">
        <v>3550</v>
      </c>
      <c r="S3361" s="128" t="s">
        <v>311</v>
      </c>
      <c r="T3361" s="128" t="s">
        <v>3551</v>
      </c>
      <c r="Y3361" s="150" t="s">
        <v>3552</v>
      </c>
      <c r="Z3361" s="128" t="s">
        <v>3553</v>
      </c>
    </row>
    <row r="3362" spans="1:27" s="128" customFormat="1" ht="15.75" hidden="1" customHeight="1" x14ac:dyDescent="0.25">
      <c r="A3362" s="128" t="s">
        <v>76</v>
      </c>
      <c r="B3362" s="128" t="s">
        <v>36</v>
      </c>
      <c r="C3362" s="128" t="s">
        <v>28</v>
      </c>
      <c r="D3362" s="128" t="s">
        <v>478</v>
      </c>
      <c r="E3362" s="128" t="s">
        <v>30</v>
      </c>
      <c r="F3362" s="128" t="s">
        <v>3183</v>
      </c>
      <c r="G3362" s="128" t="s">
        <v>67</v>
      </c>
      <c r="H3362" s="128">
        <v>2024</v>
      </c>
      <c r="I3362" s="128">
        <v>11</v>
      </c>
      <c r="J3362" s="128" t="s">
        <v>640</v>
      </c>
      <c r="K3362" s="128" t="s">
        <v>2646</v>
      </c>
      <c r="M3362" s="128" t="s">
        <v>850</v>
      </c>
      <c r="N3362" s="128">
        <v>8</v>
      </c>
      <c r="O3362" s="128" t="s">
        <v>83</v>
      </c>
      <c r="P3362" s="128" t="s">
        <v>850</v>
      </c>
      <c r="Y3362" s="150" t="s">
        <v>3541</v>
      </c>
      <c r="Z3362" s="128" t="s">
        <v>3554</v>
      </c>
    </row>
    <row r="3363" spans="1:27" s="128" customFormat="1" ht="15" hidden="1" customHeight="1" x14ac:dyDescent="0.25">
      <c r="A3363" s="128" t="s">
        <v>76</v>
      </c>
      <c r="B3363" s="128" t="s">
        <v>71</v>
      </c>
      <c r="C3363" s="128" t="s">
        <v>45</v>
      </c>
      <c r="D3363" s="128" t="s">
        <v>478</v>
      </c>
      <c r="E3363" s="128" t="s">
        <v>72</v>
      </c>
      <c r="F3363" s="128" t="s">
        <v>3183</v>
      </c>
      <c r="G3363" s="128" t="s">
        <v>75</v>
      </c>
      <c r="H3363" s="128">
        <v>2024</v>
      </c>
      <c r="I3363" s="128">
        <v>11</v>
      </c>
      <c r="J3363" s="128" t="s">
        <v>640</v>
      </c>
      <c r="K3363" s="128" t="s">
        <v>2646</v>
      </c>
      <c r="M3363" s="128" t="s">
        <v>850</v>
      </c>
      <c r="N3363" s="128">
        <v>8</v>
      </c>
      <c r="O3363" s="128" t="s">
        <v>83</v>
      </c>
      <c r="P3363" s="128" t="s">
        <v>850</v>
      </c>
      <c r="Y3363" s="150" t="s">
        <v>3541</v>
      </c>
      <c r="Z3363" s="128" t="s">
        <v>3555</v>
      </c>
    </row>
    <row r="3364" spans="1:27" s="128" customFormat="1" ht="15" hidden="1" customHeight="1" x14ac:dyDescent="0.25">
      <c r="A3364" s="128" t="s">
        <v>76</v>
      </c>
      <c r="B3364" s="128" t="s">
        <v>27</v>
      </c>
      <c r="C3364" s="128" t="s">
        <v>28</v>
      </c>
      <c r="D3364" s="128" t="s">
        <v>1302</v>
      </c>
      <c r="E3364" s="128" t="s">
        <v>40</v>
      </c>
      <c r="F3364" s="128" t="s">
        <v>41</v>
      </c>
      <c r="G3364" s="128" t="s">
        <v>42</v>
      </c>
      <c r="H3364" s="128">
        <v>2024</v>
      </c>
      <c r="I3364" s="128">
        <v>11</v>
      </c>
      <c r="J3364" s="128" t="s">
        <v>640</v>
      </c>
      <c r="K3364" s="128" t="s">
        <v>710</v>
      </c>
      <c r="M3364" s="128" t="s">
        <v>3351</v>
      </c>
      <c r="N3364" s="128">
        <v>10</v>
      </c>
      <c r="O3364" s="128" t="s">
        <v>83</v>
      </c>
      <c r="P3364" s="128" t="s">
        <v>203</v>
      </c>
      <c r="Y3364" s="150" t="s">
        <v>3556</v>
      </c>
      <c r="Z3364" s="128" t="s">
        <v>3557</v>
      </c>
    </row>
    <row r="3365" spans="1:27" s="128" customFormat="1" ht="15" hidden="1" customHeight="1" x14ac:dyDescent="0.25">
      <c r="A3365" s="128" t="s">
        <v>307</v>
      </c>
      <c r="B3365" s="128" t="s">
        <v>27</v>
      </c>
      <c r="C3365" s="128" t="s">
        <v>28</v>
      </c>
      <c r="D3365" s="128" t="s">
        <v>1302</v>
      </c>
      <c r="E3365" s="128" t="s">
        <v>40</v>
      </c>
      <c r="F3365" s="128" t="s">
        <v>41</v>
      </c>
      <c r="G3365" s="128" t="s">
        <v>42</v>
      </c>
      <c r="H3365" s="128">
        <v>2024</v>
      </c>
      <c r="I3365" s="128">
        <v>11</v>
      </c>
      <c r="J3365" s="128" t="s">
        <v>308</v>
      </c>
      <c r="Q3365" s="128" t="s">
        <v>309</v>
      </c>
      <c r="R3365" s="128" t="s">
        <v>3558</v>
      </c>
      <c r="S3365" s="128" t="s">
        <v>311</v>
      </c>
      <c r="T3365" s="128" t="s">
        <v>3559</v>
      </c>
      <c r="Y3365" s="150" t="s">
        <v>3560</v>
      </c>
      <c r="Z3365" s="128" t="s">
        <v>3561</v>
      </c>
    </row>
    <row r="3366" spans="1:27" s="128" customFormat="1" ht="15" hidden="1" customHeight="1" x14ac:dyDescent="0.25">
      <c r="A3366" s="128" t="s">
        <v>26</v>
      </c>
      <c r="B3366" s="128" t="s">
        <v>36</v>
      </c>
      <c r="C3366" s="128" t="s">
        <v>28</v>
      </c>
      <c r="D3366" s="128" t="s">
        <v>3190</v>
      </c>
      <c r="E3366" s="128" t="s">
        <v>30</v>
      </c>
      <c r="F3366" s="128" t="s">
        <v>3183</v>
      </c>
      <c r="G3366" s="128" t="s">
        <v>194</v>
      </c>
      <c r="H3366" s="128">
        <v>2024</v>
      </c>
      <c r="I3366" s="128">
        <v>11</v>
      </c>
      <c r="J3366" s="128" t="s">
        <v>33</v>
      </c>
      <c r="U3366" s="149" t="s">
        <v>112</v>
      </c>
      <c r="V3366" s="155" t="s">
        <v>3713</v>
      </c>
      <c r="W3366" s="128" t="s">
        <v>49</v>
      </c>
      <c r="X3366" s="128" t="s">
        <v>3466</v>
      </c>
      <c r="Y3366" s="150" t="s">
        <v>3562</v>
      </c>
      <c r="Z3366" s="128" t="s">
        <v>3468</v>
      </c>
    </row>
    <row r="3367" spans="1:27" s="128" customFormat="1" ht="15" hidden="1" customHeight="1" x14ac:dyDescent="0.25">
      <c r="A3367" s="128" t="s">
        <v>307</v>
      </c>
      <c r="B3367" s="128" t="s">
        <v>36</v>
      </c>
      <c r="C3367" s="128" t="s">
        <v>28</v>
      </c>
      <c r="D3367" s="128" t="s">
        <v>3190</v>
      </c>
      <c r="E3367" s="128" t="s">
        <v>30</v>
      </c>
      <c r="F3367" s="128" t="s">
        <v>3183</v>
      </c>
      <c r="G3367" s="128" t="s">
        <v>194</v>
      </c>
      <c r="H3367" s="128">
        <v>2024</v>
      </c>
      <c r="I3367" s="128">
        <v>11</v>
      </c>
      <c r="J3367" s="128" t="s">
        <v>308</v>
      </c>
      <c r="Q3367" s="128" t="s">
        <v>309</v>
      </c>
      <c r="R3367" s="128" t="s">
        <v>3563</v>
      </c>
      <c r="S3367" s="128" t="s">
        <v>311</v>
      </c>
      <c r="T3367" s="128" t="s">
        <v>3564</v>
      </c>
      <c r="Y3367" s="150" t="s">
        <v>3565</v>
      </c>
      <c r="Z3367" s="128" t="s">
        <v>3566</v>
      </c>
    </row>
    <row r="3368" spans="1:27" s="128" customFormat="1" ht="15" hidden="1" customHeight="1" x14ac:dyDescent="0.25">
      <c r="A3368" s="128" t="s">
        <v>76</v>
      </c>
      <c r="B3368" s="128" t="s">
        <v>36</v>
      </c>
      <c r="C3368" s="128" t="s">
        <v>28</v>
      </c>
      <c r="D3368" s="128" t="s">
        <v>3185</v>
      </c>
      <c r="E3368" s="128" t="s">
        <v>51</v>
      </c>
      <c r="F3368" s="128" t="s">
        <v>3183</v>
      </c>
      <c r="G3368" s="128" t="s">
        <v>52</v>
      </c>
      <c r="H3368" s="128">
        <v>2024</v>
      </c>
      <c r="I3368" s="128">
        <v>11</v>
      </c>
      <c r="J3368" s="128" t="s">
        <v>640</v>
      </c>
      <c r="K3368" s="128" t="s">
        <v>2646</v>
      </c>
      <c r="M3368" s="128" t="s">
        <v>850</v>
      </c>
      <c r="N3368" s="128">
        <v>8</v>
      </c>
      <c r="O3368" s="128" t="s">
        <v>83</v>
      </c>
      <c r="P3368" s="128" t="s">
        <v>850</v>
      </c>
      <c r="Y3368" s="150" t="s">
        <v>3543</v>
      </c>
      <c r="Z3368" s="128" t="s">
        <v>3546</v>
      </c>
    </row>
    <row r="3369" spans="1:27" s="155" customFormat="1" ht="15" hidden="1" customHeight="1" x14ac:dyDescent="0.25">
      <c r="A3369" s="128" t="s">
        <v>76</v>
      </c>
      <c r="B3369" s="128" t="s">
        <v>89</v>
      </c>
      <c r="C3369" s="128" t="s">
        <v>90</v>
      </c>
      <c r="D3369" s="128" t="s">
        <v>46</v>
      </c>
      <c r="E3369" s="128" t="s">
        <v>46</v>
      </c>
      <c r="F3369" s="128" t="s">
        <v>91</v>
      </c>
      <c r="G3369" s="128" t="s">
        <v>1859</v>
      </c>
      <c r="H3369" s="128">
        <v>2024</v>
      </c>
      <c r="I3369" s="128">
        <v>12</v>
      </c>
      <c r="J3369" s="128" t="s">
        <v>100</v>
      </c>
      <c r="K3369" s="128" t="s">
        <v>2646</v>
      </c>
      <c r="L3369" s="128"/>
      <c r="M3369" s="128" t="s">
        <v>850</v>
      </c>
      <c r="N3369" s="128">
        <v>8</v>
      </c>
      <c r="O3369" s="128" t="s">
        <v>101</v>
      </c>
      <c r="P3369" s="128" t="s">
        <v>3567</v>
      </c>
      <c r="Q3369" s="128"/>
      <c r="R3369" s="128"/>
      <c r="S3369" s="128"/>
      <c r="T3369" s="128"/>
      <c r="U3369" s="128"/>
      <c r="V3369" s="128"/>
      <c r="W3369" s="128"/>
      <c r="X3369" s="128"/>
      <c r="Y3369" s="150" t="s">
        <v>3568</v>
      </c>
      <c r="Z3369" s="128" t="s">
        <v>3569</v>
      </c>
      <c r="AA3369" s="128"/>
    </row>
    <row r="3370" spans="1:27" s="155" customFormat="1" ht="15" hidden="1" customHeight="1" x14ac:dyDescent="0.25">
      <c r="A3370" s="128" t="s">
        <v>76</v>
      </c>
      <c r="B3370" s="128" t="s">
        <v>198</v>
      </c>
      <c r="C3370" s="128" t="s">
        <v>45</v>
      </c>
      <c r="D3370" s="128" t="s">
        <v>29</v>
      </c>
      <c r="E3370" s="128" t="s">
        <v>30</v>
      </c>
      <c r="F3370" s="128" t="s">
        <v>199</v>
      </c>
      <c r="G3370" s="128" t="s">
        <v>232</v>
      </c>
      <c r="H3370" s="128">
        <v>2024</v>
      </c>
      <c r="I3370" s="128">
        <v>12</v>
      </c>
      <c r="J3370" s="128" t="s">
        <v>150</v>
      </c>
      <c r="K3370" s="128" t="s">
        <v>2971</v>
      </c>
      <c r="L3370" s="128"/>
      <c r="M3370" s="128" t="s">
        <v>3351</v>
      </c>
      <c r="N3370" s="128">
        <v>10</v>
      </c>
      <c r="O3370" s="128" t="s">
        <v>83</v>
      </c>
      <c r="P3370" s="128" t="s">
        <v>154</v>
      </c>
      <c r="Q3370" s="128"/>
      <c r="R3370" s="128"/>
      <c r="S3370" s="128"/>
      <c r="T3370" s="128"/>
      <c r="U3370" s="128"/>
      <c r="V3370" s="128"/>
      <c r="W3370" s="128"/>
      <c r="X3370" s="128"/>
      <c r="Y3370" s="150" t="s">
        <v>3570</v>
      </c>
      <c r="Z3370" s="128"/>
      <c r="AA3370" s="128"/>
    </row>
    <row r="3371" spans="1:27" s="155" customFormat="1" ht="15" hidden="1" customHeight="1" x14ac:dyDescent="0.25">
      <c r="A3371" s="128" t="s">
        <v>26</v>
      </c>
      <c r="B3371" s="128" t="s">
        <v>89</v>
      </c>
      <c r="C3371" s="128" t="s">
        <v>90</v>
      </c>
      <c r="D3371" s="128" t="s">
        <v>478</v>
      </c>
      <c r="E3371" s="128" t="s">
        <v>30</v>
      </c>
      <c r="F3371" s="128" t="s">
        <v>91</v>
      </c>
      <c r="G3371" s="128" t="s">
        <v>564</v>
      </c>
      <c r="H3371" s="128">
        <v>2024</v>
      </c>
      <c r="I3371" s="128">
        <v>12</v>
      </c>
      <c r="J3371" s="128" t="s">
        <v>33</v>
      </c>
      <c r="K3371" s="128"/>
      <c r="L3371" s="128"/>
      <c r="M3371" s="128"/>
      <c r="N3371" s="128"/>
      <c r="O3371" s="128"/>
      <c r="P3371" s="128"/>
      <c r="Q3371" s="128"/>
      <c r="R3371" s="128"/>
      <c r="S3371" s="128"/>
      <c r="T3371" s="128"/>
      <c r="U3371" s="149" t="s">
        <v>112</v>
      </c>
      <c r="V3371" s="155" t="s">
        <v>3711</v>
      </c>
      <c r="W3371" s="128" t="s">
        <v>34</v>
      </c>
      <c r="X3371" s="128"/>
      <c r="Y3371" s="150" t="s">
        <v>3571</v>
      </c>
      <c r="Z3371" s="128" t="s">
        <v>3572</v>
      </c>
      <c r="AA3371" s="128"/>
    </row>
    <row r="3372" spans="1:27" s="155" customFormat="1" ht="15.75" hidden="1" customHeight="1" x14ac:dyDescent="0.25">
      <c r="A3372" s="155" t="s">
        <v>76</v>
      </c>
      <c r="B3372" s="155" t="s">
        <v>103</v>
      </c>
      <c r="C3372" s="155" t="s">
        <v>55</v>
      </c>
      <c r="D3372" s="155" t="s">
        <v>478</v>
      </c>
      <c r="E3372" s="155" t="s">
        <v>95</v>
      </c>
      <c r="F3372" s="155" t="s">
        <v>56</v>
      </c>
      <c r="G3372" s="155" t="s">
        <v>111</v>
      </c>
      <c r="H3372" s="155">
        <v>2024</v>
      </c>
      <c r="I3372" s="155">
        <v>12</v>
      </c>
      <c r="J3372" s="155" t="s">
        <v>118</v>
      </c>
      <c r="K3372" s="155" t="s">
        <v>39</v>
      </c>
      <c r="M3372" s="155" t="s">
        <v>39</v>
      </c>
      <c r="N3372" s="155">
        <v>5</v>
      </c>
      <c r="O3372" s="155" t="s">
        <v>101</v>
      </c>
      <c r="Y3372" s="150" t="s">
        <v>3597</v>
      </c>
      <c r="Z3372" s="155" t="s">
        <v>3598</v>
      </c>
    </row>
    <row r="3373" spans="1:27" s="128" customFormat="1" ht="15" hidden="1" customHeight="1" x14ac:dyDescent="0.25">
      <c r="A3373" s="128" t="s">
        <v>26</v>
      </c>
      <c r="B3373" s="128" t="s">
        <v>36</v>
      </c>
      <c r="C3373" s="128" t="s">
        <v>28</v>
      </c>
      <c r="D3373" s="128" t="s">
        <v>478</v>
      </c>
      <c r="E3373" s="128" t="s">
        <v>30</v>
      </c>
      <c r="F3373" s="128" t="s">
        <v>3183</v>
      </c>
      <c r="G3373" s="128" t="s">
        <v>59</v>
      </c>
      <c r="H3373" s="128">
        <v>2024</v>
      </c>
      <c r="I3373" s="128">
        <v>12</v>
      </c>
      <c r="J3373" s="128" t="s">
        <v>33</v>
      </c>
      <c r="U3373" s="149" t="s">
        <v>112</v>
      </c>
      <c r="V3373" s="155" t="s">
        <v>3715</v>
      </c>
      <c r="W3373" s="128" t="s">
        <v>87</v>
      </c>
      <c r="X3373" s="128" t="s">
        <v>3573</v>
      </c>
      <c r="Y3373" s="150" t="s">
        <v>3574</v>
      </c>
      <c r="Z3373" s="128" t="s">
        <v>3575</v>
      </c>
    </row>
    <row r="3374" spans="1:27" ht="15.75" hidden="1" customHeight="1" x14ac:dyDescent="0.25">
      <c r="A3374" s="128" t="s">
        <v>307</v>
      </c>
      <c r="B3374" s="128" t="s">
        <v>36</v>
      </c>
      <c r="C3374" s="128" t="s">
        <v>28</v>
      </c>
      <c r="D3374" s="128" t="s">
        <v>478</v>
      </c>
      <c r="E3374" s="128" t="s">
        <v>30</v>
      </c>
      <c r="F3374" s="128" t="s">
        <v>3183</v>
      </c>
      <c r="G3374" s="128" t="s">
        <v>59</v>
      </c>
      <c r="H3374" s="128">
        <v>2024</v>
      </c>
      <c r="I3374" s="128">
        <v>12</v>
      </c>
      <c r="J3374" s="128" t="s">
        <v>308</v>
      </c>
      <c r="K3374" s="128"/>
      <c r="L3374" s="128"/>
      <c r="M3374" s="128"/>
      <c r="N3374" s="128"/>
      <c r="O3374" s="128"/>
      <c r="P3374" s="128"/>
      <c r="Q3374" s="128" t="s">
        <v>426</v>
      </c>
      <c r="R3374" s="128" t="s">
        <v>3576</v>
      </c>
      <c r="S3374" s="128" t="s">
        <v>596</v>
      </c>
      <c r="T3374" s="128"/>
      <c r="U3374" s="128"/>
      <c r="V3374" s="128"/>
      <c r="W3374" s="128"/>
      <c r="X3374" s="128" t="s">
        <v>3577</v>
      </c>
      <c r="Y3374" s="150" t="s">
        <v>3578</v>
      </c>
      <c r="Z3374" s="128" t="s">
        <v>3579</v>
      </c>
      <c r="AA3374" s="128"/>
    </row>
    <row r="3375" spans="1:27" ht="15.75" hidden="1" customHeight="1" x14ac:dyDescent="0.25">
      <c r="A3375" s="128" t="s">
        <v>76</v>
      </c>
      <c r="B3375" s="128" t="s">
        <v>36</v>
      </c>
      <c r="C3375" s="128" t="s">
        <v>28</v>
      </c>
      <c r="D3375" s="128" t="s">
        <v>342</v>
      </c>
      <c r="E3375" s="128" t="s">
        <v>30</v>
      </c>
      <c r="F3375" s="128" t="s">
        <v>3183</v>
      </c>
      <c r="G3375" s="128" t="s">
        <v>242</v>
      </c>
      <c r="H3375" s="128">
        <v>2024</v>
      </c>
      <c r="I3375" s="128">
        <v>12</v>
      </c>
      <c r="J3375" s="128" t="s">
        <v>150</v>
      </c>
      <c r="K3375" s="128" t="s">
        <v>2646</v>
      </c>
      <c r="L3375" s="128"/>
      <c r="M3375" s="128" t="s">
        <v>850</v>
      </c>
      <c r="N3375" s="128">
        <v>8</v>
      </c>
      <c r="O3375" s="128" t="s">
        <v>83</v>
      </c>
      <c r="P3375" s="128" t="s">
        <v>3547</v>
      </c>
      <c r="Q3375" s="128"/>
      <c r="R3375" s="128"/>
      <c r="S3375" s="128"/>
      <c r="T3375" s="128"/>
      <c r="U3375" s="128"/>
      <c r="V3375" s="128"/>
      <c r="W3375" s="128"/>
      <c r="X3375" s="128"/>
      <c r="Y3375" s="150" t="s">
        <v>3548</v>
      </c>
      <c r="Z3375" s="128" t="s">
        <v>3580</v>
      </c>
      <c r="AA3375" s="128"/>
    </row>
    <row r="3376" spans="1:27" ht="13.5" hidden="1" customHeight="1" x14ac:dyDescent="0.25">
      <c r="A3376" s="128" t="s">
        <v>307</v>
      </c>
      <c r="B3376" s="128" t="s">
        <v>54</v>
      </c>
      <c r="C3376" s="128" t="s">
        <v>55</v>
      </c>
      <c r="D3376" s="128" t="s">
        <v>3401</v>
      </c>
      <c r="E3376" s="128" t="s">
        <v>30</v>
      </c>
      <c r="F3376" s="128" t="s">
        <v>56</v>
      </c>
      <c r="G3376" s="128" t="s">
        <v>54</v>
      </c>
      <c r="H3376" s="128">
        <v>2024</v>
      </c>
      <c r="I3376" s="128">
        <v>12</v>
      </c>
      <c r="J3376" s="128" t="s">
        <v>308</v>
      </c>
      <c r="K3376" s="128"/>
      <c r="L3376" s="128"/>
      <c r="M3376" s="128"/>
      <c r="N3376" s="128"/>
      <c r="O3376" s="128"/>
      <c r="P3376" s="128"/>
      <c r="Q3376" s="128" t="s">
        <v>2239</v>
      </c>
      <c r="R3376" s="128" t="s">
        <v>3581</v>
      </c>
      <c r="S3376" s="128" t="s">
        <v>885</v>
      </c>
      <c r="T3376" s="128" t="s">
        <v>3582</v>
      </c>
      <c r="U3376" s="128"/>
      <c r="V3376" s="128"/>
      <c r="W3376" s="128"/>
      <c r="X3376" s="128"/>
      <c r="Y3376" s="150" t="s">
        <v>3583</v>
      </c>
      <c r="Z3376" s="128" t="s">
        <v>3408</v>
      </c>
      <c r="AA3376" s="128"/>
    </row>
    <row r="3377" spans="1:27" ht="15.75" hidden="1" customHeight="1" x14ac:dyDescent="0.25">
      <c r="A3377" s="128" t="s">
        <v>26</v>
      </c>
      <c r="B3377" s="128" t="s">
        <v>27</v>
      </c>
      <c r="C3377" s="128" t="s">
        <v>28</v>
      </c>
      <c r="D3377" s="128" t="s">
        <v>86</v>
      </c>
      <c r="E3377" s="128" t="s">
        <v>30</v>
      </c>
      <c r="F3377" s="128" t="s">
        <v>3183</v>
      </c>
      <c r="G3377" s="128" t="s">
        <v>43</v>
      </c>
      <c r="H3377" s="128">
        <v>2024</v>
      </c>
      <c r="I3377" s="128">
        <v>12</v>
      </c>
      <c r="J3377" s="128" t="s">
        <v>33</v>
      </c>
      <c r="K3377" s="128"/>
      <c r="L3377" s="128"/>
      <c r="M3377" s="128"/>
      <c r="N3377" s="128"/>
      <c r="O3377" s="128"/>
      <c r="P3377" s="128"/>
      <c r="Q3377" s="128"/>
      <c r="R3377" s="128"/>
      <c r="S3377" s="128"/>
      <c r="T3377" s="128"/>
      <c r="U3377" s="149" t="s">
        <v>112</v>
      </c>
      <c r="V3377" s="155" t="s">
        <v>3711</v>
      </c>
      <c r="W3377" s="128" t="s">
        <v>34</v>
      </c>
      <c r="X3377" s="128"/>
      <c r="Y3377" s="150" t="s">
        <v>3584</v>
      </c>
      <c r="Z3377" s="128"/>
      <c r="AA3377" s="128"/>
    </row>
    <row r="3378" spans="1:27" ht="15.75" hidden="1" customHeight="1" x14ac:dyDescent="0.25">
      <c r="A3378" s="128" t="s">
        <v>76</v>
      </c>
      <c r="B3378" s="128" t="s">
        <v>36</v>
      </c>
      <c r="C3378" s="128" t="s">
        <v>28</v>
      </c>
      <c r="D3378" s="128" t="s">
        <v>478</v>
      </c>
      <c r="E3378" s="128" t="s">
        <v>30</v>
      </c>
      <c r="F3378" s="128" t="s">
        <v>3183</v>
      </c>
      <c r="G3378" s="128" t="s">
        <v>114</v>
      </c>
      <c r="H3378" s="128">
        <v>2024</v>
      </c>
      <c r="I3378" s="128">
        <v>12</v>
      </c>
      <c r="J3378" s="128" t="s">
        <v>150</v>
      </c>
      <c r="K3378" s="128" t="s">
        <v>2646</v>
      </c>
      <c r="L3378" s="128"/>
      <c r="M3378" s="128" t="s">
        <v>850</v>
      </c>
      <c r="N3378" s="128">
        <v>8</v>
      </c>
      <c r="O3378" s="128" t="s">
        <v>83</v>
      </c>
      <c r="P3378" s="128" t="s">
        <v>3585</v>
      </c>
      <c r="Q3378" s="128"/>
      <c r="R3378" s="128"/>
      <c r="S3378" s="128"/>
      <c r="T3378" s="128"/>
      <c r="U3378" s="128"/>
      <c r="V3378" s="128"/>
      <c r="W3378" s="128"/>
      <c r="X3378" s="128"/>
      <c r="Y3378" s="150" t="s">
        <v>3586</v>
      </c>
      <c r="Z3378" s="155" t="s">
        <v>3601</v>
      </c>
      <c r="AA3378" s="128"/>
    </row>
    <row r="3379" spans="1:27" ht="13.5" hidden="1" customHeight="1" x14ac:dyDescent="0.25">
      <c r="A3379" s="128" t="s">
        <v>26</v>
      </c>
      <c r="B3379" s="128" t="s">
        <v>36</v>
      </c>
      <c r="C3379" s="128" t="s">
        <v>28</v>
      </c>
      <c r="D3379" s="128" t="s">
        <v>478</v>
      </c>
      <c r="E3379" s="128" t="s">
        <v>30</v>
      </c>
      <c r="F3379" s="128" t="s">
        <v>3183</v>
      </c>
      <c r="G3379" s="128" t="s">
        <v>114</v>
      </c>
      <c r="H3379" s="128">
        <v>2024</v>
      </c>
      <c r="I3379" s="128">
        <v>12</v>
      </c>
      <c r="J3379" s="128" t="s">
        <v>33</v>
      </c>
      <c r="K3379" s="128"/>
      <c r="L3379" s="128"/>
      <c r="M3379" s="128"/>
      <c r="N3379" s="128"/>
      <c r="O3379" s="128"/>
      <c r="P3379" s="128"/>
      <c r="Q3379" s="128"/>
      <c r="R3379" s="128"/>
      <c r="S3379" s="128"/>
      <c r="T3379" s="128"/>
      <c r="U3379" s="149" t="s">
        <v>112</v>
      </c>
      <c r="V3379" s="155" t="s">
        <v>3587</v>
      </c>
      <c r="W3379" s="128" t="s">
        <v>87</v>
      </c>
      <c r="X3379" s="128" t="s">
        <v>3587</v>
      </c>
      <c r="Y3379" s="131" t="s">
        <v>3588</v>
      </c>
      <c r="Z3379" s="128" t="s">
        <v>3589</v>
      </c>
      <c r="AA3379" s="128"/>
    </row>
  </sheetData>
  <autoFilter ref="A1:AA3379" xr:uid="{00000000-0009-0000-0000-000001000000}">
    <filterColumn colId="0">
      <filters>
        <filter val="Senior Level Visit"/>
      </filters>
    </filterColumn>
    <filterColumn colId="6">
      <filters>
        <filter val="Singapore"/>
      </filters>
    </filterColumn>
    <filterColumn colId="7">
      <filters>
        <filter val="2002"/>
        <filter val="2003"/>
        <filter val="2004"/>
        <filter val="2005"/>
        <filter val="2006"/>
        <filter val="2007"/>
        <filter val="2008"/>
        <filter val="2009"/>
        <filter val="2010"/>
        <filter val="2011"/>
        <filter val="2012"/>
        <filter val="2013"/>
        <filter val="2014"/>
        <filter val="2015"/>
        <filter val="2016"/>
        <filter val="2017"/>
        <filter val="2018"/>
        <filter val="2019"/>
        <filter val="2020"/>
        <filter val="2021"/>
        <filter val="2022"/>
        <filter val="2023"/>
        <filter val="2024"/>
      </filters>
    </filterColumn>
  </autoFilter>
  <sortState xmlns:xlrd2="http://schemas.microsoft.com/office/spreadsheetml/2017/richdata2" ref="A2:AA3382">
    <sortCondition sortBy="cellColor" ref="H2:H3382" dxfId="926"/>
  </sortState>
  <hyperlinks>
    <hyperlink ref="Y205" r:id="rId1" xr:uid="{00000000-0004-0000-0100-000000000000}"/>
    <hyperlink ref="Y346" r:id="rId2" xr:uid="{00000000-0004-0000-0100-000001000000}"/>
    <hyperlink ref="Y357" r:id="rId3" xr:uid="{00000000-0004-0000-0100-000002000000}"/>
    <hyperlink ref="Y374" r:id="rId4" xr:uid="{00000000-0004-0000-0100-000003000000}"/>
    <hyperlink ref="Y379" r:id="rId5" xr:uid="{00000000-0004-0000-0100-000004000000}"/>
    <hyperlink ref="Y380" r:id="rId6" xr:uid="{00000000-0004-0000-0100-000005000000}"/>
    <hyperlink ref="Y387" r:id="rId7" xr:uid="{00000000-0004-0000-0100-000006000000}"/>
    <hyperlink ref="Y413" r:id="rId8" xr:uid="{00000000-0004-0000-0100-000007000000}"/>
    <hyperlink ref="Y433" r:id="rId9" xr:uid="{00000000-0004-0000-0100-000008000000}"/>
    <hyperlink ref="Y501" r:id="rId10" xr:uid="{00000000-0004-0000-0100-000009000000}"/>
    <hyperlink ref="Y502" r:id="rId11" xr:uid="{00000000-0004-0000-0100-00000A000000}"/>
    <hyperlink ref="Y507" r:id="rId12" xr:uid="{00000000-0004-0000-0100-00000B000000}"/>
    <hyperlink ref="Y510" r:id="rId13" xr:uid="{00000000-0004-0000-0100-00000C000000}"/>
    <hyperlink ref="Y511" r:id="rId14" xr:uid="{00000000-0004-0000-0100-00000D000000}"/>
    <hyperlink ref="Y542" r:id="rId15" xr:uid="{00000000-0004-0000-0100-00000E000000}"/>
    <hyperlink ref="Y550" r:id="rId16" xr:uid="{00000000-0004-0000-0100-00000F000000}"/>
    <hyperlink ref="Y588" r:id="rId17" xr:uid="{00000000-0004-0000-0100-000010000000}"/>
    <hyperlink ref="Y589" r:id="rId18" xr:uid="{00000000-0004-0000-0100-000011000000}"/>
    <hyperlink ref="Y590" r:id="rId19" xr:uid="{00000000-0004-0000-0100-000012000000}"/>
    <hyperlink ref="Y596" r:id="rId20" xr:uid="{00000000-0004-0000-0100-000013000000}"/>
    <hyperlink ref="Y598" r:id="rId21" xr:uid="{00000000-0004-0000-0100-000014000000}"/>
    <hyperlink ref="Y613" r:id="rId22" location=":~:text=On%20April%2026%2C%202006%2C%20Premier,SCO)%20Defense%20Ministers'%20Meeting." xr:uid="{00000000-0004-0000-0100-000015000000}"/>
    <hyperlink ref="Y653" r:id="rId23" xr:uid="{00000000-0004-0000-0100-000016000000}"/>
    <hyperlink ref="Y665" r:id="rId24" xr:uid="{00000000-0004-0000-0100-000017000000}"/>
    <hyperlink ref="Y672" r:id="rId25" xr:uid="{00000000-0004-0000-0100-000018000000}"/>
    <hyperlink ref="Y687" r:id="rId26" xr:uid="{00000000-0004-0000-0100-000019000000}"/>
    <hyperlink ref="Y704" r:id="rId27" xr:uid="{00000000-0004-0000-0100-00001A000000}"/>
    <hyperlink ref="Y708" r:id="rId28" xr:uid="{00000000-0004-0000-0100-00001B000000}"/>
    <hyperlink ref="Y724" r:id="rId29" xr:uid="{00000000-0004-0000-0100-00001C000000}"/>
    <hyperlink ref="Y732" r:id="rId30" xr:uid="{00000000-0004-0000-0100-00001D000000}"/>
    <hyperlink ref="Y754" r:id="rId31" xr:uid="{00000000-0004-0000-0100-00001E000000}"/>
    <hyperlink ref="Y768" r:id="rId32" xr:uid="{00000000-0004-0000-0100-00001F000000}"/>
    <hyperlink ref="Y810" r:id="rId33" xr:uid="{00000000-0004-0000-0100-000020000000}"/>
    <hyperlink ref="Y814" r:id="rId34" xr:uid="{00000000-0004-0000-0100-000021000000}"/>
    <hyperlink ref="Y827" r:id="rId35" xr:uid="{00000000-0004-0000-0100-000022000000}"/>
    <hyperlink ref="Y828" r:id="rId36" xr:uid="{00000000-0004-0000-0100-000023000000}"/>
    <hyperlink ref="Y848" r:id="rId37" xr:uid="{00000000-0004-0000-0100-000024000000}"/>
    <hyperlink ref="Y886" r:id="rId38" xr:uid="{00000000-0004-0000-0100-000025000000}"/>
    <hyperlink ref="Y896" r:id="rId39" xr:uid="{00000000-0004-0000-0100-000026000000}"/>
    <hyperlink ref="Y905" r:id="rId40" xr:uid="{00000000-0004-0000-0100-000027000000}"/>
    <hyperlink ref="Y930" r:id="rId41" xr:uid="{00000000-0004-0000-0100-000028000000}"/>
    <hyperlink ref="Y959" r:id="rId42" xr:uid="{00000000-0004-0000-0100-000029000000}"/>
    <hyperlink ref="Y967" r:id="rId43" xr:uid="{00000000-0004-0000-0100-00002A000000}"/>
    <hyperlink ref="Y983" r:id="rId44" xr:uid="{00000000-0004-0000-0100-00002B000000}"/>
    <hyperlink ref="Y1032" r:id="rId45" xr:uid="{00000000-0004-0000-0100-00002C000000}"/>
    <hyperlink ref="Y1128" r:id="rId46" xr:uid="{00000000-0004-0000-0100-00002D000000}"/>
    <hyperlink ref="Y1153" r:id="rId47" xr:uid="{00000000-0004-0000-0100-00002E000000}"/>
    <hyperlink ref="Y1158" r:id="rId48" xr:uid="{00000000-0004-0000-0100-00002F000000}"/>
    <hyperlink ref="Y1329" r:id="rId49" xr:uid="{00000000-0004-0000-0100-000030000000}"/>
    <hyperlink ref="Y1330" r:id="rId50" xr:uid="{00000000-0004-0000-0100-000031000000}"/>
    <hyperlink ref="Y1343" r:id="rId51" xr:uid="{00000000-0004-0000-0100-000032000000}"/>
    <hyperlink ref="Y1385" r:id="rId52" xr:uid="{00000000-0004-0000-0100-000033000000}"/>
    <hyperlink ref="Y1641" r:id="rId53" xr:uid="{00000000-0004-0000-0100-000034000000}"/>
    <hyperlink ref="X1675" r:id="rId54" xr:uid="{00000000-0004-0000-0100-000035000000}"/>
    <hyperlink ref="Y1682" r:id="rId55" xr:uid="{00000000-0004-0000-0100-000036000000}"/>
    <hyperlink ref="Y1735" r:id="rId56" xr:uid="{00000000-0004-0000-0100-000037000000}"/>
    <hyperlink ref="Y1754" r:id="rId57" xr:uid="{00000000-0004-0000-0100-000038000000}"/>
    <hyperlink ref="Y1766" r:id="rId58" xr:uid="{00000000-0004-0000-0100-000039000000}"/>
    <hyperlink ref="Y1794" r:id="rId59" xr:uid="{00000000-0004-0000-0100-00003A000000}"/>
    <hyperlink ref="Y1806" r:id="rId60" xr:uid="{00000000-0004-0000-0100-00003B000000}"/>
    <hyperlink ref="Y1807" r:id="rId61" xr:uid="{00000000-0004-0000-0100-00003C000000}"/>
    <hyperlink ref="Y1819" r:id="rId62" xr:uid="{00000000-0004-0000-0100-00003D000000}"/>
    <hyperlink ref="Y1827" r:id="rId63" xr:uid="{00000000-0004-0000-0100-00003E000000}"/>
    <hyperlink ref="Y1828" r:id="rId64" xr:uid="{00000000-0004-0000-0100-00003F000000}"/>
    <hyperlink ref="Y1829" r:id="rId65" xr:uid="{00000000-0004-0000-0100-000040000000}"/>
    <hyperlink ref="Y1864" r:id="rId66" xr:uid="{00000000-0004-0000-0100-000041000000}"/>
    <hyperlink ref="Y1865" r:id="rId67" xr:uid="{00000000-0004-0000-0100-000042000000}"/>
    <hyperlink ref="Y1884" r:id="rId68" xr:uid="{00000000-0004-0000-0100-000043000000}"/>
    <hyperlink ref="Y1907" r:id="rId69" xr:uid="{00000000-0004-0000-0100-000044000000}"/>
    <hyperlink ref="Y1963" r:id="rId70" xr:uid="{00000000-0004-0000-0100-000045000000}"/>
    <hyperlink ref="Y1980" r:id="rId71" xr:uid="{00000000-0004-0000-0100-000046000000}"/>
    <hyperlink ref="Y1981" r:id="rId72" xr:uid="{00000000-0004-0000-0100-000047000000}"/>
    <hyperlink ref="Y2005" r:id="rId73" xr:uid="{00000000-0004-0000-0100-000048000000}"/>
    <hyperlink ref="Y2046" r:id="rId74" xr:uid="{00000000-0004-0000-0100-000049000000}"/>
    <hyperlink ref="Y2065" r:id="rId75" xr:uid="{00000000-0004-0000-0100-00004A000000}"/>
    <hyperlink ref="Y2126" r:id="rId76" xr:uid="{00000000-0004-0000-0100-00004B000000}"/>
    <hyperlink ref="Y2146" r:id="rId77" xr:uid="{00000000-0004-0000-0100-00004C000000}"/>
    <hyperlink ref="Y2151" r:id="rId78" xr:uid="{00000000-0004-0000-0100-00004D000000}"/>
    <hyperlink ref="Y2187" r:id="rId79" xr:uid="{00000000-0004-0000-0100-00004E000000}"/>
    <hyperlink ref="Y2218" r:id="rId80" xr:uid="{00000000-0004-0000-0100-00004F000000}"/>
    <hyperlink ref="Y2224" r:id="rId81" xr:uid="{00000000-0004-0000-0100-000050000000}"/>
    <hyperlink ref="Y2256" r:id="rId82" xr:uid="{00000000-0004-0000-0100-000051000000}"/>
    <hyperlink ref="Y2262" r:id="rId83" xr:uid="{00000000-0004-0000-0100-000052000000}"/>
    <hyperlink ref="Y2263" r:id="rId84" xr:uid="{00000000-0004-0000-0100-000053000000}"/>
    <hyperlink ref="Y2264" r:id="rId85" xr:uid="{00000000-0004-0000-0100-000054000000}"/>
    <hyperlink ref="Y2266" r:id="rId86" xr:uid="{00000000-0004-0000-0100-000055000000}"/>
    <hyperlink ref="Y2268" r:id="rId87" xr:uid="{00000000-0004-0000-0100-000056000000}"/>
    <hyperlink ref="Y2279" r:id="rId88" xr:uid="{00000000-0004-0000-0100-000057000000}"/>
    <hyperlink ref="Y2289" r:id="rId89" xr:uid="{00000000-0004-0000-0100-000058000000}"/>
    <hyperlink ref="Y2316" r:id="rId90" xr:uid="{00000000-0004-0000-0100-000059000000}"/>
    <hyperlink ref="Y2352" r:id="rId91" xr:uid="{00000000-0004-0000-0100-00005A000000}"/>
    <hyperlink ref="Y2353" r:id="rId92" xr:uid="{00000000-0004-0000-0100-00005B000000}"/>
    <hyperlink ref="Y2373" r:id="rId93" xr:uid="{00000000-0004-0000-0100-00005C000000}"/>
    <hyperlink ref="Y2437" r:id="rId94" xr:uid="{00000000-0004-0000-0100-00005D000000}"/>
    <hyperlink ref="Y2440" r:id="rId95" xr:uid="{00000000-0004-0000-0100-00005E000000}"/>
    <hyperlink ref="Y2441" r:id="rId96" xr:uid="{00000000-0004-0000-0100-00005F000000}"/>
    <hyperlink ref="Y2444" r:id="rId97" xr:uid="{00000000-0004-0000-0100-000060000000}"/>
    <hyperlink ref="Y2449" r:id="rId98" xr:uid="{00000000-0004-0000-0100-000061000000}"/>
    <hyperlink ref="Y2450" r:id="rId99" xr:uid="{00000000-0004-0000-0100-000062000000}"/>
    <hyperlink ref="Y2452" r:id="rId100" xr:uid="{00000000-0004-0000-0100-000063000000}"/>
    <hyperlink ref="Y2453" r:id="rId101" xr:uid="{00000000-0004-0000-0100-000064000000}"/>
    <hyperlink ref="Y2455" r:id="rId102" xr:uid="{00000000-0004-0000-0100-000065000000}"/>
    <hyperlink ref="Y2456" r:id="rId103" xr:uid="{00000000-0004-0000-0100-000066000000}"/>
    <hyperlink ref="Y2461" r:id="rId104" xr:uid="{00000000-0004-0000-0100-000067000000}"/>
    <hyperlink ref="Y2462" r:id="rId105" xr:uid="{00000000-0004-0000-0100-000068000000}"/>
    <hyperlink ref="Y2463" r:id="rId106" xr:uid="{00000000-0004-0000-0100-000069000000}"/>
    <hyperlink ref="Y2464" r:id="rId107" xr:uid="{00000000-0004-0000-0100-00006A000000}"/>
    <hyperlink ref="Y2466" r:id="rId108" xr:uid="{00000000-0004-0000-0100-00006B000000}"/>
    <hyperlink ref="Y2467" r:id="rId109" xr:uid="{00000000-0004-0000-0100-00006C000000}"/>
    <hyperlink ref="Y2468" r:id="rId110" xr:uid="{00000000-0004-0000-0100-00006D000000}"/>
    <hyperlink ref="Y2469" r:id="rId111" xr:uid="{00000000-0004-0000-0100-00006E000000}"/>
    <hyperlink ref="Y2470" r:id="rId112" xr:uid="{00000000-0004-0000-0100-00006F000000}"/>
    <hyperlink ref="Y2471" r:id="rId113" xr:uid="{00000000-0004-0000-0100-000070000000}"/>
    <hyperlink ref="Y2472" r:id="rId114" xr:uid="{00000000-0004-0000-0100-000071000000}"/>
    <hyperlink ref="Y2473" r:id="rId115" xr:uid="{00000000-0004-0000-0100-000072000000}"/>
    <hyperlink ref="Y2474" r:id="rId116" xr:uid="{00000000-0004-0000-0100-000073000000}"/>
    <hyperlink ref="Y2475" r:id="rId117" xr:uid="{00000000-0004-0000-0100-000074000000}"/>
    <hyperlink ref="Y2476" r:id="rId118" xr:uid="{00000000-0004-0000-0100-000075000000}"/>
    <hyperlink ref="Y2480" r:id="rId119" xr:uid="{00000000-0004-0000-0100-000076000000}"/>
    <hyperlink ref="Y2484" r:id="rId120" xr:uid="{00000000-0004-0000-0100-000077000000}"/>
    <hyperlink ref="Y2485" r:id="rId121" xr:uid="{00000000-0004-0000-0100-000078000000}"/>
    <hyperlink ref="Y2486" r:id="rId122" location=":~:text=Western%20Pacific%20Naval%20Symposium%20Diving%20Exercise%202017%20is%20a%20biennial,held%20in%20Singapore%20in%202015." xr:uid="{00000000-0004-0000-0100-000079000000}"/>
    <hyperlink ref="Y2487" r:id="rId123" xr:uid="{00000000-0004-0000-0100-00007A000000}"/>
    <hyperlink ref="Y2489" r:id="rId124" xr:uid="{00000000-0004-0000-0100-00007B000000}"/>
    <hyperlink ref="Y2492" r:id="rId125" xr:uid="{00000000-0004-0000-0100-00007C000000}"/>
    <hyperlink ref="Y2494" r:id="rId126" xr:uid="{00000000-0004-0000-0100-00007D000000}"/>
    <hyperlink ref="Y2497" r:id="rId127" xr:uid="{00000000-0004-0000-0100-00007E000000}"/>
    <hyperlink ref="Y2499" r:id="rId128" xr:uid="{00000000-0004-0000-0100-00007F000000}"/>
    <hyperlink ref="Y2500" r:id="rId129" xr:uid="{00000000-0004-0000-0100-000080000000}"/>
    <hyperlink ref="Y2501" r:id="rId130" xr:uid="{00000000-0004-0000-0100-000081000000}"/>
    <hyperlink ref="Y2503" r:id="rId131" xr:uid="{00000000-0004-0000-0100-000082000000}"/>
    <hyperlink ref="Y2504" r:id="rId132" xr:uid="{00000000-0004-0000-0100-000083000000}"/>
    <hyperlink ref="Y2508" r:id="rId133" xr:uid="{00000000-0004-0000-0100-000084000000}"/>
    <hyperlink ref="Y2510" r:id="rId134" xr:uid="{00000000-0004-0000-0100-000085000000}"/>
    <hyperlink ref="Y2512" r:id="rId135" xr:uid="{00000000-0004-0000-0100-000086000000}"/>
    <hyperlink ref="Y2514" r:id="rId136" xr:uid="{00000000-0004-0000-0100-000087000000}"/>
    <hyperlink ref="Y2516" r:id="rId137" xr:uid="{00000000-0004-0000-0100-000088000000}"/>
    <hyperlink ref="Y2518" r:id="rId138" xr:uid="{00000000-0004-0000-0100-000089000000}"/>
    <hyperlink ref="Y2522" r:id="rId139" xr:uid="{00000000-0004-0000-0100-00008A000000}"/>
    <hyperlink ref="Y2524" r:id="rId140" xr:uid="{00000000-0004-0000-0100-00008B000000}"/>
    <hyperlink ref="Y2525" r:id="rId141" xr:uid="{00000000-0004-0000-0100-00008C000000}"/>
    <hyperlink ref="Y2526" r:id="rId142" xr:uid="{00000000-0004-0000-0100-00008D000000}"/>
    <hyperlink ref="Y2527" r:id="rId143" xr:uid="{00000000-0004-0000-0100-00008E000000}"/>
    <hyperlink ref="Y2529" r:id="rId144" xr:uid="{00000000-0004-0000-0100-00008F000000}"/>
    <hyperlink ref="Y2532" r:id="rId145" xr:uid="{00000000-0004-0000-0100-000090000000}"/>
    <hyperlink ref="Y2534" r:id="rId146" xr:uid="{00000000-0004-0000-0100-000091000000}"/>
    <hyperlink ref="Y2535" r:id="rId147" xr:uid="{00000000-0004-0000-0100-000092000000}"/>
    <hyperlink ref="Y2536" r:id="rId148" display="http://english.chinamil.com.cn/view/2017-08/02/content_7699947.htm" xr:uid="{00000000-0004-0000-0100-000093000000}"/>
    <hyperlink ref="Y2537" r:id="rId149" xr:uid="{00000000-0004-0000-0100-000094000000}"/>
    <hyperlink ref="Y2538" r:id="rId150" display="http://english.chinamil.com.cn/view/2017-08/06/content_7705899.htm" xr:uid="{00000000-0004-0000-0100-000095000000}"/>
    <hyperlink ref="Y2539" r:id="rId151" display="http://english.chinamil.com.cn/view/2017-08/28/content_7733398.htm" xr:uid="{00000000-0004-0000-0100-000096000000}"/>
    <hyperlink ref="Y2542" r:id="rId152" xr:uid="{00000000-0004-0000-0100-000097000000}"/>
    <hyperlink ref="Y2543" r:id="rId153" xr:uid="{00000000-0004-0000-0100-000098000000}"/>
    <hyperlink ref="Y2544" r:id="rId154" xr:uid="{00000000-0004-0000-0100-000099000000}"/>
    <hyperlink ref="Y2546" r:id="rId155" xr:uid="{00000000-0004-0000-0100-00009A000000}"/>
    <hyperlink ref="Y2548" r:id="rId156" xr:uid="{00000000-0004-0000-0100-00009B000000}"/>
    <hyperlink ref="Y2550" r:id="rId157" xr:uid="{00000000-0004-0000-0100-00009C000000}"/>
    <hyperlink ref="Y2554" r:id="rId158" xr:uid="{00000000-0004-0000-0100-00009D000000}"/>
    <hyperlink ref="Y2556" r:id="rId159" display="http://english.chinamil.com.cn/view/2017-09/15/content_7757901.htm" xr:uid="{00000000-0004-0000-0100-00009E000000}"/>
    <hyperlink ref="Y2557" r:id="rId160" xr:uid="{00000000-0004-0000-0100-00009F000000}"/>
    <hyperlink ref="Y2558" r:id="rId161" xr:uid="{00000000-0004-0000-0100-0000A0000000}"/>
    <hyperlink ref="Y2559" r:id="rId162" xr:uid="{00000000-0004-0000-0100-0000A1000000}"/>
    <hyperlink ref="Y2561" r:id="rId163" xr:uid="{00000000-0004-0000-0100-0000A2000000}"/>
    <hyperlink ref="Y2562" r:id="rId164" xr:uid="{00000000-0004-0000-0100-0000A3000000}"/>
    <hyperlink ref="Y2563" r:id="rId165" xr:uid="{00000000-0004-0000-0100-0000A4000000}"/>
    <hyperlink ref="Y2565" r:id="rId166" xr:uid="{00000000-0004-0000-0100-0000A5000000}"/>
    <hyperlink ref="Y2568" r:id="rId167" xr:uid="{00000000-0004-0000-0100-0000A6000000}"/>
    <hyperlink ref="Y2569" r:id="rId168" xr:uid="{00000000-0004-0000-0100-0000A7000000}"/>
    <hyperlink ref="Y2574" r:id="rId169" xr:uid="{00000000-0004-0000-0100-0000A8000000}"/>
    <hyperlink ref="Y2577" r:id="rId170" xr:uid="{00000000-0004-0000-0100-0000A9000000}"/>
    <hyperlink ref="Y2580" r:id="rId171" xr:uid="{00000000-0004-0000-0100-0000AA000000}"/>
    <hyperlink ref="Y2581" r:id="rId172" xr:uid="{00000000-0004-0000-0100-0000AB000000}"/>
    <hyperlink ref="Y2584" r:id="rId173" xr:uid="{00000000-0004-0000-0100-0000AC000000}"/>
    <hyperlink ref="Y2588" r:id="rId174" xr:uid="{00000000-0004-0000-0100-0000AD000000}"/>
    <hyperlink ref="Y2594" r:id="rId175" xr:uid="{00000000-0004-0000-0100-0000AE000000}"/>
    <hyperlink ref="Y2595" r:id="rId176" xr:uid="{00000000-0004-0000-0100-0000AF000000}"/>
    <hyperlink ref="Y2596" r:id="rId177" xr:uid="{00000000-0004-0000-0100-0000B0000000}"/>
    <hyperlink ref="Y2597" r:id="rId178" xr:uid="{00000000-0004-0000-0100-0000B1000000}"/>
    <hyperlink ref="Y2599" r:id="rId179" xr:uid="{00000000-0004-0000-0100-0000B2000000}"/>
    <hyperlink ref="Y2601" r:id="rId180" xr:uid="{00000000-0004-0000-0100-0000B3000000}"/>
    <hyperlink ref="Y2602" r:id="rId181" xr:uid="{00000000-0004-0000-0100-0000B4000000}"/>
    <hyperlink ref="Y2604" r:id="rId182" xr:uid="{00000000-0004-0000-0100-0000B5000000}"/>
    <hyperlink ref="Y2605" r:id="rId183" xr:uid="{00000000-0004-0000-0100-0000B6000000}"/>
    <hyperlink ref="Y2608" r:id="rId184" xr:uid="{00000000-0004-0000-0100-0000B7000000}"/>
    <hyperlink ref="Y2609" r:id="rId185" xr:uid="{00000000-0004-0000-0100-0000B8000000}"/>
    <hyperlink ref="Y2610" r:id="rId186" xr:uid="{00000000-0004-0000-0100-0000B9000000}"/>
    <hyperlink ref="Y2611" r:id="rId187" xr:uid="{00000000-0004-0000-0100-0000BA000000}"/>
    <hyperlink ref="Y2612" r:id="rId188" xr:uid="{00000000-0004-0000-0100-0000BB000000}"/>
    <hyperlink ref="Y2613" r:id="rId189" xr:uid="{00000000-0004-0000-0100-0000BC000000}"/>
    <hyperlink ref="Y2615" r:id="rId190" xr:uid="{00000000-0004-0000-0100-0000BD000000}"/>
    <hyperlink ref="Y2617" r:id="rId191" xr:uid="{00000000-0004-0000-0100-0000BE000000}"/>
    <hyperlink ref="Y2618" r:id="rId192" xr:uid="{00000000-0004-0000-0100-0000BF000000}"/>
    <hyperlink ref="Y2619" r:id="rId193" display="http://english.chinamil.com.cn/view/2017-12/13/content_7865423.htm" xr:uid="{00000000-0004-0000-0100-0000C0000000}"/>
    <hyperlink ref="Y2620" r:id="rId194" xr:uid="{00000000-0004-0000-0100-0000C1000000}"/>
    <hyperlink ref="Y2621" r:id="rId195" xr:uid="{00000000-0004-0000-0100-0000C2000000}"/>
    <hyperlink ref="Y2624" r:id="rId196" xr:uid="{00000000-0004-0000-0100-0000C3000000}"/>
    <hyperlink ref="Y2625" r:id="rId197" xr:uid="{00000000-0004-0000-0100-0000C4000000}"/>
    <hyperlink ref="Y2626" r:id="rId198" xr:uid="{00000000-0004-0000-0100-0000C5000000}"/>
    <hyperlink ref="Y2627" r:id="rId199" xr:uid="{00000000-0004-0000-0100-0000C6000000}"/>
    <hyperlink ref="Y2628" r:id="rId200" xr:uid="{00000000-0004-0000-0100-0000C7000000}"/>
    <hyperlink ref="Y2629" r:id="rId201" xr:uid="{00000000-0004-0000-0100-0000C8000000}"/>
    <hyperlink ref="Y2630" r:id="rId202" xr:uid="{00000000-0004-0000-0100-0000C9000000}"/>
    <hyperlink ref="Y2633" r:id="rId203" xr:uid="{00000000-0004-0000-0100-0000CA000000}"/>
    <hyperlink ref="Y2634" r:id="rId204" xr:uid="{00000000-0004-0000-0100-0000CB000000}"/>
    <hyperlink ref="Y2636" r:id="rId205" xr:uid="{00000000-0004-0000-0100-0000CC000000}"/>
    <hyperlink ref="Y2637" r:id="rId206" xr:uid="{00000000-0004-0000-0100-0000CD000000}"/>
    <hyperlink ref="Y2639" r:id="rId207" xr:uid="{00000000-0004-0000-0100-0000CE000000}"/>
    <hyperlink ref="Y2640" r:id="rId208" xr:uid="{00000000-0004-0000-0100-0000CF000000}"/>
    <hyperlink ref="Y2641" r:id="rId209" xr:uid="{00000000-0004-0000-0100-0000D0000000}"/>
    <hyperlink ref="Y2643" r:id="rId210" xr:uid="{00000000-0004-0000-0100-0000D1000000}"/>
    <hyperlink ref="Y2645" r:id="rId211" xr:uid="{00000000-0004-0000-0100-0000D2000000}"/>
    <hyperlink ref="Y2646" r:id="rId212" xr:uid="{00000000-0004-0000-0100-0000D3000000}"/>
    <hyperlink ref="Y2647" r:id="rId213" xr:uid="{00000000-0004-0000-0100-0000D4000000}"/>
    <hyperlink ref="Y2648" r:id="rId214" xr:uid="{00000000-0004-0000-0100-0000D5000000}"/>
    <hyperlink ref="Y2649" r:id="rId215" xr:uid="{00000000-0004-0000-0100-0000D6000000}"/>
    <hyperlink ref="Y2650" r:id="rId216" xr:uid="{00000000-0004-0000-0100-0000D7000000}"/>
    <hyperlink ref="Y2651" r:id="rId217" xr:uid="{00000000-0004-0000-0100-0000D8000000}"/>
    <hyperlink ref="Y2653" r:id="rId218" xr:uid="{00000000-0004-0000-0100-0000D9000000}"/>
    <hyperlink ref="Y2654" r:id="rId219" xr:uid="{00000000-0004-0000-0100-0000DA000000}"/>
    <hyperlink ref="Y2655" r:id="rId220" xr:uid="{00000000-0004-0000-0100-0000DB000000}"/>
    <hyperlink ref="Y2657" r:id="rId221" xr:uid="{00000000-0004-0000-0100-0000DC000000}"/>
    <hyperlink ref="Y2660" r:id="rId222" xr:uid="{00000000-0004-0000-0100-0000DD000000}"/>
    <hyperlink ref="Y2661" r:id="rId223" xr:uid="{00000000-0004-0000-0100-0000DE000000}"/>
    <hyperlink ref="Y2662" r:id="rId224" xr:uid="{00000000-0004-0000-0100-0000DF000000}"/>
    <hyperlink ref="Y2663" r:id="rId225" xr:uid="{00000000-0004-0000-0100-0000E0000000}"/>
    <hyperlink ref="Y2665" r:id="rId226" xr:uid="{00000000-0004-0000-0100-0000E1000000}"/>
    <hyperlink ref="Y2666" r:id="rId227" xr:uid="{00000000-0004-0000-0100-0000E2000000}"/>
    <hyperlink ref="Y2668" r:id="rId228" xr:uid="{00000000-0004-0000-0100-0000E3000000}"/>
    <hyperlink ref="Y2673" r:id="rId229" xr:uid="{00000000-0004-0000-0100-0000E4000000}"/>
    <hyperlink ref="Y2676" r:id="rId230" xr:uid="{00000000-0004-0000-0100-0000E5000000}"/>
    <hyperlink ref="Y2678" r:id="rId231" xr:uid="{00000000-0004-0000-0100-0000E6000000}"/>
    <hyperlink ref="Y2681" r:id="rId232" xr:uid="{00000000-0004-0000-0100-0000E7000000}"/>
    <hyperlink ref="Y2682" r:id="rId233" xr:uid="{00000000-0004-0000-0100-0000E8000000}"/>
    <hyperlink ref="Y2686" r:id="rId234" xr:uid="{00000000-0004-0000-0100-0000E9000000}"/>
    <hyperlink ref="Y2687" r:id="rId235" xr:uid="{00000000-0004-0000-0100-0000EA000000}"/>
    <hyperlink ref="Y2688" r:id="rId236" xr:uid="{00000000-0004-0000-0100-0000EB000000}"/>
    <hyperlink ref="Y2692" r:id="rId237" xr:uid="{00000000-0004-0000-0100-0000EC000000}"/>
    <hyperlink ref="Y2693" r:id="rId238" xr:uid="{00000000-0004-0000-0100-0000ED000000}"/>
    <hyperlink ref="Y2695" r:id="rId239" xr:uid="{00000000-0004-0000-0100-0000EE000000}"/>
    <hyperlink ref="Y2697" r:id="rId240" xr:uid="{00000000-0004-0000-0100-0000EF000000}"/>
    <hyperlink ref="Y2700" r:id="rId241" xr:uid="{00000000-0004-0000-0100-0000F0000000}"/>
    <hyperlink ref="Y2708" r:id="rId242" xr:uid="{00000000-0004-0000-0100-0000F1000000}"/>
    <hyperlink ref="Y2709" r:id="rId243" xr:uid="{00000000-0004-0000-0100-0000F2000000}"/>
    <hyperlink ref="Y2711" r:id="rId244" xr:uid="{00000000-0004-0000-0100-0000F3000000}"/>
    <hyperlink ref="Y2712" r:id="rId245" xr:uid="{00000000-0004-0000-0100-0000F4000000}"/>
    <hyperlink ref="Y2715" r:id="rId246" xr:uid="{00000000-0004-0000-0100-0000F5000000}"/>
    <hyperlink ref="Y2718" r:id="rId247" xr:uid="{00000000-0004-0000-0100-0000F6000000}"/>
    <hyperlink ref="Y2719" r:id="rId248" xr:uid="{00000000-0004-0000-0100-0000F7000000}"/>
    <hyperlink ref="Y2720" r:id="rId249" xr:uid="{00000000-0004-0000-0100-0000F8000000}"/>
    <hyperlink ref="Y2721" r:id="rId250" xr:uid="{00000000-0004-0000-0100-0000F9000000}"/>
    <hyperlink ref="Y2722" r:id="rId251" xr:uid="{00000000-0004-0000-0100-0000FA000000}"/>
    <hyperlink ref="Y2724" r:id="rId252" xr:uid="{00000000-0004-0000-0100-0000FB000000}"/>
    <hyperlink ref="Y2725" r:id="rId253" xr:uid="{00000000-0004-0000-0100-0000FC000000}"/>
    <hyperlink ref="Y2727" r:id="rId254" xr:uid="{00000000-0004-0000-0100-0000FD000000}"/>
    <hyperlink ref="Y2729" r:id="rId255" xr:uid="{00000000-0004-0000-0100-0000FE000000}"/>
    <hyperlink ref="Y2731" r:id="rId256" xr:uid="{00000000-0004-0000-0100-0000FF000000}"/>
    <hyperlink ref="Y2732" r:id="rId257" xr:uid="{00000000-0004-0000-0100-000000010000}"/>
    <hyperlink ref="Y2734" r:id="rId258" xr:uid="{00000000-0004-0000-0100-000001010000}"/>
    <hyperlink ref="Y2735" r:id="rId259" xr:uid="{00000000-0004-0000-0100-000002010000}"/>
    <hyperlink ref="Y2737" r:id="rId260" xr:uid="{00000000-0004-0000-0100-000003010000}"/>
    <hyperlink ref="Y2738" r:id="rId261" xr:uid="{00000000-0004-0000-0100-000004010000}"/>
    <hyperlink ref="Y2740" r:id="rId262" xr:uid="{00000000-0004-0000-0100-000005010000}"/>
    <hyperlink ref="Y2742" r:id="rId263" xr:uid="{00000000-0004-0000-0100-000006010000}"/>
    <hyperlink ref="Y2746" r:id="rId264" xr:uid="{00000000-0004-0000-0100-000007010000}"/>
    <hyperlink ref="Y2748" r:id="rId265" xr:uid="{00000000-0004-0000-0100-000008010000}"/>
    <hyperlink ref="Y2751" r:id="rId266" xr:uid="{00000000-0004-0000-0100-000009010000}"/>
    <hyperlink ref="Y2753" r:id="rId267" xr:uid="{00000000-0004-0000-0100-00000A010000}"/>
    <hyperlink ref="Y2754" r:id="rId268" xr:uid="{00000000-0004-0000-0100-00000B010000}"/>
    <hyperlink ref="Y2757" r:id="rId269" xr:uid="{00000000-0004-0000-0100-00000C010000}"/>
    <hyperlink ref="Y2769" r:id="rId270" xr:uid="{00000000-0004-0000-0100-00000D010000}"/>
    <hyperlink ref="Y2782" r:id="rId271" xr:uid="{00000000-0004-0000-0100-00000E010000}"/>
    <hyperlink ref="Y2784" r:id="rId272" xr:uid="{00000000-0004-0000-0100-00000F010000}"/>
    <hyperlink ref="Y2785" r:id="rId273" xr:uid="{00000000-0004-0000-0100-000010010000}"/>
    <hyperlink ref="Y2788" r:id="rId274" xr:uid="{00000000-0004-0000-0100-000011010000}"/>
    <hyperlink ref="Y2790" r:id="rId275" xr:uid="{00000000-0004-0000-0100-000012010000}"/>
    <hyperlink ref="Y2804" r:id="rId276" xr:uid="{00000000-0004-0000-0100-000013010000}"/>
    <hyperlink ref="Y2815" r:id="rId277" xr:uid="{00000000-0004-0000-0100-000014010000}"/>
    <hyperlink ref="Y2818" r:id="rId278" xr:uid="{00000000-0004-0000-0100-000015010000}"/>
    <hyperlink ref="Y2820" r:id="rId279" xr:uid="{00000000-0004-0000-0100-000016010000}"/>
    <hyperlink ref="Y2824" r:id="rId280" xr:uid="{00000000-0004-0000-0100-000017010000}"/>
    <hyperlink ref="Y2831" r:id="rId281" xr:uid="{00000000-0004-0000-0100-000018010000}"/>
    <hyperlink ref="Y2836" r:id="rId282" xr:uid="{00000000-0004-0000-0100-000019010000}"/>
    <hyperlink ref="Y2849" r:id="rId283" xr:uid="{00000000-0004-0000-0100-00001A010000}"/>
    <hyperlink ref="Y2859" r:id="rId284" xr:uid="{00000000-0004-0000-0100-00001B010000}"/>
    <hyperlink ref="Y2863" r:id="rId285" xr:uid="{00000000-0004-0000-0100-00001C010000}"/>
    <hyperlink ref="Y2869" r:id="rId286" xr:uid="{00000000-0004-0000-0100-00001D010000}"/>
    <hyperlink ref="Y2872" r:id="rId287" xr:uid="{00000000-0004-0000-0100-00001E010000}"/>
    <hyperlink ref="Y2873" r:id="rId288" xr:uid="{00000000-0004-0000-0100-00001F010000}"/>
    <hyperlink ref="Y2874" r:id="rId289" xr:uid="{00000000-0004-0000-0100-000020010000}"/>
    <hyperlink ref="Y2876" r:id="rId290" xr:uid="{00000000-0004-0000-0100-000021010000}"/>
    <hyperlink ref="Y2880" r:id="rId291" xr:uid="{00000000-0004-0000-0100-000022010000}"/>
    <hyperlink ref="Y2883" r:id="rId292" xr:uid="{00000000-0004-0000-0100-000023010000}"/>
    <hyperlink ref="Y2898" r:id="rId293" xr:uid="{00000000-0004-0000-0100-000024010000}"/>
    <hyperlink ref="Y2899" r:id="rId294" xr:uid="{00000000-0004-0000-0100-000025010000}"/>
    <hyperlink ref="Y2900" r:id="rId295" xr:uid="{00000000-0004-0000-0100-000026010000}"/>
    <hyperlink ref="Y2929" r:id="rId296" xr:uid="{00000000-0004-0000-0100-000027010000}"/>
    <hyperlink ref="Y2930" r:id="rId297" xr:uid="{00000000-0004-0000-0100-000028010000}"/>
    <hyperlink ref="Y2932" r:id="rId298" xr:uid="{00000000-0004-0000-0100-000029010000}"/>
    <hyperlink ref="Y2945" r:id="rId299" xr:uid="{00000000-0004-0000-0100-00002A010000}"/>
    <hyperlink ref="Y2951" r:id="rId300" xr:uid="{00000000-0004-0000-0100-00002B010000}"/>
    <hyperlink ref="Y2953" r:id="rId301" xr:uid="{00000000-0004-0000-0100-00002C010000}"/>
    <hyperlink ref="Y2961" r:id="rId302" xr:uid="{00000000-0004-0000-0100-00002D010000}"/>
    <hyperlink ref="Y2967" r:id="rId303" xr:uid="{00000000-0004-0000-0100-00002E010000}"/>
    <hyperlink ref="Y2977" r:id="rId304" xr:uid="{00000000-0004-0000-0100-00002F010000}"/>
    <hyperlink ref="Y2978" r:id="rId305" xr:uid="{00000000-0004-0000-0100-000030010000}"/>
    <hyperlink ref="T2983" r:id="rId306" xr:uid="{00000000-0004-0000-0100-000031010000}"/>
    <hyperlink ref="Y2995" r:id="rId307" xr:uid="{00000000-0004-0000-0100-000032010000}"/>
    <hyperlink ref="Y3006" r:id="rId308" xr:uid="{00000000-0004-0000-0100-000033010000}"/>
    <hyperlink ref="Y3007" r:id="rId309" xr:uid="{00000000-0004-0000-0100-000034010000}"/>
    <hyperlink ref="Y3008" r:id="rId310" xr:uid="{00000000-0004-0000-0100-000035010000}"/>
    <hyperlink ref="Y3010" r:id="rId311" xr:uid="{00000000-0004-0000-0100-000036010000}"/>
    <hyperlink ref="Y3011" r:id="rId312" xr:uid="{00000000-0004-0000-0100-000037010000}"/>
    <hyperlink ref="Y3013" r:id="rId313" xr:uid="{00000000-0004-0000-0100-000038010000}"/>
    <hyperlink ref="Y3014" r:id="rId314" xr:uid="{00000000-0004-0000-0100-000039010000}"/>
    <hyperlink ref="Y3015" r:id="rId315" xr:uid="{00000000-0004-0000-0100-00003A010000}"/>
    <hyperlink ref="Y3045" r:id="rId316" xr:uid="{00000000-0004-0000-0100-00003B010000}"/>
    <hyperlink ref="Y3042" r:id="rId317" xr:uid="{00000000-0004-0000-0100-00003C010000}"/>
    <hyperlink ref="Y3041" r:id="rId318" xr:uid="{00000000-0004-0000-0100-00003D010000}"/>
    <hyperlink ref="Y3063" r:id="rId319" xr:uid="{00000000-0004-0000-0100-00003E010000}"/>
    <hyperlink ref="Y3068" r:id="rId320" xr:uid="{00000000-0004-0000-0100-00003F010000}"/>
    <hyperlink ref="Y3076" r:id="rId321" xr:uid="{00000000-0004-0000-0100-000040010000}"/>
    <hyperlink ref="Y3079" r:id="rId322" xr:uid="{00000000-0004-0000-0100-000041010000}"/>
    <hyperlink ref="Y3080" r:id="rId323" xr:uid="{00000000-0004-0000-0100-000042010000}"/>
    <hyperlink ref="Y3084" r:id="rId324" xr:uid="{00000000-0004-0000-0100-000043010000}"/>
    <hyperlink ref="Y3087" r:id="rId325" xr:uid="{00000000-0004-0000-0100-000044010000}"/>
    <hyperlink ref="Y3088" r:id="rId326" xr:uid="{00000000-0004-0000-0100-000045010000}"/>
    <hyperlink ref="T3090" r:id="rId327" xr:uid="{00000000-0004-0000-0100-000046010000}"/>
    <hyperlink ref="Y3091" r:id="rId328" xr:uid="{00000000-0004-0000-0100-000047010000}"/>
    <hyperlink ref="Y3093" r:id="rId329" xr:uid="{00000000-0004-0000-0100-000048010000}"/>
    <hyperlink ref="Y3095" r:id="rId330" xr:uid="{00000000-0004-0000-0100-000049010000}"/>
    <hyperlink ref="Y3096" r:id="rId331" xr:uid="{00000000-0004-0000-0100-00004A010000}"/>
    <hyperlink ref="Y3098" r:id="rId332" xr:uid="{00000000-0004-0000-0100-00004B010000}"/>
    <hyperlink ref="Y3100" r:id="rId333" xr:uid="{00000000-0004-0000-0100-00004C010000}"/>
    <hyperlink ref="Y3103" r:id="rId334" xr:uid="{00000000-0004-0000-0100-00004D010000}"/>
    <hyperlink ref="Y3105" r:id="rId335" xr:uid="{00000000-0004-0000-0100-00004E010000}"/>
    <hyperlink ref="Y3106" r:id="rId336" xr:uid="{00000000-0004-0000-0100-00004F010000}"/>
    <hyperlink ref="Y3107" r:id="rId337" xr:uid="{00000000-0004-0000-0100-000050010000}"/>
    <hyperlink ref="Y3108" r:id="rId338" xr:uid="{00000000-0004-0000-0100-000051010000}"/>
    <hyperlink ref="Y3109" r:id="rId339" xr:uid="{00000000-0004-0000-0100-000052010000}"/>
    <hyperlink ref="Y3110" r:id="rId340" xr:uid="{00000000-0004-0000-0100-000053010000}"/>
    <hyperlink ref="Y3111" r:id="rId341" xr:uid="{00000000-0004-0000-0100-000054010000}"/>
    <hyperlink ref="Y3112" r:id="rId342" xr:uid="{00000000-0004-0000-0100-000055010000}"/>
    <hyperlink ref="Y3113" r:id="rId343" xr:uid="{00000000-0004-0000-0100-000056010000}"/>
    <hyperlink ref="Y3115" r:id="rId344" xr:uid="{00000000-0004-0000-0100-000057010000}"/>
    <hyperlink ref="Y3116" r:id="rId345" xr:uid="{00000000-0004-0000-0100-000058010000}"/>
    <hyperlink ref="Y3117" r:id="rId346" xr:uid="{00000000-0004-0000-0100-000059010000}"/>
    <hyperlink ref="Y3118" r:id="rId347" xr:uid="{00000000-0004-0000-0100-00005A010000}"/>
    <hyperlink ref="Y1535" r:id="rId348" xr:uid="{3EC103A5-099A-4F4D-946D-3D17F3EC16B2}"/>
    <hyperlink ref="Y3359" r:id="rId349" xr:uid="{BD022004-338C-423A-89FF-1931FA4CA8EF}"/>
    <hyperlink ref="Y3293" r:id="rId350" xr:uid="{E8F63916-4EA6-4585-A16E-78C89FE57816}"/>
    <hyperlink ref="Y3261" r:id="rId351" xr:uid="{EC1F3377-13D4-4741-B8F6-991CCF35B252}"/>
    <hyperlink ref="Y3357" r:id="rId352" xr:uid="{31934AE0-59AA-4761-88A7-28A216004CD9}"/>
    <hyperlink ref="Y3235" r:id="rId353" display="https://geotvnews.com/china-signed-a-defense-agreement-with-the-maldives-to-provide-military-assistance-the-details-have-not-been-disclosed-geo-tv-news/" xr:uid="{BA84763E-51B9-48CC-B175-5450E3623BBD}"/>
    <hyperlink ref="Y2763" r:id="rId354" display="https://www.ceris.be/blog/nato-china-relations-charting-the-way-forward/" xr:uid="{6075C9C4-24A3-4270-915C-4DACD5A57D2D}"/>
    <hyperlink ref="Y3285" r:id="rId355" xr:uid="{D911D489-6EE5-4473-BE12-04708C4E6D39}"/>
    <hyperlink ref="Y3286" r:id="rId356" xr:uid="{112AEF19-8ACC-41B8-883C-581CE41FE0D2}"/>
    <hyperlink ref="Y3284" r:id="rId357" xr:uid="{D88503B4-E922-43B6-A4CB-77D192600FC5}"/>
    <hyperlink ref="Y3329" r:id="rId358" xr:uid="{61077268-2895-49B4-991A-F619334DE314}"/>
    <hyperlink ref="Y3229" r:id="rId359" xr:uid="{5552853F-0C3A-49E3-B201-660C3D7BE68C}"/>
    <hyperlink ref="Y3342" r:id="rId360" xr:uid="{4A3C96D1-BD8A-4020-B71D-831595A1EC71}"/>
    <hyperlink ref="Y3234" r:id="rId361" xr:uid="{CAC3358D-F3CA-4A87-9F62-6B29253481B3}"/>
    <hyperlink ref="Y3243" r:id="rId362" xr:uid="{77DB4878-34E2-4308-906E-44D7C48A8FEA}"/>
    <hyperlink ref="Y3255" r:id="rId363" xr:uid="{770EBB2B-8340-4F47-9E40-C130AE8BB2A5}"/>
    <hyperlink ref="Y3259" r:id="rId364" xr:uid="{7804E1BD-ADE2-4002-92D3-BDC270A29E06}"/>
    <hyperlink ref="Y3258" r:id="rId365" xr:uid="{9FDB4223-5322-483E-B580-07D1E343A1B7}"/>
    <hyperlink ref="Y3256" r:id="rId366" xr:uid="{32AEA987-8268-4415-95DD-5CFD89DE464E}"/>
    <hyperlink ref="Y3263" r:id="rId367" xr:uid="{0B0E79B9-3CD5-413E-98D2-AF87FBF570AB}"/>
    <hyperlink ref="Y3323" r:id="rId368" display="http://eng.mod.gov.cn/xb/News_213114/TopStories/16338069.html" xr:uid="{3F1389FE-CF86-4EB9-9A81-5FB11ED3FC2D}"/>
    <hyperlink ref="Y3301" r:id="rId369" xr:uid="{BD5B39F9-3992-4FEE-B4EF-F7C73A38B8BB}"/>
    <hyperlink ref="Y3316" r:id="rId370" xr:uid="{51C1F671-7813-4906-B217-3A826F83EA3A}"/>
    <hyperlink ref="Y3214" r:id="rId371" xr:uid="{A8EA7CA7-3D95-4CB3-A57D-1EAC5D0C2E5E}"/>
    <hyperlink ref="Y3205" r:id="rId372" xr:uid="{C3F3B163-F310-49F1-AEE2-348B6BAA9F6C}"/>
    <hyperlink ref="Y3223" r:id="rId373" xr:uid="{DEC40A3A-4669-4466-99F7-39AF8231F374}"/>
    <hyperlink ref="Y3296" r:id="rId374" xr:uid="{7FA2FD97-42CE-4CF1-9904-9149718EF220}"/>
    <hyperlink ref="Y3300" r:id="rId375" xr:uid="{64EB89EE-7117-4B50-9B9D-F823846567DE}"/>
    <hyperlink ref="Y3331" r:id="rId376" display="http://eng.chinamil.com.cn/BILINGUAL/News_209203/16335372.html" xr:uid="{4D6AA62D-44D6-4DA8-840B-65C11C314806}"/>
    <hyperlink ref="Y3236" r:id="rId377" xr:uid="{9DE2E2B0-220C-4D2F-AF99-5DAA5947D05B}"/>
    <hyperlink ref="Y3148" r:id="rId378" xr:uid="{0BD3E5BC-5560-46B6-81EF-919BD01ECEB9}"/>
    <hyperlink ref="Y3170" r:id="rId379" xr:uid="{6C216C93-8153-4626-89F6-7CCB6F824FA2}"/>
    <hyperlink ref="Y3168" r:id="rId380" xr:uid="{184FD300-B544-421F-9BCB-3F0E7AB0A8D2}"/>
    <hyperlink ref="Y3153" r:id="rId381" xr:uid="{24D73897-BE8E-47FB-8D12-4A966A1C22CA}"/>
    <hyperlink ref="Y3289" r:id="rId382" display="http://eng.mod.gov.cn/xb/News_213114/TopStories/16322940.html; " xr:uid="{B0BD2E01-10E1-4BAD-95B2-E6B6FF8B241C}"/>
    <hyperlink ref="Y3299" r:id="rId383" xr:uid="{8243E6E3-E126-4209-8CDC-DD83345DBED0}"/>
    <hyperlink ref="Y3379" r:id="rId384" xr:uid="{C3EFE57C-15A7-42F6-AAD4-98C25D51E90D}"/>
    <hyperlink ref="Y3144" r:id="rId385" display="http://en.people.cn/n3/2023/0517/c90000-20019709.html" xr:uid="{7161387C-354F-441E-87A4-B0B6B3EB17B9}"/>
    <hyperlink ref="Y3281" r:id="rId386" xr:uid="{29FC0FC5-61AE-49C9-B9B7-943ACECB1313}"/>
    <hyperlink ref="Y2607" r:id="rId387" xr:uid="{D31D0F21-342F-4E46-B6AB-F3A4A7F21746}"/>
    <hyperlink ref="Y2528" r:id="rId388" xr:uid="{124CDE64-CC0B-4DC4-9A14-897DCE1DA002}"/>
    <hyperlink ref="Y2564" r:id="rId389" xr:uid="{68900574-AB75-4B6E-9C3D-A87150385D3B}"/>
    <hyperlink ref="Y2593" r:id="rId390" xr:uid="{D86D05DC-AA6E-4E61-9F40-87187F004FE4}"/>
    <hyperlink ref="Y2579" r:id="rId391" xr:uid="{095FAB47-1876-44C6-8622-90C0BFD8B87A}"/>
    <hyperlink ref="Y2702" r:id="rId392" xr:uid="{CE04D7AE-32DA-4102-A746-B0D6CC13CBCB}"/>
    <hyperlink ref="Y3265" r:id="rId393" xr:uid="{70AB0684-A421-4558-BF44-896E1810F8C2}"/>
  </hyperlinks>
  <pageMargins left="0.7" right="0.7" top="0.75" bottom="0.75" header="0" footer="0"/>
  <pageSetup orientation="portrait"/>
  <legacyDrawing r:id="rId39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Y62"/>
  <sheetViews>
    <sheetView topLeftCell="A53" workbookViewId="0">
      <selection activeCell="R60" sqref="R60"/>
    </sheetView>
  </sheetViews>
  <sheetFormatPr defaultColWidth="14.42578125" defaultRowHeight="15" customHeight="1" x14ac:dyDescent="0.25"/>
  <cols>
    <col min="1" max="1" width="23.42578125" customWidth="1"/>
    <col min="2" max="2" width="15.42578125" customWidth="1"/>
    <col min="3" max="24" width="5" customWidth="1"/>
    <col min="25" max="25" width="11.7109375" customWidth="1"/>
    <col min="26" max="26" width="8.7109375" customWidth="1"/>
  </cols>
  <sheetData>
    <row r="1" spans="1:17" hidden="1" x14ac:dyDescent="0.25">
      <c r="A1" s="2" t="s">
        <v>2838</v>
      </c>
    </row>
    <row r="2" spans="1:17" hidden="1" x14ac:dyDescent="0.25">
      <c r="A2" s="3"/>
    </row>
    <row r="3" spans="1:17" hidden="1" x14ac:dyDescent="0.25"/>
    <row r="4" spans="1:17" hidden="1" x14ac:dyDescent="0.25">
      <c r="A4" s="111" t="s">
        <v>2778</v>
      </c>
      <c r="B4" s="111" t="s">
        <v>8</v>
      </c>
      <c r="C4" s="112"/>
      <c r="D4" s="112"/>
      <c r="E4" s="112"/>
      <c r="F4" s="112"/>
      <c r="G4" s="112"/>
      <c r="H4" s="112"/>
      <c r="I4" s="112"/>
      <c r="J4" s="112"/>
      <c r="K4" s="112"/>
      <c r="L4" s="112"/>
      <c r="M4" s="112"/>
      <c r="N4" s="112"/>
      <c r="O4" s="112"/>
      <c r="P4" s="112"/>
      <c r="Q4" s="113"/>
    </row>
    <row r="5" spans="1:17" hidden="1" x14ac:dyDescent="0.25">
      <c r="A5" s="111" t="s">
        <v>1</v>
      </c>
      <c r="B5" s="114">
        <v>2003</v>
      </c>
      <c r="C5" s="115">
        <v>2004</v>
      </c>
      <c r="D5" s="115">
        <v>2005</v>
      </c>
      <c r="E5" s="115">
        <v>2006</v>
      </c>
      <c r="F5" s="115">
        <v>2007</v>
      </c>
      <c r="G5" s="115">
        <v>2008</v>
      </c>
      <c r="H5" s="115">
        <v>2009</v>
      </c>
      <c r="I5" s="115">
        <v>2010</v>
      </c>
      <c r="J5" s="115">
        <v>2011</v>
      </c>
      <c r="K5" s="115">
        <v>2012</v>
      </c>
      <c r="L5" s="115">
        <v>2013</v>
      </c>
      <c r="M5" s="115">
        <v>2014</v>
      </c>
      <c r="N5" s="115">
        <v>2015</v>
      </c>
      <c r="O5" s="115">
        <v>2016</v>
      </c>
      <c r="P5" s="115">
        <v>2017</v>
      </c>
      <c r="Q5" s="125">
        <v>2018</v>
      </c>
    </row>
    <row r="6" spans="1:17" hidden="1" x14ac:dyDescent="0.25">
      <c r="A6" s="114" t="s">
        <v>307</v>
      </c>
      <c r="B6" s="184">
        <v>3</v>
      </c>
      <c r="C6" s="185">
        <v>4</v>
      </c>
      <c r="D6" s="185">
        <v>5</v>
      </c>
      <c r="E6" s="185">
        <v>5</v>
      </c>
      <c r="F6" s="185">
        <v>8</v>
      </c>
      <c r="G6" s="185">
        <v>2</v>
      </c>
      <c r="H6" s="185">
        <v>9</v>
      </c>
      <c r="I6" s="185">
        <v>13</v>
      </c>
      <c r="J6" s="185">
        <v>10</v>
      </c>
      <c r="K6" s="185">
        <v>12</v>
      </c>
      <c r="L6" s="185">
        <v>15</v>
      </c>
      <c r="M6" s="185">
        <v>26</v>
      </c>
      <c r="N6" s="185">
        <v>44</v>
      </c>
      <c r="O6" s="185">
        <v>38</v>
      </c>
      <c r="P6" s="185">
        <v>50</v>
      </c>
      <c r="Q6" s="186">
        <v>39</v>
      </c>
    </row>
    <row r="7" spans="1:17" hidden="1" x14ac:dyDescent="0.25">
      <c r="A7" s="117" t="s">
        <v>26</v>
      </c>
      <c r="B7" s="187">
        <v>4</v>
      </c>
      <c r="C7" s="188">
        <v>1</v>
      </c>
      <c r="D7" s="188">
        <v>4</v>
      </c>
      <c r="E7" s="188">
        <v>3</v>
      </c>
      <c r="F7" s="188">
        <v>6</v>
      </c>
      <c r="G7" s="188">
        <v>1</v>
      </c>
      <c r="H7" s="188">
        <v>18</v>
      </c>
      <c r="I7" s="188">
        <v>31</v>
      </c>
      <c r="J7" s="188">
        <v>22</v>
      </c>
      <c r="K7" s="188">
        <v>17</v>
      </c>
      <c r="L7" s="188">
        <v>39</v>
      </c>
      <c r="M7" s="188">
        <v>39</v>
      </c>
      <c r="N7" s="188">
        <v>39</v>
      </c>
      <c r="O7" s="188">
        <v>23</v>
      </c>
      <c r="P7" s="188">
        <v>50</v>
      </c>
      <c r="Q7" s="189">
        <v>33</v>
      </c>
    </row>
    <row r="8" spans="1:17" hidden="1" x14ac:dyDescent="0.25">
      <c r="A8" s="123" t="s">
        <v>76</v>
      </c>
      <c r="B8" s="190">
        <v>115</v>
      </c>
      <c r="C8" s="191">
        <v>132</v>
      </c>
      <c r="D8" s="191">
        <v>157</v>
      </c>
      <c r="E8" s="191">
        <v>139</v>
      </c>
      <c r="F8" s="191">
        <v>151</v>
      </c>
      <c r="G8" s="191">
        <v>130</v>
      </c>
      <c r="H8" s="191">
        <v>150</v>
      </c>
      <c r="I8" s="191">
        <v>172</v>
      </c>
      <c r="J8" s="191">
        <v>126</v>
      </c>
      <c r="K8" s="191">
        <v>92</v>
      </c>
      <c r="L8" s="191">
        <v>112</v>
      </c>
      <c r="M8" s="191">
        <v>124</v>
      </c>
      <c r="N8" s="191">
        <v>129</v>
      </c>
      <c r="O8" s="191">
        <v>104</v>
      </c>
      <c r="P8" s="191">
        <v>89</v>
      </c>
      <c r="Q8" s="192">
        <v>104</v>
      </c>
    </row>
    <row r="27" spans="1:18" ht="15.75" hidden="1" customHeight="1" x14ac:dyDescent="0.25">
      <c r="A27" s="2" t="s">
        <v>2839</v>
      </c>
    </row>
    <row r="28" spans="1:18" ht="15.75" hidden="1" customHeight="1" x14ac:dyDescent="0.25"/>
    <row r="29" spans="1:18" ht="15.75" hidden="1" customHeight="1" x14ac:dyDescent="0.25">
      <c r="A29" s="3"/>
    </row>
    <row r="30" spans="1:18" ht="15.75" hidden="1" customHeight="1" x14ac:dyDescent="0.25"/>
    <row r="31" spans="1:18" ht="15.75" hidden="1" customHeight="1" x14ac:dyDescent="0.25">
      <c r="A31" s="111" t="s">
        <v>2778</v>
      </c>
      <c r="B31" s="111" t="s">
        <v>8</v>
      </c>
      <c r="C31" s="112"/>
      <c r="D31" s="112"/>
      <c r="E31" s="112"/>
      <c r="F31" s="112"/>
      <c r="G31" s="112"/>
      <c r="H31" s="112"/>
      <c r="I31" s="112"/>
      <c r="J31" s="112"/>
      <c r="K31" s="112"/>
      <c r="L31" s="112"/>
      <c r="M31" s="112"/>
      <c r="N31" s="112"/>
      <c r="O31" s="112"/>
      <c r="P31" s="112"/>
      <c r="Q31" s="112"/>
      <c r="R31" s="113"/>
    </row>
    <row r="32" spans="1:18" ht="15.75" hidden="1" customHeight="1" x14ac:dyDescent="0.25">
      <c r="A32" s="111" t="s">
        <v>1</v>
      </c>
      <c r="B32" s="114">
        <v>2003</v>
      </c>
      <c r="C32" s="115">
        <v>2004</v>
      </c>
      <c r="D32" s="115">
        <v>2005</v>
      </c>
      <c r="E32" s="115">
        <v>2006</v>
      </c>
      <c r="F32" s="115">
        <v>2007</v>
      </c>
      <c r="G32" s="115">
        <v>2008</v>
      </c>
      <c r="H32" s="115">
        <v>2009</v>
      </c>
      <c r="I32" s="115">
        <v>2010</v>
      </c>
      <c r="J32" s="115">
        <v>2011</v>
      </c>
      <c r="K32" s="115">
        <v>2012</v>
      </c>
      <c r="L32" s="115">
        <v>2013</v>
      </c>
      <c r="M32" s="115">
        <v>2014</v>
      </c>
      <c r="N32" s="115">
        <v>2015</v>
      </c>
      <c r="O32" s="115">
        <v>2016</v>
      </c>
      <c r="P32" s="115">
        <v>2017</v>
      </c>
      <c r="Q32" s="115">
        <v>2018</v>
      </c>
      <c r="R32" s="125">
        <v>2019</v>
      </c>
    </row>
    <row r="33" spans="1:18" ht="15.75" hidden="1" customHeight="1" x14ac:dyDescent="0.25">
      <c r="A33" s="114" t="s">
        <v>307</v>
      </c>
      <c r="B33" s="184">
        <v>3</v>
      </c>
      <c r="C33" s="185">
        <v>4</v>
      </c>
      <c r="D33" s="185">
        <v>5</v>
      </c>
      <c r="E33" s="185">
        <v>5</v>
      </c>
      <c r="F33" s="185">
        <v>8</v>
      </c>
      <c r="G33" s="185">
        <v>2</v>
      </c>
      <c r="H33" s="185">
        <v>9</v>
      </c>
      <c r="I33" s="185">
        <v>13</v>
      </c>
      <c r="J33" s="185">
        <v>10</v>
      </c>
      <c r="K33" s="185">
        <v>12</v>
      </c>
      <c r="L33" s="185">
        <v>15</v>
      </c>
      <c r="M33" s="185">
        <v>26</v>
      </c>
      <c r="N33" s="185">
        <v>44</v>
      </c>
      <c r="O33" s="185">
        <v>38</v>
      </c>
      <c r="P33" s="185">
        <v>50</v>
      </c>
      <c r="Q33" s="185">
        <v>39</v>
      </c>
      <c r="R33" s="186">
        <v>42</v>
      </c>
    </row>
    <row r="34" spans="1:18" ht="15.75" hidden="1" customHeight="1" x14ac:dyDescent="0.25">
      <c r="A34" s="117" t="s">
        <v>26</v>
      </c>
      <c r="B34" s="187">
        <v>4</v>
      </c>
      <c r="C34" s="188">
        <v>1</v>
      </c>
      <c r="D34" s="188">
        <v>4</v>
      </c>
      <c r="E34" s="188">
        <v>3</v>
      </c>
      <c r="F34" s="188">
        <v>6</v>
      </c>
      <c r="G34" s="188">
        <v>1</v>
      </c>
      <c r="H34" s="188">
        <v>18</v>
      </c>
      <c r="I34" s="188">
        <v>31</v>
      </c>
      <c r="J34" s="188">
        <v>22</v>
      </c>
      <c r="K34" s="188">
        <v>17</v>
      </c>
      <c r="L34" s="188">
        <v>39</v>
      </c>
      <c r="M34" s="188">
        <v>39</v>
      </c>
      <c r="N34" s="188">
        <v>39</v>
      </c>
      <c r="O34" s="188">
        <v>23</v>
      </c>
      <c r="P34" s="188">
        <v>50</v>
      </c>
      <c r="Q34" s="188">
        <v>33</v>
      </c>
      <c r="R34" s="189">
        <v>22</v>
      </c>
    </row>
    <row r="35" spans="1:18" ht="15.75" hidden="1" customHeight="1" x14ac:dyDescent="0.25">
      <c r="A35" s="123" t="s">
        <v>76</v>
      </c>
      <c r="B35" s="190">
        <v>115</v>
      </c>
      <c r="C35" s="191">
        <v>132</v>
      </c>
      <c r="D35" s="191">
        <v>157</v>
      </c>
      <c r="E35" s="191">
        <v>139</v>
      </c>
      <c r="F35" s="191">
        <v>151</v>
      </c>
      <c r="G35" s="191">
        <v>130</v>
      </c>
      <c r="H35" s="191">
        <v>150</v>
      </c>
      <c r="I35" s="191">
        <v>172</v>
      </c>
      <c r="J35" s="191">
        <v>126</v>
      </c>
      <c r="K35" s="191">
        <v>92</v>
      </c>
      <c r="L35" s="191">
        <v>112</v>
      </c>
      <c r="M35" s="191">
        <v>124</v>
      </c>
      <c r="N35" s="191">
        <v>129</v>
      </c>
      <c r="O35" s="191">
        <v>104</v>
      </c>
      <c r="P35" s="191">
        <v>89</v>
      </c>
      <c r="Q35" s="191">
        <v>104</v>
      </c>
      <c r="R35" s="192">
        <v>105</v>
      </c>
    </row>
    <row r="53" spans="1:25" ht="15.75" customHeight="1" x14ac:dyDescent="0.25">
      <c r="A53" s="12" t="s">
        <v>3121</v>
      </c>
    </row>
    <row r="54" spans="1:25" ht="15.75" customHeight="1" x14ac:dyDescent="0.25"/>
    <row r="55" spans="1:25" x14ac:dyDescent="0.25">
      <c r="A55" s="120" t="s">
        <v>6</v>
      </c>
      <c r="B55" s="119" t="s">
        <v>199</v>
      </c>
    </row>
    <row r="56" spans="1:25" ht="15.75" customHeight="1" x14ac:dyDescent="0.25"/>
    <row r="57" spans="1:25" ht="15.75" customHeight="1" x14ac:dyDescent="0.25">
      <c r="A57" s="111" t="s">
        <v>2778</v>
      </c>
      <c r="B57" s="111" t="s">
        <v>8</v>
      </c>
      <c r="C57" s="112"/>
      <c r="D57" s="112"/>
      <c r="E57" s="112"/>
      <c r="F57" s="112"/>
      <c r="G57" s="112"/>
      <c r="H57" s="112"/>
      <c r="I57" s="112"/>
      <c r="J57" s="112"/>
      <c r="K57" s="112"/>
      <c r="L57" s="112"/>
      <c r="M57" s="112"/>
      <c r="N57" s="112"/>
      <c r="O57" s="112"/>
      <c r="P57" s="112"/>
      <c r="Q57" s="112"/>
      <c r="R57" s="112"/>
      <c r="S57" s="112"/>
      <c r="T57" s="112"/>
      <c r="U57" s="112"/>
      <c r="V57" s="112"/>
      <c r="W57" s="112"/>
      <c r="X57" s="112"/>
      <c r="Y57" s="113"/>
    </row>
    <row r="58" spans="1:25" x14ac:dyDescent="0.25">
      <c r="A58" s="111" t="s">
        <v>1</v>
      </c>
      <c r="B58" s="114">
        <v>2002</v>
      </c>
      <c r="C58" s="115">
        <v>2003</v>
      </c>
      <c r="D58" s="115">
        <v>2004</v>
      </c>
      <c r="E58" s="115">
        <v>2005</v>
      </c>
      <c r="F58" s="115">
        <v>2006</v>
      </c>
      <c r="G58" s="115">
        <v>2007</v>
      </c>
      <c r="H58" s="115">
        <v>2008</v>
      </c>
      <c r="I58" s="115">
        <v>2009</v>
      </c>
      <c r="J58" s="115">
        <v>2010</v>
      </c>
      <c r="K58" s="115">
        <v>2011</v>
      </c>
      <c r="L58" s="115">
        <v>2012</v>
      </c>
      <c r="M58" s="115">
        <v>2013</v>
      </c>
      <c r="N58" s="115">
        <v>2014</v>
      </c>
      <c r="O58" s="115">
        <v>2015</v>
      </c>
      <c r="P58" s="115">
        <v>2016</v>
      </c>
      <c r="Q58" s="115">
        <v>2017</v>
      </c>
      <c r="R58" s="115">
        <v>2018</v>
      </c>
      <c r="S58" s="115">
        <v>2019</v>
      </c>
      <c r="T58" s="115">
        <v>2020</v>
      </c>
      <c r="U58" s="115">
        <v>2021</v>
      </c>
      <c r="V58" s="115">
        <v>2022</v>
      </c>
      <c r="W58" s="115">
        <v>2023</v>
      </c>
      <c r="X58" s="115">
        <v>2024</v>
      </c>
      <c r="Y58" s="122" t="s">
        <v>2779</v>
      </c>
    </row>
    <row r="59" spans="1:25" x14ac:dyDescent="0.25">
      <c r="A59" s="114" t="s">
        <v>307</v>
      </c>
      <c r="B59" s="184">
        <v>0</v>
      </c>
      <c r="C59" s="185">
        <v>0</v>
      </c>
      <c r="D59" s="185">
        <v>0</v>
      </c>
      <c r="E59" s="185">
        <v>0</v>
      </c>
      <c r="F59" s="185">
        <v>0</v>
      </c>
      <c r="G59" s="185">
        <v>0</v>
      </c>
      <c r="H59" s="185">
        <v>0</v>
      </c>
      <c r="I59" s="185">
        <v>0</v>
      </c>
      <c r="J59" s="185">
        <v>1</v>
      </c>
      <c r="K59" s="185">
        <v>1</v>
      </c>
      <c r="L59" s="185">
        <v>1</v>
      </c>
      <c r="M59" s="185">
        <v>0</v>
      </c>
      <c r="N59" s="185">
        <v>0</v>
      </c>
      <c r="O59" s="185">
        <v>0</v>
      </c>
      <c r="P59" s="185">
        <v>1</v>
      </c>
      <c r="Q59" s="185">
        <v>0</v>
      </c>
      <c r="R59" s="185">
        <v>1</v>
      </c>
      <c r="S59" s="185">
        <v>0</v>
      </c>
      <c r="T59" s="185">
        <v>0</v>
      </c>
      <c r="U59" s="185">
        <v>0</v>
      </c>
      <c r="V59" s="185">
        <v>0</v>
      </c>
      <c r="W59" s="185">
        <v>0</v>
      </c>
      <c r="X59" s="185">
        <v>1</v>
      </c>
      <c r="Y59" s="199">
        <v>6</v>
      </c>
    </row>
    <row r="60" spans="1:25" x14ac:dyDescent="0.25">
      <c r="A60" s="117" t="s">
        <v>26</v>
      </c>
      <c r="B60" s="187">
        <v>3</v>
      </c>
      <c r="C60" s="188">
        <v>0</v>
      </c>
      <c r="D60" s="188">
        <v>0</v>
      </c>
      <c r="E60" s="188">
        <v>0</v>
      </c>
      <c r="F60" s="188">
        <v>0</v>
      </c>
      <c r="G60" s="188">
        <v>0</v>
      </c>
      <c r="H60" s="188">
        <v>0</v>
      </c>
      <c r="I60" s="188">
        <v>3</v>
      </c>
      <c r="J60" s="188">
        <v>0</v>
      </c>
      <c r="K60" s="188">
        <v>4</v>
      </c>
      <c r="L60" s="188">
        <v>0</v>
      </c>
      <c r="M60" s="188">
        <v>3</v>
      </c>
      <c r="N60" s="188">
        <v>0</v>
      </c>
      <c r="O60" s="188">
        <v>6</v>
      </c>
      <c r="P60" s="188">
        <v>0</v>
      </c>
      <c r="Q60" s="188">
        <v>0</v>
      </c>
      <c r="R60" s="188">
        <v>7</v>
      </c>
      <c r="S60" s="188">
        <v>0</v>
      </c>
      <c r="T60" s="188">
        <v>0</v>
      </c>
      <c r="U60" s="188">
        <v>0</v>
      </c>
      <c r="V60" s="188">
        <v>0</v>
      </c>
      <c r="W60" s="188">
        <v>0</v>
      </c>
      <c r="X60" s="188">
        <v>0</v>
      </c>
      <c r="Y60" s="200">
        <v>26</v>
      </c>
    </row>
    <row r="61" spans="1:25" x14ac:dyDescent="0.25">
      <c r="A61" s="117" t="s">
        <v>76</v>
      </c>
      <c r="B61" s="187">
        <v>10</v>
      </c>
      <c r="C61" s="188">
        <v>11</v>
      </c>
      <c r="D61" s="188">
        <v>16</v>
      </c>
      <c r="E61" s="188">
        <v>20</v>
      </c>
      <c r="F61" s="188">
        <v>17</v>
      </c>
      <c r="G61" s="188">
        <v>21</v>
      </c>
      <c r="H61" s="188">
        <v>15</v>
      </c>
      <c r="I61" s="188">
        <v>12</v>
      </c>
      <c r="J61" s="188">
        <v>19</v>
      </c>
      <c r="K61" s="188">
        <v>10</v>
      </c>
      <c r="L61" s="188">
        <v>5</v>
      </c>
      <c r="M61" s="188">
        <v>6</v>
      </c>
      <c r="N61" s="188">
        <v>8</v>
      </c>
      <c r="O61" s="188">
        <v>10</v>
      </c>
      <c r="P61" s="188">
        <v>4</v>
      </c>
      <c r="Q61" s="188">
        <v>3</v>
      </c>
      <c r="R61" s="188">
        <v>6</v>
      </c>
      <c r="S61" s="188">
        <v>8</v>
      </c>
      <c r="T61" s="188">
        <v>0</v>
      </c>
      <c r="U61" s="188">
        <v>1</v>
      </c>
      <c r="V61" s="188">
        <v>1</v>
      </c>
      <c r="W61" s="188">
        <v>2</v>
      </c>
      <c r="X61" s="188">
        <v>4</v>
      </c>
      <c r="Y61" s="200">
        <v>209</v>
      </c>
    </row>
    <row r="62" spans="1:25" x14ac:dyDescent="0.25">
      <c r="A62" s="121" t="s">
        <v>2779</v>
      </c>
      <c r="B62" s="196">
        <v>13</v>
      </c>
      <c r="C62" s="197">
        <v>11</v>
      </c>
      <c r="D62" s="197">
        <v>16</v>
      </c>
      <c r="E62" s="197">
        <v>20</v>
      </c>
      <c r="F62" s="197">
        <v>17</v>
      </c>
      <c r="G62" s="197">
        <v>21</v>
      </c>
      <c r="H62" s="197">
        <v>15</v>
      </c>
      <c r="I62" s="197">
        <v>15</v>
      </c>
      <c r="J62" s="197">
        <v>20</v>
      </c>
      <c r="K62" s="197">
        <v>15</v>
      </c>
      <c r="L62" s="197">
        <v>6</v>
      </c>
      <c r="M62" s="197">
        <v>9</v>
      </c>
      <c r="N62" s="197">
        <v>8</v>
      </c>
      <c r="O62" s="197">
        <v>16</v>
      </c>
      <c r="P62" s="197">
        <v>5</v>
      </c>
      <c r="Q62" s="197">
        <v>3</v>
      </c>
      <c r="R62" s="197">
        <v>14</v>
      </c>
      <c r="S62" s="197">
        <v>8</v>
      </c>
      <c r="T62" s="197">
        <v>0</v>
      </c>
      <c r="U62" s="197">
        <v>1</v>
      </c>
      <c r="V62" s="197">
        <v>1</v>
      </c>
      <c r="W62" s="197">
        <v>2</v>
      </c>
      <c r="X62" s="197">
        <v>5</v>
      </c>
      <c r="Y62" s="198">
        <v>241</v>
      </c>
    </row>
  </sheetData>
  <pageMargins left="0.7" right="0.7" top="0.75" bottom="0.75" header="0" footer="0"/>
  <pageSetup orientation="portrait"/>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6:Y66"/>
  <sheetViews>
    <sheetView topLeftCell="A58" workbookViewId="0">
      <selection activeCell="N83" sqref="N83"/>
    </sheetView>
  </sheetViews>
  <sheetFormatPr defaultColWidth="14.42578125" defaultRowHeight="15" customHeight="1" x14ac:dyDescent="0.25"/>
  <cols>
    <col min="1" max="1" width="23.42578125" customWidth="1"/>
    <col min="2" max="2" width="15.42578125" customWidth="1"/>
    <col min="3" max="24" width="5" customWidth="1"/>
    <col min="25" max="26" width="8.7109375" customWidth="1"/>
  </cols>
  <sheetData>
    <row r="6" spans="1:17" hidden="1" x14ac:dyDescent="0.25">
      <c r="A6" s="2" t="s">
        <v>2840</v>
      </c>
    </row>
    <row r="7" spans="1:17" hidden="1" x14ac:dyDescent="0.25"/>
    <row r="8" spans="1:17" hidden="1" x14ac:dyDescent="0.25">
      <c r="A8" s="3"/>
    </row>
    <row r="9" spans="1:17" hidden="1" x14ac:dyDescent="0.25">
      <c r="A9" s="120" t="s">
        <v>10</v>
      </c>
      <c r="B9" s="119" t="s">
        <v>2827</v>
      </c>
    </row>
    <row r="10" spans="1:17" hidden="1" x14ac:dyDescent="0.25"/>
    <row r="11" spans="1:17" hidden="1" x14ac:dyDescent="0.25">
      <c r="A11" s="111" t="s">
        <v>2778</v>
      </c>
      <c r="B11" s="111" t="s">
        <v>8</v>
      </c>
      <c r="C11" s="112"/>
      <c r="D11" s="112"/>
      <c r="E11" s="112"/>
      <c r="F11" s="112"/>
      <c r="G11" s="112"/>
      <c r="H11" s="112"/>
      <c r="I11" s="112"/>
      <c r="J11" s="112"/>
      <c r="K11" s="112"/>
      <c r="L11" s="112"/>
      <c r="M11" s="112"/>
      <c r="N11" s="112"/>
      <c r="O11" s="112"/>
      <c r="P11" s="112"/>
      <c r="Q11" s="113"/>
    </row>
    <row r="12" spans="1:17" hidden="1" x14ac:dyDescent="0.25">
      <c r="A12" s="111" t="s">
        <v>15</v>
      </c>
      <c r="B12" s="114">
        <v>2003</v>
      </c>
      <c r="C12" s="115">
        <v>2004</v>
      </c>
      <c r="D12" s="115">
        <v>2005</v>
      </c>
      <c r="E12" s="115">
        <v>2006</v>
      </c>
      <c r="F12" s="115">
        <v>2007</v>
      </c>
      <c r="G12" s="115">
        <v>2008</v>
      </c>
      <c r="H12" s="115">
        <v>2009</v>
      </c>
      <c r="I12" s="115">
        <v>2010</v>
      </c>
      <c r="J12" s="115">
        <v>2011</v>
      </c>
      <c r="K12" s="115">
        <v>2012</v>
      </c>
      <c r="L12" s="115">
        <v>2013</v>
      </c>
      <c r="M12" s="115">
        <v>2014</v>
      </c>
      <c r="N12" s="115">
        <v>2015</v>
      </c>
      <c r="O12" s="115">
        <v>2016</v>
      </c>
      <c r="P12" s="115">
        <v>2017</v>
      </c>
      <c r="Q12" s="125">
        <v>2018</v>
      </c>
    </row>
    <row r="13" spans="1:17" hidden="1" x14ac:dyDescent="0.25">
      <c r="A13" s="114" t="s">
        <v>83</v>
      </c>
      <c r="B13" s="184">
        <v>61</v>
      </c>
      <c r="C13" s="185">
        <v>63</v>
      </c>
      <c r="D13" s="185">
        <v>65</v>
      </c>
      <c r="E13" s="185">
        <v>76</v>
      </c>
      <c r="F13" s="185">
        <v>78</v>
      </c>
      <c r="G13" s="185">
        <v>72</v>
      </c>
      <c r="H13" s="185">
        <v>81</v>
      </c>
      <c r="I13" s="185">
        <v>94</v>
      </c>
      <c r="J13" s="185">
        <v>56</v>
      </c>
      <c r="K13" s="185">
        <v>27</v>
      </c>
      <c r="L13" s="185">
        <v>34</v>
      </c>
      <c r="M13" s="185">
        <v>40</v>
      </c>
      <c r="N13" s="185">
        <v>53</v>
      </c>
      <c r="O13" s="185">
        <v>41</v>
      </c>
      <c r="P13" s="185">
        <v>32</v>
      </c>
      <c r="Q13" s="186">
        <v>36</v>
      </c>
    </row>
    <row r="14" spans="1:17" hidden="1" x14ac:dyDescent="0.25">
      <c r="A14" s="123" t="s">
        <v>101</v>
      </c>
      <c r="B14" s="190">
        <v>54</v>
      </c>
      <c r="C14" s="191">
        <v>69</v>
      </c>
      <c r="D14" s="191">
        <v>92</v>
      </c>
      <c r="E14" s="191">
        <v>63</v>
      </c>
      <c r="F14" s="191">
        <v>73</v>
      </c>
      <c r="G14" s="191">
        <v>58</v>
      </c>
      <c r="H14" s="191">
        <v>69</v>
      </c>
      <c r="I14" s="191">
        <v>78</v>
      </c>
      <c r="J14" s="191">
        <v>70</v>
      </c>
      <c r="K14" s="191">
        <v>65</v>
      </c>
      <c r="L14" s="191">
        <v>78</v>
      </c>
      <c r="M14" s="191">
        <v>84</v>
      </c>
      <c r="N14" s="191">
        <v>76</v>
      </c>
      <c r="O14" s="191">
        <v>63</v>
      </c>
      <c r="P14" s="191">
        <v>57</v>
      </c>
      <c r="Q14" s="192">
        <v>68</v>
      </c>
    </row>
    <row r="32" spans="1:1" ht="15.75" hidden="1" customHeight="1" x14ac:dyDescent="0.25">
      <c r="A32" s="2" t="s">
        <v>2841</v>
      </c>
    </row>
    <row r="34" spans="1:18" hidden="1" x14ac:dyDescent="0.25">
      <c r="A34" s="120" t="s">
        <v>10</v>
      </c>
      <c r="B34" s="119" t="s">
        <v>2827</v>
      </c>
    </row>
    <row r="35" spans="1:18" ht="15.75" hidden="1" customHeight="1" x14ac:dyDescent="0.25"/>
    <row r="36" spans="1:18" ht="15.75" hidden="1" customHeight="1" x14ac:dyDescent="0.25">
      <c r="A36" s="111" t="s">
        <v>2778</v>
      </c>
      <c r="B36" s="111" t="s">
        <v>8</v>
      </c>
      <c r="C36" s="112"/>
      <c r="D36" s="112"/>
      <c r="E36" s="112"/>
      <c r="F36" s="112"/>
      <c r="G36" s="112"/>
      <c r="H36" s="112"/>
      <c r="I36" s="112"/>
      <c r="J36" s="112"/>
      <c r="K36" s="112"/>
      <c r="L36" s="112"/>
      <c r="M36" s="112"/>
      <c r="N36" s="112"/>
      <c r="O36" s="112"/>
      <c r="P36" s="112"/>
      <c r="Q36" s="112"/>
      <c r="R36" s="113"/>
    </row>
    <row r="37" spans="1:18" ht="15.75" hidden="1" customHeight="1" x14ac:dyDescent="0.25">
      <c r="A37" s="111" t="s">
        <v>15</v>
      </c>
      <c r="B37" s="114">
        <v>2003</v>
      </c>
      <c r="C37" s="115">
        <v>2004</v>
      </c>
      <c r="D37" s="115">
        <v>2005</v>
      </c>
      <c r="E37" s="115">
        <v>2006</v>
      </c>
      <c r="F37" s="115">
        <v>2007</v>
      </c>
      <c r="G37" s="115">
        <v>2008</v>
      </c>
      <c r="H37" s="115">
        <v>2009</v>
      </c>
      <c r="I37" s="115">
        <v>2010</v>
      </c>
      <c r="J37" s="115">
        <v>2011</v>
      </c>
      <c r="K37" s="115">
        <v>2012</v>
      </c>
      <c r="L37" s="115">
        <v>2013</v>
      </c>
      <c r="M37" s="115">
        <v>2014</v>
      </c>
      <c r="N37" s="115">
        <v>2015</v>
      </c>
      <c r="O37" s="115">
        <v>2016</v>
      </c>
      <c r="P37" s="115">
        <v>2017</v>
      </c>
      <c r="Q37" s="115">
        <v>2018</v>
      </c>
      <c r="R37" s="125">
        <v>2019</v>
      </c>
    </row>
    <row r="38" spans="1:18" ht="15.75" hidden="1" customHeight="1" x14ac:dyDescent="0.25">
      <c r="A38" s="114" t="s">
        <v>83</v>
      </c>
      <c r="B38" s="184">
        <v>61</v>
      </c>
      <c r="C38" s="185">
        <v>63</v>
      </c>
      <c r="D38" s="185">
        <v>65</v>
      </c>
      <c r="E38" s="185">
        <v>76</v>
      </c>
      <c r="F38" s="185">
        <v>78</v>
      </c>
      <c r="G38" s="185">
        <v>72</v>
      </c>
      <c r="H38" s="185">
        <v>81</v>
      </c>
      <c r="I38" s="185">
        <v>94</v>
      </c>
      <c r="J38" s="185">
        <v>56</v>
      </c>
      <c r="K38" s="185">
        <v>27</v>
      </c>
      <c r="L38" s="185">
        <v>34</v>
      </c>
      <c r="M38" s="185">
        <v>40</v>
      </c>
      <c r="N38" s="185">
        <v>53</v>
      </c>
      <c r="O38" s="185">
        <v>41</v>
      </c>
      <c r="P38" s="185">
        <v>32</v>
      </c>
      <c r="Q38" s="185">
        <v>36</v>
      </c>
      <c r="R38" s="186">
        <v>42</v>
      </c>
    </row>
    <row r="39" spans="1:18" ht="15.75" hidden="1" customHeight="1" x14ac:dyDescent="0.25">
      <c r="A39" s="123" t="s">
        <v>101</v>
      </c>
      <c r="B39" s="190">
        <v>54</v>
      </c>
      <c r="C39" s="191">
        <v>69</v>
      </c>
      <c r="D39" s="191">
        <v>92</v>
      </c>
      <c r="E39" s="191">
        <v>63</v>
      </c>
      <c r="F39" s="191">
        <v>73</v>
      </c>
      <c r="G39" s="191">
        <v>58</v>
      </c>
      <c r="H39" s="191">
        <v>69</v>
      </c>
      <c r="I39" s="191">
        <v>78</v>
      </c>
      <c r="J39" s="191">
        <v>70</v>
      </c>
      <c r="K39" s="191">
        <v>65</v>
      </c>
      <c r="L39" s="191">
        <v>78</v>
      </c>
      <c r="M39" s="191">
        <v>84</v>
      </c>
      <c r="N39" s="191">
        <v>76</v>
      </c>
      <c r="O39" s="191">
        <v>63</v>
      </c>
      <c r="P39" s="191">
        <v>57</v>
      </c>
      <c r="Q39" s="191">
        <v>68</v>
      </c>
      <c r="R39" s="192">
        <v>63</v>
      </c>
    </row>
    <row r="58" spans="1:25" ht="15.75" customHeight="1" x14ac:dyDescent="0.25">
      <c r="A58" s="12" t="s">
        <v>3122</v>
      </c>
    </row>
    <row r="59" spans="1:25" x14ac:dyDescent="0.25">
      <c r="A59" s="120" t="s">
        <v>6</v>
      </c>
      <c r="B59" s="119" t="s">
        <v>199</v>
      </c>
    </row>
    <row r="60" spans="1:25" x14ac:dyDescent="0.25">
      <c r="A60" s="120" t="s">
        <v>10</v>
      </c>
      <c r="B60" s="119" t="s">
        <v>2827</v>
      </c>
    </row>
    <row r="61" spans="1:25" ht="15.75" customHeight="1" x14ac:dyDescent="0.25"/>
    <row r="62" spans="1:25" ht="15.75" customHeight="1" x14ac:dyDescent="0.25">
      <c r="A62" s="111" t="s">
        <v>2778</v>
      </c>
      <c r="B62" s="111" t="s">
        <v>8</v>
      </c>
      <c r="C62" s="112"/>
      <c r="D62" s="112"/>
      <c r="E62" s="112"/>
      <c r="F62" s="112"/>
      <c r="G62" s="112"/>
      <c r="H62" s="112"/>
      <c r="I62" s="112"/>
      <c r="J62" s="112"/>
      <c r="K62" s="112"/>
      <c r="L62" s="112"/>
      <c r="M62" s="112"/>
      <c r="N62" s="112"/>
      <c r="O62" s="112"/>
      <c r="P62" s="112"/>
      <c r="Q62" s="112"/>
      <c r="R62" s="112"/>
      <c r="S62" s="112"/>
      <c r="T62" s="112"/>
      <c r="U62" s="112"/>
      <c r="V62" s="112"/>
      <c r="W62" s="112"/>
      <c r="X62" s="112"/>
      <c r="Y62" s="113"/>
    </row>
    <row r="63" spans="1:25" x14ac:dyDescent="0.25">
      <c r="A63" s="111" t="s">
        <v>15</v>
      </c>
      <c r="B63" s="114">
        <v>2002</v>
      </c>
      <c r="C63" s="115">
        <v>2003</v>
      </c>
      <c r="D63" s="115">
        <v>2004</v>
      </c>
      <c r="E63" s="115">
        <v>2005</v>
      </c>
      <c r="F63" s="115">
        <v>2006</v>
      </c>
      <c r="G63" s="115">
        <v>2007</v>
      </c>
      <c r="H63" s="115">
        <v>2008</v>
      </c>
      <c r="I63" s="115">
        <v>2009</v>
      </c>
      <c r="J63" s="115">
        <v>2010</v>
      </c>
      <c r="K63" s="115">
        <v>2011</v>
      </c>
      <c r="L63" s="115">
        <v>2012</v>
      </c>
      <c r="M63" s="115">
        <v>2013</v>
      </c>
      <c r="N63" s="115">
        <v>2014</v>
      </c>
      <c r="O63" s="115">
        <v>2015</v>
      </c>
      <c r="P63" s="115">
        <v>2016</v>
      </c>
      <c r="Q63" s="115">
        <v>2017</v>
      </c>
      <c r="R63" s="115">
        <v>2018</v>
      </c>
      <c r="S63" s="115">
        <v>2019</v>
      </c>
      <c r="T63" s="115">
        <v>2020</v>
      </c>
      <c r="U63" s="115">
        <v>2021</v>
      </c>
      <c r="V63" s="115">
        <v>2022</v>
      </c>
      <c r="W63" s="115">
        <v>2023</v>
      </c>
      <c r="X63" s="115">
        <v>2024</v>
      </c>
      <c r="Y63" s="122" t="s">
        <v>2779</v>
      </c>
    </row>
    <row r="64" spans="1:25" x14ac:dyDescent="0.25">
      <c r="A64" s="114" t="s">
        <v>83</v>
      </c>
      <c r="B64" s="184">
        <v>0</v>
      </c>
      <c r="C64" s="185">
        <v>6</v>
      </c>
      <c r="D64" s="185">
        <v>7</v>
      </c>
      <c r="E64" s="185">
        <v>12</v>
      </c>
      <c r="F64" s="185">
        <v>11</v>
      </c>
      <c r="G64" s="185">
        <v>14</v>
      </c>
      <c r="H64" s="185">
        <v>9</v>
      </c>
      <c r="I64" s="185">
        <v>3</v>
      </c>
      <c r="J64" s="185">
        <v>14</v>
      </c>
      <c r="K64" s="185">
        <v>7</v>
      </c>
      <c r="L64" s="185">
        <v>1</v>
      </c>
      <c r="M64" s="185">
        <v>1</v>
      </c>
      <c r="N64" s="185">
        <v>4</v>
      </c>
      <c r="O64" s="185">
        <v>4</v>
      </c>
      <c r="P64" s="185">
        <v>0</v>
      </c>
      <c r="Q64" s="185">
        <v>1</v>
      </c>
      <c r="R64" s="185">
        <v>2</v>
      </c>
      <c r="S64" s="185">
        <v>5</v>
      </c>
      <c r="T64" s="185">
        <v>0</v>
      </c>
      <c r="U64" s="185">
        <v>0</v>
      </c>
      <c r="V64" s="185">
        <v>0</v>
      </c>
      <c r="W64" s="185">
        <v>1</v>
      </c>
      <c r="X64" s="185">
        <v>1</v>
      </c>
      <c r="Y64" s="199">
        <v>103</v>
      </c>
    </row>
    <row r="65" spans="1:25" x14ac:dyDescent="0.25">
      <c r="A65" s="117" t="s">
        <v>101</v>
      </c>
      <c r="B65" s="187">
        <v>10</v>
      </c>
      <c r="C65" s="188">
        <v>5</v>
      </c>
      <c r="D65" s="188">
        <v>9</v>
      </c>
      <c r="E65" s="188">
        <v>8</v>
      </c>
      <c r="F65" s="188">
        <v>6</v>
      </c>
      <c r="G65" s="188">
        <v>7</v>
      </c>
      <c r="H65" s="188">
        <v>6</v>
      </c>
      <c r="I65" s="188">
        <v>9</v>
      </c>
      <c r="J65" s="188">
        <v>5</v>
      </c>
      <c r="K65" s="188">
        <v>3</v>
      </c>
      <c r="L65" s="188">
        <v>4</v>
      </c>
      <c r="M65" s="188">
        <v>5</v>
      </c>
      <c r="N65" s="188">
        <v>4</v>
      </c>
      <c r="O65" s="188">
        <v>6</v>
      </c>
      <c r="P65" s="188">
        <v>4</v>
      </c>
      <c r="Q65" s="188">
        <v>2</v>
      </c>
      <c r="R65" s="188">
        <v>4</v>
      </c>
      <c r="S65" s="188">
        <v>3</v>
      </c>
      <c r="T65" s="188">
        <v>0</v>
      </c>
      <c r="U65" s="188">
        <v>0</v>
      </c>
      <c r="V65" s="188">
        <v>0</v>
      </c>
      <c r="W65" s="188">
        <v>1</v>
      </c>
      <c r="X65" s="188">
        <v>3</v>
      </c>
      <c r="Y65" s="200">
        <v>104</v>
      </c>
    </row>
    <row r="66" spans="1:25" x14ac:dyDescent="0.25">
      <c r="A66" s="121" t="s">
        <v>2779</v>
      </c>
      <c r="B66" s="196">
        <v>10</v>
      </c>
      <c r="C66" s="197">
        <v>11</v>
      </c>
      <c r="D66" s="197">
        <v>16</v>
      </c>
      <c r="E66" s="197">
        <v>20</v>
      </c>
      <c r="F66" s="197">
        <v>17</v>
      </c>
      <c r="G66" s="197">
        <v>21</v>
      </c>
      <c r="H66" s="197">
        <v>15</v>
      </c>
      <c r="I66" s="197">
        <v>12</v>
      </c>
      <c r="J66" s="197">
        <v>19</v>
      </c>
      <c r="K66" s="197">
        <v>10</v>
      </c>
      <c r="L66" s="197">
        <v>5</v>
      </c>
      <c r="M66" s="197">
        <v>6</v>
      </c>
      <c r="N66" s="197">
        <v>8</v>
      </c>
      <c r="O66" s="197">
        <v>10</v>
      </c>
      <c r="P66" s="197">
        <v>4</v>
      </c>
      <c r="Q66" s="197">
        <v>3</v>
      </c>
      <c r="R66" s="197">
        <v>6</v>
      </c>
      <c r="S66" s="197">
        <v>8</v>
      </c>
      <c r="T66" s="197">
        <v>0</v>
      </c>
      <c r="U66" s="197">
        <v>0</v>
      </c>
      <c r="V66" s="197">
        <v>0</v>
      </c>
      <c r="W66" s="197">
        <v>2</v>
      </c>
      <c r="X66" s="197">
        <v>4</v>
      </c>
      <c r="Y66" s="198">
        <v>207</v>
      </c>
    </row>
  </sheetData>
  <pageMargins left="0.7" right="0.7" top="0.75" bottom="0.75" header="0" footer="0"/>
  <pageSetup orientation="portrait"/>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Y68"/>
  <sheetViews>
    <sheetView topLeftCell="A55" workbookViewId="0">
      <selection activeCell="M77" sqref="M77"/>
    </sheetView>
  </sheetViews>
  <sheetFormatPr defaultColWidth="14.42578125" defaultRowHeight="15" customHeight="1" x14ac:dyDescent="0.25"/>
  <cols>
    <col min="1" max="1" width="29.7109375" customWidth="1"/>
    <col min="2" max="2" width="22.28515625" customWidth="1"/>
    <col min="3" max="19" width="6" customWidth="1"/>
    <col min="20" max="24" width="5" customWidth="1"/>
    <col min="25" max="25" width="11" customWidth="1"/>
    <col min="26" max="26" width="8.7109375" customWidth="1"/>
  </cols>
  <sheetData>
    <row r="1" spans="1:17" hidden="1" x14ac:dyDescent="0.25">
      <c r="A1" s="2" t="s">
        <v>2842</v>
      </c>
    </row>
    <row r="2" spans="1:17" hidden="1" x14ac:dyDescent="0.25">
      <c r="A2" s="120" t="s">
        <v>1</v>
      </c>
      <c r="B2" s="119" t="s">
        <v>307</v>
      </c>
    </row>
    <row r="3" spans="1:17" hidden="1" x14ac:dyDescent="0.25">
      <c r="A3" s="120" t="s">
        <v>10</v>
      </c>
      <c r="B3" s="119" t="s">
        <v>2827</v>
      </c>
    </row>
    <row r="4" spans="1:17" hidden="1" x14ac:dyDescent="0.25"/>
    <row r="5" spans="1:17" hidden="1" x14ac:dyDescent="0.25">
      <c r="A5" s="114"/>
      <c r="B5" s="111" t="s">
        <v>8</v>
      </c>
      <c r="C5" s="112"/>
      <c r="D5" s="112"/>
      <c r="E5" s="112"/>
      <c r="F5" s="112"/>
      <c r="G5" s="112"/>
      <c r="H5" s="112"/>
      <c r="I5" s="112"/>
      <c r="J5" s="112"/>
      <c r="K5" s="112"/>
      <c r="L5" s="112"/>
      <c r="M5" s="112"/>
      <c r="N5" s="112"/>
      <c r="O5" s="112"/>
      <c r="P5" s="112"/>
      <c r="Q5" s="113"/>
    </row>
    <row r="6" spans="1:17" hidden="1" x14ac:dyDescent="0.25">
      <c r="A6" s="124"/>
      <c r="B6" s="114">
        <v>2003</v>
      </c>
      <c r="C6" s="115">
        <v>2004</v>
      </c>
      <c r="D6" s="115">
        <v>2005</v>
      </c>
      <c r="E6" s="115">
        <v>2006</v>
      </c>
      <c r="F6" s="115">
        <v>2007</v>
      </c>
      <c r="G6" s="115">
        <v>2008</v>
      </c>
      <c r="H6" s="115">
        <v>2009</v>
      </c>
      <c r="I6" s="115">
        <v>2010</v>
      </c>
      <c r="J6" s="115">
        <v>2011</v>
      </c>
      <c r="K6" s="115">
        <v>2012</v>
      </c>
      <c r="L6" s="115">
        <v>2013</v>
      </c>
      <c r="M6" s="115">
        <v>2014</v>
      </c>
      <c r="N6" s="115">
        <v>2015</v>
      </c>
      <c r="O6" s="115">
        <v>2016</v>
      </c>
      <c r="P6" s="115">
        <v>2017</v>
      </c>
      <c r="Q6" s="125">
        <v>2018</v>
      </c>
    </row>
    <row r="7" spans="1:17" hidden="1" x14ac:dyDescent="0.25">
      <c r="A7" s="118" t="s">
        <v>2778</v>
      </c>
      <c r="B7" s="181">
        <v>3</v>
      </c>
      <c r="C7" s="182">
        <v>4</v>
      </c>
      <c r="D7" s="182">
        <v>5</v>
      </c>
      <c r="E7" s="182">
        <v>5</v>
      </c>
      <c r="F7" s="182">
        <v>8</v>
      </c>
      <c r="G7" s="182">
        <v>2</v>
      </c>
      <c r="H7" s="182">
        <v>9</v>
      </c>
      <c r="I7" s="182">
        <v>13</v>
      </c>
      <c r="J7" s="182">
        <v>10</v>
      </c>
      <c r="K7" s="182">
        <v>12</v>
      </c>
      <c r="L7" s="182">
        <v>15</v>
      </c>
      <c r="M7" s="182">
        <v>26</v>
      </c>
      <c r="N7" s="182">
        <v>44</v>
      </c>
      <c r="O7" s="182">
        <v>38</v>
      </c>
      <c r="P7" s="182">
        <v>50</v>
      </c>
      <c r="Q7" s="183">
        <v>39</v>
      </c>
    </row>
    <row r="25" spans="1:18" ht="15.75" hidden="1" customHeight="1" x14ac:dyDescent="0.25">
      <c r="A25" s="2" t="s">
        <v>2842</v>
      </c>
    </row>
    <row r="26" spans="1:18" hidden="1" x14ac:dyDescent="0.25">
      <c r="A26" s="120" t="s">
        <v>1</v>
      </c>
      <c r="B26" s="119" t="s">
        <v>307</v>
      </c>
    </row>
    <row r="27" spans="1:18" hidden="1" x14ac:dyDescent="0.25">
      <c r="A27" s="120" t="s">
        <v>10</v>
      </c>
      <c r="B27" s="119" t="s">
        <v>2827</v>
      </c>
    </row>
    <row r="28" spans="1:18" ht="15.75" hidden="1" customHeight="1" x14ac:dyDescent="0.25"/>
    <row r="29" spans="1:18" ht="15.75" hidden="1" customHeight="1" x14ac:dyDescent="0.25">
      <c r="A29" s="114"/>
      <c r="B29" s="111" t="s">
        <v>8</v>
      </c>
      <c r="C29" s="112"/>
      <c r="D29" s="112"/>
      <c r="E29" s="112"/>
      <c r="F29" s="112"/>
      <c r="G29" s="112"/>
      <c r="H29" s="112"/>
      <c r="I29" s="112"/>
      <c r="J29" s="112"/>
      <c r="K29" s="112"/>
      <c r="L29" s="112"/>
      <c r="M29" s="112"/>
      <c r="N29" s="112"/>
      <c r="O29" s="112"/>
      <c r="P29" s="112"/>
      <c r="Q29" s="112"/>
      <c r="R29" s="113"/>
    </row>
    <row r="30" spans="1:18" ht="15.75" hidden="1" customHeight="1" x14ac:dyDescent="0.25">
      <c r="A30" s="124"/>
      <c r="B30" s="114">
        <v>2003</v>
      </c>
      <c r="C30" s="115">
        <v>2004</v>
      </c>
      <c r="D30" s="115">
        <v>2005</v>
      </c>
      <c r="E30" s="115">
        <v>2006</v>
      </c>
      <c r="F30" s="115">
        <v>2007</v>
      </c>
      <c r="G30" s="115">
        <v>2008</v>
      </c>
      <c r="H30" s="115">
        <v>2009</v>
      </c>
      <c r="I30" s="115">
        <v>2010</v>
      </c>
      <c r="J30" s="115">
        <v>2011</v>
      </c>
      <c r="K30" s="115">
        <v>2012</v>
      </c>
      <c r="L30" s="115">
        <v>2013</v>
      </c>
      <c r="M30" s="115">
        <v>2014</v>
      </c>
      <c r="N30" s="115">
        <v>2015</v>
      </c>
      <c r="O30" s="115">
        <v>2016</v>
      </c>
      <c r="P30" s="115">
        <v>2017</v>
      </c>
      <c r="Q30" s="115">
        <v>2018</v>
      </c>
      <c r="R30" s="125">
        <v>2019</v>
      </c>
    </row>
    <row r="31" spans="1:18" ht="15.75" hidden="1" customHeight="1" x14ac:dyDescent="0.25">
      <c r="A31" s="118" t="s">
        <v>2778</v>
      </c>
      <c r="B31" s="181">
        <v>3</v>
      </c>
      <c r="C31" s="182">
        <v>4</v>
      </c>
      <c r="D31" s="182">
        <v>5</v>
      </c>
      <c r="E31" s="182">
        <v>5</v>
      </c>
      <c r="F31" s="182">
        <v>8</v>
      </c>
      <c r="G31" s="182">
        <v>2</v>
      </c>
      <c r="H31" s="182">
        <v>9</v>
      </c>
      <c r="I31" s="182">
        <v>13</v>
      </c>
      <c r="J31" s="182">
        <v>10</v>
      </c>
      <c r="K31" s="182">
        <v>12</v>
      </c>
      <c r="L31" s="182">
        <v>15</v>
      </c>
      <c r="M31" s="182">
        <v>26</v>
      </c>
      <c r="N31" s="182">
        <v>44</v>
      </c>
      <c r="O31" s="182">
        <v>38</v>
      </c>
      <c r="P31" s="182">
        <v>50</v>
      </c>
      <c r="Q31" s="182">
        <v>39</v>
      </c>
      <c r="R31" s="183">
        <v>42</v>
      </c>
    </row>
    <row r="55" spans="1:25" ht="15.75" customHeight="1" x14ac:dyDescent="0.25">
      <c r="A55" s="12" t="s">
        <v>3123</v>
      </c>
    </row>
    <row r="56" spans="1:25" ht="15.75" customHeight="1" x14ac:dyDescent="0.25"/>
    <row r="57" spans="1:25" x14ac:dyDescent="0.25">
      <c r="A57" s="120" t="s">
        <v>1</v>
      </c>
      <c r="B57" s="119" t="s">
        <v>307</v>
      </c>
    </row>
    <row r="58" spans="1:25" x14ac:dyDescent="0.25">
      <c r="A58" s="120" t="s">
        <v>10</v>
      </c>
      <c r="B58" s="119" t="s">
        <v>2827</v>
      </c>
    </row>
    <row r="59" spans="1:25" ht="15.75" customHeight="1" x14ac:dyDescent="0.25"/>
    <row r="60" spans="1:25" ht="15.75" customHeight="1" x14ac:dyDescent="0.25">
      <c r="A60" s="111" t="s">
        <v>2778</v>
      </c>
      <c r="B60" s="111" t="s">
        <v>8</v>
      </c>
      <c r="C60" s="112"/>
      <c r="D60" s="112"/>
      <c r="E60" s="112"/>
      <c r="F60" s="112"/>
      <c r="G60" s="112"/>
      <c r="H60" s="112"/>
      <c r="I60" s="112"/>
      <c r="J60" s="112"/>
      <c r="K60" s="112"/>
      <c r="L60" s="112"/>
      <c r="M60" s="112"/>
      <c r="N60" s="112"/>
      <c r="O60" s="112"/>
      <c r="P60" s="112"/>
      <c r="Q60" s="112"/>
      <c r="R60" s="112"/>
      <c r="S60" s="112"/>
      <c r="T60" s="112"/>
      <c r="U60" s="112"/>
      <c r="V60" s="112"/>
      <c r="W60" s="112"/>
      <c r="X60" s="112"/>
      <c r="Y60" s="113"/>
    </row>
    <row r="61" spans="1:25" x14ac:dyDescent="0.25">
      <c r="A61" s="111" t="s">
        <v>6</v>
      </c>
      <c r="B61" s="114">
        <v>2002</v>
      </c>
      <c r="C61" s="115">
        <v>2003</v>
      </c>
      <c r="D61" s="115">
        <v>2004</v>
      </c>
      <c r="E61" s="115">
        <v>2005</v>
      </c>
      <c r="F61" s="115">
        <v>2006</v>
      </c>
      <c r="G61" s="115">
        <v>2007</v>
      </c>
      <c r="H61" s="115">
        <v>2008</v>
      </c>
      <c r="I61" s="115">
        <v>2009</v>
      </c>
      <c r="J61" s="115">
        <v>2010</v>
      </c>
      <c r="K61" s="115">
        <v>2011</v>
      </c>
      <c r="L61" s="115">
        <v>2012</v>
      </c>
      <c r="M61" s="115">
        <v>2013</v>
      </c>
      <c r="N61" s="115">
        <v>2014</v>
      </c>
      <c r="O61" s="115">
        <v>2015</v>
      </c>
      <c r="P61" s="115">
        <v>2016</v>
      </c>
      <c r="Q61" s="115">
        <v>2017</v>
      </c>
      <c r="R61" s="115">
        <v>2018</v>
      </c>
      <c r="S61" s="115">
        <v>2019</v>
      </c>
      <c r="T61" s="115">
        <v>2020</v>
      </c>
      <c r="U61" s="115">
        <v>2021</v>
      </c>
      <c r="V61" s="115">
        <v>2022</v>
      </c>
      <c r="W61" s="115">
        <v>2023</v>
      </c>
      <c r="X61" s="115">
        <v>2024</v>
      </c>
      <c r="Y61" s="122" t="s">
        <v>2779</v>
      </c>
    </row>
    <row r="62" spans="1:25" x14ac:dyDescent="0.25">
      <c r="A62" s="114" t="s">
        <v>91</v>
      </c>
      <c r="B62" s="184">
        <v>0</v>
      </c>
      <c r="C62" s="185">
        <v>0</v>
      </c>
      <c r="D62" s="185">
        <v>0</v>
      </c>
      <c r="E62" s="185">
        <v>0</v>
      </c>
      <c r="F62" s="185">
        <v>0</v>
      </c>
      <c r="G62" s="185">
        <v>0</v>
      </c>
      <c r="H62" s="185">
        <v>0</v>
      </c>
      <c r="I62" s="185">
        <v>1</v>
      </c>
      <c r="J62" s="185">
        <v>0</v>
      </c>
      <c r="K62" s="185">
        <v>0</v>
      </c>
      <c r="L62" s="185">
        <v>0</v>
      </c>
      <c r="M62" s="185">
        <v>0</v>
      </c>
      <c r="N62" s="185">
        <v>4</v>
      </c>
      <c r="O62" s="185">
        <v>0</v>
      </c>
      <c r="P62" s="185">
        <v>1</v>
      </c>
      <c r="Q62" s="185">
        <v>1</v>
      </c>
      <c r="R62" s="185">
        <v>6</v>
      </c>
      <c r="S62" s="185">
        <v>2</v>
      </c>
      <c r="T62" s="185">
        <v>0</v>
      </c>
      <c r="U62" s="185">
        <v>0</v>
      </c>
      <c r="V62" s="185">
        <v>0</v>
      </c>
      <c r="W62" s="185">
        <v>2</v>
      </c>
      <c r="X62" s="185">
        <v>5</v>
      </c>
      <c r="Y62" s="199">
        <v>22</v>
      </c>
    </row>
    <row r="63" spans="1:25" x14ac:dyDescent="0.25">
      <c r="A63" s="117" t="s">
        <v>41</v>
      </c>
      <c r="B63" s="187">
        <v>1</v>
      </c>
      <c r="C63" s="188">
        <v>2</v>
      </c>
      <c r="D63" s="188">
        <v>1</v>
      </c>
      <c r="E63" s="188">
        <v>1</v>
      </c>
      <c r="F63" s="188">
        <v>4</v>
      </c>
      <c r="G63" s="188">
        <v>3</v>
      </c>
      <c r="H63" s="188">
        <v>0</v>
      </c>
      <c r="I63" s="188">
        <v>2</v>
      </c>
      <c r="J63" s="188">
        <v>3</v>
      </c>
      <c r="K63" s="188">
        <v>5</v>
      </c>
      <c r="L63" s="188">
        <v>2</v>
      </c>
      <c r="M63" s="188">
        <v>2</v>
      </c>
      <c r="N63" s="188">
        <v>3</v>
      </c>
      <c r="O63" s="188">
        <v>8</v>
      </c>
      <c r="P63" s="188">
        <v>9</v>
      </c>
      <c r="Q63" s="188">
        <v>11</v>
      </c>
      <c r="R63" s="188">
        <v>5</v>
      </c>
      <c r="S63" s="188">
        <v>13</v>
      </c>
      <c r="T63" s="188">
        <v>2</v>
      </c>
      <c r="U63" s="188">
        <v>4</v>
      </c>
      <c r="V63" s="188">
        <v>2</v>
      </c>
      <c r="W63" s="188">
        <v>6</v>
      </c>
      <c r="X63" s="188">
        <v>3</v>
      </c>
      <c r="Y63" s="200">
        <v>92</v>
      </c>
    </row>
    <row r="64" spans="1:25" x14ac:dyDescent="0.25">
      <c r="A64" s="117" t="s">
        <v>56</v>
      </c>
      <c r="B64" s="187">
        <v>0</v>
      </c>
      <c r="C64" s="188">
        <v>0</v>
      </c>
      <c r="D64" s="188">
        <v>2</v>
      </c>
      <c r="E64" s="188">
        <v>1</v>
      </c>
      <c r="F64" s="188">
        <v>0</v>
      </c>
      <c r="G64" s="188">
        <v>1</v>
      </c>
      <c r="H64" s="188">
        <v>0</v>
      </c>
      <c r="I64" s="188">
        <v>4</v>
      </c>
      <c r="J64" s="188">
        <v>4</v>
      </c>
      <c r="K64" s="188">
        <v>1</v>
      </c>
      <c r="L64" s="188">
        <v>3</v>
      </c>
      <c r="M64" s="188">
        <v>5</v>
      </c>
      <c r="N64" s="188">
        <v>6</v>
      </c>
      <c r="O64" s="188">
        <v>14</v>
      </c>
      <c r="P64" s="188">
        <v>7</v>
      </c>
      <c r="Q64" s="188">
        <v>12</v>
      </c>
      <c r="R64" s="188">
        <v>7</v>
      </c>
      <c r="S64" s="188">
        <v>7</v>
      </c>
      <c r="T64" s="188">
        <v>3</v>
      </c>
      <c r="U64" s="188">
        <v>5</v>
      </c>
      <c r="V64" s="188">
        <v>6</v>
      </c>
      <c r="W64" s="188">
        <v>3</v>
      </c>
      <c r="X64" s="188">
        <v>8</v>
      </c>
      <c r="Y64" s="200">
        <v>99</v>
      </c>
    </row>
    <row r="65" spans="1:25" x14ac:dyDescent="0.25">
      <c r="A65" s="117" t="s">
        <v>3183</v>
      </c>
      <c r="B65" s="187">
        <v>0</v>
      </c>
      <c r="C65" s="188">
        <v>1</v>
      </c>
      <c r="D65" s="188">
        <v>1</v>
      </c>
      <c r="E65" s="188">
        <v>2</v>
      </c>
      <c r="F65" s="188">
        <v>0</v>
      </c>
      <c r="G65" s="188">
        <v>4</v>
      </c>
      <c r="H65" s="188">
        <v>2</v>
      </c>
      <c r="I65" s="188">
        <v>2</v>
      </c>
      <c r="J65" s="188">
        <v>5</v>
      </c>
      <c r="K65" s="188">
        <v>3</v>
      </c>
      <c r="L65" s="188">
        <v>5</v>
      </c>
      <c r="M65" s="188">
        <v>6</v>
      </c>
      <c r="N65" s="188">
        <v>11</v>
      </c>
      <c r="O65" s="188">
        <v>18</v>
      </c>
      <c r="P65" s="188">
        <v>18</v>
      </c>
      <c r="Q65" s="188">
        <v>23</v>
      </c>
      <c r="R65" s="188">
        <v>19</v>
      </c>
      <c r="S65" s="188">
        <v>19</v>
      </c>
      <c r="T65" s="188">
        <v>3</v>
      </c>
      <c r="U65" s="188">
        <v>5</v>
      </c>
      <c r="V65" s="188">
        <v>2</v>
      </c>
      <c r="W65" s="188">
        <v>13</v>
      </c>
      <c r="X65" s="188">
        <v>12</v>
      </c>
      <c r="Y65" s="200">
        <v>174</v>
      </c>
    </row>
    <row r="66" spans="1:25" x14ac:dyDescent="0.25">
      <c r="A66" s="117" t="s">
        <v>47</v>
      </c>
      <c r="B66" s="187">
        <v>0</v>
      </c>
      <c r="C66" s="188">
        <v>0</v>
      </c>
      <c r="D66" s="188">
        <v>0</v>
      </c>
      <c r="E66" s="188">
        <v>1</v>
      </c>
      <c r="F66" s="188">
        <v>1</v>
      </c>
      <c r="G66" s="188">
        <v>0</v>
      </c>
      <c r="H66" s="188">
        <v>0</v>
      </c>
      <c r="I66" s="188">
        <v>0</v>
      </c>
      <c r="J66" s="188">
        <v>0</v>
      </c>
      <c r="K66" s="188">
        <v>0</v>
      </c>
      <c r="L66" s="188">
        <v>1</v>
      </c>
      <c r="M66" s="188">
        <v>2</v>
      </c>
      <c r="N66" s="188">
        <v>2</v>
      </c>
      <c r="O66" s="188">
        <v>4</v>
      </c>
      <c r="P66" s="188">
        <v>2</v>
      </c>
      <c r="Q66" s="188">
        <v>3</v>
      </c>
      <c r="R66" s="188">
        <v>1</v>
      </c>
      <c r="S66" s="188">
        <v>1</v>
      </c>
      <c r="T66" s="188">
        <v>1</v>
      </c>
      <c r="U66" s="188">
        <v>0</v>
      </c>
      <c r="V66" s="188">
        <v>0</v>
      </c>
      <c r="W66" s="188">
        <v>0</v>
      </c>
      <c r="X66" s="188">
        <v>0</v>
      </c>
      <c r="Y66" s="200">
        <v>19</v>
      </c>
    </row>
    <row r="67" spans="1:25" x14ac:dyDescent="0.25">
      <c r="A67" s="117" t="s">
        <v>199</v>
      </c>
      <c r="B67" s="201">
        <v>0</v>
      </c>
      <c r="C67" s="202">
        <v>0</v>
      </c>
      <c r="D67" s="202">
        <v>0</v>
      </c>
      <c r="E67" s="202">
        <v>0</v>
      </c>
      <c r="F67" s="202">
        <v>0</v>
      </c>
      <c r="G67" s="202">
        <v>0</v>
      </c>
      <c r="H67" s="202">
        <v>0</v>
      </c>
      <c r="I67" s="202">
        <v>0</v>
      </c>
      <c r="J67" s="202">
        <v>1</v>
      </c>
      <c r="K67" s="202">
        <v>1</v>
      </c>
      <c r="L67" s="202">
        <v>1</v>
      </c>
      <c r="M67" s="202">
        <v>0</v>
      </c>
      <c r="N67" s="202">
        <v>0</v>
      </c>
      <c r="O67" s="202">
        <v>0</v>
      </c>
      <c r="P67" s="202">
        <v>1</v>
      </c>
      <c r="Q67" s="202">
        <v>0</v>
      </c>
      <c r="R67" s="202">
        <v>1</v>
      </c>
      <c r="S67" s="202">
        <v>0</v>
      </c>
      <c r="T67" s="202">
        <v>0</v>
      </c>
      <c r="U67" s="202">
        <v>0</v>
      </c>
      <c r="V67" s="202">
        <v>0</v>
      </c>
      <c r="W67" s="202">
        <v>0</v>
      </c>
      <c r="X67" s="202">
        <v>1</v>
      </c>
      <c r="Y67" s="214">
        <v>6</v>
      </c>
    </row>
    <row r="68" spans="1:25" x14ac:dyDescent="0.25">
      <c r="A68" s="121" t="s">
        <v>2779</v>
      </c>
      <c r="B68" s="208">
        <v>1</v>
      </c>
      <c r="C68" s="209">
        <v>3</v>
      </c>
      <c r="D68" s="209">
        <v>4</v>
      </c>
      <c r="E68" s="209">
        <v>5</v>
      </c>
      <c r="F68" s="209">
        <v>5</v>
      </c>
      <c r="G68" s="209">
        <v>8</v>
      </c>
      <c r="H68" s="209">
        <v>2</v>
      </c>
      <c r="I68" s="209">
        <v>9</v>
      </c>
      <c r="J68" s="209">
        <v>13</v>
      </c>
      <c r="K68" s="209">
        <v>10</v>
      </c>
      <c r="L68" s="209">
        <v>12</v>
      </c>
      <c r="M68" s="209">
        <v>15</v>
      </c>
      <c r="N68" s="209">
        <v>26</v>
      </c>
      <c r="O68" s="209">
        <v>44</v>
      </c>
      <c r="P68" s="209">
        <v>38</v>
      </c>
      <c r="Q68" s="209">
        <v>50</v>
      </c>
      <c r="R68" s="209">
        <v>39</v>
      </c>
      <c r="S68" s="209">
        <v>42</v>
      </c>
      <c r="T68" s="209">
        <v>9</v>
      </c>
      <c r="U68" s="209">
        <v>14</v>
      </c>
      <c r="V68" s="209">
        <v>10</v>
      </c>
      <c r="W68" s="209">
        <v>24</v>
      </c>
      <c r="X68" s="209">
        <v>29</v>
      </c>
      <c r="Y68" s="207">
        <v>412</v>
      </c>
    </row>
  </sheetData>
  <pageMargins left="0.7" right="0.7" top="0.75" bottom="0.75" header="0" footer="0"/>
  <pageSetup orientation="portrait"/>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2:J75"/>
  <sheetViews>
    <sheetView topLeftCell="A60" workbookViewId="0">
      <selection activeCell="H73" sqref="H73"/>
    </sheetView>
  </sheetViews>
  <sheetFormatPr defaultColWidth="14.42578125" defaultRowHeight="15" customHeight="1" x14ac:dyDescent="0.25"/>
  <cols>
    <col min="1" max="1" width="29.7109375" customWidth="1"/>
    <col min="2" max="2" width="20.42578125" customWidth="1"/>
    <col min="3" max="3" width="15.28515625" customWidth="1"/>
    <col min="4" max="4" width="8" customWidth="1"/>
    <col min="5" max="5" width="15.28515625" customWidth="1"/>
    <col min="6" max="6" width="11.7109375" customWidth="1"/>
    <col min="7" max="7" width="10.28515625" customWidth="1"/>
    <col min="8" max="8" width="10.7109375" customWidth="1"/>
    <col min="9" max="9" width="8" customWidth="1"/>
    <col min="10" max="10" width="11.42578125" customWidth="1"/>
    <col min="11" max="26" width="8.7109375" customWidth="1"/>
  </cols>
  <sheetData>
    <row r="2" spans="1:6" hidden="1" x14ac:dyDescent="0.25">
      <c r="A2" s="2" t="s">
        <v>2843</v>
      </c>
    </row>
    <row r="3" spans="1:6" hidden="1" x14ac:dyDescent="0.25">
      <c r="A3" s="120" t="s">
        <v>1</v>
      </c>
      <c r="B3" s="119" t="s">
        <v>307</v>
      </c>
    </row>
    <row r="4" spans="1:6" hidden="1" x14ac:dyDescent="0.25">
      <c r="A4" s="120" t="s">
        <v>8</v>
      </c>
      <c r="B4" s="119" t="s">
        <v>2817</v>
      </c>
    </row>
    <row r="5" spans="1:6" hidden="1" x14ac:dyDescent="0.25">
      <c r="A5" s="120" t="s">
        <v>10</v>
      </c>
      <c r="B5" s="119" t="s">
        <v>2827</v>
      </c>
    </row>
    <row r="6" spans="1:6" hidden="1" x14ac:dyDescent="0.25"/>
    <row r="7" spans="1:6" hidden="1" x14ac:dyDescent="0.25">
      <c r="A7" s="114"/>
      <c r="B7" s="111" t="s">
        <v>17</v>
      </c>
      <c r="C7" s="112"/>
      <c r="D7" s="112"/>
      <c r="E7" s="112"/>
      <c r="F7" s="113"/>
    </row>
    <row r="8" spans="1:6" hidden="1" x14ac:dyDescent="0.25">
      <c r="A8" s="124"/>
      <c r="B8" s="114" t="s">
        <v>818</v>
      </c>
      <c r="C8" s="115" t="s">
        <v>309</v>
      </c>
      <c r="D8" s="115" t="s">
        <v>594</v>
      </c>
      <c r="E8" s="115" t="s">
        <v>1229</v>
      </c>
      <c r="F8" s="125" t="s">
        <v>426</v>
      </c>
    </row>
    <row r="9" spans="1:6" hidden="1" x14ac:dyDescent="0.25">
      <c r="A9" s="118" t="s">
        <v>2778</v>
      </c>
      <c r="B9" s="181">
        <v>19</v>
      </c>
      <c r="C9" s="182">
        <v>67</v>
      </c>
      <c r="D9" s="182">
        <v>42</v>
      </c>
      <c r="E9" s="182">
        <v>11</v>
      </c>
      <c r="F9" s="183">
        <v>130</v>
      </c>
    </row>
    <row r="31" spans="1:1" ht="15.75" hidden="1" customHeight="1" x14ac:dyDescent="0.25">
      <c r="A31" s="2" t="s">
        <v>2844</v>
      </c>
    </row>
    <row r="34" spans="1:6" hidden="1" x14ac:dyDescent="0.25">
      <c r="A34" s="120" t="s">
        <v>1</v>
      </c>
      <c r="B34" s="119" t="s">
        <v>307</v>
      </c>
    </row>
    <row r="35" spans="1:6" hidden="1" x14ac:dyDescent="0.25">
      <c r="A35" s="120" t="s">
        <v>8</v>
      </c>
      <c r="B35" s="119" t="s">
        <v>2817</v>
      </c>
    </row>
    <row r="36" spans="1:6" hidden="1" x14ac:dyDescent="0.25">
      <c r="A36" s="120" t="s">
        <v>10</v>
      </c>
      <c r="B36" s="119" t="s">
        <v>2827</v>
      </c>
    </row>
    <row r="37" spans="1:6" ht="15.75" hidden="1" customHeight="1" x14ac:dyDescent="0.25"/>
    <row r="38" spans="1:6" ht="15.75" hidden="1" customHeight="1" x14ac:dyDescent="0.25">
      <c r="A38" s="114"/>
      <c r="B38" s="111" t="s">
        <v>17</v>
      </c>
      <c r="C38" s="112"/>
      <c r="D38" s="112"/>
      <c r="E38" s="112"/>
      <c r="F38" s="113"/>
    </row>
    <row r="39" spans="1:6" ht="15.75" hidden="1" customHeight="1" x14ac:dyDescent="0.25">
      <c r="A39" s="124"/>
      <c r="B39" s="114" t="s">
        <v>818</v>
      </c>
      <c r="C39" s="115" t="s">
        <v>309</v>
      </c>
      <c r="D39" s="115" t="s">
        <v>594</v>
      </c>
      <c r="E39" s="115" t="s">
        <v>1229</v>
      </c>
      <c r="F39" s="125" t="s">
        <v>426</v>
      </c>
    </row>
    <row r="40" spans="1:6" ht="15.75" hidden="1" customHeight="1" x14ac:dyDescent="0.25">
      <c r="A40" s="118" t="s">
        <v>2778</v>
      </c>
      <c r="B40" s="181">
        <v>20</v>
      </c>
      <c r="C40" s="182">
        <v>83</v>
      </c>
      <c r="D40" s="182">
        <v>50</v>
      </c>
      <c r="E40" s="182">
        <v>12</v>
      </c>
      <c r="F40" s="183">
        <v>145</v>
      </c>
    </row>
    <row r="60" spans="1:9" ht="15.75" customHeight="1" x14ac:dyDescent="0.25">
      <c r="A60" s="12" t="s">
        <v>3124</v>
      </c>
      <c r="B60" s="15"/>
      <c r="C60" s="15"/>
      <c r="D60" s="15"/>
      <c r="E60" s="15"/>
      <c r="F60" s="15"/>
      <c r="G60" s="15"/>
      <c r="H60" s="15"/>
      <c r="I60" s="15"/>
    </row>
    <row r="61" spans="1:9" ht="15.75" customHeight="1" x14ac:dyDescent="0.25"/>
    <row r="62" spans="1:9" ht="15.75" customHeight="1" x14ac:dyDescent="0.25"/>
    <row r="63" spans="1:9" x14ac:dyDescent="0.25">
      <c r="A63" s="120" t="s">
        <v>1</v>
      </c>
      <c r="B63" s="119" t="s">
        <v>307</v>
      </c>
    </row>
    <row r="64" spans="1:9" x14ac:dyDescent="0.25">
      <c r="A64" s="120" t="s">
        <v>8</v>
      </c>
      <c r="B64" s="119" t="s">
        <v>2817</v>
      </c>
    </row>
    <row r="65" spans="1:10" x14ac:dyDescent="0.25">
      <c r="A65" s="120" t="s">
        <v>10</v>
      </c>
      <c r="B65" s="119" t="s">
        <v>2827</v>
      </c>
    </row>
    <row r="66" spans="1:10" ht="15.75" customHeight="1" x14ac:dyDescent="0.25"/>
    <row r="67" spans="1:10" ht="15.75" customHeight="1" x14ac:dyDescent="0.25">
      <c r="A67" s="111" t="s">
        <v>2778</v>
      </c>
      <c r="B67" s="111" t="s">
        <v>17</v>
      </c>
      <c r="C67" s="112"/>
      <c r="D67" s="112"/>
      <c r="E67" s="112"/>
      <c r="F67" s="112"/>
      <c r="G67" s="112"/>
      <c r="H67" s="112"/>
      <c r="I67" s="112"/>
      <c r="J67" s="113"/>
    </row>
    <row r="68" spans="1:10" x14ac:dyDescent="0.25">
      <c r="A68" s="111" t="s">
        <v>6</v>
      </c>
      <c r="B68" s="114" t="s">
        <v>818</v>
      </c>
      <c r="C68" s="115" t="s">
        <v>309</v>
      </c>
      <c r="D68" s="115" t="s">
        <v>594</v>
      </c>
      <c r="E68" s="115" t="s">
        <v>866</v>
      </c>
      <c r="F68" s="115" t="s">
        <v>1229</v>
      </c>
      <c r="G68" s="115" t="s">
        <v>426</v>
      </c>
      <c r="H68" s="115" t="s">
        <v>2239</v>
      </c>
      <c r="I68" s="115" t="s">
        <v>1477</v>
      </c>
      <c r="J68" s="122" t="s">
        <v>2779</v>
      </c>
    </row>
    <row r="69" spans="1:10" x14ac:dyDescent="0.25">
      <c r="A69" s="114" t="s">
        <v>91</v>
      </c>
      <c r="B69" s="184">
        <v>3</v>
      </c>
      <c r="C69" s="185">
        <v>2</v>
      </c>
      <c r="D69" s="185">
        <v>2</v>
      </c>
      <c r="E69" s="185">
        <v>0</v>
      </c>
      <c r="F69" s="185">
        <v>0</v>
      </c>
      <c r="G69" s="185">
        <v>8</v>
      </c>
      <c r="H69" s="185">
        <v>0</v>
      </c>
      <c r="I69" s="185">
        <v>0</v>
      </c>
      <c r="J69" s="199">
        <v>15</v>
      </c>
    </row>
    <row r="70" spans="1:10" x14ac:dyDescent="0.25">
      <c r="A70" s="117" t="s">
        <v>41</v>
      </c>
      <c r="B70" s="187">
        <v>8</v>
      </c>
      <c r="C70" s="188">
        <v>32</v>
      </c>
      <c r="D70" s="188">
        <v>21</v>
      </c>
      <c r="E70" s="188">
        <v>2</v>
      </c>
      <c r="F70" s="188">
        <v>3</v>
      </c>
      <c r="G70" s="188">
        <v>17</v>
      </c>
      <c r="H70" s="188">
        <v>0</v>
      </c>
      <c r="I70" s="188">
        <v>0</v>
      </c>
      <c r="J70" s="200">
        <v>83</v>
      </c>
    </row>
    <row r="71" spans="1:10" x14ac:dyDescent="0.25">
      <c r="A71" s="117" t="s">
        <v>56</v>
      </c>
      <c r="B71" s="187">
        <v>4</v>
      </c>
      <c r="C71" s="188">
        <v>15</v>
      </c>
      <c r="D71" s="188">
        <v>22</v>
      </c>
      <c r="E71" s="188">
        <v>1</v>
      </c>
      <c r="F71" s="188">
        <v>10</v>
      </c>
      <c r="G71" s="188">
        <v>27</v>
      </c>
      <c r="H71" s="188">
        <v>7</v>
      </c>
      <c r="I71" s="188">
        <v>2</v>
      </c>
      <c r="J71" s="200">
        <v>88</v>
      </c>
    </row>
    <row r="72" spans="1:10" x14ac:dyDescent="0.25">
      <c r="A72" s="117" t="s">
        <v>3183</v>
      </c>
      <c r="B72" s="187">
        <v>4</v>
      </c>
      <c r="C72" s="188">
        <v>37</v>
      </c>
      <c r="D72" s="188">
        <v>12</v>
      </c>
      <c r="E72" s="188">
        <v>8</v>
      </c>
      <c r="F72" s="188">
        <v>1</v>
      </c>
      <c r="G72" s="188">
        <v>87</v>
      </c>
      <c r="H72" s="188">
        <v>0</v>
      </c>
      <c r="I72" s="188">
        <v>0</v>
      </c>
      <c r="J72" s="200">
        <v>149</v>
      </c>
    </row>
    <row r="73" spans="1:10" x14ac:dyDescent="0.25">
      <c r="A73" s="117" t="s">
        <v>47</v>
      </c>
      <c r="B73" s="187">
        <v>3</v>
      </c>
      <c r="C73" s="188">
        <v>0</v>
      </c>
      <c r="D73" s="188">
        <v>2</v>
      </c>
      <c r="E73" s="188">
        <v>1</v>
      </c>
      <c r="F73" s="188">
        <v>0</v>
      </c>
      <c r="G73" s="188">
        <v>13</v>
      </c>
      <c r="H73" s="188">
        <v>0</v>
      </c>
      <c r="I73" s="188">
        <v>0</v>
      </c>
      <c r="J73" s="200">
        <v>19</v>
      </c>
    </row>
    <row r="74" spans="1:10" x14ac:dyDescent="0.25">
      <c r="A74" s="117" t="s">
        <v>199</v>
      </c>
      <c r="B74" s="201">
        <v>0</v>
      </c>
      <c r="C74" s="202">
        <v>0</v>
      </c>
      <c r="D74" s="202">
        <v>1</v>
      </c>
      <c r="E74" s="202">
        <v>0</v>
      </c>
      <c r="F74" s="202">
        <v>1</v>
      </c>
      <c r="G74" s="202">
        <v>3</v>
      </c>
      <c r="H74" s="202">
        <v>0</v>
      </c>
      <c r="I74" s="202">
        <v>0</v>
      </c>
      <c r="J74" s="214">
        <v>5</v>
      </c>
    </row>
    <row r="75" spans="1:10" x14ac:dyDescent="0.25">
      <c r="A75" s="121" t="s">
        <v>2779</v>
      </c>
      <c r="B75" s="208">
        <v>22</v>
      </c>
      <c r="C75" s="209">
        <v>86</v>
      </c>
      <c r="D75" s="209">
        <v>60</v>
      </c>
      <c r="E75" s="209">
        <v>12</v>
      </c>
      <c r="F75" s="209">
        <v>15</v>
      </c>
      <c r="G75" s="209">
        <v>155</v>
      </c>
      <c r="H75" s="209">
        <v>7</v>
      </c>
      <c r="I75" s="209">
        <v>2</v>
      </c>
      <c r="J75" s="207">
        <v>359</v>
      </c>
    </row>
  </sheetData>
  <pageMargins left="0.7" right="0.7" top="0.75" bottom="0.75" header="0" footer="0"/>
  <pageSetup orientation="portrait"/>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Y62"/>
  <sheetViews>
    <sheetView topLeftCell="A53" workbookViewId="0"/>
  </sheetViews>
  <sheetFormatPr defaultColWidth="14.42578125" defaultRowHeight="15" customHeight="1" x14ac:dyDescent="0.25"/>
  <cols>
    <col min="1" max="1" width="23.42578125" customWidth="1"/>
    <col min="2" max="2" width="15.42578125" customWidth="1"/>
    <col min="3" max="24" width="5" customWidth="1"/>
    <col min="25" max="25" width="11" customWidth="1"/>
    <col min="26" max="26" width="8.7109375" customWidth="1"/>
  </cols>
  <sheetData>
    <row r="1" spans="1:17" hidden="1" x14ac:dyDescent="0.25">
      <c r="A1" s="2" t="s">
        <v>2845</v>
      </c>
    </row>
    <row r="2" spans="1:17" hidden="1" x14ac:dyDescent="0.25">
      <c r="A2" s="3"/>
    </row>
    <row r="3" spans="1:17" hidden="1" x14ac:dyDescent="0.25"/>
    <row r="4" spans="1:17" hidden="1" x14ac:dyDescent="0.25">
      <c r="A4" s="111" t="s">
        <v>2778</v>
      </c>
      <c r="B4" s="111" t="s">
        <v>8</v>
      </c>
      <c r="C4" s="112"/>
      <c r="D4" s="112"/>
      <c r="E4" s="112"/>
      <c r="F4" s="112"/>
      <c r="G4" s="112"/>
      <c r="H4" s="112"/>
      <c r="I4" s="112"/>
      <c r="J4" s="112"/>
      <c r="K4" s="112"/>
      <c r="L4" s="112"/>
      <c r="M4" s="112"/>
      <c r="N4" s="112"/>
      <c r="O4" s="112"/>
      <c r="P4" s="112"/>
      <c r="Q4" s="113"/>
    </row>
    <row r="5" spans="1:17" hidden="1" x14ac:dyDescent="0.25">
      <c r="A5" s="111" t="s">
        <v>1</v>
      </c>
      <c r="B5" s="114">
        <v>2003</v>
      </c>
      <c r="C5" s="115">
        <v>2004</v>
      </c>
      <c r="D5" s="115">
        <v>2005</v>
      </c>
      <c r="E5" s="115">
        <v>2006</v>
      </c>
      <c r="F5" s="115">
        <v>2007</v>
      </c>
      <c r="G5" s="115">
        <v>2008</v>
      </c>
      <c r="H5" s="115">
        <v>2009</v>
      </c>
      <c r="I5" s="115">
        <v>2010</v>
      </c>
      <c r="J5" s="115">
        <v>2011</v>
      </c>
      <c r="K5" s="115">
        <v>2012</v>
      </c>
      <c r="L5" s="115">
        <v>2013</v>
      </c>
      <c r="M5" s="115">
        <v>2014</v>
      </c>
      <c r="N5" s="115">
        <v>2015</v>
      </c>
      <c r="O5" s="115">
        <v>2016</v>
      </c>
      <c r="P5" s="115">
        <v>2017</v>
      </c>
      <c r="Q5" s="125">
        <v>2018</v>
      </c>
    </row>
    <row r="6" spans="1:17" hidden="1" x14ac:dyDescent="0.25">
      <c r="A6" s="114" t="s">
        <v>307</v>
      </c>
      <c r="B6" s="184">
        <v>3</v>
      </c>
      <c r="C6" s="185">
        <v>4</v>
      </c>
      <c r="D6" s="185">
        <v>5</v>
      </c>
      <c r="E6" s="185">
        <v>5</v>
      </c>
      <c r="F6" s="185">
        <v>8</v>
      </c>
      <c r="G6" s="185">
        <v>2</v>
      </c>
      <c r="H6" s="185">
        <v>9</v>
      </c>
      <c r="I6" s="185">
        <v>13</v>
      </c>
      <c r="J6" s="185">
        <v>10</v>
      </c>
      <c r="K6" s="185">
        <v>12</v>
      </c>
      <c r="L6" s="185">
        <v>15</v>
      </c>
      <c r="M6" s="185">
        <v>26</v>
      </c>
      <c r="N6" s="185">
        <v>44</v>
      </c>
      <c r="O6" s="185">
        <v>38</v>
      </c>
      <c r="P6" s="185">
        <v>50</v>
      </c>
      <c r="Q6" s="186">
        <v>39</v>
      </c>
    </row>
    <row r="7" spans="1:17" hidden="1" x14ac:dyDescent="0.25">
      <c r="A7" s="117" t="s">
        <v>26</v>
      </c>
      <c r="B7" s="187">
        <v>4</v>
      </c>
      <c r="C7" s="188">
        <v>1</v>
      </c>
      <c r="D7" s="188">
        <v>4</v>
      </c>
      <c r="E7" s="188">
        <v>3</v>
      </c>
      <c r="F7" s="188">
        <v>6</v>
      </c>
      <c r="G7" s="188">
        <v>1</v>
      </c>
      <c r="H7" s="188">
        <v>18</v>
      </c>
      <c r="I7" s="188">
        <v>31</v>
      </c>
      <c r="J7" s="188">
        <v>22</v>
      </c>
      <c r="K7" s="188">
        <v>17</v>
      </c>
      <c r="L7" s="188">
        <v>39</v>
      </c>
      <c r="M7" s="188">
        <v>39</v>
      </c>
      <c r="N7" s="188">
        <v>39</v>
      </c>
      <c r="O7" s="188">
        <v>23</v>
      </c>
      <c r="P7" s="188">
        <v>50</v>
      </c>
      <c r="Q7" s="189">
        <v>33</v>
      </c>
    </row>
    <row r="8" spans="1:17" hidden="1" x14ac:dyDescent="0.25">
      <c r="A8" s="123" t="s">
        <v>76</v>
      </c>
      <c r="B8" s="190">
        <v>115</v>
      </c>
      <c r="C8" s="191">
        <v>132</v>
      </c>
      <c r="D8" s="191">
        <v>157</v>
      </c>
      <c r="E8" s="191">
        <v>139</v>
      </c>
      <c r="F8" s="191">
        <v>151</v>
      </c>
      <c r="G8" s="191">
        <v>130</v>
      </c>
      <c r="H8" s="191">
        <v>150</v>
      </c>
      <c r="I8" s="191">
        <v>172</v>
      </c>
      <c r="J8" s="191">
        <v>126</v>
      </c>
      <c r="K8" s="191">
        <v>92</v>
      </c>
      <c r="L8" s="191">
        <v>112</v>
      </c>
      <c r="M8" s="191">
        <v>124</v>
      </c>
      <c r="N8" s="191">
        <v>129</v>
      </c>
      <c r="O8" s="191">
        <v>104</v>
      </c>
      <c r="P8" s="191">
        <v>89</v>
      </c>
      <c r="Q8" s="192">
        <v>104</v>
      </c>
    </row>
    <row r="27" spans="1:18" ht="15.75" hidden="1" customHeight="1" x14ac:dyDescent="0.25">
      <c r="A27" s="2" t="s">
        <v>2846</v>
      </c>
    </row>
    <row r="28" spans="1:18" ht="15.75" hidden="1" customHeight="1" x14ac:dyDescent="0.25"/>
    <row r="29" spans="1:18" ht="15.75" hidden="1" customHeight="1" x14ac:dyDescent="0.25">
      <c r="A29" s="3"/>
    </row>
    <row r="30" spans="1:18" ht="15.75" hidden="1" customHeight="1" x14ac:dyDescent="0.25"/>
    <row r="31" spans="1:18" ht="15.75" hidden="1" customHeight="1" x14ac:dyDescent="0.25">
      <c r="A31" s="111" t="s">
        <v>2778</v>
      </c>
      <c r="B31" s="111" t="s">
        <v>8</v>
      </c>
      <c r="C31" s="112"/>
      <c r="D31" s="112"/>
      <c r="E31" s="112"/>
      <c r="F31" s="112"/>
      <c r="G31" s="112"/>
      <c r="H31" s="112"/>
      <c r="I31" s="112"/>
      <c r="J31" s="112"/>
      <c r="K31" s="112"/>
      <c r="L31" s="112"/>
      <c r="M31" s="112"/>
      <c r="N31" s="112"/>
      <c r="O31" s="112"/>
      <c r="P31" s="112"/>
      <c r="Q31" s="112"/>
      <c r="R31" s="113"/>
    </row>
    <row r="32" spans="1:18" ht="15.75" hidden="1" customHeight="1" x14ac:dyDescent="0.25">
      <c r="A32" s="111" t="s">
        <v>1</v>
      </c>
      <c r="B32" s="114">
        <v>2003</v>
      </c>
      <c r="C32" s="115">
        <v>2004</v>
      </c>
      <c r="D32" s="115">
        <v>2005</v>
      </c>
      <c r="E32" s="115">
        <v>2006</v>
      </c>
      <c r="F32" s="115">
        <v>2007</v>
      </c>
      <c r="G32" s="115">
        <v>2008</v>
      </c>
      <c r="H32" s="115">
        <v>2009</v>
      </c>
      <c r="I32" s="115">
        <v>2010</v>
      </c>
      <c r="J32" s="115">
        <v>2011</v>
      </c>
      <c r="K32" s="115">
        <v>2012</v>
      </c>
      <c r="L32" s="115">
        <v>2013</v>
      </c>
      <c r="M32" s="115">
        <v>2014</v>
      </c>
      <c r="N32" s="115">
        <v>2015</v>
      </c>
      <c r="O32" s="115">
        <v>2016</v>
      </c>
      <c r="P32" s="115">
        <v>2017</v>
      </c>
      <c r="Q32" s="115">
        <v>2018</v>
      </c>
      <c r="R32" s="125">
        <v>2019</v>
      </c>
    </row>
    <row r="33" spans="1:18" ht="15.75" hidden="1" customHeight="1" x14ac:dyDescent="0.25">
      <c r="A33" s="114" t="s">
        <v>307</v>
      </c>
      <c r="B33" s="184">
        <v>3</v>
      </c>
      <c r="C33" s="185">
        <v>4</v>
      </c>
      <c r="D33" s="185">
        <v>5</v>
      </c>
      <c r="E33" s="185">
        <v>5</v>
      </c>
      <c r="F33" s="185">
        <v>8</v>
      </c>
      <c r="G33" s="185">
        <v>2</v>
      </c>
      <c r="H33" s="185">
        <v>9</v>
      </c>
      <c r="I33" s="185">
        <v>13</v>
      </c>
      <c r="J33" s="185">
        <v>10</v>
      </c>
      <c r="K33" s="185">
        <v>12</v>
      </c>
      <c r="L33" s="185">
        <v>15</v>
      </c>
      <c r="M33" s="185">
        <v>26</v>
      </c>
      <c r="N33" s="185">
        <v>44</v>
      </c>
      <c r="O33" s="185">
        <v>38</v>
      </c>
      <c r="P33" s="185">
        <v>50</v>
      </c>
      <c r="Q33" s="185">
        <v>39</v>
      </c>
      <c r="R33" s="186">
        <v>42</v>
      </c>
    </row>
    <row r="34" spans="1:18" ht="15.75" hidden="1" customHeight="1" x14ac:dyDescent="0.25">
      <c r="A34" s="117" t="s">
        <v>26</v>
      </c>
      <c r="B34" s="187">
        <v>4</v>
      </c>
      <c r="C34" s="188">
        <v>1</v>
      </c>
      <c r="D34" s="188">
        <v>4</v>
      </c>
      <c r="E34" s="188">
        <v>3</v>
      </c>
      <c r="F34" s="188">
        <v>6</v>
      </c>
      <c r="G34" s="188">
        <v>1</v>
      </c>
      <c r="H34" s="188">
        <v>18</v>
      </c>
      <c r="I34" s="188">
        <v>31</v>
      </c>
      <c r="J34" s="188">
        <v>22</v>
      </c>
      <c r="K34" s="188">
        <v>17</v>
      </c>
      <c r="L34" s="188">
        <v>39</v>
      </c>
      <c r="M34" s="188">
        <v>39</v>
      </c>
      <c r="N34" s="188">
        <v>39</v>
      </c>
      <c r="O34" s="188">
        <v>23</v>
      </c>
      <c r="P34" s="188">
        <v>50</v>
      </c>
      <c r="Q34" s="188">
        <v>33</v>
      </c>
      <c r="R34" s="189">
        <v>22</v>
      </c>
    </row>
    <row r="35" spans="1:18" ht="15.75" hidden="1" customHeight="1" x14ac:dyDescent="0.25">
      <c r="A35" s="123" t="s">
        <v>76</v>
      </c>
      <c r="B35" s="190">
        <v>115</v>
      </c>
      <c r="C35" s="191">
        <v>132</v>
      </c>
      <c r="D35" s="191">
        <v>157</v>
      </c>
      <c r="E35" s="191">
        <v>139</v>
      </c>
      <c r="F35" s="191">
        <v>151</v>
      </c>
      <c r="G35" s="191">
        <v>130</v>
      </c>
      <c r="H35" s="191">
        <v>150</v>
      </c>
      <c r="I35" s="191">
        <v>172</v>
      </c>
      <c r="J35" s="191">
        <v>126</v>
      </c>
      <c r="K35" s="191">
        <v>92</v>
      </c>
      <c r="L35" s="191">
        <v>112</v>
      </c>
      <c r="M35" s="191">
        <v>124</v>
      </c>
      <c r="N35" s="191">
        <v>129</v>
      </c>
      <c r="O35" s="191">
        <v>104</v>
      </c>
      <c r="P35" s="191">
        <v>89</v>
      </c>
      <c r="Q35" s="191">
        <v>104</v>
      </c>
      <c r="R35" s="192">
        <v>105</v>
      </c>
    </row>
    <row r="53" spans="1:25" ht="15.75" customHeight="1" x14ac:dyDescent="0.25">
      <c r="A53" s="12" t="s">
        <v>3125</v>
      </c>
    </row>
    <row r="54" spans="1:25" ht="15.75" customHeight="1" x14ac:dyDescent="0.25"/>
    <row r="55" spans="1:25" x14ac:dyDescent="0.25">
      <c r="A55" s="120" t="s">
        <v>6</v>
      </c>
      <c r="B55" s="119" t="s">
        <v>41</v>
      </c>
    </row>
    <row r="56" spans="1:25" ht="15.75" customHeight="1" x14ac:dyDescent="0.25"/>
    <row r="57" spans="1:25" ht="15.75" customHeight="1" x14ac:dyDescent="0.25">
      <c r="A57" s="111" t="s">
        <v>2778</v>
      </c>
      <c r="B57" s="111" t="s">
        <v>8</v>
      </c>
      <c r="C57" s="112"/>
      <c r="D57" s="112"/>
      <c r="E57" s="112"/>
      <c r="F57" s="112"/>
      <c r="G57" s="112"/>
      <c r="H57" s="112"/>
      <c r="I57" s="112"/>
      <c r="J57" s="112"/>
      <c r="K57" s="112"/>
      <c r="L57" s="112"/>
      <c r="M57" s="112"/>
      <c r="N57" s="112"/>
      <c r="O57" s="112"/>
      <c r="P57" s="112"/>
      <c r="Q57" s="112"/>
      <c r="R57" s="112"/>
      <c r="S57" s="112"/>
      <c r="T57" s="112"/>
      <c r="U57" s="112"/>
      <c r="V57" s="112"/>
      <c r="W57" s="112"/>
      <c r="X57" s="112"/>
      <c r="Y57" s="113"/>
    </row>
    <row r="58" spans="1:25" x14ac:dyDescent="0.25">
      <c r="A58" s="111" t="s">
        <v>1</v>
      </c>
      <c r="B58" s="114">
        <v>2002</v>
      </c>
      <c r="C58" s="115">
        <v>2003</v>
      </c>
      <c r="D58" s="115">
        <v>2004</v>
      </c>
      <c r="E58" s="115">
        <v>2005</v>
      </c>
      <c r="F58" s="115">
        <v>2006</v>
      </c>
      <c r="G58" s="115">
        <v>2007</v>
      </c>
      <c r="H58" s="115">
        <v>2008</v>
      </c>
      <c r="I58" s="115">
        <v>2009</v>
      </c>
      <c r="J58" s="115">
        <v>2010</v>
      </c>
      <c r="K58" s="115">
        <v>2011</v>
      </c>
      <c r="L58" s="115">
        <v>2012</v>
      </c>
      <c r="M58" s="115">
        <v>2013</v>
      </c>
      <c r="N58" s="115">
        <v>2014</v>
      </c>
      <c r="O58" s="115">
        <v>2015</v>
      </c>
      <c r="P58" s="115">
        <v>2016</v>
      </c>
      <c r="Q58" s="115">
        <v>2017</v>
      </c>
      <c r="R58" s="115">
        <v>2018</v>
      </c>
      <c r="S58" s="115">
        <v>2019</v>
      </c>
      <c r="T58" s="115">
        <v>2020</v>
      </c>
      <c r="U58" s="115">
        <v>2021</v>
      </c>
      <c r="V58" s="115">
        <v>2022</v>
      </c>
      <c r="W58" s="115">
        <v>2023</v>
      </c>
      <c r="X58" s="115">
        <v>2024</v>
      </c>
      <c r="Y58" s="122" t="s">
        <v>2779</v>
      </c>
    </row>
    <row r="59" spans="1:25" x14ac:dyDescent="0.25">
      <c r="A59" s="114" t="s">
        <v>307</v>
      </c>
      <c r="B59" s="184">
        <v>1</v>
      </c>
      <c r="C59" s="185">
        <v>2</v>
      </c>
      <c r="D59" s="185">
        <v>1</v>
      </c>
      <c r="E59" s="185">
        <v>1</v>
      </c>
      <c r="F59" s="185">
        <v>4</v>
      </c>
      <c r="G59" s="185">
        <v>3</v>
      </c>
      <c r="H59" s="185">
        <v>0</v>
      </c>
      <c r="I59" s="185">
        <v>2</v>
      </c>
      <c r="J59" s="185">
        <v>3</v>
      </c>
      <c r="K59" s="185">
        <v>5</v>
      </c>
      <c r="L59" s="185">
        <v>2</v>
      </c>
      <c r="M59" s="185">
        <v>2</v>
      </c>
      <c r="N59" s="185">
        <v>3</v>
      </c>
      <c r="O59" s="185">
        <v>8</v>
      </c>
      <c r="P59" s="185">
        <v>9</v>
      </c>
      <c r="Q59" s="185">
        <v>11</v>
      </c>
      <c r="R59" s="185">
        <v>5</v>
      </c>
      <c r="S59" s="185">
        <v>13</v>
      </c>
      <c r="T59" s="185">
        <v>2</v>
      </c>
      <c r="U59" s="185">
        <v>4</v>
      </c>
      <c r="V59" s="185">
        <v>2</v>
      </c>
      <c r="W59" s="185">
        <v>6</v>
      </c>
      <c r="X59" s="185">
        <v>3</v>
      </c>
      <c r="Y59" s="199">
        <v>92</v>
      </c>
    </row>
    <row r="60" spans="1:25" x14ac:dyDescent="0.25">
      <c r="A60" s="117" t="s">
        <v>26</v>
      </c>
      <c r="B60" s="187">
        <v>1</v>
      </c>
      <c r="C60" s="188">
        <v>0</v>
      </c>
      <c r="D60" s="188">
        <v>0</v>
      </c>
      <c r="E60" s="188">
        <v>2</v>
      </c>
      <c r="F60" s="188">
        <v>0</v>
      </c>
      <c r="G60" s="188">
        <v>0</v>
      </c>
      <c r="H60" s="188">
        <v>0</v>
      </c>
      <c r="I60" s="188">
        <v>8</v>
      </c>
      <c r="J60" s="188">
        <v>18</v>
      </c>
      <c r="K60" s="188">
        <v>13</v>
      </c>
      <c r="L60" s="188">
        <v>10</v>
      </c>
      <c r="M60" s="188">
        <v>9</v>
      </c>
      <c r="N60" s="188">
        <v>13</v>
      </c>
      <c r="O60" s="188">
        <v>7</v>
      </c>
      <c r="P60" s="188">
        <v>4</v>
      </c>
      <c r="Q60" s="188">
        <v>9</v>
      </c>
      <c r="R60" s="188">
        <v>4</v>
      </c>
      <c r="S60" s="188">
        <v>4</v>
      </c>
      <c r="T60" s="188">
        <v>1</v>
      </c>
      <c r="U60" s="188">
        <v>0</v>
      </c>
      <c r="V60" s="188">
        <v>0</v>
      </c>
      <c r="W60" s="188">
        <v>4</v>
      </c>
      <c r="X60" s="188">
        <v>1</v>
      </c>
      <c r="Y60" s="200">
        <v>108</v>
      </c>
    </row>
    <row r="61" spans="1:25" x14ac:dyDescent="0.25">
      <c r="A61" s="117" t="s">
        <v>76</v>
      </c>
      <c r="B61" s="187">
        <v>14</v>
      </c>
      <c r="C61" s="188">
        <v>14</v>
      </c>
      <c r="D61" s="188">
        <v>18</v>
      </c>
      <c r="E61" s="188">
        <v>21</v>
      </c>
      <c r="F61" s="188">
        <v>20</v>
      </c>
      <c r="G61" s="188">
        <v>13</v>
      </c>
      <c r="H61" s="188">
        <v>17</v>
      </c>
      <c r="I61" s="188">
        <v>17</v>
      </c>
      <c r="J61" s="188">
        <v>26</v>
      </c>
      <c r="K61" s="188">
        <v>16</v>
      </c>
      <c r="L61" s="188">
        <v>14</v>
      </c>
      <c r="M61" s="188">
        <v>16</v>
      </c>
      <c r="N61" s="188">
        <v>19</v>
      </c>
      <c r="O61" s="188">
        <v>16</v>
      </c>
      <c r="P61" s="188">
        <v>28</v>
      </c>
      <c r="Q61" s="188">
        <v>16</v>
      </c>
      <c r="R61" s="188">
        <v>18</v>
      </c>
      <c r="S61" s="188">
        <v>21</v>
      </c>
      <c r="T61" s="188">
        <v>3</v>
      </c>
      <c r="U61" s="188">
        <v>6</v>
      </c>
      <c r="V61" s="188">
        <v>10</v>
      </c>
      <c r="W61" s="188">
        <v>16</v>
      </c>
      <c r="X61" s="188">
        <v>15</v>
      </c>
      <c r="Y61" s="200">
        <v>374</v>
      </c>
    </row>
    <row r="62" spans="1:25" x14ac:dyDescent="0.25">
      <c r="A62" s="121" t="s">
        <v>2779</v>
      </c>
      <c r="B62" s="196">
        <v>16</v>
      </c>
      <c r="C62" s="197">
        <v>16</v>
      </c>
      <c r="D62" s="197">
        <v>19</v>
      </c>
      <c r="E62" s="197">
        <v>24</v>
      </c>
      <c r="F62" s="197">
        <v>24</v>
      </c>
      <c r="G62" s="197">
        <v>16</v>
      </c>
      <c r="H62" s="197">
        <v>17</v>
      </c>
      <c r="I62" s="197">
        <v>27</v>
      </c>
      <c r="J62" s="197">
        <v>47</v>
      </c>
      <c r="K62" s="197">
        <v>34</v>
      </c>
      <c r="L62" s="197">
        <v>26</v>
      </c>
      <c r="M62" s="197">
        <v>27</v>
      </c>
      <c r="N62" s="197">
        <v>35</v>
      </c>
      <c r="O62" s="197">
        <v>31</v>
      </c>
      <c r="P62" s="197">
        <v>41</v>
      </c>
      <c r="Q62" s="197">
        <v>36</v>
      </c>
      <c r="R62" s="197">
        <v>27</v>
      </c>
      <c r="S62" s="197">
        <v>38</v>
      </c>
      <c r="T62" s="197">
        <v>6</v>
      </c>
      <c r="U62" s="197">
        <v>10</v>
      </c>
      <c r="V62" s="197">
        <v>12</v>
      </c>
      <c r="W62" s="197">
        <v>26</v>
      </c>
      <c r="X62" s="197">
        <v>19</v>
      </c>
      <c r="Y62" s="198">
        <v>574</v>
      </c>
    </row>
  </sheetData>
  <pageMargins left="0.7" right="0.7" top="0.75" bottom="0.75" header="0" footer="0"/>
  <pageSetup orientation="portrait"/>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6:Y66"/>
  <sheetViews>
    <sheetView topLeftCell="A58" workbookViewId="0"/>
  </sheetViews>
  <sheetFormatPr defaultColWidth="14.42578125" defaultRowHeight="15" customHeight="1" x14ac:dyDescent="0.25"/>
  <cols>
    <col min="1" max="1" width="23.42578125" customWidth="1"/>
    <col min="2" max="2" width="15.42578125" customWidth="1"/>
    <col min="3" max="24" width="5" customWidth="1"/>
    <col min="25" max="26" width="8.7109375" customWidth="1"/>
  </cols>
  <sheetData>
    <row r="6" spans="1:17" hidden="1" x14ac:dyDescent="0.25">
      <c r="A6" s="2" t="s">
        <v>2847</v>
      </c>
    </row>
    <row r="7" spans="1:17" hidden="1" x14ac:dyDescent="0.25"/>
    <row r="8" spans="1:17" hidden="1" x14ac:dyDescent="0.25">
      <c r="A8" s="3"/>
    </row>
    <row r="9" spans="1:17" hidden="1" x14ac:dyDescent="0.25">
      <c r="A9" s="120" t="s">
        <v>10</v>
      </c>
      <c r="B9" s="119" t="s">
        <v>2827</v>
      </c>
    </row>
    <row r="10" spans="1:17" hidden="1" x14ac:dyDescent="0.25"/>
    <row r="11" spans="1:17" hidden="1" x14ac:dyDescent="0.25">
      <c r="A11" s="111" t="s">
        <v>2778</v>
      </c>
      <c r="B11" s="111" t="s">
        <v>8</v>
      </c>
      <c r="C11" s="112"/>
      <c r="D11" s="112"/>
      <c r="E11" s="112"/>
      <c r="F11" s="112"/>
      <c r="G11" s="112"/>
      <c r="H11" s="112"/>
      <c r="I11" s="112"/>
      <c r="J11" s="112"/>
      <c r="K11" s="112"/>
      <c r="L11" s="112"/>
      <c r="M11" s="112"/>
      <c r="N11" s="112"/>
      <c r="O11" s="112"/>
      <c r="P11" s="112"/>
      <c r="Q11" s="113"/>
    </row>
    <row r="12" spans="1:17" hidden="1" x14ac:dyDescent="0.25">
      <c r="A12" s="111" t="s">
        <v>15</v>
      </c>
      <c r="B12" s="114">
        <v>2003</v>
      </c>
      <c r="C12" s="115">
        <v>2004</v>
      </c>
      <c r="D12" s="115">
        <v>2005</v>
      </c>
      <c r="E12" s="115">
        <v>2006</v>
      </c>
      <c r="F12" s="115">
        <v>2007</v>
      </c>
      <c r="G12" s="115">
        <v>2008</v>
      </c>
      <c r="H12" s="115">
        <v>2009</v>
      </c>
      <c r="I12" s="115">
        <v>2010</v>
      </c>
      <c r="J12" s="115">
        <v>2011</v>
      </c>
      <c r="K12" s="115">
        <v>2012</v>
      </c>
      <c r="L12" s="115">
        <v>2013</v>
      </c>
      <c r="M12" s="115">
        <v>2014</v>
      </c>
      <c r="N12" s="115">
        <v>2015</v>
      </c>
      <c r="O12" s="115">
        <v>2016</v>
      </c>
      <c r="P12" s="115">
        <v>2017</v>
      </c>
      <c r="Q12" s="125">
        <v>2018</v>
      </c>
    </row>
    <row r="13" spans="1:17" hidden="1" x14ac:dyDescent="0.25">
      <c r="A13" s="114" t="s">
        <v>83</v>
      </c>
      <c r="B13" s="184">
        <v>61</v>
      </c>
      <c r="C13" s="185">
        <v>63</v>
      </c>
      <c r="D13" s="185">
        <v>65</v>
      </c>
      <c r="E13" s="185">
        <v>76</v>
      </c>
      <c r="F13" s="185">
        <v>78</v>
      </c>
      <c r="G13" s="185">
        <v>72</v>
      </c>
      <c r="H13" s="185">
        <v>81</v>
      </c>
      <c r="I13" s="185">
        <v>94</v>
      </c>
      <c r="J13" s="185">
        <v>56</v>
      </c>
      <c r="K13" s="185">
        <v>27</v>
      </c>
      <c r="L13" s="185">
        <v>34</v>
      </c>
      <c r="M13" s="185">
        <v>40</v>
      </c>
      <c r="N13" s="185">
        <v>53</v>
      </c>
      <c r="O13" s="185">
        <v>41</v>
      </c>
      <c r="P13" s="185">
        <v>32</v>
      </c>
      <c r="Q13" s="186">
        <v>36</v>
      </c>
    </row>
    <row r="14" spans="1:17" hidden="1" x14ac:dyDescent="0.25">
      <c r="A14" s="123" t="s">
        <v>101</v>
      </c>
      <c r="B14" s="190">
        <v>54</v>
      </c>
      <c r="C14" s="191">
        <v>69</v>
      </c>
      <c r="D14" s="191">
        <v>92</v>
      </c>
      <c r="E14" s="191">
        <v>63</v>
      </c>
      <c r="F14" s="191">
        <v>73</v>
      </c>
      <c r="G14" s="191">
        <v>58</v>
      </c>
      <c r="H14" s="191">
        <v>69</v>
      </c>
      <c r="I14" s="191">
        <v>78</v>
      </c>
      <c r="J14" s="191">
        <v>70</v>
      </c>
      <c r="K14" s="191">
        <v>65</v>
      </c>
      <c r="L14" s="191">
        <v>78</v>
      </c>
      <c r="M14" s="191">
        <v>84</v>
      </c>
      <c r="N14" s="191">
        <v>76</v>
      </c>
      <c r="O14" s="191">
        <v>63</v>
      </c>
      <c r="P14" s="191">
        <v>57</v>
      </c>
      <c r="Q14" s="192">
        <v>68</v>
      </c>
    </row>
    <row r="32" spans="1:1" ht="15.75" hidden="1" customHeight="1" x14ac:dyDescent="0.25">
      <c r="A32" s="2" t="s">
        <v>2848</v>
      </c>
    </row>
    <row r="34" spans="1:18" hidden="1" x14ac:dyDescent="0.25">
      <c r="A34" s="120" t="s">
        <v>10</v>
      </c>
      <c r="B34" s="119" t="s">
        <v>2827</v>
      </c>
    </row>
    <row r="35" spans="1:18" ht="15.75" hidden="1" customHeight="1" x14ac:dyDescent="0.25"/>
    <row r="36" spans="1:18" ht="15.75" hidden="1" customHeight="1" x14ac:dyDescent="0.25">
      <c r="A36" s="111" t="s">
        <v>2778</v>
      </c>
      <c r="B36" s="111" t="s">
        <v>8</v>
      </c>
      <c r="C36" s="112"/>
      <c r="D36" s="112"/>
      <c r="E36" s="112"/>
      <c r="F36" s="112"/>
      <c r="G36" s="112"/>
      <c r="H36" s="112"/>
      <c r="I36" s="112"/>
      <c r="J36" s="112"/>
      <c r="K36" s="112"/>
      <c r="L36" s="112"/>
      <c r="M36" s="112"/>
      <c r="N36" s="112"/>
      <c r="O36" s="112"/>
      <c r="P36" s="112"/>
      <c r="Q36" s="112"/>
      <c r="R36" s="113"/>
    </row>
    <row r="37" spans="1:18" ht="15.75" hidden="1" customHeight="1" x14ac:dyDescent="0.25">
      <c r="A37" s="111" t="s">
        <v>15</v>
      </c>
      <c r="B37" s="114">
        <v>2003</v>
      </c>
      <c r="C37" s="115">
        <v>2004</v>
      </c>
      <c r="D37" s="115">
        <v>2005</v>
      </c>
      <c r="E37" s="115">
        <v>2006</v>
      </c>
      <c r="F37" s="115">
        <v>2007</v>
      </c>
      <c r="G37" s="115">
        <v>2008</v>
      </c>
      <c r="H37" s="115">
        <v>2009</v>
      </c>
      <c r="I37" s="115">
        <v>2010</v>
      </c>
      <c r="J37" s="115">
        <v>2011</v>
      </c>
      <c r="K37" s="115">
        <v>2012</v>
      </c>
      <c r="L37" s="115">
        <v>2013</v>
      </c>
      <c r="M37" s="115">
        <v>2014</v>
      </c>
      <c r="N37" s="115">
        <v>2015</v>
      </c>
      <c r="O37" s="115">
        <v>2016</v>
      </c>
      <c r="P37" s="115">
        <v>2017</v>
      </c>
      <c r="Q37" s="115">
        <v>2018</v>
      </c>
      <c r="R37" s="125">
        <v>2019</v>
      </c>
    </row>
    <row r="38" spans="1:18" ht="15.75" hidden="1" customHeight="1" x14ac:dyDescent="0.25">
      <c r="A38" s="114" t="s">
        <v>83</v>
      </c>
      <c r="B38" s="184">
        <v>61</v>
      </c>
      <c r="C38" s="185">
        <v>63</v>
      </c>
      <c r="D38" s="185">
        <v>65</v>
      </c>
      <c r="E38" s="185">
        <v>76</v>
      </c>
      <c r="F38" s="185">
        <v>78</v>
      </c>
      <c r="G38" s="185">
        <v>72</v>
      </c>
      <c r="H38" s="185">
        <v>81</v>
      </c>
      <c r="I38" s="185">
        <v>94</v>
      </c>
      <c r="J38" s="185">
        <v>56</v>
      </c>
      <c r="K38" s="185">
        <v>27</v>
      </c>
      <c r="L38" s="185">
        <v>34</v>
      </c>
      <c r="M38" s="185">
        <v>40</v>
      </c>
      <c r="N38" s="185">
        <v>53</v>
      </c>
      <c r="O38" s="185">
        <v>41</v>
      </c>
      <c r="P38" s="185">
        <v>32</v>
      </c>
      <c r="Q38" s="185">
        <v>36</v>
      </c>
      <c r="R38" s="186">
        <v>42</v>
      </c>
    </row>
    <row r="39" spans="1:18" ht="15.75" hidden="1" customHeight="1" x14ac:dyDescent="0.25">
      <c r="A39" s="123" t="s">
        <v>101</v>
      </c>
      <c r="B39" s="190">
        <v>54</v>
      </c>
      <c r="C39" s="191">
        <v>69</v>
      </c>
      <c r="D39" s="191">
        <v>92</v>
      </c>
      <c r="E39" s="191">
        <v>63</v>
      </c>
      <c r="F39" s="191">
        <v>73</v>
      </c>
      <c r="G39" s="191">
        <v>58</v>
      </c>
      <c r="H39" s="191">
        <v>69</v>
      </c>
      <c r="I39" s="191">
        <v>78</v>
      </c>
      <c r="J39" s="191">
        <v>70</v>
      </c>
      <c r="K39" s="191">
        <v>65</v>
      </c>
      <c r="L39" s="191">
        <v>78</v>
      </c>
      <c r="M39" s="191">
        <v>84</v>
      </c>
      <c r="N39" s="191">
        <v>76</v>
      </c>
      <c r="O39" s="191">
        <v>63</v>
      </c>
      <c r="P39" s="191">
        <v>57</v>
      </c>
      <c r="Q39" s="191">
        <v>68</v>
      </c>
      <c r="R39" s="192">
        <v>63</v>
      </c>
    </row>
    <row r="58" spans="1:25" ht="15.75" customHeight="1" x14ac:dyDescent="0.25">
      <c r="A58" s="12" t="s">
        <v>3126</v>
      </c>
    </row>
    <row r="59" spans="1:25" x14ac:dyDescent="0.25">
      <c r="A59" s="120" t="s">
        <v>6</v>
      </c>
      <c r="B59" s="119" t="s">
        <v>41</v>
      </c>
    </row>
    <row r="60" spans="1:25" x14ac:dyDescent="0.25">
      <c r="A60" s="120" t="s">
        <v>10</v>
      </c>
      <c r="B60" s="119" t="s">
        <v>2827</v>
      </c>
    </row>
    <row r="61" spans="1:25" ht="15.75" customHeight="1" x14ac:dyDescent="0.25"/>
    <row r="62" spans="1:25" ht="15.75" customHeight="1" x14ac:dyDescent="0.25">
      <c r="A62" s="111" t="s">
        <v>2778</v>
      </c>
      <c r="B62" s="111" t="s">
        <v>8</v>
      </c>
      <c r="C62" s="112"/>
      <c r="D62" s="112"/>
      <c r="E62" s="112"/>
      <c r="F62" s="112"/>
      <c r="G62" s="112"/>
      <c r="H62" s="112"/>
      <c r="I62" s="112"/>
      <c r="J62" s="112"/>
      <c r="K62" s="112"/>
      <c r="L62" s="112"/>
      <c r="M62" s="112"/>
      <c r="N62" s="112"/>
      <c r="O62" s="112"/>
      <c r="P62" s="112"/>
      <c r="Q62" s="112"/>
      <c r="R62" s="112"/>
      <c r="S62" s="112"/>
      <c r="T62" s="112"/>
      <c r="U62" s="112"/>
      <c r="V62" s="112"/>
      <c r="W62" s="112"/>
      <c r="X62" s="112"/>
      <c r="Y62" s="113"/>
    </row>
    <row r="63" spans="1:25" x14ac:dyDescent="0.25">
      <c r="A63" s="111" t="s">
        <v>15</v>
      </c>
      <c r="B63" s="114">
        <v>2002</v>
      </c>
      <c r="C63" s="115">
        <v>2003</v>
      </c>
      <c r="D63" s="115">
        <v>2004</v>
      </c>
      <c r="E63" s="115">
        <v>2005</v>
      </c>
      <c r="F63" s="115">
        <v>2006</v>
      </c>
      <c r="G63" s="115">
        <v>2007</v>
      </c>
      <c r="H63" s="115">
        <v>2008</v>
      </c>
      <c r="I63" s="115">
        <v>2009</v>
      </c>
      <c r="J63" s="115">
        <v>2010</v>
      </c>
      <c r="K63" s="115">
        <v>2011</v>
      </c>
      <c r="L63" s="115">
        <v>2012</v>
      </c>
      <c r="M63" s="115">
        <v>2013</v>
      </c>
      <c r="N63" s="115">
        <v>2014</v>
      </c>
      <c r="O63" s="115">
        <v>2015</v>
      </c>
      <c r="P63" s="115">
        <v>2016</v>
      </c>
      <c r="Q63" s="115">
        <v>2017</v>
      </c>
      <c r="R63" s="115">
        <v>2018</v>
      </c>
      <c r="S63" s="115">
        <v>2019</v>
      </c>
      <c r="T63" s="115">
        <v>2020</v>
      </c>
      <c r="U63" s="115">
        <v>2021</v>
      </c>
      <c r="V63" s="115">
        <v>2022</v>
      </c>
      <c r="W63" s="115">
        <v>2023</v>
      </c>
      <c r="X63" s="115">
        <v>2024</v>
      </c>
      <c r="Y63" s="122" t="s">
        <v>2779</v>
      </c>
    </row>
    <row r="64" spans="1:25" x14ac:dyDescent="0.25">
      <c r="A64" s="114" t="s">
        <v>83</v>
      </c>
      <c r="B64" s="184">
        <v>6</v>
      </c>
      <c r="C64" s="185">
        <v>4</v>
      </c>
      <c r="D64" s="185">
        <v>8</v>
      </c>
      <c r="E64" s="185">
        <v>6</v>
      </c>
      <c r="F64" s="185">
        <v>9</v>
      </c>
      <c r="G64" s="185">
        <v>7</v>
      </c>
      <c r="H64" s="185">
        <v>13</v>
      </c>
      <c r="I64" s="185">
        <v>6</v>
      </c>
      <c r="J64" s="185">
        <v>13</v>
      </c>
      <c r="K64" s="185">
        <v>5</v>
      </c>
      <c r="L64" s="185">
        <v>6</v>
      </c>
      <c r="M64" s="185">
        <v>3</v>
      </c>
      <c r="N64" s="185">
        <v>5</v>
      </c>
      <c r="O64" s="185">
        <v>6</v>
      </c>
      <c r="P64" s="185">
        <v>14</v>
      </c>
      <c r="Q64" s="185">
        <v>6</v>
      </c>
      <c r="R64" s="185">
        <v>7</v>
      </c>
      <c r="S64" s="185">
        <v>10</v>
      </c>
      <c r="T64" s="185">
        <v>3</v>
      </c>
      <c r="U64" s="185">
        <v>4</v>
      </c>
      <c r="V64" s="185">
        <v>4</v>
      </c>
      <c r="W64" s="185">
        <v>9</v>
      </c>
      <c r="X64" s="185">
        <v>8</v>
      </c>
      <c r="Y64" s="199">
        <v>162</v>
      </c>
    </row>
    <row r="65" spans="1:25" x14ac:dyDescent="0.25">
      <c r="A65" s="117" t="s">
        <v>101</v>
      </c>
      <c r="B65" s="187">
        <v>8</v>
      </c>
      <c r="C65" s="188">
        <v>10</v>
      </c>
      <c r="D65" s="188">
        <v>10</v>
      </c>
      <c r="E65" s="188">
        <v>15</v>
      </c>
      <c r="F65" s="188">
        <v>11</v>
      </c>
      <c r="G65" s="188">
        <v>6</v>
      </c>
      <c r="H65" s="188">
        <v>4</v>
      </c>
      <c r="I65" s="188">
        <v>11</v>
      </c>
      <c r="J65" s="188">
        <v>13</v>
      </c>
      <c r="K65" s="188">
        <v>11</v>
      </c>
      <c r="L65" s="188">
        <v>8</v>
      </c>
      <c r="M65" s="188">
        <v>13</v>
      </c>
      <c r="N65" s="188">
        <v>14</v>
      </c>
      <c r="O65" s="188">
        <v>10</v>
      </c>
      <c r="P65" s="188">
        <v>14</v>
      </c>
      <c r="Q65" s="188">
        <v>10</v>
      </c>
      <c r="R65" s="188">
        <v>11</v>
      </c>
      <c r="S65" s="188">
        <v>11</v>
      </c>
      <c r="T65" s="188">
        <v>0</v>
      </c>
      <c r="U65" s="188">
        <v>1</v>
      </c>
      <c r="V65" s="188">
        <v>2</v>
      </c>
      <c r="W65" s="188">
        <v>7</v>
      </c>
      <c r="X65" s="188">
        <v>7</v>
      </c>
      <c r="Y65" s="200">
        <v>207</v>
      </c>
    </row>
    <row r="66" spans="1:25" x14ac:dyDescent="0.25">
      <c r="A66" s="121" t="s">
        <v>2779</v>
      </c>
      <c r="B66" s="196">
        <v>14</v>
      </c>
      <c r="C66" s="197">
        <v>14</v>
      </c>
      <c r="D66" s="197">
        <v>18</v>
      </c>
      <c r="E66" s="197">
        <v>21</v>
      </c>
      <c r="F66" s="197">
        <v>20</v>
      </c>
      <c r="G66" s="197">
        <v>13</v>
      </c>
      <c r="H66" s="197">
        <v>17</v>
      </c>
      <c r="I66" s="197">
        <v>17</v>
      </c>
      <c r="J66" s="197">
        <v>26</v>
      </c>
      <c r="K66" s="197">
        <v>16</v>
      </c>
      <c r="L66" s="197">
        <v>14</v>
      </c>
      <c r="M66" s="197">
        <v>16</v>
      </c>
      <c r="N66" s="197">
        <v>19</v>
      </c>
      <c r="O66" s="197">
        <v>16</v>
      </c>
      <c r="P66" s="197">
        <v>28</v>
      </c>
      <c r="Q66" s="197">
        <v>16</v>
      </c>
      <c r="R66" s="197">
        <v>18</v>
      </c>
      <c r="S66" s="197">
        <v>21</v>
      </c>
      <c r="T66" s="197">
        <v>3</v>
      </c>
      <c r="U66" s="197">
        <v>5</v>
      </c>
      <c r="V66" s="197">
        <v>6</v>
      </c>
      <c r="W66" s="197">
        <v>16</v>
      </c>
      <c r="X66" s="197">
        <v>15</v>
      </c>
      <c r="Y66" s="198">
        <v>369</v>
      </c>
    </row>
  </sheetData>
  <pageMargins left="0.7" right="0.7" top="0.75" bottom="0.75" header="0" footer="0"/>
  <pageSetup orientation="portrait"/>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Y68"/>
  <sheetViews>
    <sheetView topLeftCell="A55" workbookViewId="0"/>
  </sheetViews>
  <sheetFormatPr defaultColWidth="14.42578125" defaultRowHeight="15" customHeight="1" x14ac:dyDescent="0.25"/>
  <cols>
    <col min="1" max="1" width="29.7109375" customWidth="1"/>
    <col min="2" max="2" width="22.28515625" customWidth="1"/>
    <col min="3" max="20" width="6" customWidth="1"/>
    <col min="21" max="24" width="5" customWidth="1"/>
    <col min="25" max="25" width="11.28515625" customWidth="1"/>
    <col min="26" max="26" width="8.7109375" customWidth="1"/>
  </cols>
  <sheetData>
    <row r="1" spans="1:17" hidden="1" x14ac:dyDescent="0.25">
      <c r="A1" s="2" t="s">
        <v>2849</v>
      </c>
    </row>
    <row r="2" spans="1:17" hidden="1" x14ac:dyDescent="0.25">
      <c r="A2" s="120" t="s">
        <v>1</v>
      </c>
      <c r="B2" s="119" t="s">
        <v>307</v>
      </c>
    </row>
    <row r="3" spans="1:17" hidden="1" x14ac:dyDescent="0.25">
      <c r="A3" s="120" t="s">
        <v>10</v>
      </c>
      <c r="B3" s="119" t="s">
        <v>2827</v>
      </c>
    </row>
    <row r="4" spans="1:17" hidden="1" x14ac:dyDescent="0.25"/>
    <row r="5" spans="1:17" hidden="1" x14ac:dyDescent="0.25">
      <c r="A5" s="114"/>
      <c r="B5" s="111" t="s">
        <v>8</v>
      </c>
      <c r="C5" s="112"/>
      <c r="D5" s="112"/>
      <c r="E5" s="112"/>
      <c r="F5" s="112"/>
      <c r="G5" s="112"/>
      <c r="H5" s="112"/>
      <c r="I5" s="112"/>
      <c r="J5" s="112"/>
      <c r="K5" s="112"/>
      <c r="L5" s="112"/>
      <c r="M5" s="112"/>
      <c r="N5" s="112"/>
      <c r="O5" s="112"/>
      <c r="P5" s="112"/>
      <c r="Q5" s="113"/>
    </row>
    <row r="6" spans="1:17" hidden="1" x14ac:dyDescent="0.25">
      <c r="A6" s="124"/>
      <c r="B6" s="114">
        <v>2003</v>
      </c>
      <c r="C6" s="115">
        <v>2004</v>
      </c>
      <c r="D6" s="115">
        <v>2005</v>
      </c>
      <c r="E6" s="115">
        <v>2006</v>
      </c>
      <c r="F6" s="115">
        <v>2007</v>
      </c>
      <c r="G6" s="115">
        <v>2008</v>
      </c>
      <c r="H6" s="115">
        <v>2009</v>
      </c>
      <c r="I6" s="115">
        <v>2010</v>
      </c>
      <c r="J6" s="115">
        <v>2011</v>
      </c>
      <c r="K6" s="115">
        <v>2012</v>
      </c>
      <c r="L6" s="115">
        <v>2013</v>
      </c>
      <c r="M6" s="115">
        <v>2014</v>
      </c>
      <c r="N6" s="115">
        <v>2015</v>
      </c>
      <c r="O6" s="115">
        <v>2016</v>
      </c>
      <c r="P6" s="115">
        <v>2017</v>
      </c>
      <c r="Q6" s="125">
        <v>2018</v>
      </c>
    </row>
    <row r="7" spans="1:17" hidden="1" x14ac:dyDescent="0.25">
      <c r="A7" s="118" t="s">
        <v>2778</v>
      </c>
      <c r="B7" s="181">
        <v>3</v>
      </c>
      <c r="C7" s="182">
        <v>4</v>
      </c>
      <c r="D7" s="182">
        <v>5</v>
      </c>
      <c r="E7" s="182">
        <v>5</v>
      </c>
      <c r="F7" s="182">
        <v>8</v>
      </c>
      <c r="G7" s="182">
        <v>2</v>
      </c>
      <c r="H7" s="182">
        <v>9</v>
      </c>
      <c r="I7" s="182">
        <v>13</v>
      </c>
      <c r="J7" s="182">
        <v>10</v>
      </c>
      <c r="K7" s="182">
        <v>12</v>
      </c>
      <c r="L7" s="182">
        <v>15</v>
      </c>
      <c r="M7" s="182">
        <v>26</v>
      </c>
      <c r="N7" s="182">
        <v>44</v>
      </c>
      <c r="O7" s="182">
        <v>38</v>
      </c>
      <c r="P7" s="182">
        <v>50</v>
      </c>
      <c r="Q7" s="183">
        <v>39</v>
      </c>
    </row>
    <row r="25" spans="1:18" ht="15.75" hidden="1" customHeight="1" x14ac:dyDescent="0.25">
      <c r="A25" s="2" t="s">
        <v>2849</v>
      </c>
    </row>
    <row r="26" spans="1:18" hidden="1" x14ac:dyDescent="0.25">
      <c r="A26" s="120" t="s">
        <v>1</v>
      </c>
      <c r="B26" s="119" t="s">
        <v>307</v>
      </c>
    </row>
    <row r="27" spans="1:18" hidden="1" x14ac:dyDescent="0.25">
      <c r="A27" s="120" t="s">
        <v>10</v>
      </c>
      <c r="B27" s="119" t="s">
        <v>2827</v>
      </c>
    </row>
    <row r="28" spans="1:18" ht="15.75" hidden="1" customHeight="1" x14ac:dyDescent="0.25"/>
    <row r="29" spans="1:18" ht="15.75" hidden="1" customHeight="1" x14ac:dyDescent="0.25">
      <c r="A29" s="114"/>
      <c r="B29" s="111" t="s">
        <v>8</v>
      </c>
      <c r="C29" s="112"/>
      <c r="D29" s="112"/>
      <c r="E29" s="112"/>
      <c r="F29" s="112"/>
      <c r="G29" s="112"/>
      <c r="H29" s="112"/>
      <c r="I29" s="112"/>
      <c r="J29" s="112"/>
      <c r="K29" s="112"/>
      <c r="L29" s="112"/>
      <c r="M29" s="112"/>
      <c r="N29" s="112"/>
      <c r="O29" s="112"/>
      <c r="P29" s="112"/>
      <c r="Q29" s="112"/>
      <c r="R29" s="113"/>
    </row>
    <row r="30" spans="1:18" ht="15.75" hidden="1" customHeight="1" x14ac:dyDescent="0.25">
      <c r="A30" s="124"/>
      <c r="B30" s="114">
        <v>2003</v>
      </c>
      <c r="C30" s="115">
        <v>2004</v>
      </c>
      <c r="D30" s="115">
        <v>2005</v>
      </c>
      <c r="E30" s="115">
        <v>2006</v>
      </c>
      <c r="F30" s="115">
        <v>2007</v>
      </c>
      <c r="G30" s="115">
        <v>2008</v>
      </c>
      <c r="H30" s="115">
        <v>2009</v>
      </c>
      <c r="I30" s="115">
        <v>2010</v>
      </c>
      <c r="J30" s="115">
        <v>2011</v>
      </c>
      <c r="K30" s="115">
        <v>2012</v>
      </c>
      <c r="L30" s="115">
        <v>2013</v>
      </c>
      <c r="M30" s="115">
        <v>2014</v>
      </c>
      <c r="N30" s="115">
        <v>2015</v>
      </c>
      <c r="O30" s="115">
        <v>2016</v>
      </c>
      <c r="P30" s="115">
        <v>2017</v>
      </c>
      <c r="Q30" s="115">
        <v>2018</v>
      </c>
      <c r="R30" s="125">
        <v>2019</v>
      </c>
    </row>
    <row r="31" spans="1:18" ht="15.75" hidden="1" customHeight="1" x14ac:dyDescent="0.25">
      <c r="A31" s="118" t="s">
        <v>2778</v>
      </c>
      <c r="B31" s="181">
        <v>3</v>
      </c>
      <c r="C31" s="182">
        <v>4</v>
      </c>
      <c r="D31" s="182">
        <v>5</v>
      </c>
      <c r="E31" s="182">
        <v>5</v>
      </c>
      <c r="F31" s="182">
        <v>8</v>
      </c>
      <c r="G31" s="182">
        <v>2</v>
      </c>
      <c r="H31" s="182">
        <v>9</v>
      </c>
      <c r="I31" s="182">
        <v>13</v>
      </c>
      <c r="J31" s="182">
        <v>10</v>
      </c>
      <c r="K31" s="182">
        <v>12</v>
      </c>
      <c r="L31" s="182">
        <v>15</v>
      </c>
      <c r="M31" s="182">
        <v>26</v>
      </c>
      <c r="N31" s="182">
        <v>44</v>
      </c>
      <c r="O31" s="182">
        <v>38</v>
      </c>
      <c r="P31" s="182">
        <v>50</v>
      </c>
      <c r="Q31" s="182">
        <v>39</v>
      </c>
      <c r="R31" s="183">
        <v>42</v>
      </c>
    </row>
    <row r="55" spans="1:25" ht="15.75" customHeight="1" x14ac:dyDescent="0.25">
      <c r="A55" s="12" t="s">
        <v>3127</v>
      </c>
    </row>
    <row r="56" spans="1:25" ht="15.75" customHeight="1" x14ac:dyDescent="0.25"/>
    <row r="57" spans="1:25" x14ac:dyDescent="0.25">
      <c r="A57" s="120" t="s">
        <v>1</v>
      </c>
      <c r="B57" s="119" t="s">
        <v>307</v>
      </c>
    </row>
    <row r="58" spans="1:25" x14ac:dyDescent="0.25">
      <c r="A58" s="120" t="s">
        <v>10</v>
      </c>
      <c r="B58" s="119" t="s">
        <v>2827</v>
      </c>
    </row>
    <row r="59" spans="1:25" ht="15.75" customHeight="1" x14ac:dyDescent="0.25"/>
    <row r="60" spans="1:25" ht="15.75" customHeight="1" x14ac:dyDescent="0.25">
      <c r="A60" s="111" t="s">
        <v>2778</v>
      </c>
      <c r="B60" s="111" t="s">
        <v>8</v>
      </c>
      <c r="C60" s="112"/>
      <c r="D60" s="112"/>
      <c r="E60" s="112"/>
      <c r="F60" s="112"/>
      <c r="G60" s="112"/>
      <c r="H60" s="112"/>
      <c r="I60" s="112"/>
      <c r="J60" s="112"/>
      <c r="K60" s="112"/>
      <c r="L60" s="112"/>
      <c r="M60" s="112"/>
      <c r="N60" s="112"/>
      <c r="O60" s="112"/>
      <c r="P60" s="112"/>
      <c r="Q60" s="112"/>
      <c r="R60" s="112"/>
      <c r="S60" s="112"/>
      <c r="T60" s="112"/>
      <c r="U60" s="112"/>
      <c r="V60" s="112"/>
      <c r="W60" s="112"/>
      <c r="X60" s="112"/>
      <c r="Y60" s="113"/>
    </row>
    <row r="61" spans="1:25" x14ac:dyDescent="0.25">
      <c r="A61" s="111" t="s">
        <v>6</v>
      </c>
      <c r="B61" s="114">
        <v>2002</v>
      </c>
      <c r="C61" s="115">
        <v>2003</v>
      </c>
      <c r="D61" s="115">
        <v>2004</v>
      </c>
      <c r="E61" s="115">
        <v>2005</v>
      </c>
      <c r="F61" s="115">
        <v>2006</v>
      </c>
      <c r="G61" s="115">
        <v>2007</v>
      </c>
      <c r="H61" s="115">
        <v>2008</v>
      </c>
      <c r="I61" s="115">
        <v>2009</v>
      </c>
      <c r="J61" s="115">
        <v>2010</v>
      </c>
      <c r="K61" s="115">
        <v>2011</v>
      </c>
      <c r="L61" s="115">
        <v>2012</v>
      </c>
      <c r="M61" s="115">
        <v>2013</v>
      </c>
      <c r="N61" s="115">
        <v>2014</v>
      </c>
      <c r="O61" s="115">
        <v>2015</v>
      </c>
      <c r="P61" s="115">
        <v>2016</v>
      </c>
      <c r="Q61" s="115">
        <v>2017</v>
      </c>
      <c r="R61" s="115">
        <v>2018</v>
      </c>
      <c r="S61" s="115">
        <v>2019</v>
      </c>
      <c r="T61" s="115">
        <v>2020</v>
      </c>
      <c r="U61" s="115">
        <v>2021</v>
      </c>
      <c r="V61" s="115">
        <v>2022</v>
      </c>
      <c r="W61" s="115">
        <v>2023</v>
      </c>
      <c r="X61" s="115">
        <v>2024</v>
      </c>
      <c r="Y61" s="122" t="s">
        <v>2779</v>
      </c>
    </row>
    <row r="62" spans="1:25" x14ac:dyDescent="0.25">
      <c r="A62" s="114" t="s">
        <v>91</v>
      </c>
      <c r="B62" s="184">
        <v>0</v>
      </c>
      <c r="C62" s="185">
        <v>0</v>
      </c>
      <c r="D62" s="185">
        <v>0</v>
      </c>
      <c r="E62" s="185">
        <v>0</v>
      </c>
      <c r="F62" s="185">
        <v>0</v>
      </c>
      <c r="G62" s="185">
        <v>0</v>
      </c>
      <c r="H62" s="185">
        <v>0</v>
      </c>
      <c r="I62" s="185">
        <v>1</v>
      </c>
      <c r="J62" s="185">
        <v>0</v>
      </c>
      <c r="K62" s="185">
        <v>0</v>
      </c>
      <c r="L62" s="185">
        <v>0</v>
      </c>
      <c r="M62" s="185">
        <v>0</v>
      </c>
      <c r="N62" s="185">
        <v>4</v>
      </c>
      <c r="O62" s="185">
        <v>0</v>
      </c>
      <c r="P62" s="185">
        <v>1</v>
      </c>
      <c r="Q62" s="185">
        <v>1</v>
      </c>
      <c r="R62" s="185">
        <v>6</v>
      </c>
      <c r="S62" s="185">
        <v>2</v>
      </c>
      <c r="T62" s="185">
        <v>0</v>
      </c>
      <c r="U62" s="185">
        <v>0</v>
      </c>
      <c r="V62" s="185">
        <v>0</v>
      </c>
      <c r="W62" s="185">
        <v>2</v>
      </c>
      <c r="X62" s="185">
        <v>5</v>
      </c>
      <c r="Y62" s="199">
        <v>22</v>
      </c>
    </row>
    <row r="63" spans="1:25" x14ac:dyDescent="0.25">
      <c r="A63" s="132" t="s">
        <v>41</v>
      </c>
      <c r="B63" s="201">
        <v>1</v>
      </c>
      <c r="C63" s="202">
        <v>2</v>
      </c>
      <c r="D63" s="202">
        <v>1</v>
      </c>
      <c r="E63" s="202">
        <v>1</v>
      </c>
      <c r="F63" s="202">
        <v>4</v>
      </c>
      <c r="G63" s="202">
        <v>3</v>
      </c>
      <c r="H63" s="202">
        <v>0</v>
      </c>
      <c r="I63" s="202">
        <v>2</v>
      </c>
      <c r="J63" s="202">
        <v>3</v>
      </c>
      <c r="K63" s="202">
        <v>5</v>
      </c>
      <c r="L63" s="202">
        <v>2</v>
      </c>
      <c r="M63" s="202">
        <v>2</v>
      </c>
      <c r="N63" s="202">
        <v>3</v>
      </c>
      <c r="O63" s="202">
        <v>8</v>
      </c>
      <c r="P63" s="202">
        <v>9</v>
      </c>
      <c r="Q63" s="202">
        <v>11</v>
      </c>
      <c r="R63" s="202">
        <v>5</v>
      </c>
      <c r="S63" s="202">
        <v>13</v>
      </c>
      <c r="T63" s="202">
        <v>2</v>
      </c>
      <c r="U63" s="202">
        <v>4</v>
      </c>
      <c r="V63" s="202">
        <v>2</v>
      </c>
      <c r="W63" s="202">
        <v>6</v>
      </c>
      <c r="X63" s="202">
        <v>3</v>
      </c>
      <c r="Y63" s="214">
        <v>92</v>
      </c>
    </row>
    <row r="64" spans="1:25" x14ac:dyDescent="0.25">
      <c r="A64" s="117" t="s">
        <v>56</v>
      </c>
      <c r="B64" s="187">
        <v>0</v>
      </c>
      <c r="C64" s="188">
        <v>0</v>
      </c>
      <c r="D64" s="188">
        <v>2</v>
      </c>
      <c r="E64" s="188">
        <v>1</v>
      </c>
      <c r="F64" s="188">
        <v>0</v>
      </c>
      <c r="G64" s="188">
        <v>1</v>
      </c>
      <c r="H64" s="188">
        <v>0</v>
      </c>
      <c r="I64" s="188">
        <v>4</v>
      </c>
      <c r="J64" s="188">
        <v>4</v>
      </c>
      <c r="K64" s="188">
        <v>1</v>
      </c>
      <c r="L64" s="188">
        <v>3</v>
      </c>
      <c r="M64" s="188">
        <v>5</v>
      </c>
      <c r="N64" s="188">
        <v>6</v>
      </c>
      <c r="O64" s="188">
        <v>14</v>
      </c>
      <c r="P64" s="188">
        <v>7</v>
      </c>
      <c r="Q64" s="188">
        <v>12</v>
      </c>
      <c r="R64" s="188">
        <v>7</v>
      </c>
      <c r="S64" s="188">
        <v>7</v>
      </c>
      <c r="T64" s="188">
        <v>3</v>
      </c>
      <c r="U64" s="188">
        <v>5</v>
      </c>
      <c r="V64" s="188">
        <v>6</v>
      </c>
      <c r="W64" s="188">
        <v>3</v>
      </c>
      <c r="X64" s="188">
        <v>8</v>
      </c>
      <c r="Y64" s="200">
        <v>99</v>
      </c>
    </row>
    <row r="65" spans="1:25" x14ac:dyDescent="0.25">
      <c r="A65" s="117" t="s">
        <v>3183</v>
      </c>
      <c r="B65" s="187">
        <v>0</v>
      </c>
      <c r="C65" s="188">
        <v>1</v>
      </c>
      <c r="D65" s="188">
        <v>1</v>
      </c>
      <c r="E65" s="188">
        <v>2</v>
      </c>
      <c r="F65" s="188">
        <v>0</v>
      </c>
      <c r="G65" s="188">
        <v>4</v>
      </c>
      <c r="H65" s="188">
        <v>2</v>
      </c>
      <c r="I65" s="188">
        <v>2</v>
      </c>
      <c r="J65" s="188">
        <v>5</v>
      </c>
      <c r="K65" s="188">
        <v>3</v>
      </c>
      <c r="L65" s="188">
        <v>5</v>
      </c>
      <c r="M65" s="188">
        <v>6</v>
      </c>
      <c r="N65" s="188">
        <v>11</v>
      </c>
      <c r="O65" s="188">
        <v>18</v>
      </c>
      <c r="P65" s="188">
        <v>18</v>
      </c>
      <c r="Q65" s="188">
        <v>23</v>
      </c>
      <c r="R65" s="188">
        <v>19</v>
      </c>
      <c r="S65" s="188">
        <v>19</v>
      </c>
      <c r="T65" s="188">
        <v>3</v>
      </c>
      <c r="U65" s="188">
        <v>5</v>
      </c>
      <c r="V65" s="188">
        <v>2</v>
      </c>
      <c r="W65" s="188">
        <v>13</v>
      </c>
      <c r="X65" s="188">
        <v>12</v>
      </c>
      <c r="Y65" s="200">
        <v>174</v>
      </c>
    </row>
    <row r="66" spans="1:25" x14ac:dyDescent="0.25">
      <c r="A66" s="117" t="s">
        <v>47</v>
      </c>
      <c r="B66" s="187">
        <v>0</v>
      </c>
      <c r="C66" s="188">
        <v>0</v>
      </c>
      <c r="D66" s="188">
        <v>0</v>
      </c>
      <c r="E66" s="188">
        <v>1</v>
      </c>
      <c r="F66" s="188">
        <v>1</v>
      </c>
      <c r="G66" s="188">
        <v>0</v>
      </c>
      <c r="H66" s="188">
        <v>0</v>
      </c>
      <c r="I66" s="188">
        <v>0</v>
      </c>
      <c r="J66" s="188">
        <v>0</v>
      </c>
      <c r="K66" s="188">
        <v>0</v>
      </c>
      <c r="L66" s="188">
        <v>1</v>
      </c>
      <c r="M66" s="188">
        <v>2</v>
      </c>
      <c r="N66" s="188">
        <v>2</v>
      </c>
      <c r="O66" s="188">
        <v>4</v>
      </c>
      <c r="P66" s="188">
        <v>2</v>
      </c>
      <c r="Q66" s="188">
        <v>3</v>
      </c>
      <c r="R66" s="188">
        <v>1</v>
      </c>
      <c r="S66" s="188">
        <v>1</v>
      </c>
      <c r="T66" s="188">
        <v>1</v>
      </c>
      <c r="U66" s="188">
        <v>0</v>
      </c>
      <c r="V66" s="188">
        <v>0</v>
      </c>
      <c r="W66" s="188">
        <v>0</v>
      </c>
      <c r="X66" s="188">
        <v>0</v>
      </c>
      <c r="Y66" s="200">
        <v>19</v>
      </c>
    </row>
    <row r="67" spans="1:25" x14ac:dyDescent="0.25">
      <c r="A67" s="117" t="s">
        <v>199</v>
      </c>
      <c r="B67" s="187">
        <v>0</v>
      </c>
      <c r="C67" s="188">
        <v>0</v>
      </c>
      <c r="D67" s="188">
        <v>0</v>
      </c>
      <c r="E67" s="188">
        <v>0</v>
      </c>
      <c r="F67" s="188">
        <v>0</v>
      </c>
      <c r="G67" s="188">
        <v>0</v>
      </c>
      <c r="H67" s="188">
        <v>0</v>
      </c>
      <c r="I67" s="188">
        <v>0</v>
      </c>
      <c r="J67" s="188">
        <v>1</v>
      </c>
      <c r="K67" s="188">
        <v>1</v>
      </c>
      <c r="L67" s="188">
        <v>1</v>
      </c>
      <c r="M67" s="188">
        <v>0</v>
      </c>
      <c r="N67" s="188">
        <v>0</v>
      </c>
      <c r="O67" s="188">
        <v>0</v>
      </c>
      <c r="P67" s="188">
        <v>1</v>
      </c>
      <c r="Q67" s="188">
        <v>0</v>
      </c>
      <c r="R67" s="188">
        <v>1</v>
      </c>
      <c r="S67" s="188">
        <v>0</v>
      </c>
      <c r="T67" s="188">
        <v>0</v>
      </c>
      <c r="U67" s="188">
        <v>0</v>
      </c>
      <c r="V67" s="188">
        <v>0</v>
      </c>
      <c r="W67" s="188">
        <v>0</v>
      </c>
      <c r="X67" s="188">
        <v>1</v>
      </c>
      <c r="Y67" s="200">
        <v>6</v>
      </c>
    </row>
    <row r="68" spans="1:25" x14ac:dyDescent="0.25">
      <c r="A68" s="210" t="s">
        <v>2779</v>
      </c>
      <c r="B68" s="208">
        <v>1</v>
      </c>
      <c r="C68" s="209">
        <v>3</v>
      </c>
      <c r="D68" s="209">
        <v>4</v>
      </c>
      <c r="E68" s="209">
        <v>5</v>
      </c>
      <c r="F68" s="209">
        <v>5</v>
      </c>
      <c r="G68" s="209">
        <v>8</v>
      </c>
      <c r="H68" s="209">
        <v>2</v>
      </c>
      <c r="I68" s="209">
        <v>9</v>
      </c>
      <c r="J68" s="209">
        <v>13</v>
      </c>
      <c r="K68" s="209">
        <v>10</v>
      </c>
      <c r="L68" s="209">
        <v>12</v>
      </c>
      <c r="M68" s="209">
        <v>15</v>
      </c>
      <c r="N68" s="209">
        <v>26</v>
      </c>
      <c r="O68" s="209">
        <v>44</v>
      </c>
      <c r="P68" s="209">
        <v>38</v>
      </c>
      <c r="Q68" s="209">
        <v>50</v>
      </c>
      <c r="R68" s="209">
        <v>39</v>
      </c>
      <c r="S68" s="209">
        <v>42</v>
      </c>
      <c r="T68" s="209">
        <v>9</v>
      </c>
      <c r="U68" s="209">
        <v>14</v>
      </c>
      <c r="V68" s="209">
        <v>10</v>
      </c>
      <c r="W68" s="209">
        <v>24</v>
      </c>
      <c r="X68" s="209">
        <v>29</v>
      </c>
      <c r="Y68" s="207">
        <v>412</v>
      </c>
    </row>
  </sheetData>
  <pageMargins left="0.7" right="0.7" top="0.75" bottom="0.75" header="0" footer="0"/>
  <pageSetup orientation="portrait"/>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J74"/>
  <sheetViews>
    <sheetView topLeftCell="A60" workbookViewId="0"/>
  </sheetViews>
  <sheetFormatPr defaultColWidth="14.42578125" defaultRowHeight="15" customHeight="1" x14ac:dyDescent="0.25"/>
  <cols>
    <col min="1" max="1" width="29.7109375" customWidth="1"/>
    <col min="2" max="3" width="14.28515625" customWidth="1"/>
    <col min="4" max="4" width="8" customWidth="1"/>
    <col min="5" max="5" width="16.28515625" customWidth="1"/>
    <col min="6" max="6" width="13" customWidth="1"/>
    <col min="7" max="7" width="8.7109375" customWidth="1"/>
    <col min="8" max="8" width="7.7109375" customWidth="1"/>
    <col min="9" max="9" width="12.7109375" customWidth="1"/>
    <col min="10" max="10" width="11.7109375" customWidth="1"/>
    <col min="11" max="26" width="8.7109375" customWidth="1"/>
  </cols>
  <sheetData>
    <row r="2" spans="1:6" hidden="1" x14ac:dyDescent="0.25">
      <c r="A2" s="2" t="s">
        <v>2850</v>
      </c>
    </row>
    <row r="3" spans="1:6" hidden="1" x14ac:dyDescent="0.25">
      <c r="A3" s="120" t="s">
        <v>1</v>
      </c>
      <c r="B3" s="119" t="s">
        <v>307</v>
      </c>
    </row>
    <row r="4" spans="1:6" hidden="1" x14ac:dyDescent="0.25">
      <c r="A4" s="120" t="s">
        <v>8</v>
      </c>
      <c r="B4" s="119" t="s">
        <v>2817</v>
      </c>
    </row>
    <row r="5" spans="1:6" hidden="1" x14ac:dyDescent="0.25">
      <c r="A5" s="120" t="s">
        <v>10</v>
      </c>
      <c r="B5" s="119" t="s">
        <v>2827</v>
      </c>
    </row>
    <row r="6" spans="1:6" hidden="1" x14ac:dyDescent="0.25"/>
    <row r="7" spans="1:6" hidden="1" x14ac:dyDescent="0.25">
      <c r="A7" s="114"/>
      <c r="B7" s="111" t="s">
        <v>17</v>
      </c>
      <c r="C7" s="112"/>
      <c r="D7" s="112"/>
      <c r="E7" s="112"/>
      <c r="F7" s="113"/>
    </row>
    <row r="8" spans="1:6" hidden="1" x14ac:dyDescent="0.25">
      <c r="A8" s="124"/>
      <c r="B8" s="114" t="s">
        <v>818</v>
      </c>
      <c r="C8" s="115" t="s">
        <v>309</v>
      </c>
      <c r="D8" s="115" t="s">
        <v>594</v>
      </c>
      <c r="E8" s="115" t="s">
        <v>1229</v>
      </c>
      <c r="F8" s="125" t="s">
        <v>426</v>
      </c>
    </row>
    <row r="9" spans="1:6" hidden="1" x14ac:dyDescent="0.25">
      <c r="A9" s="118" t="s">
        <v>2778</v>
      </c>
      <c r="B9" s="181">
        <v>19</v>
      </c>
      <c r="C9" s="182">
        <v>67</v>
      </c>
      <c r="D9" s="182">
        <v>42</v>
      </c>
      <c r="E9" s="182">
        <v>11</v>
      </c>
      <c r="F9" s="183">
        <v>130</v>
      </c>
    </row>
    <row r="31" spans="1:1" ht="15.75" hidden="1" customHeight="1" x14ac:dyDescent="0.25">
      <c r="A31" s="2" t="s">
        <v>2851</v>
      </c>
    </row>
    <row r="34" spans="1:6" hidden="1" x14ac:dyDescent="0.25">
      <c r="A34" s="120" t="s">
        <v>1</v>
      </c>
      <c r="B34" s="119" t="s">
        <v>307</v>
      </c>
    </row>
    <row r="35" spans="1:6" hidden="1" x14ac:dyDescent="0.25">
      <c r="A35" s="120" t="s">
        <v>8</v>
      </c>
      <c r="B35" s="119" t="s">
        <v>2817</v>
      </c>
    </row>
    <row r="36" spans="1:6" hidden="1" x14ac:dyDescent="0.25">
      <c r="A36" s="120" t="s">
        <v>10</v>
      </c>
      <c r="B36" s="119" t="s">
        <v>2827</v>
      </c>
    </row>
    <row r="37" spans="1:6" ht="15.75" hidden="1" customHeight="1" x14ac:dyDescent="0.25"/>
    <row r="38" spans="1:6" ht="15.75" hidden="1" customHeight="1" x14ac:dyDescent="0.25">
      <c r="A38" s="114"/>
      <c r="B38" s="111" t="s">
        <v>17</v>
      </c>
      <c r="C38" s="112"/>
      <c r="D38" s="112"/>
      <c r="E38" s="112"/>
      <c r="F38" s="113"/>
    </row>
    <row r="39" spans="1:6" ht="15.75" hidden="1" customHeight="1" x14ac:dyDescent="0.25">
      <c r="A39" s="124"/>
      <c r="B39" s="114" t="s">
        <v>818</v>
      </c>
      <c r="C39" s="115" t="s">
        <v>309</v>
      </c>
      <c r="D39" s="115" t="s">
        <v>594</v>
      </c>
      <c r="E39" s="115" t="s">
        <v>1229</v>
      </c>
      <c r="F39" s="125" t="s">
        <v>426</v>
      </c>
    </row>
    <row r="40" spans="1:6" ht="15.75" hidden="1" customHeight="1" x14ac:dyDescent="0.25">
      <c r="A40" s="118" t="s">
        <v>2778</v>
      </c>
      <c r="B40" s="181">
        <v>20</v>
      </c>
      <c r="C40" s="182">
        <v>83</v>
      </c>
      <c r="D40" s="182">
        <v>50</v>
      </c>
      <c r="E40" s="182">
        <v>12</v>
      </c>
      <c r="F40" s="183">
        <v>145</v>
      </c>
    </row>
    <row r="60" spans="1:9" ht="15.75" customHeight="1" x14ac:dyDescent="0.25">
      <c r="A60" s="12" t="s">
        <v>3128</v>
      </c>
      <c r="B60" s="15"/>
      <c r="C60" s="15"/>
      <c r="D60" s="15"/>
      <c r="E60" s="15"/>
      <c r="F60" s="15"/>
      <c r="G60" s="15"/>
      <c r="H60" s="15"/>
      <c r="I60" s="15"/>
    </row>
    <row r="61" spans="1:9" ht="15.75" customHeight="1" x14ac:dyDescent="0.25">
      <c r="B61" s="15"/>
      <c r="C61" s="15"/>
      <c r="D61" s="15"/>
      <c r="E61" s="15"/>
      <c r="F61" s="15"/>
      <c r="G61" s="15"/>
      <c r="H61" s="15"/>
      <c r="I61" s="15"/>
    </row>
    <row r="62" spans="1:9" x14ac:dyDescent="0.25">
      <c r="A62" s="120" t="s">
        <v>1</v>
      </c>
      <c r="B62" s="119" t="s">
        <v>307</v>
      </c>
    </row>
    <row r="63" spans="1:9" x14ac:dyDescent="0.25">
      <c r="A63" s="120" t="s">
        <v>8</v>
      </c>
      <c r="B63" s="119" t="s">
        <v>2817</v>
      </c>
    </row>
    <row r="64" spans="1:9" x14ac:dyDescent="0.25">
      <c r="A64" s="120" t="s">
        <v>10</v>
      </c>
      <c r="B64" s="119" t="s">
        <v>2827</v>
      </c>
    </row>
    <row r="65" spans="1:10" ht="15.75" customHeight="1" x14ac:dyDescent="0.25"/>
    <row r="66" spans="1:10" ht="15.75" customHeight="1" x14ac:dyDescent="0.25">
      <c r="A66" s="111" t="s">
        <v>2778</v>
      </c>
      <c r="B66" s="111" t="s">
        <v>17</v>
      </c>
      <c r="C66" s="112"/>
      <c r="D66" s="112"/>
      <c r="E66" s="112"/>
      <c r="F66" s="112"/>
      <c r="G66" s="112"/>
      <c r="H66" s="112"/>
      <c r="I66" s="112"/>
      <c r="J66" s="113"/>
    </row>
    <row r="67" spans="1:10" x14ac:dyDescent="0.25">
      <c r="A67" s="111" t="s">
        <v>6</v>
      </c>
      <c r="B67" s="114" t="s">
        <v>818</v>
      </c>
      <c r="C67" s="115" t="s">
        <v>309</v>
      </c>
      <c r="D67" s="115" t="s">
        <v>594</v>
      </c>
      <c r="E67" s="115" t="s">
        <v>866</v>
      </c>
      <c r="F67" s="115" t="s">
        <v>1229</v>
      </c>
      <c r="G67" s="115" t="s">
        <v>426</v>
      </c>
      <c r="H67" s="115" t="s">
        <v>2239</v>
      </c>
      <c r="I67" s="115" t="s">
        <v>1477</v>
      </c>
      <c r="J67" s="122" t="s">
        <v>2779</v>
      </c>
    </row>
    <row r="68" spans="1:10" x14ac:dyDescent="0.25">
      <c r="A68" s="114" t="s">
        <v>91</v>
      </c>
      <c r="B68" s="184">
        <v>3</v>
      </c>
      <c r="C68" s="185">
        <v>2</v>
      </c>
      <c r="D68" s="185">
        <v>2</v>
      </c>
      <c r="E68" s="185">
        <v>0</v>
      </c>
      <c r="F68" s="185">
        <v>0</v>
      </c>
      <c r="G68" s="185">
        <v>8</v>
      </c>
      <c r="H68" s="185">
        <v>0</v>
      </c>
      <c r="I68" s="185">
        <v>0</v>
      </c>
      <c r="J68" s="199">
        <v>15</v>
      </c>
    </row>
    <row r="69" spans="1:10" x14ac:dyDescent="0.25">
      <c r="A69" s="132" t="s">
        <v>41</v>
      </c>
      <c r="B69" s="201">
        <v>7</v>
      </c>
      <c r="C69" s="202">
        <v>32</v>
      </c>
      <c r="D69" s="202">
        <v>20</v>
      </c>
      <c r="E69" s="202">
        <v>2</v>
      </c>
      <c r="F69" s="202">
        <v>3</v>
      </c>
      <c r="G69" s="202">
        <v>17</v>
      </c>
      <c r="H69" s="202">
        <v>0</v>
      </c>
      <c r="I69" s="202">
        <v>0</v>
      </c>
      <c r="J69" s="214">
        <v>81</v>
      </c>
    </row>
    <row r="70" spans="1:10" x14ac:dyDescent="0.25">
      <c r="A70" s="117" t="s">
        <v>56</v>
      </c>
      <c r="B70" s="187">
        <v>4</v>
      </c>
      <c r="C70" s="188">
        <v>15</v>
      </c>
      <c r="D70" s="188">
        <v>20</v>
      </c>
      <c r="E70" s="188">
        <v>1</v>
      </c>
      <c r="F70" s="188">
        <v>9</v>
      </c>
      <c r="G70" s="188">
        <v>27</v>
      </c>
      <c r="H70" s="188">
        <v>4</v>
      </c>
      <c r="I70" s="188">
        <v>2</v>
      </c>
      <c r="J70" s="200">
        <v>82</v>
      </c>
    </row>
    <row r="71" spans="1:10" x14ac:dyDescent="0.25">
      <c r="A71" s="117" t="s">
        <v>3183</v>
      </c>
      <c r="B71" s="187">
        <v>4</v>
      </c>
      <c r="C71" s="188">
        <v>37</v>
      </c>
      <c r="D71" s="188">
        <v>11</v>
      </c>
      <c r="E71" s="188">
        <v>8</v>
      </c>
      <c r="F71" s="188">
        <v>1</v>
      </c>
      <c r="G71" s="188">
        <v>86</v>
      </c>
      <c r="H71" s="188">
        <v>0</v>
      </c>
      <c r="I71" s="188">
        <v>0</v>
      </c>
      <c r="J71" s="200">
        <v>147</v>
      </c>
    </row>
    <row r="72" spans="1:10" x14ac:dyDescent="0.25">
      <c r="A72" s="117" t="s">
        <v>47</v>
      </c>
      <c r="B72" s="187">
        <v>3</v>
      </c>
      <c r="C72" s="188">
        <v>0</v>
      </c>
      <c r="D72" s="188">
        <v>2</v>
      </c>
      <c r="E72" s="188">
        <v>1</v>
      </c>
      <c r="F72" s="188">
        <v>0</v>
      </c>
      <c r="G72" s="188">
        <v>13</v>
      </c>
      <c r="H72" s="188">
        <v>0</v>
      </c>
      <c r="I72" s="188">
        <v>0</v>
      </c>
      <c r="J72" s="200">
        <v>19</v>
      </c>
    </row>
    <row r="73" spans="1:10" x14ac:dyDescent="0.25">
      <c r="A73" s="117" t="s">
        <v>199</v>
      </c>
      <c r="B73" s="187">
        <v>0</v>
      </c>
      <c r="C73" s="188">
        <v>0</v>
      </c>
      <c r="D73" s="188">
        <v>1</v>
      </c>
      <c r="E73" s="188">
        <v>0</v>
      </c>
      <c r="F73" s="188">
        <v>1</v>
      </c>
      <c r="G73" s="188">
        <v>3</v>
      </c>
      <c r="H73" s="188">
        <v>0</v>
      </c>
      <c r="I73" s="188">
        <v>0</v>
      </c>
      <c r="J73" s="200">
        <v>5</v>
      </c>
    </row>
    <row r="74" spans="1:10" x14ac:dyDescent="0.25">
      <c r="A74" s="210" t="s">
        <v>2779</v>
      </c>
      <c r="B74" s="208">
        <v>21</v>
      </c>
      <c r="C74" s="209">
        <v>86</v>
      </c>
      <c r="D74" s="209">
        <v>56</v>
      </c>
      <c r="E74" s="209">
        <v>12</v>
      </c>
      <c r="F74" s="209">
        <v>14</v>
      </c>
      <c r="G74" s="209">
        <v>154</v>
      </c>
      <c r="H74" s="209">
        <v>4</v>
      </c>
      <c r="I74" s="209">
        <v>2</v>
      </c>
      <c r="J74" s="207">
        <v>349</v>
      </c>
    </row>
  </sheetData>
  <pageMargins left="0.7" right="0.7" top="0.75" bottom="0.75" header="0" footer="0"/>
  <pageSetup orientation="portrait"/>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Y62"/>
  <sheetViews>
    <sheetView topLeftCell="A54" workbookViewId="0">
      <selection activeCell="A64" sqref="A64:X67"/>
    </sheetView>
  </sheetViews>
  <sheetFormatPr defaultColWidth="14.42578125" defaultRowHeight="15" customHeight="1" x14ac:dyDescent="0.25"/>
  <cols>
    <col min="1" max="1" width="23.42578125" customWidth="1"/>
    <col min="2" max="2" width="15.42578125" customWidth="1"/>
    <col min="3" max="24" width="5" customWidth="1"/>
    <col min="25" max="25" width="13" customWidth="1"/>
    <col min="26" max="26" width="8.7109375" customWidth="1"/>
  </cols>
  <sheetData>
    <row r="1" spans="1:17" hidden="1" x14ac:dyDescent="0.25">
      <c r="A1" s="2" t="s">
        <v>2852</v>
      </c>
    </row>
    <row r="2" spans="1:17" hidden="1" x14ac:dyDescent="0.25">
      <c r="A2" s="3"/>
    </row>
    <row r="3" spans="1:17" hidden="1" x14ac:dyDescent="0.25"/>
    <row r="4" spans="1:17" hidden="1" x14ac:dyDescent="0.25">
      <c r="A4" s="111" t="s">
        <v>2778</v>
      </c>
      <c r="B4" s="111" t="s">
        <v>8</v>
      </c>
      <c r="C4" s="112"/>
      <c r="D4" s="112"/>
      <c r="E4" s="112"/>
      <c r="F4" s="112"/>
      <c r="G4" s="112"/>
      <c r="H4" s="112"/>
      <c r="I4" s="112"/>
      <c r="J4" s="112"/>
      <c r="K4" s="112"/>
      <c r="L4" s="112"/>
      <c r="M4" s="112"/>
      <c r="N4" s="112"/>
      <c r="O4" s="112"/>
      <c r="P4" s="112"/>
      <c r="Q4" s="113"/>
    </row>
    <row r="5" spans="1:17" hidden="1" x14ac:dyDescent="0.25">
      <c r="A5" s="111" t="s">
        <v>1</v>
      </c>
      <c r="B5" s="114">
        <v>2003</v>
      </c>
      <c r="C5" s="115">
        <v>2004</v>
      </c>
      <c r="D5" s="115">
        <v>2005</v>
      </c>
      <c r="E5" s="115">
        <v>2006</v>
      </c>
      <c r="F5" s="115">
        <v>2007</v>
      </c>
      <c r="G5" s="115">
        <v>2008</v>
      </c>
      <c r="H5" s="115">
        <v>2009</v>
      </c>
      <c r="I5" s="115">
        <v>2010</v>
      </c>
      <c r="J5" s="115">
        <v>2011</v>
      </c>
      <c r="K5" s="115">
        <v>2012</v>
      </c>
      <c r="L5" s="115">
        <v>2013</v>
      </c>
      <c r="M5" s="115">
        <v>2014</v>
      </c>
      <c r="N5" s="115">
        <v>2015</v>
      </c>
      <c r="O5" s="115">
        <v>2016</v>
      </c>
      <c r="P5" s="115">
        <v>2017</v>
      </c>
      <c r="Q5" s="125">
        <v>2018</v>
      </c>
    </row>
    <row r="6" spans="1:17" hidden="1" x14ac:dyDescent="0.25">
      <c r="A6" s="114" t="s">
        <v>307</v>
      </c>
      <c r="B6" s="184">
        <v>3</v>
      </c>
      <c r="C6" s="185">
        <v>4</v>
      </c>
      <c r="D6" s="185">
        <v>5</v>
      </c>
      <c r="E6" s="185">
        <v>5</v>
      </c>
      <c r="F6" s="185">
        <v>8</v>
      </c>
      <c r="G6" s="185">
        <v>2</v>
      </c>
      <c r="H6" s="185">
        <v>9</v>
      </c>
      <c r="I6" s="185">
        <v>13</v>
      </c>
      <c r="J6" s="185">
        <v>10</v>
      </c>
      <c r="K6" s="185">
        <v>12</v>
      </c>
      <c r="L6" s="185">
        <v>15</v>
      </c>
      <c r="M6" s="185">
        <v>26</v>
      </c>
      <c r="N6" s="185">
        <v>44</v>
      </c>
      <c r="O6" s="185">
        <v>38</v>
      </c>
      <c r="P6" s="185">
        <v>50</v>
      </c>
      <c r="Q6" s="186">
        <v>39</v>
      </c>
    </row>
    <row r="7" spans="1:17" hidden="1" x14ac:dyDescent="0.25">
      <c r="A7" s="117" t="s">
        <v>26</v>
      </c>
      <c r="B7" s="187">
        <v>4</v>
      </c>
      <c r="C7" s="188">
        <v>1</v>
      </c>
      <c r="D7" s="188">
        <v>4</v>
      </c>
      <c r="E7" s="188">
        <v>3</v>
      </c>
      <c r="F7" s="188">
        <v>6</v>
      </c>
      <c r="G7" s="188">
        <v>1</v>
      </c>
      <c r="H7" s="188">
        <v>18</v>
      </c>
      <c r="I7" s="188">
        <v>31</v>
      </c>
      <c r="J7" s="188">
        <v>22</v>
      </c>
      <c r="K7" s="188">
        <v>17</v>
      </c>
      <c r="L7" s="188">
        <v>39</v>
      </c>
      <c r="M7" s="188">
        <v>39</v>
      </c>
      <c r="N7" s="188">
        <v>39</v>
      </c>
      <c r="O7" s="188">
        <v>23</v>
      </c>
      <c r="P7" s="188">
        <v>50</v>
      </c>
      <c r="Q7" s="189">
        <v>33</v>
      </c>
    </row>
    <row r="8" spans="1:17" hidden="1" x14ac:dyDescent="0.25">
      <c r="A8" s="123" t="s">
        <v>76</v>
      </c>
      <c r="B8" s="190">
        <v>115</v>
      </c>
      <c r="C8" s="191">
        <v>132</v>
      </c>
      <c r="D8" s="191">
        <v>157</v>
      </c>
      <c r="E8" s="191">
        <v>139</v>
      </c>
      <c r="F8" s="191">
        <v>151</v>
      </c>
      <c r="G8" s="191">
        <v>130</v>
      </c>
      <c r="H8" s="191">
        <v>150</v>
      </c>
      <c r="I8" s="191">
        <v>172</v>
      </c>
      <c r="J8" s="191">
        <v>126</v>
      </c>
      <c r="K8" s="191">
        <v>92</v>
      </c>
      <c r="L8" s="191">
        <v>112</v>
      </c>
      <c r="M8" s="191">
        <v>124</v>
      </c>
      <c r="N8" s="191">
        <v>129</v>
      </c>
      <c r="O8" s="191">
        <v>104</v>
      </c>
      <c r="P8" s="191">
        <v>89</v>
      </c>
      <c r="Q8" s="192">
        <v>104</v>
      </c>
    </row>
    <row r="27" spans="1:18" ht="15.75" hidden="1" customHeight="1" x14ac:dyDescent="0.25">
      <c r="A27" s="2" t="s">
        <v>2853</v>
      </c>
    </row>
    <row r="28" spans="1:18" ht="15.75" hidden="1" customHeight="1" x14ac:dyDescent="0.25"/>
    <row r="29" spans="1:18" ht="15.75" hidden="1" customHeight="1" x14ac:dyDescent="0.25">
      <c r="A29" s="3"/>
    </row>
    <row r="30" spans="1:18" ht="15.75" hidden="1" customHeight="1" x14ac:dyDescent="0.25"/>
    <row r="31" spans="1:18" ht="15.75" hidden="1" customHeight="1" x14ac:dyDescent="0.25">
      <c r="A31" s="111" t="s">
        <v>2778</v>
      </c>
      <c r="B31" s="111" t="s">
        <v>8</v>
      </c>
      <c r="C31" s="112"/>
      <c r="D31" s="112"/>
      <c r="E31" s="112"/>
      <c r="F31" s="112"/>
      <c r="G31" s="112"/>
      <c r="H31" s="112"/>
      <c r="I31" s="112"/>
      <c r="J31" s="112"/>
      <c r="K31" s="112"/>
      <c r="L31" s="112"/>
      <c r="M31" s="112"/>
      <c r="N31" s="112"/>
      <c r="O31" s="112"/>
      <c r="P31" s="112"/>
      <c r="Q31" s="112"/>
      <c r="R31" s="113"/>
    </row>
    <row r="32" spans="1:18" ht="15.75" hidden="1" customHeight="1" x14ac:dyDescent="0.25">
      <c r="A32" s="111" t="s">
        <v>1</v>
      </c>
      <c r="B32" s="114">
        <v>2003</v>
      </c>
      <c r="C32" s="115">
        <v>2004</v>
      </c>
      <c r="D32" s="115">
        <v>2005</v>
      </c>
      <c r="E32" s="115">
        <v>2006</v>
      </c>
      <c r="F32" s="115">
        <v>2007</v>
      </c>
      <c r="G32" s="115">
        <v>2008</v>
      </c>
      <c r="H32" s="115">
        <v>2009</v>
      </c>
      <c r="I32" s="115">
        <v>2010</v>
      </c>
      <c r="J32" s="115">
        <v>2011</v>
      </c>
      <c r="K32" s="115">
        <v>2012</v>
      </c>
      <c r="L32" s="115">
        <v>2013</v>
      </c>
      <c r="M32" s="115">
        <v>2014</v>
      </c>
      <c r="N32" s="115">
        <v>2015</v>
      </c>
      <c r="O32" s="115">
        <v>2016</v>
      </c>
      <c r="P32" s="115">
        <v>2017</v>
      </c>
      <c r="Q32" s="115">
        <v>2018</v>
      </c>
      <c r="R32" s="125">
        <v>2019</v>
      </c>
    </row>
    <row r="33" spans="1:18" ht="15.75" hidden="1" customHeight="1" x14ac:dyDescent="0.25">
      <c r="A33" s="114" t="s">
        <v>307</v>
      </c>
      <c r="B33" s="184">
        <v>3</v>
      </c>
      <c r="C33" s="185">
        <v>4</v>
      </c>
      <c r="D33" s="185">
        <v>5</v>
      </c>
      <c r="E33" s="185">
        <v>5</v>
      </c>
      <c r="F33" s="185">
        <v>8</v>
      </c>
      <c r="G33" s="185">
        <v>2</v>
      </c>
      <c r="H33" s="185">
        <v>9</v>
      </c>
      <c r="I33" s="185">
        <v>13</v>
      </c>
      <c r="J33" s="185">
        <v>10</v>
      </c>
      <c r="K33" s="185">
        <v>12</v>
      </c>
      <c r="L33" s="185">
        <v>15</v>
      </c>
      <c r="M33" s="185">
        <v>26</v>
      </c>
      <c r="N33" s="185">
        <v>44</v>
      </c>
      <c r="O33" s="185">
        <v>38</v>
      </c>
      <c r="P33" s="185">
        <v>50</v>
      </c>
      <c r="Q33" s="185">
        <v>39</v>
      </c>
      <c r="R33" s="186">
        <v>42</v>
      </c>
    </row>
    <row r="34" spans="1:18" ht="15.75" hidden="1" customHeight="1" x14ac:dyDescent="0.25">
      <c r="A34" s="117" t="s">
        <v>26</v>
      </c>
      <c r="B34" s="187">
        <v>4</v>
      </c>
      <c r="C34" s="188">
        <v>1</v>
      </c>
      <c r="D34" s="188">
        <v>4</v>
      </c>
      <c r="E34" s="188">
        <v>3</v>
      </c>
      <c r="F34" s="188">
        <v>6</v>
      </c>
      <c r="G34" s="188">
        <v>1</v>
      </c>
      <c r="H34" s="188">
        <v>18</v>
      </c>
      <c r="I34" s="188">
        <v>31</v>
      </c>
      <c r="J34" s="188">
        <v>22</v>
      </c>
      <c r="K34" s="188">
        <v>17</v>
      </c>
      <c r="L34" s="188">
        <v>39</v>
      </c>
      <c r="M34" s="188">
        <v>39</v>
      </c>
      <c r="N34" s="188">
        <v>39</v>
      </c>
      <c r="O34" s="188">
        <v>23</v>
      </c>
      <c r="P34" s="188">
        <v>50</v>
      </c>
      <c r="Q34" s="188">
        <v>33</v>
      </c>
      <c r="R34" s="189">
        <v>22</v>
      </c>
    </row>
    <row r="35" spans="1:18" ht="15.75" hidden="1" customHeight="1" x14ac:dyDescent="0.25">
      <c r="A35" s="123" t="s">
        <v>76</v>
      </c>
      <c r="B35" s="190">
        <v>115</v>
      </c>
      <c r="C35" s="191">
        <v>132</v>
      </c>
      <c r="D35" s="191">
        <v>157</v>
      </c>
      <c r="E35" s="191">
        <v>139</v>
      </c>
      <c r="F35" s="191">
        <v>151</v>
      </c>
      <c r="G35" s="191">
        <v>130</v>
      </c>
      <c r="H35" s="191">
        <v>150</v>
      </c>
      <c r="I35" s="191">
        <v>172</v>
      </c>
      <c r="J35" s="191">
        <v>126</v>
      </c>
      <c r="K35" s="191">
        <v>92</v>
      </c>
      <c r="L35" s="191">
        <v>112</v>
      </c>
      <c r="M35" s="191">
        <v>124</v>
      </c>
      <c r="N35" s="191">
        <v>129</v>
      </c>
      <c r="O35" s="191">
        <v>104</v>
      </c>
      <c r="P35" s="191">
        <v>89</v>
      </c>
      <c r="Q35" s="191">
        <v>104</v>
      </c>
      <c r="R35" s="192">
        <v>105</v>
      </c>
    </row>
    <row r="53" spans="1:25" ht="15.75" customHeight="1" x14ac:dyDescent="0.25">
      <c r="A53" s="12" t="s">
        <v>3129</v>
      </c>
    </row>
    <row r="54" spans="1:25" ht="15.75" customHeight="1" x14ac:dyDescent="0.25"/>
    <row r="55" spans="1:25" x14ac:dyDescent="0.25">
      <c r="A55" s="120" t="s">
        <v>6</v>
      </c>
      <c r="B55" s="119" t="s">
        <v>56</v>
      </c>
    </row>
    <row r="56" spans="1:25" ht="15.75" customHeight="1" x14ac:dyDescent="0.25"/>
    <row r="57" spans="1:25" ht="15.75" customHeight="1" x14ac:dyDescent="0.25">
      <c r="A57" s="111" t="s">
        <v>2778</v>
      </c>
      <c r="B57" s="111" t="s">
        <v>8</v>
      </c>
      <c r="C57" s="112"/>
      <c r="D57" s="112"/>
      <c r="E57" s="112"/>
      <c r="F57" s="112"/>
      <c r="G57" s="112"/>
      <c r="H57" s="112"/>
      <c r="I57" s="112"/>
      <c r="J57" s="112"/>
      <c r="K57" s="112"/>
      <c r="L57" s="112"/>
      <c r="M57" s="112"/>
      <c r="N57" s="112"/>
      <c r="O57" s="112"/>
      <c r="P57" s="112"/>
      <c r="Q57" s="112"/>
      <c r="R57" s="112"/>
      <c r="S57" s="112"/>
      <c r="T57" s="112"/>
      <c r="U57" s="112"/>
      <c r="V57" s="112"/>
      <c r="W57" s="112"/>
      <c r="X57" s="112"/>
      <c r="Y57" s="113"/>
    </row>
    <row r="58" spans="1:25" x14ac:dyDescent="0.25">
      <c r="A58" s="111" t="s">
        <v>1</v>
      </c>
      <c r="B58" s="114">
        <v>2002</v>
      </c>
      <c r="C58" s="115">
        <v>2003</v>
      </c>
      <c r="D58" s="115">
        <v>2004</v>
      </c>
      <c r="E58" s="115">
        <v>2005</v>
      </c>
      <c r="F58" s="115">
        <v>2006</v>
      </c>
      <c r="G58" s="115">
        <v>2007</v>
      </c>
      <c r="H58" s="115">
        <v>2008</v>
      </c>
      <c r="I58" s="115">
        <v>2009</v>
      </c>
      <c r="J58" s="115">
        <v>2010</v>
      </c>
      <c r="K58" s="115">
        <v>2011</v>
      </c>
      <c r="L58" s="115">
        <v>2012</v>
      </c>
      <c r="M58" s="115">
        <v>2013</v>
      </c>
      <c r="N58" s="115">
        <v>2014</v>
      </c>
      <c r="O58" s="115">
        <v>2015</v>
      </c>
      <c r="P58" s="115">
        <v>2016</v>
      </c>
      <c r="Q58" s="115">
        <v>2017</v>
      </c>
      <c r="R58" s="115">
        <v>2018</v>
      </c>
      <c r="S58" s="115">
        <v>2019</v>
      </c>
      <c r="T58" s="115">
        <v>2020</v>
      </c>
      <c r="U58" s="115">
        <v>2021</v>
      </c>
      <c r="V58" s="115">
        <v>2022</v>
      </c>
      <c r="W58" s="115">
        <v>2023</v>
      </c>
      <c r="X58" s="115">
        <v>2024</v>
      </c>
      <c r="Y58" s="116" t="s">
        <v>2779</v>
      </c>
    </row>
    <row r="59" spans="1:25" x14ac:dyDescent="0.25">
      <c r="A59" s="114" t="s">
        <v>307</v>
      </c>
      <c r="B59" s="184">
        <v>0</v>
      </c>
      <c r="C59" s="185">
        <v>0</v>
      </c>
      <c r="D59" s="185">
        <v>2</v>
      </c>
      <c r="E59" s="185">
        <v>1</v>
      </c>
      <c r="F59" s="185">
        <v>0</v>
      </c>
      <c r="G59" s="185">
        <v>1</v>
      </c>
      <c r="H59" s="185">
        <v>0</v>
      </c>
      <c r="I59" s="185">
        <v>4</v>
      </c>
      <c r="J59" s="185">
        <v>4</v>
      </c>
      <c r="K59" s="185">
        <v>1</v>
      </c>
      <c r="L59" s="185">
        <v>3</v>
      </c>
      <c r="M59" s="185">
        <v>5</v>
      </c>
      <c r="N59" s="185">
        <v>6</v>
      </c>
      <c r="O59" s="185">
        <v>14</v>
      </c>
      <c r="P59" s="185">
        <v>7</v>
      </c>
      <c r="Q59" s="185">
        <v>12</v>
      </c>
      <c r="R59" s="185">
        <v>7</v>
      </c>
      <c r="S59" s="185">
        <v>7</v>
      </c>
      <c r="T59" s="185">
        <v>3</v>
      </c>
      <c r="U59" s="185">
        <v>5</v>
      </c>
      <c r="V59" s="185">
        <v>6</v>
      </c>
      <c r="W59" s="185">
        <v>3</v>
      </c>
      <c r="X59" s="185">
        <v>8</v>
      </c>
      <c r="Y59" s="193">
        <v>99</v>
      </c>
    </row>
    <row r="60" spans="1:25" x14ac:dyDescent="0.25">
      <c r="A60" s="117" t="s">
        <v>26</v>
      </c>
      <c r="B60" s="187">
        <v>5</v>
      </c>
      <c r="C60" s="188">
        <v>0</v>
      </c>
      <c r="D60" s="188">
        <v>0</v>
      </c>
      <c r="E60" s="188">
        <v>0</v>
      </c>
      <c r="F60" s="188">
        <v>0</v>
      </c>
      <c r="G60" s="188">
        <v>4</v>
      </c>
      <c r="H60" s="188">
        <v>0</v>
      </c>
      <c r="I60" s="188">
        <v>0</v>
      </c>
      <c r="J60" s="188">
        <v>1</v>
      </c>
      <c r="K60" s="188">
        <v>1</v>
      </c>
      <c r="L60" s="188">
        <v>4</v>
      </c>
      <c r="M60" s="188">
        <v>4</v>
      </c>
      <c r="N60" s="188">
        <v>0</v>
      </c>
      <c r="O60" s="188">
        <v>15</v>
      </c>
      <c r="P60" s="188">
        <v>1</v>
      </c>
      <c r="Q60" s="188">
        <v>12</v>
      </c>
      <c r="R60" s="188">
        <v>6</v>
      </c>
      <c r="S60" s="188">
        <v>3</v>
      </c>
      <c r="T60" s="188">
        <v>0</v>
      </c>
      <c r="U60" s="188">
        <v>0</v>
      </c>
      <c r="V60" s="188">
        <v>0</v>
      </c>
      <c r="W60" s="188">
        <v>0</v>
      </c>
      <c r="X60" s="188">
        <v>2</v>
      </c>
      <c r="Y60" s="194">
        <v>58</v>
      </c>
    </row>
    <row r="61" spans="1:25" x14ac:dyDescent="0.25">
      <c r="A61" s="117" t="s">
        <v>76</v>
      </c>
      <c r="B61" s="187">
        <v>34</v>
      </c>
      <c r="C61" s="188">
        <v>36</v>
      </c>
      <c r="D61" s="188">
        <v>43</v>
      </c>
      <c r="E61" s="188">
        <v>57</v>
      </c>
      <c r="F61" s="188">
        <v>34</v>
      </c>
      <c r="G61" s="188">
        <v>34</v>
      </c>
      <c r="H61" s="188">
        <v>33</v>
      </c>
      <c r="I61" s="188">
        <v>49</v>
      </c>
      <c r="J61" s="188">
        <v>52</v>
      </c>
      <c r="K61" s="188">
        <v>35</v>
      </c>
      <c r="L61" s="188">
        <v>27</v>
      </c>
      <c r="M61" s="188">
        <v>28</v>
      </c>
      <c r="N61" s="188">
        <v>31</v>
      </c>
      <c r="O61" s="188">
        <v>33</v>
      </c>
      <c r="P61" s="188">
        <v>18</v>
      </c>
      <c r="Q61" s="188">
        <v>21</v>
      </c>
      <c r="R61" s="188">
        <v>19</v>
      </c>
      <c r="S61" s="188">
        <v>14</v>
      </c>
      <c r="T61" s="188">
        <v>3</v>
      </c>
      <c r="U61" s="188">
        <v>10</v>
      </c>
      <c r="V61" s="188">
        <v>4</v>
      </c>
      <c r="W61" s="188">
        <v>12</v>
      </c>
      <c r="X61" s="188">
        <v>15</v>
      </c>
      <c r="Y61" s="194">
        <v>642</v>
      </c>
    </row>
    <row r="62" spans="1:25" ht="15.75" customHeight="1" x14ac:dyDescent="0.25">
      <c r="A62" s="118" t="s">
        <v>2779</v>
      </c>
      <c r="B62" s="181">
        <v>39</v>
      </c>
      <c r="C62" s="182">
        <v>36</v>
      </c>
      <c r="D62" s="182">
        <v>45</v>
      </c>
      <c r="E62" s="182">
        <v>58</v>
      </c>
      <c r="F62" s="182">
        <v>34</v>
      </c>
      <c r="G62" s="182">
        <v>39</v>
      </c>
      <c r="H62" s="182">
        <v>33</v>
      </c>
      <c r="I62" s="182">
        <v>53</v>
      </c>
      <c r="J62" s="182">
        <v>57</v>
      </c>
      <c r="K62" s="182">
        <v>37</v>
      </c>
      <c r="L62" s="182">
        <v>34</v>
      </c>
      <c r="M62" s="182">
        <v>37</v>
      </c>
      <c r="N62" s="182">
        <v>37</v>
      </c>
      <c r="O62" s="182">
        <v>62</v>
      </c>
      <c r="P62" s="182">
        <v>26</v>
      </c>
      <c r="Q62" s="182">
        <v>45</v>
      </c>
      <c r="R62" s="182">
        <v>32</v>
      </c>
      <c r="S62" s="182">
        <v>24</v>
      </c>
      <c r="T62" s="182">
        <v>6</v>
      </c>
      <c r="U62" s="182">
        <v>15</v>
      </c>
      <c r="V62" s="182">
        <v>10</v>
      </c>
      <c r="W62" s="182">
        <v>15</v>
      </c>
      <c r="X62" s="182">
        <v>25</v>
      </c>
      <c r="Y62" s="195">
        <v>799</v>
      </c>
    </row>
  </sheetData>
  <pageMargins left="0.7" right="0.7" top="0.75" bottom="0.75" header="0" footer="0"/>
  <pageSetup orientation="portrait"/>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6:Y66"/>
  <sheetViews>
    <sheetView topLeftCell="A58" workbookViewId="0"/>
  </sheetViews>
  <sheetFormatPr defaultColWidth="14.42578125" defaultRowHeight="15" customHeight="1" x14ac:dyDescent="0.25"/>
  <cols>
    <col min="1" max="1" width="23.42578125" customWidth="1"/>
    <col min="2" max="2" width="15.42578125" customWidth="1"/>
    <col min="3" max="24" width="5" customWidth="1"/>
    <col min="25" max="25" width="11.7109375" customWidth="1"/>
    <col min="26" max="26" width="8.7109375" customWidth="1"/>
  </cols>
  <sheetData>
    <row r="6" spans="1:17" hidden="1" x14ac:dyDescent="0.25">
      <c r="A6" s="2" t="s">
        <v>2854</v>
      </c>
    </row>
    <row r="7" spans="1:17" hidden="1" x14ac:dyDescent="0.25"/>
    <row r="8" spans="1:17" hidden="1" x14ac:dyDescent="0.25">
      <c r="A8" s="3"/>
    </row>
    <row r="9" spans="1:17" hidden="1" x14ac:dyDescent="0.25">
      <c r="A9" s="120" t="s">
        <v>10</v>
      </c>
      <c r="B9" s="119" t="s">
        <v>2827</v>
      </c>
    </row>
    <row r="10" spans="1:17" hidden="1" x14ac:dyDescent="0.25"/>
    <row r="11" spans="1:17" hidden="1" x14ac:dyDescent="0.25">
      <c r="A11" s="111" t="s">
        <v>2778</v>
      </c>
      <c r="B11" s="111" t="s">
        <v>8</v>
      </c>
      <c r="C11" s="112"/>
      <c r="D11" s="112"/>
      <c r="E11" s="112"/>
      <c r="F11" s="112"/>
      <c r="G11" s="112"/>
      <c r="H11" s="112"/>
      <c r="I11" s="112"/>
      <c r="J11" s="112"/>
      <c r="K11" s="112"/>
      <c r="L11" s="112"/>
      <c r="M11" s="112"/>
      <c r="N11" s="112"/>
      <c r="O11" s="112"/>
      <c r="P11" s="112"/>
      <c r="Q11" s="113"/>
    </row>
    <row r="12" spans="1:17" hidden="1" x14ac:dyDescent="0.25">
      <c r="A12" s="111" t="s">
        <v>15</v>
      </c>
      <c r="B12" s="114">
        <v>2003</v>
      </c>
      <c r="C12" s="115">
        <v>2004</v>
      </c>
      <c r="D12" s="115">
        <v>2005</v>
      </c>
      <c r="E12" s="115">
        <v>2006</v>
      </c>
      <c r="F12" s="115">
        <v>2007</v>
      </c>
      <c r="G12" s="115">
        <v>2008</v>
      </c>
      <c r="H12" s="115">
        <v>2009</v>
      </c>
      <c r="I12" s="115">
        <v>2010</v>
      </c>
      <c r="J12" s="115">
        <v>2011</v>
      </c>
      <c r="K12" s="115">
        <v>2012</v>
      </c>
      <c r="L12" s="115">
        <v>2013</v>
      </c>
      <c r="M12" s="115">
        <v>2014</v>
      </c>
      <c r="N12" s="115">
        <v>2015</v>
      </c>
      <c r="O12" s="115">
        <v>2016</v>
      </c>
      <c r="P12" s="115">
        <v>2017</v>
      </c>
      <c r="Q12" s="125">
        <v>2018</v>
      </c>
    </row>
    <row r="13" spans="1:17" hidden="1" x14ac:dyDescent="0.25">
      <c r="A13" s="114" t="s">
        <v>83</v>
      </c>
      <c r="B13" s="184">
        <v>61</v>
      </c>
      <c r="C13" s="185">
        <v>63</v>
      </c>
      <c r="D13" s="185">
        <v>65</v>
      </c>
      <c r="E13" s="185">
        <v>76</v>
      </c>
      <c r="F13" s="185">
        <v>78</v>
      </c>
      <c r="G13" s="185">
        <v>72</v>
      </c>
      <c r="H13" s="185">
        <v>81</v>
      </c>
      <c r="I13" s="185">
        <v>94</v>
      </c>
      <c r="J13" s="185">
        <v>56</v>
      </c>
      <c r="K13" s="185">
        <v>27</v>
      </c>
      <c r="L13" s="185">
        <v>34</v>
      </c>
      <c r="M13" s="185">
        <v>40</v>
      </c>
      <c r="N13" s="185">
        <v>53</v>
      </c>
      <c r="O13" s="185">
        <v>41</v>
      </c>
      <c r="P13" s="185">
        <v>32</v>
      </c>
      <c r="Q13" s="186">
        <v>36</v>
      </c>
    </row>
    <row r="14" spans="1:17" hidden="1" x14ac:dyDescent="0.25">
      <c r="A14" s="123" t="s">
        <v>101</v>
      </c>
      <c r="B14" s="190">
        <v>54</v>
      </c>
      <c r="C14" s="191">
        <v>69</v>
      </c>
      <c r="D14" s="191">
        <v>92</v>
      </c>
      <c r="E14" s="191">
        <v>63</v>
      </c>
      <c r="F14" s="191">
        <v>73</v>
      </c>
      <c r="G14" s="191">
        <v>58</v>
      </c>
      <c r="H14" s="191">
        <v>69</v>
      </c>
      <c r="I14" s="191">
        <v>78</v>
      </c>
      <c r="J14" s="191">
        <v>70</v>
      </c>
      <c r="K14" s="191">
        <v>65</v>
      </c>
      <c r="L14" s="191">
        <v>78</v>
      </c>
      <c r="M14" s="191">
        <v>84</v>
      </c>
      <c r="N14" s="191">
        <v>76</v>
      </c>
      <c r="O14" s="191">
        <v>63</v>
      </c>
      <c r="P14" s="191">
        <v>57</v>
      </c>
      <c r="Q14" s="192">
        <v>68</v>
      </c>
    </row>
    <row r="32" spans="1:1" ht="15.75" hidden="1" customHeight="1" x14ac:dyDescent="0.25">
      <c r="A32" s="2" t="s">
        <v>2855</v>
      </c>
    </row>
    <row r="34" spans="1:18" hidden="1" x14ac:dyDescent="0.25">
      <c r="A34" s="120" t="s">
        <v>10</v>
      </c>
      <c r="B34" s="119" t="s">
        <v>2827</v>
      </c>
    </row>
    <row r="35" spans="1:18" ht="15.75" hidden="1" customHeight="1" x14ac:dyDescent="0.25"/>
    <row r="36" spans="1:18" ht="15.75" hidden="1" customHeight="1" x14ac:dyDescent="0.25">
      <c r="A36" s="111" t="s">
        <v>2778</v>
      </c>
      <c r="B36" s="111" t="s">
        <v>8</v>
      </c>
      <c r="C36" s="112"/>
      <c r="D36" s="112"/>
      <c r="E36" s="112"/>
      <c r="F36" s="112"/>
      <c r="G36" s="112"/>
      <c r="H36" s="112"/>
      <c r="I36" s="112"/>
      <c r="J36" s="112"/>
      <c r="K36" s="112"/>
      <c r="L36" s="112"/>
      <c r="M36" s="112"/>
      <c r="N36" s="112"/>
      <c r="O36" s="112"/>
      <c r="P36" s="112"/>
      <c r="Q36" s="112"/>
      <c r="R36" s="113"/>
    </row>
    <row r="37" spans="1:18" ht="15.75" hidden="1" customHeight="1" x14ac:dyDescent="0.25">
      <c r="A37" s="111" t="s">
        <v>15</v>
      </c>
      <c r="B37" s="114">
        <v>2003</v>
      </c>
      <c r="C37" s="115">
        <v>2004</v>
      </c>
      <c r="D37" s="115">
        <v>2005</v>
      </c>
      <c r="E37" s="115">
        <v>2006</v>
      </c>
      <c r="F37" s="115">
        <v>2007</v>
      </c>
      <c r="G37" s="115">
        <v>2008</v>
      </c>
      <c r="H37" s="115">
        <v>2009</v>
      </c>
      <c r="I37" s="115">
        <v>2010</v>
      </c>
      <c r="J37" s="115">
        <v>2011</v>
      </c>
      <c r="K37" s="115">
        <v>2012</v>
      </c>
      <c r="L37" s="115">
        <v>2013</v>
      </c>
      <c r="M37" s="115">
        <v>2014</v>
      </c>
      <c r="N37" s="115">
        <v>2015</v>
      </c>
      <c r="O37" s="115">
        <v>2016</v>
      </c>
      <c r="P37" s="115">
        <v>2017</v>
      </c>
      <c r="Q37" s="115">
        <v>2018</v>
      </c>
      <c r="R37" s="125">
        <v>2019</v>
      </c>
    </row>
    <row r="38" spans="1:18" ht="15.75" hidden="1" customHeight="1" x14ac:dyDescent="0.25">
      <c r="A38" s="114" t="s">
        <v>83</v>
      </c>
      <c r="B38" s="184">
        <v>61</v>
      </c>
      <c r="C38" s="185">
        <v>63</v>
      </c>
      <c r="D38" s="185">
        <v>65</v>
      </c>
      <c r="E38" s="185">
        <v>76</v>
      </c>
      <c r="F38" s="185">
        <v>78</v>
      </c>
      <c r="G38" s="185">
        <v>72</v>
      </c>
      <c r="H38" s="185">
        <v>81</v>
      </c>
      <c r="I38" s="185">
        <v>94</v>
      </c>
      <c r="J38" s="185">
        <v>56</v>
      </c>
      <c r="K38" s="185">
        <v>27</v>
      </c>
      <c r="L38" s="185">
        <v>34</v>
      </c>
      <c r="M38" s="185">
        <v>40</v>
      </c>
      <c r="N38" s="185">
        <v>53</v>
      </c>
      <c r="O38" s="185">
        <v>41</v>
      </c>
      <c r="P38" s="185">
        <v>32</v>
      </c>
      <c r="Q38" s="185">
        <v>36</v>
      </c>
      <c r="R38" s="186">
        <v>42</v>
      </c>
    </row>
    <row r="39" spans="1:18" ht="15.75" hidden="1" customHeight="1" x14ac:dyDescent="0.25">
      <c r="A39" s="123" t="s">
        <v>101</v>
      </c>
      <c r="B39" s="190">
        <v>54</v>
      </c>
      <c r="C39" s="191">
        <v>69</v>
      </c>
      <c r="D39" s="191">
        <v>92</v>
      </c>
      <c r="E39" s="191">
        <v>63</v>
      </c>
      <c r="F39" s="191">
        <v>73</v>
      </c>
      <c r="G39" s="191">
        <v>58</v>
      </c>
      <c r="H39" s="191">
        <v>69</v>
      </c>
      <c r="I39" s="191">
        <v>78</v>
      </c>
      <c r="J39" s="191">
        <v>70</v>
      </c>
      <c r="K39" s="191">
        <v>65</v>
      </c>
      <c r="L39" s="191">
        <v>78</v>
      </c>
      <c r="M39" s="191">
        <v>84</v>
      </c>
      <c r="N39" s="191">
        <v>76</v>
      </c>
      <c r="O39" s="191">
        <v>63</v>
      </c>
      <c r="P39" s="191">
        <v>57</v>
      </c>
      <c r="Q39" s="191">
        <v>68</v>
      </c>
      <c r="R39" s="192">
        <v>63</v>
      </c>
    </row>
    <row r="58" spans="1:25" ht="15.75" customHeight="1" x14ac:dyDescent="0.25">
      <c r="A58" s="12" t="s">
        <v>3130</v>
      </c>
    </row>
    <row r="59" spans="1:25" x14ac:dyDescent="0.25">
      <c r="A59" s="120" t="s">
        <v>6</v>
      </c>
      <c r="B59" s="119" t="s">
        <v>56</v>
      </c>
    </row>
    <row r="60" spans="1:25" x14ac:dyDescent="0.25">
      <c r="A60" s="120" t="s">
        <v>10</v>
      </c>
      <c r="B60" s="119" t="s">
        <v>2827</v>
      </c>
    </row>
    <row r="61" spans="1:25" ht="15.75" customHeight="1" x14ac:dyDescent="0.25"/>
    <row r="62" spans="1:25" x14ac:dyDescent="0.25">
      <c r="A62" s="111" t="s">
        <v>2778</v>
      </c>
      <c r="B62" s="111" t="s">
        <v>8</v>
      </c>
      <c r="C62" s="112"/>
      <c r="D62" s="112"/>
      <c r="E62" s="112"/>
      <c r="F62" s="112"/>
      <c r="G62" s="112"/>
      <c r="H62" s="112"/>
      <c r="I62" s="112"/>
      <c r="J62" s="112"/>
      <c r="K62" s="112"/>
      <c r="L62" s="112"/>
      <c r="M62" s="112"/>
      <c r="N62" s="112"/>
      <c r="O62" s="112"/>
      <c r="P62" s="112"/>
      <c r="Q62" s="112"/>
      <c r="R62" s="112"/>
      <c r="S62" s="112"/>
      <c r="T62" s="112"/>
      <c r="U62" s="112"/>
      <c r="V62" s="112"/>
      <c r="W62" s="112"/>
      <c r="X62" s="112"/>
      <c r="Y62" s="113"/>
    </row>
    <row r="63" spans="1:25" x14ac:dyDescent="0.25">
      <c r="A63" s="111" t="s">
        <v>15</v>
      </c>
      <c r="B63" s="114">
        <v>2002</v>
      </c>
      <c r="C63" s="115">
        <v>2003</v>
      </c>
      <c r="D63" s="115">
        <v>2004</v>
      </c>
      <c r="E63" s="115">
        <v>2005</v>
      </c>
      <c r="F63" s="115">
        <v>2006</v>
      </c>
      <c r="G63" s="115">
        <v>2007</v>
      </c>
      <c r="H63" s="115">
        <v>2008</v>
      </c>
      <c r="I63" s="115">
        <v>2009</v>
      </c>
      <c r="J63" s="115">
        <v>2010</v>
      </c>
      <c r="K63" s="115">
        <v>2011</v>
      </c>
      <c r="L63" s="115">
        <v>2012</v>
      </c>
      <c r="M63" s="115">
        <v>2013</v>
      </c>
      <c r="N63" s="115">
        <v>2014</v>
      </c>
      <c r="O63" s="115">
        <v>2015</v>
      </c>
      <c r="P63" s="115">
        <v>2016</v>
      </c>
      <c r="Q63" s="115">
        <v>2017</v>
      </c>
      <c r="R63" s="115">
        <v>2018</v>
      </c>
      <c r="S63" s="115">
        <v>2019</v>
      </c>
      <c r="T63" s="115">
        <v>2020</v>
      </c>
      <c r="U63" s="115">
        <v>2021</v>
      </c>
      <c r="V63" s="115">
        <v>2022</v>
      </c>
      <c r="W63" s="115">
        <v>2023</v>
      </c>
      <c r="X63" s="115">
        <v>2024</v>
      </c>
      <c r="Y63" s="122" t="s">
        <v>2779</v>
      </c>
    </row>
    <row r="64" spans="1:25" x14ac:dyDescent="0.25">
      <c r="A64" s="114" t="s">
        <v>83</v>
      </c>
      <c r="B64" s="184">
        <v>13</v>
      </c>
      <c r="C64" s="185">
        <v>20</v>
      </c>
      <c r="D64" s="185">
        <v>22</v>
      </c>
      <c r="E64" s="185">
        <v>30</v>
      </c>
      <c r="F64" s="185">
        <v>22</v>
      </c>
      <c r="G64" s="185">
        <v>18</v>
      </c>
      <c r="H64" s="185">
        <v>13</v>
      </c>
      <c r="I64" s="185">
        <v>38</v>
      </c>
      <c r="J64" s="185">
        <v>29</v>
      </c>
      <c r="K64" s="185">
        <v>14</v>
      </c>
      <c r="L64" s="185">
        <v>2</v>
      </c>
      <c r="M64" s="185">
        <v>11</v>
      </c>
      <c r="N64" s="185">
        <v>8</v>
      </c>
      <c r="O64" s="185">
        <v>13</v>
      </c>
      <c r="P64" s="185">
        <v>8</v>
      </c>
      <c r="Q64" s="185">
        <v>8</v>
      </c>
      <c r="R64" s="185">
        <v>6</v>
      </c>
      <c r="S64" s="185">
        <v>5</v>
      </c>
      <c r="T64" s="185">
        <v>1</v>
      </c>
      <c r="U64" s="185">
        <v>6</v>
      </c>
      <c r="V64" s="185">
        <v>0</v>
      </c>
      <c r="W64" s="185">
        <v>7</v>
      </c>
      <c r="X64" s="185">
        <v>6</v>
      </c>
      <c r="Y64" s="199">
        <v>300</v>
      </c>
    </row>
    <row r="65" spans="1:25" x14ac:dyDescent="0.25">
      <c r="A65" s="117" t="s">
        <v>101</v>
      </c>
      <c r="B65" s="187">
        <v>21</v>
      </c>
      <c r="C65" s="188">
        <v>16</v>
      </c>
      <c r="D65" s="188">
        <v>21</v>
      </c>
      <c r="E65" s="188">
        <v>27</v>
      </c>
      <c r="F65" s="188">
        <v>12</v>
      </c>
      <c r="G65" s="188">
        <v>16</v>
      </c>
      <c r="H65" s="188">
        <v>20</v>
      </c>
      <c r="I65" s="188">
        <v>11</v>
      </c>
      <c r="J65" s="188">
        <v>23</v>
      </c>
      <c r="K65" s="188">
        <v>21</v>
      </c>
      <c r="L65" s="188">
        <v>25</v>
      </c>
      <c r="M65" s="188">
        <v>17</v>
      </c>
      <c r="N65" s="188">
        <v>23</v>
      </c>
      <c r="O65" s="188">
        <v>20</v>
      </c>
      <c r="P65" s="188">
        <v>10</v>
      </c>
      <c r="Q65" s="188">
        <v>13</v>
      </c>
      <c r="R65" s="188">
        <v>13</v>
      </c>
      <c r="S65" s="188">
        <v>9</v>
      </c>
      <c r="T65" s="188">
        <v>0</v>
      </c>
      <c r="U65" s="188">
        <v>0</v>
      </c>
      <c r="V65" s="188">
        <v>0</v>
      </c>
      <c r="W65" s="188">
        <v>4</v>
      </c>
      <c r="X65" s="188">
        <v>6</v>
      </c>
      <c r="Y65" s="200">
        <v>328</v>
      </c>
    </row>
    <row r="66" spans="1:25" x14ac:dyDescent="0.25">
      <c r="A66" s="121" t="s">
        <v>2779</v>
      </c>
      <c r="B66" s="196">
        <v>34</v>
      </c>
      <c r="C66" s="197">
        <v>36</v>
      </c>
      <c r="D66" s="197">
        <v>43</v>
      </c>
      <c r="E66" s="197">
        <v>57</v>
      </c>
      <c r="F66" s="197">
        <v>34</v>
      </c>
      <c r="G66" s="197">
        <v>34</v>
      </c>
      <c r="H66" s="197">
        <v>33</v>
      </c>
      <c r="I66" s="197">
        <v>49</v>
      </c>
      <c r="J66" s="197">
        <v>52</v>
      </c>
      <c r="K66" s="197">
        <v>35</v>
      </c>
      <c r="L66" s="197">
        <v>27</v>
      </c>
      <c r="M66" s="197">
        <v>28</v>
      </c>
      <c r="N66" s="197">
        <v>31</v>
      </c>
      <c r="O66" s="197">
        <v>33</v>
      </c>
      <c r="P66" s="197">
        <v>18</v>
      </c>
      <c r="Q66" s="197">
        <v>21</v>
      </c>
      <c r="R66" s="197">
        <v>19</v>
      </c>
      <c r="S66" s="197">
        <v>14</v>
      </c>
      <c r="T66" s="197">
        <v>1</v>
      </c>
      <c r="U66" s="197">
        <v>6</v>
      </c>
      <c r="V66" s="197">
        <v>0</v>
      </c>
      <c r="W66" s="197">
        <v>11</v>
      </c>
      <c r="X66" s="197">
        <v>12</v>
      </c>
      <c r="Y66" s="198">
        <v>628</v>
      </c>
    </row>
  </sheetData>
  <pageMargins left="0.7" right="0.7" top="0.75" bottom="0.75" header="0" footer="0"/>
  <pageSetup orientation="portrait"/>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A3:AK2630"/>
  <sheetViews>
    <sheetView workbookViewId="0">
      <selection activeCell="C16" sqref="C16"/>
    </sheetView>
  </sheetViews>
  <sheetFormatPr defaultColWidth="14.42578125" defaultRowHeight="15" customHeight="1" x14ac:dyDescent="0.25"/>
  <cols>
    <col min="1" max="1" width="23.42578125" customWidth="1"/>
    <col min="2" max="2" width="15.42578125" customWidth="1"/>
    <col min="3" max="22" width="5" customWidth="1"/>
    <col min="23" max="24" width="5.28515625" customWidth="1"/>
    <col min="25" max="33" width="13" customWidth="1"/>
    <col min="34" max="34" width="25.7109375" customWidth="1"/>
    <col min="35" max="35" width="23.42578125" customWidth="1"/>
    <col min="36" max="36" width="9.28515625" customWidth="1"/>
    <col min="37" max="37" width="6.7109375" customWidth="1"/>
  </cols>
  <sheetData>
    <row r="3" spans="1:37" ht="15" customHeight="1" x14ac:dyDescent="0.25">
      <c r="A3" s="120" t="s">
        <v>7</v>
      </c>
      <c r="B3" s="119" t="s">
        <v>42</v>
      </c>
    </row>
    <row r="4" spans="1:37" x14ac:dyDescent="0.25"/>
    <row r="5" spans="1:37" x14ac:dyDescent="0.25">
      <c r="A5" s="111" t="s">
        <v>2882</v>
      </c>
      <c r="B5" s="111" t="s">
        <v>8</v>
      </c>
      <c r="C5" s="112"/>
      <c r="D5" s="112"/>
      <c r="E5" s="112"/>
      <c r="F5" s="112"/>
      <c r="G5" s="112"/>
      <c r="H5" s="112"/>
      <c r="I5" s="112"/>
      <c r="J5" s="112"/>
      <c r="K5" s="112"/>
      <c r="L5" s="112"/>
      <c r="M5" s="112"/>
      <c r="N5" s="112"/>
      <c r="O5" s="112"/>
      <c r="P5" s="112"/>
      <c r="Q5" s="112"/>
      <c r="R5" s="112"/>
      <c r="S5" s="112"/>
      <c r="T5" s="112"/>
      <c r="U5" s="112"/>
      <c r="V5" s="112"/>
      <c r="W5" s="112"/>
      <c r="X5" s="112"/>
      <c r="Y5" s="113"/>
    </row>
    <row r="6" spans="1:37" x14ac:dyDescent="0.25">
      <c r="A6" s="111" t="s">
        <v>1</v>
      </c>
      <c r="B6" s="114">
        <v>2002</v>
      </c>
      <c r="C6" s="115">
        <v>2003</v>
      </c>
      <c r="D6" s="115">
        <v>2004</v>
      </c>
      <c r="E6" s="115">
        <v>2005</v>
      </c>
      <c r="F6" s="115">
        <v>2006</v>
      </c>
      <c r="G6" s="115">
        <v>2007</v>
      </c>
      <c r="H6" s="115">
        <v>2008</v>
      </c>
      <c r="I6" s="115">
        <v>2009</v>
      </c>
      <c r="J6" s="115">
        <v>2010</v>
      </c>
      <c r="K6" s="115">
        <v>2011</v>
      </c>
      <c r="L6" s="115">
        <v>2012</v>
      </c>
      <c r="M6" s="115">
        <v>2013</v>
      </c>
      <c r="N6" s="115">
        <v>2014</v>
      </c>
      <c r="O6" s="115">
        <v>2015</v>
      </c>
      <c r="P6" s="115">
        <v>2016</v>
      </c>
      <c r="Q6" s="115">
        <v>2017</v>
      </c>
      <c r="R6" s="115">
        <v>2018</v>
      </c>
      <c r="S6" s="115">
        <v>2019</v>
      </c>
      <c r="T6" s="115">
        <v>2020</v>
      </c>
      <c r="U6" s="115">
        <v>2021</v>
      </c>
      <c r="V6" s="115">
        <v>2022</v>
      </c>
      <c r="W6" s="115">
        <v>2023</v>
      </c>
      <c r="X6" s="115">
        <v>2024</v>
      </c>
      <c r="Y6" s="122" t="s">
        <v>2779</v>
      </c>
    </row>
    <row r="7" spans="1:37" x14ac:dyDescent="0.25">
      <c r="A7" s="114" t="s">
        <v>307</v>
      </c>
      <c r="B7" s="184">
        <v>0</v>
      </c>
      <c r="C7" s="185">
        <v>1</v>
      </c>
      <c r="D7" s="185">
        <v>1</v>
      </c>
      <c r="E7" s="185">
        <v>1</v>
      </c>
      <c r="F7" s="185">
        <v>1</v>
      </c>
      <c r="G7" s="185">
        <v>1</v>
      </c>
      <c r="H7" s="185">
        <v>0</v>
      </c>
      <c r="I7" s="185">
        <v>2</v>
      </c>
      <c r="J7" s="185">
        <v>2</v>
      </c>
      <c r="K7" s="185">
        <v>4</v>
      </c>
      <c r="L7" s="185">
        <v>0</v>
      </c>
      <c r="M7" s="185">
        <v>1</v>
      </c>
      <c r="N7" s="185">
        <v>2</v>
      </c>
      <c r="O7" s="185">
        <v>4</v>
      </c>
      <c r="P7" s="185">
        <v>5</v>
      </c>
      <c r="Q7" s="185">
        <v>6</v>
      </c>
      <c r="R7" s="185">
        <v>2</v>
      </c>
      <c r="S7" s="185">
        <v>5</v>
      </c>
      <c r="T7" s="185">
        <v>2</v>
      </c>
      <c r="U7" s="185">
        <v>3</v>
      </c>
      <c r="V7" s="185">
        <v>1</v>
      </c>
      <c r="W7" s="185">
        <v>3</v>
      </c>
      <c r="X7" s="185">
        <v>1</v>
      </c>
      <c r="Y7" s="199">
        <v>48</v>
      </c>
      <c r="AK7" s="2">
        <f>SUM(98-16)</f>
        <v>82</v>
      </c>
    </row>
    <row r="8" spans="1:37" x14ac:dyDescent="0.25">
      <c r="A8" s="117" t="s">
        <v>26</v>
      </c>
      <c r="B8" s="187">
        <v>0</v>
      </c>
      <c r="C8" s="188">
        <v>0</v>
      </c>
      <c r="D8" s="188">
        <v>0</v>
      </c>
      <c r="E8" s="188">
        <v>2</v>
      </c>
      <c r="F8" s="188">
        <v>0</v>
      </c>
      <c r="G8" s="188">
        <v>0</v>
      </c>
      <c r="H8" s="188">
        <v>0</v>
      </c>
      <c r="I8" s="188">
        <v>1</v>
      </c>
      <c r="J8" s="188">
        <v>1</v>
      </c>
      <c r="K8" s="188">
        <v>1</v>
      </c>
      <c r="L8" s="188">
        <v>1</v>
      </c>
      <c r="M8" s="188">
        <v>1</v>
      </c>
      <c r="N8" s="188">
        <v>1</v>
      </c>
      <c r="O8" s="188">
        <v>0</v>
      </c>
      <c r="P8" s="188">
        <v>2</v>
      </c>
      <c r="Q8" s="188">
        <v>1</v>
      </c>
      <c r="R8" s="188">
        <v>0</v>
      </c>
      <c r="S8" s="188">
        <v>0</v>
      </c>
      <c r="T8" s="188">
        <v>0</v>
      </c>
      <c r="U8" s="188">
        <v>0</v>
      </c>
      <c r="V8" s="188">
        <v>0</v>
      </c>
      <c r="W8" s="188">
        <v>0</v>
      </c>
      <c r="X8" s="188">
        <v>0</v>
      </c>
      <c r="Y8" s="200">
        <v>11</v>
      </c>
    </row>
    <row r="9" spans="1:37" x14ac:dyDescent="0.25">
      <c r="A9" s="117" t="s">
        <v>76</v>
      </c>
      <c r="B9" s="187">
        <v>4</v>
      </c>
      <c r="C9" s="188">
        <v>2</v>
      </c>
      <c r="D9" s="188">
        <v>3</v>
      </c>
      <c r="E9" s="188">
        <v>3</v>
      </c>
      <c r="F9" s="188">
        <v>3</v>
      </c>
      <c r="G9" s="188">
        <v>2</v>
      </c>
      <c r="H9" s="188">
        <v>3</v>
      </c>
      <c r="I9" s="188">
        <v>6</v>
      </c>
      <c r="J9" s="188">
        <v>5</v>
      </c>
      <c r="K9" s="188">
        <v>2</v>
      </c>
      <c r="L9" s="188">
        <v>3</v>
      </c>
      <c r="M9" s="188">
        <v>3</v>
      </c>
      <c r="N9" s="188">
        <v>3</v>
      </c>
      <c r="O9" s="188">
        <v>4</v>
      </c>
      <c r="P9" s="188">
        <v>5</v>
      </c>
      <c r="Q9" s="188">
        <v>5</v>
      </c>
      <c r="R9" s="188">
        <v>7</v>
      </c>
      <c r="S9" s="188">
        <v>8</v>
      </c>
      <c r="T9" s="188">
        <v>2</v>
      </c>
      <c r="U9" s="188">
        <v>3</v>
      </c>
      <c r="V9" s="188">
        <v>2</v>
      </c>
      <c r="W9" s="188">
        <v>4</v>
      </c>
      <c r="X9" s="188">
        <v>3</v>
      </c>
      <c r="Y9" s="200">
        <v>85</v>
      </c>
    </row>
    <row r="10" spans="1:37" x14ac:dyDescent="0.25">
      <c r="A10" s="121" t="s">
        <v>2779</v>
      </c>
      <c r="B10" s="196">
        <v>4</v>
      </c>
      <c r="C10" s="197">
        <v>3</v>
      </c>
      <c r="D10" s="197">
        <v>4</v>
      </c>
      <c r="E10" s="197">
        <v>6</v>
      </c>
      <c r="F10" s="197">
        <v>4</v>
      </c>
      <c r="G10" s="197">
        <v>3</v>
      </c>
      <c r="H10" s="197">
        <v>3</v>
      </c>
      <c r="I10" s="197">
        <v>9</v>
      </c>
      <c r="J10" s="197">
        <v>8</v>
      </c>
      <c r="K10" s="197">
        <v>7</v>
      </c>
      <c r="L10" s="197">
        <v>4</v>
      </c>
      <c r="M10" s="197">
        <v>5</v>
      </c>
      <c r="N10" s="197">
        <v>6</v>
      </c>
      <c r="O10" s="197">
        <v>8</v>
      </c>
      <c r="P10" s="197">
        <v>12</v>
      </c>
      <c r="Q10" s="197">
        <v>12</v>
      </c>
      <c r="R10" s="197">
        <v>9</v>
      </c>
      <c r="S10" s="197">
        <v>13</v>
      </c>
      <c r="T10" s="197">
        <v>4</v>
      </c>
      <c r="U10" s="197">
        <v>6</v>
      </c>
      <c r="V10" s="197">
        <v>3</v>
      </c>
      <c r="W10" s="197">
        <v>7</v>
      </c>
      <c r="X10" s="197">
        <v>4</v>
      </c>
      <c r="Y10" s="198">
        <v>144</v>
      </c>
    </row>
    <row r="11" spans="1:37" x14ac:dyDescent="0.25"/>
    <row r="12" spans="1:37" x14ac:dyDescent="0.25">
      <c r="AK12" s="2">
        <f>SUM(20-26)</f>
        <v>-6</v>
      </c>
    </row>
    <row r="13" spans="1:37" x14ac:dyDescent="0.25"/>
    <row r="14" spans="1:37" x14ac:dyDescent="0.25"/>
    <row r="15" spans="1:37" x14ac:dyDescent="0.25">
      <c r="B15" t="s">
        <v>3781</v>
      </c>
      <c r="C15">
        <f>SUM(B10:M10)</f>
        <v>60</v>
      </c>
      <c r="AK15" s="2">
        <f>SUM(40-22)</f>
        <v>18</v>
      </c>
    </row>
    <row r="16" spans="1:37" ht="15" customHeight="1" x14ac:dyDescent="0.25">
      <c r="B16" t="s">
        <v>3782</v>
      </c>
      <c r="C16">
        <f>SUM(N10:X10)</f>
        <v>84</v>
      </c>
      <c r="D16">
        <f>C16/GETPIVOTDATA("Activity Type",$A$5)</f>
        <v>0.58333333333333337</v>
      </c>
    </row>
    <row r="20" spans="37:37" x14ac:dyDescent="0.25">
      <c r="AK20" s="2">
        <f>SUM(28-96)</f>
        <v>-68</v>
      </c>
    </row>
    <row r="21" spans="37:37" ht="15.75" customHeight="1" x14ac:dyDescent="0.25"/>
    <row r="22" spans="37:37" ht="15.75" customHeight="1" x14ac:dyDescent="0.25"/>
    <row r="23" spans="37:37" ht="15.75" customHeight="1" x14ac:dyDescent="0.25">
      <c r="AK23" s="2">
        <f>SUM(42-8)</f>
        <v>34</v>
      </c>
    </row>
    <row r="24" spans="37:37" ht="15.75" customHeight="1" x14ac:dyDescent="0.25"/>
    <row r="25" spans="37:37" ht="15.75" customHeight="1" x14ac:dyDescent="0.25"/>
    <row r="26" spans="37:37" ht="15.75" customHeight="1" x14ac:dyDescent="0.25">
      <c r="AK26" s="2">
        <f>SUM(228-122)</f>
        <v>106</v>
      </c>
    </row>
    <row r="27" spans="37:37" ht="15.75" customHeight="1" x14ac:dyDescent="0.25"/>
    <row r="28" spans="37:37" ht="15.75" customHeight="1" x14ac:dyDescent="0.25"/>
    <row r="29" spans="37:37" ht="15.75" customHeight="1" x14ac:dyDescent="0.25">
      <c r="AK29" s="2">
        <f>SUM(48-16)</f>
        <v>32</v>
      </c>
    </row>
    <row r="35" spans="1:37" s="72" customFormat="1" ht="15.75" customHeight="1" x14ac:dyDescent="0.25">
      <c r="A35"/>
      <c r="B35"/>
      <c r="C35"/>
      <c r="D35"/>
      <c r="E35"/>
      <c r="F35"/>
      <c r="G35"/>
      <c r="H35"/>
      <c r="I35"/>
      <c r="J35"/>
      <c r="K35"/>
      <c r="L35"/>
      <c r="M35"/>
      <c r="N35"/>
      <c r="O35"/>
      <c r="P35"/>
      <c r="Q35"/>
      <c r="R35"/>
      <c r="S35"/>
      <c r="T35"/>
      <c r="U35"/>
      <c r="V35"/>
      <c r="W35"/>
      <c r="X35"/>
      <c r="Y35"/>
      <c r="Z35"/>
    </row>
    <row r="36" spans="1:37" s="72" customFormat="1" ht="15.75" customHeight="1" x14ac:dyDescent="0.25">
      <c r="A36"/>
      <c r="B36"/>
      <c r="C36"/>
      <c r="D36"/>
      <c r="E36"/>
      <c r="F36"/>
      <c r="G36"/>
      <c r="H36"/>
      <c r="I36"/>
      <c r="J36"/>
      <c r="K36"/>
      <c r="L36"/>
      <c r="M36"/>
      <c r="N36"/>
      <c r="O36"/>
      <c r="P36"/>
      <c r="Q36"/>
      <c r="R36"/>
      <c r="S36"/>
      <c r="T36"/>
      <c r="U36"/>
      <c r="V36"/>
      <c r="W36"/>
      <c r="X36"/>
      <c r="Y36"/>
      <c r="Z36"/>
    </row>
    <row r="37" spans="1:37" ht="15.75" customHeight="1" x14ac:dyDescent="0.25">
      <c r="AK37" s="2">
        <f>SUM(176-52)</f>
        <v>124</v>
      </c>
    </row>
    <row r="38" spans="1:37" ht="15.75" customHeight="1" x14ac:dyDescent="0.25"/>
    <row r="39" spans="1:37" ht="15.75" customHeight="1" x14ac:dyDescent="0.25"/>
    <row r="40" spans="1:37" ht="15.75" customHeight="1" x14ac:dyDescent="0.25"/>
    <row r="41" spans="1:37" ht="15.75" customHeight="1" x14ac:dyDescent="0.25"/>
    <row r="42" spans="1:37" ht="15.75" customHeight="1" x14ac:dyDescent="0.25">
      <c r="AK42" s="2">
        <f>SUM(173-110)</f>
        <v>63</v>
      </c>
    </row>
    <row r="51" spans="37:37" ht="15.75" customHeight="1" x14ac:dyDescent="0.25">
      <c r="AK51" s="2">
        <f>SUM(50-18)</f>
        <v>32</v>
      </c>
    </row>
    <row r="52" spans="37:37" ht="15.75" customHeight="1" x14ac:dyDescent="0.25"/>
    <row r="53" spans="37:37" ht="15.75" customHeight="1" x14ac:dyDescent="0.25"/>
    <row r="54" spans="37:37" ht="15.75" customHeight="1" x14ac:dyDescent="0.25"/>
    <row r="55" spans="37:37" ht="15.75" customHeight="1" x14ac:dyDescent="0.25"/>
    <row r="56" spans="37:37" ht="15.75" customHeight="1" x14ac:dyDescent="0.25">
      <c r="AK56" s="2">
        <v>-7</v>
      </c>
    </row>
    <row r="57" spans="37:37" ht="15.75" customHeight="1" x14ac:dyDescent="0.25"/>
    <row r="58" spans="37:37" ht="15.75" customHeight="1" x14ac:dyDescent="0.25"/>
    <row r="59" spans="37:37" ht="15.75" customHeight="1" x14ac:dyDescent="0.25">
      <c r="AK59" s="2">
        <f>SUM(86-100)</f>
        <v>-14</v>
      </c>
    </row>
    <row r="60" spans="37:37" ht="15.75" customHeight="1" x14ac:dyDescent="0.25"/>
    <row r="61" spans="37:37" ht="15.75" customHeight="1" x14ac:dyDescent="0.25"/>
    <row r="62" spans="37:37" ht="15.75" customHeight="1" x14ac:dyDescent="0.25">
      <c r="AK62" s="2">
        <f>SUM(46-60)</f>
        <v>-14</v>
      </c>
    </row>
    <row r="70" spans="37:37" ht="15.75" customHeight="1" x14ac:dyDescent="0.25">
      <c r="AK70" s="2">
        <f>SUM(182-64)</f>
        <v>118</v>
      </c>
    </row>
    <row r="85" spans="37:37" ht="15.75" customHeight="1" x14ac:dyDescent="0.25">
      <c r="AK85" s="2">
        <f>SUM(144-107)</f>
        <v>37</v>
      </c>
    </row>
    <row r="86" spans="37:37" ht="15.75" customHeight="1" x14ac:dyDescent="0.25"/>
    <row r="87" spans="37:37" ht="15.75" customHeight="1" x14ac:dyDescent="0.25"/>
    <row r="88" spans="37:37" ht="15.75" customHeight="1" x14ac:dyDescent="0.25"/>
    <row r="89" spans="37:37" ht="15.75" customHeight="1" x14ac:dyDescent="0.25"/>
    <row r="90" spans="37:37" ht="15.75" customHeight="1" x14ac:dyDescent="0.25"/>
    <row r="91" spans="37:37" ht="15.75" customHeight="1" x14ac:dyDescent="0.25"/>
    <row r="92" spans="37:37" ht="15.75" customHeight="1" x14ac:dyDescent="0.25"/>
    <row r="93" spans="37:37" ht="15.75" customHeight="1" x14ac:dyDescent="0.25"/>
    <row r="94" spans="37:37" ht="15.75" customHeight="1" x14ac:dyDescent="0.25"/>
    <row r="95" spans="37:37" ht="15.75" customHeight="1" x14ac:dyDescent="0.25">
      <c r="AK95" s="2">
        <f>SUM(36-6)</f>
        <v>30</v>
      </c>
    </row>
    <row r="103" spans="37:37" ht="15.75" customHeight="1" x14ac:dyDescent="0.25">
      <c r="AK103" s="2">
        <f>SUM(78-139)</f>
        <v>-61</v>
      </c>
    </row>
    <row r="104" spans="37:37" ht="15.75" customHeight="1" x14ac:dyDescent="0.25"/>
    <row r="105" spans="37:37" ht="15.75" customHeight="1" x14ac:dyDescent="0.25"/>
    <row r="106" spans="37:37" ht="15.75" customHeight="1" x14ac:dyDescent="0.25"/>
    <row r="107" spans="37:37" ht="15.75" customHeight="1" x14ac:dyDescent="0.25"/>
    <row r="108" spans="37:37" ht="15.75" customHeight="1" x14ac:dyDescent="0.25"/>
    <row r="109" spans="37:37" ht="15.75" customHeight="1" x14ac:dyDescent="0.25">
      <c r="AK109" s="2">
        <f>SUM(16-34)</f>
        <v>-18</v>
      </c>
    </row>
    <row r="118" spans="37:37" ht="15.75" customHeight="1" x14ac:dyDescent="0.25">
      <c r="AK118" s="2">
        <f>SUM(36-6)</f>
        <v>30</v>
      </c>
    </row>
    <row r="119" spans="37:37" ht="15.75" customHeight="1" x14ac:dyDescent="0.25"/>
    <row r="120" spans="37:37" ht="15.75" customHeight="1" x14ac:dyDescent="0.25"/>
    <row r="121" spans="37:37" ht="15.75" customHeight="1" x14ac:dyDescent="0.25"/>
    <row r="122" spans="37:37" ht="15.75" customHeight="1" x14ac:dyDescent="0.25"/>
    <row r="123" spans="37:37" ht="15.75" customHeight="1" x14ac:dyDescent="0.25">
      <c r="AK123" s="2">
        <f>SUM(67-26)</f>
        <v>41</v>
      </c>
    </row>
    <row r="124" spans="37:37" ht="15.75" customHeight="1" x14ac:dyDescent="0.25"/>
    <row r="125" spans="37:37" ht="15.75" customHeight="1" x14ac:dyDescent="0.25"/>
    <row r="126" spans="37:37" ht="15.75" customHeight="1" x14ac:dyDescent="0.25">
      <c r="AK126" s="2">
        <f>SUM(90-124)</f>
        <v>-34</v>
      </c>
    </row>
    <row r="143" spans="37:37" ht="15.75" customHeight="1" x14ac:dyDescent="0.25">
      <c r="AK143" s="2">
        <f>SUM(107-82)</f>
        <v>25</v>
      </c>
    </row>
    <row r="146" spans="37:37" ht="15.75" customHeight="1" x14ac:dyDescent="0.25">
      <c r="AK146" s="2">
        <v>20</v>
      </c>
    </row>
    <row r="147" spans="37:37" ht="15.75" customHeight="1" x14ac:dyDescent="0.25"/>
    <row r="148" spans="37:37" ht="15.75" customHeight="1" x14ac:dyDescent="0.25"/>
    <row r="149" spans="37:37" ht="15.75" customHeight="1" x14ac:dyDescent="0.25"/>
    <row r="150" spans="37:37" ht="15.75" customHeight="1" x14ac:dyDescent="0.25"/>
    <row r="151" spans="37:37" ht="15.75" customHeight="1" x14ac:dyDescent="0.25"/>
    <row r="152" spans="37:37" ht="15.75" customHeight="1" x14ac:dyDescent="0.25">
      <c r="AK152" s="2">
        <f>SUM(142-77)</f>
        <v>65</v>
      </c>
    </row>
    <row r="153" spans="37:37" ht="15.75" customHeight="1" x14ac:dyDescent="0.25"/>
    <row r="154" spans="37:37" ht="15.75" customHeight="1" x14ac:dyDescent="0.25"/>
    <row r="155" spans="37:37" ht="15.75" customHeight="1" x14ac:dyDescent="0.25">
      <c r="AK155" s="2">
        <f>SUM(38-8)</f>
        <v>30</v>
      </c>
    </row>
    <row r="169" spans="37:37" ht="15.75" customHeight="1" x14ac:dyDescent="0.25">
      <c r="AK169" s="2">
        <f>SUM(62-110)</f>
        <v>-48</v>
      </c>
    </row>
    <row r="170" spans="37:37" ht="15.75" customHeight="1" x14ac:dyDescent="0.25"/>
    <row r="171" spans="37:37" ht="15.75" customHeight="1" x14ac:dyDescent="0.25"/>
    <row r="172" spans="37:37" ht="15.75" customHeight="1" x14ac:dyDescent="0.25">
      <c r="AK172" s="2">
        <f>SUM(124-98)</f>
        <v>26</v>
      </c>
    </row>
    <row r="178" spans="37:37" ht="15.75" customHeight="1" x14ac:dyDescent="0.25">
      <c r="AK178" s="2">
        <v>30</v>
      </c>
    </row>
    <row r="179" spans="37:37" ht="15.75" customHeight="1" x14ac:dyDescent="0.25"/>
    <row r="180" spans="37:37" ht="15.75" customHeight="1" x14ac:dyDescent="0.25"/>
    <row r="181" spans="37:37" ht="15.75" customHeight="1" x14ac:dyDescent="0.25">
      <c r="AK181" s="2">
        <f>SUM(48-25)</f>
        <v>23</v>
      </c>
    </row>
    <row r="182" spans="37:37" ht="15.75" customHeight="1" x14ac:dyDescent="0.25"/>
    <row r="183" spans="37:37" ht="15.75" customHeight="1" x14ac:dyDescent="0.25"/>
    <row r="184" spans="37:37" ht="15.75" customHeight="1" x14ac:dyDescent="0.25">
      <c r="AK184" s="2">
        <f>SUM(200-77)</f>
        <v>123</v>
      </c>
    </row>
    <row r="185" spans="37:37" ht="15.75" customHeight="1" x14ac:dyDescent="0.25"/>
    <row r="186" spans="37:37" ht="15.75" customHeight="1" x14ac:dyDescent="0.25"/>
    <row r="187" spans="37:37" ht="15.75" customHeight="1" x14ac:dyDescent="0.25"/>
    <row r="188" spans="37:37" ht="15.75" customHeight="1" x14ac:dyDescent="0.25"/>
    <row r="189" spans="37:37" ht="15.75" customHeight="1" x14ac:dyDescent="0.25"/>
    <row r="190" spans="37:37" ht="15.75" customHeight="1" x14ac:dyDescent="0.25"/>
    <row r="191" spans="37:37" ht="15.75" customHeight="1" x14ac:dyDescent="0.25">
      <c r="AK191" s="2">
        <f>SUM(128-85)</f>
        <v>43</v>
      </c>
    </row>
    <row r="197" spans="37:37" ht="15.75" customHeight="1" x14ac:dyDescent="0.25">
      <c r="AK197" s="2">
        <f>SUM(148-76)</f>
        <v>72</v>
      </c>
    </row>
    <row r="198" spans="37:37" ht="15.75" customHeight="1" x14ac:dyDescent="0.25"/>
    <row r="199" spans="37:37" ht="15.75" customHeight="1" x14ac:dyDescent="0.25"/>
    <row r="200" spans="37:37" ht="15.75" customHeight="1" x14ac:dyDescent="0.25">
      <c r="AK200" s="2">
        <f>SUM(36-54)</f>
        <v>-18</v>
      </c>
    </row>
    <row r="201" spans="37:37" ht="15.75" customHeight="1" x14ac:dyDescent="0.25"/>
    <row r="202" spans="37:37" ht="15.75" customHeight="1" x14ac:dyDescent="0.25"/>
    <row r="203" spans="37:37" ht="15.75" customHeight="1" x14ac:dyDescent="0.25"/>
    <row r="204" spans="37:37" ht="15.75" customHeight="1" x14ac:dyDescent="0.25"/>
    <row r="205" spans="37:37" ht="15.75" customHeight="1" x14ac:dyDescent="0.25"/>
    <row r="206" spans="37:37" ht="15.75" customHeight="1" x14ac:dyDescent="0.25">
      <c r="AK206" s="2">
        <f>SUM(126-44)</f>
        <v>82</v>
      </c>
    </row>
    <row r="233" spans="37:37" ht="15.75" customHeight="1" x14ac:dyDescent="0.25">
      <c r="AK233" s="2">
        <f>SUM(142-74)</f>
        <v>68</v>
      </c>
    </row>
    <row r="246" spans="37:37" ht="15.75" customHeight="1" x14ac:dyDescent="0.25">
      <c r="AK246" s="2">
        <f>SUM(10-82)</f>
        <v>-72</v>
      </c>
    </row>
    <row r="247" spans="37:37" ht="15.75" customHeight="1" x14ac:dyDescent="0.25"/>
    <row r="248" spans="37:37" ht="15.75" customHeight="1" x14ac:dyDescent="0.25"/>
    <row r="249" spans="37:37" ht="15.75" customHeight="1" x14ac:dyDescent="0.25"/>
    <row r="250" spans="37:37" ht="15.75" customHeight="1" x14ac:dyDescent="0.25"/>
    <row r="251" spans="37:37" ht="15.75" customHeight="1" x14ac:dyDescent="0.25">
      <c r="AK251" s="2">
        <f>SUM(78-43)</f>
        <v>35</v>
      </c>
    </row>
    <row r="259" spans="37:37" ht="15.75" customHeight="1" x14ac:dyDescent="0.25">
      <c r="AK259" s="2">
        <f>SUM(72-26)</f>
        <v>46</v>
      </c>
    </row>
    <row r="260" spans="37:37" ht="15.75" customHeight="1" x14ac:dyDescent="0.25"/>
    <row r="261" spans="37:37" ht="15.75" customHeight="1" x14ac:dyDescent="0.25"/>
    <row r="262" spans="37:37" ht="15.75" customHeight="1" x14ac:dyDescent="0.25">
      <c r="AK262" s="2">
        <f>SUM(112-82)</f>
        <v>30</v>
      </c>
    </row>
    <row r="263" spans="37:37" ht="15.75" customHeight="1" x14ac:dyDescent="0.25"/>
    <row r="264" spans="37:37" ht="15.75" customHeight="1" x14ac:dyDescent="0.25"/>
    <row r="265" spans="37:37" ht="15.75" customHeight="1" x14ac:dyDescent="0.25"/>
    <row r="266" spans="37:37" ht="15.75" customHeight="1" x14ac:dyDescent="0.25"/>
    <row r="267" spans="37:37" ht="15.75" customHeight="1" x14ac:dyDescent="0.25"/>
    <row r="268" spans="37:37" ht="15.75" customHeight="1" x14ac:dyDescent="0.25"/>
    <row r="269" spans="37:37" ht="15.75" customHeight="1" x14ac:dyDescent="0.25"/>
    <row r="270" spans="37:37" ht="15.75" customHeight="1" x14ac:dyDescent="0.25"/>
    <row r="271" spans="37:37" ht="15.75" customHeight="1" x14ac:dyDescent="0.25">
      <c r="AK271" s="2">
        <f>SUM(78-36)</f>
        <v>42</v>
      </c>
    </row>
    <row r="277" spans="37:37" ht="15.75" customHeight="1" x14ac:dyDescent="0.25">
      <c r="AK277" s="2">
        <f>SUM(174-106)</f>
        <v>68</v>
      </c>
    </row>
    <row r="278" spans="37:37" ht="15.75" customHeight="1" x14ac:dyDescent="0.25"/>
    <row r="279" spans="37:37" ht="15.75" customHeight="1" x14ac:dyDescent="0.25"/>
    <row r="280" spans="37:37" ht="15.75" customHeight="1" x14ac:dyDescent="0.25"/>
    <row r="281" spans="37:37" ht="15.75" customHeight="1" x14ac:dyDescent="0.25"/>
    <row r="282" spans="37:37" ht="15.75" customHeight="1" x14ac:dyDescent="0.25"/>
    <row r="283" spans="37:37" ht="15.75" customHeight="1" x14ac:dyDescent="0.25"/>
    <row r="284" spans="37:37" ht="15.75" customHeight="1" x14ac:dyDescent="0.25">
      <c r="AK284" s="2">
        <f>SUM(93-53)</f>
        <v>40</v>
      </c>
    </row>
    <row r="285" spans="37:37" ht="15.75" customHeight="1" x14ac:dyDescent="0.25"/>
    <row r="286" spans="37:37" ht="15.75" customHeight="1" x14ac:dyDescent="0.25"/>
    <row r="287" spans="37:37" ht="15.75" customHeight="1" x14ac:dyDescent="0.25">
      <c r="AK287" s="2">
        <f>SUM(18-42)</f>
        <v>-24</v>
      </c>
    </row>
    <row r="293" spans="37:37" ht="15.75" customHeight="1" x14ac:dyDescent="0.25">
      <c r="AK293" s="2">
        <f>SUM(352-129)</f>
        <v>223</v>
      </c>
    </row>
    <row r="294" spans="37:37" ht="15.75" customHeight="1" x14ac:dyDescent="0.25"/>
    <row r="295" spans="37:37" ht="15.75" customHeight="1" x14ac:dyDescent="0.25"/>
    <row r="296" spans="37:37" ht="15.75" customHeight="1" x14ac:dyDescent="0.25"/>
    <row r="297" spans="37:37" ht="15.75" customHeight="1" x14ac:dyDescent="0.25"/>
    <row r="298" spans="37:37" ht="15.75" customHeight="1" x14ac:dyDescent="0.25"/>
    <row r="299" spans="37:37" ht="15.75" customHeight="1" x14ac:dyDescent="0.25"/>
    <row r="300" spans="37:37" ht="15.75" customHeight="1" x14ac:dyDescent="0.25"/>
    <row r="301" spans="37:37" ht="15.75" customHeight="1" x14ac:dyDescent="0.25"/>
    <row r="302" spans="37:37" ht="15.75" customHeight="1" x14ac:dyDescent="0.25">
      <c r="AK302" s="2">
        <f>SUM(102-62)</f>
        <v>40</v>
      </c>
    </row>
    <row r="317" spans="37:37" ht="15.75" customHeight="1" x14ac:dyDescent="0.25">
      <c r="AK317" s="2">
        <f>SUM(264-297)</f>
        <v>-33</v>
      </c>
    </row>
    <row r="336" spans="37:37" ht="15.75" customHeight="1" x14ac:dyDescent="0.25">
      <c r="AK336" s="2">
        <f>SUM(192-108)</f>
        <v>84</v>
      </c>
    </row>
    <row r="347" spans="37:37" ht="15.75" customHeight="1" x14ac:dyDescent="0.25">
      <c r="AK347" s="2">
        <f>SUM(168-104)</f>
        <v>64</v>
      </c>
    </row>
    <row r="364" spans="37:37" ht="15.75" customHeight="1" x14ac:dyDescent="0.25">
      <c r="AK364" s="2">
        <f>SUM(98-56)</f>
        <v>42</v>
      </c>
    </row>
    <row r="365" spans="37:37" ht="15.75" customHeight="1" x14ac:dyDescent="0.25"/>
    <row r="366" spans="37:37" ht="15.75" customHeight="1" x14ac:dyDescent="0.25"/>
    <row r="367" spans="37:37" ht="15.75" customHeight="1" x14ac:dyDescent="0.25">
      <c r="AK367" s="2">
        <f>SUM(8-40)</f>
        <v>-32</v>
      </c>
    </row>
    <row r="373" spans="37:37" ht="15.75" customHeight="1" x14ac:dyDescent="0.25">
      <c r="AK373" s="2">
        <f>SUM(78-112)</f>
        <v>-34</v>
      </c>
    </row>
    <row r="374" spans="37:37" ht="15.75" customHeight="1" x14ac:dyDescent="0.25"/>
    <row r="375" spans="37:37" ht="15.75" customHeight="1" x14ac:dyDescent="0.25"/>
    <row r="376" spans="37:37" ht="15.75" customHeight="1" x14ac:dyDescent="0.25">
      <c r="AK376" s="2">
        <f>SUM(260-128)</f>
        <v>132</v>
      </c>
    </row>
    <row r="397" spans="37:37" ht="15.75" customHeight="1" x14ac:dyDescent="0.25">
      <c r="AK397" s="2">
        <f>SUM(16-38)</f>
        <v>-22</v>
      </c>
    </row>
    <row r="406" spans="37:37" ht="15.75" customHeight="1" x14ac:dyDescent="0.25">
      <c r="AK406" s="2">
        <f>SUM(124-82)</f>
        <v>42</v>
      </c>
    </row>
    <row r="407" spans="37:37" ht="15.75" customHeight="1" x14ac:dyDescent="0.25"/>
    <row r="408" spans="37:37" ht="15.75" customHeight="1" x14ac:dyDescent="0.25"/>
    <row r="409" spans="37:37" ht="15.75" customHeight="1" x14ac:dyDescent="0.25"/>
    <row r="410" spans="37:37" ht="15.75" customHeight="1" x14ac:dyDescent="0.25"/>
    <row r="411" spans="37:37" ht="15.75" customHeight="1" x14ac:dyDescent="0.25">
      <c r="AK411" s="2">
        <f>SUM(404-241)</f>
        <v>163</v>
      </c>
    </row>
    <row r="417" spans="37:37" ht="15.75" customHeight="1" x14ac:dyDescent="0.25">
      <c r="AK417" s="2">
        <f>SUM(90-32)</f>
        <v>58</v>
      </c>
    </row>
    <row r="418" spans="37:37" ht="15.75" customHeight="1" x14ac:dyDescent="0.25"/>
    <row r="419" spans="37:37" ht="15.75" customHeight="1" x14ac:dyDescent="0.25"/>
    <row r="420" spans="37:37" ht="15.75" customHeight="1" x14ac:dyDescent="0.25"/>
    <row r="421" spans="37:37" ht="15.75" customHeight="1" x14ac:dyDescent="0.25"/>
    <row r="422" spans="37:37" ht="15.75" customHeight="1" x14ac:dyDescent="0.25"/>
    <row r="423" spans="37:37" ht="15.75" customHeight="1" x14ac:dyDescent="0.25"/>
    <row r="424" spans="37:37" ht="15.75" customHeight="1" x14ac:dyDescent="0.25"/>
    <row r="425" spans="37:37" ht="15.75" customHeight="1" x14ac:dyDescent="0.25">
      <c r="AK425" s="2">
        <f>SUM(230-134)</f>
        <v>96</v>
      </c>
    </row>
    <row r="2422" spans="1:26" ht="15.75" customHeight="1" x14ac:dyDescent="0.25">
      <c r="A2422" s="4"/>
      <c r="B2422" s="4"/>
      <c r="C2422" s="4"/>
      <c r="D2422" s="4"/>
      <c r="E2422" s="4"/>
      <c r="F2422" s="4"/>
      <c r="G2422" s="4"/>
      <c r="H2422" s="4"/>
      <c r="I2422" s="4"/>
      <c r="J2422" s="4"/>
      <c r="K2422" s="4"/>
      <c r="L2422" s="4"/>
      <c r="M2422" s="4"/>
      <c r="N2422" s="4"/>
      <c r="O2422" s="4"/>
      <c r="P2422" s="4"/>
      <c r="Q2422" s="4"/>
      <c r="R2422" s="4"/>
      <c r="S2422" s="4"/>
      <c r="T2422" s="4"/>
      <c r="U2422" s="4" t="s">
        <v>2780</v>
      </c>
      <c r="V2422" s="4"/>
      <c r="W2422" s="4"/>
      <c r="X2422" s="4"/>
      <c r="Y2422" s="4" t="s">
        <v>2781</v>
      </c>
      <c r="Z2422" s="4" t="s">
        <v>2782</v>
      </c>
    </row>
    <row r="2423" spans="1:26" ht="15.75" customHeight="1" x14ac:dyDescent="0.25"/>
    <row r="2424" spans="1:26" ht="15.75" customHeight="1" x14ac:dyDescent="0.25"/>
    <row r="2425" spans="1:26" ht="15.75" customHeight="1" x14ac:dyDescent="0.25">
      <c r="A2425" s="7"/>
      <c r="B2425" s="7"/>
      <c r="C2425" s="7"/>
      <c r="D2425" s="7"/>
      <c r="E2425" s="7"/>
      <c r="F2425" s="7"/>
      <c r="G2425" s="7"/>
      <c r="H2425" s="7"/>
      <c r="I2425" s="7"/>
      <c r="J2425" s="7"/>
      <c r="K2425" s="7"/>
      <c r="L2425" s="7"/>
      <c r="M2425" s="7"/>
      <c r="N2425" s="7"/>
      <c r="O2425" s="7"/>
      <c r="P2425" s="7"/>
      <c r="Q2425" s="7"/>
      <c r="R2425" s="7"/>
      <c r="S2425" s="7"/>
      <c r="T2425" s="7"/>
      <c r="U2425" s="7"/>
      <c r="V2425" s="7"/>
      <c r="W2425" s="7"/>
      <c r="X2425" s="7"/>
      <c r="Y2425" s="7"/>
      <c r="Z2425" s="7" t="s">
        <v>1792</v>
      </c>
    </row>
    <row r="2426" spans="1:26" ht="15.75" customHeight="1" x14ac:dyDescent="0.25">
      <c r="A2426" s="4" t="s">
        <v>76</v>
      </c>
      <c r="B2426" s="4" t="s">
        <v>36</v>
      </c>
      <c r="C2426" s="4" t="s">
        <v>28</v>
      </c>
      <c r="D2426" s="4" t="s">
        <v>342</v>
      </c>
      <c r="E2426" s="4" t="s">
        <v>30</v>
      </c>
      <c r="F2426" s="4" t="s">
        <v>31</v>
      </c>
      <c r="G2426" s="4" t="s">
        <v>37</v>
      </c>
      <c r="H2426" s="4">
        <v>2018</v>
      </c>
      <c r="I2426" s="4">
        <v>1</v>
      </c>
      <c r="J2426" s="4"/>
      <c r="K2426" s="4" t="s">
        <v>1680</v>
      </c>
      <c r="L2426" s="4" t="s">
        <v>2783</v>
      </c>
      <c r="M2426" s="4" t="s">
        <v>2784</v>
      </c>
      <c r="N2426" s="4">
        <v>6</v>
      </c>
      <c r="O2426" s="4" t="s">
        <v>101</v>
      </c>
      <c r="P2426" s="4" t="s">
        <v>1793</v>
      </c>
      <c r="Q2426" s="4"/>
      <c r="R2426" s="8"/>
      <c r="S2426" s="4"/>
      <c r="T2426" s="4"/>
      <c r="U2426" s="4"/>
      <c r="V2426" s="4"/>
      <c r="W2426" s="4"/>
      <c r="X2426" s="4"/>
      <c r="Y2426" s="9" t="s">
        <v>1794</v>
      </c>
      <c r="Z2426" s="4" t="s">
        <v>2785</v>
      </c>
    </row>
    <row r="2440" spans="10:26" ht="15.75" customHeight="1" x14ac:dyDescent="0.25">
      <c r="J2440" s="4" t="s">
        <v>2786</v>
      </c>
      <c r="K2440" s="4"/>
      <c r="L2440" s="4"/>
      <c r="M2440" s="4"/>
      <c r="N2440" s="4"/>
      <c r="O2440" s="4"/>
      <c r="P2440" s="4"/>
      <c r="Q2440" s="4"/>
      <c r="R2440" s="4"/>
      <c r="S2440" s="4"/>
      <c r="T2440" s="4"/>
      <c r="U2440" s="4"/>
      <c r="V2440" s="4"/>
      <c r="W2440" s="4"/>
      <c r="X2440" s="4"/>
      <c r="Y2440" s="4" t="s">
        <v>1803</v>
      </c>
      <c r="Z2440" s="4" t="s">
        <v>1804</v>
      </c>
    </row>
    <row r="2441" spans="10:26" ht="15.75" customHeight="1" x14ac:dyDescent="0.25">
      <c r="Y2441" s="2" t="s">
        <v>1801</v>
      </c>
      <c r="Z2441" s="4" t="s">
        <v>1802</v>
      </c>
    </row>
    <row r="2453" spans="11:26" ht="15.75" customHeight="1" x14ac:dyDescent="0.25">
      <c r="K2453" s="4"/>
      <c r="L2453" s="4"/>
      <c r="M2453" s="4"/>
      <c r="N2453" s="4"/>
      <c r="O2453" s="4"/>
      <c r="P2453" s="4"/>
      <c r="Q2453" s="4"/>
      <c r="R2453" s="4"/>
      <c r="S2453" s="4"/>
      <c r="T2453" s="4"/>
      <c r="U2453" s="4" t="s">
        <v>1810</v>
      </c>
      <c r="V2453" s="4"/>
      <c r="W2453" s="4"/>
      <c r="X2453" s="4"/>
      <c r="Y2453" s="4" t="s">
        <v>1811</v>
      </c>
      <c r="Z2453" s="4" t="s">
        <v>1812</v>
      </c>
    </row>
    <row r="2454" spans="11:26" ht="15.75" customHeight="1" x14ac:dyDescent="0.25"/>
    <row r="2455" spans="11:26" ht="15.75" customHeight="1" x14ac:dyDescent="0.25">
      <c r="K2455" s="4" t="s">
        <v>579</v>
      </c>
      <c r="L2455" s="4"/>
      <c r="M2455" s="4" t="s">
        <v>126</v>
      </c>
      <c r="N2455" s="4">
        <v>10</v>
      </c>
      <c r="O2455" s="4"/>
      <c r="P2455" s="4"/>
      <c r="Q2455" s="4"/>
      <c r="R2455" s="4"/>
      <c r="S2455" s="4"/>
      <c r="T2455" s="4"/>
      <c r="U2455" s="4"/>
      <c r="V2455" s="4"/>
      <c r="W2455" s="4"/>
      <c r="X2455" s="4"/>
      <c r="Y2455" s="4" t="s">
        <v>1814</v>
      </c>
      <c r="Z2455" s="4" t="s">
        <v>1815</v>
      </c>
    </row>
    <row r="2473" spans="2:26" ht="15.75" customHeight="1" x14ac:dyDescent="0.25">
      <c r="B2473" s="7"/>
      <c r="C2473" s="7"/>
      <c r="D2473" s="7"/>
      <c r="E2473" s="7"/>
      <c r="F2473" s="7"/>
      <c r="G2473" s="7" t="s">
        <v>42</v>
      </c>
      <c r="H2473" s="7"/>
      <c r="I2473" s="7"/>
      <c r="J2473" s="7"/>
      <c r="K2473" s="7"/>
      <c r="L2473" s="7"/>
      <c r="M2473" s="7"/>
      <c r="N2473" s="7"/>
      <c r="O2473" s="7"/>
      <c r="P2473" s="7"/>
      <c r="Q2473" s="7"/>
      <c r="R2473" s="7"/>
      <c r="S2473" s="7"/>
      <c r="T2473" s="7"/>
      <c r="U2473" s="7"/>
      <c r="V2473" s="7"/>
      <c r="W2473" s="7"/>
      <c r="X2473" s="7"/>
      <c r="Y2473" s="7" t="s">
        <v>1820</v>
      </c>
      <c r="Z2473" s="7" t="s">
        <v>1821</v>
      </c>
    </row>
    <row r="2474" spans="2:26" ht="15.75" customHeight="1" x14ac:dyDescent="0.25">
      <c r="B2474" s="7"/>
      <c r="C2474" s="7"/>
      <c r="D2474" s="7"/>
      <c r="E2474" s="7"/>
      <c r="F2474" s="7"/>
      <c r="G2474" s="7" t="s">
        <v>53</v>
      </c>
      <c r="H2474" s="7"/>
      <c r="I2474" s="7"/>
      <c r="J2474" s="7"/>
      <c r="K2474" s="7"/>
      <c r="L2474" s="7"/>
      <c r="M2474" s="7"/>
      <c r="N2474" s="7"/>
      <c r="O2474" s="7"/>
      <c r="P2474" s="7"/>
      <c r="Q2474" s="7"/>
      <c r="R2474" s="7"/>
      <c r="S2474" s="7"/>
      <c r="T2474" s="7"/>
      <c r="U2474" s="7"/>
      <c r="V2474" s="7"/>
      <c r="W2474" s="7"/>
      <c r="X2474" s="7"/>
      <c r="Y2474" s="7" t="s">
        <v>1820</v>
      </c>
      <c r="Z2474" s="7" t="s">
        <v>1821</v>
      </c>
    </row>
    <row r="2475" spans="2:26" ht="15.75" customHeight="1" x14ac:dyDescent="0.25">
      <c r="B2475" s="7" t="s">
        <v>77</v>
      </c>
      <c r="C2475" s="7" t="s">
        <v>55</v>
      </c>
      <c r="D2475" s="7" t="s">
        <v>99</v>
      </c>
      <c r="E2475" s="7" t="s">
        <v>30</v>
      </c>
      <c r="F2475" s="7"/>
      <c r="G2475" s="7" t="s">
        <v>275</v>
      </c>
      <c r="H2475" s="7"/>
      <c r="I2475" s="7"/>
      <c r="J2475" s="7"/>
      <c r="K2475" s="7"/>
      <c r="L2475" s="7"/>
      <c r="M2475" s="7"/>
      <c r="N2475" s="7"/>
      <c r="O2475" s="7"/>
      <c r="P2475" s="7"/>
      <c r="Q2475" s="7"/>
      <c r="R2475" s="7"/>
      <c r="S2475" s="7"/>
      <c r="T2475" s="7"/>
      <c r="U2475" s="7"/>
      <c r="V2475" s="7"/>
      <c r="W2475" s="7"/>
      <c r="X2475" s="7"/>
      <c r="Y2475" s="7" t="s">
        <v>1820</v>
      </c>
      <c r="Z2475" s="7" t="s">
        <v>1821</v>
      </c>
    </row>
    <row r="2494" spans="1:25" ht="15.75" customHeight="1" x14ac:dyDescent="0.25">
      <c r="A2494" s="7" t="s">
        <v>307</v>
      </c>
      <c r="B2494" s="7"/>
      <c r="C2494" s="7"/>
      <c r="D2494" s="7"/>
      <c r="E2494" s="7"/>
      <c r="F2494" s="7"/>
      <c r="G2494" s="7"/>
      <c r="H2494" s="7"/>
      <c r="I2494" s="7"/>
      <c r="J2494" s="7"/>
      <c r="K2494" s="7" t="s">
        <v>543</v>
      </c>
      <c r="L2494" s="7" t="s">
        <v>543</v>
      </c>
      <c r="M2494" s="7" t="s">
        <v>543</v>
      </c>
      <c r="N2494" s="7" t="s">
        <v>543</v>
      </c>
      <c r="O2494" s="7" t="s">
        <v>543</v>
      </c>
      <c r="P2494" s="7" t="s">
        <v>543</v>
      </c>
      <c r="Q2494" s="7"/>
      <c r="R2494" s="7" t="s">
        <v>426</v>
      </c>
      <c r="S2494" s="7" t="s">
        <v>38</v>
      </c>
      <c r="T2494" s="7" t="s">
        <v>311</v>
      </c>
      <c r="U2494" s="10" t="s">
        <v>2787</v>
      </c>
      <c r="V2494" s="7"/>
      <c r="W2494" s="7"/>
      <c r="X2494" s="10" t="s">
        <v>543</v>
      </c>
      <c r="Y2494" s="7" t="s">
        <v>2788</v>
      </c>
    </row>
    <row r="2495" spans="1:25" ht="15.75" customHeight="1" x14ac:dyDescent="0.25">
      <c r="A2495" s="4"/>
      <c r="B2495" s="4"/>
      <c r="C2495" s="4"/>
      <c r="D2495" s="4"/>
      <c r="E2495" s="4"/>
      <c r="F2495" s="4"/>
      <c r="G2495" s="4"/>
      <c r="H2495" s="4"/>
      <c r="I2495" s="4"/>
      <c r="J2495" s="4"/>
      <c r="K2495" s="4"/>
      <c r="L2495" s="4"/>
      <c r="M2495" s="4"/>
      <c r="N2495" s="4"/>
      <c r="O2495" s="4"/>
      <c r="P2495" s="4" t="s">
        <v>123</v>
      </c>
      <c r="Q2495" s="4"/>
      <c r="R2495" s="4"/>
      <c r="S2495" s="4"/>
      <c r="T2495" s="4"/>
      <c r="U2495" s="4"/>
      <c r="V2495" s="4"/>
      <c r="W2495" s="4"/>
      <c r="X2495" s="4"/>
      <c r="Y2495" s="4"/>
    </row>
    <row r="2503" spans="26:26" ht="15.75" customHeight="1" x14ac:dyDescent="0.25">
      <c r="Z2503" s="4" t="s">
        <v>1828</v>
      </c>
    </row>
    <row r="2518" spans="18:26" ht="15.75" customHeight="1" x14ac:dyDescent="0.25">
      <c r="R2518" s="4"/>
      <c r="S2518" s="4"/>
      <c r="T2518" s="4"/>
      <c r="U2518" s="4"/>
      <c r="V2518" s="4"/>
      <c r="W2518" s="4"/>
      <c r="X2518" s="4"/>
      <c r="Y2518" s="4" t="s">
        <v>1832</v>
      </c>
      <c r="Z2518" s="4" t="s">
        <v>1815</v>
      </c>
    </row>
    <row r="2519" spans="18:26" ht="15.75" customHeight="1" x14ac:dyDescent="0.25"/>
    <row r="2520" spans="18:26" ht="15.75" customHeight="1" x14ac:dyDescent="0.25"/>
    <row r="2521" spans="18:26" ht="15.75" customHeight="1" x14ac:dyDescent="0.25"/>
    <row r="2522" spans="18:26" ht="15.75" customHeight="1" x14ac:dyDescent="0.25"/>
    <row r="2523" spans="18:26" ht="15.75" customHeight="1" x14ac:dyDescent="0.25">
      <c r="R2523" s="4" t="s">
        <v>426</v>
      </c>
      <c r="S2523" s="4"/>
      <c r="T2523" s="4"/>
      <c r="U2523" s="4"/>
      <c r="V2523" s="4"/>
      <c r="W2523" s="4"/>
      <c r="X2523" s="4"/>
      <c r="Y2523" s="11" t="s">
        <v>2789</v>
      </c>
      <c r="Z2523" s="4" t="s">
        <v>1843</v>
      </c>
    </row>
    <row r="2524" spans="18:26" ht="15.75" customHeight="1" x14ac:dyDescent="0.25"/>
    <row r="2525" spans="18:26" ht="15.75" customHeight="1" x14ac:dyDescent="0.25"/>
    <row r="2526" spans="18:26" ht="15.75" customHeight="1" x14ac:dyDescent="0.25">
      <c r="R2526" s="4" t="s">
        <v>1229</v>
      </c>
      <c r="S2526" s="4"/>
      <c r="T2526" s="4" t="s">
        <v>660</v>
      </c>
      <c r="U2526" s="4" t="s">
        <v>1845</v>
      </c>
      <c r="V2526" s="4"/>
      <c r="W2526" s="4"/>
      <c r="X2526" s="4"/>
      <c r="Y2526" s="4" t="s">
        <v>2790</v>
      </c>
      <c r="Z2526" s="4"/>
    </row>
    <row r="2555" spans="1:26" ht="15.75" customHeight="1" x14ac:dyDescent="0.25">
      <c r="A2555" s="4" t="s">
        <v>2791</v>
      </c>
      <c r="B2555" s="4"/>
      <c r="C2555" s="4"/>
      <c r="D2555" s="4"/>
      <c r="E2555" s="4"/>
      <c r="F2555" s="4"/>
      <c r="G2555" s="4"/>
      <c r="H2555" s="4"/>
      <c r="I2555" s="4"/>
      <c r="J2555" s="4"/>
      <c r="K2555" s="4"/>
      <c r="L2555" s="4"/>
      <c r="M2555" s="4"/>
      <c r="N2555" s="4"/>
      <c r="O2555" s="4"/>
      <c r="P2555" s="4"/>
      <c r="Q2555" s="4"/>
      <c r="R2555" s="4" t="s">
        <v>1848</v>
      </c>
      <c r="S2555" s="4" t="s">
        <v>1849</v>
      </c>
      <c r="T2555" s="4" t="s">
        <v>427</v>
      </c>
      <c r="U2555" s="4" t="s">
        <v>2792</v>
      </c>
      <c r="V2555" s="4"/>
      <c r="W2555" s="4"/>
      <c r="X2555" s="4"/>
      <c r="Y2555" s="4" t="s">
        <v>1851</v>
      </c>
      <c r="Z2555" s="4"/>
    </row>
    <row r="2556" spans="1:26" ht="15.75" customHeight="1" x14ac:dyDescent="0.25"/>
    <row r="2557" spans="1:26" ht="15.75" customHeight="1" x14ac:dyDescent="0.25"/>
    <row r="2558" spans="1:26" ht="15.75" customHeight="1" x14ac:dyDescent="0.25"/>
    <row r="2559" spans="1:26" ht="15.75" customHeight="1" x14ac:dyDescent="0.25"/>
    <row r="2560" spans="1:26" ht="15.75" customHeight="1" x14ac:dyDescent="0.25">
      <c r="A2560" s="4"/>
      <c r="B2560" s="4"/>
      <c r="C2560" s="4"/>
      <c r="D2560" s="4"/>
      <c r="E2560" s="4"/>
      <c r="F2560" s="4"/>
      <c r="G2560" s="4"/>
      <c r="H2560" s="4"/>
      <c r="I2560" s="4"/>
      <c r="J2560" s="4"/>
      <c r="K2560" s="4"/>
      <c r="L2560" s="4"/>
      <c r="M2560" s="4" t="s">
        <v>2784</v>
      </c>
      <c r="N2560" s="4">
        <v>6</v>
      </c>
      <c r="O2560" s="4"/>
      <c r="P2560" s="4" t="s">
        <v>1853</v>
      </c>
      <c r="Q2560" s="4"/>
      <c r="R2560" s="4"/>
      <c r="S2560" s="4"/>
      <c r="T2560" s="4"/>
      <c r="U2560" s="4"/>
      <c r="V2560" s="4"/>
      <c r="W2560" s="4"/>
      <c r="X2560" s="4"/>
      <c r="Y2560" s="4" t="s">
        <v>1854</v>
      </c>
      <c r="Z2560" s="4" t="s">
        <v>2793</v>
      </c>
    </row>
    <row r="2569" spans="9:26" ht="15.75" customHeight="1" x14ac:dyDescent="0.25">
      <c r="I2569" s="4"/>
      <c r="J2569" s="4"/>
      <c r="K2569" s="4"/>
      <c r="L2569" s="4"/>
      <c r="M2569" s="4"/>
      <c r="N2569" s="4"/>
      <c r="O2569" s="4"/>
      <c r="P2569" s="4"/>
      <c r="Q2569" s="4"/>
      <c r="R2569" s="4"/>
      <c r="S2569" s="4"/>
      <c r="T2569" s="4"/>
      <c r="U2569" s="4"/>
      <c r="V2569" s="4"/>
      <c r="W2569" s="4"/>
      <c r="X2569" s="4"/>
      <c r="Y2569" s="4" t="s">
        <v>1856</v>
      </c>
      <c r="Z2569" s="4" t="s">
        <v>1857</v>
      </c>
    </row>
    <row r="2570" spans="9:26" ht="15.75" customHeight="1" x14ac:dyDescent="0.25"/>
    <row r="2571" spans="9:26" ht="15.75" customHeight="1" x14ac:dyDescent="0.25"/>
    <row r="2572" spans="9:26" ht="15.75" customHeight="1" x14ac:dyDescent="0.25">
      <c r="I2572" s="7">
        <v>6</v>
      </c>
      <c r="J2572" s="7"/>
      <c r="K2572" s="7" t="s">
        <v>2794</v>
      </c>
      <c r="L2572" s="7"/>
      <c r="M2572" s="7" t="s">
        <v>2795</v>
      </c>
      <c r="N2572" s="7">
        <v>6</v>
      </c>
      <c r="O2572" s="7"/>
      <c r="P2572" s="7"/>
      <c r="Q2572" s="7"/>
      <c r="R2572" s="7"/>
      <c r="S2572" s="7"/>
      <c r="T2572" s="7"/>
      <c r="U2572" s="7"/>
      <c r="V2572" s="7"/>
      <c r="W2572" s="7"/>
      <c r="X2572" s="7"/>
      <c r="Y2572" s="7" t="s">
        <v>1890</v>
      </c>
      <c r="Z2572" s="7" t="s">
        <v>2796</v>
      </c>
    </row>
    <row r="2573" spans="9:26" ht="15.75" customHeight="1" x14ac:dyDescent="0.25">
      <c r="P2573" s="2" t="s">
        <v>1864</v>
      </c>
    </row>
    <row r="2600" spans="2:25" ht="15.75" customHeight="1" x14ac:dyDescent="0.25">
      <c r="B2600" s="4"/>
      <c r="C2600" s="4"/>
      <c r="D2600" s="4"/>
      <c r="E2600" s="4"/>
      <c r="F2600" s="4"/>
      <c r="G2600" s="4"/>
      <c r="H2600" s="4"/>
      <c r="I2600" s="4"/>
      <c r="J2600" s="4"/>
      <c r="K2600" s="4"/>
      <c r="L2600" s="4"/>
      <c r="M2600" s="4"/>
      <c r="N2600" s="4"/>
      <c r="O2600" s="4"/>
      <c r="P2600" s="4"/>
      <c r="Q2600" s="4"/>
      <c r="R2600" s="4"/>
      <c r="S2600" s="4"/>
      <c r="T2600" s="4"/>
      <c r="U2600" s="4" t="s">
        <v>1884</v>
      </c>
      <c r="V2600" s="4"/>
      <c r="W2600" s="4"/>
      <c r="X2600" s="4"/>
      <c r="Y2600" s="4"/>
    </row>
    <row r="2601" spans="2:25" ht="15.75" customHeight="1" x14ac:dyDescent="0.25">
      <c r="B2601" s="7" t="s">
        <v>36</v>
      </c>
      <c r="C2601" s="7" t="s">
        <v>28</v>
      </c>
      <c r="D2601" s="7" t="s">
        <v>342</v>
      </c>
      <c r="E2601" s="7" t="s">
        <v>30</v>
      </c>
      <c r="F2601" s="7" t="s">
        <v>31</v>
      </c>
      <c r="G2601" s="7" t="s">
        <v>37</v>
      </c>
      <c r="H2601" s="7">
        <v>2018</v>
      </c>
      <c r="I2601" s="7">
        <v>6</v>
      </c>
      <c r="J2601" s="7"/>
      <c r="K2601" s="7"/>
      <c r="L2601" s="7"/>
      <c r="M2601" s="7"/>
      <c r="N2601" s="7"/>
      <c r="O2601" s="7"/>
      <c r="P2601" s="7" t="s">
        <v>1881</v>
      </c>
      <c r="Q2601" s="7"/>
      <c r="R2601" s="7"/>
      <c r="S2601" s="7"/>
      <c r="T2601" s="7"/>
      <c r="U2601" s="7"/>
      <c r="V2601" s="7"/>
      <c r="W2601" s="7"/>
      <c r="X2601" s="7"/>
      <c r="Y2601" s="7" t="s">
        <v>1882</v>
      </c>
    </row>
    <row r="2617" spans="4:26" ht="15.75" customHeight="1" x14ac:dyDescent="0.25">
      <c r="D2617" s="7" t="s">
        <v>342</v>
      </c>
      <c r="E2617" s="7"/>
      <c r="F2617" s="7"/>
      <c r="G2617" s="7" t="s">
        <v>429</v>
      </c>
      <c r="H2617" s="7"/>
      <c r="I2617" s="7"/>
      <c r="J2617" s="7"/>
      <c r="K2617" s="7" t="s">
        <v>1860</v>
      </c>
      <c r="L2617" s="7"/>
      <c r="M2617" s="7" t="s">
        <v>2797</v>
      </c>
      <c r="N2617" s="7">
        <v>6</v>
      </c>
      <c r="O2617" s="7" t="s">
        <v>101</v>
      </c>
      <c r="P2617" s="7"/>
      <c r="Q2617" s="7"/>
      <c r="R2617" s="7"/>
      <c r="S2617" s="7"/>
      <c r="T2617" s="7"/>
      <c r="U2617" s="7"/>
      <c r="V2617" s="7"/>
      <c r="W2617" s="7"/>
      <c r="X2617" s="7"/>
      <c r="Y2617" s="7" t="s">
        <v>2798</v>
      </c>
      <c r="Z2617" s="10" t="s">
        <v>2799</v>
      </c>
    </row>
    <row r="2630" spans="4:4" ht="15.75" customHeight="1" x14ac:dyDescent="0.25">
      <c r="D2630" s="2" t="s">
        <v>342</v>
      </c>
    </row>
  </sheetData>
  <hyperlinks>
    <hyperlink ref="Y2426" r:id="rId2" xr:uid="{00000000-0004-0000-0200-000000000000}"/>
  </hyperlinks>
  <pageMargins left="0.25" right="0.25"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Y68"/>
  <sheetViews>
    <sheetView topLeftCell="A61" workbookViewId="0"/>
  </sheetViews>
  <sheetFormatPr defaultColWidth="14.42578125" defaultRowHeight="15" customHeight="1" x14ac:dyDescent="0.25"/>
  <cols>
    <col min="1" max="1" width="29.7109375" customWidth="1"/>
    <col min="2" max="2" width="22.28515625" customWidth="1"/>
    <col min="3" max="20" width="6" customWidth="1"/>
    <col min="21" max="24" width="5" customWidth="1"/>
    <col min="25" max="26" width="8.7109375" customWidth="1"/>
  </cols>
  <sheetData>
    <row r="1" spans="1:17" hidden="1" x14ac:dyDescent="0.25">
      <c r="A1" s="2" t="s">
        <v>2856</v>
      </c>
    </row>
    <row r="2" spans="1:17" hidden="1" x14ac:dyDescent="0.25">
      <c r="A2" s="120" t="s">
        <v>1</v>
      </c>
      <c r="B2" s="119" t="s">
        <v>307</v>
      </c>
    </row>
    <row r="3" spans="1:17" hidden="1" x14ac:dyDescent="0.25">
      <c r="A3" s="120" t="s">
        <v>10</v>
      </c>
      <c r="B3" s="119" t="s">
        <v>2827</v>
      </c>
    </row>
    <row r="4" spans="1:17" hidden="1" x14ac:dyDescent="0.25"/>
    <row r="5" spans="1:17" hidden="1" x14ac:dyDescent="0.25">
      <c r="A5" s="114"/>
      <c r="B5" s="111" t="s">
        <v>8</v>
      </c>
      <c r="C5" s="112"/>
      <c r="D5" s="112"/>
      <c r="E5" s="112"/>
      <c r="F5" s="112"/>
      <c r="G5" s="112"/>
      <c r="H5" s="112"/>
      <c r="I5" s="112"/>
      <c r="J5" s="112"/>
      <c r="K5" s="112"/>
      <c r="L5" s="112"/>
      <c r="M5" s="112"/>
      <c r="N5" s="112"/>
      <c r="O5" s="112"/>
      <c r="P5" s="112"/>
      <c r="Q5" s="113"/>
    </row>
    <row r="6" spans="1:17" hidden="1" x14ac:dyDescent="0.25">
      <c r="A6" s="124"/>
      <c r="B6" s="114">
        <v>2003</v>
      </c>
      <c r="C6" s="115">
        <v>2004</v>
      </c>
      <c r="D6" s="115">
        <v>2005</v>
      </c>
      <c r="E6" s="115">
        <v>2006</v>
      </c>
      <c r="F6" s="115">
        <v>2007</v>
      </c>
      <c r="G6" s="115">
        <v>2008</v>
      </c>
      <c r="H6" s="115">
        <v>2009</v>
      </c>
      <c r="I6" s="115">
        <v>2010</v>
      </c>
      <c r="J6" s="115">
        <v>2011</v>
      </c>
      <c r="K6" s="115">
        <v>2012</v>
      </c>
      <c r="L6" s="115">
        <v>2013</v>
      </c>
      <c r="M6" s="115">
        <v>2014</v>
      </c>
      <c r="N6" s="115">
        <v>2015</v>
      </c>
      <c r="O6" s="115">
        <v>2016</v>
      </c>
      <c r="P6" s="115">
        <v>2017</v>
      </c>
      <c r="Q6" s="125">
        <v>2018</v>
      </c>
    </row>
    <row r="7" spans="1:17" hidden="1" x14ac:dyDescent="0.25">
      <c r="A7" s="118" t="s">
        <v>2778</v>
      </c>
      <c r="B7" s="181">
        <v>3</v>
      </c>
      <c r="C7" s="182">
        <v>4</v>
      </c>
      <c r="D7" s="182">
        <v>5</v>
      </c>
      <c r="E7" s="182">
        <v>5</v>
      </c>
      <c r="F7" s="182">
        <v>8</v>
      </c>
      <c r="G7" s="182">
        <v>2</v>
      </c>
      <c r="H7" s="182">
        <v>9</v>
      </c>
      <c r="I7" s="182">
        <v>13</v>
      </c>
      <c r="J7" s="182">
        <v>10</v>
      </c>
      <c r="K7" s="182">
        <v>12</v>
      </c>
      <c r="L7" s="182">
        <v>15</v>
      </c>
      <c r="M7" s="182">
        <v>26</v>
      </c>
      <c r="N7" s="182">
        <v>44</v>
      </c>
      <c r="O7" s="182">
        <v>38</v>
      </c>
      <c r="P7" s="182">
        <v>50</v>
      </c>
      <c r="Q7" s="183">
        <v>39</v>
      </c>
    </row>
    <row r="25" spans="1:18" ht="15.75" hidden="1" customHeight="1" x14ac:dyDescent="0.25">
      <c r="A25" s="2" t="s">
        <v>2856</v>
      </c>
    </row>
    <row r="26" spans="1:18" hidden="1" x14ac:dyDescent="0.25">
      <c r="A26" s="120" t="s">
        <v>1</v>
      </c>
      <c r="B26" s="119" t="s">
        <v>307</v>
      </c>
    </row>
    <row r="27" spans="1:18" hidden="1" x14ac:dyDescent="0.25">
      <c r="A27" s="120" t="s">
        <v>10</v>
      </c>
      <c r="B27" s="119" t="s">
        <v>2827</v>
      </c>
    </row>
    <row r="28" spans="1:18" ht="15.75" hidden="1" customHeight="1" x14ac:dyDescent="0.25"/>
    <row r="29" spans="1:18" ht="15.75" hidden="1" customHeight="1" x14ac:dyDescent="0.25">
      <c r="A29" s="114"/>
      <c r="B29" s="111" t="s">
        <v>8</v>
      </c>
      <c r="C29" s="112"/>
      <c r="D29" s="112"/>
      <c r="E29" s="112"/>
      <c r="F29" s="112"/>
      <c r="G29" s="112"/>
      <c r="H29" s="112"/>
      <c r="I29" s="112"/>
      <c r="J29" s="112"/>
      <c r="K29" s="112"/>
      <c r="L29" s="112"/>
      <c r="M29" s="112"/>
      <c r="N29" s="112"/>
      <c r="O29" s="112"/>
      <c r="P29" s="112"/>
      <c r="Q29" s="112"/>
      <c r="R29" s="113"/>
    </row>
    <row r="30" spans="1:18" ht="15.75" hidden="1" customHeight="1" x14ac:dyDescent="0.25">
      <c r="A30" s="124"/>
      <c r="B30" s="114">
        <v>2003</v>
      </c>
      <c r="C30" s="115">
        <v>2004</v>
      </c>
      <c r="D30" s="115">
        <v>2005</v>
      </c>
      <c r="E30" s="115">
        <v>2006</v>
      </c>
      <c r="F30" s="115">
        <v>2007</v>
      </c>
      <c r="G30" s="115">
        <v>2008</v>
      </c>
      <c r="H30" s="115">
        <v>2009</v>
      </c>
      <c r="I30" s="115">
        <v>2010</v>
      </c>
      <c r="J30" s="115">
        <v>2011</v>
      </c>
      <c r="K30" s="115">
        <v>2012</v>
      </c>
      <c r="L30" s="115">
        <v>2013</v>
      </c>
      <c r="M30" s="115">
        <v>2014</v>
      </c>
      <c r="N30" s="115">
        <v>2015</v>
      </c>
      <c r="O30" s="115">
        <v>2016</v>
      </c>
      <c r="P30" s="115">
        <v>2017</v>
      </c>
      <c r="Q30" s="115">
        <v>2018</v>
      </c>
      <c r="R30" s="125">
        <v>2019</v>
      </c>
    </row>
    <row r="31" spans="1:18" ht="15.75" hidden="1" customHeight="1" x14ac:dyDescent="0.25">
      <c r="A31" s="118" t="s">
        <v>2778</v>
      </c>
      <c r="B31" s="181">
        <v>3</v>
      </c>
      <c r="C31" s="182">
        <v>4</v>
      </c>
      <c r="D31" s="182">
        <v>5</v>
      </c>
      <c r="E31" s="182">
        <v>5</v>
      </c>
      <c r="F31" s="182">
        <v>8</v>
      </c>
      <c r="G31" s="182">
        <v>2</v>
      </c>
      <c r="H31" s="182">
        <v>9</v>
      </c>
      <c r="I31" s="182">
        <v>13</v>
      </c>
      <c r="J31" s="182">
        <v>10</v>
      </c>
      <c r="K31" s="182">
        <v>12</v>
      </c>
      <c r="L31" s="182">
        <v>15</v>
      </c>
      <c r="M31" s="182">
        <v>26</v>
      </c>
      <c r="N31" s="182">
        <v>44</v>
      </c>
      <c r="O31" s="182">
        <v>38</v>
      </c>
      <c r="P31" s="182">
        <v>50</v>
      </c>
      <c r="Q31" s="182">
        <v>39</v>
      </c>
      <c r="R31" s="183">
        <v>42</v>
      </c>
    </row>
    <row r="55" spans="1:25" ht="15.75" customHeight="1" x14ac:dyDescent="0.25">
      <c r="A55" s="12" t="s">
        <v>3131</v>
      </c>
    </row>
    <row r="56" spans="1:25" ht="15.75" customHeight="1" x14ac:dyDescent="0.25"/>
    <row r="57" spans="1:25" x14ac:dyDescent="0.25">
      <c r="A57" s="120" t="s">
        <v>1</v>
      </c>
      <c r="B57" s="119" t="s">
        <v>307</v>
      </c>
    </row>
    <row r="58" spans="1:25" x14ac:dyDescent="0.25">
      <c r="A58" s="120" t="s">
        <v>10</v>
      </c>
      <c r="B58" s="119" t="s">
        <v>2827</v>
      </c>
    </row>
    <row r="59" spans="1:25" ht="15.75" customHeight="1" x14ac:dyDescent="0.25"/>
    <row r="60" spans="1:25" ht="15.75" customHeight="1" x14ac:dyDescent="0.25">
      <c r="A60" s="111" t="s">
        <v>2778</v>
      </c>
      <c r="B60" s="111" t="s">
        <v>8</v>
      </c>
      <c r="C60" s="112"/>
      <c r="D60" s="112"/>
      <c r="E60" s="112"/>
      <c r="F60" s="112"/>
      <c r="G60" s="112"/>
      <c r="H60" s="112"/>
      <c r="I60" s="112"/>
      <c r="J60" s="112"/>
      <c r="K60" s="112"/>
      <c r="L60" s="112"/>
      <c r="M60" s="112"/>
      <c r="N60" s="112"/>
      <c r="O60" s="112"/>
      <c r="P60" s="112"/>
      <c r="Q60" s="112"/>
      <c r="R60" s="112"/>
      <c r="S60" s="112"/>
      <c r="T60" s="112"/>
      <c r="U60" s="112"/>
      <c r="V60" s="112"/>
      <c r="W60" s="112"/>
      <c r="X60" s="112"/>
      <c r="Y60" s="113"/>
    </row>
    <row r="61" spans="1:25" x14ac:dyDescent="0.25">
      <c r="A61" s="111" t="s">
        <v>6</v>
      </c>
      <c r="B61" s="114">
        <v>2002</v>
      </c>
      <c r="C61" s="115">
        <v>2003</v>
      </c>
      <c r="D61" s="115">
        <v>2004</v>
      </c>
      <c r="E61" s="115">
        <v>2005</v>
      </c>
      <c r="F61" s="115">
        <v>2006</v>
      </c>
      <c r="G61" s="115">
        <v>2007</v>
      </c>
      <c r="H61" s="115">
        <v>2008</v>
      </c>
      <c r="I61" s="115">
        <v>2009</v>
      </c>
      <c r="J61" s="115">
        <v>2010</v>
      </c>
      <c r="K61" s="115">
        <v>2011</v>
      </c>
      <c r="L61" s="115">
        <v>2012</v>
      </c>
      <c r="M61" s="115">
        <v>2013</v>
      </c>
      <c r="N61" s="115">
        <v>2014</v>
      </c>
      <c r="O61" s="115">
        <v>2015</v>
      </c>
      <c r="P61" s="115">
        <v>2016</v>
      </c>
      <c r="Q61" s="115">
        <v>2017</v>
      </c>
      <c r="R61" s="115">
        <v>2018</v>
      </c>
      <c r="S61" s="115">
        <v>2019</v>
      </c>
      <c r="T61" s="115">
        <v>2020</v>
      </c>
      <c r="U61" s="115">
        <v>2021</v>
      </c>
      <c r="V61" s="115">
        <v>2022</v>
      </c>
      <c r="W61" s="115">
        <v>2023</v>
      </c>
      <c r="X61" s="115">
        <v>2024</v>
      </c>
      <c r="Y61" s="122" t="s">
        <v>2779</v>
      </c>
    </row>
    <row r="62" spans="1:25" x14ac:dyDescent="0.25">
      <c r="A62" s="114" t="s">
        <v>91</v>
      </c>
      <c r="B62" s="184">
        <v>0</v>
      </c>
      <c r="C62" s="185">
        <v>0</v>
      </c>
      <c r="D62" s="185">
        <v>0</v>
      </c>
      <c r="E62" s="185">
        <v>0</v>
      </c>
      <c r="F62" s="185">
        <v>0</v>
      </c>
      <c r="G62" s="185">
        <v>0</v>
      </c>
      <c r="H62" s="185">
        <v>0</v>
      </c>
      <c r="I62" s="185">
        <v>1</v>
      </c>
      <c r="J62" s="185">
        <v>0</v>
      </c>
      <c r="K62" s="185">
        <v>0</v>
      </c>
      <c r="L62" s="185">
        <v>0</v>
      </c>
      <c r="M62" s="185">
        <v>0</v>
      </c>
      <c r="N62" s="185">
        <v>4</v>
      </c>
      <c r="O62" s="185">
        <v>0</v>
      </c>
      <c r="P62" s="185">
        <v>1</v>
      </c>
      <c r="Q62" s="185">
        <v>1</v>
      </c>
      <c r="R62" s="185">
        <v>6</v>
      </c>
      <c r="S62" s="185">
        <v>2</v>
      </c>
      <c r="T62" s="185">
        <v>0</v>
      </c>
      <c r="U62" s="185">
        <v>0</v>
      </c>
      <c r="V62" s="185">
        <v>0</v>
      </c>
      <c r="W62" s="185">
        <v>2</v>
      </c>
      <c r="X62" s="185">
        <v>5</v>
      </c>
      <c r="Y62" s="199">
        <v>22</v>
      </c>
    </row>
    <row r="63" spans="1:25" x14ac:dyDescent="0.25">
      <c r="A63" s="117" t="s">
        <v>41</v>
      </c>
      <c r="B63" s="187">
        <v>1</v>
      </c>
      <c r="C63" s="188">
        <v>2</v>
      </c>
      <c r="D63" s="188">
        <v>1</v>
      </c>
      <c r="E63" s="188">
        <v>1</v>
      </c>
      <c r="F63" s="188">
        <v>4</v>
      </c>
      <c r="G63" s="188">
        <v>3</v>
      </c>
      <c r="H63" s="188">
        <v>0</v>
      </c>
      <c r="I63" s="188">
        <v>2</v>
      </c>
      <c r="J63" s="188">
        <v>3</v>
      </c>
      <c r="K63" s="188">
        <v>5</v>
      </c>
      <c r="L63" s="188">
        <v>2</v>
      </c>
      <c r="M63" s="188">
        <v>2</v>
      </c>
      <c r="N63" s="188">
        <v>3</v>
      </c>
      <c r="O63" s="188">
        <v>8</v>
      </c>
      <c r="P63" s="188">
        <v>9</v>
      </c>
      <c r="Q63" s="188">
        <v>11</v>
      </c>
      <c r="R63" s="188">
        <v>5</v>
      </c>
      <c r="S63" s="188">
        <v>13</v>
      </c>
      <c r="T63" s="188">
        <v>2</v>
      </c>
      <c r="U63" s="188">
        <v>4</v>
      </c>
      <c r="V63" s="188">
        <v>2</v>
      </c>
      <c r="W63" s="188">
        <v>6</v>
      </c>
      <c r="X63" s="188">
        <v>3</v>
      </c>
      <c r="Y63" s="200">
        <v>92</v>
      </c>
    </row>
    <row r="64" spans="1:25" x14ac:dyDescent="0.25">
      <c r="A64" s="132" t="s">
        <v>56</v>
      </c>
      <c r="B64" s="201">
        <v>0</v>
      </c>
      <c r="C64" s="202">
        <v>0</v>
      </c>
      <c r="D64" s="202">
        <v>2</v>
      </c>
      <c r="E64" s="202">
        <v>1</v>
      </c>
      <c r="F64" s="202">
        <v>0</v>
      </c>
      <c r="G64" s="202">
        <v>1</v>
      </c>
      <c r="H64" s="202">
        <v>0</v>
      </c>
      <c r="I64" s="202">
        <v>4</v>
      </c>
      <c r="J64" s="202">
        <v>4</v>
      </c>
      <c r="K64" s="202">
        <v>1</v>
      </c>
      <c r="L64" s="202">
        <v>3</v>
      </c>
      <c r="M64" s="202">
        <v>5</v>
      </c>
      <c r="N64" s="202">
        <v>6</v>
      </c>
      <c r="O64" s="202">
        <v>14</v>
      </c>
      <c r="P64" s="202">
        <v>7</v>
      </c>
      <c r="Q64" s="202">
        <v>12</v>
      </c>
      <c r="R64" s="202">
        <v>7</v>
      </c>
      <c r="S64" s="202">
        <v>7</v>
      </c>
      <c r="T64" s="202">
        <v>3</v>
      </c>
      <c r="U64" s="202">
        <v>5</v>
      </c>
      <c r="V64" s="202">
        <v>6</v>
      </c>
      <c r="W64" s="202">
        <v>3</v>
      </c>
      <c r="X64" s="202">
        <v>8</v>
      </c>
      <c r="Y64" s="214">
        <v>99</v>
      </c>
    </row>
    <row r="65" spans="1:25" x14ac:dyDescent="0.25">
      <c r="A65" s="117" t="s">
        <v>3183</v>
      </c>
      <c r="B65" s="187">
        <v>0</v>
      </c>
      <c r="C65" s="188">
        <v>1</v>
      </c>
      <c r="D65" s="188">
        <v>1</v>
      </c>
      <c r="E65" s="188">
        <v>2</v>
      </c>
      <c r="F65" s="188">
        <v>0</v>
      </c>
      <c r="G65" s="188">
        <v>4</v>
      </c>
      <c r="H65" s="188">
        <v>2</v>
      </c>
      <c r="I65" s="188">
        <v>2</v>
      </c>
      <c r="J65" s="188">
        <v>5</v>
      </c>
      <c r="K65" s="188">
        <v>3</v>
      </c>
      <c r="L65" s="188">
        <v>5</v>
      </c>
      <c r="M65" s="188">
        <v>6</v>
      </c>
      <c r="N65" s="188">
        <v>11</v>
      </c>
      <c r="O65" s="188">
        <v>18</v>
      </c>
      <c r="P65" s="188">
        <v>18</v>
      </c>
      <c r="Q65" s="188">
        <v>23</v>
      </c>
      <c r="R65" s="188">
        <v>19</v>
      </c>
      <c r="S65" s="188">
        <v>19</v>
      </c>
      <c r="T65" s="188">
        <v>3</v>
      </c>
      <c r="U65" s="188">
        <v>5</v>
      </c>
      <c r="V65" s="188">
        <v>2</v>
      </c>
      <c r="W65" s="188">
        <v>13</v>
      </c>
      <c r="X65" s="188">
        <v>12</v>
      </c>
      <c r="Y65" s="200">
        <v>174</v>
      </c>
    </row>
    <row r="66" spans="1:25" x14ac:dyDescent="0.25">
      <c r="A66" s="117" t="s">
        <v>47</v>
      </c>
      <c r="B66" s="187">
        <v>0</v>
      </c>
      <c r="C66" s="188">
        <v>0</v>
      </c>
      <c r="D66" s="188">
        <v>0</v>
      </c>
      <c r="E66" s="188">
        <v>1</v>
      </c>
      <c r="F66" s="188">
        <v>1</v>
      </c>
      <c r="G66" s="188">
        <v>0</v>
      </c>
      <c r="H66" s="188">
        <v>0</v>
      </c>
      <c r="I66" s="188">
        <v>0</v>
      </c>
      <c r="J66" s="188">
        <v>0</v>
      </c>
      <c r="K66" s="188">
        <v>0</v>
      </c>
      <c r="L66" s="188">
        <v>1</v>
      </c>
      <c r="M66" s="188">
        <v>2</v>
      </c>
      <c r="N66" s="188">
        <v>2</v>
      </c>
      <c r="O66" s="188">
        <v>4</v>
      </c>
      <c r="P66" s="188">
        <v>2</v>
      </c>
      <c r="Q66" s="188">
        <v>3</v>
      </c>
      <c r="R66" s="188">
        <v>1</v>
      </c>
      <c r="S66" s="188">
        <v>1</v>
      </c>
      <c r="T66" s="188">
        <v>1</v>
      </c>
      <c r="U66" s="188">
        <v>0</v>
      </c>
      <c r="V66" s="188">
        <v>0</v>
      </c>
      <c r="W66" s="188">
        <v>0</v>
      </c>
      <c r="X66" s="188">
        <v>0</v>
      </c>
      <c r="Y66" s="200">
        <v>19</v>
      </c>
    </row>
    <row r="67" spans="1:25" x14ac:dyDescent="0.25">
      <c r="A67" s="117" t="s">
        <v>199</v>
      </c>
      <c r="B67" s="187">
        <v>0</v>
      </c>
      <c r="C67" s="188">
        <v>0</v>
      </c>
      <c r="D67" s="188">
        <v>0</v>
      </c>
      <c r="E67" s="188">
        <v>0</v>
      </c>
      <c r="F67" s="188">
        <v>0</v>
      </c>
      <c r="G67" s="188">
        <v>0</v>
      </c>
      <c r="H67" s="188">
        <v>0</v>
      </c>
      <c r="I67" s="188">
        <v>0</v>
      </c>
      <c r="J67" s="188">
        <v>1</v>
      </c>
      <c r="K67" s="188">
        <v>1</v>
      </c>
      <c r="L67" s="188">
        <v>1</v>
      </c>
      <c r="M67" s="188">
        <v>0</v>
      </c>
      <c r="N67" s="188">
        <v>0</v>
      </c>
      <c r="O67" s="188">
        <v>0</v>
      </c>
      <c r="P67" s="188">
        <v>1</v>
      </c>
      <c r="Q67" s="188">
        <v>0</v>
      </c>
      <c r="R67" s="188">
        <v>1</v>
      </c>
      <c r="S67" s="188">
        <v>0</v>
      </c>
      <c r="T67" s="188">
        <v>0</v>
      </c>
      <c r="U67" s="188">
        <v>0</v>
      </c>
      <c r="V67" s="188">
        <v>0</v>
      </c>
      <c r="W67" s="188">
        <v>0</v>
      </c>
      <c r="X67" s="188">
        <v>1</v>
      </c>
      <c r="Y67" s="200">
        <v>6</v>
      </c>
    </row>
    <row r="68" spans="1:25" x14ac:dyDescent="0.25">
      <c r="A68" s="210" t="s">
        <v>2779</v>
      </c>
      <c r="B68" s="208">
        <v>1</v>
      </c>
      <c r="C68" s="209">
        <v>3</v>
      </c>
      <c r="D68" s="209">
        <v>4</v>
      </c>
      <c r="E68" s="209">
        <v>5</v>
      </c>
      <c r="F68" s="209">
        <v>5</v>
      </c>
      <c r="G68" s="209">
        <v>8</v>
      </c>
      <c r="H68" s="209">
        <v>2</v>
      </c>
      <c r="I68" s="209">
        <v>9</v>
      </c>
      <c r="J68" s="209">
        <v>13</v>
      </c>
      <c r="K68" s="209">
        <v>10</v>
      </c>
      <c r="L68" s="209">
        <v>12</v>
      </c>
      <c r="M68" s="209">
        <v>15</v>
      </c>
      <c r="N68" s="209">
        <v>26</v>
      </c>
      <c r="O68" s="209">
        <v>44</v>
      </c>
      <c r="P68" s="209">
        <v>38</v>
      </c>
      <c r="Q68" s="209">
        <v>50</v>
      </c>
      <c r="R68" s="209">
        <v>39</v>
      </c>
      <c r="S68" s="209">
        <v>42</v>
      </c>
      <c r="T68" s="209">
        <v>9</v>
      </c>
      <c r="U68" s="209">
        <v>14</v>
      </c>
      <c r="V68" s="209">
        <v>10</v>
      </c>
      <c r="W68" s="209">
        <v>24</v>
      </c>
      <c r="X68" s="209">
        <v>29</v>
      </c>
      <c r="Y68" s="207">
        <v>412</v>
      </c>
    </row>
  </sheetData>
  <pageMargins left="0.7" right="0.7" top="0.75" bottom="0.75" header="0" footer="0"/>
  <pageSetup orientation="portrait"/>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I74"/>
  <sheetViews>
    <sheetView topLeftCell="A61" workbookViewId="0">
      <selection activeCell="H83" sqref="H83"/>
    </sheetView>
  </sheetViews>
  <sheetFormatPr defaultColWidth="14.42578125" defaultRowHeight="15" customHeight="1" x14ac:dyDescent="0.25"/>
  <cols>
    <col min="1" max="1" width="29.7109375" customWidth="1"/>
    <col min="2" max="2" width="16.42578125" customWidth="1"/>
    <col min="3" max="3" width="13.42578125" customWidth="1"/>
    <col min="4" max="4" width="9.28515625" customWidth="1"/>
    <col min="5" max="5" width="10.42578125" customWidth="1"/>
    <col min="6" max="6" width="9.7109375" customWidth="1"/>
    <col min="7" max="7" width="10.28515625" customWidth="1"/>
    <col min="8" max="8" width="12" customWidth="1"/>
    <col min="9" max="9" width="11.42578125" customWidth="1"/>
    <col min="10" max="26" width="8.7109375" customWidth="1"/>
  </cols>
  <sheetData>
    <row r="1" spans="1:6" x14ac:dyDescent="0.25">
      <c r="A1" s="12" t="s">
        <v>3132</v>
      </c>
    </row>
    <row r="2" spans="1:6" hidden="1" x14ac:dyDescent="0.25">
      <c r="A2" s="2" t="s">
        <v>2857</v>
      </c>
    </row>
    <row r="3" spans="1:6" hidden="1" x14ac:dyDescent="0.25">
      <c r="A3" s="120" t="s">
        <v>1</v>
      </c>
      <c r="B3" s="119" t="s">
        <v>307</v>
      </c>
    </row>
    <row r="4" spans="1:6" hidden="1" x14ac:dyDescent="0.25">
      <c r="A4" s="120" t="s">
        <v>8</v>
      </c>
      <c r="B4" s="119" t="s">
        <v>2817</v>
      </c>
    </row>
    <row r="5" spans="1:6" hidden="1" x14ac:dyDescent="0.25">
      <c r="A5" s="120" t="s">
        <v>10</v>
      </c>
      <c r="B5" s="119" t="s">
        <v>2827</v>
      </c>
    </row>
    <row r="6" spans="1:6" hidden="1" x14ac:dyDescent="0.25"/>
    <row r="7" spans="1:6" hidden="1" x14ac:dyDescent="0.25">
      <c r="A7" s="114"/>
      <c r="B7" s="111" t="s">
        <v>17</v>
      </c>
      <c r="C7" s="112"/>
      <c r="D7" s="112"/>
      <c r="E7" s="112"/>
      <c r="F7" s="113"/>
    </row>
    <row r="8" spans="1:6" hidden="1" x14ac:dyDescent="0.25">
      <c r="A8" s="124"/>
      <c r="B8" s="114" t="s">
        <v>818</v>
      </c>
      <c r="C8" s="115" t="s">
        <v>309</v>
      </c>
      <c r="D8" s="115" t="s">
        <v>594</v>
      </c>
      <c r="E8" s="115" t="s">
        <v>1229</v>
      </c>
      <c r="F8" s="125" t="s">
        <v>426</v>
      </c>
    </row>
    <row r="9" spans="1:6" hidden="1" x14ac:dyDescent="0.25">
      <c r="A9" s="118" t="s">
        <v>2778</v>
      </c>
      <c r="B9" s="181">
        <v>19</v>
      </c>
      <c r="C9" s="182">
        <v>67</v>
      </c>
      <c r="D9" s="182">
        <v>42</v>
      </c>
      <c r="E9" s="182">
        <v>11</v>
      </c>
      <c r="F9" s="183">
        <v>130</v>
      </c>
    </row>
    <row r="31" spans="1:1" ht="15.75" hidden="1" customHeight="1" x14ac:dyDescent="0.25">
      <c r="A31" s="2" t="s">
        <v>2858</v>
      </c>
    </row>
    <row r="34" spans="1:6" hidden="1" x14ac:dyDescent="0.25">
      <c r="A34" s="120" t="s">
        <v>1</v>
      </c>
      <c r="B34" s="119" t="s">
        <v>307</v>
      </c>
    </row>
    <row r="35" spans="1:6" hidden="1" x14ac:dyDescent="0.25">
      <c r="A35" s="120" t="s">
        <v>8</v>
      </c>
      <c r="B35" s="119" t="s">
        <v>2817</v>
      </c>
    </row>
    <row r="36" spans="1:6" hidden="1" x14ac:dyDescent="0.25">
      <c r="A36" s="120" t="s">
        <v>10</v>
      </c>
      <c r="B36" s="119" t="s">
        <v>2827</v>
      </c>
    </row>
    <row r="37" spans="1:6" ht="15.75" hidden="1" customHeight="1" x14ac:dyDescent="0.25"/>
    <row r="38" spans="1:6" ht="15.75" hidden="1" customHeight="1" x14ac:dyDescent="0.25">
      <c r="A38" s="114"/>
      <c r="B38" s="111" t="s">
        <v>17</v>
      </c>
      <c r="C38" s="112"/>
      <c r="D38" s="112"/>
      <c r="E38" s="112"/>
      <c r="F38" s="113"/>
    </row>
    <row r="39" spans="1:6" ht="15.75" hidden="1" customHeight="1" x14ac:dyDescent="0.25">
      <c r="A39" s="124"/>
      <c r="B39" s="114" t="s">
        <v>818</v>
      </c>
      <c r="C39" s="115" t="s">
        <v>309</v>
      </c>
      <c r="D39" s="115" t="s">
        <v>594</v>
      </c>
      <c r="E39" s="115" t="s">
        <v>1229</v>
      </c>
      <c r="F39" s="125" t="s">
        <v>426</v>
      </c>
    </row>
    <row r="40" spans="1:6" ht="15.75" hidden="1" customHeight="1" x14ac:dyDescent="0.25">
      <c r="A40" s="118" t="s">
        <v>2778</v>
      </c>
      <c r="B40" s="181">
        <v>20</v>
      </c>
      <c r="C40" s="182">
        <v>83</v>
      </c>
      <c r="D40" s="182">
        <v>50</v>
      </c>
      <c r="E40" s="182">
        <v>12</v>
      </c>
      <c r="F40" s="183">
        <v>145</v>
      </c>
    </row>
    <row r="62" spans="1:2" x14ac:dyDescent="0.25">
      <c r="A62" s="120" t="s">
        <v>1</v>
      </c>
      <c r="B62" s="119" t="s">
        <v>307</v>
      </c>
    </row>
    <row r="63" spans="1:2" x14ac:dyDescent="0.25">
      <c r="A63" s="120" t="s">
        <v>8</v>
      </c>
      <c r="B63" s="119" t="s">
        <v>2817</v>
      </c>
    </row>
    <row r="64" spans="1:2" x14ac:dyDescent="0.25">
      <c r="A64" s="120" t="s">
        <v>10</v>
      </c>
      <c r="B64" s="119" t="s">
        <v>2827</v>
      </c>
    </row>
    <row r="65" spans="1:9" ht="15.75" customHeight="1" x14ac:dyDescent="0.25"/>
    <row r="66" spans="1:9" ht="15.75" customHeight="1" x14ac:dyDescent="0.25">
      <c r="A66" s="111" t="s">
        <v>2778</v>
      </c>
      <c r="B66" s="111" t="s">
        <v>17</v>
      </c>
      <c r="C66" s="112"/>
      <c r="D66" s="112"/>
      <c r="E66" s="112"/>
      <c r="F66" s="112"/>
      <c r="G66" s="112"/>
      <c r="H66" s="112"/>
      <c r="I66" s="113"/>
    </row>
    <row r="67" spans="1:9" x14ac:dyDescent="0.25">
      <c r="A67" s="111" t="s">
        <v>6</v>
      </c>
      <c r="B67" s="114" t="s">
        <v>818</v>
      </c>
      <c r="C67" s="115" t="s">
        <v>309</v>
      </c>
      <c r="D67" s="115" t="s">
        <v>594</v>
      </c>
      <c r="E67" s="115" t="s">
        <v>1229</v>
      </c>
      <c r="F67" s="115" t="s">
        <v>426</v>
      </c>
      <c r="G67" s="115" t="s">
        <v>2239</v>
      </c>
      <c r="H67" s="115" t="s">
        <v>1477</v>
      </c>
      <c r="I67" s="122" t="s">
        <v>2779</v>
      </c>
    </row>
    <row r="68" spans="1:9" x14ac:dyDescent="0.25">
      <c r="A68" s="114" t="s">
        <v>91</v>
      </c>
      <c r="B68" s="184">
        <v>3</v>
      </c>
      <c r="C68" s="185">
        <v>2</v>
      </c>
      <c r="D68" s="185">
        <v>2</v>
      </c>
      <c r="E68" s="185">
        <v>0</v>
      </c>
      <c r="F68" s="185">
        <v>8</v>
      </c>
      <c r="G68" s="185">
        <v>0</v>
      </c>
      <c r="H68" s="185">
        <v>0</v>
      </c>
      <c r="I68" s="199">
        <v>15</v>
      </c>
    </row>
    <row r="69" spans="1:9" x14ac:dyDescent="0.25">
      <c r="A69" s="117" t="s">
        <v>41</v>
      </c>
      <c r="B69" s="187">
        <v>8</v>
      </c>
      <c r="C69" s="188">
        <v>32</v>
      </c>
      <c r="D69" s="188">
        <v>21</v>
      </c>
      <c r="E69" s="188">
        <v>3</v>
      </c>
      <c r="F69" s="188">
        <v>17</v>
      </c>
      <c r="G69" s="188">
        <v>0</v>
      </c>
      <c r="H69" s="188">
        <v>0</v>
      </c>
      <c r="I69" s="200">
        <v>81</v>
      </c>
    </row>
    <row r="70" spans="1:9" x14ac:dyDescent="0.25">
      <c r="A70" s="132" t="s">
        <v>56</v>
      </c>
      <c r="B70" s="201">
        <v>4</v>
      </c>
      <c r="C70" s="202">
        <v>15</v>
      </c>
      <c r="D70" s="202">
        <v>22</v>
      </c>
      <c r="E70" s="202">
        <v>10</v>
      </c>
      <c r="F70" s="202">
        <v>27</v>
      </c>
      <c r="G70" s="202">
        <v>7</v>
      </c>
      <c r="H70" s="202">
        <v>2</v>
      </c>
      <c r="I70" s="214">
        <v>87</v>
      </c>
    </row>
    <row r="71" spans="1:9" x14ac:dyDescent="0.25">
      <c r="A71" s="117" t="s">
        <v>3183</v>
      </c>
      <c r="B71" s="187">
        <v>4</v>
      </c>
      <c r="C71" s="188">
        <v>37</v>
      </c>
      <c r="D71" s="188">
        <v>12</v>
      </c>
      <c r="E71" s="188">
        <v>1</v>
      </c>
      <c r="F71" s="188">
        <v>87</v>
      </c>
      <c r="G71" s="188">
        <v>0</v>
      </c>
      <c r="H71" s="188">
        <v>0</v>
      </c>
      <c r="I71" s="200">
        <v>141</v>
      </c>
    </row>
    <row r="72" spans="1:9" x14ac:dyDescent="0.25">
      <c r="A72" s="117" t="s">
        <v>47</v>
      </c>
      <c r="B72" s="187">
        <v>3</v>
      </c>
      <c r="C72" s="188">
        <v>0</v>
      </c>
      <c r="D72" s="188">
        <v>2</v>
      </c>
      <c r="E72" s="188">
        <v>0</v>
      </c>
      <c r="F72" s="188">
        <v>13</v>
      </c>
      <c r="G72" s="188">
        <v>0</v>
      </c>
      <c r="H72" s="188">
        <v>0</v>
      </c>
      <c r="I72" s="200">
        <v>18</v>
      </c>
    </row>
    <row r="73" spans="1:9" x14ac:dyDescent="0.25">
      <c r="A73" s="117" t="s">
        <v>199</v>
      </c>
      <c r="B73" s="187">
        <v>0</v>
      </c>
      <c r="C73" s="188">
        <v>0</v>
      </c>
      <c r="D73" s="188">
        <v>1</v>
      </c>
      <c r="E73" s="188">
        <v>1</v>
      </c>
      <c r="F73" s="188">
        <v>3</v>
      </c>
      <c r="G73" s="188">
        <v>0</v>
      </c>
      <c r="H73" s="188">
        <v>0</v>
      </c>
      <c r="I73" s="200">
        <v>5</v>
      </c>
    </row>
    <row r="74" spans="1:9" x14ac:dyDescent="0.25">
      <c r="A74" s="121" t="s">
        <v>2779</v>
      </c>
      <c r="B74" s="208">
        <v>22</v>
      </c>
      <c r="C74" s="209">
        <v>86</v>
      </c>
      <c r="D74" s="209">
        <v>60</v>
      </c>
      <c r="E74" s="209">
        <v>15</v>
      </c>
      <c r="F74" s="209">
        <v>155</v>
      </c>
      <c r="G74" s="209">
        <v>7</v>
      </c>
      <c r="H74" s="209">
        <v>2</v>
      </c>
      <c r="I74" s="207">
        <v>347</v>
      </c>
    </row>
  </sheetData>
  <pageMargins left="0.7" right="0.7" top="0.75" bottom="0.75" header="0" footer="0"/>
  <pageSetup orientation="portrait"/>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Y84"/>
  <sheetViews>
    <sheetView topLeftCell="A52" workbookViewId="0">
      <selection activeCell="B67" sqref="B67"/>
    </sheetView>
  </sheetViews>
  <sheetFormatPr defaultColWidth="14.42578125" defaultRowHeight="15" customHeight="1" x14ac:dyDescent="0.25"/>
  <cols>
    <col min="1" max="1" width="23.42578125" customWidth="1"/>
    <col min="2" max="2" width="15.42578125" customWidth="1"/>
    <col min="3" max="24" width="5" customWidth="1"/>
    <col min="25" max="25" width="12.28515625" customWidth="1"/>
    <col min="26" max="26" width="8.7109375" customWidth="1"/>
  </cols>
  <sheetData>
    <row r="1" spans="1:17" hidden="1" x14ac:dyDescent="0.25">
      <c r="A1" s="2" t="s">
        <v>2852</v>
      </c>
    </row>
    <row r="2" spans="1:17" hidden="1" x14ac:dyDescent="0.25"/>
    <row r="3" spans="1:17" hidden="1" x14ac:dyDescent="0.25"/>
    <row r="4" spans="1:17" hidden="1" x14ac:dyDescent="0.25">
      <c r="A4" s="111" t="s">
        <v>2778</v>
      </c>
      <c r="B4" s="111" t="s">
        <v>8</v>
      </c>
      <c r="C4" s="112"/>
      <c r="D4" s="112"/>
      <c r="E4" s="112"/>
      <c r="F4" s="112"/>
      <c r="G4" s="112"/>
      <c r="H4" s="112"/>
      <c r="I4" s="112"/>
      <c r="J4" s="112"/>
      <c r="K4" s="112"/>
      <c r="L4" s="112"/>
      <c r="M4" s="112"/>
      <c r="N4" s="112"/>
      <c r="O4" s="112"/>
      <c r="P4" s="112"/>
      <c r="Q4" s="113"/>
    </row>
    <row r="5" spans="1:17" hidden="1" x14ac:dyDescent="0.25">
      <c r="A5" s="111" t="s">
        <v>1</v>
      </c>
      <c r="B5" s="114">
        <v>2003</v>
      </c>
      <c r="C5" s="115">
        <v>2004</v>
      </c>
      <c r="D5" s="115">
        <v>2005</v>
      </c>
      <c r="E5" s="115">
        <v>2006</v>
      </c>
      <c r="F5" s="115">
        <v>2007</v>
      </c>
      <c r="G5" s="115">
        <v>2008</v>
      </c>
      <c r="H5" s="115">
        <v>2009</v>
      </c>
      <c r="I5" s="115">
        <v>2010</v>
      </c>
      <c r="J5" s="115">
        <v>2011</v>
      </c>
      <c r="K5" s="115">
        <v>2012</v>
      </c>
      <c r="L5" s="115">
        <v>2013</v>
      </c>
      <c r="M5" s="115">
        <v>2014</v>
      </c>
      <c r="N5" s="115">
        <v>2015</v>
      </c>
      <c r="O5" s="115">
        <v>2016</v>
      </c>
      <c r="P5" s="115">
        <v>2017</v>
      </c>
      <c r="Q5" s="125">
        <v>2018</v>
      </c>
    </row>
    <row r="6" spans="1:17" hidden="1" x14ac:dyDescent="0.25">
      <c r="A6" s="114" t="s">
        <v>307</v>
      </c>
      <c r="B6" s="184">
        <v>3</v>
      </c>
      <c r="C6" s="185">
        <v>4</v>
      </c>
      <c r="D6" s="185">
        <v>5</v>
      </c>
      <c r="E6" s="185">
        <v>5</v>
      </c>
      <c r="F6" s="185">
        <v>8</v>
      </c>
      <c r="G6" s="185">
        <v>2</v>
      </c>
      <c r="H6" s="185">
        <v>9</v>
      </c>
      <c r="I6" s="185">
        <v>13</v>
      </c>
      <c r="J6" s="185">
        <v>10</v>
      </c>
      <c r="K6" s="185">
        <v>12</v>
      </c>
      <c r="L6" s="185">
        <v>15</v>
      </c>
      <c r="M6" s="185">
        <v>26</v>
      </c>
      <c r="N6" s="185">
        <v>44</v>
      </c>
      <c r="O6" s="185">
        <v>38</v>
      </c>
      <c r="P6" s="185">
        <v>50</v>
      </c>
      <c r="Q6" s="186">
        <v>39</v>
      </c>
    </row>
    <row r="7" spans="1:17" hidden="1" x14ac:dyDescent="0.25">
      <c r="A7" s="117" t="s">
        <v>26</v>
      </c>
      <c r="B7" s="187">
        <v>4</v>
      </c>
      <c r="C7" s="188">
        <v>1</v>
      </c>
      <c r="D7" s="188">
        <v>4</v>
      </c>
      <c r="E7" s="188">
        <v>3</v>
      </c>
      <c r="F7" s="188">
        <v>6</v>
      </c>
      <c r="G7" s="188">
        <v>1</v>
      </c>
      <c r="H7" s="188">
        <v>18</v>
      </c>
      <c r="I7" s="188">
        <v>31</v>
      </c>
      <c r="J7" s="188">
        <v>22</v>
      </c>
      <c r="K7" s="188">
        <v>17</v>
      </c>
      <c r="L7" s="188">
        <v>39</v>
      </c>
      <c r="M7" s="188">
        <v>39</v>
      </c>
      <c r="N7" s="188">
        <v>39</v>
      </c>
      <c r="O7" s="188">
        <v>23</v>
      </c>
      <c r="P7" s="188">
        <v>50</v>
      </c>
      <c r="Q7" s="189">
        <v>33</v>
      </c>
    </row>
    <row r="8" spans="1:17" hidden="1" x14ac:dyDescent="0.25">
      <c r="A8" s="123" t="s">
        <v>76</v>
      </c>
      <c r="B8" s="190">
        <v>115</v>
      </c>
      <c r="C8" s="191">
        <v>132</v>
      </c>
      <c r="D8" s="191">
        <v>157</v>
      </c>
      <c r="E8" s="191">
        <v>139</v>
      </c>
      <c r="F8" s="191">
        <v>151</v>
      </c>
      <c r="G8" s="191">
        <v>130</v>
      </c>
      <c r="H8" s="191">
        <v>150</v>
      </c>
      <c r="I8" s="191">
        <v>172</v>
      </c>
      <c r="J8" s="191">
        <v>126</v>
      </c>
      <c r="K8" s="191">
        <v>92</v>
      </c>
      <c r="L8" s="191">
        <v>112</v>
      </c>
      <c r="M8" s="191">
        <v>124</v>
      </c>
      <c r="N8" s="191">
        <v>129</v>
      </c>
      <c r="O8" s="191">
        <v>104</v>
      </c>
      <c r="P8" s="191">
        <v>89</v>
      </c>
      <c r="Q8" s="192">
        <v>104</v>
      </c>
    </row>
    <row r="9" spans="1:17" ht="15" hidden="1" customHeight="1" x14ac:dyDescent="0.25"/>
    <row r="10" spans="1:17" ht="15" hidden="1" customHeight="1" x14ac:dyDescent="0.25"/>
    <row r="11" spans="1:17" ht="15" hidden="1" customHeight="1" x14ac:dyDescent="0.25"/>
    <row r="12" spans="1:17" ht="15" hidden="1" customHeight="1" x14ac:dyDescent="0.25"/>
    <row r="13" spans="1:17" ht="15" hidden="1" customHeight="1" x14ac:dyDescent="0.25"/>
    <row r="14" spans="1:17" ht="15" hidden="1" customHeight="1" x14ac:dyDescent="0.25"/>
    <row r="15" spans="1:17" ht="15" hidden="1" customHeight="1" x14ac:dyDescent="0.25"/>
    <row r="16" spans="1:17" ht="15" hidden="1" customHeight="1" x14ac:dyDescent="0.25"/>
    <row r="17" spans="1:18" ht="15" hidden="1" customHeight="1" x14ac:dyDescent="0.25"/>
    <row r="18" spans="1:18" ht="15" hidden="1" customHeight="1" x14ac:dyDescent="0.25"/>
    <row r="19" spans="1:18" ht="15" hidden="1" customHeight="1" x14ac:dyDescent="0.25"/>
    <row r="20" spans="1:18" ht="15" hidden="1" customHeight="1" x14ac:dyDescent="0.25"/>
    <row r="21" spans="1:18" ht="15" hidden="1" customHeight="1" x14ac:dyDescent="0.25"/>
    <row r="22" spans="1:18" ht="15" hidden="1" customHeight="1" x14ac:dyDescent="0.25"/>
    <row r="23" spans="1:18" ht="15" hidden="1" customHeight="1" x14ac:dyDescent="0.25"/>
    <row r="24" spans="1:18" ht="15" hidden="1" customHeight="1" x14ac:dyDescent="0.25"/>
    <row r="25" spans="1:18" ht="15" hidden="1" customHeight="1" x14ac:dyDescent="0.25"/>
    <row r="26" spans="1:18" ht="15" hidden="1" customHeight="1" x14ac:dyDescent="0.25"/>
    <row r="27" spans="1:18" ht="15.75" hidden="1" customHeight="1" x14ac:dyDescent="0.25">
      <c r="A27" s="2" t="s">
        <v>2853</v>
      </c>
    </row>
    <row r="28" spans="1:18" ht="15.75" hidden="1" customHeight="1" x14ac:dyDescent="0.25"/>
    <row r="29" spans="1:18" ht="15.75" hidden="1" customHeight="1" x14ac:dyDescent="0.25"/>
    <row r="30" spans="1:18" ht="15.75" hidden="1" customHeight="1" x14ac:dyDescent="0.25"/>
    <row r="31" spans="1:18" ht="15.75" hidden="1" customHeight="1" x14ac:dyDescent="0.25">
      <c r="A31" s="111" t="s">
        <v>2778</v>
      </c>
      <c r="B31" s="111" t="s">
        <v>8</v>
      </c>
      <c r="C31" s="112"/>
      <c r="D31" s="112"/>
      <c r="E31" s="112"/>
      <c r="F31" s="112"/>
      <c r="G31" s="112"/>
      <c r="H31" s="112"/>
      <c r="I31" s="112"/>
      <c r="J31" s="112"/>
      <c r="K31" s="112"/>
      <c r="L31" s="112"/>
      <c r="M31" s="112"/>
      <c r="N31" s="112"/>
      <c r="O31" s="112"/>
      <c r="P31" s="112"/>
      <c r="Q31" s="112"/>
      <c r="R31" s="113"/>
    </row>
    <row r="32" spans="1:18" ht="15.75" hidden="1" customHeight="1" x14ac:dyDescent="0.25">
      <c r="A32" s="111" t="s">
        <v>1</v>
      </c>
      <c r="B32" s="114">
        <v>2003</v>
      </c>
      <c r="C32" s="115">
        <v>2004</v>
      </c>
      <c r="D32" s="115">
        <v>2005</v>
      </c>
      <c r="E32" s="115">
        <v>2006</v>
      </c>
      <c r="F32" s="115">
        <v>2007</v>
      </c>
      <c r="G32" s="115">
        <v>2008</v>
      </c>
      <c r="H32" s="115">
        <v>2009</v>
      </c>
      <c r="I32" s="115">
        <v>2010</v>
      </c>
      <c r="J32" s="115">
        <v>2011</v>
      </c>
      <c r="K32" s="115">
        <v>2012</v>
      </c>
      <c r="L32" s="115">
        <v>2013</v>
      </c>
      <c r="M32" s="115">
        <v>2014</v>
      </c>
      <c r="N32" s="115">
        <v>2015</v>
      </c>
      <c r="O32" s="115">
        <v>2016</v>
      </c>
      <c r="P32" s="115">
        <v>2017</v>
      </c>
      <c r="Q32" s="115">
        <v>2018</v>
      </c>
      <c r="R32" s="125">
        <v>2019</v>
      </c>
    </row>
    <row r="33" spans="1:18" ht="15.75" hidden="1" customHeight="1" x14ac:dyDescent="0.25">
      <c r="A33" s="114" t="s">
        <v>307</v>
      </c>
      <c r="B33" s="184">
        <v>3</v>
      </c>
      <c r="C33" s="185">
        <v>4</v>
      </c>
      <c r="D33" s="185">
        <v>5</v>
      </c>
      <c r="E33" s="185">
        <v>5</v>
      </c>
      <c r="F33" s="185">
        <v>8</v>
      </c>
      <c r="G33" s="185">
        <v>2</v>
      </c>
      <c r="H33" s="185">
        <v>9</v>
      </c>
      <c r="I33" s="185">
        <v>13</v>
      </c>
      <c r="J33" s="185">
        <v>10</v>
      </c>
      <c r="K33" s="185">
        <v>12</v>
      </c>
      <c r="L33" s="185">
        <v>15</v>
      </c>
      <c r="M33" s="185">
        <v>26</v>
      </c>
      <c r="N33" s="185">
        <v>44</v>
      </c>
      <c r="O33" s="185">
        <v>38</v>
      </c>
      <c r="P33" s="185">
        <v>50</v>
      </c>
      <c r="Q33" s="185">
        <v>39</v>
      </c>
      <c r="R33" s="186">
        <v>42</v>
      </c>
    </row>
    <row r="34" spans="1:18" ht="15.75" hidden="1" customHeight="1" x14ac:dyDescent="0.25">
      <c r="A34" s="117" t="s">
        <v>26</v>
      </c>
      <c r="B34" s="187">
        <v>4</v>
      </c>
      <c r="C34" s="188">
        <v>1</v>
      </c>
      <c r="D34" s="188">
        <v>4</v>
      </c>
      <c r="E34" s="188">
        <v>3</v>
      </c>
      <c r="F34" s="188">
        <v>6</v>
      </c>
      <c r="G34" s="188">
        <v>1</v>
      </c>
      <c r="H34" s="188">
        <v>18</v>
      </c>
      <c r="I34" s="188">
        <v>31</v>
      </c>
      <c r="J34" s="188">
        <v>22</v>
      </c>
      <c r="K34" s="188">
        <v>17</v>
      </c>
      <c r="L34" s="188">
        <v>39</v>
      </c>
      <c r="M34" s="188">
        <v>39</v>
      </c>
      <c r="N34" s="188">
        <v>39</v>
      </c>
      <c r="O34" s="188">
        <v>23</v>
      </c>
      <c r="P34" s="188">
        <v>50</v>
      </c>
      <c r="Q34" s="188">
        <v>33</v>
      </c>
      <c r="R34" s="189">
        <v>22</v>
      </c>
    </row>
    <row r="35" spans="1:18" ht="15.75" hidden="1" customHeight="1" x14ac:dyDescent="0.25">
      <c r="A35" s="123" t="s">
        <v>76</v>
      </c>
      <c r="B35" s="190">
        <v>115</v>
      </c>
      <c r="C35" s="191">
        <v>132</v>
      </c>
      <c r="D35" s="191">
        <v>157</v>
      </c>
      <c r="E35" s="191">
        <v>139</v>
      </c>
      <c r="F35" s="191">
        <v>151</v>
      </c>
      <c r="G35" s="191">
        <v>130</v>
      </c>
      <c r="H35" s="191">
        <v>150</v>
      </c>
      <c r="I35" s="191">
        <v>172</v>
      </c>
      <c r="J35" s="191">
        <v>126</v>
      </c>
      <c r="K35" s="191">
        <v>92</v>
      </c>
      <c r="L35" s="191">
        <v>112</v>
      </c>
      <c r="M35" s="191">
        <v>124</v>
      </c>
      <c r="N35" s="191">
        <v>129</v>
      </c>
      <c r="O35" s="191">
        <v>104</v>
      </c>
      <c r="P35" s="191">
        <v>89</v>
      </c>
      <c r="Q35" s="191">
        <v>104</v>
      </c>
      <c r="R35" s="192">
        <v>105</v>
      </c>
    </row>
    <row r="36" spans="1:18" ht="15" hidden="1" customHeight="1" x14ac:dyDescent="0.25"/>
    <row r="37" spans="1:18" ht="15" hidden="1" customHeight="1" x14ac:dyDescent="0.25"/>
    <row r="38" spans="1:18" ht="15" hidden="1" customHeight="1" x14ac:dyDescent="0.25"/>
    <row r="39" spans="1:18" ht="15" hidden="1" customHeight="1" x14ac:dyDescent="0.25"/>
    <row r="40" spans="1:18" ht="15" hidden="1" customHeight="1" x14ac:dyDescent="0.25"/>
    <row r="41" spans="1:18" ht="15" hidden="1" customHeight="1" x14ac:dyDescent="0.25"/>
    <row r="42" spans="1:18" ht="15" hidden="1" customHeight="1" x14ac:dyDescent="0.25"/>
    <row r="43" spans="1:18" ht="15" hidden="1" customHeight="1" x14ac:dyDescent="0.25"/>
    <row r="44" spans="1:18" ht="15" hidden="1" customHeight="1" x14ac:dyDescent="0.25"/>
    <row r="45" spans="1:18" ht="15" hidden="1" customHeight="1" x14ac:dyDescent="0.25"/>
    <row r="46" spans="1:18" ht="15" hidden="1" customHeight="1" x14ac:dyDescent="0.25"/>
    <row r="47" spans="1:18" ht="15" hidden="1" customHeight="1" x14ac:dyDescent="0.25"/>
    <row r="48" spans="1:18" ht="15" hidden="1" customHeight="1" x14ac:dyDescent="0.25"/>
    <row r="49" spans="1:25" ht="15" hidden="1" customHeight="1" x14ac:dyDescent="0.25"/>
    <row r="50" spans="1:25" ht="15" hidden="1" customHeight="1" x14ac:dyDescent="0.25"/>
    <row r="51" spans="1:25" ht="15" hidden="1" customHeight="1" x14ac:dyDescent="0.25"/>
    <row r="53" spans="1:25" ht="15.75" customHeight="1" x14ac:dyDescent="0.25">
      <c r="A53" s="12" t="s">
        <v>3133</v>
      </c>
    </row>
    <row r="54" spans="1:25" ht="15.75" customHeight="1" x14ac:dyDescent="0.25">
      <c r="A54" s="120" t="s">
        <v>2</v>
      </c>
      <c r="B54" s="119" t="s">
        <v>103</v>
      </c>
    </row>
    <row r="55" spans="1:25" x14ac:dyDescent="0.25">
      <c r="A55" s="120" t="s">
        <v>6</v>
      </c>
      <c r="B55" s="119" t="s">
        <v>56</v>
      </c>
    </row>
    <row r="56" spans="1:25" ht="15.75" customHeight="1" x14ac:dyDescent="0.25"/>
    <row r="57" spans="1:25" ht="15.75" customHeight="1" x14ac:dyDescent="0.25">
      <c r="A57" s="111" t="s">
        <v>2778</v>
      </c>
      <c r="B57" s="111" t="s">
        <v>8</v>
      </c>
      <c r="C57" s="112"/>
      <c r="D57" s="112"/>
      <c r="E57" s="112"/>
      <c r="F57" s="112"/>
      <c r="G57" s="112"/>
      <c r="H57" s="112"/>
      <c r="I57" s="112"/>
      <c r="J57" s="112"/>
      <c r="K57" s="112"/>
      <c r="L57" s="112"/>
      <c r="M57" s="112"/>
      <c r="N57" s="112"/>
      <c r="O57" s="112"/>
      <c r="P57" s="112"/>
      <c r="Q57" s="112"/>
      <c r="R57" s="112"/>
      <c r="S57" s="112"/>
      <c r="T57" s="112"/>
      <c r="U57" s="112"/>
      <c r="V57" s="112"/>
      <c r="W57" s="112"/>
      <c r="X57" s="112"/>
      <c r="Y57" s="113"/>
    </row>
    <row r="58" spans="1:25" x14ac:dyDescent="0.25">
      <c r="A58" s="111" t="s">
        <v>1</v>
      </c>
      <c r="B58" s="114">
        <v>2002</v>
      </c>
      <c r="C58" s="115">
        <v>2003</v>
      </c>
      <c r="D58" s="115">
        <v>2004</v>
      </c>
      <c r="E58" s="115">
        <v>2005</v>
      </c>
      <c r="F58" s="115">
        <v>2006</v>
      </c>
      <c r="G58" s="115">
        <v>2007</v>
      </c>
      <c r="H58" s="115">
        <v>2008</v>
      </c>
      <c r="I58" s="115">
        <v>2009</v>
      </c>
      <c r="J58" s="115">
        <v>2010</v>
      </c>
      <c r="K58" s="115">
        <v>2011</v>
      </c>
      <c r="L58" s="115">
        <v>2012</v>
      </c>
      <c r="M58" s="115">
        <v>2013</v>
      </c>
      <c r="N58" s="115">
        <v>2014</v>
      </c>
      <c r="O58" s="115">
        <v>2015</v>
      </c>
      <c r="P58" s="115">
        <v>2016</v>
      </c>
      <c r="Q58" s="115">
        <v>2017</v>
      </c>
      <c r="R58" s="115">
        <v>2018</v>
      </c>
      <c r="S58" s="115">
        <v>2019</v>
      </c>
      <c r="T58" s="115">
        <v>2020</v>
      </c>
      <c r="U58" s="115">
        <v>2021</v>
      </c>
      <c r="V58" s="115">
        <v>2022</v>
      </c>
      <c r="W58" s="115">
        <v>2023</v>
      </c>
      <c r="X58" s="115">
        <v>2024</v>
      </c>
      <c r="Y58" s="122" t="s">
        <v>2779</v>
      </c>
    </row>
    <row r="59" spans="1:25" x14ac:dyDescent="0.25">
      <c r="A59" s="114" t="s">
        <v>307</v>
      </c>
      <c r="B59" s="184">
        <v>0</v>
      </c>
      <c r="C59" s="185">
        <v>0</v>
      </c>
      <c r="D59" s="185">
        <v>2</v>
      </c>
      <c r="E59" s="185">
        <v>0</v>
      </c>
      <c r="F59" s="185">
        <v>0</v>
      </c>
      <c r="G59" s="185">
        <v>0</v>
      </c>
      <c r="H59" s="185">
        <v>0</v>
      </c>
      <c r="I59" s="185">
        <v>1</v>
      </c>
      <c r="J59" s="185">
        <v>4</v>
      </c>
      <c r="K59" s="185">
        <v>1</v>
      </c>
      <c r="L59" s="185">
        <v>2</v>
      </c>
      <c r="M59" s="185">
        <v>0</v>
      </c>
      <c r="N59" s="185">
        <v>1</v>
      </c>
      <c r="O59" s="185">
        <v>11</v>
      </c>
      <c r="P59" s="185">
        <v>3</v>
      </c>
      <c r="Q59" s="185">
        <v>7</v>
      </c>
      <c r="R59" s="185">
        <v>5</v>
      </c>
      <c r="S59" s="185">
        <v>1</v>
      </c>
      <c r="T59" s="185">
        <v>0</v>
      </c>
      <c r="U59" s="185">
        <v>1</v>
      </c>
      <c r="V59" s="185">
        <v>1</v>
      </c>
      <c r="W59" s="185">
        <v>0</v>
      </c>
      <c r="X59" s="185">
        <v>1</v>
      </c>
      <c r="Y59" s="199">
        <v>41</v>
      </c>
    </row>
    <row r="60" spans="1:25" x14ac:dyDescent="0.25">
      <c r="A60" s="117" t="s">
        <v>26</v>
      </c>
      <c r="B60" s="187">
        <v>5</v>
      </c>
      <c r="C60" s="188">
        <v>0</v>
      </c>
      <c r="D60" s="188">
        <v>0</v>
      </c>
      <c r="E60" s="188">
        <v>0</v>
      </c>
      <c r="F60" s="188">
        <v>0</v>
      </c>
      <c r="G60" s="188">
        <v>3</v>
      </c>
      <c r="H60" s="188">
        <v>0</v>
      </c>
      <c r="I60" s="188">
        <v>0</v>
      </c>
      <c r="J60" s="188">
        <v>1</v>
      </c>
      <c r="K60" s="188">
        <v>1</v>
      </c>
      <c r="L60" s="188">
        <v>4</v>
      </c>
      <c r="M60" s="188">
        <v>4</v>
      </c>
      <c r="N60" s="188">
        <v>0</v>
      </c>
      <c r="O60" s="188">
        <v>14</v>
      </c>
      <c r="P60" s="188">
        <v>1</v>
      </c>
      <c r="Q60" s="188">
        <v>12</v>
      </c>
      <c r="R60" s="188">
        <v>6</v>
      </c>
      <c r="S60" s="188">
        <v>2</v>
      </c>
      <c r="T60" s="188">
        <v>0</v>
      </c>
      <c r="U60" s="188">
        <v>0</v>
      </c>
      <c r="V60" s="188">
        <v>0</v>
      </c>
      <c r="W60" s="188">
        <v>0</v>
      </c>
      <c r="X60" s="188">
        <v>0</v>
      </c>
      <c r="Y60" s="200">
        <v>53</v>
      </c>
    </row>
    <row r="61" spans="1:25" x14ac:dyDescent="0.25">
      <c r="A61" s="117" t="s">
        <v>76</v>
      </c>
      <c r="B61" s="187">
        <v>31</v>
      </c>
      <c r="C61" s="188">
        <v>31</v>
      </c>
      <c r="D61" s="188">
        <v>37</v>
      </c>
      <c r="E61" s="188">
        <v>52</v>
      </c>
      <c r="F61" s="188">
        <v>30</v>
      </c>
      <c r="G61" s="188">
        <v>31</v>
      </c>
      <c r="H61" s="188">
        <v>31</v>
      </c>
      <c r="I61" s="188">
        <v>45</v>
      </c>
      <c r="J61" s="188">
        <v>49</v>
      </c>
      <c r="K61" s="188">
        <v>30</v>
      </c>
      <c r="L61" s="188">
        <v>24</v>
      </c>
      <c r="M61" s="188">
        <v>21</v>
      </c>
      <c r="N61" s="188">
        <v>28</v>
      </c>
      <c r="O61" s="188">
        <v>27</v>
      </c>
      <c r="P61" s="188">
        <v>13</v>
      </c>
      <c r="Q61" s="188">
        <v>18</v>
      </c>
      <c r="R61" s="188">
        <v>11</v>
      </c>
      <c r="S61" s="188">
        <v>9</v>
      </c>
      <c r="T61" s="188">
        <v>1</v>
      </c>
      <c r="U61" s="188">
        <v>6</v>
      </c>
      <c r="V61" s="188">
        <v>2</v>
      </c>
      <c r="W61" s="188">
        <v>5</v>
      </c>
      <c r="X61" s="188">
        <v>11</v>
      </c>
      <c r="Y61" s="200">
        <v>543</v>
      </c>
    </row>
    <row r="62" spans="1:25" x14ac:dyDescent="0.25">
      <c r="A62" s="121" t="s">
        <v>2779</v>
      </c>
      <c r="B62" s="196">
        <v>36</v>
      </c>
      <c r="C62" s="197">
        <v>31</v>
      </c>
      <c r="D62" s="197">
        <v>39</v>
      </c>
      <c r="E62" s="197">
        <v>52</v>
      </c>
      <c r="F62" s="197">
        <v>30</v>
      </c>
      <c r="G62" s="197">
        <v>34</v>
      </c>
      <c r="H62" s="197">
        <v>31</v>
      </c>
      <c r="I62" s="197">
        <v>46</v>
      </c>
      <c r="J62" s="197">
        <v>54</v>
      </c>
      <c r="K62" s="197">
        <v>32</v>
      </c>
      <c r="L62" s="197">
        <v>30</v>
      </c>
      <c r="M62" s="197">
        <v>25</v>
      </c>
      <c r="N62" s="197">
        <v>29</v>
      </c>
      <c r="O62" s="197">
        <v>52</v>
      </c>
      <c r="P62" s="197">
        <v>17</v>
      </c>
      <c r="Q62" s="197">
        <v>37</v>
      </c>
      <c r="R62" s="197">
        <v>22</v>
      </c>
      <c r="S62" s="197">
        <v>12</v>
      </c>
      <c r="T62" s="197">
        <v>1</v>
      </c>
      <c r="U62" s="197">
        <v>7</v>
      </c>
      <c r="V62" s="197">
        <v>3</v>
      </c>
      <c r="W62" s="197">
        <v>5</v>
      </c>
      <c r="X62" s="197">
        <v>12</v>
      </c>
      <c r="Y62" s="198">
        <v>637</v>
      </c>
    </row>
    <row r="66" spans="1:24" ht="15.75" customHeight="1" x14ac:dyDescent="0.25">
      <c r="B66" s="72">
        <v>2002</v>
      </c>
      <c r="C66" s="72">
        <v>2003</v>
      </c>
      <c r="D66" s="72">
        <v>2004</v>
      </c>
      <c r="E66" s="72">
        <v>2005</v>
      </c>
      <c r="F66" s="72">
        <v>2006</v>
      </c>
      <c r="G66" s="72">
        <v>2007</v>
      </c>
      <c r="H66" s="72">
        <v>2008</v>
      </c>
      <c r="I66" s="72">
        <v>2009</v>
      </c>
      <c r="J66" s="72">
        <v>2010</v>
      </c>
      <c r="K66" s="72">
        <v>2011</v>
      </c>
      <c r="L66" s="72">
        <v>2012</v>
      </c>
      <c r="M66" s="72">
        <v>2013</v>
      </c>
      <c r="N66" s="72">
        <v>2014</v>
      </c>
      <c r="O66" s="72">
        <v>2015</v>
      </c>
      <c r="P66" s="72">
        <v>2016</v>
      </c>
      <c r="Q66" s="72">
        <v>2017</v>
      </c>
      <c r="R66" s="72">
        <v>2018</v>
      </c>
      <c r="S66" s="72">
        <v>2019</v>
      </c>
      <c r="T66" s="72">
        <v>2020</v>
      </c>
      <c r="U66" s="72">
        <v>2021</v>
      </c>
      <c r="V66" s="72">
        <v>2022</v>
      </c>
      <c r="W66" s="72">
        <v>2023</v>
      </c>
      <c r="X66" s="72">
        <v>2024</v>
      </c>
    </row>
    <row r="67" spans="1:24" ht="15.75" customHeight="1" x14ac:dyDescent="0.25">
      <c r="A67" t="s">
        <v>307</v>
      </c>
      <c r="B67">
        <f t="shared" ref="B67:C69" si="0">B59</f>
        <v>0</v>
      </c>
      <c r="C67">
        <f t="shared" si="0"/>
        <v>0</v>
      </c>
      <c r="D67">
        <f t="shared" ref="D67:X67" si="1">D59</f>
        <v>2</v>
      </c>
      <c r="E67">
        <f t="shared" si="1"/>
        <v>0</v>
      </c>
      <c r="F67">
        <f t="shared" si="1"/>
        <v>0</v>
      </c>
      <c r="G67">
        <f t="shared" si="1"/>
        <v>0</v>
      </c>
      <c r="H67">
        <f t="shared" si="1"/>
        <v>0</v>
      </c>
      <c r="I67">
        <f t="shared" si="1"/>
        <v>1</v>
      </c>
      <c r="J67">
        <f t="shared" si="1"/>
        <v>4</v>
      </c>
      <c r="K67">
        <f t="shared" si="1"/>
        <v>1</v>
      </c>
      <c r="L67">
        <f t="shared" si="1"/>
        <v>2</v>
      </c>
      <c r="M67">
        <f t="shared" si="1"/>
        <v>0</v>
      </c>
      <c r="N67">
        <f t="shared" si="1"/>
        <v>1</v>
      </c>
      <c r="O67">
        <f t="shared" si="1"/>
        <v>11</v>
      </c>
      <c r="P67">
        <f t="shared" si="1"/>
        <v>3</v>
      </c>
      <c r="Q67">
        <f t="shared" si="1"/>
        <v>7</v>
      </c>
      <c r="R67">
        <f t="shared" si="1"/>
        <v>5</v>
      </c>
      <c r="S67">
        <f t="shared" si="1"/>
        <v>1</v>
      </c>
      <c r="T67">
        <f t="shared" si="1"/>
        <v>0</v>
      </c>
      <c r="U67">
        <f t="shared" si="1"/>
        <v>1</v>
      </c>
      <c r="V67">
        <f t="shared" si="1"/>
        <v>1</v>
      </c>
      <c r="W67">
        <f t="shared" si="1"/>
        <v>0</v>
      </c>
      <c r="X67">
        <f t="shared" si="1"/>
        <v>1</v>
      </c>
    </row>
    <row r="68" spans="1:24" ht="15.75" customHeight="1" x14ac:dyDescent="0.25">
      <c r="A68" t="s">
        <v>26</v>
      </c>
      <c r="B68">
        <f t="shared" si="0"/>
        <v>5</v>
      </c>
      <c r="C68">
        <f t="shared" si="0"/>
        <v>0</v>
      </c>
      <c r="D68">
        <f t="shared" ref="D68:X68" si="2">D60</f>
        <v>0</v>
      </c>
      <c r="E68">
        <f t="shared" si="2"/>
        <v>0</v>
      </c>
      <c r="F68">
        <f t="shared" si="2"/>
        <v>0</v>
      </c>
      <c r="G68">
        <f t="shared" si="2"/>
        <v>3</v>
      </c>
      <c r="H68">
        <f t="shared" si="2"/>
        <v>0</v>
      </c>
      <c r="I68">
        <f t="shared" si="2"/>
        <v>0</v>
      </c>
      <c r="J68">
        <f t="shared" si="2"/>
        <v>1</v>
      </c>
      <c r="K68">
        <f t="shared" si="2"/>
        <v>1</v>
      </c>
      <c r="L68">
        <f t="shared" si="2"/>
        <v>4</v>
      </c>
      <c r="M68">
        <f t="shared" si="2"/>
        <v>4</v>
      </c>
      <c r="N68">
        <f t="shared" si="2"/>
        <v>0</v>
      </c>
      <c r="O68">
        <f t="shared" si="2"/>
        <v>14</v>
      </c>
      <c r="P68">
        <f t="shared" si="2"/>
        <v>1</v>
      </c>
      <c r="Q68">
        <f t="shared" si="2"/>
        <v>12</v>
      </c>
      <c r="R68">
        <f t="shared" si="2"/>
        <v>6</v>
      </c>
      <c r="S68">
        <f t="shared" si="2"/>
        <v>2</v>
      </c>
      <c r="T68">
        <f t="shared" si="2"/>
        <v>0</v>
      </c>
      <c r="U68">
        <f t="shared" si="2"/>
        <v>0</v>
      </c>
      <c r="V68">
        <f t="shared" si="2"/>
        <v>0</v>
      </c>
      <c r="W68">
        <f t="shared" si="2"/>
        <v>0</v>
      </c>
      <c r="X68">
        <f t="shared" si="2"/>
        <v>0</v>
      </c>
    </row>
    <row r="69" spans="1:24" ht="15.75" customHeight="1" x14ac:dyDescent="0.25">
      <c r="A69" t="s">
        <v>76</v>
      </c>
      <c r="B69">
        <f t="shared" si="0"/>
        <v>31</v>
      </c>
      <c r="C69">
        <f t="shared" si="0"/>
        <v>31</v>
      </c>
      <c r="D69">
        <f t="shared" ref="D69:X69" si="3">D61</f>
        <v>37</v>
      </c>
      <c r="E69">
        <f t="shared" si="3"/>
        <v>52</v>
      </c>
      <c r="F69">
        <f t="shared" si="3"/>
        <v>30</v>
      </c>
      <c r="G69">
        <f t="shared" si="3"/>
        <v>31</v>
      </c>
      <c r="H69">
        <f t="shared" si="3"/>
        <v>31</v>
      </c>
      <c r="I69">
        <f t="shared" si="3"/>
        <v>45</v>
      </c>
      <c r="J69">
        <f t="shared" si="3"/>
        <v>49</v>
      </c>
      <c r="K69">
        <f t="shared" si="3"/>
        <v>30</v>
      </c>
      <c r="L69">
        <f t="shared" si="3"/>
        <v>24</v>
      </c>
      <c r="M69">
        <f t="shared" si="3"/>
        <v>21</v>
      </c>
      <c r="N69">
        <f t="shared" si="3"/>
        <v>28</v>
      </c>
      <c r="O69">
        <f t="shared" si="3"/>
        <v>27</v>
      </c>
      <c r="P69">
        <f t="shared" si="3"/>
        <v>13</v>
      </c>
      <c r="Q69">
        <f t="shared" si="3"/>
        <v>18</v>
      </c>
      <c r="R69">
        <f t="shared" si="3"/>
        <v>11</v>
      </c>
      <c r="S69">
        <f t="shared" si="3"/>
        <v>9</v>
      </c>
      <c r="T69">
        <f t="shared" si="3"/>
        <v>1</v>
      </c>
      <c r="U69">
        <f t="shared" si="3"/>
        <v>6</v>
      </c>
      <c r="V69">
        <f t="shared" si="3"/>
        <v>2</v>
      </c>
      <c r="W69">
        <f t="shared" si="3"/>
        <v>5</v>
      </c>
      <c r="X69">
        <f t="shared" si="3"/>
        <v>11</v>
      </c>
    </row>
    <row r="83" spans="1:1" ht="15.75" customHeight="1" x14ac:dyDescent="0.25">
      <c r="A83" s="2"/>
    </row>
    <row r="84" spans="1:1" ht="15.75" customHeight="1" x14ac:dyDescent="0.25">
      <c r="A84" t="s">
        <v>3718</v>
      </c>
    </row>
  </sheetData>
  <pageMargins left="0.7" right="0.7" top="0.75" bottom="0.75" header="0" footer="0"/>
  <pageSetup orientation="portrait"/>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6:Y66"/>
  <sheetViews>
    <sheetView topLeftCell="A58" workbookViewId="0">
      <selection activeCell="S78" sqref="S78"/>
    </sheetView>
  </sheetViews>
  <sheetFormatPr defaultColWidth="14.42578125" defaultRowHeight="15" customHeight="1" x14ac:dyDescent="0.25"/>
  <cols>
    <col min="1" max="1" width="23.42578125" customWidth="1"/>
    <col min="2" max="2" width="15.42578125" customWidth="1"/>
    <col min="3" max="24" width="5" customWidth="1"/>
    <col min="25" max="25" width="10.28515625" customWidth="1"/>
    <col min="26" max="26" width="8.7109375" customWidth="1"/>
  </cols>
  <sheetData>
    <row r="6" spans="1:17" hidden="1" x14ac:dyDescent="0.25">
      <c r="A6" s="2" t="s">
        <v>2854</v>
      </c>
    </row>
    <row r="7" spans="1:17" hidden="1" x14ac:dyDescent="0.25"/>
    <row r="8" spans="1:17" hidden="1" x14ac:dyDescent="0.25"/>
    <row r="9" spans="1:17" hidden="1" x14ac:dyDescent="0.25">
      <c r="A9" s="120" t="s">
        <v>10</v>
      </c>
      <c r="B9" s="119" t="s">
        <v>2827</v>
      </c>
    </row>
    <row r="10" spans="1:17" hidden="1" x14ac:dyDescent="0.25"/>
    <row r="11" spans="1:17" hidden="1" x14ac:dyDescent="0.25">
      <c r="A11" s="111" t="s">
        <v>2778</v>
      </c>
      <c r="B11" s="111" t="s">
        <v>8</v>
      </c>
      <c r="C11" s="112"/>
      <c r="D11" s="112"/>
      <c r="E11" s="112"/>
      <c r="F11" s="112"/>
      <c r="G11" s="112"/>
      <c r="H11" s="112"/>
      <c r="I11" s="112"/>
      <c r="J11" s="112"/>
      <c r="K11" s="112"/>
      <c r="L11" s="112"/>
      <c r="M11" s="112"/>
      <c r="N11" s="112"/>
      <c r="O11" s="112"/>
      <c r="P11" s="112"/>
      <c r="Q11" s="113"/>
    </row>
    <row r="12" spans="1:17" hidden="1" x14ac:dyDescent="0.25">
      <c r="A12" s="111" t="s">
        <v>15</v>
      </c>
      <c r="B12" s="114">
        <v>2003</v>
      </c>
      <c r="C12" s="115">
        <v>2004</v>
      </c>
      <c r="D12" s="115">
        <v>2005</v>
      </c>
      <c r="E12" s="115">
        <v>2006</v>
      </c>
      <c r="F12" s="115">
        <v>2007</v>
      </c>
      <c r="G12" s="115">
        <v>2008</v>
      </c>
      <c r="H12" s="115">
        <v>2009</v>
      </c>
      <c r="I12" s="115">
        <v>2010</v>
      </c>
      <c r="J12" s="115">
        <v>2011</v>
      </c>
      <c r="K12" s="115">
        <v>2012</v>
      </c>
      <c r="L12" s="115">
        <v>2013</v>
      </c>
      <c r="M12" s="115">
        <v>2014</v>
      </c>
      <c r="N12" s="115">
        <v>2015</v>
      </c>
      <c r="O12" s="115">
        <v>2016</v>
      </c>
      <c r="P12" s="115">
        <v>2017</v>
      </c>
      <c r="Q12" s="125">
        <v>2018</v>
      </c>
    </row>
    <row r="13" spans="1:17" hidden="1" x14ac:dyDescent="0.25">
      <c r="A13" s="114" t="s">
        <v>83</v>
      </c>
      <c r="B13" s="184">
        <v>61</v>
      </c>
      <c r="C13" s="185">
        <v>63</v>
      </c>
      <c r="D13" s="185">
        <v>65</v>
      </c>
      <c r="E13" s="185">
        <v>76</v>
      </c>
      <c r="F13" s="185">
        <v>78</v>
      </c>
      <c r="G13" s="185">
        <v>72</v>
      </c>
      <c r="H13" s="185">
        <v>81</v>
      </c>
      <c r="I13" s="185">
        <v>94</v>
      </c>
      <c r="J13" s="185">
        <v>56</v>
      </c>
      <c r="K13" s="185">
        <v>27</v>
      </c>
      <c r="L13" s="185">
        <v>34</v>
      </c>
      <c r="M13" s="185">
        <v>40</v>
      </c>
      <c r="N13" s="185">
        <v>53</v>
      </c>
      <c r="O13" s="185">
        <v>41</v>
      </c>
      <c r="P13" s="185">
        <v>32</v>
      </c>
      <c r="Q13" s="186">
        <v>36</v>
      </c>
    </row>
    <row r="14" spans="1:17" hidden="1" x14ac:dyDescent="0.25">
      <c r="A14" s="123" t="s">
        <v>101</v>
      </c>
      <c r="B14" s="190">
        <v>54</v>
      </c>
      <c r="C14" s="191">
        <v>69</v>
      </c>
      <c r="D14" s="191">
        <v>92</v>
      </c>
      <c r="E14" s="191">
        <v>63</v>
      </c>
      <c r="F14" s="191">
        <v>73</v>
      </c>
      <c r="G14" s="191">
        <v>58</v>
      </c>
      <c r="H14" s="191">
        <v>69</v>
      </c>
      <c r="I14" s="191">
        <v>78</v>
      </c>
      <c r="J14" s="191">
        <v>70</v>
      </c>
      <c r="K14" s="191">
        <v>65</v>
      </c>
      <c r="L14" s="191">
        <v>78</v>
      </c>
      <c r="M14" s="191">
        <v>84</v>
      </c>
      <c r="N14" s="191">
        <v>76</v>
      </c>
      <c r="O14" s="191">
        <v>63</v>
      </c>
      <c r="P14" s="191">
        <v>57</v>
      </c>
      <c r="Q14" s="192">
        <v>68</v>
      </c>
    </row>
    <row r="32" spans="1:1" ht="15.75" hidden="1" customHeight="1" x14ac:dyDescent="0.25">
      <c r="A32" s="2" t="s">
        <v>2855</v>
      </c>
    </row>
    <row r="34" spans="1:18" ht="15.75" hidden="1" customHeight="1" x14ac:dyDescent="0.25">
      <c r="A34" s="120" t="s">
        <v>10</v>
      </c>
      <c r="B34" s="119" t="s">
        <v>2827</v>
      </c>
    </row>
    <row r="35" spans="1:18" ht="15.75" hidden="1" customHeight="1" x14ac:dyDescent="0.25"/>
    <row r="36" spans="1:18" ht="15.75" hidden="1" customHeight="1" x14ac:dyDescent="0.25">
      <c r="A36" s="111" t="s">
        <v>2778</v>
      </c>
      <c r="B36" s="111" t="s">
        <v>8</v>
      </c>
      <c r="C36" s="112"/>
      <c r="D36" s="112"/>
      <c r="E36" s="112"/>
      <c r="F36" s="112"/>
      <c r="G36" s="112"/>
      <c r="H36" s="112"/>
      <c r="I36" s="112"/>
      <c r="J36" s="112"/>
      <c r="K36" s="112"/>
      <c r="L36" s="112"/>
      <c r="M36" s="112"/>
      <c r="N36" s="112"/>
      <c r="O36" s="112"/>
      <c r="P36" s="112"/>
      <c r="Q36" s="112"/>
      <c r="R36" s="113"/>
    </row>
    <row r="37" spans="1:18" ht="15.75" hidden="1" customHeight="1" x14ac:dyDescent="0.25">
      <c r="A37" s="111" t="s">
        <v>15</v>
      </c>
      <c r="B37" s="114">
        <v>2003</v>
      </c>
      <c r="C37" s="115">
        <v>2004</v>
      </c>
      <c r="D37" s="115">
        <v>2005</v>
      </c>
      <c r="E37" s="115">
        <v>2006</v>
      </c>
      <c r="F37" s="115">
        <v>2007</v>
      </c>
      <c r="G37" s="115">
        <v>2008</v>
      </c>
      <c r="H37" s="115">
        <v>2009</v>
      </c>
      <c r="I37" s="115">
        <v>2010</v>
      </c>
      <c r="J37" s="115">
        <v>2011</v>
      </c>
      <c r="K37" s="115">
        <v>2012</v>
      </c>
      <c r="L37" s="115">
        <v>2013</v>
      </c>
      <c r="M37" s="115">
        <v>2014</v>
      </c>
      <c r="N37" s="115">
        <v>2015</v>
      </c>
      <c r="O37" s="115">
        <v>2016</v>
      </c>
      <c r="P37" s="115">
        <v>2017</v>
      </c>
      <c r="Q37" s="115">
        <v>2018</v>
      </c>
      <c r="R37" s="125">
        <v>2019</v>
      </c>
    </row>
    <row r="38" spans="1:18" ht="15.75" hidden="1" customHeight="1" x14ac:dyDescent="0.25">
      <c r="A38" s="114" t="s">
        <v>83</v>
      </c>
      <c r="B38" s="184">
        <v>61</v>
      </c>
      <c r="C38" s="185">
        <v>63</v>
      </c>
      <c r="D38" s="185">
        <v>65</v>
      </c>
      <c r="E38" s="185">
        <v>76</v>
      </c>
      <c r="F38" s="185">
        <v>78</v>
      </c>
      <c r="G38" s="185">
        <v>72</v>
      </c>
      <c r="H38" s="185">
        <v>81</v>
      </c>
      <c r="I38" s="185">
        <v>94</v>
      </c>
      <c r="J38" s="185">
        <v>56</v>
      </c>
      <c r="K38" s="185">
        <v>27</v>
      </c>
      <c r="L38" s="185">
        <v>34</v>
      </c>
      <c r="M38" s="185">
        <v>40</v>
      </c>
      <c r="N38" s="185">
        <v>53</v>
      </c>
      <c r="O38" s="185">
        <v>41</v>
      </c>
      <c r="P38" s="185">
        <v>32</v>
      </c>
      <c r="Q38" s="185">
        <v>36</v>
      </c>
      <c r="R38" s="186">
        <v>42</v>
      </c>
    </row>
    <row r="39" spans="1:18" ht="15.75" hidden="1" customHeight="1" x14ac:dyDescent="0.25">
      <c r="A39" s="123" t="s">
        <v>101</v>
      </c>
      <c r="B39" s="190">
        <v>54</v>
      </c>
      <c r="C39" s="191">
        <v>69</v>
      </c>
      <c r="D39" s="191">
        <v>92</v>
      </c>
      <c r="E39" s="191">
        <v>63</v>
      </c>
      <c r="F39" s="191">
        <v>73</v>
      </c>
      <c r="G39" s="191">
        <v>58</v>
      </c>
      <c r="H39" s="191">
        <v>69</v>
      </c>
      <c r="I39" s="191">
        <v>78</v>
      </c>
      <c r="J39" s="191">
        <v>70</v>
      </c>
      <c r="K39" s="191">
        <v>65</v>
      </c>
      <c r="L39" s="191">
        <v>78</v>
      </c>
      <c r="M39" s="191">
        <v>84</v>
      </c>
      <c r="N39" s="191">
        <v>76</v>
      </c>
      <c r="O39" s="191">
        <v>63</v>
      </c>
      <c r="P39" s="191">
        <v>57</v>
      </c>
      <c r="Q39" s="191">
        <v>68</v>
      </c>
      <c r="R39" s="192">
        <v>63</v>
      </c>
    </row>
    <row r="58" spans="1:25" ht="15.75" customHeight="1" x14ac:dyDescent="0.25">
      <c r="A58" s="120" t="s">
        <v>2</v>
      </c>
      <c r="B58" s="119" t="s">
        <v>103</v>
      </c>
    </row>
    <row r="59" spans="1:25" x14ac:dyDescent="0.25">
      <c r="A59" s="120" t="s">
        <v>6</v>
      </c>
      <c r="B59" s="119" t="s">
        <v>56</v>
      </c>
    </row>
    <row r="60" spans="1:25" x14ac:dyDescent="0.25">
      <c r="A60" s="120" t="s">
        <v>10</v>
      </c>
      <c r="B60" s="119" t="s">
        <v>2827</v>
      </c>
    </row>
    <row r="61" spans="1:25" ht="15.75" customHeight="1" x14ac:dyDescent="0.25"/>
    <row r="62" spans="1:25" ht="15.75" customHeight="1" x14ac:dyDescent="0.25">
      <c r="A62" s="111" t="s">
        <v>2778</v>
      </c>
      <c r="B62" s="111" t="s">
        <v>8</v>
      </c>
      <c r="C62" s="112"/>
      <c r="D62" s="112"/>
      <c r="E62" s="112"/>
      <c r="F62" s="112"/>
      <c r="G62" s="112"/>
      <c r="H62" s="112"/>
      <c r="I62" s="112"/>
      <c r="J62" s="112"/>
      <c r="K62" s="112"/>
      <c r="L62" s="112"/>
      <c r="M62" s="112"/>
      <c r="N62" s="112"/>
      <c r="O62" s="112"/>
      <c r="P62" s="112"/>
      <c r="Q62" s="112"/>
      <c r="R62" s="112"/>
      <c r="S62" s="112"/>
      <c r="T62" s="112"/>
      <c r="U62" s="112"/>
      <c r="V62" s="112"/>
      <c r="W62" s="112"/>
      <c r="X62" s="112"/>
      <c r="Y62" s="113"/>
    </row>
    <row r="63" spans="1:25" x14ac:dyDescent="0.25">
      <c r="A63" s="111" t="s">
        <v>15</v>
      </c>
      <c r="B63" s="114">
        <v>2002</v>
      </c>
      <c r="C63" s="115">
        <v>2003</v>
      </c>
      <c r="D63" s="115">
        <v>2004</v>
      </c>
      <c r="E63" s="115">
        <v>2005</v>
      </c>
      <c r="F63" s="115">
        <v>2006</v>
      </c>
      <c r="G63" s="115">
        <v>2007</v>
      </c>
      <c r="H63" s="115">
        <v>2008</v>
      </c>
      <c r="I63" s="115">
        <v>2009</v>
      </c>
      <c r="J63" s="115">
        <v>2010</v>
      </c>
      <c r="K63" s="115">
        <v>2011</v>
      </c>
      <c r="L63" s="115">
        <v>2012</v>
      </c>
      <c r="M63" s="115">
        <v>2013</v>
      </c>
      <c r="N63" s="115">
        <v>2014</v>
      </c>
      <c r="O63" s="115">
        <v>2015</v>
      </c>
      <c r="P63" s="115">
        <v>2016</v>
      </c>
      <c r="Q63" s="115">
        <v>2017</v>
      </c>
      <c r="R63" s="115">
        <v>2018</v>
      </c>
      <c r="S63" s="115">
        <v>2019</v>
      </c>
      <c r="T63" s="115">
        <v>2020</v>
      </c>
      <c r="U63" s="115">
        <v>2021</v>
      </c>
      <c r="V63" s="115">
        <v>2022</v>
      </c>
      <c r="W63" s="115">
        <v>2023</v>
      </c>
      <c r="X63" s="115">
        <v>2024</v>
      </c>
      <c r="Y63" s="122" t="s">
        <v>2779</v>
      </c>
    </row>
    <row r="64" spans="1:25" x14ac:dyDescent="0.25">
      <c r="A64" s="114" t="s">
        <v>83</v>
      </c>
      <c r="B64" s="184">
        <v>13</v>
      </c>
      <c r="C64" s="185">
        <v>17</v>
      </c>
      <c r="D64" s="185">
        <v>19</v>
      </c>
      <c r="E64" s="185">
        <v>27</v>
      </c>
      <c r="F64" s="185">
        <v>20</v>
      </c>
      <c r="G64" s="185">
        <v>16</v>
      </c>
      <c r="H64" s="185">
        <v>13</v>
      </c>
      <c r="I64" s="185">
        <v>35</v>
      </c>
      <c r="J64" s="185">
        <v>27</v>
      </c>
      <c r="K64" s="185">
        <v>11</v>
      </c>
      <c r="L64" s="185">
        <v>2</v>
      </c>
      <c r="M64" s="185">
        <v>7</v>
      </c>
      <c r="N64" s="185">
        <v>7</v>
      </c>
      <c r="O64" s="185">
        <v>9</v>
      </c>
      <c r="P64" s="185">
        <v>4</v>
      </c>
      <c r="Q64" s="185">
        <v>5</v>
      </c>
      <c r="R64" s="185">
        <v>2</v>
      </c>
      <c r="S64" s="185">
        <v>2</v>
      </c>
      <c r="T64" s="185">
        <v>0</v>
      </c>
      <c r="U64" s="185">
        <v>4</v>
      </c>
      <c r="V64" s="185">
        <v>0</v>
      </c>
      <c r="W64" s="185">
        <v>3</v>
      </c>
      <c r="X64" s="185">
        <v>5</v>
      </c>
      <c r="Y64" s="199">
        <v>248</v>
      </c>
    </row>
    <row r="65" spans="1:25" x14ac:dyDescent="0.25">
      <c r="A65" s="117" t="s">
        <v>101</v>
      </c>
      <c r="B65" s="187">
        <v>18</v>
      </c>
      <c r="C65" s="188">
        <v>14</v>
      </c>
      <c r="D65" s="188">
        <v>18</v>
      </c>
      <c r="E65" s="188">
        <v>25</v>
      </c>
      <c r="F65" s="188">
        <v>10</v>
      </c>
      <c r="G65" s="188">
        <v>15</v>
      </c>
      <c r="H65" s="188">
        <v>18</v>
      </c>
      <c r="I65" s="188">
        <v>10</v>
      </c>
      <c r="J65" s="188">
        <v>22</v>
      </c>
      <c r="K65" s="188">
        <v>19</v>
      </c>
      <c r="L65" s="188">
        <v>22</v>
      </c>
      <c r="M65" s="188">
        <v>14</v>
      </c>
      <c r="N65" s="188">
        <v>21</v>
      </c>
      <c r="O65" s="188">
        <v>18</v>
      </c>
      <c r="P65" s="188">
        <v>9</v>
      </c>
      <c r="Q65" s="188">
        <v>13</v>
      </c>
      <c r="R65" s="188">
        <v>9</v>
      </c>
      <c r="S65" s="188">
        <v>7</v>
      </c>
      <c r="T65" s="188">
        <v>0</v>
      </c>
      <c r="U65" s="188">
        <v>0</v>
      </c>
      <c r="V65" s="188">
        <v>0</v>
      </c>
      <c r="W65" s="188">
        <v>2</v>
      </c>
      <c r="X65" s="188">
        <v>4</v>
      </c>
      <c r="Y65" s="200">
        <v>288</v>
      </c>
    </row>
    <row r="66" spans="1:25" x14ac:dyDescent="0.25">
      <c r="A66" s="121" t="s">
        <v>2779</v>
      </c>
      <c r="B66" s="196">
        <v>31</v>
      </c>
      <c r="C66" s="197">
        <v>31</v>
      </c>
      <c r="D66" s="197">
        <v>37</v>
      </c>
      <c r="E66" s="197">
        <v>52</v>
      </c>
      <c r="F66" s="197">
        <v>30</v>
      </c>
      <c r="G66" s="197">
        <v>31</v>
      </c>
      <c r="H66" s="197">
        <v>31</v>
      </c>
      <c r="I66" s="197">
        <v>45</v>
      </c>
      <c r="J66" s="197">
        <v>49</v>
      </c>
      <c r="K66" s="197">
        <v>30</v>
      </c>
      <c r="L66" s="197">
        <v>24</v>
      </c>
      <c r="M66" s="197">
        <v>21</v>
      </c>
      <c r="N66" s="197">
        <v>28</v>
      </c>
      <c r="O66" s="197">
        <v>27</v>
      </c>
      <c r="P66" s="197">
        <v>13</v>
      </c>
      <c r="Q66" s="197">
        <v>18</v>
      </c>
      <c r="R66" s="197">
        <v>11</v>
      </c>
      <c r="S66" s="197">
        <v>9</v>
      </c>
      <c r="T66" s="197">
        <v>0</v>
      </c>
      <c r="U66" s="197">
        <v>4</v>
      </c>
      <c r="V66" s="197">
        <v>0</v>
      </c>
      <c r="W66" s="197">
        <v>5</v>
      </c>
      <c r="X66" s="197">
        <v>9</v>
      </c>
      <c r="Y66" s="198">
        <v>536</v>
      </c>
    </row>
  </sheetData>
  <pageMargins left="0.7" right="0.7" top="0.75" bottom="0.75" header="0" footer="0"/>
  <pageSetup orientation="portrait"/>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Y62"/>
  <sheetViews>
    <sheetView topLeftCell="A53" workbookViewId="0">
      <selection activeCell="O73" sqref="O73"/>
    </sheetView>
  </sheetViews>
  <sheetFormatPr defaultColWidth="14.42578125" defaultRowHeight="15" customHeight="1" x14ac:dyDescent="0.25"/>
  <cols>
    <col min="1" max="1" width="23.42578125" customWidth="1"/>
    <col min="2" max="2" width="15.42578125" customWidth="1"/>
    <col min="3" max="24" width="5" customWidth="1"/>
    <col min="25" max="25" width="11" customWidth="1"/>
    <col min="26" max="26" width="8.7109375" customWidth="1"/>
  </cols>
  <sheetData>
    <row r="1" spans="1:17" hidden="1" x14ac:dyDescent="0.25">
      <c r="A1" s="2" t="s">
        <v>2859</v>
      </c>
    </row>
    <row r="2" spans="1:17" hidden="1" x14ac:dyDescent="0.25">
      <c r="A2" s="3"/>
    </row>
    <row r="3" spans="1:17" hidden="1" x14ac:dyDescent="0.25"/>
    <row r="4" spans="1:17" hidden="1" x14ac:dyDescent="0.25">
      <c r="A4" s="111" t="s">
        <v>2778</v>
      </c>
      <c r="B4" s="111" t="s">
        <v>8</v>
      </c>
      <c r="C4" s="112"/>
      <c r="D4" s="112"/>
      <c r="E4" s="112"/>
      <c r="F4" s="112"/>
      <c r="G4" s="112"/>
      <c r="H4" s="112"/>
      <c r="I4" s="112"/>
      <c r="J4" s="112"/>
      <c r="K4" s="112"/>
      <c r="L4" s="112"/>
      <c r="M4" s="112"/>
      <c r="N4" s="112"/>
      <c r="O4" s="112"/>
      <c r="P4" s="112"/>
      <c r="Q4" s="113"/>
    </row>
    <row r="5" spans="1:17" hidden="1" x14ac:dyDescent="0.25">
      <c r="A5" s="111" t="s">
        <v>1</v>
      </c>
      <c r="B5" s="114">
        <v>2003</v>
      </c>
      <c r="C5" s="115">
        <v>2004</v>
      </c>
      <c r="D5" s="115">
        <v>2005</v>
      </c>
      <c r="E5" s="115">
        <v>2006</v>
      </c>
      <c r="F5" s="115">
        <v>2007</v>
      </c>
      <c r="G5" s="115">
        <v>2008</v>
      </c>
      <c r="H5" s="115">
        <v>2009</v>
      </c>
      <c r="I5" s="115">
        <v>2010</v>
      </c>
      <c r="J5" s="115">
        <v>2011</v>
      </c>
      <c r="K5" s="115">
        <v>2012</v>
      </c>
      <c r="L5" s="115">
        <v>2013</v>
      </c>
      <c r="M5" s="115">
        <v>2014</v>
      </c>
      <c r="N5" s="115">
        <v>2015</v>
      </c>
      <c r="O5" s="115">
        <v>2016</v>
      </c>
      <c r="P5" s="115">
        <v>2017</v>
      </c>
      <c r="Q5" s="125">
        <v>2018</v>
      </c>
    </row>
    <row r="6" spans="1:17" hidden="1" x14ac:dyDescent="0.25">
      <c r="A6" s="114" t="s">
        <v>307</v>
      </c>
      <c r="B6" s="184">
        <v>3</v>
      </c>
      <c r="C6" s="185">
        <v>4</v>
      </c>
      <c r="D6" s="185">
        <v>5</v>
      </c>
      <c r="E6" s="185">
        <v>5</v>
      </c>
      <c r="F6" s="185">
        <v>8</v>
      </c>
      <c r="G6" s="185">
        <v>2</v>
      </c>
      <c r="H6" s="185">
        <v>9</v>
      </c>
      <c r="I6" s="185">
        <v>13</v>
      </c>
      <c r="J6" s="185">
        <v>10</v>
      </c>
      <c r="K6" s="185">
        <v>12</v>
      </c>
      <c r="L6" s="185">
        <v>15</v>
      </c>
      <c r="M6" s="185">
        <v>26</v>
      </c>
      <c r="N6" s="185">
        <v>44</v>
      </c>
      <c r="O6" s="185">
        <v>38</v>
      </c>
      <c r="P6" s="185">
        <v>50</v>
      </c>
      <c r="Q6" s="186">
        <v>39</v>
      </c>
    </row>
    <row r="7" spans="1:17" hidden="1" x14ac:dyDescent="0.25">
      <c r="A7" s="117" t="s">
        <v>26</v>
      </c>
      <c r="B7" s="187">
        <v>4</v>
      </c>
      <c r="C7" s="188">
        <v>1</v>
      </c>
      <c r="D7" s="188">
        <v>4</v>
      </c>
      <c r="E7" s="188">
        <v>3</v>
      </c>
      <c r="F7" s="188">
        <v>6</v>
      </c>
      <c r="G7" s="188">
        <v>1</v>
      </c>
      <c r="H7" s="188">
        <v>18</v>
      </c>
      <c r="I7" s="188">
        <v>31</v>
      </c>
      <c r="J7" s="188">
        <v>22</v>
      </c>
      <c r="K7" s="188">
        <v>17</v>
      </c>
      <c r="L7" s="188">
        <v>39</v>
      </c>
      <c r="M7" s="188">
        <v>39</v>
      </c>
      <c r="N7" s="188">
        <v>39</v>
      </c>
      <c r="O7" s="188">
        <v>23</v>
      </c>
      <c r="P7" s="188">
        <v>50</v>
      </c>
      <c r="Q7" s="189">
        <v>33</v>
      </c>
    </row>
    <row r="8" spans="1:17" hidden="1" x14ac:dyDescent="0.25">
      <c r="A8" s="123" t="s">
        <v>76</v>
      </c>
      <c r="B8" s="190">
        <v>115</v>
      </c>
      <c r="C8" s="191">
        <v>132</v>
      </c>
      <c r="D8" s="191">
        <v>157</v>
      </c>
      <c r="E8" s="191">
        <v>139</v>
      </c>
      <c r="F8" s="191">
        <v>151</v>
      </c>
      <c r="G8" s="191">
        <v>130</v>
      </c>
      <c r="H8" s="191">
        <v>150</v>
      </c>
      <c r="I8" s="191">
        <v>172</v>
      </c>
      <c r="J8" s="191">
        <v>126</v>
      </c>
      <c r="K8" s="191">
        <v>92</v>
      </c>
      <c r="L8" s="191">
        <v>112</v>
      </c>
      <c r="M8" s="191">
        <v>124</v>
      </c>
      <c r="N8" s="191">
        <v>129</v>
      </c>
      <c r="O8" s="191">
        <v>104</v>
      </c>
      <c r="P8" s="191">
        <v>89</v>
      </c>
      <c r="Q8" s="192">
        <v>104</v>
      </c>
    </row>
    <row r="27" spans="1:18" ht="15.75" hidden="1" customHeight="1" x14ac:dyDescent="0.25">
      <c r="A27" s="2" t="s">
        <v>2860</v>
      </c>
    </row>
    <row r="28" spans="1:18" ht="15.75" hidden="1" customHeight="1" x14ac:dyDescent="0.25"/>
    <row r="29" spans="1:18" ht="15.75" hidden="1" customHeight="1" x14ac:dyDescent="0.25">
      <c r="A29" s="3"/>
    </row>
    <row r="30" spans="1:18" ht="15.75" hidden="1" customHeight="1" x14ac:dyDescent="0.25"/>
    <row r="31" spans="1:18" ht="15.75" hidden="1" customHeight="1" x14ac:dyDescent="0.25">
      <c r="A31" s="111" t="s">
        <v>2778</v>
      </c>
      <c r="B31" s="111" t="s">
        <v>8</v>
      </c>
      <c r="C31" s="112"/>
      <c r="D31" s="112"/>
      <c r="E31" s="112"/>
      <c r="F31" s="112"/>
      <c r="G31" s="112"/>
      <c r="H31" s="112"/>
      <c r="I31" s="112"/>
      <c r="J31" s="112"/>
      <c r="K31" s="112"/>
      <c r="L31" s="112"/>
      <c r="M31" s="112"/>
      <c r="N31" s="112"/>
      <c r="O31" s="112"/>
      <c r="P31" s="112"/>
      <c r="Q31" s="112"/>
      <c r="R31" s="113"/>
    </row>
    <row r="32" spans="1:18" ht="15.75" hidden="1" customHeight="1" x14ac:dyDescent="0.25">
      <c r="A32" s="111" t="s">
        <v>1</v>
      </c>
      <c r="B32" s="114">
        <v>2003</v>
      </c>
      <c r="C32" s="115">
        <v>2004</v>
      </c>
      <c r="D32" s="115">
        <v>2005</v>
      </c>
      <c r="E32" s="115">
        <v>2006</v>
      </c>
      <c r="F32" s="115">
        <v>2007</v>
      </c>
      <c r="G32" s="115">
        <v>2008</v>
      </c>
      <c r="H32" s="115">
        <v>2009</v>
      </c>
      <c r="I32" s="115">
        <v>2010</v>
      </c>
      <c r="J32" s="115">
        <v>2011</v>
      </c>
      <c r="K32" s="115">
        <v>2012</v>
      </c>
      <c r="L32" s="115">
        <v>2013</v>
      </c>
      <c r="M32" s="115">
        <v>2014</v>
      </c>
      <c r="N32" s="115">
        <v>2015</v>
      </c>
      <c r="O32" s="115">
        <v>2016</v>
      </c>
      <c r="P32" s="115">
        <v>2017</v>
      </c>
      <c r="Q32" s="115">
        <v>2018</v>
      </c>
      <c r="R32" s="125">
        <v>2019</v>
      </c>
    </row>
    <row r="33" spans="1:18" ht="15.75" hidden="1" customHeight="1" x14ac:dyDescent="0.25">
      <c r="A33" s="114" t="s">
        <v>307</v>
      </c>
      <c r="B33" s="184">
        <v>3</v>
      </c>
      <c r="C33" s="185">
        <v>4</v>
      </c>
      <c r="D33" s="185">
        <v>5</v>
      </c>
      <c r="E33" s="185">
        <v>5</v>
      </c>
      <c r="F33" s="185">
        <v>8</v>
      </c>
      <c r="G33" s="185">
        <v>2</v>
      </c>
      <c r="H33" s="185">
        <v>9</v>
      </c>
      <c r="I33" s="185">
        <v>13</v>
      </c>
      <c r="J33" s="185">
        <v>10</v>
      </c>
      <c r="K33" s="185">
        <v>12</v>
      </c>
      <c r="L33" s="185">
        <v>15</v>
      </c>
      <c r="M33" s="185">
        <v>26</v>
      </c>
      <c r="N33" s="185">
        <v>44</v>
      </c>
      <c r="O33" s="185">
        <v>38</v>
      </c>
      <c r="P33" s="185">
        <v>50</v>
      </c>
      <c r="Q33" s="185">
        <v>39</v>
      </c>
      <c r="R33" s="186">
        <v>42</v>
      </c>
    </row>
    <row r="34" spans="1:18" ht="15.75" hidden="1" customHeight="1" x14ac:dyDescent="0.25">
      <c r="A34" s="117" t="s">
        <v>26</v>
      </c>
      <c r="B34" s="187">
        <v>4</v>
      </c>
      <c r="C34" s="188">
        <v>1</v>
      </c>
      <c r="D34" s="188">
        <v>4</v>
      </c>
      <c r="E34" s="188">
        <v>3</v>
      </c>
      <c r="F34" s="188">
        <v>6</v>
      </c>
      <c r="G34" s="188">
        <v>1</v>
      </c>
      <c r="H34" s="188">
        <v>18</v>
      </c>
      <c r="I34" s="188">
        <v>31</v>
      </c>
      <c r="J34" s="188">
        <v>22</v>
      </c>
      <c r="K34" s="188">
        <v>17</v>
      </c>
      <c r="L34" s="188">
        <v>39</v>
      </c>
      <c r="M34" s="188">
        <v>39</v>
      </c>
      <c r="N34" s="188">
        <v>39</v>
      </c>
      <c r="O34" s="188">
        <v>23</v>
      </c>
      <c r="P34" s="188">
        <v>50</v>
      </c>
      <c r="Q34" s="188">
        <v>33</v>
      </c>
      <c r="R34" s="189">
        <v>22</v>
      </c>
    </row>
    <row r="35" spans="1:18" ht="15.75" hidden="1" customHeight="1" x14ac:dyDescent="0.25">
      <c r="A35" s="123" t="s">
        <v>76</v>
      </c>
      <c r="B35" s="190">
        <v>115</v>
      </c>
      <c r="C35" s="191">
        <v>132</v>
      </c>
      <c r="D35" s="191">
        <v>157</v>
      </c>
      <c r="E35" s="191">
        <v>139</v>
      </c>
      <c r="F35" s="191">
        <v>151</v>
      </c>
      <c r="G35" s="191">
        <v>130</v>
      </c>
      <c r="H35" s="191">
        <v>150</v>
      </c>
      <c r="I35" s="191">
        <v>172</v>
      </c>
      <c r="J35" s="191">
        <v>126</v>
      </c>
      <c r="K35" s="191">
        <v>92</v>
      </c>
      <c r="L35" s="191">
        <v>112</v>
      </c>
      <c r="M35" s="191">
        <v>124</v>
      </c>
      <c r="N35" s="191">
        <v>129</v>
      </c>
      <c r="O35" s="191">
        <v>104</v>
      </c>
      <c r="P35" s="191">
        <v>89</v>
      </c>
      <c r="Q35" s="191">
        <v>104</v>
      </c>
      <c r="R35" s="192">
        <v>105</v>
      </c>
    </row>
    <row r="53" spans="1:25" ht="15.75" customHeight="1" x14ac:dyDescent="0.25">
      <c r="A53" s="12" t="s">
        <v>3134</v>
      </c>
    </row>
    <row r="54" spans="1:25" ht="15.75" customHeight="1" x14ac:dyDescent="0.25"/>
    <row r="55" spans="1:25" x14ac:dyDescent="0.25">
      <c r="A55" s="120" t="s">
        <v>6</v>
      </c>
      <c r="B55" s="119" t="s">
        <v>47</v>
      </c>
    </row>
    <row r="56" spans="1:25" ht="15.75" customHeight="1" x14ac:dyDescent="0.25"/>
    <row r="57" spans="1:25" ht="15.75" customHeight="1" x14ac:dyDescent="0.25">
      <c r="A57" s="111" t="s">
        <v>2778</v>
      </c>
      <c r="B57" s="111" t="s">
        <v>8</v>
      </c>
      <c r="C57" s="112"/>
      <c r="D57" s="112"/>
      <c r="E57" s="112"/>
      <c r="F57" s="112"/>
      <c r="G57" s="112"/>
      <c r="H57" s="112"/>
      <c r="I57" s="112"/>
      <c r="J57" s="112"/>
      <c r="K57" s="112"/>
      <c r="L57" s="112"/>
      <c r="M57" s="112"/>
      <c r="N57" s="112"/>
      <c r="O57" s="112"/>
      <c r="P57" s="112"/>
      <c r="Q57" s="112"/>
      <c r="R57" s="112"/>
      <c r="S57" s="112"/>
      <c r="T57" s="112"/>
      <c r="U57" s="112"/>
      <c r="V57" s="112"/>
      <c r="W57" s="112"/>
      <c r="X57" s="112"/>
      <c r="Y57" s="113"/>
    </row>
    <row r="58" spans="1:25" x14ac:dyDescent="0.25">
      <c r="A58" s="111" t="s">
        <v>1</v>
      </c>
      <c r="B58" s="114">
        <v>2002</v>
      </c>
      <c r="C58" s="115">
        <v>2003</v>
      </c>
      <c r="D58" s="115">
        <v>2004</v>
      </c>
      <c r="E58" s="115">
        <v>2005</v>
      </c>
      <c r="F58" s="115">
        <v>2006</v>
      </c>
      <c r="G58" s="115">
        <v>2007</v>
      </c>
      <c r="H58" s="115">
        <v>2008</v>
      </c>
      <c r="I58" s="115">
        <v>2009</v>
      </c>
      <c r="J58" s="115">
        <v>2010</v>
      </c>
      <c r="K58" s="115">
        <v>2011</v>
      </c>
      <c r="L58" s="115">
        <v>2012</v>
      </c>
      <c r="M58" s="115">
        <v>2013</v>
      </c>
      <c r="N58" s="115">
        <v>2014</v>
      </c>
      <c r="O58" s="115">
        <v>2015</v>
      </c>
      <c r="P58" s="115">
        <v>2016</v>
      </c>
      <c r="Q58" s="115">
        <v>2017</v>
      </c>
      <c r="R58" s="115">
        <v>2018</v>
      </c>
      <c r="S58" s="115">
        <v>2019</v>
      </c>
      <c r="T58" s="115">
        <v>2020</v>
      </c>
      <c r="U58" s="115">
        <v>2021</v>
      </c>
      <c r="V58" s="115">
        <v>2022</v>
      </c>
      <c r="W58" s="115">
        <v>2023</v>
      </c>
      <c r="X58" s="115">
        <v>2024</v>
      </c>
      <c r="Y58" s="122" t="s">
        <v>2779</v>
      </c>
    </row>
    <row r="59" spans="1:25" x14ac:dyDescent="0.25">
      <c r="A59" s="114" t="s">
        <v>307</v>
      </c>
      <c r="B59" s="184">
        <v>0</v>
      </c>
      <c r="C59" s="185">
        <v>0</v>
      </c>
      <c r="D59" s="185">
        <v>0</v>
      </c>
      <c r="E59" s="185">
        <v>1</v>
      </c>
      <c r="F59" s="185">
        <v>1</v>
      </c>
      <c r="G59" s="185">
        <v>0</v>
      </c>
      <c r="H59" s="185">
        <v>0</v>
      </c>
      <c r="I59" s="185">
        <v>0</v>
      </c>
      <c r="J59" s="185">
        <v>0</v>
      </c>
      <c r="K59" s="185">
        <v>0</v>
      </c>
      <c r="L59" s="185">
        <v>1</v>
      </c>
      <c r="M59" s="185">
        <v>2</v>
      </c>
      <c r="N59" s="185">
        <v>2</v>
      </c>
      <c r="O59" s="185">
        <v>4</v>
      </c>
      <c r="P59" s="185">
        <v>2</v>
      </c>
      <c r="Q59" s="185">
        <v>3</v>
      </c>
      <c r="R59" s="185">
        <v>1</v>
      </c>
      <c r="S59" s="185">
        <v>1</v>
      </c>
      <c r="T59" s="185">
        <v>1</v>
      </c>
      <c r="U59" s="185">
        <v>0</v>
      </c>
      <c r="V59" s="185">
        <v>0</v>
      </c>
      <c r="W59" s="185">
        <v>0</v>
      </c>
      <c r="X59" s="185">
        <v>0</v>
      </c>
      <c r="Y59" s="199">
        <v>19</v>
      </c>
    </row>
    <row r="60" spans="1:25" x14ac:dyDescent="0.25">
      <c r="A60" s="117" t="s">
        <v>26</v>
      </c>
      <c r="B60" s="187">
        <v>0</v>
      </c>
      <c r="C60" s="188">
        <v>1</v>
      </c>
      <c r="D60" s="188">
        <v>0</v>
      </c>
      <c r="E60" s="188">
        <v>0</v>
      </c>
      <c r="F60" s="188">
        <v>2</v>
      </c>
      <c r="G60" s="188">
        <v>0</v>
      </c>
      <c r="H60" s="188">
        <v>0</v>
      </c>
      <c r="I60" s="188">
        <v>0</v>
      </c>
      <c r="J60" s="188">
        <v>0</v>
      </c>
      <c r="K60" s="188">
        <v>0</v>
      </c>
      <c r="L60" s="188">
        <v>0</v>
      </c>
      <c r="M60" s="188">
        <v>1</v>
      </c>
      <c r="N60" s="188">
        <v>0</v>
      </c>
      <c r="O60" s="188">
        <v>5</v>
      </c>
      <c r="P60" s="188">
        <v>1</v>
      </c>
      <c r="Q60" s="188">
        <v>0</v>
      </c>
      <c r="R60" s="188">
        <v>0</v>
      </c>
      <c r="S60" s="188">
        <v>0</v>
      </c>
      <c r="T60" s="188">
        <v>0</v>
      </c>
      <c r="U60" s="188">
        <v>0</v>
      </c>
      <c r="V60" s="188">
        <v>0</v>
      </c>
      <c r="W60" s="188">
        <v>0</v>
      </c>
      <c r="X60" s="188">
        <v>0</v>
      </c>
      <c r="Y60" s="200">
        <v>10</v>
      </c>
    </row>
    <row r="61" spans="1:25" x14ac:dyDescent="0.25">
      <c r="A61" s="117" t="s">
        <v>76</v>
      </c>
      <c r="B61" s="187">
        <v>9</v>
      </c>
      <c r="C61" s="188">
        <v>7</v>
      </c>
      <c r="D61" s="188">
        <v>6</v>
      </c>
      <c r="E61" s="188">
        <v>7</v>
      </c>
      <c r="F61" s="188">
        <v>6</v>
      </c>
      <c r="G61" s="188">
        <v>10</v>
      </c>
      <c r="H61" s="188">
        <v>9</v>
      </c>
      <c r="I61" s="188">
        <v>5</v>
      </c>
      <c r="J61" s="188">
        <v>5</v>
      </c>
      <c r="K61" s="188">
        <v>8</v>
      </c>
      <c r="L61" s="188">
        <v>7</v>
      </c>
      <c r="M61" s="188">
        <v>8</v>
      </c>
      <c r="N61" s="188">
        <v>10</v>
      </c>
      <c r="O61" s="188">
        <v>7</v>
      </c>
      <c r="P61" s="188">
        <v>7</v>
      </c>
      <c r="Q61" s="188">
        <v>4</v>
      </c>
      <c r="R61" s="188">
        <v>5</v>
      </c>
      <c r="S61" s="188">
        <v>4</v>
      </c>
      <c r="T61" s="188">
        <v>4</v>
      </c>
      <c r="U61" s="188">
        <v>1</v>
      </c>
      <c r="V61" s="188">
        <v>4</v>
      </c>
      <c r="W61" s="188">
        <v>1</v>
      </c>
      <c r="X61" s="188">
        <v>3</v>
      </c>
      <c r="Y61" s="200">
        <v>137</v>
      </c>
    </row>
    <row r="62" spans="1:25" x14ac:dyDescent="0.25">
      <c r="A62" s="121" t="s">
        <v>2779</v>
      </c>
      <c r="B62" s="196">
        <v>9</v>
      </c>
      <c r="C62" s="197">
        <v>8</v>
      </c>
      <c r="D62" s="197">
        <v>6</v>
      </c>
      <c r="E62" s="197">
        <v>8</v>
      </c>
      <c r="F62" s="197">
        <v>9</v>
      </c>
      <c r="G62" s="197">
        <v>10</v>
      </c>
      <c r="H62" s="197">
        <v>9</v>
      </c>
      <c r="I62" s="197">
        <v>5</v>
      </c>
      <c r="J62" s="197">
        <v>5</v>
      </c>
      <c r="K62" s="197">
        <v>8</v>
      </c>
      <c r="L62" s="197">
        <v>8</v>
      </c>
      <c r="M62" s="197">
        <v>11</v>
      </c>
      <c r="N62" s="197">
        <v>12</v>
      </c>
      <c r="O62" s="197">
        <v>16</v>
      </c>
      <c r="P62" s="197">
        <v>10</v>
      </c>
      <c r="Q62" s="197">
        <v>7</v>
      </c>
      <c r="R62" s="197">
        <v>6</v>
      </c>
      <c r="S62" s="197">
        <v>5</v>
      </c>
      <c r="T62" s="197">
        <v>5</v>
      </c>
      <c r="U62" s="197">
        <v>1</v>
      </c>
      <c r="V62" s="197">
        <v>4</v>
      </c>
      <c r="W62" s="197">
        <v>1</v>
      </c>
      <c r="X62" s="197">
        <v>3</v>
      </c>
      <c r="Y62" s="198">
        <v>166</v>
      </c>
    </row>
  </sheetData>
  <pageMargins left="0.7" right="0.7" top="0.75" bottom="0.75" header="0" footer="0"/>
  <pageSetup orientation="portrait"/>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6:Y66"/>
  <sheetViews>
    <sheetView topLeftCell="A58" workbookViewId="0"/>
  </sheetViews>
  <sheetFormatPr defaultColWidth="14.42578125" defaultRowHeight="15" customHeight="1" x14ac:dyDescent="0.25"/>
  <cols>
    <col min="1" max="1" width="23.42578125" customWidth="1"/>
    <col min="2" max="2" width="15.42578125" customWidth="1"/>
    <col min="3" max="24" width="5" customWidth="1"/>
    <col min="25" max="25" width="12.28515625" customWidth="1"/>
    <col min="26" max="26" width="8.7109375" customWidth="1"/>
  </cols>
  <sheetData>
    <row r="6" spans="1:17" hidden="1" x14ac:dyDescent="0.25">
      <c r="A6" s="2" t="s">
        <v>2861</v>
      </c>
    </row>
    <row r="7" spans="1:17" hidden="1" x14ac:dyDescent="0.25"/>
    <row r="8" spans="1:17" hidden="1" x14ac:dyDescent="0.25">
      <c r="A8" s="3"/>
    </row>
    <row r="9" spans="1:17" hidden="1" x14ac:dyDescent="0.25">
      <c r="A9" s="120" t="s">
        <v>10</v>
      </c>
      <c r="B9" s="119" t="s">
        <v>2827</v>
      </c>
    </row>
    <row r="10" spans="1:17" hidden="1" x14ac:dyDescent="0.25"/>
    <row r="11" spans="1:17" hidden="1" x14ac:dyDescent="0.25">
      <c r="A11" s="111" t="s">
        <v>2778</v>
      </c>
      <c r="B11" s="111" t="s">
        <v>8</v>
      </c>
      <c r="C11" s="112"/>
      <c r="D11" s="112"/>
      <c r="E11" s="112"/>
      <c r="F11" s="112"/>
      <c r="G11" s="112"/>
      <c r="H11" s="112"/>
      <c r="I11" s="112"/>
      <c r="J11" s="112"/>
      <c r="K11" s="112"/>
      <c r="L11" s="112"/>
      <c r="M11" s="112"/>
      <c r="N11" s="112"/>
      <c r="O11" s="112"/>
      <c r="P11" s="112"/>
      <c r="Q11" s="113"/>
    </row>
    <row r="12" spans="1:17" hidden="1" x14ac:dyDescent="0.25">
      <c r="A12" s="111" t="s">
        <v>15</v>
      </c>
      <c r="B12" s="114">
        <v>2003</v>
      </c>
      <c r="C12" s="115">
        <v>2004</v>
      </c>
      <c r="D12" s="115">
        <v>2005</v>
      </c>
      <c r="E12" s="115">
        <v>2006</v>
      </c>
      <c r="F12" s="115">
        <v>2007</v>
      </c>
      <c r="G12" s="115">
        <v>2008</v>
      </c>
      <c r="H12" s="115">
        <v>2009</v>
      </c>
      <c r="I12" s="115">
        <v>2010</v>
      </c>
      <c r="J12" s="115">
        <v>2011</v>
      </c>
      <c r="K12" s="115">
        <v>2012</v>
      </c>
      <c r="L12" s="115">
        <v>2013</v>
      </c>
      <c r="M12" s="115">
        <v>2014</v>
      </c>
      <c r="N12" s="115">
        <v>2015</v>
      </c>
      <c r="O12" s="115">
        <v>2016</v>
      </c>
      <c r="P12" s="115">
        <v>2017</v>
      </c>
      <c r="Q12" s="125">
        <v>2018</v>
      </c>
    </row>
    <row r="13" spans="1:17" hidden="1" x14ac:dyDescent="0.25">
      <c r="A13" s="114" t="s">
        <v>83</v>
      </c>
      <c r="B13" s="184">
        <v>61</v>
      </c>
      <c r="C13" s="185">
        <v>63</v>
      </c>
      <c r="D13" s="185">
        <v>65</v>
      </c>
      <c r="E13" s="185">
        <v>76</v>
      </c>
      <c r="F13" s="185">
        <v>78</v>
      </c>
      <c r="G13" s="185">
        <v>72</v>
      </c>
      <c r="H13" s="185">
        <v>81</v>
      </c>
      <c r="I13" s="185">
        <v>94</v>
      </c>
      <c r="J13" s="185">
        <v>56</v>
      </c>
      <c r="K13" s="185">
        <v>27</v>
      </c>
      <c r="L13" s="185">
        <v>34</v>
      </c>
      <c r="M13" s="185">
        <v>40</v>
      </c>
      <c r="N13" s="185">
        <v>53</v>
      </c>
      <c r="O13" s="185">
        <v>41</v>
      </c>
      <c r="P13" s="185">
        <v>32</v>
      </c>
      <c r="Q13" s="186">
        <v>36</v>
      </c>
    </row>
    <row r="14" spans="1:17" hidden="1" x14ac:dyDescent="0.25">
      <c r="A14" s="123" t="s">
        <v>101</v>
      </c>
      <c r="B14" s="190">
        <v>54</v>
      </c>
      <c r="C14" s="191">
        <v>69</v>
      </c>
      <c r="D14" s="191">
        <v>92</v>
      </c>
      <c r="E14" s="191">
        <v>63</v>
      </c>
      <c r="F14" s="191">
        <v>73</v>
      </c>
      <c r="G14" s="191">
        <v>58</v>
      </c>
      <c r="H14" s="191">
        <v>69</v>
      </c>
      <c r="I14" s="191">
        <v>78</v>
      </c>
      <c r="J14" s="191">
        <v>70</v>
      </c>
      <c r="K14" s="191">
        <v>65</v>
      </c>
      <c r="L14" s="191">
        <v>78</v>
      </c>
      <c r="M14" s="191">
        <v>84</v>
      </c>
      <c r="N14" s="191">
        <v>76</v>
      </c>
      <c r="O14" s="191">
        <v>63</v>
      </c>
      <c r="P14" s="191">
        <v>57</v>
      </c>
      <c r="Q14" s="192">
        <v>68</v>
      </c>
    </row>
    <row r="32" spans="1:1" ht="15.75" hidden="1" customHeight="1" x14ac:dyDescent="0.25">
      <c r="A32" s="2" t="s">
        <v>2862</v>
      </c>
    </row>
    <row r="34" spans="1:18" hidden="1" x14ac:dyDescent="0.25">
      <c r="A34" s="120" t="s">
        <v>10</v>
      </c>
      <c r="B34" s="119" t="s">
        <v>2827</v>
      </c>
    </row>
    <row r="35" spans="1:18" ht="15.75" hidden="1" customHeight="1" x14ac:dyDescent="0.25"/>
    <row r="36" spans="1:18" ht="15.75" hidden="1" customHeight="1" x14ac:dyDescent="0.25">
      <c r="A36" s="111" t="s">
        <v>2778</v>
      </c>
      <c r="B36" s="111" t="s">
        <v>8</v>
      </c>
      <c r="C36" s="112"/>
      <c r="D36" s="112"/>
      <c r="E36" s="112"/>
      <c r="F36" s="112"/>
      <c r="G36" s="112"/>
      <c r="H36" s="112"/>
      <c r="I36" s="112"/>
      <c r="J36" s="112"/>
      <c r="K36" s="112"/>
      <c r="L36" s="112"/>
      <c r="M36" s="112"/>
      <c r="N36" s="112"/>
      <c r="O36" s="112"/>
      <c r="P36" s="112"/>
      <c r="Q36" s="112"/>
      <c r="R36" s="113"/>
    </row>
    <row r="37" spans="1:18" ht="15.75" hidden="1" customHeight="1" x14ac:dyDescent="0.25">
      <c r="A37" s="111" t="s">
        <v>15</v>
      </c>
      <c r="B37" s="114">
        <v>2003</v>
      </c>
      <c r="C37" s="115">
        <v>2004</v>
      </c>
      <c r="D37" s="115">
        <v>2005</v>
      </c>
      <c r="E37" s="115">
        <v>2006</v>
      </c>
      <c r="F37" s="115">
        <v>2007</v>
      </c>
      <c r="G37" s="115">
        <v>2008</v>
      </c>
      <c r="H37" s="115">
        <v>2009</v>
      </c>
      <c r="I37" s="115">
        <v>2010</v>
      </c>
      <c r="J37" s="115">
        <v>2011</v>
      </c>
      <c r="K37" s="115">
        <v>2012</v>
      </c>
      <c r="L37" s="115">
        <v>2013</v>
      </c>
      <c r="M37" s="115">
        <v>2014</v>
      </c>
      <c r="N37" s="115">
        <v>2015</v>
      </c>
      <c r="O37" s="115">
        <v>2016</v>
      </c>
      <c r="P37" s="115">
        <v>2017</v>
      </c>
      <c r="Q37" s="115">
        <v>2018</v>
      </c>
      <c r="R37" s="125">
        <v>2019</v>
      </c>
    </row>
    <row r="38" spans="1:18" ht="15.75" hidden="1" customHeight="1" x14ac:dyDescent="0.25">
      <c r="A38" s="114" t="s">
        <v>83</v>
      </c>
      <c r="B38" s="184">
        <v>61</v>
      </c>
      <c r="C38" s="185">
        <v>63</v>
      </c>
      <c r="D38" s="185">
        <v>65</v>
      </c>
      <c r="E38" s="185">
        <v>76</v>
      </c>
      <c r="F38" s="185">
        <v>78</v>
      </c>
      <c r="G38" s="185">
        <v>72</v>
      </c>
      <c r="H38" s="185">
        <v>81</v>
      </c>
      <c r="I38" s="185">
        <v>94</v>
      </c>
      <c r="J38" s="185">
        <v>56</v>
      </c>
      <c r="K38" s="185">
        <v>27</v>
      </c>
      <c r="L38" s="185">
        <v>34</v>
      </c>
      <c r="M38" s="185">
        <v>40</v>
      </c>
      <c r="N38" s="185">
        <v>53</v>
      </c>
      <c r="O38" s="185">
        <v>41</v>
      </c>
      <c r="P38" s="185">
        <v>32</v>
      </c>
      <c r="Q38" s="185">
        <v>36</v>
      </c>
      <c r="R38" s="186">
        <v>42</v>
      </c>
    </row>
    <row r="39" spans="1:18" ht="15.75" hidden="1" customHeight="1" x14ac:dyDescent="0.25">
      <c r="A39" s="123" t="s">
        <v>101</v>
      </c>
      <c r="B39" s="190">
        <v>54</v>
      </c>
      <c r="C39" s="191">
        <v>69</v>
      </c>
      <c r="D39" s="191">
        <v>92</v>
      </c>
      <c r="E39" s="191">
        <v>63</v>
      </c>
      <c r="F39" s="191">
        <v>73</v>
      </c>
      <c r="G39" s="191">
        <v>58</v>
      </c>
      <c r="H39" s="191">
        <v>69</v>
      </c>
      <c r="I39" s="191">
        <v>78</v>
      </c>
      <c r="J39" s="191">
        <v>70</v>
      </c>
      <c r="K39" s="191">
        <v>65</v>
      </c>
      <c r="L39" s="191">
        <v>78</v>
      </c>
      <c r="M39" s="191">
        <v>84</v>
      </c>
      <c r="N39" s="191">
        <v>76</v>
      </c>
      <c r="O39" s="191">
        <v>63</v>
      </c>
      <c r="P39" s="191">
        <v>57</v>
      </c>
      <c r="Q39" s="191">
        <v>68</v>
      </c>
      <c r="R39" s="192">
        <v>63</v>
      </c>
    </row>
    <row r="58" spans="1:25" ht="15.75" customHeight="1" x14ac:dyDescent="0.25">
      <c r="A58" s="12" t="s">
        <v>3135</v>
      </c>
    </row>
    <row r="59" spans="1:25" x14ac:dyDescent="0.25">
      <c r="A59" s="120" t="s">
        <v>6</v>
      </c>
      <c r="B59" s="119" t="s">
        <v>47</v>
      </c>
    </row>
    <row r="60" spans="1:25" x14ac:dyDescent="0.25">
      <c r="A60" s="120" t="s">
        <v>10</v>
      </c>
      <c r="B60" s="119" t="s">
        <v>2827</v>
      </c>
    </row>
    <row r="61" spans="1:25" ht="15.75" customHeight="1" x14ac:dyDescent="0.25"/>
    <row r="62" spans="1:25" x14ac:dyDescent="0.25">
      <c r="A62" s="111" t="s">
        <v>2778</v>
      </c>
      <c r="B62" s="111" t="s">
        <v>8</v>
      </c>
      <c r="C62" s="112"/>
      <c r="D62" s="112"/>
      <c r="E62" s="112"/>
      <c r="F62" s="112"/>
      <c r="G62" s="112"/>
      <c r="H62" s="112"/>
      <c r="I62" s="112"/>
      <c r="J62" s="112"/>
      <c r="K62" s="112"/>
      <c r="L62" s="112"/>
      <c r="M62" s="112"/>
      <c r="N62" s="112"/>
      <c r="O62" s="112"/>
      <c r="P62" s="112"/>
      <c r="Q62" s="112"/>
      <c r="R62" s="112"/>
      <c r="S62" s="112"/>
      <c r="T62" s="112"/>
      <c r="U62" s="112"/>
      <c r="V62" s="112"/>
      <c r="W62" s="112"/>
      <c r="X62" s="112"/>
      <c r="Y62" s="113"/>
    </row>
    <row r="63" spans="1:25" x14ac:dyDescent="0.25">
      <c r="A63" s="111" t="s">
        <v>15</v>
      </c>
      <c r="B63" s="114">
        <v>2002</v>
      </c>
      <c r="C63" s="115">
        <v>2003</v>
      </c>
      <c r="D63" s="115">
        <v>2004</v>
      </c>
      <c r="E63" s="115">
        <v>2005</v>
      </c>
      <c r="F63" s="115">
        <v>2006</v>
      </c>
      <c r="G63" s="115">
        <v>2007</v>
      </c>
      <c r="H63" s="115">
        <v>2008</v>
      </c>
      <c r="I63" s="115">
        <v>2009</v>
      </c>
      <c r="J63" s="115">
        <v>2010</v>
      </c>
      <c r="K63" s="115">
        <v>2011</v>
      </c>
      <c r="L63" s="115">
        <v>2012</v>
      </c>
      <c r="M63" s="115">
        <v>2013</v>
      </c>
      <c r="N63" s="115">
        <v>2014</v>
      </c>
      <c r="O63" s="115">
        <v>2015</v>
      </c>
      <c r="P63" s="115">
        <v>2016</v>
      </c>
      <c r="Q63" s="115">
        <v>2017</v>
      </c>
      <c r="R63" s="115">
        <v>2018</v>
      </c>
      <c r="S63" s="115">
        <v>2019</v>
      </c>
      <c r="T63" s="115">
        <v>2020</v>
      </c>
      <c r="U63" s="115">
        <v>2021</v>
      </c>
      <c r="V63" s="115">
        <v>2022</v>
      </c>
      <c r="W63" s="115">
        <v>2023</v>
      </c>
      <c r="X63" s="115">
        <v>2024</v>
      </c>
      <c r="Y63" s="122" t="s">
        <v>2779</v>
      </c>
    </row>
    <row r="64" spans="1:25" x14ac:dyDescent="0.25">
      <c r="A64" s="114" t="s">
        <v>83</v>
      </c>
      <c r="B64" s="184">
        <v>2</v>
      </c>
      <c r="C64" s="185">
        <v>6</v>
      </c>
      <c r="D64" s="185">
        <v>3</v>
      </c>
      <c r="E64" s="185">
        <v>3</v>
      </c>
      <c r="F64" s="185">
        <v>3</v>
      </c>
      <c r="G64" s="185">
        <v>6</v>
      </c>
      <c r="H64" s="185">
        <v>5</v>
      </c>
      <c r="I64" s="185">
        <v>2</v>
      </c>
      <c r="J64" s="185">
        <v>3</v>
      </c>
      <c r="K64" s="185">
        <v>4</v>
      </c>
      <c r="L64" s="185">
        <v>3</v>
      </c>
      <c r="M64" s="185">
        <v>4</v>
      </c>
      <c r="N64" s="185">
        <v>5</v>
      </c>
      <c r="O64" s="185">
        <v>5</v>
      </c>
      <c r="P64" s="185">
        <v>3</v>
      </c>
      <c r="Q64" s="185">
        <v>2</v>
      </c>
      <c r="R64" s="185">
        <v>2</v>
      </c>
      <c r="S64" s="185">
        <v>2</v>
      </c>
      <c r="T64" s="185">
        <v>0</v>
      </c>
      <c r="U64" s="185">
        <v>0</v>
      </c>
      <c r="V64" s="185">
        <v>2</v>
      </c>
      <c r="W64" s="185">
        <v>0</v>
      </c>
      <c r="X64" s="185">
        <v>2</v>
      </c>
      <c r="Y64" s="199">
        <v>67</v>
      </c>
    </row>
    <row r="65" spans="1:25" x14ac:dyDescent="0.25">
      <c r="A65" s="117" t="s">
        <v>101</v>
      </c>
      <c r="B65" s="187">
        <v>7</v>
      </c>
      <c r="C65" s="188">
        <v>1</v>
      </c>
      <c r="D65" s="188">
        <v>3</v>
      </c>
      <c r="E65" s="188">
        <v>4</v>
      </c>
      <c r="F65" s="188">
        <v>3</v>
      </c>
      <c r="G65" s="188">
        <v>4</v>
      </c>
      <c r="H65" s="188">
        <v>4</v>
      </c>
      <c r="I65" s="188">
        <v>3</v>
      </c>
      <c r="J65" s="188">
        <v>2</v>
      </c>
      <c r="K65" s="188">
        <v>4</v>
      </c>
      <c r="L65" s="188">
        <v>4</v>
      </c>
      <c r="M65" s="188">
        <v>4</v>
      </c>
      <c r="N65" s="188">
        <v>5</v>
      </c>
      <c r="O65" s="188">
        <v>2</v>
      </c>
      <c r="P65" s="188">
        <v>4</v>
      </c>
      <c r="Q65" s="188">
        <v>2</v>
      </c>
      <c r="R65" s="188">
        <v>3</v>
      </c>
      <c r="S65" s="188">
        <v>2</v>
      </c>
      <c r="T65" s="188">
        <v>0</v>
      </c>
      <c r="U65" s="188">
        <v>0</v>
      </c>
      <c r="V65" s="188">
        <v>0</v>
      </c>
      <c r="W65" s="188">
        <v>0</v>
      </c>
      <c r="X65" s="188">
        <v>0</v>
      </c>
      <c r="Y65" s="200">
        <v>61</v>
      </c>
    </row>
    <row r="66" spans="1:25" x14ac:dyDescent="0.25">
      <c r="A66" s="121" t="s">
        <v>2779</v>
      </c>
      <c r="B66" s="196">
        <v>9</v>
      </c>
      <c r="C66" s="197">
        <v>7</v>
      </c>
      <c r="D66" s="197">
        <v>6</v>
      </c>
      <c r="E66" s="197">
        <v>7</v>
      </c>
      <c r="F66" s="197">
        <v>6</v>
      </c>
      <c r="G66" s="197">
        <v>10</v>
      </c>
      <c r="H66" s="197">
        <v>9</v>
      </c>
      <c r="I66" s="197">
        <v>5</v>
      </c>
      <c r="J66" s="197">
        <v>5</v>
      </c>
      <c r="K66" s="197">
        <v>8</v>
      </c>
      <c r="L66" s="197">
        <v>7</v>
      </c>
      <c r="M66" s="197">
        <v>8</v>
      </c>
      <c r="N66" s="197">
        <v>10</v>
      </c>
      <c r="O66" s="197">
        <v>7</v>
      </c>
      <c r="P66" s="197">
        <v>7</v>
      </c>
      <c r="Q66" s="197">
        <v>4</v>
      </c>
      <c r="R66" s="197">
        <v>5</v>
      </c>
      <c r="S66" s="197">
        <v>4</v>
      </c>
      <c r="T66" s="197">
        <v>0</v>
      </c>
      <c r="U66" s="197">
        <v>0</v>
      </c>
      <c r="V66" s="197">
        <v>2</v>
      </c>
      <c r="W66" s="197">
        <v>0</v>
      </c>
      <c r="X66" s="197">
        <v>2</v>
      </c>
      <c r="Y66" s="198">
        <v>128</v>
      </c>
    </row>
  </sheetData>
  <pageMargins left="0.7" right="0.7" top="0.75" bottom="0.75" header="0" footer="0"/>
  <pageSetup orientation="portrait"/>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Y68"/>
  <sheetViews>
    <sheetView topLeftCell="A60" workbookViewId="0"/>
  </sheetViews>
  <sheetFormatPr defaultColWidth="14.42578125" defaultRowHeight="15" customHeight="1" x14ac:dyDescent="0.25"/>
  <cols>
    <col min="1" max="1" width="29.7109375" customWidth="1"/>
    <col min="2" max="2" width="22.28515625" customWidth="1"/>
    <col min="3" max="21" width="6" customWidth="1"/>
    <col min="22" max="24" width="5" customWidth="1"/>
    <col min="25" max="25" width="11.7109375" customWidth="1"/>
    <col min="26" max="26" width="8.7109375" customWidth="1"/>
  </cols>
  <sheetData>
    <row r="1" spans="1:17" hidden="1" x14ac:dyDescent="0.25">
      <c r="A1" s="2" t="s">
        <v>2863</v>
      </c>
    </row>
    <row r="2" spans="1:17" hidden="1" x14ac:dyDescent="0.25">
      <c r="A2" s="120" t="s">
        <v>1</v>
      </c>
      <c r="B2" s="119" t="s">
        <v>307</v>
      </c>
    </row>
    <row r="3" spans="1:17" hidden="1" x14ac:dyDescent="0.25">
      <c r="A3" s="120" t="s">
        <v>10</v>
      </c>
      <c r="B3" s="119" t="s">
        <v>2827</v>
      </c>
    </row>
    <row r="4" spans="1:17" hidden="1" x14ac:dyDescent="0.25"/>
    <row r="5" spans="1:17" hidden="1" x14ac:dyDescent="0.25">
      <c r="A5" s="114"/>
      <c r="B5" s="111" t="s">
        <v>8</v>
      </c>
      <c r="C5" s="112"/>
      <c r="D5" s="112"/>
      <c r="E5" s="112"/>
      <c r="F5" s="112"/>
      <c r="G5" s="112"/>
      <c r="H5" s="112"/>
      <c r="I5" s="112"/>
      <c r="J5" s="112"/>
      <c r="K5" s="112"/>
      <c r="L5" s="112"/>
      <c r="M5" s="112"/>
      <c r="N5" s="112"/>
      <c r="O5" s="112"/>
      <c r="P5" s="112"/>
      <c r="Q5" s="113"/>
    </row>
    <row r="6" spans="1:17" hidden="1" x14ac:dyDescent="0.25">
      <c r="A6" s="124"/>
      <c r="B6" s="114">
        <v>2003</v>
      </c>
      <c r="C6" s="115">
        <v>2004</v>
      </c>
      <c r="D6" s="115">
        <v>2005</v>
      </c>
      <c r="E6" s="115">
        <v>2006</v>
      </c>
      <c r="F6" s="115">
        <v>2007</v>
      </c>
      <c r="G6" s="115">
        <v>2008</v>
      </c>
      <c r="H6" s="115">
        <v>2009</v>
      </c>
      <c r="I6" s="115">
        <v>2010</v>
      </c>
      <c r="J6" s="115">
        <v>2011</v>
      </c>
      <c r="K6" s="115">
        <v>2012</v>
      </c>
      <c r="L6" s="115">
        <v>2013</v>
      </c>
      <c r="M6" s="115">
        <v>2014</v>
      </c>
      <c r="N6" s="115">
        <v>2015</v>
      </c>
      <c r="O6" s="115">
        <v>2016</v>
      </c>
      <c r="P6" s="115">
        <v>2017</v>
      </c>
      <c r="Q6" s="125">
        <v>2018</v>
      </c>
    </row>
    <row r="7" spans="1:17" hidden="1" x14ac:dyDescent="0.25">
      <c r="A7" s="118" t="s">
        <v>2778</v>
      </c>
      <c r="B7" s="181">
        <v>3</v>
      </c>
      <c r="C7" s="182">
        <v>4</v>
      </c>
      <c r="D7" s="182">
        <v>5</v>
      </c>
      <c r="E7" s="182">
        <v>5</v>
      </c>
      <c r="F7" s="182">
        <v>8</v>
      </c>
      <c r="G7" s="182">
        <v>2</v>
      </c>
      <c r="H7" s="182">
        <v>9</v>
      </c>
      <c r="I7" s="182">
        <v>13</v>
      </c>
      <c r="J7" s="182">
        <v>10</v>
      </c>
      <c r="K7" s="182">
        <v>12</v>
      </c>
      <c r="L7" s="182">
        <v>15</v>
      </c>
      <c r="M7" s="182">
        <v>26</v>
      </c>
      <c r="N7" s="182">
        <v>44</v>
      </c>
      <c r="O7" s="182">
        <v>38</v>
      </c>
      <c r="P7" s="182">
        <v>50</v>
      </c>
      <c r="Q7" s="183">
        <v>39</v>
      </c>
    </row>
    <row r="25" spans="1:18" ht="15.75" hidden="1" customHeight="1" x14ac:dyDescent="0.25">
      <c r="A25" s="2" t="s">
        <v>2863</v>
      </c>
    </row>
    <row r="26" spans="1:18" hidden="1" x14ac:dyDescent="0.25">
      <c r="A26" s="120" t="s">
        <v>1</v>
      </c>
      <c r="B26" s="119" t="s">
        <v>307</v>
      </c>
    </row>
    <row r="27" spans="1:18" hidden="1" x14ac:dyDescent="0.25">
      <c r="A27" s="120" t="s">
        <v>10</v>
      </c>
      <c r="B27" s="119" t="s">
        <v>2827</v>
      </c>
    </row>
    <row r="28" spans="1:18" ht="15.75" hidden="1" customHeight="1" x14ac:dyDescent="0.25"/>
    <row r="29" spans="1:18" ht="15.75" hidden="1" customHeight="1" x14ac:dyDescent="0.25">
      <c r="A29" s="114"/>
      <c r="B29" s="111" t="s">
        <v>8</v>
      </c>
      <c r="C29" s="112"/>
      <c r="D29" s="112"/>
      <c r="E29" s="112"/>
      <c r="F29" s="112"/>
      <c r="G29" s="112"/>
      <c r="H29" s="112"/>
      <c r="I29" s="112"/>
      <c r="J29" s="112"/>
      <c r="K29" s="112"/>
      <c r="L29" s="112"/>
      <c r="M29" s="112"/>
      <c r="N29" s="112"/>
      <c r="O29" s="112"/>
      <c r="P29" s="112"/>
      <c r="Q29" s="112"/>
      <c r="R29" s="113"/>
    </row>
    <row r="30" spans="1:18" ht="15.75" hidden="1" customHeight="1" x14ac:dyDescent="0.25">
      <c r="A30" s="124"/>
      <c r="B30" s="114">
        <v>2003</v>
      </c>
      <c r="C30" s="115">
        <v>2004</v>
      </c>
      <c r="D30" s="115">
        <v>2005</v>
      </c>
      <c r="E30" s="115">
        <v>2006</v>
      </c>
      <c r="F30" s="115">
        <v>2007</v>
      </c>
      <c r="G30" s="115">
        <v>2008</v>
      </c>
      <c r="H30" s="115">
        <v>2009</v>
      </c>
      <c r="I30" s="115">
        <v>2010</v>
      </c>
      <c r="J30" s="115">
        <v>2011</v>
      </c>
      <c r="K30" s="115">
        <v>2012</v>
      </c>
      <c r="L30" s="115">
        <v>2013</v>
      </c>
      <c r="M30" s="115">
        <v>2014</v>
      </c>
      <c r="N30" s="115">
        <v>2015</v>
      </c>
      <c r="O30" s="115">
        <v>2016</v>
      </c>
      <c r="P30" s="115">
        <v>2017</v>
      </c>
      <c r="Q30" s="115">
        <v>2018</v>
      </c>
      <c r="R30" s="125">
        <v>2019</v>
      </c>
    </row>
    <row r="31" spans="1:18" ht="15.75" hidden="1" customHeight="1" x14ac:dyDescent="0.25">
      <c r="A31" s="118" t="s">
        <v>2778</v>
      </c>
      <c r="B31" s="181">
        <v>3</v>
      </c>
      <c r="C31" s="182">
        <v>4</v>
      </c>
      <c r="D31" s="182">
        <v>5</v>
      </c>
      <c r="E31" s="182">
        <v>5</v>
      </c>
      <c r="F31" s="182">
        <v>8</v>
      </c>
      <c r="G31" s="182">
        <v>2</v>
      </c>
      <c r="H31" s="182">
        <v>9</v>
      </c>
      <c r="I31" s="182">
        <v>13</v>
      </c>
      <c r="J31" s="182">
        <v>10</v>
      </c>
      <c r="K31" s="182">
        <v>12</v>
      </c>
      <c r="L31" s="182">
        <v>15</v>
      </c>
      <c r="M31" s="182">
        <v>26</v>
      </c>
      <c r="N31" s="182">
        <v>44</v>
      </c>
      <c r="O31" s="182">
        <v>38</v>
      </c>
      <c r="P31" s="182">
        <v>50</v>
      </c>
      <c r="Q31" s="182">
        <v>39</v>
      </c>
      <c r="R31" s="183">
        <v>42</v>
      </c>
    </row>
    <row r="55" spans="1:25" ht="15.75" customHeight="1" x14ac:dyDescent="0.25">
      <c r="A55" s="12" t="s">
        <v>3136</v>
      </c>
    </row>
    <row r="56" spans="1:25" ht="15.75" customHeight="1" x14ac:dyDescent="0.25"/>
    <row r="57" spans="1:25" x14ac:dyDescent="0.25">
      <c r="A57" s="120" t="s">
        <v>1</v>
      </c>
      <c r="B57" s="119" t="s">
        <v>307</v>
      </c>
    </row>
    <row r="58" spans="1:25" x14ac:dyDescent="0.25">
      <c r="A58" s="120" t="s">
        <v>10</v>
      </c>
      <c r="B58" s="119" t="s">
        <v>2827</v>
      </c>
    </row>
    <row r="59" spans="1:25" ht="15.75" customHeight="1" x14ac:dyDescent="0.25"/>
    <row r="60" spans="1:25" ht="15.75" customHeight="1" x14ac:dyDescent="0.25">
      <c r="A60" s="111" t="s">
        <v>2778</v>
      </c>
      <c r="B60" s="111" t="s">
        <v>8</v>
      </c>
      <c r="C60" s="112"/>
      <c r="D60" s="112"/>
      <c r="E60" s="112"/>
      <c r="F60" s="112"/>
      <c r="G60" s="112"/>
      <c r="H60" s="112"/>
      <c r="I60" s="112"/>
      <c r="J60" s="112"/>
      <c r="K60" s="112"/>
      <c r="L60" s="112"/>
      <c r="M60" s="112"/>
      <c r="N60" s="112"/>
      <c r="O60" s="112"/>
      <c r="P60" s="112"/>
      <c r="Q60" s="112"/>
      <c r="R60" s="112"/>
      <c r="S60" s="112"/>
      <c r="T60" s="112"/>
      <c r="U60" s="112"/>
      <c r="V60" s="112"/>
      <c r="W60" s="112"/>
      <c r="X60" s="112"/>
      <c r="Y60" s="113"/>
    </row>
    <row r="61" spans="1:25" x14ac:dyDescent="0.25">
      <c r="A61" s="111" t="s">
        <v>6</v>
      </c>
      <c r="B61" s="114">
        <v>2002</v>
      </c>
      <c r="C61" s="115">
        <v>2003</v>
      </c>
      <c r="D61" s="115">
        <v>2004</v>
      </c>
      <c r="E61" s="115">
        <v>2005</v>
      </c>
      <c r="F61" s="115">
        <v>2006</v>
      </c>
      <c r="G61" s="115">
        <v>2007</v>
      </c>
      <c r="H61" s="115">
        <v>2008</v>
      </c>
      <c r="I61" s="115">
        <v>2009</v>
      </c>
      <c r="J61" s="115">
        <v>2010</v>
      </c>
      <c r="K61" s="115">
        <v>2011</v>
      </c>
      <c r="L61" s="115">
        <v>2012</v>
      </c>
      <c r="M61" s="115">
        <v>2013</v>
      </c>
      <c r="N61" s="115">
        <v>2014</v>
      </c>
      <c r="O61" s="115">
        <v>2015</v>
      </c>
      <c r="P61" s="115">
        <v>2016</v>
      </c>
      <c r="Q61" s="115">
        <v>2017</v>
      </c>
      <c r="R61" s="115">
        <v>2018</v>
      </c>
      <c r="S61" s="115">
        <v>2019</v>
      </c>
      <c r="T61" s="115">
        <v>2020</v>
      </c>
      <c r="U61" s="115">
        <v>2021</v>
      </c>
      <c r="V61" s="115">
        <v>2022</v>
      </c>
      <c r="W61" s="115">
        <v>2023</v>
      </c>
      <c r="X61" s="115">
        <v>2024</v>
      </c>
      <c r="Y61" s="122" t="s">
        <v>2779</v>
      </c>
    </row>
    <row r="62" spans="1:25" x14ac:dyDescent="0.25">
      <c r="A62" s="114" t="s">
        <v>91</v>
      </c>
      <c r="B62" s="184">
        <v>0</v>
      </c>
      <c r="C62" s="185">
        <v>0</v>
      </c>
      <c r="D62" s="185">
        <v>0</v>
      </c>
      <c r="E62" s="185">
        <v>0</v>
      </c>
      <c r="F62" s="185">
        <v>0</v>
      </c>
      <c r="G62" s="185">
        <v>0</v>
      </c>
      <c r="H62" s="185">
        <v>0</v>
      </c>
      <c r="I62" s="185">
        <v>1</v>
      </c>
      <c r="J62" s="185">
        <v>0</v>
      </c>
      <c r="K62" s="185">
        <v>0</v>
      </c>
      <c r="L62" s="185">
        <v>0</v>
      </c>
      <c r="M62" s="185">
        <v>0</v>
      </c>
      <c r="N62" s="185">
        <v>4</v>
      </c>
      <c r="O62" s="185">
        <v>0</v>
      </c>
      <c r="P62" s="185">
        <v>1</v>
      </c>
      <c r="Q62" s="185">
        <v>1</v>
      </c>
      <c r="R62" s="185">
        <v>6</v>
      </c>
      <c r="S62" s="185">
        <v>2</v>
      </c>
      <c r="T62" s="185">
        <v>0</v>
      </c>
      <c r="U62" s="185">
        <v>0</v>
      </c>
      <c r="V62" s="185">
        <v>0</v>
      </c>
      <c r="W62" s="185">
        <v>2</v>
      </c>
      <c r="X62" s="185">
        <v>5</v>
      </c>
      <c r="Y62" s="199">
        <v>22</v>
      </c>
    </row>
    <row r="63" spans="1:25" x14ac:dyDescent="0.25">
      <c r="A63" s="117" t="s">
        <v>41</v>
      </c>
      <c r="B63" s="187">
        <v>1</v>
      </c>
      <c r="C63" s="188">
        <v>2</v>
      </c>
      <c r="D63" s="188">
        <v>1</v>
      </c>
      <c r="E63" s="188">
        <v>1</v>
      </c>
      <c r="F63" s="188">
        <v>4</v>
      </c>
      <c r="G63" s="188">
        <v>3</v>
      </c>
      <c r="H63" s="188">
        <v>0</v>
      </c>
      <c r="I63" s="188">
        <v>2</v>
      </c>
      <c r="J63" s="188">
        <v>3</v>
      </c>
      <c r="K63" s="188">
        <v>5</v>
      </c>
      <c r="L63" s="188">
        <v>2</v>
      </c>
      <c r="M63" s="188">
        <v>2</v>
      </c>
      <c r="N63" s="188">
        <v>3</v>
      </c>
      <c r="O63" s="188">
        <v>8</v>
      </c>
      <c r="P63" s="188">
        <v>9</v>
      </c>
      <c r="Q63" s="188">
        <v>11</v>
      </c>
      <c r="R63" s="188">
        <v>5</v>
      </c>
      <c r="S63" s="188">
        <v>13</v>
      </c>
      <c r="T63" s="188">
        <v>2</v>
      </c>
      <c r="U63" s="188">
        <v>4</v>
      </c>
      <c r="V63" s="188">
        <v>2</v>
      </c>
      <c r="W63" s="188">
        <v>6</v>
      </c>
      <c r="X63" s="188">
        <v>3</v>
      </c>
      <c r="Y63" s="200">
        <v>92</v>
      </c>
    </row>
    <row r="64" spans="1:25" x14ac:dyDescent="0.25">
      <c r="A64" s="117" t="s">
        <v>56</v>
      </c>
      <c r="B64" s="187">
        <v>0</v>
      </c>
      <c r="C64" s="188">
        <v>0</v>
      </c>
      <c r="D64" s="188">
        <v>2</v>
      </c>
      <c r="E64" s="188">
        <v>1</v>
      </c>
      <c r="F64" s="188">
        <v>0</v>
      </c>
      <c r="G64" s="188">
        <v>1</v>
      </c>
      <c r="H64" s="188">
        <v>0</v>
      </c>
      <c r="I64" s="188">
        <v>4</v>
      </c>
      <c r="J64" s="188">
        <v>4</v>
      </c>
      <c r="K64" s="188">
        <v>1</v>
      </c>
      <c r="L64" s="188">
        <v>3</v>
      </c>
      <c r="M64" s="188">
        <v>5</v>
      </c>
      <c r="N64" s="188">
        <v>6</v>
      </c>
      <c r="O64" s="188">
        <v>14</v>
      </c>
      <c r="P64" s="188">
        <v>7</v>
      </c>
      <c r="Q64" s="188">
        <v>12</v>
      </c>
      <c r="R64" s="188">
        <v>7</v>
      </c>
      <c r="S64" s="188">
        <v>7</v>
      </c>
      <c r="T64" s="188">
        <v>3</v>
      </c>
      <c r="U64" s="188">
        <v>5</v>
      </c>
      <c r="V64" s="188">
        <v>6</v>
      </c>
      <c r="W64" s="188">
        <v>3</v>
      </c>
      <c r="X64" s="188">
        <v>8</v>
      </c>
      <c r="Y64" s="200">
        <v>99</v>
      </c>
    </row>
    <row r="65" spans="1:25" x14ac:dyDescent="0.25">
      <c r="A65" s="117" t="s">
        <v>3183</v>
      </c>
      <c r="B65" s="187">
        <v>0</v>
      </c>
      <c r="C65" s="188">
        <v>1</v>
      </c>
      <c r="D65" s="188">
        <v>1</v>
      </c>
      <c r="E65" s="188">
        <v>2</v>
      </c>
      <c r="F65" s="188">
        <v>0</v>
      </c>
      <c r="G65" s="188">
        <v>4</v>
      </c>
      <c r="H65" s="188">
        <v>2</v>
      </c>
      <c r="I65" s="188">
        <v>2</v>
      </c>
      <c r="J65" s="188">
        <v>5</v>
      </c>
      <c r="K65" s="188">
        <v>3</v>
      </c>
      <c r="L65" s="188">
        <v>5</v>
      </c>
      <c r="M65" s="188">
        <v>6</v>
      </c>
      <c r="N65" s="188">
        <v>11</v>
      </c>
      <c r="O65" s="188">
        <v>18</v>
      </c>
      <c r="P65" s="188">
        <v>18</v>
      </c>
      <c r="Q65" s="188">
        <v>23</v>
      </c>
      <c r="R65" s="188">
        <v>19</v>
      </c>
      <c r="S65" s="188">
        <v>19</v>
      </c>
      <c r="T65" s="188">
        <v>3</v>
      </c>
      <c r="U65" s="188">
        <v>5</v>
      </c>
      <c r="V65" s="188">
        <v>2</v>
      </c>
      <c r="W65" s="188">
        <v>13</v>
      </c>
      <c r="X65" s="188">
        <v>12</v>
      </c>
      <c r="Y65" s="200">
        <v>174</v>
      </c>
    </row>
    <row r="66" spans="1:25" x14ac:dyDescent="0.25">
      <c r="A66" s="117" t="s">
        <v>47</v>
      </c>
      <c r="B66" s="201">
        <v>0</v>
      </c>
      <c r="C66" s="202">
        <v>0</v>
      </c>
      <c r="D66" s="202">
        <v>0</v>
      </c>
      <c r="E66" s="202">
        <v>1</v>
      </c>
      <c r="F66" s="202">
        <v>1</v>
      </c>
      <c r="G66" s="202">
        <v>0</v>
      </c>
      <c r="H66" s="202">
        <v>0</v>
      </c>
      <c r="I66" s="202">
        <v>0</v>
      </c>
      <c r="J66" s="202">
        <v>0</v>
      </c>
      <c r="K66" s="202">
        <v>0</v>
      </c>
      <c r="L66" s="202">
        <v>1</v>
      </c>
      <c r="M66" s="202">
        <v>2</v>
      </c>
      <c r="N66" s="202">
        <v>2</v>
      </c>
      <c r="O66" s="202">
        <v>4</v>
      </c>
      <c r="P66" s="202">
        <v>2</v>
      </c>
      <c r="Q66" s="202">
        <v>3</v>
      </c>
      <c r="R66" s="202">
        <v>1</v>
      </c>
      <c r="S66" s="202">
        <v>1</v>
      </c>
      <c r="T66" s="202">
        <v>1</v>
      </c>
      <c r="U66" s="202">
        <v>0</v>
      </c>
      <c r="V66" s="202">
        <v>0</v>
      </c>
      <c r="W66" s="202">
        <v>0</v>
      </c>
      <c r="X66" s="202">
        <v>0</v>
      </c>
      <c r="Y66" s="214">
        <v>19</v>
      </c>
    </row>
    <row r="67" spans="1:25" x14ac:dyDescent="0.25">
      <c r="A67" s="117" t="s">
        <v>199</v>
      </c>
      <c r="B67" s="187">
        <v>0</v>
      </c>
      <c r="C67" s="188">
        <v>0</v>
      </c>
      <c r="D67" s="188">
        <v>0</v>
      </c>
      <c r="E67" s="188">
        <v>0</v>
      </c>
      <c r="F67" s="188">
        <v>0</v>
      </c>
      <c r="G67" s="188">
        <v>0</v>
      </c>
      <c r="H67" s="188">
        <v>0</v>
      </c>
      <c r="I67" s="188">
        <v>0</v>
      </c>
      <c r="J67" s="188">
        <v>1</v>
      </c>
      <c r="K67" s="188">
        <v>1</v>
      </c>
      <c r="L67" s="188">
        <v>1</v>
      </c>
      <c r="M67" s="188">
        <v>0</v>
      </c>
      <c r="N67" s="188">
        <v>0</v>
      </c>
      <c r="O67" s="188">
        <v>0</v>
      </c>
      <c r="P67" s="188">
        <v>1</v>
      </c>
      <c r="Q67" s="188">
        <v>0</v>
      </c>
      <c r="R67" s="188">
        <v>1</v>
      </c>
      <c r="S67" s="188">
        <v>0</v>
      </c>
      <c r="T67" s="188">
        <v>0</v>
      </c>
      <c r="U67" s="188">
        <v>0</v>
      </c>
      <c r="V67" s="188">
        <v>0</v>
      </c>
      <c r="W67" s="188">
        <v>0</v>
      </c>
      <c r="X67" s="188">
        <v>1</v>
      </c>
      <c r="Y67" s="200">
        <v>6</v>
      </c>
    </row>
    <row r="68" spans="1:25" x14ac:dyDescent="0.25">
      <c r="A68" s="121" t="s">
        <v>2779</v>
      </c>
      <c r="B68" s="208">
        <v>1</v>
      </c>
      <c r="C68" s="209">
        <v>3</v>
      </c>
      <c r="D68" s="209">
        <v>4</v>
      </c>
      <c r="E68" s="209">
        <v>5</v>
      </c>
      <c r="F68" s="209">
        <v>5</v>
      </c>
      <c r="G68" s="209">
        <v>8</v>
      </c>
      <c r="H68" s="209">
        <v>2</v>
      </c>
      <c r="I68" s="209">
        <v>9</v>
      </c>
      <c r="J68" s="209">
        <v>13</v>
      </c>
      <c r="K68" s="209">
        <v>10</v>
      </c>
      <c r="L68" s="209">
        <v>12</v>
      </c>
      <c r="M68" s="209">
        <v>15</v>
      </c>
      <c r="N68" s="209">
        <v>26</v>
      </c>
      <c r="O68" s="209">
        <v>44</v>
      </c>
      <c r="P68" s="209">
        <v>38</v>
      </c>
      <c r="Q68" s="209">
        <v>50</v>
      </c>
      <c r="R68" s="209">
        <v>39</v>
      </c>
      <c r="S68" s="209">
        <v>42</v>
      </c>
      <c r="T68" s="209">
        <v>9</v>
      </c>
      <c r="U68" s="209">
        <v>14</v>
      </c>
      <c r="V68" s="209">
        <v>10</v>
      </c>
      <c r="W68" s="209">
        <v>24</v>
      </c>
      <c r="X68" s="209">
        <v>29</v>
      </c>
      <c r="Y68" s="207">
        <v>412</v>
      </c>
    </row>
  </sheetData>
  <pageMargins left="0.7" right="0.7" top="0.75" bottom="0.75" header="0" footer="0"/>
  <pageSetup orientation="portrait"/>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2:J74"/>
  <sheetViews>
    <sheetView topLeftCell="A60" workbookViewId="0">
      <selection activeCell="H85" sqref="H85"/>
    </sheetView>
  </sheetViews>
  <sheetFormatPr defaultColWidth="14.42578125" defaultRowHeight="15" customHeight="1" x14ac:dyDescent="0.25"/>
  <cols>
    <col min="1" max="1" width="29.7109375" customWidth="1"/>
    <col min="2" max="2" width="15" customWidth="1"/>
    <col min="3" max="3" width="16.28515625" customWidth="1"/>
    <col min="4" max="4" width="8" customWidth="1"/>
    <col min="5" max="5" width="14.7109375" customWidth="1"/>
    <col min="6" max="7" width="11.7109375" customWidth="1"/>
    <col min="8" max="8" width="9.42578125" customWidth="1"/>
    <col min="9" max="9" width="13" customWidth="1"/>
    <col min="10" max="10" width="11.42578125" customWidth="1"/>
    <col min="11" max="26" width="8.7109375" customWidth="1"/>
  </cols>
  <sheetData>
    <row r="2" spans="1:6" hidden="1" x14ac:dyDescent="0.25">
      <c r="A2" s="2" t="s">
        <v>2864</v>
      </c>
    </row>
    <row r="3" spans="1:6" hidden="1" x14ac:dyDescent="0.25">
      <c r="A3" s="120" t="s">
        <v>1</v>
      </c>
      <c r="B3" s="119" t="s">
        <v>307</v>
      </c>
    </row>
    <row r="4" spans="1:6" hidden="1" x14ac:dyDescent="0.25">
      <c r="A4" s="120" t="s">
        <v>8</v>
      </c>
      <c r="B4" s="119" t="s">
        <v>2817</v>
      </c>
    </row>
    <row r="5" spans="1:6" hidden="1" x14ac:dyDescent="0.25">
      <c r="A5" s="120" t="s">
        <v>10</v>
      </c>
      <c r="B5" s="119" t="s">
        <v>2827</v>
      </c>
    </row>
    <row r="6" spans="1:6" hidden="1" x14ac:dyDescent="0.25"/>
    <row r="7" spans="1:6" hidden="1" x14ac:dyDescent="0.25">
      <c r="A7" s="114"/>
      <c r="B7" s="111" t="s">
        <v>17</v>
      </c>
      <c r="C7" s="112"/>
      <c r="D7" s="112"/>
      <c r="E7" s="112"/>
      <c r="F7" s="113"/>
    </row>
    <row r="8" spans="1:6" hidden="1" x14ac:dyDescent="0.25">
      <c r="A8" s="124"/>
      <c r="B8" s="114" t="s">
        <v>818</v>
      </c>
      <c r="C8" s="115" t="s">
        <v>309</v>
      </c>
      <c r="D8" s="115" t="s">
        <v>594</v>
      </c>
      <c r="E8" s="115" t="s">
        <v>1229</v>
      </c>
      <c r="F8" s="125" t="s">
        <v>426</v>
      </c>
    </row>
    <row r="9" spans="1:6" hidden="1" x14ac:dyDescent="0.25">
      <c r="A9" s="118" t="s">
        <v>2778</v>
      </c>
      <c r="B9" s="181">
        <v>19</v>
      </c>
      <c r="C9" s="182">
        <v>67</v>
      </c>
      <c r="D9" s="182">
        <v>42</v>
      </c>
      <c r="E9" s="182">
        <v>11</v>
      </c>
      <c r="F9" s="183">
        <v>130</v>
      </c>
    </row>
    <row r="31" spans="1:1" ht="15.75" hidden="1" customHeight="1" x14ac:dyDescent="0.25">
      <c r="A31" s="2" t="s">
        <v>2865</v>
      </c>
    </row>
    <row r="34" spans="1:6" hidden="1" x14ac:dyDescent="0.25">
      <c r="A34" s="120" t="s">
        <v>1</v>
      </c>
      <c r="B34" s="119" t="s">
        <v>307</v>
      </c>
    </row>
    <row r="35" spans="1:6" hidden="1" x14ac:dyDescent="0.25">
      <c r="A35" s="120" t="s">
        <v>8</v>
      </c>
      <c r="B35" s="119" t="s">
        <v>2817</v>
      </c>
    </row>
    <row r="36" spans="1:6" hidden="1" x14ac:dyDescent="0.25">
      <c r="A36" s="120" t="s">
        <v>10</v>
      </c>
      <c r="B36" s="119" t="s">
        <v>2827</v>
      </c>
    </row>
    <row r="37" spans="1:6" ht="15.75" hidden="1" customHeight="1" x14ac:dyDescent="0.25"/>
    <row r="38" spans="1:6" ht="15.75" hidden="1" customHeight="1" x14ac:dyDescent="0.25">
      <c r="A38" s="114"/>
      <c r="B38" s="111" t="s">
        <v>17</v>
      </c>
      <c r="C38" s="112"/>
      <c r="D38" s="112"/>
      <c r="E38" s="112"/>
      <c r="F38" s="113"/>
    </row>
    <row r="39" spans="1:6" ht="15.75" hidden="1" customHeight="1" x14ac:dyDescent="0.25">
      <c r="A39" s="124"/>
      <c r="B39" s="114" t="s">
        <v>818</v>
      </c>
      <c r="C39" s="115" t="s">
        <v>309</v>
      </c>
      <c r="D39" s="115" t="s">
        <v>594</v>
      </c>
      <c r="E39" s="115" t="s">
        <v>1229</v>
      </c>
      <c r="F39" s="125" t="s">
        <v>426</v>
      </c>
    </row>
    <row r="40" spans="1:6" ht="15.75" hidden="1" customHeight="1" x14ac:dyDescent="0.25">
      <c r="A40" s="118" t="s">
        <v>2778</v>
      </c>
      <c r="B40" s="181">
        <v>20</v>
      </c>
      <c r="C40" s="182">
        <v>83</v>
      </c>
      <c r="D40" s="182">
        <v>50</v>
      </c>
      <c r="E40" s="182">
        <v>12</v>
      </c>
      <c r="F40" s="183">
        <v>145</v>
      </c>
    </row>
    <row r="60" spans="1:9" ht="15.75" customHeight="1" x14ac:dyDescent="0.25">
      <c r="A60" s="12" t="s">
        <v>3137</v>
      </c>
      <c r="B60" s="15"/>
      <c r="C60" s="15"/>
      <c r="D60" s="15"/>
      <c r="E60" s="15"/>
      <c r="F60" s="15"/>
      <c r="G60" s="15"/>
      <c r="H60" s="15"/>
      <c r="I60" s="15"/>
    </row>
    <row r="61" spans="1:9" ht="15.75" customHeight="1" x14ac:dyDescent="0.25">
      <c r="B61" s="15"/>
      <c r="C61" s="15"/>
      <c r="D61" s="15"/>
      <c r="E61" s="15"/>
      <c r="F61" s="15"/>
      <c r="G61" s="15"/>
      <c r="H61" s="15"/>
      <c r="I61" s="15"/>
    </row>
    <row r="62" spans="1:9" x14ac:dyDescent="0.25">
      <c r="A62" s="120" t="s">
        <v>1</v>
      </c>
      <c r="B62" s="119" t="s">
        <v>307</v>
      </c>
    </row>
    <row r="63" spans="1:9" x14ac:dyDescent="0.25">
      <c r="A63" s="120" t="s">
        <v>8</v>
      </c>
      <c r="B63" s="119" t="s">
        <v>2817</v>
      </c>
    </row>
    <row r="64" spans="1:9" x14ac:dyDescent="0.25">
      <c r="A64" s="120" t="s">
        <v>10</v>
      </c>
      <c r="B64" s="119" t="s">
        <v>2827</v>
      </c>
    </row>
    <row r="65" spans="1:10" ht="15.75" customHeight="1" x14ac:dyDescent="0.25"/>
    <row r="66" spans="1:10" ht="15.75" customHeight="1" x14ac:dyDescent="0.25">
      <c r="A66" s="111" t="s">
        <v>2778</v>
      </c>
      <c r="B66" s="111" t="s">
        <v>17</v>
      </c>
      <c r="C66" s="112"/>
      <c r="D66" s="112"/>
      <c r="E66" s="112"/>
      <c r="F66" s="112"/>
      <c r="G66" s="112"/>
      <c r="H66" s="112"/>
      <c r="I66" s="112"/>
      <c r="J66" s="113"/>
    </row>
    <row r="67" spans="1:10" x14ac:dyDescent="0.25">
      <c r="A67" s="111" t="s">
        <v>6</v>
      </c>
      <c r="B67" s="114" t="s">
        <v>818</v>
      </c>
      <c r="C67" s="115" t="s">
        <v>309</v>
      </c>
      <c r="D67" s="115" t="s">
        <v>594</v>
      </c>
      <c r="E67" s="115" t="s">
        <v>866</v>
      </c>
      <c r="F67" s="115" t="s">
        <v>1229</v>
      </c>
      <c r="G67" s="115" t="s">
        <v>426</v>
      </c>
      <c r="H67" s="115" t="s">
        <v>2239</v>
      </c>
      <c r="I67" s="115" t="s">
        <v>1477</v>
      </c>
      <c r="J67" s="122" t="s">
        <v>2779</v>
      </c>
    </row>
    <row r="68" spans="1:10" x14ac:dyDescent="0.25">
      <c r="A68" s="114" t="s">
        <v>91</v>
      </c>
      <c r="B68" s="184">
        <v>3</v>
      </c>
      <c r="C68" s="185">
        <v>2</v>
      </c>
      <c r="D68" s="185">
        <v>2</v>
      </c>
      <c r="E68" s="185">
        <v>0</v>
      </c>
      <c r="F68" s="185">
        <v>0</v>
      </c>
      <c r="G68" s="185">
        <v>8</v>
      </c>
      <c r="H68" s="185">
        <v>0</v>
      </c>
      <c r="I68" s="185">
        <v>0</v>
      </c>
      <c r="J68" s="199">
        <v>15</v>
      </c>
    </row>
    <row r="69" spans="1:10" x14ac:dyDescent="0.25">
      <c r="A69" s="117" t="s">
        <v>41</v>
      </c>
      <c r="B69" s="187">
        <v>8</v>
      </c>
      <c r="C69" s="188">
        <v>32</v>
      </c>
      <c r="D69" s="188">
        <v>21</v>
      </c>
      <c r="E69" s="188">
        <v>2</v>
      </c>
      <c r="F69" s="188">
        <v>3</v>
      </c>
      <c r="G69" s="188">
        <v>17</v>
      </c>
      <c r="H69" s="188">
        <v>0</v>
      </c>
      <c r="I69" s="188">
        <v>0</v>
      </c>
      <c r="J69" s="200">
        <v>83</v>
      </c>
    </row>
    <row r="70" spans="1:10" x14ac:dyDescent="0.25">
      <c r="A70" s="117" t="s">
        <v>56</v>
      </c>
      <c r="B70" s="187">
        <v>4</v>
      </c>
      <c r="C70" s="188">
        <v>15</v>
      </c>
      <c r="D70" s="188">
        <v>22</v>
      </c>
      <c r="E70" s="188">
        <v>1</v>
      </c>
      <c r="F70" s="188">
        <v>10</v>
      </c>
      <c r="G70" s="188">
        <v>27</v>
      </c>
      <c r="H70" s="188">
        <v>7</v>
      </c>
      <c r="I70" s="188">
        <v>2</v>
      </c>
      <c r="J70" s="200">
        <v>88</v>
      </c>
    </row>
    <row r="71" spans="1:10" x14ac:dyDescent="0.25">
      <c r="A71" s="117" t="s">
        <v>3183</v>
      </c>
      <c r="B71" s="187">
        <v>4</v>
      </c>
      <c r="C71" s="188">
        <v>37</v>
      </c>
      <c r="D71" s="188">
        <v>12</v>
      </c>
      <c r="E71" s="188">
        <v>8</v>
      </c>
      <c r="F71" s="188">
        <v>1</v>
      </c>
      <c r="G71" s="188">
        <v>87</v>
      </c>
      <c r="H71" s="188">
        <v>0</v>
      </c>
      <c r="I71" s="188">
        <v>0</v>
      </c>
      <c r="J71" s="200">
        <v>149</v>
      </c>
    </row>
    <row r="72" spans="1:10" x14ac:dyDescent="0.25">
      <c r="A72" s="117" t="s">
        <v>47</v>
      </c>
      <c r="B72" s="201">
        <v>3</v>
      </c>
      <c r="C72" s="202">
        <v>0</v>
      </c>
      <c r="D72" s="202">
        <v>2</v>
      </c>
      <c r="E72" s="202">
        <v>1</v>
      </c>
      <c r="F72" s="202">
        <v>0</v>
      </c>
      <c r="G72" s="202">
        <v>13</v>
      </c>
      <c r="H72" s="202">
        <v>0</v>
      </c>
      <c r="I72" s="202">
        <v>0</v>
      </c>
      <c r="J72" s="214">
        <v>19</v>
      </c>
    </row>
    <row r="73" spans="1:10" x14ac:dyDescent="0.25">
      <c r="A73" s="117" t="s">
        <v>199</v>
      </c>
      <c r="B73" s="187">
        <v>0</v>
      </c>
      <c r="C73" s="188">
        <v>0</v>
      </c>
      <c r="D73" s="188">
        <v>1</v>
      </c>
      <c r="E73" s="188">
        <v>0</v>
      </c>
      <c r="F73" s="188">
        <v>1</v>
      </c>
      <c r="G73" s="188">
        <v>3</v>
      </c>
      <c r="H73" s="188">
        <v>0</v>
      </c>
      <c r="I73" s="188">
        <v>0</v>
      </c>
      <c r="J73" s="200">
        <v>5</v>
      </c>
    </row>
    <row r="74" spans="1:10" x14ac:dyDescent="0.25">
      <c r="A74" s="121" t="s">
        <v>2779</v>
      </c>
      <c r="B74" s="208">
        <v>22</v>
      </c>
      <c r="C74" s="209">
        <v>86</v>
      </c>
      <c r="D74" s="209">
        <v>60</v>
      </c>
      <c r="E74" s="209">
        <v>12</v>
      </c>
      <c r="F74" s="209">
        <v>15</v>
      </c>
      <c r="G74" s="209">
        <v>155</v>
      </c>
      <c r="H74" s="209">
        <v>7</v>
      </c>
      <c r="I74" s="209">
        <v>2</v>
      </c>
      <c r="J74" s="207">
        <v>359</v>
      </c>
    </row>
  </sheetData>
  <pageMargins left="0.7" right="0.7" top="0.75" bottom="0.75" header="0" footer="0"/>
  <pageSetup orientation="portrait"/>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Y88"/>
  <sheetViews>
    <sheetView topLeftCell="A25" workbookViewId="0">
      <selection activeCell="X60" sqref="X60"/>
    </sheetView>
  </sheetViews>
  <sheetFormatPr defaultColWidth="14.42578125" defaultRowHeight="15" customHeight="1" x14ac:dyDescent="0.25"/>
  <cols>
    <col min="1" max="1" width="23.42578125" customWidth="1"/>
    <col min="2" max="2" width="15.42578125" customWidth="1"/>
    <col min="3" max="24" width="5" customWidth="1"/>
    <col min="25" max="25" width="11.7109375" customWidth="1"/>
    <col min="26" max="26" width="8.7109375" customWidth="1"/>
  </cols>
  <sheetData>
    <row r="1" ht="15" hidden="1" customHeight="1" x14ac:dyDescent="0.25"/>
    <row r="2" ht="15" hidden="1" customHeight="1" x14ac:dyDescent="0.25"/>
    <row r="3" ht="15" hidden="1" customHeight="1" x14ac:dyDescent="0.25"/>
    <row r="4" ht="15" hidden="1" customHeight="1" x14ac:dyDescent="0.25"/>
    <row r="5" ht="15" hidden="1" customHeight="1" x14ac:dyDescent="0.25"/>
    <row r="6" ht="15" hidden="1" customHeight="1" x14ac:dyDescent="0.25"/>
    <row r="7" ht="15" hidden="1" customHeight="1" x14ac:dyDescent="0.25"/>
    <row r="8" ht="15" hidden="1" customHeight="1" x14ac:dyDescent="0.25"/>
    <row r="9" ht="15" hidden="1" customHeight="1" x14ac:dyDescent="0.25"/>
    <row r="10" ht="15" hidden="1" customHeight="1" x14ac:dyDescent="0.25"/>
    <row r="11" ht="15" hidden="1" customHeight="1" x14ac:dyDescent="0.25"/>
    <row r="12" ht="15" hidden="1" customHeight="1" x14ac:dyDescent="0.25"/>
    <row r="13" ht="15" hidden="1" customHeight="1" x14ac:dyDescent="0.25"/>
    <row r="14" ht="15" hidden="1" customHeight="1" x14ac:dyDescent="0.25"/>
    <row r="15" ht="15" hidden="1" customHeight="1" x14ac:dyDescent="0.25"/>
    <row r="16" ht="15" hidden="1" customHeight="1" x14ac:dyDescent="0.25"/>
    <row r="17" spans="1:25" ht="15" hidden="1" customHeight="1" x14ac:dyDescent="0.25"/>
    <row r="18" spans="1:25" ht="15" hidden="1" customHeight="1" x14ac:dyDescent="0.25"/>
    <row r="19" spans="1:25" ht="15" hidden="1" customHeight="1" x14ac:dyDescent="0.25"/>
    <row r="20" spans="1:25" ht="15" hidden="1" customHeight="1" x14ac:dyDescent="0.25"/>
    <row r="21" spans="1:25" ht="15" hidden="1" customHeight="1" x14ac:dyDescent="0.25"/>
    <row r="22" spans="1:25" ht="15" hidden="1" customHeight="1" x14ac:dyDescent="0.25"/>
    <row r="23" spans="1:25" ht="15" hidden="1" customHeight="1" x14ac:dyDescent="0.25"/>
    <row r="24" spans="1:25" ht="15" hidden="1" customHeight="1" x14ac:dyDescent="0.25"/>
    <row r="25" spans="1:25" ht="15.75" customHeight="1" x14ac:dyDescent="0.25">
      <c r="A25" s="12" t="s">
        <v>3138</v>
      </c>
    </row>
    <row r="26" spans="1:25" ht="15.75" customHeight="1" x14ac:dyDescent="0.25"/>
    <row r="27" spans="1:25" x14ac:dyDescent="0.25">
      <c r="A27" s="120" t="s">
        <v>15</v>
      </c>
      <c r="B27" s="119" t="s">
        <v>2827</v>
      </c>
    </row>
    <row r="28" spans="1:25" ht="15.75" customHeight="1" x14ac:dyDescent="0.25"/>
    <row r="29" spans="1:25" x14ac:dyDescent="0.25">
      <c r="A29" s="111" t="s">
        <v>2778</v>
      </c>
      <c r="B29" s="111" t="s">
        <v>8</v>
      </c>
      <c r="C29" s="112"/>
      <c r="D29" s="112"/>
      <c r="E29" s="112"/>
      <c r="F29" s="112"/>
      <c r="G29" s="112"/>
      <c r="H29" s="112"/>
      <c r="I29" s="112"/>
      <c r="J29" s="112"/>
      <c r="K29" s="112"/>
      <c r="L29" s="112"/>
      <c r="M29" s="112"/>
      <c r="N29" s="112"/>
      <c r="O29" s="112"/>
      <c r="P29" s="112"/>
      <c r="Q29" s="112"/>
      <c r="R29" s="112"/>
      <c r="S29" s="112"/>
      <c r="T29" s="112"/>
      <c r="U29" s="112"/>
      <c r="V29" s="112"/>
      <c r="W29" s="112"/>
      <c r="X29" s="112"/>
      <c r="Y29" s="113"/>
    </row>
    <row r="30" spans="1:25" x14ac:dyDescent="0.25">
      <c r="A30" s="111" t="s">
        <v>1</v>
      </c>
      <c r="B30" s="114">
        <v>2002</v>
      </c>
      <c r="C30" s="115">
        <v>2003</v>
      </c>
      <c r="D30" s="115">
        <v>2004</v>
      </c>
      <c r="E30" s="115">
        <v>2005</v>
      </c>
      <c r="F30" s="115">
        <v>2006</v>
      </c>
      <c r="G30" s="115">
        <v>2007</v>
      </c>
      <c r="H30" s="115">
        <v>2008</v>
      </c>
      <c r="I30" s="115">
        <v>2009</v>
      </c>
      <c r="J30" s="115">
        <v>2010</v>
      </c>
      <c r="K30" s="115">
        <v>2011</v>
      </c>
      <c r="L30" s="115">
        <v>2012</v>
      </c>
      <c r="M30" s="115">
        <v>2013</v>
      </c>
      <c r="N30" s="115">
        <v>2014</v>
      </c>
      <c r="O30" s="115">
        <v>2015</v>
      </c>
      <c r="P30" s="115">
        <v>2016</v>
      </c>
      <c r="Q30" s="115">
        <v>2017</v>
      </c>
      <c r="R30" s="115">
        <v>2018</v>
      </c>
      <c r="S30" s="115">
        <v>2019</v>
      </c>
      <c r="T30" s="115">
        <v>2020</v>
      </c>
      <c r="U30" s="115">
        <v>2021</v>
      </c>
      <c r="V30" s="115">
        <v>2022</v>
      </c>
      <c r="W30" s="115">
        <v>2023</v>
      </c>
      <c r="X30" s="115">
        <v>2024</v>
      </c>
      <c r="Y30" s="122" t="s">
        <v>2779</v>
      </c>
    </row>
    <row r="31" spans="1:25" x14ac:dyDescent="0.25">
      <c r="A31" s="114" t="s">
        <v>307</v>
      </c>
      <c r="B31" s="184">
        <v>1</v>
      </c>
      <c r="C31" s="185">
        <v>3</v>
      </c>
      <c r="D31" s="185">
        <v>4</v>
      </c>
      <c r="E31" s="185">
        <v>5</v>
      </c>
      <c r="F31" s="185">
        <v>5</v>
      </c>
      <c r="G31" s="185">
        <v>8</v>
      </c>
      <c r="H31" s="185">
        <v>2</v>
      </c>
      <c r="I31" s="185">
        <v>9</v>
      </c>
      <c r="J31" s="185">
        <v>13</v>
      </c>
      <c r="K31" s="185">
        <v>10</v>
      </c>
      <c r="L31" s="185">
        <v>12</v>
      </c>
      <c r="M31" s="185">
        <v>15</v>
      </c>
      <c r="N31" s="185">
        <v>26</v>
      </c>
      <c r="O31" s="185">
        <v>44</v>
      </c>
      <c r="P31" s="185">
        <v>38</v>
      </c>
      <c r="Q31" s="185">
        <v>50</v>
      </c>
      <c r="R31" s="185">
        <v>39</v>
      </c>
      <c r="S31" s="185">
        <v>42</v>
      </c>
      <c r="T31" s="185">
        <v>9</v>
      </c>
      <c r="U31" s="185">
        <v>14</v>
      </c>
      <c r="V31" s="185">
        <v>10</v>
      </c>
      <c r="W31" s="185">
        <v>24</v>
      </c>
      <c r="X31" s="185">
        <v>29</v>
      </c>
      <c r="Y31" s="199">
        <v>412</v>
      </c>
    </row>
    <row r="32" spans="1:25" x14ac:dyDescent="0.25">
      <c r="A32" s="117" t="s">
        <v>26</v>
      </c>
      <c r="B32" s="187">
        <v>11</v>
      </c>
      <c r="C32" s="188">
        <v>4</v>
      </c>
      <c r="D32" s="188">
        <v>1</v>
      </c>
      <c r="E32" s="188">
        <v>4</v>
      </c>
      <c r="F32" s="188">
        <v>3</v>
      </c>
      <c r="G32" s="188">
        <v>6</v>
      </c>
      <c r="H32" s="188">
        <v>1</v>
      </c>
      <c r="I32" s="188">
        <v>18</v>
      </c>
      <c r="J32" s="188">
        <v>31</v>
      </c>
      <c r="K32" s="188">
        <v>22</v>
      </c>
      <c r="L32" s="188">
        <v>17</v>
      </c>
      <c r="M32" s="188">
        <v>39</v>
      </c>
      <c r="N32" s="188">
        <v>39</v>
      </c>
      <c r="O32" s="188">
        <v>39</v>
      </c>
      <c r="P32" s="188">
        <v>23</v>
      </c>
      <c r="Q32" s="188">
        <v>50</v>
      </c>
      <c r="R32" s="188">
        <v>33</v>
      </c>
      <c r="S32" s="188">
        <v>22</v>
      </c>
      <c r="T32" s="188">
        <v>3</v>
      </c>
      <c r="U32" s="188">
        <v>0</v>
      </c>
      <c r="V32" s="188">
        <v>2</v>
      </c>
      <c r="W32" s="188">
        <v>23</v>
      </c>
      <c r="X32" s="188">
        <v>35</v>
      </c>
      <c r="Y32" s="200">
        <v>426</v>
      </c>
    </row>
    <row r="33" spans="1:25" x14ac:dyDescent="0.25">
      <c r="A33" s="117" t="s">
        <v>76</v>
      </c>
      <c r="B33" s="187">
        <v>110</v>
      </c>
      <c r="C33" s="188">
        <v>115</v>
      </c>
      <c r="D33" s="188">
        <v>132</v>
      </c>
      <c r="E33" s="188">
        <v>157</v>
      </c>
      <c r="F33" s="188">
        <v>139</v>
      </c>
      <c r="G33" s="188">
        <v>151</v>
      </c>
      <c r="H33" s="188">
        <v>130</v>
      </c>
      <c r="I33" s="188">
        <v>150</v>
      </c>
      <c r="J33" s="188">
        <v>172</v>
      </c>
      <c r="K33" s="188">
        <v>126</v>
      </c>
      <c r="L33" s="188">
        <v>92</v>
      </c>
      <c r="M33" s="188">
        <v>112</v>
      </c>
      <c r="N33" s="188">
        <v>124</v>
      </c>
      <c r="O33" s="188">
        <v>129</v>
      </c>
      <c r="P33" s="188">
        <v>104</v>
      </c>
      <c r="Q33" s="188">
        <v>89</v>
      </c>
      <c r="R33" s="188">
        <v>104</v>
      </c>
      <c r="S33" s="188">
        <v>105</v>
      </c>
      <c r="T33" s="188">
        <v>32</v>
      </c>
      <c r="U33" s="188">
        <v>33</v>
      </c>
      <c r="V33" s="188">
        <v>45</v>
      </c>
      <c r="W33" s="188">
        <v>64</v>
      </c>
      <c r="X33" s="188">
        <v>86</v>
      </c>
      <c r="Y33" s="200">
        <v>2501</v>
      </c>
    </row>
    <row r="34" spans="1:25" x14ac:dyDescent="0.25">
      <c r="A34" s="121" t="s">
        <v>2779</v>
      </c>
      <c r="B34" s="196">
        <v>122</v>
      </c>
      <c r="C34" s="197">
        <v>122</v>
      </c>
      <c r="D34" s="197">
        <v>137</v>
      </c>
      <c r="E34" s="197">
        <v>166</v>
      </c>
      <c r="F34" s="197">
        <v>147</v>
      </c>
      <c r="G34" s="197">
        <v>165</v>
      </c>
      <c r="H34" s="197">
        <v>133</v>
      </c>
      <c r="I34" s="197">
        <v>177</v>
      </c>
      <c r="J34" s="197">
        <v>216</v>
      </c>
      <c r="K34" s="197">
        <v>158</v>
      </c>
      <c r="L34" s="197">
        <v>121</v>
      </c>
      <c r="M34" s="197">
        <v>166</v>
      </c>
      <c r="N34" s="197">
        <v>189</v>
      </c>
      <c r="O34" s="197">
        <v>212</v>
      </c>
      <c r="P34" s="197">
        <v>165</v>
      </c>
      <c r="Q34" s="197">
        <v>189</v>
      </c>
      <c r="R34" s="197">
        <v>176</v>
      </c>
      <c r="S34" s="197">
        <v>169</v>
      </c>
      <c r="T34" s="197">
        <v>44</v>
      </c>
      <c r="U34" s="197">
        <v>47</v>
      </c>
      <c r="V34" s="197">
        <v>57</v>
      </c>
      <c r="W34" s="197">
        <v>111</v>
      </c>
      <c r="X34" s="197">
        <v>150</v>
      </c>
      <c r="Y34" s="198">
        <v>3339</v>
      </c>
    </row>
    <row r="36" spans="1:25" ht="15" customHeight="1" x14ac:dyDescent="0.25">
      <c r="B36">
        <f>B30</f>
        <v>2002</v>
      </c>
      <c r="C36">
        <f t="shared" ref="C36:X40" si="0">C30</f>
        <v>2003</v>
      </c>
      <c r="D36">
        <f t="shared" si="0"/>
        <v>2004</v>
      </c>
      <c r="E36">
        <f t="shared" si="0"/>
        <v>2005</v>
      </c>
      <c r="F36">
        <f t="shared" si="0"/>
        <v>2006</v>
      </c>
      <c r="G36">
        <f t="shared" si="0"/>
        <v>2007</v>
      </c>
      <c r="H36">
        <f t="shared" si="0"/>
        <v>2008</v>
      </c>
      <c r="I36">
        <f t="shared" si="0"/>
        <v>2009</v>
      </c>
      <c r="J36">
        <f t="shared" si="0"/>
        <v>2010</v>
      </c>
      <c r="K36">
        <f t="shared" si="0"/>
        <v>2011</v>
      </c>
      <c r="L36">
        <f t="shared" si="0"/>
        <v>2012</v>
      </c>
      <c r="M36">
        <f t="shared" si="0"/>
        <v>2013</v>
      </c>
      <c r="N36">
        <f t="shared" si="0"/>
        <v>2014</v>
      </c>
      <c r="O36">
        <f t="shared" si="0"/>
        <v>2015</v>
      </c>
      <c r="P36">
        <f t="shared" si="0"/>
        <v>2016</v>
      </c>
      <c r="Q36">
        <f t="shared" si="0"/>
        <v>2017</v>
      </c>
      <c r="R36">
        <f t="shared" si="0"/>
        <v>2018</v>
      </c>
      <c r="S36">
        <f t="shared" si="0"/>
        <v>2019</v>
      </c>
      <c r="T36">
        <f t="shared" si="0"/>
        <v>2020</v>
      </c>
      <c r="U36">
        <f t="shared" si="0"/>
        <v>2021</v>
      </c>
      <c r="V36">
        <f t="shared" si="0"/>
        <v>2022</v>
      </c>
      <c r="W36">
        <f t="shared" si="0"/>
        <v>2023</v>
      </c>
      <c r="X36">
        <f t="shared" si="0"/>
        <v>2024</v>
      </c>
    </row>
    <row r="37" spans="1:25" ht="15" customHeight="1" x14ac:dyDescent="0.25">
      <c r="A37" s="114" t="s">
        <v>307</v>
      </c>
      <c r="B37">
        <f>B31</f>
        <v>1</v>
      </c>
      <c r="C37">
        <f t="shared" si="0"/>
        <v>3</v>
      </c>
      <c r="D37">
        <f t="shared" si="0"/>
        <v>4</v>
      </c>
      <c r="E37">
        <f t="shared" si="0"/>
        <v>5</v>
      </c>
      <c r="F37">
        <f t="shared" si="0"/>
        <v>5</v>
      </c>
      <c r="G37">
        <f t="shared" si="0"/>
        <v>8</v>
      </c>
      <c r="H37">
        <f t="shared" si="0"/>
        <v>2</v>
      </c>
      <c r="I37">
        <f t="shared" si="0"/>
        <v>9</v>
      </c>
      <c r="J37">
        <f t="shared" si="0"/>
        <v>13</v>
      </c>
      <c r="K37">
        <f t="shared" si="0"/>
        <v>10</v>
      </c>
      <c r="L37">
        <f t="shared" si="0"/>
        <v>12</v>
      </c>
      <c r="M37">
        <f t="shared" si="0"/>
        <v>15</v>
      </c>
      <c r="N37">
        <f t="shared" si="0"/>
        <v>26</v>
      </c>
      <c r="O37">
        <f t="shared" si="0"/>
        <v>44</v>
      </c>
      <c r="P37">
        <f t="shared" si="0"/>
        <v>38</v>
      </c>
      <c r="Q37">
        <f t="shared" si="0"/>
        <v>50</v>
      </c>
      <c r="R37">
        <f t="shared" si="0"/>
        <v>39</v>
      </c>
      <c r="S37">
        <f t="shared" si="0"/>
        <v>42</v>
      </c>
      <c r="T37">
        <f t="shared" si="0"/>
        <v>9</v>
      </c>
      <c r="U37">
        <f t="shared" si="0"/>
        <v>14</v>
      </c>
      <c r="V37">
        <f t="shared" si="0"/>
        <v>10</v>
      </c>
      <c r="W37">
        <f t="shared" si="0"/>
        <v>24</v>
      </c>
      <c r="X37">
        <f t="shared" si="0"/>
        <v>29</v>
      </c>
      <c r="Y37" s="72">
        <f>SUM(B37:X37)</f>
        <v>412</v>
      </c>
    </row>
    <row r="38" spans="1:25" ht="15" customHeight="1" x14ac:dyDescent="0.25">
      <c r="A38" s="117" t="s">
        <v>26</v>
      </c>
      <c r="B38">
        <f>B32</f>
        <v>11</v>
      </c>
      <c r="C38">
        <f t="shared" si="0"/>
        <v>4</v>
      </c>
      <c r="D38">
        <f t="shared" si="0"/>
        <v>1</v>
      </c>
      <c r="E38">
        <f t="shared" si="0"/>
        <v>4</v>
      </c>
      <c r="F38">
        <f t="shared" si="0"/>
        <v>3</v>
      </c>
      <c r="G38">
        <f t="shared" si="0"/>
        <v>6</v>
      </c>
      <c r="H38">
        <f t="shared" si="0"/>
        <v>1</v>
      </c>
      <c r="I38">
        <f t="shared" si="0"/>
        <v>18</v>
      </c>
      <c r="J38">
        <f t="shared" si="0"/>
        <v>31</v>
      </c>
      <c r="K38">
        <f t="shared" si="0"/>
        <v>22</v>
      </c>
      <c r="L38">
        <f t="shared" si="0"/>
        <v>17</v>
      </c>
      <c r="M38">
        <f t="shared" si="0"/>
        <v>39</v>
      </c>
      <c r="N38">
        <f t="shared" si="0"/>
        <v>39</v>
      </c>
      <c r="O38">
        <f t="shared" si="0"/>
        <v>39</v>
      </c>
      <c r="P38">
        <f t="shared" si="0"/>
        <v>23</v>
      </c>
      <c r="Q38">
        <f t="shared" si="0"/>
        <v>50</v>
      </c>
      <c r="R38">
        <f t="shared" si="0"/>
        <v>33</v>
      </c>
      <c r="S38">
        <f t="shared" si="0"/>
        <v>22</v>
      </c>
      <c r="T38">
        <f t="shared" si="0"/>
        <v>3</v>
      </c>
      <c r="U38">
        <f t="shared" si="0"/>
        <v>0</v>
      </c>
      <c r="V38">
        <f t="shared" si="0"/>
        <v>2</v>
      </c>
      <c r="W38">
        <f t="shared" si="0"/>
        <v>23</v>
      </c>
      <c r="X38">
        <f t="shared" si="0"/>
        <v>35</v>
      </c>
      <c r="Y38" s="72">
        <f>SUM(B38:X38)</f>
        <v>426</v>
      </c>
    </row>
    <row r="39" spans="1:25" ht="15" customHeight="1" x14ac:dyDescent="0.25">
      <c r="A39" s="117" t="s">
        <v>76</v>
      </c>
      <c r="B39">
        <f>B33</f>
        <v>110</v>
      </c>
      <c r="C39">
        <f t="shared" si="0"/>
        <v>115</v>
      </c>
      <c r="D39">
        <f t="shared" si="0"/>
        <v>132</v>
      </c>
      <c r="E39">
        <f t="shared" si="0"/>
        <v>157</v>
      </c>
      <c r="F39">
        <f t="shared" si="0"/>
        <v>139</v>
      </c>
      <c r="G39">
        <f t="shared" si="0"/>
        <v>151</v>
      </c>
      <c r="H39">
        <f t="shared" si="0"/>
        <v>130</v>
      </c>
      <c r="I39">
        <f t="shared" si="0"/>
        <v>150</v>
      </c>
      <c r="J39">
        <f t="shared" si="0"/>
        <v>172</v>
      </c>
      <c r="K39">
        <f t="shared" si="0"/>
        <v>126</v>
      </c>
      <c r="L39">
        <f t="shared" si="0"/>
        <v>92</v>
      </c>
      <c r="M39">
        <f t="shared" si="0"/>
        <v>112</v>
      </c>
      <c r="N39">
        <f t="shared" si="0"/>
        <v>124</v>
      </c>
      <c r="O39">
        <f t="shared" si="0"/>
        <v>129</v>
      </c>
      <c r="P39">
        <f t="shared" si="0"/>
        <v>104</v>
      </c>
      <c r="Q39">
        <f t="shared" si="0"/>
        <v>89</v>
      </c>
      <c r="R39">
        <f t="shared" si="0"/>
        <v>104</v>
      </c>
      <c r="S39">
        <f t="shared" si="0"/>
        <v>105</v>
      </c>
      <c r="T39">
        <f t="shared" si="0"/>
        <v>32</v>
      </c>
      <c r="U39">
        <f t="shared" si="0"/>
        <v>33</v>
      </c>
      <c r="V39">
        <f t="shared" si="0"/>
        <v>45</v>
      </c>
      <c r="W39">
        <f t="shared" si="0"/>
        <v>64</v>
      </c>
      <c r="X39">
        <f t="shared" si="0"/>
        <v>86</v>
      </c>
      <c r="Y39" s="72">
        <f>SUM(B39:X39)</f>
        <v>2501</v>
      </c>
    </row>
    <row r="40" spans="1:25" ht="15" customHeight="1" x14ac:dyDescent="0.25">
      <c r="A40" s="121" t="s">
        <v>2779</v>
      </c>
      <c r="B40" s="72">
        <f>B34</f>
        <v>122</v>
      </c>
      <c r="C40" s="72">
        <f t="shared" si="0"/>
        <v>122</v>
      </c>
      <c r="D40" s="72">
        <f t="shared" si="0"/>
        <v>137</v>
      </c>
      <c r="E40" s="72">
        <f t="shared" si="0"/>
        <v>166</v>
      </c>
      <c r="F40" s="72">
        <f t="shared" si="0"/>
        <v>147</v>
      </c>
      <c r="G40" s="72">
        <f t="shared" si="0"/>
        <v>165</v>
      </c>
      <c r="H40" s="72">
        <f t="shared" si="0"/>
        <v>133</v>
      </c>
      <c r="I40" s="72">
        <f t="shared" si="0"/>
        <v>177</v>
      </c>
      <c r="J40" s="72">
        <f t="shared" si="0"/>
        <v>216</v>
      </c>
      <c r="K40" s="72">
        <f t="shared" si="0"/>
        <v>158</v>
      </c>
      <c r="L40" s="72">
        <f t="shared" si="0"/>
        <v>121</v>
      </c>
      <c r="M40" s="72">
        <f t="shared" si="0"/>
        <v>166</v>
      </c>
      <c r="N40" s="72">
        <f t="shared" si="0"/>
        <v>189</v>
      </c>
      <c r="O40" s="72">
        <f t="shared" si="0"/>
        <v>212</v>
      </c>
      <c r="P40" s="72">
        <f t="shared" si="0"/>
        <v>165</v>
      </c>
      <c r="Q40" s="72">
        <f t="shared" si="0"/>
        <v>189</v>
      </c>
      <c r="R40" s="72">
        <f t="shared" si="0"/>
        <v>176</v>
      </c>
      <c r="S40" s="72">
        <f t="shared" si="0"/>
        <v>169</v>
      </c>
      <c r="T40" s="72">
        <f t="shared" si="0"/>
        <v>44</v>
      </c>
      <c r="U40" s="72">
        <f t="shared" si="0"/>
        <v>47</v>
      </c>
      <c r="V40" s="72">
        <f t="shared" si="0"/>
        <v>57</v>
      </c>
      <c r="W40" s="72">
        <f t="shared" si="0"/>
        <v>111</v>
      </c>
      <c r="X40" s="72">
        <f t="shared" si="0"/>
        <v>150</v>
      </c>
      <c r="Y40" s="72">
        <f>SUM(B40:X40)</f>
        <v>3339</v>
      </c>
    </row>
    <row r="57" spans="1:2" x14ac:dyDescent="0.25">
      <c r="A57" s="120" t="s">
        <v>8</v>
      </c>
      <c r="B57" s="119" t="s">
        <v>2817</v>
      </c>
    </row>
    <row r="58" spans="1:2" ht="15.75" customHeight="1" x14ac:dyDescent="0.25"/>
    <row r="59" spans="1:2" ht="15.75" customHeight="1" x14ac:dyDescent="0.25">
      <c r="A59" s="111" t="s">
        <v>1</v>
      </c>
      <c r="B59" s="116" t="s">
        <v>2778</v>
      </c>
    </row>
    <row r="60" spans="1:2" ht="15.75" customHeight="1" x14ac:dyDescent="0.25">
      <c r="A60" s="114" t="s">
        <v>307</v>
      </c>
      <c r="B60" s="193">
        <v>86</v>
      </c>
    </row>
    <row r="61" spans="1:2" ht="15.75" customHeight="1" x14ac:dyDescent="0.25">
      <c r="A61" s="117" t="s">
        <v>26</v>
      </c>
      <c r="B61" s="194">
        <v>63</v>
      </c>
    </row>
    <row r="62" spans="1:2" ht="15.75" customHeight="1" x14ac:dyDescent="0.25">
      <c r="A62" s="123" t="s">
        <v>76</v>
      </c>
      <c r="B62" s="215">
        <v>260</v>
      </c>
    </row>
    <row r="81" spans="1:20" ht="15.75" hidden="1" customHeight="1" x14ac:dyDescent="0.25">
      <c r="A81" s="12" t="s">
        <v>2866</v>
      </c>
    </row>
    <row r="82" spans="1:20" ht="15.75" hidden="1" customHeight="1" x14ac:dyDescent="0.25">
      <c r="A82" s="3"/>
    </row>
    <row r="83" spans="1:20" ht="15.75" hidden="1" customHeight="1" x14ac:dyDescent="0.25"/>
    <row r="84" spans="1:20" ht="15.75" hidden="1" customHeight="1" x14ac:dyDescent="0.25">
      <c r="A84" s="111" t="s">
        <v>2778</v>
      </c>
      <c r="B84" s="112"/>
      <c r="C84" s="111" t="s">
        <v>8</v>
      </c>
      <c r="D84" s="112"/>
      <c r="E84" s="112"/>
      <c r="F84" s="112"/>
      <c r="G84" s="112"/>
      <c r="H84" s="112"/>
      <c r="I84" s="112"/>
      <c r="J84" s="112"/>
      <c r="K84" s="112"/>
      <c r="L84" s="112"/>
      <c r="M84" s="112"/>
      <c r="N84" s="112"/>
      <c r="O84" s="112"/>
      <c r="P84" s="112"/>
      <c r="Q84" s="112"/>
      <c r="R84" s="112"/>
      <c r="S84" s="112"/>
      <c r="T84" s="113"/>
    </row>
    <row r="85" spans="1:20" ht="15.75" hidden="1" customHeight="1" x14ac:dyDescent="0.25">
      <c r="A85" s="111" t="s">
        <v>1</v>
      </c>
      <c r="B85" s="111" t="s">
        <v>10</v>
      </c>
      <c r="C85" s="114">
        <v>2002</v>
      </c>
      <c r="D85" s="115">
        <v>2003</v>
      </c>
      <c r="E85" s="115">
        <v>2004</v>
      </c>
      <c r="F85" s="115">
        <v>2005</v>
      </c>
      <c r="G85" s="115">
        <v>2006</v>
      </c>
      <c r="H85" s="115">
        <v>2007</v>
      </c>
      <c r="I85" s="115">
        <v>2008</v>
      </c>
      <c r="J85" s="115">
        <v>2009</v>
      </c>
      <c r="K85" s="115">
        <v>2010</v>
      </c>
      <c r="L85" s="115">
        <v>2011</v>
      </c>
      <c r="M85" s="115">
        <v>2012</v>
      </c>
      <c r="N85" s="115">
        <v>2013</v>
      </c>
      <c r="O85" s="115">
        <v>2014</v>
      </c>
      <c r="P85" s="115">
        <v>2015</v>
      </c>
      <c r="Q85" s="115">
        <v>2016</v>
      </c>
      <c r="R85" s="115">
        <v>2017</v>
      </c>
      <c r="S85" s="115">
        <v>2018</v>
      </c>
      <c r="T85" s="125">
        <v>2019</v>
      </c>
    </row>
    <row r="86" spans="1:20" ht="15.75" hidden="1" customHeight="1" x14ac:dyDescent="0.25">
      <c r="A86" s="114" t="s">
        <v>307</v>
      </c>
      <c r="B86" s="112"/>
      <c r="C86" s="184">
        <v>1</v>
      </c>
      <c r="D86" s="185">
        <v>3</v>
      </c>
      <c r="E86" s="185">
        <v>4</v>
      </c>
      <c r="F86" s="185">
        <v>5</v>
      </c>
      <c r="G86" s="185">
        <v>5</v>
      </c>
      <c r="H86" s="185">
        <v>8</v>
      </c>
      <c r="I86" s="185">
        <v>2</v>
      </c>
      <c r="J86" s="185">
        <v>9</v>
      </c>
      <c r="K86" s="185">
        <v>13</v>
      </c>
      <c r="L86" s="185">
        <v>10</v>
      </c>
      <c r="M86" s="185">
        <v>12</v>
      </c>
      <c r="N86" s="185">
        <v>15</v>
      </c>
      <c r="O86" s="185">
        <v>26</v>
      </c>
      <c r="P86" s="185">
        <v>44</v>
      </c>
      <c r="Q86" s="185">
        <v>38</v>
      </c>
      <c r="R86" s="185">
        <v>50</v>
      </c>
      <c r="S86" s="185">
        <v>39</v>
      </c>
      <c r="T86" s="186">
        <v>42</v>
      </c>
    </row>
    <row r="87" spans="1:20" ht="15.75" hidden="1" customHeight="1" x14ac:dyDescent="0.25">
      <c r="A87" s="114" t="s">
        <v>26</v>
      </c>
      <c r="B87" s="112"/>
      <c r="C87" s="184">
        <v>11</v>
      </c>
      <c r="D87" s="185">
        <v>4</v>
      </c>
      <c r="E87" s="185">
        <v>1</v>
      </c>
      <c r="F87" s="185">
        <v>4</v>
      </c>
      <c r="G87" s="185">
        <v>3</v>
      </c>
      <c r="H87" s="185">
        <v>6</v>
      </c>
      <c r="I87" s="185">
        <v>1</v>
      </c>
      <c r="J87" s="185">
        <v>18</v>
      </c>
      <c r="K87" s="185">
        <v>31</v>
      </c>
      <c r="L87" s="185">
        <v>22</v>
      </c>
      <c r="M87" s="185">
        <v>17</v>
      </c>
      <c r="N87" s="185">
        <v>39</v>
      </c>
      <c r="O87" s="185">
        <v>39</v>
      </c>
      <c r="P87" s="185">
        <v>39</v>
      </c>
      <c r="Q87" s="185">
        <v>23</v>
      </c>
      <c r="R87" s="185">
        <v>50</v>
      </c>
      <c r="S87" s="185">
        <v>33</v>
      </c>
      <c r="T87" s="186">
        <v>22</v>
      </c>
    </row>
    <row r="88" spans="1:20" ht="15.75" hidden="1" customHeight="1" x14ac:dyDescent="0.25">
      <c r="A88" s="118" t="s">
        <v>76</v>
      </c>
      <c r="B88" s="126"/>
      <c r="C88" s="181">
        <v>110</v>
      </c>
      <c r="D88" s="182">
        <v>115</v>
      </c>
      <c r="E88" s="182">
        <v>132</v>
      </c>
      <c r="F88" s="182">
        <v>157</v>
      </c>
      <c r="G88" s="182">
        <v>134</v>
      </c>
      <c r="H88" s="182">
        <v>150</v>
      </c>
      <c r="I88" s="182">
        <v>130</v>
      </c>
      <c r="J88" s="182">
        <v>150</v>
      </c>
      <c r="K88" s="182">
        <v>170</v>
      </c>
      <c r="L88" s="182">
        <v>114</v>
      </c>
      <c r="M88" s="182">
        <v>90</v>
      </c>
      <c r="N88" s="182">
        <v>110</v>
      </c>
      <c r="O88" s="182">
        <v>117</v>
      </c>
      <c r="P88" s="182">
        <v>117</v>
      </c>
      <c r="Q88" s="182">
        <v>92</v>
      </c>
      <c r="R88" s="182">
        <v>85</v>
      </c>
      <c r="S88" s="182">
        <v>71</v>
      </c>
      <c r="T88" s="183">
        <v>75</v>
      </c>
    </row>
  </sheetData>
  <pageMargins left="0.7" right="0.7" top="0.75" bottom="0.75" header="0" footer="0"/>
  <pageSetup orientation="portrait"/>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Y90"/>
  <sheetViews>
    <sheetView topLeftCell="A57" workbookViewId="0">
      <selection activeCell="AB60" sqref="AB60"/>
    </sheetView>
  </sheetViews>
  <sheetFormatPr defaultColWidth="14.42578125" defaultRowHeight="15" customHeight="1" x14ac:dyDescent="0.25"/>
  <cols>
    <col min="1" max="1" width="23.42578125" customWidth="1"/>
    <col min="2" max="2" width="17.28515625" customWidth="1"/>
    <col min="3" max="24" width="5" customWidth="1"/>
    <col min="25" max="26" width="8.7109375" customWidth="1"/>
  </cols>
  <sheetData>
    <row r="1" spans="1:17" hidden="1" x14ac:dyDescent="0.25">
      <c r="A1" s="12" t="s">
        <v>2867</v>
      </c>
    </row>
    <row r="2" spans="1:17" hidden="1" x14ac:dyDescent="0.25"/>
    <row r="3" spans="1:17" hidden="1" x14ac:dyDescent="0.25">
      <c r="A3" s="3"/>
    </row>
    <row r="4" spans="1:17" hidden="1" x14ac:dyDescent="0.25">
      <c r="A4" s="120" t="s">
        <v>10</v>
      </c>
      <c r="B4" s="119" t="s">
        <v>2827</v>
      </c>
    </row>
    <row r="5" spans="1:17" hidden="1" x14ac:dyDescent="0.25"/>
    <row r="6" spans="1:17" hidden="1" x14ac:dyDescent="0.25">
      <c r="A6" s="111" t="s">
        <v>2778</v>
      </c>
      <c r="B6" s="111" t="s">
        <v>8</v>
      </c>
      <c r="C6" s="112"/>
      <c r="D6" s="112"/>
      <c r="E6" s="112"/>
      <c r="F6" s="112"/>
      <c r="G6" s="112"/>
      <c r="H6" s="112"/>
      <c r="I6" s="112"/>
      <c r="J6" s="112"/>
      <c r="K6" s="112"/>
      <c r="L6" s="112"/>
      <c r="M6" s="112"/>
      <c r="N6" s="112"/>
      <c r="O6" s="112"/>
      <c r="P6" s="112"/>
      <c r="Q6" s="113"/>
    </row>
    <row r="7" spans="1:17" hidden="1" x14ac:dyDescent="0.25">
      <c r="A7" s="111" t="s">
        <v>15</v>
      </c>
      <c r="B7" s="114">
        <v>2003</v>
      </c>
      <c r="C7" s="115">
        <v>2004</v>
      </c>
      <c r="D7" s="115">
        <v>2005</v>
      </c>
      <c r="E7" s="115">
        <v>2006</v>
      </c>
      <c r="F7" s="115">
        <v>2007</v>
      </c>
      <c r="G7" s="115">
        <v>2008</v>
      </c>
      <c r="H7" s="115">
        <v>2009</v>
      </c>
      <c r="I7" s="115">
        <v>2010</v>
      </c>
      <c r="J7" s="115">
        <v>2011</v>
      </c>
      <c r="K7" s="115">
        <v>2012</v>
      </c>
      <c r="L7" s="115">
        <v>2013</v>
      </c>
      <c r="M7" s="115">
        <v>2014</v>
      </c>
      <c r="N7" s="115">
        <v>2015</v>
      </c>
      <c r="O7" s="115">
        <v>2016</v>
      </c>
      <c r="P7" s="115">
        <v>2017</v>
      </c>
      <c r="Q7" s="125">
        <v>2018</v>
      </c>
    </row>
    <row r="8" spans="1:17" hidden="1" x14ac:dyDescent="0.25">
      <c r="A8" s="114" t="s">
        <v>83</v>
      </c>
      <c r="B8" s="184">
        <v>61</v>
      </c>
      <c r="C8" s="185">
        <v>63</v>
      </c>
      <c r="D8" s="185">
        <v>65</v>
      </c>
      <c r="E8" s="185">
        <v>76</v>
      </c>
      <c r="F8" s="185">
        <v>78</v>
      </c>
      <c r="G8" s="185">
        <v>72</v>
      </c>
      <c r="H8" s="185">
        <v>81</v>
      </c>
      <c r="I8" s="185">
        <v>94</v>
      </c>
      <c r="J8" s="185">
        <v>56</v>
      </c>
      <c r="K8" s="185">
        <v>27</v>
      </c>
      <c r="L8" s="185">
        <v>34</v>
      </c>
      <c r="M8" s="185">
        <v>40</v>
      </c>
      <c r="N8" s="185">
        <v>53</v>
      </c>
      <c r="O8" s="185">
        <v>41</v>
      </c>
      <c r="P8" s="185">
        <v>32</v>
      </c>
      <c r="Q8" s="186">
        <v>36</v>
      </c>
    </row>
    <row r="9" spans="1:17" hidden="1" x14ac:dyDescent="0.25">
      <c r="A9" s="123" t="s">
        <v>101</v>
      </c>
      <c r="B9" s="190">
        <v>54</v>
      </c>
      <c r="C9" s="191">
        <v>69</v>
      </c>
      <c r="D9" s="191">
        <v>92</v>
      </c>
      <c r="E9" s="191">
        <v>63</v>
      </c>
      <c r="F9" s="191">
        <v>73</v>
      </c>
      <c r="G9" s="191">
        <v>58</v>
      </c>
      <c r="H9" s="191">
        <v>69</v>
      </c>
      <c r="I9" s="191">
        <v>78</v>
      </c>
      <c r="J9" s="191">
        <v>70</v>
      </c>
      <c r="K9" s="191">
        <v>65</v>
      </c>
      <c r="L9" s="191">
        <v>78</v>
      </c>
      <c r="M9" s="191">
        <v>84</v>
      </c>
      <c r="N9" s="191">
        <v>76</v>
      </c>
      <c r="O9" s="191">
        <v>63</v>
      </c>
      <c r="P9" s="191">
        <v>57</v>
      </c>
      <c r="Q9" s="192">
        <v>68</v>
      </c>
    </row>
    <row r="26" spans="1:25" ht="15.75" customHeight="1" x14ac:dyDescent="0.25">
      <c r="A26" s="12" t="s">
        <v>3139</v>
      </c>
    </row>
    <row r="27" spans="1:25" ht="15.75" customHeight="1" x14ac:dyDescent="0.25"/>
    <row r="28" spans="1:25" x14ac:dyDescent="0.25">
      <c r="A28" s="120" t="s">
        <v>1</v>
      </c>
      <c r="B28" s="119" t="s">
        <v>76</v>
      </c>
    </row>
    <row r="29" spans="1:25" ht="15.75" customHeight="1" x14ac:dyDescent="0.25"/>
    <row r="30" spans="1:25" x14ac:dyDescent="0.25">
      <c r="A30" s="111" t="s">
        <v>2778</v>
      </c>
      <c r="B30" s="111" t="s">
        <v>8</v>
      </c>
      <c r="C30" s="112"/>
      <c r="D30" s="112"/>
      <c r="E30" s="112"/>
      <c r="F30" s="112"/>
      <c r="G30" s="112"/>
      <c r="H30" s="112"/>
      <c r="I30" s="112"/>
      <c r="J30" s="112"/>
      <c r="K30" s="112"/>
      <c r="L30" s="112"/>
      <c r="M30" s="112"/>
      <c r="N30" s="112"/>
      <c r="O30" s="112"/>
      <c r="P30" s="112"/>
      <c r="Q30" s="112"/>
      <c r="R30" s="112"/>
      <c r="S30" s="112"/>
      <c r="T30" s="112"/>
      <c r="U30" s="112"/>
      <c r="V30" s="112"/>
      <c r="W30" s="112"/>
      <c r="X30" s="112"/>
      <c r="Y30" s="113"/>
    </row>
    <row r="31" spans="1:25" x14ac:dyDescent="0.25">
      <c r="A31" s="111" t="s">
        <v>15</v>
      </c>
      <c r="B31" s="114">
        <v>2002</v>
      </c>
      <c r="C31" s="115">
        <v>2003</v>
      </c>
      <c r="D31" s="115">
        <v>2004</v>
      </c>
      <c r="E31" s="115">
        <v>2005</v>
      </c>
      <c r="F31" s="115">
        <v>2006</v>
      </c>
      <c r="G31" s="115">
        <v>2007</v>
      </c>
      <c r="H31" s="115">
        <v>2008</v>
      </c>
      <c r="I31" s="115">
        <v>2009</v>
      </c>
      <c r="J31" s="115">
        <v>2010</v>
      </c>
      <c r="K31" s="115">
        <v>2011</v>
      </c>
      <c r="L31" s="115">
        <v>2012</v>
      </c>
      <c r="M31" s="115">
        <v>2013</v>
      </c>
      <c r="N31" s="115">
        <v>2014</v>
      </c>
      <c r="O31" s="115">
        <v>2015</v>
      </c>
      <c r="P31" s="115">
        <v>2016</v>
      </c>
      <c r="Q31" s="115">
        <v>2017</v>
      </c>
      <c r="R31" s="115">
        <v>2018</v>
      </c>
      <c r="S31" s="115">
        <v>2019</v>
      </c>
      <c r="T31" s="115">
        <v>2020</v>
      </c>
      <c r="U31" s="115">
        <v>2021</v>
      </c>
      <c r="V31" s="115">
        <v>2022</v>
      </c>
      <c r="W31" s="115">
        <v>2023</v>
      </c>
      <c r="X31" s="115">
        <v>2024</v>
      </c>
      <c r="Y31" s="122" t="s">
        <v>2779</v>
      </c>
    </row>
    <row r="32" spans="1:25" x14ac:dyDescent="0.25">
      <c r="A32" s="114" t="s">
        <v>83</v>
      </c>
      <c r="B32" s="184">
        <v>28</v>
      </c>
      <c r="C32" s="185">
        <v>61</v>
      </c>
      <c r="D32" s="185">
        <v>63</v>
      </c>
      <c r="E32" s="185">
        <v>65</v>
      </c>
      <c r="F32" s="185">
        <v>76</v>
      </c>
      <c r="G32" s="185">
        <v>78</v>
      </c>
      <c r="H32" s="185">
        <v>72</v>
      </c>
      <c r="I32" s="185">
        <v>81</v>
      </c>
      <c r="J32" s="185">
        <v>94</v>
      </c>
      <c r="K32" s="185">
        <v>56</v>
      </c>
      <c r="L32" s="185">
        <v>27</v>
      </c>
      <c r="M32" s="185">
        <v>34</v>
      </c>
      <c r="N32" s="185">
        <v>40</v>
      </c>
      <c r="O32" s="185">
        <v>53</v>
      </c>
      <c r="P32" s="185">
        <v>41</v>
      </c>
      <c r="Q32" s="185">
        <v>32</v>
      </c>
      <c r="R32" s="185">
        <v>36</v>
      </c>
      <c r="S32" s="185">
        <v>42</v>
      </c>
      <c r="T32" s="185">
        <v>10</v>
      </c>
      <c r="U32" s="185">
        <v>14</v>
      </c>
      <c r="V32" s="185">
        <v>13</v>
      </c>
      <c r="W32" s="185">
        <v>27</v>
      </c>
      <c r="X32" s="185">
        <v>43</v>
      </c>
      <c r="Y32" s="199">
        <v>1086</v>
      </c>
    </row>
    <row r="33" spans="1:25" x14ac:dyDescent="0.25">
      <c r="A33" s="117" t="s">
        <v>101</v>
      </c>
      <c r="B33" s="187">
        <v>82</v>
      </c>
      <c r="C33" s="188">
        <v>54</v>
      </c>
      <c r="D33" s="188">
        <v>69</v>
      </c>
      <c r="E33" s="188">
        <v>92</v>
      </c>
      <c r="F33" s="188">
        <v>63</v>
      </c>
      <c r="G33" s="188">
        <v>73</v>
      </c>
      <c r="H33" s="188">
        <v>58</v>
      </c>
      <c r="I33" s="188">
        <v>69</v>
      </c>
      <c r="J33" s="188">
        <v>78</v>
      </c>
      <c r="K33" s="188">
        <v>70</v>
      </c>
      <c r="L33" s="188">
        <v>65</v>
      </c>
      <c r="M33" s="188">
        <v>78</v>
      </c>
      <c r="N33" s="188">
        <v>84</v>
      </c>
      <c r="O33" s="188">
        <v>76</v>
      </c>
      <c r="P33" s="188">
        <v>63</v>
      </c>
      <c r="Q33" s="188">
        <v>57</v>
      </c>
      <c r="R33" s="188">
        <v>68</v>
      </c>
      <c r="S33" s="188">
        <v>63</v>
      </c>
      <c r="T33" s="188">
        <v>2</v>
      </c>
      <c r="U33" s="188">
        <v>1</v>
      </c>
      <c r="V33" s="188">
        <v>8</v>
      </c>
      <c r="W33" s="188">
        <v>34</v>
      </c>
      <c r="X33" s="188">
        <v>38</v>
      </c>
      <c r="Y33" s="200">
        <v>1345</v>
      </c>
    </row>
    <row r="34" spans="1:25" x14ac:dyDescent="0.25">
      <c r="A34" s="121" t="s">
        <v>2779</v>
      </c>
      <c r="B34" s="196">
        <v>110</v>
      </c>
      <c r="C34" s="197">
        <v>115</v>
      </c>
      <c r="D34" s="197">
        <v>132</v>
      </c>
      <c r="E34" s="197">
        <v>157</v>
      </c>
      <c r="F34" s="197">
        <v>139</v>
      </c>
      <c r="G34" s="197">
        <v>151</v>
      </c>
      <c r="H34" s="197">
        <v>130</v>
      </c>
      <c r="I34" s="197">
        <v>150</v>
      </c>
      <c r="J34" s="197">
        <v>172</v>
      </c>
      <c r="K34" s="197">
        <v>126</v>
      </c>
      <c r="L34" s="197">
        <v>92</v>
      </c>
      <c r="M34" s="197">
        <v>112</v>
      </c>
      <c r="N34" s="197">
        <v>124</v>
      </c>
      <c r="O34" s="197">
        <v>129</v>
      </c>
      <c r="P34" s="197">
        <v>104</v>
      </c>
      <c r="Q34" s="197">
        <v>89</v>
      </c>
      <c r="R34" s="197">
        <v>104</v>
      </c>
      <c r="S34" s="197">
        <v>105</v>
      </c>
      <c r="T34" s="197">
        <v>12</v>
      </c>
      <c r="U34" s="197">
        <v>15</v>
      </c>
      <c r="V34" s="197">
        <v>21</v>
      </c>
      <c r="W34" s="197">
        <v>61</v>
      </c>
      <c r="X34" s="197">
        <v>81</v>
      </c>
      <c r="Y34" s="198">
        <v>2431</v>
      </c>
    </row>
    <row r="55" spans="1:7" ht="15.75" customHeight="1" x14ac:dyDescent="0.25">
      <c r="A55" s="12" t="s">
        <v>3143</v>
      </c>
    </row>
    <row r="56" spans="1:7" ht="15.75" customHeight="1" x14ac:dyDescent="0.25"/>
    <row r="57" spans="1:7" x14ac:dyDescent="0.25">
      <c r="A57" s="120" t="s">
        <v>1</v>
      </c>
      <c r="B57" s="119" t="s">
        <v>76</v>
      </c>
    </row>
    <row r="58" spans="1:7" ht="15.75" customHeight="1" x14ac:dyDescent="0.25"/>
    <row r="59" spans="1:7" ht="15.75" customHeight="1" x14ac:dyDescent="0.25">
      <c r="A59" s="111" t="s">
        <v>2778</v>
      </c>
      <c r="B59" s="111" t="s">
        <v>8</v>
      </c>
      <c r="C59" s="112"/>
      <c r="D59" s="112"/>
      <c r="E59" s="112"/>
      <c r="F59" s="112"/>
      <c r="G59" s="113"/>
    </row>
    <row r="60" spans="1:7" x14ac:dyDescent="0.25">
      <c r="A60" s="111" t="s">
        <v>15</v>
      </c>
      <c r="B60" s="114">
        <v>2020</v>
      </c>
      <c r="C60" s="115">
        <v>2021</v>
      </c>
      <c r="D60" s="115">
        <v>2022</v>
      </c>
      <c r="E60" s="115">
        <v>2023</v>
      </c>
      <c r="F60" s="115">
        <v>2024</v>
      </c>
      <c r="G60" s="122" t="s">
        <v>2779</v>
      </c>
    </row>
    <row r="61" spans="1:7" x14ac:dyDescent="0.25">
      <c r="A61" s="114" t="s">
        <v>83</v>
      </c>
      <c r="B61" s="184">
        <v>10</v>
      </c>
      <c r="C61" s="185">
        <v>14</v>
      </c>
      <c r="D61" s="185">
        <v>13</v>
      </c>
      <c r="E61" s="185">
        <v>27</v>
      </c>
      <c r="F61" s="185">
        <v>43</v>
      </c>
      <c r="G61" s="199">
        <v>107</v>
      </c>
    </row>
    <row r="62" spans="1:7" x14ac:dyDescent="0.25">
      <c r="A62" s="117" t="s">
        <v>101</v>
      </c>
      <c r="B62" s="187">
        <v>2</v>
      </c>
      <c r="C62" s="188">
        <v>1</v>
      </c>
      <c r="D62" s="188">
        <v>8</v>
      </c>
      <c r="E62" s="188">
        <v>34</v>
      </c>
      <c r="F62" s="188">
        <v>38</v>
      </c>
      <c r="G62" s="200">
        <v>83</v>
      </c>
    </row>
    <row r="63" spans="1:7" x14ac:dyDescent="0.25">
      <c r="A63" s="117" t="s">
        <v>2439</v>
      </c>
      <c r="B63" s="187">
        <v>20</v>
      </c>
      <c r="C63" s="188">
        <v>18</v>
      </c>
      <c r="D63" s="188">
        <v>24</v>
      </c>
      <c r="E63" s="188">
        <v>3</v>
      </c>
      <c r="F63" s="188">
        <v>4</v>
      </c>
      <c r="G63" s="200">
        <v>69</v>
      </c>
    </row>
    <row r="64" spans="1:7" x14ac:dyDescent="0.25">
      <c r="A64" s="117" t="s">
        <v>2883</v>
      </c>
      <c r="B64" s="187">
        <v>0</v>
      </c>
      <c r="C64" s="188">
        <v>0</v>
      </c>
      <c r="D64" s="188">
        <v>0</v>
      </c>
      <c r="E64" s="188">
        <v>0</v>
      </c>
      <c r="F64" s="188">
        <v>1</v>
      </c>
      <c r="G64" s="200">
        <v>1</v>
      </c>
    </row>
    <row r="65" spans="1:7" x14ac:dyDescent="0.25">
      <c r="A65" s="121" t="s">
        <v>2779</v>
      </c>
      <c r="B65" s="196">
        <v>32</v>
      </c>
      <c r="C65" s="197">
        <v>33</v>
      </c>
      <c r="D65" s="197">
        <v>45</v>
      </c>
      <c r="E65" s="197">
        <v>64</v>
      </c>
      <c r="F65" s="197">
        <v>86</v>
      </c>
      <c r="G65" s="198">
        <v>260</v>
      </c>
    </row>
    <row r="83" spans="1:19" ht="15.75" hidden="1" customHeight="1" x14ac:dyDescent="0.25">
      <c r="A83" s="12" t="s">
        <v>2866</v>
      </c>
    </row>
    <row r="84" spans="1:19" ht="15.75" hidden="1" customHeight="1" x14ac:dyDescent="0.25">
      <c r="A84" s="3"/>
    </row>
    <row r="85" spans="1:19" hidden="1" x14ac:dyDescent="0.25">
      <c r="A85" s="120" t="s">
        <v>10</v>
      </c>
      <c r="B85" s="119" t="s">
        <v>2817</v>
      </c>
    </row>
    <row r="86" spans="1:19" ht="15.75" hidden="1" customHeight="1" x14ac:dyDescent="0.25"/>
    <row r="87" spans="1:19" ht="15.75" hidden="1" customHeight="1" x14ac:dyDescent="0.25">
      <c r="A87" s="111" t="s">
        <v>2778</v>
      </c>
      <c r="B87" s="111" t="s">
        <v>8</v>
      </c>
      <c r="C87" s="112"/>
      <c r="D87" s="112"/>
      <c r="E87" s="112"/>
      <c r="F87" s="112"/>
      <c r="G87" s="112"/>
      <c r="H87" s="112"/>
      <c r="I87" s="112"/>
      <c r="J87" s="112"/>
      <c r="K87" s="112"/>
      <c r="L87" s="112"/>
      <c r="M87" s="112"/>
      <c r="N87" s="112"/>
      <c r="O87" s="112"/>
      <c r="P87" s="112"/>
      <c r="Q87" s="112"/>
      <c r="R87" s="112"/>
      <c r="S87" s="113"/>
    </row>
    <row r="88" spans="1:19" ht="15.75" hidden="1" customHeight="1" x14ac:dyDescent="0.25">
      <c r="A88" s="111" t="s">
        <v>15</v>
      </c>
      <c r="B88" s="114">
        <v>2002</v>
      </c>
      <c r="C88" s="115">
        <v>2003</v>
      </c>
      <c r="D88" s="115">
        <v>2004</v>
      </c>
      <c r="E88" s="115">
        <v>2005</v>
      </c>
      <c r="F88" s="115">
        <v>2006</v>
      </c>
      <c r="G88" s="115">
        <v>2007</v>
      </c>
      <c r="H88" s="115">
        <v>2008</v>
      </c>
      <c r="I88" s="115">
        <v>2009</v>
      </c>
      <c r="J88" s="115">
        <v>2010</v>
      </c>
      <c r="K88" s="115">
        <v>2011</v>
      </c>
      <c r="L88" s="115">
        <v>2012</v>
      </c>
      <c r="M88" s="115">
        <v>2013</v>
      </c>
      <c r="N88" s="115">
        <v>2014</v>
      </c>
      <c r="O88" s="115">
        <v>2015</v>
      </c>
      <c r="P88" s="115">
        <v>2016</v>
      </c>
      <c r="Q88" s="115">
        <v>2017</v>
      </c>
      <c r="R88" s="115">
        <v>2018</v>
      </c>
      <c r="S88" s="125">
        <v>2019</v>
      </c>
    </row>
    <row r="89" spans="1:19" ht="15.75" hidden="1" customHeight="1" x14ac:dyDescent="0.25">
      <c r="A89" s="114" t="s">
        <v>83</v>
      </c>
      <c r="B89" s="184">
        <v>28</v>
      </c>
      <c r="C89" s="185">
        <v>61</v>
      </c>
      <c r="D89" s="185">
        <v>63</v>
      </c>
      <c r="E89" s="185">
        <v>65</v>
      </c>
      <c r="F89" s="185">
        <v>76</v>
      </c>
      <c r="G89" s="185">
        <v>77</v>
      </c>
      <c r="H89" s="185">
        <v>72</v>
      </c>
      <c r="I89" s="185">
        <v>81</v>
      </c>
      <c r="J89" s="185">
        <v>92</v>
      </c>
      <c r="K89" s="185">
        <v>50</v>
      </c>
      <c r="L89" s="185">
        <v>27</v>
      </c>
      <c r="M89" s="185">
        <v>32</v>
      </c>
      <c r="N89" s="185">
        <v>38</v>
      </c>
      <c r="O89" s="185">
        <v>43</v>
      </c>
      <c r="P89" s="185">
        <v>31</v>
      </c>
      <c r="Q89" s="185">
        <v>28</v>
      </c>
      <c r="R89" s="185">
        <v>26</v>
      </c>
      <c r="S89" s="186">
        <v>29</v>
      </c>
    </row>
    <row r="90" spans="1:19" ht="15.75" hidden="1" customHeight="1" x14ac:dyDescent="0.25">
      <c r="A90" s="123" t="s">
        <v>101</v>
      </c>
      <c r="B90" s="190">
        <v>82</v>
      </c>
      <c r="C90" s="191">
        <v>54</v>
      </c>
      <c r="D90" s="191">
        <v>69</v>
      </c>
      <c r="E90" s="191">
        <v>92</v>
      </c>
      <c r="F90" s="191">
        <v>58</v>
      </c>
      <c r="G90" s="191">
        <v>73</v>
      </c>
      <c r="H90" s="191">
        <v>58</v>
      </c>
      <c r="I90" s="191">
        <v>69</v>
      </c>
      <c r="J90" s="191">
        <v>78</v>
      </c>
      <c r="K90" s="191">
        <v>64</v>
      </c>
      <c r="L90" s="191">
        <v>63</v>
      </c>
      <c r="M90" s="191">
        <v>78</v>
      </c>
      <c r="N90" s="191">
        <v>79</v>
      </c>
      <c r="O90" s="191">
        <v>74</v>
      </c>
      <c r="P90" s="191">
        <v>61</v>
      </c>
      <c r="Q90" s="191">
        <v>57</v>
      </c>
      <c r="R90" s="191">
        <v>45</v>
      </c>
      <c r="S90" s="192">
        <v>46</v>
      </c>
    </row>
  </sheetData>
  <pageMargins left="0.7" right="0.7" top="0.75" bottom="0.75" header="0" footer="0"/>
  <pageSetup orientation="portrait"/>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548135"/>
  </sheetPr>
  <dimension ref="A1:A110"/>
  <sheetViews>
    <sheetView topLeftCell="A47" workbookViewId="0">
      <selection activeCell="A110" sqref="A110:XFD110"/>
    </sheetView>
  </sheetViews>
  <sheetFormatPr defaultColWidth="14.42578125" defaultRowHeight="15" customHeight="1" x14ac:dyDescent="0.25"/>
  <cols>
    <col min="1" max="1" width="45" customWidth="1"/>
    <col min="2" max="26" width="8.7109375" customWidth="1"/>
  </cols>
  <sheetData>
    <row r="1" spans="1:1" ht="15.75" customHeight="1" x14ac:dyDescent="0.25">
      <c r="A1" s="109" t="s">
        <v>3231</v>
      </c>
    </row>
    <row r="2" spans="1:1" ht="15.75" customHeight="1" x14ac:dyDescent="0.25">
      <c r="A2" s="109"/>
    </row>
    <row r="3" spans="1:1" ht="15.75" customHeight="1" x14ac:dyDescent="0.25">
      <c r="A3" s="105" t="s">
        <v>2800</v>
      </c>
    </row>
    <row r="4" spans="1:1" ht="15.75" customHeight="1" x14ac:dyDescent="0.25">
      <c r="A4" s="108" t="s">
        <v>3616</v>
      </c>
    </row>
    <row r="5" spans="1:1" ht="15.75" customHeight="1" x14ac:dyDescent="0.25">
      <c r="A5" s="108" t="s">
        <v>3232</v>
      </c>
    </row>
    <row r="6" spans="1:1" ht="15.75" customHeight="1" x14ac:dyDescent="0.25">
      <c r="A6" s="108" t="s">
        <v>3233</v>
      </c>
    </row>
    <row r="7" spans="1:1" ht="15.75" customHeight="1" x14ac:dyDescent="0.25">
      <c r="A7" s="108" t="s">
        <v>3234</v>
      </c>
    </row>
    <row r="8" spans="1:1" ht="15.75" customHeight="1" x14ac:dyDescent="0.25">
      <c r="A8" s="105"/>
    </row>
    <row r="9" spans="1:1" ht="15.75" customHeight="1" x14ac:dyDescent="0.25">
      <c r="A9" s="105" t="s">
        <v>3183</v>
      </c>
    </row>
    <row r="10" spans="1:1" ht="15.75" customHeight="1" x14ac:dyDescent="0.25">
      <c r="A10" s="108" t="s">
        <v>3235</v>
      </c>
    </row>
    <row r="11" spans="1:1" ht="15.75" customHeight="1" x14ac:dyDescent="0.25">
      <c r="A11" s="108" t="s">
        <v>3236</v>
      </c>
    </row>
    <row r="12" spans="1:1" ht="15.75" customHeight="1" x14ac:dyDescent="0.25">
      <c r="A12" s="108" t="s">
        <v>3237</v>
      </c>
    </row>
    <row r="13" spans="1:1" ht="15.75" customHeight="1" x14ac:dyDescent="0.25">
      <c r="A13" s="108" t="s">
        <v>3238</v>
      </c>
    </row>
    <row r="14" spans="1:1" ht="15.75" customHeight="1" x14ac:dyDescent="0.25">
      <c r="A14" s="108" t="s">
        <v>3239</v>
      </c>
    </row>
    <row r="15" spans="1:1" ht="15.75" customHeight="1" x14ac:dyDescent="0.25">
      <c r="A15" s="105"/>
    </row>
    <row r="16" spans="1:1" ht="15.75" customHeight="1" x14ac:dyDescent="0.25">
      <c r="A16" s="105" t="s">
        <v>91</v>
      </c>
    </row>
    <row r="17" spans="1:1" ht="15.75" customHeight="1" x14ac:dyDescent="0.25">
      <c r="A17" s="108" t="s">
        <v>3240</v>
      </c>
    </row>
    <row r="18" spans="1:1" ht="15.75" customHeight="1" x14ac:dyDescent="0.25">
      <c r="A18" s="108" t="s">
        <v>3241</v>
      </c>
    </row>
    <row r="19" spans="1:1" ht="15.75" customHeight="1" x14ac:dyDescent="0.25">
      <c r="A19" s="108" t="s">
        <v>3242</v>
      </c>
    </row>
    <row r="20" spans="1:1" ht="15.75" customHeight="1" x14ac:dyDescent="0.25">
      <c r="A20" s="108" t="s">
        <v>3243</v>
      </c>
    </row>
    <row r="21" spans="1:1" ht="15.75" customHeight="1" x14ac:dyDescent="0.25">
      <c r="A21" s="105"/>
    </row>
    <row r="22" spans="1:1" ht="15.75" customHeight="1" x14ac:dyDescent="0.25">
      <c r="A22" s="105" t="s">
        <v>199</v>
      </c>
    </row>
    <row r="23" spans="1:1" ht="15.75" customHeight="1" x14ac:dyDescent="0.25">
      <c r="A23" s="108" t="s">
        <v>3244</v>
      </c>
    </row>
    <row r="24" spans="1:1" ht="15.75" customHeight="1" x14ac:dyDescent="0.25">
      <c r="A24" s="108" t="s">
        <v>3245</v>
      </c>
    </row>
    <row r="25" spans="1:1" ht="15.75" customHeight="1" x14ac:dyDescent="0.25">
      <c r="A25" s="108" t="s">
        <v>3246</v>
      </c>
    </row>
    <row r="26" spans="1:1" ht="15.75" customHeight="1" x14ac:dyDescent="0.25">
      <c r="A26" s="108" t="s">
        <v>3247</v>
      </c>
    </row>
    <row r="27" spans="1:1" ht="15.75" customHeight="1" x14ac:dyDescent="0.25">
      <c r="A27" s="105"/>
    </row>
    <row r="28" spans="1:1" ht="15.75" customHeight="1" x14ac:dyDescent="0.25">
      <c r="A28" s="105" t="s">
        <v>41</v>
      </c>
    </row>
    <row r="29" spans="1:1" ht="15.75" customHeight="1" x14ac:dyDescent="0.25">
      <c r="A29" s="108" t="s">
        <v>3248</v>
      </c>
    </row>
    <row r="30" spans="1:1" ht="15.75" customHeight="1" x14ac:dyDescent="0.25">
      <c r="A30" s="108" t="s">
        <v>3249</v>
      </c>
    </row>
    <row r="31" spans="1:1" ht="15.75" customHeight="1" x14ac:dyDescent="0.25">
      <c r="A31" s="108" t="s">
        <v>3250</v>
      </c>
    </row>
    <row r="32" spans="1:1" ht="15.75" customHeight="1" x14ac:dyDescent="0.25">
      <c r="A32" s="108" t="s">
        <v>3251</v>
      </c>
    </row>
    <row r="34" spans="1:1" ht="15.75" customHeight="1" x14ac:dyDescent="0.25">
      <c r="A34" s="105" t="s">
        <v>56</v>
      </c>
    </row>
    <row r="35" spans="1:1" ht="15.75" customHeight="1" x14ac:dyDescent="0.25">
      <c r="A35" s="108" t="s">
        <v>3252</v>
      </c>
    </row>
    <row r="36" spans="1:1" ht="15.75" customHeight="1" x14ac:dyDescent="0.25">
      <c r="A36" s="108" t="s">
        <v>3253</v>
      </c>
    </row>
    <row r="37" spans="1:1" ht="15.75" customHeight="1" x14ac:dyDescent="0.25">
      <c r="A37" s="108" t="s">
        <v>3254</v>
      </c>
    </row>
    <row r="38" spans="1:1" ht="15.75" customHeight="1" x14ac:dyDescent="0.25">
      <c r="A38" s="108" t="s">
        <v>3255</v>
      </c>
    </row>
    <row r="39" spans="1:1" ht="15.75" customHeight="1" x14ac:dyDescent="0.25">
      <c r="A39" s="105"/>
    </row>
    <row r="40" spans="1:1" ht="15.75" customHeight="1" x14ac:dyDescent="0.25">
      <c r="A40" s="105" t="s">
        <v>47</v>
      </c>
    </row>
    <row r="41" spans="1:1" ht="15.75" customHeight="1" x14ac:dyDescent="0.25">
      <c r="A41" s="108" t="s">
        <v>3256</v>
      </c>
    </row>
    <row r="42" spans="1:1" ht="15.75" customHeight="1" x14ac:dyDescent="0.25">
      <c r="A42" s="108" t="s">
        <v>3257</v>
      </c>
    </row>
    <row r="43" spans="1:1" ht="15.75" customHeight="1" x14ac:dyDescent="0.25">
      <c r="A43" s="108" t="s">
        <v>3258</v>
      </c>
    </row>
    <row r="44" spans="1:1" ht="15.75" customHeight="1" x14ac:dyDescent="0.25">
      <c r="A44" s="108" t="s">
        <v>3259</v>
      </c>
    </row>
    <row r="45" spans="1:1" ht="15.75" customHeight="1" x14ac:dyDescent="0.25">
      <c r="A45" s="108"/>
    </row>
    <row r="46" spans="1:1" ht="15.75" customHeight="1" x14ac:dyDescent="0.25">
      <c r="A46" s="108"/>
    </row>
    <row r="47" spans="1:1" ht="15.75" customHeight="1" x14ac:dyDescent="0.25">
      <c r="A47" s="108"/>
    </row>
    <row r="48" spans="1:1" ht="15.75" customHeight="1" x14ac:dyDescent="0.25">
      <c r="A48" s="105" t="s">
        <v>2801</v>
      </c>
    </row>
    <row r="49" spans="1:1" ht="15.75" customHeight="1" x14ac:dyDescent="0.25">
      <c r="A49" s="108" t="s">
        <v>3260</v>
      </c>
    </row>
    <row r="50" spans="1:1" ht="15.75" customHeight="1" x14ac:dyDescent="0.25">
      <c r="A50" s="108" t="s">
        <v>3261</v>
      </c>
    </row>
    <row r="51" spans="1:1" ht="15.75" customHeight="1" x14ac:dyDescent="0.25">
      <c r="A51" s="108" t="s">
        <v>3262</v>
      </c>
    </row>
    <row r="52" spans="1:1" ht="15.75" customHeight="1" x14ac:dyDescent="0.25">
      <c r="A52" s="108" t="s">
        <v>3263</v>
      </c>
    </row>
    <row r="53" spans="1:1" ht="15.75" customHeight="1" x14ac:dyDescent="0.25">
      <c r="A53" s="108" t="s">
        <v>3264</v>
      </c>
    </row>
    <row r="54" spans="1:1" ht="15.75" customHeight="1" x14ac:dyDescent="0.25">
      <c r="A54" s="108" t="s">
        <v>3265</v>
      </c>
    </row>
    <row r="55" spans="1:1" ht="15.75" customHeight="1" x14ac:dyDescent="0.25">
      <c r="A55" s="108" t="s">
        <v>3266</v>
      </c>
    </row>
    <row r="56" spans="1:1" ht="15.75" customHeight="1" x14ac:dyDescent="0.25">
      <c r="A56" s="108" t="s">
        <v>3267</v>
      </c>
    </row>
    <row r="57" spans="1:1" ht="15.75" customHeight="1" x14ac:dyDescent="0.25">
      <c r="A57" s="108" t="s">
        <v>3268</v>
      </c>
    </row>
    <row r="58" spans="1:1" ht="15.75" customHeight="1" x14ac:dyDescent="0.25">
      <c r="A58" s="108" t="s">
        <v>3269</v>
      </c>
    </row>
    <row r="59" spans="1:1" ht="15.75" customHeight="1" x14ac:dyDescent="0.25">
      <c r="A59" s="108" t="s">
        <v>3270</v>
      </c>
    </row>
    <row r="60" spans="1:1" ht="15.75" customHeight="1" x14ac:dyDescent="0.25">
      <c r="A60" s="108" t="s">
        <v>3271</v>
      </c>
    </row>
    <row r="61" spans="1:1" ht="15.75" customHeight="1" x14ac:dyDescent="0.25">
      <c r="A61" s="108" t="s">
        <v>3272</v>
      </c>
    </row>
    <row r="62" spans="1:1" ht="15.75" customHeight="1" x14ac:dyDescent="0.25">
      <c r="A62" s="108" t="s">
        <v>3273</v>
      </c>
    </row>
    <row r="63" spans="1:1" ht="15.75" customHeight="1" x14ac:dyDescent="0.25">
      <c r="A63" s="108" t="s">
        <v>3274</v>
      </c>
    </row>
    <row r="64" spans="1:1" ht="15.75" customHeight="1" x14ac:dyDescent="0.25">
      <c r="A64" s="108" t="s">
        <v>3275</v>
      </c>
    </row>
    <row r="65" spans="1:1" ht="15.75" customHeight="1" x14ac:dyDescent="0.25">
      <c r="A65" s="108" t="s">
        <v>3276</v>
      </c>
    </row>
    <row r="66" spans="1:1" ht="15.75" customHeight="1" x14ac:dyDescent="0.25">
      <c r="A66" s="108" t="s">
        <v>3277</v>
      </c>
    </row>
    <row r="67" spans="1:1" ht="15.75" customHeight="1" x14ac:dyDescent="0.25">
      <c r="A67" s="108" t="s">
        <v>3278</v>
      </c>
    </row>
    <row r="68" spans="1:1" ht="15.75" customHeight="1" x14ac:dyDescent="0.25">
      <c r="A68" s="108" t="s">
        <v>3279</v>
      </c>
    </row>
    <row r="69" spans="1:1" ht="15.75" customHeight="1" x14ac:dyDescent="0.25">
      <c r="A69" s="108" t="s">
        <v>3280</v>
      </c>
    </row>
    <row r="70" spans="1:1" ht="15.75" customHeight="1" x14ac:dyDescent="0.25">
      <c r="A70" s="108" t="s">
        <v>3281</v>
      </c>
    </row>
    <row r="71" spans="1:1" ht="15.75" customHeight="1" x14ac:dyDescent="0.25">
      <c r="A71" s="108" t="s">
        <v>3282</v>
      </c>
    </row>
    <row r="72" spans="1:1" ht="15.75" customHeight="1" x14ac:dyDescent="0.25">
      <c r="A72" s="108" t="s">
        <v>3283</v>
      </c>
    </row>
    <row r="73" spans="1:1" ht="15.75" customHeight="1" x14ac:dyDescent="0.25">
      <c r="A73" s="108" t="s">
        <v>3216</v>
      </c>
    </row>
    <row r="74" spans="1:1" ht="15.75" customHeight="1" x14ac:dyDescent="0.25">
      <c r="A74" s="108" t="s">
        <v>3284</v>
      </c>
    </row>
    <row r="75" spans="1:1" ht="15.75" customHeight="1" x14ac:dyDescent="0.25">
      <c r="A75" s="108" t="s">
        <v>3285</v>
      </c>
    </row>
    <row r="76" spans="1:1" ht="15.75" customHeight="1" x14ac:dyDescent="0.25">
      <c r="A76" s="108" t="s">
        <v>3286</v>
      </c>
    </row>
    <row r="77" spans="1:1" ht="15.75" customHeight="1" x14ac:dyDescent="0.25">
      <c r="A77" s="108" t="s">
        <v>3218</v>
      </c>
    </row>
    <row r="78" spans="1:1" ht="15.75" customHeight="1" x14ac:dyDescent="0.25">
      <c r="A78" s="108" t="s">
        <v>3287</v>
      </c>
    </row>
    <row r="79" spans="1:1" ht="15.75" customHeight="1" x14ac:dyDescent="0.25">
      <c r="A79" s="108" t="s">
        <v>3220</v>
      </c>
    </row>
    <row r="80" spans="1:1" ht="15.75" customHeight="1" x14ac:dyDescent="0.25">
      <c r="A80" s="108" t="s">
        <v>3288</v>
      </c>
    </row>
    <row r="81" spans="1:1" ht="15.75" customHeight="1" x14ac:dyDescent="0.25">
      <c r="A81" s="108" t="s">
        <v>3289</v>
      </c>
    </row>
    <row r="82" spans="1:1" ht="15.75" customHeight="1" x14ac:dyDescent="0.25">
      <c r="A82" s="108" t="s">
        <v>3290</v>
      </c>
    </row>
    <row r="83" spans="1:1" ht="15.75" customHeight="1" x14ac:dyDescent="0.25">
      <c r="A83" s="108" t="s">
        <v>3291</v>
      </c>
    </row>
    <row r="84" spans="1:1" ht="15.75" customHeight="1" x14ac:dyDescent="0.25">
      <c r="A84" s="108" t="s">
        <v>3292</v>
      </c>
    </row>
    <row r="85" spans="1:1" ht="15.75" customHeight="1" x14ac:dyDescent="0.25">
      <c r="A85" s="108" t="s">
        <v>3293</v>
      </c>
    </row>
    <row r="86" spans="1:1" ht="15.75" customHeight="1" x14ac:dyDescent="0.25">
      <c r="A86" s="108" t="s">
        <v>3294</v>
      </c>
    </row>
    <row r="87" spans="1:1" ht="15.75" customHeight="1" x14ac:dyDescent="0.25">
      <c r="A87" s="108" t="s">
        <v>3295</v>
      </c>
    </row>
    <row r="88" spans="1:1" ht="15.75" customHeight="1" x14ac:dyDescent="0.25">
      <c r="A88" s="108" t="s">
        <v>3296</v>
      </c>
    </row>
    <row r="89" spans="1:1" ht="15.75" customHeight="1" x14ac:dyDescent="0.25">
      <c r="A89" s="108" t="s">
        <v>3297</v>
      </c>
    </row>
    <row r="90" spans="1:1" ht="15.75" customHeight="1" x14ac:dyDescent="0.25">
      <c r="A90" s="108" t="s">
        <v>3298</v>
      </c>
    </row>
    <row r="91" spans="1:1" ht="15.75" customHeight="1" x14ac:dyDescent="0.25">
      <c r="A91" s="108" t="s">
        <v>3299</v>
      </c>
    </row>
    <row r="92" spans="1:1" ht="15.75" customHeight="1" x14ac:dyDescent="0.25">
      <c r="A92" s="108" t="s">
        <v>3300</v>
      </c>
    </row>
    <row r="93" spans="1:1" ht="15.75" customHeight="1" x14ac:dyDescent="0.25">
      <c r="A93" s="108" t="s">
        <v>3301</v>
      </c>
    </row>
    <row r="94" spans="1:1" ht="15.75" customHeight="1" x14ac:dyDescent="0.25">
      <c r="A94" s="108" t="s">
        <v>3302</v>
      </c>
    </row>
    <row r="95" spans="1:1" ht="15.75" customHeight="1" x14ac:dyDescent="0.25">
      <c r="A95" s="108" t="s">
        <v>3303</v>
      </c>
    </row>
    <row r="96" spans="1:1" ht="15.75" customHeight="1" x14ac:dyDescent="0.25">
      <c r="A96" s="108" t="s">
        <v>3304</v>
      </c>
    </row>
    <row r="97" spans="1:1" ht="15.75" customHeight="1" x14ac:dyDescent="0.25">
      <c r="A97" s="108" t="s">
        <v>3305</v>
      </c>
    </row>
    <row r="98" spans="1:1" ht="15.75" customHeight="1" x14ac:dyDescent="0.25">
      <c r="A98" s="108" t="s">
        <v>3306</v>
      </c>
    </row>
    <row r="99" spans="1:1" ht="15.75" customHeight="1" x14ac:dyDescent="0.25">
      <c r="A99" s="108" t="s">
        <v>3307</v>
      </c>
    </row>
    <row r="100" spans="1:1" ht="15.75" customHeight="1" x14ac:dyDescent="0.25">
      <c r="A100" s="108" t="s">
        <v>3308</v>
      </c>
    </row>
    <row r="101" spans="1:1" ht="15.75" customHeight="1" x14ac:dyDescent="0.25">
      <c r="A101" s="108" t="s">
        <v>3309</v>
      </c>
    </row>
    <row r="102" spans="1:1" ht="15.75" customHeight="1" x14ac:dyDescent="0.25">
      <c r="A102" s="108" t="s">
        <v>3310</v>
      </c>
    </row>
    <row r="103" spans="1:1" ht="15.75" customHeight="1" x14ac:dyDescent="0.25">
      <c r="A103" s="108" t="s">
        <v>3311</v>
      </c>
    </row>
    <row r="104" spans="1:1" ht="15.75" customHeight="1" x14ac:dyDescent="0.25">
      <c r="A104" s="108" t="s">
        <v>3312</v>
      </c>
    </row>
    <row r="105" spans="1:1" ht="15.75" customHeight="1" x14ac:dyDescent="0.25">
      <c r="A105" s="108" t="s">
        <v>3313</v>
      </c>
    </row>
    <row r="106" spans="1:1" ht="15.75" customHeight="1" x14ac:dyDescent="0.25">
      <c r="A106" s="108" t="s">
        <v>3318</v>
      </c>
    </row>
    <row r="107" spans="1:1" ht="15.75" customHeight="1" x14ac:dyDescent="0.25">
      <c r="A107" s="108" t="s">
        <v>3314</v>
      </c>
    </row>
    <row r="108" spans="1:1" ht="15.75" customHeight="1" x14ac:dyDescent="0.25">
      <c r="A108" s="108" t="s">
        <v>3315</v>
      </c>
    </row>
    <row r="109" spans="1:1" ht="15.75" customHeight="1" x14ac:dyDescent="0.25">
      <c r="A109" s="108" t="s">
        <v>3316</v>
      </c>
    </row>
    <row r="110" spans="1:1" ht="15.75" customHeight="1" x14ac:dyDescent="0.25">
      <c r="A110" s="108" t="s">
        <v>3317</v>
      </c>
    </row>
  </sheetData>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Y64"/>
  <sheetViews>
    <sheetView topLeftCell="A39" workbookViewId="0">
      <selection activeCell="U77" sqref="U77"/>
    </sheetView>
  </sheetViews>
  <sheetFormatPr defaultColWidth="14.42578125" defaultRowHeight="15" customHeight="1" x14ac:dyDescent="0.25"/>
  <cols>
    <col min="1" max="1" width="26.42578125" customWidth="1"/>
    <col min="2" max="2" width="15.42578125" customWidth="1"/>
    <col min="3" max="24" width="5" customWidth="1"/>
    <col min="25" max="26" width="8.7109375" customWidth="1"/>
  </cols>
  <sheetData>
    <row r="1" spans="1:17" hidden="1" x14ac:dyDescent="0.25">
      <c r="A1" s="12" t="s">
        <v>2867</v>
      </c>
    </row>
    <row r="2" spans="1:17" hidden="1" x14ac:dyDescent="0.25"/>
    <row r="3" spans="1:17" hidden="1" x14ac:dyDescent="0.25">
      <c r="A3" s="3"/>
    </row>
    <row r="4" spans="1:17" hidden="1" x14ac:dyDescent="0.25"/>
    <row r="5" spans="1:17" hidden="1" x14ac:dyDescent="0.25">
      <c r="A5" s="111" t="s">
        <v>2778</v>
      </c>
      <c r="B5" s="111" t="s">
        <v>8</v>
      </c>
      <c r="C5" s="112"/>
      <c r="D5" s="112"/>
      <c r="E5" s="112"/>
      <c r="F5" s="112"/>
      <c r="G5" s="112"/>
      <c r="H5" s="112"/>
      <c r="I5" s="112"/>
      <c r="J5" s="112"/>
      <c r="K5" s="112"/>
      <c r="L5" s="112"/>
      <c r="M5" s="112"/>
      <c r="N5" s="112"/>
      <c r="O5" s="112"/>
      <c r="P5" s="112"/>
      <c r="Q5" s="113"/>
    </row>
    <row r="6" spans="1:17" hidden="1" x14ac:dyDescent="0.25">
      <c r="A6" s="111" t="s">
        <v>10</v>
      </c>
      <c r="B6" s="114">
        <v>2003</v>
      </c>
      <c r="C6" s="115">
        <v>2004</v>
      </c>
      <c r="D6" s="115">
        <v>2005</v>
      </c>
      <c r="E6" s="115">
        <v>2006</v>
      </c>
      <c r="F6" s="115">
        <v>2007</v>
      </c>
      <c r="G6" s="115">
        <v>2008</v>
      </c>
      <c r="H6" s="115">
        <v>2009</v>
      </c>
      <c r="I6" s="115">
        <v>2010</v>
      </c>
      <c r="J6" s="115">
        <v>2011</v>
      </c>
      <c r="K6" s="115">
        <v>2012</v>
      </c>
      <c r="L6" s="115">
        <v>2013</v>
      </c>
      <c r="M6" s="115">
        <v>2014</v>
      </c>
      <c r="N6" s="115">
        <v>2015</v>
      </c>
      <c r="O6" s="115">
        <v>2016</v>
      </c>
      <c r="P6" s="115">
        <v>2017</v>
      </c>
      <c r="Q6" s="125">
        <v>2018</v>
      </c>
    </row>
    <row r="7" spans="1:17" hidden="1" x14ac:dyDescent="0.25">
      <c r="A7" s="114" t="s">
        <v>308</v>
      </c>
      <c r="B7" s="184">
        <v>2</v>
      </c>
      <c r="C7" s="185">
        <v>4</v>
      </c>
      <c r="D7" s="185">
        <v>5</v>
      </c>
      <c r="E7" s="185">
        <v>4</v>
      </c>
      <c r="F7" s="185">
        <v>3</v>
      </c>
      <c r="G7" s="185">
        <v>2</v>
      </c>
      <c r="H7" s="185">
        <v>8</v>
      </c>
      <c r="I7" s="185">
        <v>12</v>
      </c>
      <c r="J7" s="185">
        <v>8</v>
      </c>
      <c r="K7" s="185">
        <v>9</v>
      </c>
      <c r="L7" s="185">
        <v>13</v>
      </c>
      <c r="M7" s="185">
        <v>15</v>
      </c>
      <c r="N7" s="185">
        <v>33</v>
      </c>
      <c r="O7" s="185">
        <v>21</v>
      </c>
      <c r="P7" s="185">
        <v>41</v>
      </c>
      <c r="Q7" s="186">
        <v>22</v>
      </c>
    </row>
    <row r="8" spans="1:17" hidden="1" x14ac:dyDescent="0.25">
      <c r="A8" s="123" t="s">
        <v>399</v>
      </c>
      <c r="B8" s="190">
        <v>1</v>
      </c>
      <c r="C8" s="191"/>
      <c r="D8" s="191"/>
      <c r="E8" s="191">
        <v>1</v>
      </c>
      <c r="F8" s="191">
        <v>5</v>
      </c>
      <c r="G8" s="191"/>
      <c r="H8" s="191">
        <v>1</v>
      </c>
      <c r="I8" s="191">
        <v>1</v>
      </c>
      <c r="J8" s="191">
        <v>2</v>
      </c>
      <c r="K8" s="191">
        <v>3</v>
      </c>
      <c r="L8" s="191">
        <v>2</v>
      </c>
      <c r="M8" s="191">
        <v>11</v>
      </c>
      <c r="N8" s="191">
        <v>11</v>
      </c>
      <c r="O8" s="191">
        <v>17</v>
      </c>
      <c r="P8" s="191">
        <v>9</v>
      </c>
      <c r="Q8" s="192">
        <v>17</v>
      </c>
    </row>
    <row r="28" spans="1:1" ht="15.75" customHeight="1" x14ac:dyDescent="0.25">
      <c r="A28" s="12" t="s">
        <v>3140</v>
      </c>
    </row>
    <row r="33" spans="1:25" ht="15.75" customHeight="1" x14ac:dyDescent="0.25">
      <c r="A33" s="111" t="s">
        <v>2778</v>
      </c>
      <c r="B33" s="111" t="s">
        <v>8</v>
      </c>
      <c r="C33" s="112"/>
      <c r="D33" s="112"/>
      <c r="E33" s="112"/>
      <c r="F33" s="112"/>
      <c r="G33" s="112"/>
      <c r="H33" s="112"/>
      <c r="I33" s="112"/>
      <c r="J33" s="112"/>
      <c r="K33" s="112"/>
      <c r="L33" s="112"/>
      <c r="M33" s="112"/>
      <c r="N33" s="112"/>
      <c r="O33" s="112"/>
      <c r="P33" s="112"/>
      <c r="Q33" s="112"/>
      <c r="R33" s="112"/>
      <c r="S33" s="112"/>
      <c r="T33" s="112"/>
      <c r="U33" s="112"/>
      <c r="V33" s="112"/>
      <c r="W33" s="112"/>
      <c r="X33" s="112"/>
      <c r="Y33" s="113"/>
    </row>
    <row r="34" spans="1:25" x14ac:dyDescent="0.25">
      <c r="A34" s="111" t="s">
        <v>10</v>
      </c>
      <c r="B34" s="114">
        <v>2002</v>
      </c>
      <c r="C34" s="115">
        <v>2003</v>
      </c>
      <c r="D34" s="115">
        <v>2004</v>
      </c>
      <c r="E34" s="115">
        <v>2005</v>
      </c>
      <c r="F34" s="115">
        <v>2006</v>
      </c>
      <c r="G34" s="115">
        <v>2007</v>
      </c>
      <c r="H34" s="115">
        <v>2008</v>
      </c>
      <c r="I34" s="115">
        <v>2009</v>
      </c>
      <c r="J34" s="115">
        <v>2010</v>
      </c>
      <c r="K34" s="115">
        <v>2011</v>
      </c>
      <c r="L34" s="115">
        <v>2012</v>
      </c>
      <c r="M34" s="115">
        <v>2013</v>
      </c>
      <c r="N34" s="115">
        <v>2014</v>
      </c>
      <c r="O34" s="115">
        <v>2015</v>
      </c>
      <c r="P34" s="115">
        <v>2016</v>
      </c>
      <c r="Q34" s="115">
        <v>2017</v>
      </c>
      <c r="R34" s="115">
        <v>2018</v>
      </c>
      <c r="S34" s="115">
        <v>2019</v>
      </c>
      <c r="T34" s="115">
        <v>2020</v>
      </c>
      <c r="U34" s="115">
        <v>2021</v>
      </c>
      <c r="V34" s="115">
        <v>2022</v>
      </c>
      <c r="W34" s="115">
        <v>2023</v>
      </c>
      <c r="X34" s="115">
        <v>2024</v>
      </c>
      <c r="Y34" s="122" t="s">
        <v>2779</v>
      </c>
    </row>
    <row r="35" spans="1:25" x14ac:dyDescent="0.25">
      <c r="A35" s="114" t="s">
        <v>308</v>
      </c>
      <c r="B35" s="184">
        <v>1</v>
      </c>
      <c r="C35" s="185">
        <v>2</v>
      </c>
      <c r="D35" s="185">
        <v>4</v>
      </c>
      <c r="E35" s="185">
        <v>5</v>
      </c>
      <c r="F35" s="185">
        <v>4</v>
      </c>
      <c r="G35" s="185">
        <v>3</v>
      </c>
      <c r="H35" s="185">
        <v>2</v>
      </c>
      <c r="I35" s="185">
        <v>8</v>
      </c>
      <c r="J35" s="185">
        <v>12</v>
      </c>
      <c r="K35" s="185">
        <v>8</v>
      </c>
      <c r="L35" s="185">
        <v>9</v>
      </c>
      <c r="M35" s="185">
        <v>13</v>
      </c>
      <c r="N35" s="185">
        <v>15</v>
      </c>
      <c r="O35" s="185">
        <v>33</v>
      </c>
      <c r="P35" s="185">
        <v>21</v>
      </c>
      <c r="Q35" s="185">
        <v>41</v>
      </c>
      <c r="R35" s="185">
        <v>22</v>
      </c>
      <c r="S35" s="185">
        <v>26</v>
      </c>
      <c r="T35" s="185">
        <v>6</v>
      </c>
      <c r="U35" s="185">
        <v>9</v>
      </c>
      <c r="V35" s="185">
        <v>7</v>
      </c>
      <c r="W35" s="185">
        <v>16</v>
      </c>
      <c r="X35" s="185">
        <v>24</v>
      </c>
      <c r="Y35" s="199">
        <v>291</v>
      </c>
    </row>
    <row r="36" spans="1:25" x14ac:dyDescent="0.25">
      <c r="A36" s="117" t="s">
        <v>399</v>
      </c>
      <c r="B36" s="187">
        <v>0</v>
      </c>
      <c r="C36" s="188">
        <v>1</v>
      </c>
      <c r="D36" s="188">
        <v>0</v>
      </c>
      <c r="E36" s="188">
        <v>0</v>
      </c>
      <c r="F36" s="188">
        <v>1</v>
      </c>
      <c r="G36" s="188">
        <v>5</v>
      </c>
      <c r="H36" s="188">
        <v>0</v>
      </c>
      <c r="I36" s="188">
        <v>1</v>
      </c>
      <c r="J36" s="188">
        <v>1</v>
      </c>
      <c r="K36" s="188">
        <v>2</v>
      </c>
      <c r="L36" s="188">
        <v>3</v>
      </c>
      <c r="M36" s="188">
        <v>2</v>
      </c>
      <c r="N36" s="188">
        <v>11</v>
      </c>
      <c r="O36" s="188">
        <v>11</v>
      </c>
      <c r="P36" s="188">
        <v>17</v>
      </c>
      <c r="Q36" s="188">
        <v>9</v>
      </c>
      <c r="R36" s="188">
        <v>17</v>
      </c>
      <c r="S36" s="188">
        <v>16</v>
      </c>
      <c r="T36" s="188">
        <v>3</v>
      </c>
      <c r="U36" s="188">
        <v>5</v>
      </c>
      <c r="V36" s="188">
        <v>3</v>
      </c>
      <c r="W36" s="188">
        <v>8</v>
      </c>
      <c r="X36" s="188">
        <v>5</v>
      </c>
      <c r="Y36" s="200">
        <v>121</v>
      </c>
    </row>
    <row r="37" spans="1:25" x14ac:dyDescent="0.25">
      <c r="A37" s="121" t="s">
        <v>2779</v>
      </c>
      <c r="B37" s="196">
        <v>1</v>
      </c>
      <c r="C37" s="197">
        <v>3</v>
      </c>
      <c r="D37" s="197">
        <v>4</v>
      </c>
      <c r="E37" s="197">
        <v>5</v>
      </c>
      <c r="F37" s="197">
        <v>5</v>
      </c>
      <c r="G37" s="197">
        <v>8</v>
      </c>
      <c r="H37" s="197">
        <v>2</v>
      </c>
      <c r="I37" s="197">
        <v>9</v>
      </c>
      <c r="J37" s="197">
        <v>13</v>
      </c>
      <c r="K37" s="197">
        <v>10</v>
      </c>
      <c r="L37" s="197">
        <v>12</v>
      </c>
      <c r="M37" s="197">
        <v>15</v>
      </c>
      <c r="N37" s="197">
        <v>26</v>
      </c>
      <c r="O37" s="197">
        <v>44</v>
      </c>
      <c r="P37" s="197">
        <v>38</v>
      </c>
      <c r="Q37" s="197">
        <v>50</v>
      </c>
      <c r="R37" s="197">
        <v>39</v>
      </c>
      <c r="S37" s="197">
        <v>42</v>
      </c>
      <c r="T37" s="197">
        <v>9</v>
      </c>
      <c r="U37" s="197">
        <v>14</v>
      </c>
      <c r="V37" s="197">
        <v>10</v>
      </c>
      <c r="W37" s="197">
        <v>24</v>
      </c>
      <c r="X37" s="197">
        <v>29</v>
      </c>
      <c r="Y37" s="198">
        <v>412</v>
      </c>
    </row>
    <row r="57" spans="1:7" ht="15.75" customHeight="1" x14ac:dyDescent="0.25">
      <c r="A57" s="12" t="s">
        <v>3144</v>
      </c>
    </row>
    <row r="58" spans="1:7" ht="15.75" customHeight="1" x14ac:dyDescent="0.25"/>
    <row r="59" spans="1:7" ht="15.75" customHeight="1" x14ac:dyDescent="0.25"/>
    <row r="60" spans="1:7" ht="15.75" customHeight="1" x14ac:dyDescent="0.25">
      <c r="A60" s="111" t="s">
        <v>2778</v>
      </c>
      <c r="B60" s="111" t="s">
        <v>8</v>
      </c>
      <c r="C60" s="112"/>
      <c r="D60" s="112"/>
      <c r="E60" s="112"/>
      <c r="F60" s="112"/>
      <c r="G60" s="113"/>
    </row>
    <row r="61" spans="1:7" x14ac:dyDescent="0.25">
      <c r="A61" s="111" t="s">
        <v>10</v>
      </c>
      <c r="B61" s="114">
        <v>2020</v>
      </c>
      <c r="C61" s="115">
        <v>2021</v>
      </c>
      <c r="D61" s="115">
        <v>2022</v>
      </c>
      <c r="E61" s="115">
        <v>2023</v>
      </c>
      <c r="F61" s="115">
        <v>2024</v>
      </c>
      <c r="G61" s="122" t="s">
        <v>2779</v>
      </c>
    </row>
    <row r="62" spans="1:7" x14ac:dyDescent="0.25">
      <c r="A62" s="114" t="s">
        <v>308</v>
      </c>
      <c r="B62" s="184">
        <v>6</v>
      </c>
      <c r="C62" s="185">
        <v>9</v>
      </c>
      <c r="D62" s="185">
        <v>7</v>
      </c>
      <c r="E62" s="185">
        <v>16</v>
      </c>
      <c r="F62" s="185">
        <v>24</v>
      </c>
      <c r="G62" s="199">
        <v>62</v>
      </c>
    </row>
    <row r="63" spans="1:7" x14ac:dyDescent="0.25">
      <c r="A63" s="117" t="s">
        <v>399</v>
      </c>
      <c r="B63" s="187">
        <v>3</v>
      </c>
      <c r="C63" s="188">
        <v>5</v>
      </c>
      <c r="D63" s="188">
        <v>3</v>
      </c>
      <c r="E63" s="188">
        <v>8</v>
      </c>
      <c r="F63" s="188">
        <v>5</v>
      </c>
      <c r="G63" s="200">
        <v>24</v>
      </c>
    </row>
    <row r="64" spans="1:7" x14ac:dyDescent="0.25">
      <c r="A64" s="121" t="s">
        <v>2779</v>
      </c>
      <c r="B64" s="196">
        <v>9</v>
      </c>
      <c r="C64" s="197">
        <v>14</v>
      </c>
      <c r="D64" s="197">
        <v>10</v>
      </c>
      <c r="E64" s="197">
        <v>24</v>
      </c>
      <c r="F64" s="197">
        <v>29</v>
      </c>
      <c r="G64" s="198">
        <v>86</v>
      </c>
    </row>
  </sheetData>
  <pageMargins left="0.7" right="0.7" top="0.75" bottom="0.75" header="0" footer="0"/>
  <pageSetup orientation="portrait"/>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2:B70"/>
  <sheetViews>
    <sheetView topLeftCell="A51" workbookViewId="0">
      <selection activeCell="E45" sqref="E45"/>
    </sheetView>
  </sheetViews>
  <sheetFormatPr defaultColWidth="14.42578125" defaultRowHeight="15" customHeight="1" x14ac:dyDescent="0.25"/>
  <cols>
    <col min="1" max="1" width="15" customWidth="1"/>
    <col min="2" max="2" width="23" customWidth="1"/>
    <col min="3" max="3" width="16.28515625" customWidth="1"/>
    <col min="4" max="4" width="8" customWidth="1"/>
    <col min="5" max="5" width="17.42578125" customWidth="1"/>
    <col min="6" max="6" width="13" customWidth="1"/>
    <col min="7" max="26" width="8.7109375" customWidth="1"/>
  </cols>
  <sheetData>
    <row r="2" spans="1:2" hidden="1" x14ac:dyDescent="0.25">
      <c r="A2" s="120" t="s">
        <v>1</v>
      </c>
      <c r="B2" s="119" t="s">
        <v>307</v>
      </c>
    </row>
    <row r="3" spans="1:2" hidden="1" x14ac:dyDescent="0.25">
      <c r="A3" s="120" t="s">
        <v>8</v>
      </c>
      <c r="B3" s="119" t="s">
        <v>2817</v>
      </c>
    </row>
    <row r="4" spans="1:2" hidden="1" x14ac:dyDescent="0.25">
      <c r="A4" s="120" t="s">
        <v>10</v>
      </c>
      <c r="B4" s="119" t="s">
        <v>2827</v>
      </c>
    </row>
    <row r="5" spans="1:2" hidden="1" x14ac:dyDescent="0.25"/>
    <row r="6" spans="1:2" hidden="1" x14ac:dyDescent="0.25">
      <c r="A6" s="111" t="s">
        <v>17</v>
      </c>
      <c r="B6" s="116" t="s">
        <v>2778</v>
      </c>
    </row>
    <row r="7" spans="1:2" hidden="1" x14ac:dyDescent="0.25">
      <c r="A7" s="114" t="s">
        <v>818</v>
      </c>
      <c r="B7" s="193">
        <v>19</v>
      </c>
    </row>
    <row r="8" spans="1:2" hidden="1" x14ac:dyDescent="0.25">
      <c r="A8" s="117" t="s">
        <v>309</v>
      </c>
      <c r="B8" s="194">
        <v>68</v>
      </c>
    </row>
    <row r="9" spans="1:2" hidden="1" x14ac:dyDescent="0.25">
      <c r="A9" s="117" t="s">
        <v>594</v>
      </c>
      <c r="B9" s="194">
        <v>42</v>
      </c>
    </row>
    <row r="10" spans="1:2" hidden="1" x14ac:dyDescent="0.25">
      <c r="A10" s="117" t="s">
        <v>1229</v>
      </c>
      <c r="B10" s="194">
        <v>11</v>
      </c>
    </row>
    <row r="11" spans="1:2" hidden="1" x14ac:dyDescent="0.25">
      <c r="A11" s="117" t="s">
        <v>426</v>
      </c>
      <c r="B11" s="194">
        <v>130</v>
      </c>
    </row>
    <row r="12" spans="1:2" hidden="1" x14ac:dyDescent="0.25">
      <c r="A12" s="118" t="s">
        <v>2779</v>
      </c>
      <c r="B12" s="195">
        <v>270</v>
      </c>
    </row>
    <row r="13" spans="1:2" hidden="1" x14ac:dyDescent="0.25"/>
    <row r="14" spans="1:2" hidden="1" x14ac:dyDescent="0.25">
      <c r="A14" s="6"/>
    </row>
    <row r="15" spans="1:2" hidden="1" x14ac:dyDescent="0.25">
      <c r="A15" s="23">
        <v>2018</v>
      </c>
    </row>
    <row r="17" spans="1:2" hidden="1" x14ac:dyDescent="0.25">
      <c r="A17" s="120" t="s">
        <v>1</v>
      </c>
      <c r="B17" s="119" t="s">
        <v>307</v>
      </c>
    </row>
    <row r="18" spans="1:2" hidden="1" x14ac:dyDescent="0.25">
      <c r="A18" s="120" t="s">
        <v>8</v>
      </c>
      <c r="B18" s="127">
        <v>2018</v>
      </c>
    </row>
    <row r="19" spans="1:2" hidden="1" x14ac:dyDescent="0.25">
      <c r="A19" s="120" t="s">
        <v>10</v>
      </c>
      <c r="B19" s="119" t="s">
        <v>2827</v>
      </c>
    </row>
    <row r="20" spans="1:2" hidden="1" x14ac:dyDescent="0.25"/>
    <row r="21" spans="1:2" ht="15.75" hidden="1" customHeight="1" x14ac:dyDescent="0.25">
      <c r="A21" s="111" t="s">
        <v>17</v>
      </c>
      <c r="B21" s="116" t="s">
        <v>2778</v>
      </c>
    </row>
    <row r="22" spans="1:2" ht="15.75" hidden="1" customHeight="1" x14ac:dyDescent="0.25">
      <c r="A22" s="114" t="s">
        <v>818</v>
      </c>
      <c r="B22" s="193">
        <v>1</v>
      </c>
    </row>
    <row r="23" spans="1:2" ht="15.75" hidden="1" customHeight="1" x14ac:dyDescent="0.25">
      <c r="A23" s="117" t="s">
        <v>309</v>
      </c>
      <c r="B23" s="194">
        <v>8</v>
      </c>
    </row>
    <row r="24" spans="1:2" ht="15.75" hidden="1" customHeight="1" x14ac:dyDescent="0.25">
      <c r="A24" s="117" t="s">
        <v>594</v>
      </c>
      <c r="B24" s="194">
        <v>7</v>
      </c>
    </row>
    <row r="25" spans="1:2" ht="15.75" hidden="1" customHeight="1" x14ac:dyDescent="0.25">
      <c r="A25" s="117" t="s">
        <v>1229</v>
      </c>
      <c r="B25" s="194">
        <v>3</v>
      </c>
    </row>
    <row r="26" spans="1:2" ht="15.75" hidden="1" customHeight="1" x14ac:dyDescent="0.25">
      <c r="A26" s="117" t="s">
        <v>426</v>
      </c>
      <c r="B26" s="194">
        <v>20</v>
      </c>
    </row>
    <row r="27" spans="1:2" ht="15.75" hidden="1" customHeight="1" x14ac:dyDescent="0.25">
      <c r="A27" s="118" t="s">
        <v>2779</v>
      </c>
      <c r="B27" s="195">
        <v>39</v>
      </c>
    </row>
    <row r="37" spans="1:2" ht="15.75" customHeight="1" x14ac:dyDescent="0.25">
      <c r="A37" s="12" t="s">
        <v>3619</v>
      </c>
    </row>
    <row r="38" spans="1:2" ht="15.75" customHeight="1" x14ac:dyDescent="0.25"/>
    <row r="39" spans="1:2" ht="15.75" customHeight="1" x14ac:dyDescent="0.25"/>
    <row r="40" spans="1:2" x14ac:dyDescent="0.25">
      <c r="A40" s="120" t="s">
        <v>1</v>
      </c>
      <c r="B40" s="119" t="s">
        <v>307</v>
      </c>
    </row>
    <row r="41" spans="1:2" x14ac:dyDescent="0.25">
      <c r="A41" s="120" t="s">
        <v>8</v>
      </c>
      <c r="B41" s="119" t="s">
        <v>2817</v>
      </c>
    </row>
    <row r="42" spans="1:2" x14ac:dyDescent="0.25">
      <c r="A42" s="120" t="s">
        <v>10</v>
      </c>
      <c r="B42" s="119" t="s">
        <v>2817</v>
      </c>
    </row>
    <row r="43" spans="1:2" ht="15.75" customHeight="1" x14ac:dyDescent="0.25"/>
    <row r="44" spans="1:2" ht="15.75" customHeight="1" x14ac:dyDescent="0.25">
      <c r="A44" s="111" t="s">
        <v>17</v>
      </c>
      <c r="B44" s="116" t="s">
        <v>2778</v>
      </c>
    </row>
    <row r="45" spans="1:2" ht="15.75" customHeight="1" x14ac:dyDescent="0.25">
      <c r="A45" s="114" t="s">
        <v>818</v>
      </c>
      <c r="B45" s="193">
        <v>26</v>
      </c>
    </row>
    <row r="46" spans="1:2" ht="15.75" customHeight="1" x14ac:dyDescent="0.25">
      <c r="A46" s="117" t="s">
        <v>309</v>
      </c>
      <c r="B46" s="194">
        <v>103</v>
      </c>
    </row>
    <row r="47" spans="1:2" ht="15.75" customHeight="1" x14ac:dyDescent="0.25">
      <c r="A47" s="117" t="s">
        <v>594</v>
      </c>
      <c r="B47" s="194">
        <v>69</v>
      </c>
    </row>
    <row r="48" spans="1:2" ht="15.75" customHeight="1" x14ac:dyDescent="0.25">
      <c r="A48" s="117" t="s">
        <v>866</v>
      </c>
      <c r="B48" s="194">
        <v>15</v>
      </c>
    </row>
    <row r="49" spans="1:2" ht="15.75" customHeight="1" x14ac:dyDescent="0.25">
      <c r="A49" s="117" t="s">
        <v>1229</v>
      </c>
      <c r="B49" s="194">
        <v>15</v>
      </c>
    </row>
    <row r="50" spans="1:2" ht="15.75" customHeight="1" x14ac:dyDescent="0.25">
      <c r="A50" s="117" t="s">
        <v>426</v>
      </c>
      <c r="B50" s="194">
        <v>169</v>
      </c>
    </row>
    <row r="51" spans="1:2" ht="15.75" customHeight="1" x14ac:dyDescent="0.25">
      <c r="A51" s="117" t="s">
        <v>2239</v>
      </c>
      <c r="B51" s="194">
        <v>13</v>
      </c>
    </row>
    <row r="52" spans="1:2" ht="15.75" customHeight="1" x14ac:dyDescent="0.25">
      <c r="A52" s="117" t="s">
        <v>1477</v>
      </c>
      <c r="B52" s="194">
        <v>2</v>
      </c>
    </row>
    <row r="53" spans="1:2" x14ac:dyDescent="0.25">
      <c r="A53" s="121" t="s">
        <v>2779</v>
      </c>
      <c r="B53" s="198">
        <v>412</v>
      </c>
    </row>
    <row r="54" spans="1:2" ht="15.75" customHeight="1" x14ac:dyDescent="0.25"/>
    <row r="55" spans="1:2" ht="15.75" customHeight="1" x14ac:dyDescent="0.25"/>
    <row r="56" spans="1:2" ht="15.75" customHeight="1" x14ac:dyDescent="0.25"/>
    <row r="57" spans="1:2" x14ac:dyDescent="0.25">
      <c r="A57" s="120" t="s">
        <v>1</v>
      </c>
      <c r="B57" s="119" t="s">
        <v>307</v>
      </c>
    </row>
    <row r="58" spans="1:2" x14ac:dyDescent="0.25">
      <c r="A58" s="120" t="s">
        <v>8</v>
      </c>
      <c r="B58" s="119" t="s">
        <v>2817</v>
      </c>
    </row>
    <row r="59" spans="1:2" x14ac:dyDescent="0.25">
      <c r="A59" s="120" t="s">
        <v>10</v>
      </c>
      <c r="B59" s="119" t="s">
        <v>2827</v>
      </c>
    </row>
    <row r="60" spans="1:2" ht="15.75" customHeight="1" x14ac:dyDescent="0.25"/>
    <row r="61" spans="1:2" ht="15.75" customHeight="1" x14ac:dyDescent="0.25">
      <c r="A61" s="111" t="s">
        <v>17</v>
      </c>
      <c r="B61" s="116" t="s">
        <v>2778</v>
      </c>
    </row>
    <row r="62" spans="1:2" ht="15.75" customHeight="1" x14ac:dyDescent="0.25">
      <c r="A62" s="114" t="s">
        <v>818</v>
      </c>
      <c r="B62" s="193">
        <v>6</v>
      </c>
    </row>
    <row r="63" spans="1:2" ht="15.75" customHeight="1" x14ac:dyDescent="0.25">
      <c r="A63" s="117" t="s">
        <v>309</v>
      </c>
      <c r="B63" s="194">
        <v>19</v>
      </c>
    </row>
    <row r="64" spans="1:2" ht="15.75" customHeight="1" x14ac:dyDescent="0.25">
      <c r="A64" s="117" t="s">
        <v>594</v>
      </c>
      <c r="B64" s="194">
        <v>19</v>
      </c>
    </row>
    <row r="65" spans="1:2" ht="15.75" customHeight="1" x14ac:dyDescent="0.25">
      <c r="A65" s="117" t="s">
        <v>866</v>
      </c>
      <c r="B65" s="194">
        <v>3</v>
      </c>
    </row>
    <row r="66" spans="1:2" ht="15.75" customHeight="1" x14ac:dyDescent="0.25">
      <c r="A66" s="117" t="s">
        <v>1229</v>
      </c>
      <c r="B66" s="194">
        <v>3</v>
      </c>
    </row>
    <row r="67" spans="1:2" ht="15.75" customHeight="1" x14ac:dyDescent="0.25">
      <c r="A67" s="117" t="s">
        <v>426</v>
      </c>
      <c r="B67" s="194">
        <v>24</v>
      </c>
    </row>
    <row r="68" spans="1:2" ht="15.75" customHeight="1" x14ac:dyDescent="0.25">
      <c r="A68" s="117" t="s">
        <v>2239</v>
      </c>
      <c r="B68" s="194">
        <v>12</v>
      </c>
    </row>
    <row r="69" spans="1:2" x14ac:dyDescent="0.25">
      <c r="A69" s="121" t="s">
        <v>2779</v>
      </c>
      <c r="B69" s="198">
        <v>86</v>
      </c>
    </row>
    <row r="70" spans="1:2" x14ac:dyDescent="0.25"/>
  </sheetData>
  <pageMargins left="0.7" right="0.7" top="0.75" bottom="0.75" header="0" footer="0"/>
  <pageSetup orientation="portrait"/>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2:B60"/>
  <sheetViews>
    <sheetView topLeftCell="A54" workbookViewId="0"/>
  </sheetViews>
  <sheetFormatPr defaultColWidth="14.42578125" defaultRowHeight="15" customHeight="1" x14ac:dyDescent="0.25"/>
  <cols>
    <col min="1" max="1" width="15" customWidth="1"/>
    <col min="2" max="2" width="23" customWidth="1"/>
    <col min="3" max="3" width="25.28515625" customWidth="1"/>
    <col min="4" max="26" width="8.7109375" customWidth="1"/>
  </cols>
  <sheetData>
    <row r="2" spans="1:2" hidden="1" x14ac:dyDescent="0.25">
      <c r="A2" s="120" t="s">
        <v>1</v>
      </c>
      <c r="B2" s="119" t="s">
        <v>307</v>
      </c>
    </row>
    <row r="3" spans="1:2" hidden="1" x14ac:dyDescent="0.25">
      <c r="A3" s="120" t="s">
        <v>8</v>
      </c>
      <c r="B3" s="119" t="s">
        <v>2817</v>
      </c>
    </row>
    <row r="4" spans="1:2" hidden="1" x14ac:dyDescent="0.25">
      <c r="A4" s="120" t="s">
        <v>10</v>
      </c>
      <c r="B4" s="119" t="s">
        <v>2827</v>
      </c>
    </row>
    <row r="5" spans="1:2" hidden="1" x14ac:dyDescent="0.25"/>
    <row r="6" spans="1:2" hidden="1" x14ac:dyDescent="0.25">
      <c r="A6" s="111" t="s">
        <v>19</v>
      </c>
      <c r="B6" s="116" t="s">
        <v>2778</v>
      </c>
    </row>
    <row r="7" spans="1:2" hidden="1" x14ac:dyDescent="0.25">
      <c r="A7" s="114" t="s">
        <v>885</v>
      </c>
      <c r="B7" s="193">
        <v>23</v>
      </c>
    </row>
    <row r="8" spans="1:2" hidden="1" x14ac:dyDescent="0.25">
      <c r="A8" s="117" t="s">
        <v>311</v>
      </c>
      <c r="B8" s="194">
        <v>101</v>
      </c>
    </row>
    <row r="9" spans="1:2" hidden="1" x14ac:dyDescent="0.25">
      <c r="A9" s="117" t="s">
        <v>596</v>
      </c>
      <c r="B9" s="194">
        <v>14</v>
      </c>
    </row>
    <row r="10" spans="1:2" hidden="1" x14ac:dyDescent="0.25">
      <c r="A10" s="117" t="s">
        <v>427</v>
      </c>
      <c r="B10" s="194">
        <v>129</v>
      </c>
    </row>
    <row r="11" spans="1:2" hidden="1" x14ac:dyDescent="0.25">
      <c r="A11" s="117" t="s">
        <v>660</v>
      </c>
      <c r="B11" s="194">
        <v>17</v>
      </c>
    </row>
    <row r="12" spans="1:2" hidden="1" x14ac:dyDescent="0.25">
      <c r="A12" s="118" t="s">
        <v>2779</v>
      </c>
      <c r="B12" s="195">
        <v>284</v>
      </c>
    </row>
    <row r="20" spans="1:2" x14ac:dyDescent="0.25">
      <c r="A20" s="12" t="s">
        <v>3141</v>
      </c>
    </row>
    <row r="21" spans="1:2" ht="15.75" customHeight="1" x14ac:dyDescent="0.25"/>
    <row r="22" spans="1:2" ht="15.75" customHeight="1" x14ac:dyDescent="0.25"/>
    <row r="23" spans="1:2" x14ac:dyDescent="0.25">
      <c r="A23" s="120" t="s">
        <v>1</v>
      </c>
      <c r="B23" s="119" t="s">
        <v>307</v>
      </c>
    </row>
    <row r="24" spans="1:2" x14ac:dyDescent="0.25">
      <c r="A24" s="120" t="s">
        <v>8</v>
      </c>
      <c r="B24" s="119" t="s">
        <v>2817</v>
      </c>
    </row>
    <row r="25" spans="1:2" x14ac:dyDescent="0.25">
      <c r="A25" s="120" t="s">
        <v>10</v>
      </c>
      <c r="B25" s="119" t="s">
        <v>2827</v>
      </c>
    </row>
    <row r="26" spans="1:2" ht="15.75" customHeight="1" x14ac:dyDescent="0.25"/>
    <row r="27" spans="1:2" ht="15.75" customHeight="1" x14ac:dyDescent="0.25">
      <c r="A27" s="111" t="s">
        <v>19</v>
      </c>
      <c r="B27" s="116" t="s">
        <v>2778</v>
      </c>
    </row>
    <row r="28" spans="1:2" ht="15.75" customHeight="1" x14ac:dyDescent="0.25">
      <c r="A28" s="114" t="s">
        <v>885</v>
      </c>
      <c r="B28" s="193">
        <v>43</v>
      </c>
    </row>
    <row r="29" spans="1:2" ht="15.75" customHeight="1" x14ac:dyDescent="0.25">
      <c r="A29" s="117" t="s">
        <v>311</v>
      </c>
      <c r="B29" s="194">
        <v>155</v>
      </c>
    </row>
    <row r="30" spans="1:2" ht="15.75" customHeight="1" x14ac:dyDescent="0.25">
      <c r="A30" s="117" t="s">
        <v>2424</v>
      </c>
      <c r="B30" s="194">
        <v>1</v>
      </c>
    </row>
    <row r="31" spans="1:2" ht="15.75" customHeight="1" x14ac:dyDescent="0.25">
      <c r="A31" s="117" t="s">
        <v>596</v>
      </c>
      <c r="B31" s="194">
        <v>23</v>
      </c>
    </row>
    <row r="32" spans="1:2" ht="15.75" customHeight="1" x14ac:dyDescent="0.25">
      <c r="A32" s="117" t="s">
        <v>427</v>
      </c>
      <c r="B32" s="194">
        <v>169</v>
      </c>
    </row>
    <row r="33" spans="1:2" ht="15.75" customHeight="1" x14ac:dyDescent="0.25">
      <c r="A33" s="117" t="s">
        <v>660</v>
      </c>
      <c r="B33" s="194">
        <v>20</v>
      </c>
    </row>
    <row r="34" spans="1:2" x14ac:dyDescent="0.25">
      <c r="A34" s="121" t="s">
        <v>2779</v>
      </c>
      <c r="B34" s="198">
        <v>411</v>
      </c>
    </row>
    <row r="35" spans="1:2" ht="15.75" customHeight="1" x14ac:dyDescent="0.25"/>
    <row r="36" spans="1:2" ht="15.75" customHeight="1" x14ac:dyDescent="0.25"/>
    <row r="37" spans="1:2" ht="15.75" customHeight="1" x14ac:dyDescent="0.25"/>
    <row r="38" spans="1:2" ht="15.75" customHeight="1" x14ac:dyDescent="0.25"/>
    <row r="39" spans="1:2" ht="15.75" customHeight="1" x14ac:dyDescent="0.25"/>
    <row r="40" spans="1:2" ht="15.75" customHeight="1" x14ac:dyDescent="0.25"/>
    <row r="41" spans="1:2" ht="15.75" customHeight="1" x14ac:dyDescent="0.25"/>
    <row r="42" spans="1:2" ht="15.75" customHeight="1" x14ac:dyDescent="0.25"/>
    <row r="43" spans="1:2" ht="15.75" customHeight="1" x14ac:dyDescent="0.25"/>
    <row r="44" spans="1:2" ht="15.75" customHeight="1" x14ac:dyDescent="0.25"/>
    <row r="45" spans="1:2" ht="15.75" customHeight="1" x14ac:dyDescent="0.25"/>
    <row r="46" spans="1:2" ht="15.75" customHeight="1" x14ac:dyDescent="0.25">
      <c r="A46" s="12" t="s">
        <v>3145</v>
      </c>
    </row>
    <row r="50" spans="1:2" x14ac:dyDescent="0.25">
      <c r="A50" s="120" t="s">
        <v>1</v>
      </c>
      <c r="B50" s="119" t="s">
        <v>307</v>
      </c>
    </row>
    <row r="51" spans="1:2" x14ac:dyDescent="0.25">
      <c r="A51" s="120" t="s">
        <v>8</v>
      </c>
      <c r="B51" s="119" t="s">
        <v>2817</v>
      </c>
    </row>
    <row r="52" spans="1:2" x14ac:dyDescent="0.25">
      <c r="A52" s="120" t="s">
        <v>10</v>
      </c>
      <c r="B52" s="119" t="s">
        <v>2827</v>
      </c>
    </row>
    <row r="53" spans="1:2" ht="15.75" customHeight="1" x14ac:dyDescent="0.25"/>
    <row r="54" spans="1:2" ht="15.75" customHeight="1" x14ac:dyDescent="0.25">
      <c r="A54" s="111" t="s">
        <v>19</v>
      </c>
      <c r="B54" s="116" t="s">
        <v>2778</v>
      </c>
    </row>
    <row r="55" spans="1:2" ht="15.75" customHeight="1" x14ac:dyDescent="0.25">
      <c r="A55" s="114" t="s">
        <v>885</v>
      </c>
      <c r="B55" s="193">
        <v>16</v>
      </c>
    </row>
    <row r="56" spans="1:2" ht="15.75" customHeight="1" x14ac:dyDescent="0.25">
      <c r="A56" s="117" t="s">
        <v>311</v>
      </c>
      <c r="B56" s="194">
        <v>32</v>
      </c>
    </row>
    <row r="57" spans="1:2" ht="15.75" customHeight="1" x14ac:dyDescent="0.25">
      <c r="A57" s="117" t="s">
        <v>2424</v>
      </c>
      <c r="B57" s="194">
        <v>1</v>
      </c>
    </row>
    <row r="58" spans="1:2" ht="15.75" customHeight="1" x14ac:dyDescent="0.25">
      <c r="A58" s="117" t="s">
        <v>596</v>
      </c>
      <c r="B58" s="194">
        <v>8</v>
      </c>
    </row>
    <row r="59" spans="1:2" ht="15.75" customHeight="1" x14ac:dyDescent="0.25">
      <c r="A59" s="117" t="s">
        <v>427</v>
      </c>
      <c r="B59" s="194">
        <v>28</v>
      </c>
    </row>
    <row r="60" spans="1:2" x14ac:dyDescent="0.25">
      <c r="A60" s="121" t="s">
        <v>2779</v>
      </c>
      <c r="B60" s="198">
        <v>85</v>
      </c>
    </row>
  </sheetData>
  <pageMargins left="0.7" right="0.7" top="0.75" bottom="0.75" header="0" footer="0"/>
  <pageSetup orientation="portrait"/>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Y55"/>
  <sheetViews>
    <sheetView topLeftCell="A22" workbookViewId="0">
      <selection activeCell="AE25" sqref="AE25"/>
    </sheetView>
  </sheetViews>
  <sheetFormatPr defaultColWidth="14.42578125" defaultRowHeight="15" customHeight="1" x14ac:dyDescent="0.25"/>
  <cols>
    <col min="1" max="1" width="23.42578125" customWidth="1"/>
    <col min="2" max="2" width="7.85546875" customWidth="1"/>
    <col min="3" max="3" width="6.5703125" customWidth="1"/>
    <col min="4" max="20" width="5" customWidth="1"/>
    <col min="21" max="21" width="6" customWidth="1"/>
    <col min="22" max="24" width="5" customWidth="1"/>
    <col min="25" max="25" width="8.7109375" customWidth="1"/>
  </cols>
  <sheetData>
    <row r="1" spans="1:25" ht="15" customHeight="1" x14ac:dyDescent="0.25">
      <c r="A1" s="71" t="s">
        <v>3778</v>
      </c>
    </row>
    <row r="3" spans="1:25" ht="15" customHeight="1" x14ac:dyDescent="0.25">
      <c r="A3" s="72" t="s">
        <v>3086</v>
      </c>
    </row>
    <row r="4" spans="1:25" x14ac:dyDescent="0.25">
      <c r="A4" s="12" t="s">
        <v>3142</v>
      </c>
    </row>
    <row r="6" spans="1:25" x14ac:dyDescent="0.25"/>
    <row r="7" spans="1:25" x14ac:dyDescent="0.25">
      <c r="A7" s="120" t="s">
        <v>10</v>
      </c>
      <c r="B7" s="119" t="s">
        <v>2827</v>
      </c>
    </row>
    <row r="9" spans="1:25" x14ac:dyDescent="0.25">
      <c r="A9" s="111" t="s">
        <v>3716</v>
      </c>
      <c r="B9" s="111" t="s">
        <v>8</v>
      </c>
      <c r="C9" s="112"/>
      <c r="D9" s="112"/>
      <c r="E9" s="112"/>
      <c r="F9" s="112"/>
      <c r="G9" s="112"/>
      <c r="H9" s="112"/>
      <c r="I9" s="112"/>
      <c r="J9" s="112"/>
      <c r="K9" s="112"/>
      <c r="L9" s="112"/>
      <c r="M9" s="112"/>
      <c r="N9" s="112"/>
      <c r="O9" s="112"/>
      <c r="P9" s="112"/>
      <c r="Q9" s="112"/>
      <c r="R9" s="112"/>
      <c r="S9" s="112"/>
      <c r="T9" s="112"/>
      <c r="U9" s="112"/>
      <c r="V9" s="112"/>
      <c r="W9" s="112"/>
      <c r="X9" s="112"/>
      <c r="Y9" s="113"/>
    </row>
    <row r="10" spans="1:25" x14ac:dyDescent="0.25">
      <c r="A10" s="111" t="s">
        <v>3628</v>
      </c>
      <c r="B10" s="114">
        <v>2002</v>
      </c>
      <c r="C10" s="115">
        <v>2003</v>
      </c>
      <c r="D10" s="115">
        <v>2004</v>
      </c>
      <c r="E10" s="115">
        <v>2005</v>
      </c>
      <c r="F10" s="115">
        <v>2006</v>
      </c>
      <c r="G10" s="115">
        <v>2007</v>
      </c>
      <c r="H10" s="115">
        <v>2008</v>
      </c>
      <c r="I10" s="115">
        <v>2009</v>
      </c>
      <c r="J10" s="115">
        <v>2010</v>
      </c>
      <c r="K10" s="115">
        <v>2011</v>
      </c>
      <c r="L10" s="115">
        <v>2012</v>
      </c>
      <c r="M10" s="115">
        <v>2013</v>
      </c>
      <c r="N10" s="115">
        <v>2014</v>
      </c>
      <c r="O10" s="115">
        <v>2015</v>
      </c>
      <c r="P10" s="115">
        <v>2016</v>
      </c>
      <c r="Q10" s="115">
        <v>2017</v>
      </c>
      <c r="R10" s="115">
        <v>2018</v>
      </c>
      <c r="S10" s="115">
        <v>2019</v>
      </c>
      <c r="T10" s="115">
        <v>2020</v>
      </c>
      <c r="U10" s="115">
        <v>2021</v>
      </c>
      <c r="V10" s="115">
        <v>2022</v>
      </c>
      <c r="W10" s="115">
        <v>2023</v>
      </c>
      <c r="X10" s="115">
        <v>2024</v>
      </c>
      <c r="Y10" s="122" t="s">
        <v>2779</v>
      </c>
    </row>
    <row r="11" spans="1:25" x14ac:dyDescent="0.25">
      <c r="A11" s="144" t="s">
        <v>3629</v>
      </c>
      <c r="B11" s="184">
        <v>0</v>
      </c>
      <c r="C11" s="185">
        <v>0</v>
      </c>
      <c r="D11" s="185">
        <v>0</v>
      </c>
      <c r="E11" s="185">
        <v>0</v>
      </c>
      <c r="F11" s="185">
        <v>0</v>
      </c>
      <c r="G11" s="185">
        <v>0</v>
      </c>
      <c r="H11" s="185">
        <v>0</v>
      </c>
      <c r="I11" s="185">
        <v>15</v>
      </c>
      <c r="J11" s="185">
        <v>25</v>
      </c>
      <c r="K11" s="185">
        <v>18</v>
      </c>
      <c r="L11" s="185">
        <v>17</v>
      </c>
      <c r="M11" s="185">
        <v>18</v>
      </c>
      <c r="N11" s="185">
        <v>29</v>
      </c>
      <c r="O11" s="185">
        <v>27</v>
      </c>
      <c r="P11" s="185">
        <v>17</v>
      </c>
      <c r="Q11" s="185">
        <v>11</v>
      </c>
      <c r="R11" s="185">
        <v>19</v>
      </c>
      <c r="S11" s="185">
        <v>15</v>
      </c>
      <c r="T11" s="185">
        <v>3</v>
      </c>
      <c r="U11" s="185">
        <v>0</v>
      </c>
      <c r="V11" s="185">
        <v>0</v>
      </c>
      <c r="W11" s="185">
        <v>13</v>
      </c>
      <c r="X11" s="185">
        <v>8</v>
      </c>
      <c r="Y11" s="193">
        <v>235</v>
      </c>
    </row>
    <row r="12" spans="1:25" x14ac:dyDescent="0.25">
      <c r="A12" s="145" t="s">
        <v>112</v>
      </c>
      <c r="B12" s="187">
        <v>11</v>
      </c>
      <c r="C12" s="188">
        <v>4</v>
      </c>
      <c r="D12" s="188">
        <v>1</v>
      </c>
      <c r="E12" s="188">
        <v>4</v>
      </c>
      <c r="F12" s="188">
        <v>3</v>
      </c>
      <c r="G12" s="188">
        <v>6</v>
      </c>
      <c r="H12" s="188">
        <v>1</v>
      </c>
      <c r="I12" s="188">
        <v>6</v>
      </c>
      <c r="J12" s="188">
        <v>6</v>
      </c>
      <c r="K12" s="188">
        <v>4</v>
      </c>
      <c r="L12" s="188">
        <v>0</v>
      </c>
      <c r="M12" s="188">
        <v>21</v>
      </c>
      <c r="N12" s="188">
        <v>10</v>
      </c>
      <c r="O12" s="188">
        <v>12</v>
      </c>
      <c r="P12" s="188">
        <v>6</v>
      </c>
      <c r="Q12" s="188">
        <v>39</v>
      </c>
      <c r="R12" s="188">
        <v>14</v>
      </c>
      <c r="S12" s="188">
        <v>7</v>
      </c>
      <c r="T12" s="188">
        <v>0</v>
      </c>
      <c r="U12" s="188">
        <v>0</v>
      </c>
      <c r="V12" s="188">
        <v>2</v>
      </c>
      <c r="W12" s="188">
        <v>9</v>
      </c>
      <c r="X12" s="188">
        <v>27</v>
      </c>
      <c r="Y12" s="194">
        <v>193</v>
      </c>
    </row>
    <row r="13" spans="1:25" x14ac:dyDescent="0.25">
      <c r="A13" s="146" t="s">
        <v>2779</v>
      </c>
      <c r="B13" s="181">
        <v>11</v>
      </c>
      <c r="C13" s="182">
        <v>4</v>
      </c>
      <c r="D13" s="182">
        <v>1</v>
      </c>
      <c r="E13" s="182">
        <v>4</v>
      </c>
      <c r="F13" s="182">
        <v>3</v>
      </c>
      <c r="G13" s="182">
        <v>6</v>
      </c>
      <c r="H13" s="182">
        <v>1</v>
      </c>
      <c r="I13" s="182">
        <v>21</v>
      </c>
      <c r="J13" s="182">
        <v>31</v>
      </c>
      <c r="K13" s="182">
        <v>22</v>
      </c>
      <c r="L13" s="182">
        <v>17</v>
      </c>
      <c r="M13" s="182">
        <v>39</v>
      </c>
      <c r="N13" s="182">
        <v>39</v>
      </c>
      <c r="O13" s="182">
        <v>39</v>
      </c>
      <c r="P13" s="182">
        <v>23</v>
      </c>
      <c r="Q13" s="182">
        <v>50</v>
      </c>
      <c r="R13" s="182">
        <v>33</v>
      </c>
      <c r="S13" s="182">
        <v>22</v>
      </c>
      <c r="T13" s="182">
        <v>3</v>
      </c>
      <c r="U13" s="182">
        <v>0</v>
      </c>
      <c r="V13" s="182">
        <v>2</v>
      </c>
      <c r="W13" s="182">
        <v>22</v>
      </c>
      <c r="X13" s="182">
        <v>35</v>
      </c>
      <c r="Y13" s="195">
        <v>428</v>
      </c>
    </row>
    <row r="14" spans="1:25" x14ac:dyDescent="0.25">
      <c r="A14" s="68"/>
      <c r="B14" s="68"/>
      <c r="C14" s="68"/>
      <c r="D14" s="68"/>
      <c r="E14" s="68"/>
      <c r="F14" s="68"/>
      <c r="G14" s="68"/>
      <c r="H14" s="68"/>
      <c r="I14" s="68"/>
      <c r="J14" s="68"/>
      <c r="K14" s="68"/>
      <c r="L14" s="68"/>
      <c r="M14" s="68"/>
      <c r="N14" s="68"/>
      <c r="O14" s="68"/>
      <c r="P14" s="68"/>
      <c r="Q14" s="68"/>
      <c r="R14" s="68"/>
      <c r="S14" s="68"/>
      <c r="T14" s="68"/>
      <c r="U14" s="68"/>
      <c r="V14" s="68"/>
      <c r="W14" s="68"/>
      <c r="X14" s="68"/>
      <c r="Y14" s="68"/>
    </row>
    <row r="15" spans="1:25" x14ac:dyDescent="0.25">
      <c r="A15" s="68"/>
      <c r="B15" s="68"/>
      <c r="C15" s="68"/>
      <c r="D15" s="68"/>
      <c r="E15" s="68"/>
      <c r="F15" s="68"/>
      <c r="G15" s="68"/>
      <c r="H15" s="68"/>
      <c r="I15" s="68"/>
      <c r="J15" s="68"/>
      <c r="K15" s="68"/>
      <c r="L15" s="68"/>
      <c r="M15" s="68"/>
      <c r="N15" s="68"/>
      <c r="O15" s="68"/>
      <c r="P15" s="68"/>
      <c r="Q15" s="68"/>
      <c r="R15" s="68"/>
      <c r="S15" s="68"/>
      <c r="T15" s="68"/>
      <c r="U15" s="68"/>
      <c r="V15" s="68"/>
      <c r="W15" s="68"/>
      <c r="X15" s="68"/>
      <c r="Y15" s="68"/>
    </row>
    <row r="16" spans="1:25" x14ac:dyDescent="0.25">
      <c r="A16" s="68"/>
      <c r="B16" s="114">
        <v>2002</v>
      </c>
      <c r="C16" s="115">
        <v>2003</v>
      </c>
      <c r="D16" s="115">
        <v>2004</v>
      </c>
      <c r="E16" s="115">
        <v>2005</v>
      </c>
      <c r="F16" s="115">
        <v>2006</v>
      </c>
      <c r="G16" s="115">
        <v>2007</v>
      </c>
      <c r="H16" s="115">
        <v>2008</v>
      </c>
      <c r="I16" s="115">
        <v>2009</v>
      </c>
      <c r="J16" s="115">
        <v>2010</v>
      </c>
      <c r="K16" s="115">
        <v>2011</v>
      </c>
      <c r="L16" s="115">
        <v>2012</v>
      </c>
      <c r="M16" s="115">
        <v>2013</v>
      </c>
      <c r="N16" s="115">
        <v>2014</v>
      </c>
      <c r="O16" s="115">
        <v>2015</v>
      </c>
      <c r="P16" s="115">
        <v>2016</v>
      </c>
      <c r="Q16" s="115">
        <v>2017</v>
      </c>
      <c r="R16" s="115">
        <v>2018</v>
      </c>
      <c r="S16" s="115">
        <v>2019</v>
      </c>
      <c r="T16" s="115">
        <v>2020</v>
      </c>
      <c r="U16" s="115">
        <v>2021</v>
      </c>
      <c r="V16" s="115">
        <v>2022</v>
      </c>
      <c r="W16" s="115">
        <v>2023</v>
      </c>
      <c r="X16" s="115">
        <v>2024</v>
      </c>
      <c r="Y16" s="122" t="s">
        <v>2779</v>
      </c>
    </row>
    <row r="17" spans="1:25" x14ac:dyDescent="0.25">
      <c r="A17" s="144" t="s">
        <v>3629</v>
      </c>
      <c r="B17" s="68" cm="1">
        <f t="array" ref="B17:Y19">B11:Y13</f>
        <v>0</v>
      </c>
      <c r="C17" s="68">
        <v>0</v>
      </c>
      <c r="D17" s="68">
        <v>0</v>
      </c>
      <c r="E17">
        <v>0</v>
      </c>
      <c r="F17" s="68">
        <v>0</v>
      </c>
      <c r="G17" s="68">
        <v>0</v>
      </c>
      <c r="H17" s="68">
        <v>0</v>
      </c>
      <c r="I17" s="68">
        <v>15</v>
      </c>
      <c r="J17" s="68">
        <v>25</v>
      </c>
      <c r="K17" s="68">
        <v>18</v>
      </c>
      <c r="L17" s="68">
        <v>17</v>
      </c>
      <c r="M17" s="68">
        <v>18</v>
      </c>
      <c r="N17" s="68">
        <v>29</v>
      </c>
      <c r="O17" s="68">
        <v>27</v>
      </c>
      <c r="P17" s="68">
        <v>17</v>
      </c>
      <c r="Q17" s="68">
        <v>11</v>
      </c>
      <c r="R17" s="68">
        <v>19</v>
      </c>
      <c r="S17" s="68">
        <v>15</v>
      </c>
      <c r="T17" s="68">
        <v>3</v>
      </c>
      <c r="U17" s="68">
        <v>0</v>
      </c>
      <c r="V17" s="68">
        <v>0</v>
      </c>
      <c r="W17" s="68">
        <v>13</v>
      </c>
      <c r="X17" s="68">
        <v>8</v>
      </c>
      <c r="Y17" s="68">
        <v>235</v>
      </c>
    </row>
    <row r="18" spans="1:25" x14ac:dyDescent="0.25">
      <c r="A18" s="145" t="s">
        <v>112</v>
      </c>
      <c r="B18" s="68">
        <v>11</v>
      </c>
      <c r="C18" s="68">
        <v>4</v>
      </c>
      <c r="D18" s="68">
        <v>1</v>
      </c>
      <c r="E18" s="68">
        <v>4</v>
      </c>
      <c r="F18" s="68">
        <v>3</v>
      </c>
      <c r="G18" s="68">
        <v>6</v>
      </c>
      <c r="H18" s="68">
        <v>1</v>
      </c>
      <c r="I18" s="68">
        <v>6</v>
      </c>
      <c r="J18" s="68">
        <v>6</v>
      </c>
      <c r="K18" s="68">
        <v>4</v>
      </c>
      <c r="L18" s="68">
        <v>0</v>
      </c>
      <c r="M18" s="68">
        <v>21</v>
      </c>
      <c r="N18" s="68">
        <v>10</v>
      </c>
      <c r="O18" s="68">
        <v>12</v>
      </c>
      <c r="P18" s="68">
        <v>6</v>
      </c>
      <c r="Q18" s="68">
        <v>39</v>
      </c>
      <c r="R18" s="68">
        <v>14</v>
      </c>
      <c r="S18" s="68">
        <v>7</v>
      </c>
      <c r="T18" s="68">
        <v>0</v>
      </c>
      <c r="U18" s="68">
        <v>0</v>
      </c>
      <c r="V18" s="68">
        <v>2</v>
      </c>
      <c r="W18" s="68">
        <v>9</v>
      </c>
      <c r="X18" s="68">
        <v>27</v>
      </c>
      <c r="Y18" s="68">
        <v>193</v>
      </c>
    </row>
    <row r="19" spans="1:25" x14ac:dyDescent="0.25">
      <c r="A19" s="146" t="s">
        <v>2779</v>
      </c>
      <c r="B19" s="68">
        <v>11</v>
      </c>
      <c r="C19" s="68">
        <v>4</v>
      </c>
      <c r="D19" s="68">
        <v>1</v>
      </c>
      <c r="E19" s="68">
        <v>4</v>
      </c>
      <c r="F19" s="68">
        <v>3</v>
      </c>
      <c r="G19" s="68">
        <v>6</v>
      </c>
      <c r="H19" s="68">
        <v>1</v>
      </c>
      <c r="I19" s="68">
        <v>21</v>
      </c>
      <c r="J19" s="68">
        <v>31</v>
      </c>
      <c r="K19" s="68">
        <v>22</v>
      </c>
      <c r="L19" s="68">
        <v>17</v>
      </c>
      <c r="M19" s="68">
        <v>39</v>
      </c>
      <c r="N19" s="68">
        <v>39</v>
      </c>
      <c r="O19" s="68">
        <v>39</v>
      </c>
      <c r="P19" s="68">
        <v>23</v>
      </c>
      <c r="Q19" s="68">
        <v>50</v>
      </c>
      <c r="R19" s="68">
        <v>33</v>
      </c>
      <c r="S19" s="68">
        <v>22</v>
      </c>
      <c r="T19" s="68">
        <v>3</v>
      </c>
      <c r="U19" s="68">
        <v>0</v>
      </c>
      <c r="V19" s="68">
        <v>2</v>
      </c>
      <c r="W19" s="68">
        <v>22</v>
      </c>
      <c r="X19" s="68">
        <v>35</v>
      </c>
      <c r="Y19" s="68">
        <v>428</v>
      </c>
    </row>
    <row r="37" spans="1:5" x14ac:dyDescent="0.25">
      <c r="A37" s="120" t="s">
        <v>1</v>
      </c>
      <c r="B37" s="119" t="s">
        <v>26</v>
      </c>
    </row>
    <row r="38" spans="1:5" x14ac:dyDescent="0.25">
      <c r="A38" s="120" t="s">
        <v>10</v>
      </c>
      <c r="B38" s="119" t="s">
        <v>2827</v>
      </c>
    </row>
    <row r="40" spans="1:5" x14ac:dyDescent="0.25">
      <c r="A40" s="111" t="s">
        <v>3716</v>
      </c>
      <c r="B40" s="111" t="s">
        <v>3628</v>
      </c>
      <c r="C40" s="112"/>
      <c r="D40" s="112"/>
      <c r="E40" s="113"/>
    </row>
    <row r="41" spans="1:5" x14ac:dyDescent="0.25">
      <c r="A41" s="111" t="s">
        <v>8</v>
      </c>
      <c r="B41" s="114" t="s">
        <v>3629</v>
      </c>
      <c r="C41" s="115" t="s">
        <v>112</v>
      </c>
      <c r="D41" s="115" t="s">
        <v>2883</v>
      </c>
      <c r="E41" s="122" t="s">
        <v>2779</v>
      </c>
    </row>
    <row r="42" spans="1:5" x14ac:dyDescent="0.25">
      <c r="A42" s="114">
        <v>2020</v>
      </c>
      <c r="B42" s="184">
        <v>3</v>
      </c>
      <c r="C42" s="185">
        <v>0</v>
      </c>
      <c r="D42" s="185">
        <v>0</v>
      </c>
      <c r="E42" s="199">
        <v>3</v>
      </c>
    </row>
    <row r="43" spans="1:5" x14ac:dyDescent="0.25">
      <c r="A43" s="117">
        <v>2021</v>
      </c>
      <c r="B43" s="187">
        <v>0</v>
      </c>
      <c r="C43" s="188">
        <v>0</v>
      </c>
      <c r="D43" s="188">
        <v>0</v>
      </c>
      <c r="E43" s="200">
        <v>0</v>
      </c>
    </row>
    <row r="44" spans="1:5" x14ac:dyDescent="0.25">
      <c r="A44" s="117">
        <v>2022</v>
      </c>
      <c r="B44" s="187">
        <v>0</v>
      </c>
      <c r="C44" s="188">
        <v>2</v>
      </c>
      <c r="D44" s="188">
        <v>0</v>
      </c>
      <c r="E44" s="200">
        <v>2</v>
      </c>
    </row>
    <row r="45" spans="1:5" x14ac:dyDescent="0.25">
      <c r="A45" s="117">
        <v>2023</v>
      </c>
      <c r="B45" s="187">
        <v>13</v>
      </c>
      <c r="C45" s="188">
        <v>9</v>
      </c>
      <c r="D45" s="188">
        <v>0</v>
      </c>
      <c r="E45" s="200">
        <v>22</v>
      </c>
    </row>
    <row r="46" spans="1:5" x14ac:dyDescent="0.25">
      <c r="A46" s="117">
        <v>2024</v>
      </c>
      <c r="B46" s="187">
        <v>8</v>
      </c>
      <c r="C46" s="188">
        <v>27</v>
      </c>
      <c r="D46" s="188">
        <v>0</v>
      </c>
      <c r="E46" s="200">
        <v>35</v>
      </c>
    </row>
    <row r="47" spans="1:5" x14ac:dyDescent="0.25">
      <c r="A47" s="118" t="s">
        <v>2779</v>
      </c>
      <c r="B47" s="181">
        <v>24</v>
      </c>
      <c r="C47" s="182">
        <v>38</v>
      </c>
      <c r="D47" s="182">
        <v>0</v>
      </c>
      <c r="E47" s="198">
        <v>62</v>
      </c>
    </row>
    <row r="50" spans="1:3" ht="15.75" customHeight="1" x14ac:dyDescent="0.25">
      <c r="A50" s="114" t="s">
        <v>8</v>
      </c>
      <c r="B50" s="114" t="s">
        <v>3629</v>
      </c>
      <c r="C50" s="115" t="s">
        <v>112</v>
      </c>
    </row>
    <row r="51" spans="1:3" ht="15.75" customHeight="1" x14ac:dyDescent="0.25">
      <c r="A51" s="114">
        <v>2020</v>
      </c>
      <c r="B51" s="114">
        <f>B42</f>
        <v>3</v>
      </c>
      <c r="C51" s="115">
        <f>C42</f>
        <v>0</v>
      </c>
    </row>
    <row r="52" spans="1:3" ht="15.75" customHeight="1" x14ac:dyDescent="0.25">
      <c r="A52" s="117">
        <v>2021</v>
      </c>
      <c r="B52" s="117">
        <f>B43</f>
        <v>0</v>
      </c>
      <c r="C52" s="68">
        <f>C43</f>
        <v>0</v>
      </c>
    </row>
    <row r="53" spans="1:3" ht="15.75" customHeight="1" x14ac:dyDescent="0.25">
      <c r="A53" s="117">
        <v>2022</v>
      </c>
      <c r="B53" s="117">
        <f t="shared" ref="B53:C55" si="0">B44</f>
        <v>0</v>
      </c>
      <c r="C53" s="68">
        <f t="shared" si="0"/>
        <v>2</v>
      </c>
    </row>
    <row r="54" spans="1:3" ht="15.75" customHeight="1" x14ac:dyDescent="0.25">
      <c r="A54" s="117">
        <v>2023</v>
      </c>
      <c r="B54" s="117">
        <f t="shared" si="0"/>
        <v>13</v>
      </c>
      <c r="C54" s="68">
        <f t="shared" si="0"/>
        <v>9</v>
      </c>
    </row>
    <row r="55" spans="1:3" ht="15.75" customHeight="1" x14ac:dyDescent="0.25">
      <c r="A55" s="117">
        <v>2024</v>
      </c>
      <c r="B55" s="117">
        <f t="shared" si="0"/>
        <v>8</v>
      </c>
      <c r="C55" s="68">
        <f t="shared" si="0"/>
        <v>27</v>
      </c>
    </row>
  </sheetData>
  <pageMargins left="0.7" right="0.7" top="0.75" bottom="0.75" header="0" footer="0"/>
  <pageSetup orientation="portrait"/>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Y75"/>
  <sheetViews>
    <sheetView topLeftCell="A71" workbookViewId="0">
      <selection activeCell="AA87" sqref="AA87"/>
    </sheetView>
  </sheetViews>
  <sheetFormatPr defaultColWidth="14.42578125" defaultRowHeight="15" customHeight="1" x14ac:dyDescent="0.25"/>
  <cols>
    <col min="1" max="1" width="23.7109375" customWidth="1"/>
    <col min="2" max="2" width="16" customWidth="1"/>
    <col min="3" max="24" width="5" customWidth="1"/>
    <col min="25" max="26" width="11.42578125" customWidth="1"/>
  </cols>
  <sheetData>
    <row r="1" spans="1:18" hidden="1" x14ac:dyDescent="0.25">
      <c r="A1" s="12" t="s">
        <v>2867</v>
      </c>
    </row>
    <row r="2" spans="1:18" hidden="1" x14ac:dyDescent="0.25">
      <c r="A2" s="120" t="s">
        <v>1</v>
      </c>
      <c r="B2" s="119" t="s">
        <v>2827</v>
      </c>
    </row>
    <row r="3" spans="1:18" hidden="1" x14ac:dyDescent="0.25">
      <c r="A3" s="120" t="s">
        <v>10</v>
      </c>
      <c r="B3" s="119" t="s">
        <v>2827</v>
      </c>
      <c r="C3" s="15"/>
      <c r="D3" s="15"/>
      <c r="E3" s="15"/>
      <c r="F3" s="15"/>
      <c r="G3" s="15"/>
      <c r="H3" s="15"/>
      <c r="I3" s="15"/>
      <c r="J3" s="15"/>
      <c r="K3" s="15"/>
      <c r="L3" s="15"/>
      <c r="M3" s="15"/>
      <c r="N3" s="15"/>
      <c r="O3" s="15"/>
    </row>
    <row r="4" spans="1:18" hidden="1" x14ac:dyDescent="0.25">
      <c r="A4" s="6"/>
    </row>
    <row r="5" spans="1:18" hidden="1" x14ac:dyDescent="0.25">
      <c r="A5" s="111" t="s">
        <v>2778</v>
      </c>
      <c r="B5" s="111" t="s">
        <v>8</v>
      </c>
      <c r="C5" s="112"/>
      <c r="D5" s="112"/>
      <c r="E5" s="112"/>
      <c r="F5" s="112"/>
      <c r="G5" s="112"/>
      <c r="H5" s="112"/>
      <c r="I5" s="112"/>
      <c r="J5" s="112"/>
      <c r="K5" s="112"/>
      <c r="L5" s="112"/>
      <c r="M5" s="112"/>
      <c r="N5" s="112"/>
      <c r="O5" s="112"/>
      <c r="P5" s="112"/>
      <c r="Q5" s="112"/>
      <c r="R5" s="113"/>
    </row>
    <row r="6" spans="1:18" hidden="1" x14ac:dyDescent="0.25">
      <c r="A6" s="111" t="s">
        <v>2</v>
      </c>
      <c r="B6" s="114">
        <v>2002</v>
      </c>
      <c r="C6" s="115">
        <v>2003</v>
      </c>
      <c r="D6" s="115">
        <v>2004</v>
      </c>
      <c r="E6" s="115">
        <v>2005</v>
      </c>
      <c r="F6" s="115">
        <v>2006</v>
      </c>
      <c r="G6" s="115">
        <v>2007</v>
      </c>
      <c r="H6" s="115">
        <v>2008</v>
      </c>
      <c r="I6" s="115">
        <v>2009</v>
      </c>
      <c r="J6" s="115">
        <v>2010</v>
      </c>
      <c r="K6" s="115">
        <v>2011</v>
      </c>
      <c r="L6" s="115">
        <v>2012</v>
      </c>
      <c r="M6" s="115">
        <v>2013</v>
      </c>
      <c r="N6" s="115">
        <v>2014</v>
      </c>
      <c r="O6" s="115">
        <v>2015</v>
      </c>
      <c r="P6" s="115">
        <v>2016</v>
      </c>
      <c r="Q6" s="115">
        <v>2017</v>
      </c>
      <c r="R6" s="125">
        <v>2018</v>
      </c>
    </row>
    <row r="7" spans="1:18" hidden="1" x14ac:dyDescent="0.25">
      <c r="A7" s="114" t="s">
        <v>77</v>
      </c>
      <c r="B7" s="184">
        <v>9</v>
      </c>
      <c r="C7" s="185">
        <v>6</v>
      </c>
      <c r="D7" s="185">
        <v>4</v>
      </c>
      <c r="E7" s="185">
        <v>11</v>
      </c>
      <c r="F7" s="185">
        <v>11</v>
      </c>
      <c r="G7" s="185">
        <v>6</v>
      </c>
      <c r="H7" s="185">
        <v>2</v>
      </c>
      <c r="I7" s="185">
        <v>6</v>
      </c>
      <c r="J7" s="185">
        <v>6</v>
      </c>
      <c r="K7" s="185">
        <v>12</v>
      </c>
      <c r="L7" s="185">
        <v>10</v>
      </c>
      <c r="M7" s="185">
        <v>7</v>
      </c>
      <c r="N7" s="185">
        <v>11</v>
      </c>
      <c r="O7" s="185">
        <v>7</v>
      </c>
      <c r="P7" s="185">
        <v>12</v>
      </c>
      <c r="Q7" s="185">
        <v>5</v>
      </c>
      <c r="R7" s="186">
        <v>11</v>
      </c>
    </row>
    <row r="8" spans="1:18" hidden="1" x14ac:dyDescent="0.25">
      <c r="A8" s="117" t="s">
        <v>62</v>
      </c>
      <c r="B8" s="187">
        <v>10</v>
      </c>
      <c r="C8" s="188">
        <v>8</v>
      </c>
      <c r="D8" s="188">
        <v>9</v>
      </c>
      <c r="E8" s="188">
        <v>4</v>
      </c>
      <c r="F8" s="188">
        <v>5</v>
      </c>
      <c r="G8" s="188">
        <v>12</v>
      </c>
      <c r="H8" s="188">
        <v>9</v>
      </c>
      <c r="I8" s="188">
        <v>16</v>
      </c>
      <c r="J8" s="188">
        <v>7</v>
      </c>
      <c r="K8" s="188">
        <v>8</v>
      </c>
      <c r="L8" s="188">
        <v>3</v>
      </c>
      <c r="M8" s="188">
        <v>7</v>
      </c>
      <c r="N8" s="188">
        <v>9</v>
      </c>
      <c r="O8" s="188">
        <v>13</v>
      </c>
      <c r="P8" s="188">
        <v>5</v>
      </c>
      <c r="Q8" s="188">
        <v>3</v>
      </c>
      <c r="R8" s="189">
        <v>8</v>
      </c>
    </row>
    <row r="9" spans="1:18" hidden="1" x14ac:dyDescent="0.25">
      <c r="A9" s="117" t="s">
        <v>27</v>
      </c>
      <c r="B9" s="187">
        <v>9</v>
      </c>
      <c r="C9" s="188">
        <v>7</v>
      </c>
      <c r="D9" s="188">
        <v>8</v>
      </c>
      <c r="E9" s="188">
        <v>14</v>
      </c>
      <c r="F9" s="188">
        <v>10</v>
      </c>
      <c r="G9" s="188">
        <v>9</v>
      </c>
      <c r="H9" s="188">
        <v>9</v>
      </c>
      <c r="I9" s="188">
        <v>16</v>
      </c>
      <c r="J9" s="188">
        <v>18</v>
      </c>
      <c r="K9" s="188">
        <v>16</v>
      </c>
      <c r="L9" s="188">
        <v>13</v>
      </c>
      <c r="M9" s="188">
        <v>17</v>
      </c>
      <c r="N9" s="188">
        <v>18</v>
      </c>
      <c r="O9" s="188">
        <v>21</v>
      </c>
      <c r="P9" s="188">
        <v>30</v>
      </c>
      <c r="Q9" s="188">
        <v>29</v>
      </c>
      <c r="R9" s="189">
        <v>20</v>
      </c>
    </row>
    <row r="10" spans="1:18" hidden="1" x14ac:dyDescent="0.25">
      <c r="A10" s="117" t="s">
        <v>36</v>
      </c>
      <c r="B10" s="187">
        <v>14</v>
      </c>
      <c r="C10" s="188">
        <v>12</v>
      </c>
      <c r="D10" s="188">
        <v>15</v>
      </c>
      <c r="E10" s="188">
        <v>11</v>
      </c>
      <c r="F10" s="188">
        <v>21</v>
      </c>
      <c r="G10" s="188">
        <v>27</v>
      </c>
      <c r="H10" s="188">
        <v>23</v>
      </c>
      <c r="I10" s="188">
        <v>30</v>
      </c>
      <c r="J10" s="188">
        <v>38</v>
      </c>
      <c r="K10" s="188">
        <v>27</v>
      </c>
      <c r="L10" s="188">
        <v>23</v>
      </c>
      <c r="M10" s="188">
        <v>34</v>
      </c>
      <c r="N10" s="188">
        <v>38</v>
      </c>
      <c r="O10" s="188">
        <v>36</v>
      </c>
      <c r="P10" s="188">
        <v>42</v>
      </c>
      <c r="Q10" s="188">
        <v>44</v>
      </c>
      <c r="R10" s="189">
        <v>39</v>
      </c>
    </row>
    <row r="11" spans="1:18" hidden="1" x14ac:dyDescent="0.25">
      <c r="A11" s="118" t="s">
        <v>2779</v>
      </c>
      <c r="B11" s="181">
        <v>42</v>
      </c>
      <c r="C11" s="182">
        <v>33</v>
      </c>
      <c r="D11" s="182">
        <v>36</v>
      </c>
      <c r="E11" s="182">
        <v>40</v>
      </c>
      <c r="F11" s="182">
        <v>47</v>
      </c>
      <c r="G11" s="182">
        <v>54</v>
      </c>
      <c r="H11" s="182">
        <v>43</v>
      </c>
      <c r="I11" s="182">
        <v>68</v>
      </c>
      <c r="J11" s="182">
        <v>69</v>
      </c>
      <c r="K11" s="182">
        <v>63</v>
      </c>
      <c r="L11" s="182">
        <v>49</v>
      </c>
      <c r="M11" s="182">
        <v>65</v>
      </c>
      <c r="N11" s="182">
        <v>76</v>
      </c>
      <c r="O11" s="182">
        <v>77</v>
      </c>
      <c r="P11" s="182">
        <v>89</v>
      </c>
      <c r="Q11" s="182">
        <v>81</v>
      </c>
      <c r="R11" s="183">
        <v>78</v>
      </c>
    </row>
    <row r="31" spans="1:1" ht="15.75" customHeight="1" x14ac:dyDescent="0.25">
      <c r="A31" s="12" t="s">
        <v>3146</v>
      </c>
    </row>
    <row r="33" spans="1:25" x14ac:dyDescent="0.25">
      <c r="A33" s="120" t="s">
        <v>1</v>
      </c>
      <c r="B33" s="119" t="s">
        <v>2827</v>
      </c>
    </row>
    <row r="34" spans="1:25" x14ac:dyDescent="0.25">
      <c r="A34" s="120" t="s">
        <v>10</v>
      </c>
      <c r="B34" s="119" t="s">
        <v>2827</v>
      </c>
      <c r="C34" s="15"/>
      <c r="D34" s="15"/>
      <c r="E34" s="15"/>
      <c r="F34" s="15"/>
      <c r="G34" s="15"/>
      <c r="H34" s="15"/>
      <c r="I34" s="15"/>
      <c r="J34" s="15"/>
      <c r="K34" s="15"/>
      <c r="L34" s="15"/>
      <c r="M34" s="15"/>
      <c r="N34" s="15"/>
      <c r="O34" s="15"/>
    </row>
    <row r="35" spans="1:25" ht="15.75" customHeight="1" x14ac:dyDescent="0.25">
      <c r="A35" s="6"/>
    </row>
    <row r="36" spans="1:25" ht="15.75" customHeight="1" x14ac:dyDescent="0.25">
      <c r="A36" s="111" t="s">
        <v>2778</v>
      </c>
      <c r="B36" s="111" t="s">
        <v>8</v>
      </c>
      <c r="C36" s="112"/>
      <c r="D36" s="112"/>
      <c r="E36" s="112"/>
      <c r="F36" s="112"/>
      <c r="G36" s="112"/>
      <c r="H36" s="112"/>
      <c r="I36" s="112"/>
      <c r="J36" s="112"/>
      <c r="K36" s="112"/>
      <c r="L36" s="112"/>
      <c r="M36" s="112"/>
      <c r="N36" s="112"/>
      <c r="O36" s="112"/>
      <c r="P36" s="112"/>
      <c r="Q36" s="112"/>
      <c r="R36" s="112"/>
      <c r="S36" s="112"/>
      <c r="T36" s="112"/>
      <c r="U36" s="112"/>
      <c r="V36" s="112"/>
      <c r="W36" s="112"/>
      <c r="X36" s="112"/>
      <c r="Y36" s="113"/>
    </row>
    <row r="37" spans="1:25" x14ac:dyDescent="0.25">
      <c r="A37" s="111" t="s">
        <v>2</v>
      </c>
      <c r="B37" s="114">
        <v>2002</v>
      </c>
      <c r="C37" s="115">
        <v>2003</v>
      </c>
      <c r="D37" s="115">
        <v>2004</v>
      </c>
      <c r="E37" s="115">
        <v>2005</v>
      </c>
      <c r="F37" s="115">
        <v>2006</v>
      </c>
      <c r="G37" s="115">
        <v>2007</v>
      </c>
      <c r="H37" s="115">
        <v>2008</v>
      </c>
      <c r="I37" s="115">
        <v>2009</v>
      </c>
      <c r="J37" s="115">
        <v>2010</v>
      </c>
      <c r="K37" s="115">
        <v>2011</v>
      </c>
      <c r="L37" s="115">
        <v>2012</v>
      </c>
      <c r="M37" s="115">
        <v>2013</v>
      </c>
      <c r="N37" s="115">
        <v>2014</v>
      </c>
      <c r="O37" s="115">
        <v>2015</v>
      </c>
      <c r="P37" s="115">
        <v>2016</v>
      </c>
      <c r="Q37" s="115">
        <v>2017</v>
      </c>
      <c r="R37" s="115">
        <v>2018</v>
      </c>
      <c r="S37" s="115">
        <v>2019</v>
      </c>
      <c r="T37" s="115">
        <v>2020</v>
      </c>
      <c r="U37" s="115">
        <v>2021</v>
      </c>
      <c r="V37" s="115">
        <v>2022</v>
      </c>
      <c r="W37" s="115">
        <v>2023</v>
      </c>
      <c r="X37" s="115">
        <v>2024</v>
      </c>
      <c r="Y37" s="122" t="s">
        <v>2779</v>
      </c>
    </row>
    <row r="38" spans="1:25" x14ac:dyDescent="0.25">
      <c r="A38" s="114" t="s">
        <v>77</v>
      </c>
      <c r="B38" s="184">
        <v>9</v>
      </c>
      <c r="C38" s="185">
        <v>6</v>
      </c>
      <c r="D38" s="185">
        <v>4</v>
      </c>
      <c r="E38" s="185">
        <v>11</v>
      </c>
      <c r="F38" s="185">
        <v>11</v>
      </c>
      <c r="G38" s="185">
        <v>6</v>
      </c>
      <c r="H38" s="185">
        <v>2</v>
      </c>
      <c r="I38" s="185">
        <v>6</v>
      </c>
      <c r="J38" s="185">
        <v>6</v>
      </c>
      <c r="K38" s="185">
        <v>12</v>
      </c>
      <c r="L38" s="185">
        <v>10</v>
      </c>
      <c r="M38" s="185">
        <v>7</v>
      </c>
      <c r="N38" s="185">
        <v>11</v>
      </c>
      <c r="O38" s="185">
        <v>7</v>
      </c>
      <c r="P38" s="185">
        <v>12</v>
      </c>
      <c r="Q38" s="185">
        <v>5</v>
      </c>
      <c r="R38" s="185">
        <v>11</v>
      </c>
      <c r="S38" s="185">
        <v>11</v>
      </c>
      <c r="T38" s="185">
        <v>1</v>
      </c>
      <c r="U38" s="185">
        <v>2</v>
      </c>
      <c r="V38" s="185">
        <v>5</v>
      </c>
      <c r="W38" s="185">
        <v>7</v>
      </c>
      <c r="X38" s="185">
        <v>8</v>
      </c>
      <c r="Y38" s="199">
        <v>170</v>
      </c>
    </row>
    <row r="39" spans="1:25" x14ac:dyDescent="0.25">
      <c r="A39" s="117" t="s">
        <v>62</v>
      </c>
      <c r="B39" s="187">
        <v>10</v>
      </c>
      <c r="C39" s="188">
        <v>8</v>
      </c>
      <c r="D39" s="188">
        <v>9</v>
      </c>
      <c r="E39" s="188">
        <v>4</v>
      </c>
      <c r="F39" s="188">
        <v>5</v>
      </c>
      <c r="G39" s="188">
        <v>12</v>
      </c>
      <c r="H39" s="188">
        <v>9</v>
      </c>
      <c r="I39" s="188">
        <v>16</v>
      </c>
      <c r="J39" s="188">
        <v>7</v>
      </c>
      <c r="K39" s="188">
        <v>8</v>
      </c>
      <c r="L39" s="188">
        <v>3</v>
      </c>
      <c r="M39" s="188">
        <v>7</v>
      </c>
      <c r="N39" s="188">
        <v>9</v>
      </c>
      <c r="O39" s="188">
        <v>13</v>
      </c>
      <c r="P39" s="188">
        <v>5</v>
      </c>
      <c r="Q39" s="188">
        <v>3</v>
      </c>
      <c r="R39" s="188">
        <v>8</v>
      </c>
      <c r="S39" s="188">
        <v>13</v>
      </c>
      <c r="T39" s="188">
        <v>4</v>
      </c>
      <c r="U39" s="188">
        <v>5</v>
      </c>
      <c r="V39" s="188">
        <v>5</v>
      </c>
      <c r="W39" s="188">
        <v>7</v>
      </c>
      <c r="X39" s="188">
        <v>4</v>
      </c>
      <c r="Y39" s="200">
        <v>174</v>
      </c>
    </row>
    <row r="40" spans="1:25" x14ac:dyDescent="0.25">
      <c r="A40" s="117" t="s">
        <v>27</v>
      </c>
      <c r="B40" s="187">
        <v>9</v>
      </c>
      <c r="C40" s="188">
        <v>7</v>
      </c>
      <c r="D40" s="188">
        <v>8</v>
      </c>
      <c r="E40" s="188">
        <v>14</v>
      </c>
      <c r="F40" s="188">
        <v>10</v>
      </c>
      <c r="G40" s="188">
        <v>9</v>
      </c>
      <c r="H40" s="188">
        <v>9</v>
      </c>
      <c r="I40" s="188">
        <v>16</v>
      </c>
      <c r="J40" s="188">
        <v>18</v>
      </c>
      <c r="K40" s="188">
        <v>16</v>
      </c>
      <c r="L40" s="188">
        <v>13</v>
      </c>
      <c r="M40" s="188">
        <v>17</v>
      </c>
      <c r="N40" s="188">
        <v>18</v>
      </c>
      <c r="O40" s="188">
        <v>21</v>
      </c>
      <c r="P40" s="188">
        <v>30</v>
      </c>
      <c r="Q40" s="188">
        <v>29</v>
      </c>
      <c r="R40" s="188">
        <v>20</v>
      </c>
      <c r="S40" s="188">
        <v>19</v>
      </c>
      <c r="T40" s="188">
        <v>9</v>
      </c>
      <c r="U40" s="188">
        <v>8</v>
      </c>
      <c r="V40" s="188">
        <v>4</v>
      </c>
      <c r="W40" s="188">
        <v>11</v>
      </c>
      <c r="X40" s="188">
        <v>11</v>
      </c>
      <c r="Y40" s="200">
        <v>326</v>
      </c>
    </row>
    <row r="41" spans="1:25" x14ac:dyDescent="0.25">
      <c r="A41" s="117" t="s">
        <v>36</v>
      </c>
      <c r="B41" s="187">
        <v>14</v>
      </c>
      <c r="C41" s="188">
        <v>12</v>
      </c>
      <c r="D41" s="188">
        <v>15</v>
      </c>
      <c r="E41" s="188">
        <v>11</v>
      </c>
      <c r="F41" s="188">
        <v>21</v>
      </c>
      <c r="G41" s="188">
        <v>27</v>
      </c>
      <c r="H41" s="188">
        <v>23</v>
      </c>
      <c r="I41" s="188">
        <v>30</v>
      </c>
      <c r="J41" s="188">
        <v>38</v>
      </c>
      <c r="K41" s="188">
        <v>27</v>
      </c>
      <c r="L41" s="188">
        <v>23</v>
      </c>
      <c r="M41" s="188">
        <v>34</v>
      </c>
      <c r="N41" s="188">
        <v>38</v>
      </c>
      <c r="O41" s="188">
        <v>36</v>
      </c>
      <c r="P41" s="188">
        <v>42</v>
      </c>
      <c r="Q41" s="188">
        <v>44</v>
      </c>
      <c r="R41" s="188">
        <v>39</v>
      </c>
      <c r="S41" s="188">
        <v>47</v>
      </c>
      <c r="T41" s="188">
        <v>18</v>
      </c>
      <c r="U41" s="188">
        <v>13</v>
      </c>
      <c r="V41" s="188">
        <v>17</v>
      </c>
      <c r="W41" s="188">
        <v>37</v>
      </c>
      <c r="X41" s="188">
        <v>45</v>
      </c>
      <c r="Y41" s="200">
        <v>651</v>
      </c>
    </row>
    <row r="42" spans="1:25" x14ac:dyDescent="0.25">
      <c r="A42" s="121" t="s">
        <v>2779</v>
      </c>
      <c r="B42" s="196">
        <v>42</v>
      </c>
      <c r="C42" s="197">
        <v>33</v>
      </c>
      <c r="D42" s="197">
        <v>36</v>
      </c>
      <c r="E42" s="197">
        <v>40</v>
      </c>
      <c r="F42" s="197">
        <v>47</v>
      </c>
      <c r="G42" s="197">
        <v>54</v>
      </c>
      <c r="H42" s="197">
        <v>43</v>
      </c>
      <c r="I42" s="197">
        <v>68</v>
      </c>
      <c r="J42" s="197">
        <v>69</v>
      </c>
      <c r="K42" s="197">
        <v>63</v>
      </c>
      <c r="L42" s="197">
        <v>49</v>
      </c>
      <c r="M42" s="197">
        <v>65</v>
      </c>
      <c r="N42" s="197">
        <v>76</v>
      </c>
      <c r="O42" s="197">
        <v>77</v>
      </c>
      <c r="P42" s="197">
        <v>89</v>
      </c>
      <c r="Q42" s="197">
        <v>81</v>
      </c>
      <c r="R42" s="197">
        <v>78</v>
      </c>
      <c r="S42" s="197">
        <v>90</v>
      </c>
      <c r="T42" s="197">
        <v>32</v>
      </c>
      <c r="U42" s="197">
        <v>28</v>
      </c>
      <c r="V42" s="197">
        <v>31</v>
      </c>
      <c r="W42" s="197">
        <v>62</v>
      </c>
      <c r="X42" s="197">
        <v>68</v>
      </c>
      <c r="Y42" s="198">
        <v>1321</v>
      </c>
    </row>
    <row r="65" spans="1:2" ht="15.75" customHeight="1" x14ac:dyDescent="0.25">
      <c r="A65" s="12" t="s">
        <v>3146</v>
      </c>
    </row>
    <row r="66" spans="1:2" x14ac:dyDescent="0.25">
      <c r="A66" s="120" t="s">
        <v>1</v>
      </c>
      <c r="B66" s="119" t="s">
        <v>2827</v>
      </c>
    </row>
    <row r="67" spans="1:2" x14ac:dyDescent="0.25">
      <c r="A67" s="120" t="s">
        <v>8</v>
      </c>
      <c r="B67" s="119" t="s">
        <v>2817</v>
      </c>
    </row>
    <row r="68" spans="1:2" x14ac:dyDescent="0.25">
      <c r="A68" s="120" t="s">
        <v>10</v>
      </c>
      <c r="B68" s="119" t="s">
        <v>2827</v>
      </c>
    </row>
    <row r="69" spans="1:2" ht="15.75" customHeight="1" x14ac:dyDescent="0.25">
      <c r="A69" s="6"/>
    </row>
    <row r="70" spans="1:2" ht="15.75" customHeight="1" x14ac:dyDescent="0.25">
      <c r="A70" s="111" t="s">
        <v>2</v>
      </c>
      <c r="B70" s="116" t="s">
        <v>2778</v>
      </c>
    </row>
    <row r="71" spans="1:2" ht="15.75" customHeight="1" x14ac:dyDescent="0.25">
      <c r="A71" s="114" t="s">
        <v>77</v>
      </c>
      <c r="B71" s="193">
        <v>170</v>
      </c>
    </row>
    <row r="72" spans="1:2" ht="15.75" customHeight="1" x14ac:dyDescent="0.25">
      <c r="A72" s="117" t="s">
        <v>62</v>
      </c>
      <c r="B72" s="194">
        <v>174</v>
      </c>
    </row>
    <row r="73" spans="1:2" ht="15.75" customHeight="1" x14ac:dyDescent="0.25">
      <c r="A73" s="117" t="s">
        <v>27</v>
      </c>
      <c r="B73" s="194">
        <v>326</v>
      </c>
    </row>
    <row r="74" spans="1:2" ht="15.75" customHeight="1" x14ac:dyDescent="0.25">
      <c r="A74" s="117" t="s">
        <v>36</v>
      </c>
      <c r="B74" s="194">
        <v>651</v>
      </c>
    </row>
    <row r="75" spans="1:2" x14ac:dyDescent="0.25">
      <c r="A75" s="121" t="s">
        <v>2779</v>
      </c>
      <c r="B75" s="198">
        <v>1321</v>
      </c>
    </row>
  </sheetData>
  <pageMargins left="0.7" right="0.7" top="0.75" bottom="0.75" header="0" footer="0"/>
  <pageSetup orientation="portrait"/>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30"/>
  <sheetViews>
    <sheetView topLeftCell="A98" workbookViewId="0"/>
  </sheetViews>
  <sheetFormatPr defaultColWidth="14.42578125" defaultRowHeight="15" customHeight="1" x14ac:dyDescent="0.25"/>
  <cols>
    <col min="1" max="1" width="15" customWidth="1"/>
    <col min="2" max="2" width="23" customWidth="1"/>
    <col min="3" max="3" width="28.7109375" customWidth="1"/>
    <col min="4" max="26" width="11.42578125" customWidth="1"/>
  </cols>
  <sheetData>
    <row r="1" spans="1:2" hidden="1" x14ac:dyDescent="0.25">
      <c r="A1" s="12" t="s">
        <v>2867</v>
      </c>
    </row>
    <row r="2" spans="1:2" hidden="1" x14ac:dyDescent="0.25">
      <c r="A2" s="120" t="s">
        <v>1</v>
      </c>
      <c r="B2" s="119" t="s">
        <v>76</v>
      </c>
    </row>
    <row r="3" spans="1:2" hidden="1" x14ac:dyDescent="0.25">
      <c r="A3" s="120" t="s">
        <v>8</v>
      </c>
      <c r="B3" s="119" t="s">
        <v>2817</v>
      </c>
    </row>
    <row r="4" spans="1:2" hidden="1" x14ac:dyDescent="0.25">
      <c r="A4" s="120" t="s">
        <v>10</v>
      </c>
      <c r="B4" s="119" t="s">
        <v>2827</v>
      </c>
    </row>
    <row r="5" spans="1:2" hidden="1" x14ac:dyDescent="0.25">
      <c r="A5" s="6"/>
    </row>
    <row r="6" spans="1:2" hidden="1" x14ac:dyDescent="0.25">
      <c r="A6" s="111" t="s">
        <v>2</v>
      </c>
      <c r="B6" s="116" t="s">
        <v>2778</v>
      </c>
    </row>
    <row r="7" spans="1:2" hidden="1" x14ac:dyDescent="0.25">
      <c r="A7" s="114" t="s">
        <v>89</v>
      </c>
      <c r="B7" s="193">
        <v>251</v>
      </c>
    </row>
    <row r="8" spans="1:2" hidden="1" x14ac:dyDescent="0.25">
      <c r="A8" s="117" t="s">
        <v>77</v>
      </c>
      <c r="B8" s="194">
        <v>108</v>
      </c>
    </row>
    <row r="9" spans="1:2" hidden="1" x14ac:dyDescent="0.25">
      <c r="A9" s="117" t="s">
        <v>103</v>
      </c>
      <c r="B9" s="194">
        <v>478</v>
      </c>
    </row>
    <row r="10" spans="1:2" hidden="1" x14ac:dyDescent="0.25">
      <c r="A10" s="117" t="s">
        <v>116</v>
      </c>
      <c r="B10" s="194">
        <v>108</v>
      </c>
    </row>
    <row r="11" spans="1:2" hidden="1" x14ac:dyDescent="0.25">
      <c r="A11" s="117" t="s">
        <v>46</v>
      </c>
      <c r="B11" s="194">
        <v>2</v>
      </c>
    </row>
    <row r="12" spans="1:2" hidden="1" x14ac:dyDescent="0.25">
      <c r="A12" s="117" t="s">
        <v>44</v>
      </c>
      <c r="B12" s="194">
        <v>111</v>
      </c>
    </row>
    <row r="13" spans="1:2" hidden="1" x14ac:dyDescent="0.25">
      <c r="A13" s="117" t="s">
        <v>62</v>
      </c>
      <c r="B13" s="194">
        <v>107</v>
      </c>
    </row>
    <row r="14" spans="1:2" hidden="1" x14ac:dyDescent="0.25">
      <c r="A14" s="117" t="s">
        <v>71</v>
      </c>
      <c r="B14" s="194">
        <v>101</v>
      </c>
    </row>
    <row r="15" spans="1:2" hidden="1" x14ac:dyDescent="0.25">
      <c r="A15" s="117" t="s">
        <v>54</v>
      </c>
      <c r="B15" s="194">
        <v>69</v>
      </c>
    </row>
    <row r="16" spans="1:2" hidden="1" x14ac:dyDescent="0.25">
      <c r="A16" s="117" t="s">
        <v>198</v>
      </c>
      <c r="B16" s="194">
        <v>182</v>
      </c>
    </row>
    <row r="17" spans="1:2" hidden="1" x14ac:dyDescent="0.25">
      <c r="A17" s="117" t="s">
        <v>27</v>
      </c>
      <c r="B17" s="194">
        <v>160</v>
      </c>
    </row>
    <row r="18" spans="1:2" hidden="1" x14ac:dyDescent="0.25">
      <c r="A18" s="117" t="s">
        <v>36</v>
      </c>
      <c r="B18" s="194">
        <v>349</v>
      </c>
    </row>
    <row r="19" spans="1:2" hidden="1" x14ac:dyDescent="0.25">
      <c r="A19" s="118" t="s">
        <v>2779</v>
      </c>
      <c r="B19" s="195">
        <v>2026</v>
      </c>
    </row>
    <row r="39" spans="1:2" ht="15.75" hidden="1" customHeight="1" x14ac:dyDescent="0.25">
      <c r="A39" s="12" t="s">
        <v>2868</v>
      </c>
    </row>
    <row r="40" spans="1:2" hidden="1" x14ac:dyDescent="0.25">
      <c r="A40" s="120" t="s">
        <v>1</v>
      </c>
      <c r="B40" s="119" t="s">
        <v>76</v>
      </c>
    </row>
    <row r="41" spans="1:2" hidden="1" x14ac:dyDescent="0.25">
      <c r="A41" s="120" t="s">
        <v>8</v>
      </c>
      <c r="B41" s="119" t="s">
        <v>2817</v>
      </c>
    </row>
    <row r="42" spans="1:2" hidden="1" x14ac:dyDescent="0.25">
      <c r="A42" s="120" t="s">
        <v>10</v>
      </c>
      <c r="B42" s="119" t="s">
        <v>2827</v>
      </c>
    </row>
    <row r="43" spans="1:2" ht="15.75" hidden="1" customHeight="1" x14ac:dyDescent="0.25">
      <c r="A43" s="6"/>
    </row>
    <row r="44" spans="1:2" ht="15.75" hidden="1" customHeight="1" x14ac:dyDescent="0.25">
      <c r="A44" s="111" t="s">
        <v>2</v>
      </c>
      <c r="B44" s="116" t="s">
        <v>2778</v>
      </c>
    </row>
    <row r="45" spans="1:2" ht="15.75" hidden="1" customHeight="1" x14ac:dyDescent="0.25">
      <c r="A45" s="114" t="s">
        <v>89</v>
      </c>
      <c r="B45" s="193">
        <v>259</v>
      </c>
    </row>
    <row r="46" spans="1:2" ht="15.75" hidden="1" customHeight="1" x14ac:dyDescent="0.25">
      <c r="A46" s="117" t="s">
        <v>77</v>
      </c>
      <c r="B46" s="194">
        <v>115</v>
      </c>
    </row>
    <row r="47" spans="1:2" ht="15.75" hidden="1" customHeight="1" x14ac:dyDescent="0.25">
      <c r="A47" s="117" t="s">
        <v>103</v>
      </c>
      <c r="B47" s="194">
        <v>487</v>
      </c>
    </row>
    <row r="48" spans="1:2" ht="15.75" hidden="1" customHeight="1" x14ac:dyDescent="0.25">
      <c r="A48" s="117" t="s">
        <v>116</v>
      </c>
      <c r="B48" s="194">
        <v>115</v>
      </c>
    </row>
    <row r="49" spans="1:2" ht="15.75" hidden="1" customHeight="1" x14ac:dyDescent="0.25">
      <c r="A49" s="117" t="s">
        <v>46</v>
      </c>
      <c r="B49" s="194">
        <v>2</v>
      </c>
    </row>
    <row r="50" spans="1:2" ht="15.75" hidden="1" customHeight="1" x14ac:dyDescent="0.25">
      <c r="A50" s="117" t="s">
        <v>44</v>
      </c>
      <c r="B50" s="194">
        <v>116</v>
      </c>
    </row>
    <row r="51" spans="1:2" ht="15.75" hidden="1" customHeight="1" x14ac:dyDescent="0.25">
      <c r="A51" s="117" t="s">
        <v>62</v>
      </c>
      <c r="B51" s="194">
        <v>118</v>
      </c>
    </row>
    <row r="52" spans="1:2" ht="15.75" hidden="1" customHeight="1" x14ac:dyDescent="0.25">
      <c r="A52" s="117" t="s">
        <v>71</v>
      </c>
      <c r="B52" s="194">
        <v>109</v>
      </c>
    </row>
    <row r="53" spans="1:2" ht="15.75" hidden="1" customHeight="1" x14ac:dyDescent="0.25">
      <c r="A53" s="117" t="s">
        <v>54</v>
      </c>
      <c r="B53" s="194">
        <v>74</v>
      </c>
    </row>
    <row r="54" spans="1:2" ht="15.75" hidden="1" customHeight="1" x14ac:dyDescent="0.25">
      <c r="A54" s="117" t="s">
        <v>198</v>
      </c>
      <c r="B54" s="194">
        <v>189</v>
      </c>
    </row>
    <row r="55" spans="1:2" ht="15.75" hidden="1" customHeight="1" x14ac:dyDescent="0.25">
      <c r="A55" s="117" t="s">
        <v>27</v>
      </c>
      <c r="B55" s="194">
        <v>172</v>
      </c>
    </row>
    <row r="56" spans="1:2" ht="15.75" hidden="1" customHeight="1" x14ac:dyDescent="0.25">
      <c r="A56" s="117" t="s">
        <v>36</v>
      </c>
      <c r="B56" s="194">
        <v>375</v>
      </c>
    </row>
    <row r="57" spans="1:2" ht="15.75" hidden="1" customHeight="1" x14ac:dyDescent="0.25">
      <c r="A57" s="118" t="s">
        <v>2779</v>
      </c>
      <c r="B57" s="195">
        <v>2131</v>
      </c>
    </row>
    <row r="77" spans="1:2" ht="15.75" customHeight="1" x14ac:dyDescent="0.25">
      <c r="A77" s="12" t="s">
        <v>3147</v>
      </c>
    </row>
    <row r="78" spans="1:2" x14ac:dyDescent="0.25">
      <c r="A78" s="120" t="s">
        <v>1</v>
      </c>
      <c r="B78" s="119" t="s">
        <v>2827</v>
      </c>
    </row>
    <row r="79" spans="1:2" x14ac:dyDescent="0.25">
      <c r="A79" s="120" t="s">
        <v>8</v>
      </c>
      <c r="B79" s="119" t="s">
        <v>2817</v>
      </c>
    </row>
    <row r="80" spans="1:2" x14ac:dyDescent="0.25">
      <c r="A80" s="120" t="s">
        <v>10</v>
      </c>
      <c r="B80" s="119" t="s">
        <v>2827</v>
      </c>
    </row>
    <row r="81" spans="1:2" ht="15.75" customHeight="1" x14ac:dyDescent="0.25">
      <c r="A81" s="6"/>
    </row>
    <row r="82" spans="1:2" ht="15.75" customHeight="1" x14ac:dyDescent="0.25">
      <c r="A82" s="111" t="s">
        <v>2</v>
      </c>
      <c r="B82" s="116" t="s">
        <v>2778</v>
      </c>
    </row>
    <row r="83" spans="1:2" ht="15.75" customHeight="1" x14ac:dyDescent="0.25">
      <c r="A83" s="114" t="s">
        <v>89</v>
      </c>
      <c r="B83" s="193">
        <v>389</v>
      </c>
    </row>
    <row r="84" spans="1:2" ht="15.75" customHeight="1" x14ac:dyDescent="0.25">
      <c r="A84" s="117" t="s">
        <v>77</v>
      </c>
      <c r="B84" s="194">
        <v>170</v>
      </c>
    </row>
    <row r="85" spans="1:2" ht="15.75" customHeight="1" x14ac:dyDescent="0.25">
      <c r="A85" s="117" t="s">
        <v>103</v>
      </c>
      <c r="B85" s="194">
        <v>637</v>
      </c>
    </row>
    <row r="86" spans="1:2" ht="15.75" customHeight="1" x14ac:dyDescent="0.25">
      <c r="A86" s="117" t="s">
        <v>116</v>
      </c>
      <c r="B86" s="194">
        <v>243</v>
      </c>
    </row>
    <row r="87" spans="1:2" ht="15.75" customHeight="1" x14ac:dyDescent="0.25">
      <c r="A87" s="117" t="s">
        <v>46</v>
      </c>
      <c r="B87" s="194">
        <v>2</v>
      </c>
    </row>
    <row r="88" spans="1:2" ht="15.75" customHeight="1" x14ac:dyDescent="0.25">
      <c r="A88" s="117" t="s">
        <v>44</v>
      </c>
      <c r="B88" s="194">
        <v>172</v>
      </c>
    </row>
    <row r="89" spans="1:2" ht="15.75" customHeight="1" x14ac:dyDescent="0.25">
      <c r="A89" s="117" t="s">
        <v>62</v>
      </c>
      <c r="B89" s="194">
        <v>174</v>
      </c>
    </row>
    <row r="90" spans="1:2" ht="15.75" customHeight="1" x14ac:dyDescent="0.25">
      <c r="A90" s="117" t="s">
        <v>71</v>
      </c>
      <c r="B90" s="194">
        <v>176</v>
      </c>
    </row>
    <row r="91" spans="1:2" ht="15.75" customHeight="1" x14ac:dyDescent="0.25">
      <c r="A91" s="117" t="s">
        <v>54</v>
      </c>
      <c r="B91" s="194">
        <v>161</v>
      </c>
    </row>
    <row r="92" spans="1:2" ht="15.75" customHeight="1" x14ac:dyDescent="0.25">
      <c r="A92" s="117" t="s">
        <v>198</v>
      </c>
      <c r="B92" s="194">
        <v>238</v>
      </c>
    </row>
    <row r="93" spans="1:2" ht="15.75" customHeight="1" x14ac:dyDescent="0.25">
      <c r="A93" s="117" t="s">
        <v>27</v>
      </c>
      <c r="B93" s="194">
        <v>326</v>
      </c>
    </row>
    <row r="94" spans="1:2" ht="15.75" customHeight="1" x14ac:dyDescent="0.25">
      <c r="A94" s="117" t="s">
        <v>36</v>
      </c>
      <c r="B94" s="194">
        <v>651</v>
      </c>
    </row>
    <row r="95" spans="1:2" x14ac:dyDescent="0.25">
      <c r="A95" s="121" t="s">
        <v>2779</v>
      </c>
      <c r="B95" s="198">
        <v>3339</v>
      </c>
    </row>
    <row r="100" spans="1:6" ht="15.75" customHeight="1" x14ac:dyDescent="0.25">
      <c r="A100" s="24" t="s">
        <v>2821</v>
      </c>
      <c r="B100" s="24" t="s">
        <v>2778</v>
      </c>
    </row>
    <row r="101" spans="1:6" ht="15.75" customHeight="1" x14ac:dyDescent="0.25">
      <c r="A101" s="25" t="s">
        <v>2869</v>
      </c>
      <c r="B101" s="26" t="s">
        <v>2870</v>
      </c>
    </row>
    <row r="102" spans="1:6" ht="15.75" customHeight="1" x14ac:dyDescent="0.25">
      <c r="A102" s="27" t="s">
        <v>89</v>
      </c>
      <c r="B102" s="28">
        <f>GETPIVOTDATA("Activity Category",$A$82,"Geographic Region","Africa")</f>
        <v>389</v>
      </c>
    </row>
    <row r="103" spans="1:6" ht="15.75" customHeight="1" x14ac:dyDescent="0.25">
      <c r="A103" s="29" t="s">
        <v>28</v>
      </c>
      <c r="B103" s="30">
        <f>SUM(GETPIVOTDATA("Activity Category",$A$82,"Geographic Region","Central Asia")+GETPIVOTDATA("Activity Category",$A$82,"Geographic Region","Northeast Asia")+GETPIVOTDATA("Activity Category",$A$82,"Geographic Region","South Asia")+GETPIVOTDATA("Activity Category",$A$82,"Geographic Region","Southeast Asia"))</f>
        <v>1321</v>
      </c>
    </row>
    <row r="104" spans="1:6" ht="15.75" customHeight="1" x14ac:dyDescent="0.25">
      <c r="A104" s="27" t="s">
        <v>103</v>
      </c>
      <c r="B104" s="28">
        <f>GETPIVOTDATA("Activity Category",$A$82,"Geographic Region","Europe")</f>
        <v>637</v>
      </c>
    </row>
    <row r="105" spans="1:6" ht="15.75" customHeight="1" x14ac:dyDescent="0.25">
      <c r="A105" s="29" t="s">
        <v>116</v>
      </c>
      <c r="B105" s="30">
        <f>GETPIVOTDATA("Activity Category",$A$82,"Geographic Region","Middle East")</f>
        <v>243</v>
      </c>
    </row>
    <row r="106" spans="1:6" ht="15.75" customHeight="1" x14ac:dyDescent="0.25">
      <c r="A106" s="27" t="s">
        <v>46</v>
      </c>
      <c r="B106" s="28">
        <f>GETPIVOTDATA("Activity Category",$A$82,"Geographic Region","N/A")</f>
        <v>2</v>
      </c>
    </row>
    <row r="107" spans="1:6" ht="15.75" customHeight="1" x14ac:dyDescent="0.25">
      <c r="A107" s="29" t="s">
        <v>44</v>
      </c>
      <c r="B107" s="30">
        <f>GETPIVOTDATA("Activity Category",$A$82,"Geographic Region","North America")</f>
        <v>172</v>
      </c>
    </row>
    <row r="108" spans="1:6" ht="15.75" customHeight="1" x14ac:dyDescent="0.25">
      <c r="A108" s="29" t="s">
        <v>71</v>
      </c>
      <c r="B108" s="30">
        <f>GETPIVOTDATA("Activity Category",$A$82,"Geographic Region","Oceania")</f>
        <v>176</v>
      </c>
    </row>
    <row r="109" spans="1:6" ht="15.75" customHeight="1" x14ac:dyDescent="0.25">
      <c r="A109" s="27" t="s">
        <v>54</v>
      </c>
      <c r="B109" s="28">
        <f>GETPIVOTDATA("Activity Category",$A$82,"Geographic Region","Russia")</f>
        <v>161</v>
      </c>
    </row>
    <row r="110" spans="1:6" ht="15.75" customHeight="1" x14ac:dyDescent="0.25">
      <c r="A110" s="29" t="s">
        <v>198</v>
      </c>
      <c r="B110" s="30">
        <f>GETPIVOTDATA("Activity Category",$A$82,"Geographic Region","South America")</f>
        <v>238</v>
      </c>
    </row>
    <row r="111" spans="1:6" ht="15.75" customHeight="1" x14ac:dyDescent="0.25">
      <c r="A111" s="31" t="s">
        <v>2829</v>
      </c>
      <c r="B111" s="32">
        <f>SUM(B102:B110)</f>
        <v>3339</v>
      </c>
    </row>
    <row r="112" spans="1:6" ht="15.75" hidden="1" customHeight="1" x14ac:dyDescent="0.25">
      <c r="A112" s="12" t="s">
        <v>2866</v>
      </c>
      <c r="F112" s="2">
        <v>137</v>
      </c>
    </row>
    <row r="113" spans="1:6" hidden="1" x14ac:dyDescent="0.25">
      <c r="A113" s="120" t="s">
        <v>1</v>
      </c>
      <c r="B113" s="119" t="s">
        <v>76</v>
      </c>
      <c r="F113" s="2">
        <v>232</v>
      </c>
    </row>
    <row r="114" spans="1:6" hidden="1" x14ac:dyDescent="0.25">
      <c r="A114" s="120" t="s">
        <v>8</v>
      </c>
      <c r="B114" s="119" t="s">
        <v>2817</v>
      </c>
      <c r="F114" s="2">
        <v>304</v>
      </c>
    </row>
    <row r="115" spans="1:6" hidden="1" x14ac:dyDescent="0.25">
      <c r="A115" s="120" t="s">
        <v>10</v>
      </c>
      <c r="B115" s="119" t="s">
        <v>2817</v>
      </c>
      <c r="F115" s="2">
        <v>566</v>
      </c>
    </row>
    <row r="116" spans="1:6" ht="15.75" hidden="1" customHeight="1" x14ac:dyDescent="0.25">
      <c r="A116" s="6"/>
      <c r="F116" s="2">
        <v>3071</v>
      </c>
    </row>
    <row r="117" spans="1:6" ht="15.75" hidden="1" customHeight="1" x14ac:dyDescent="0.25">
      <c r="A117" s="111" t="s">
        <v>2</v>
      </c>
      <c r="B117" s="116" t="s">
        <v>2778</v>
      </c>
    </row>
    <row r="118" spans="1:6" ht="15.75" hidden="1" customHeight="1" x14ac:dyDescent="0.25">
      <c r="A118" s="114" t="s">
        <v>89</v>
      </c>
      <c r="B118" s="193">
        <v>268</v>
      </c>
    </row>
    <row r="119" spans="1:6" ht="15.75" hidden="1" customHeight="1" x14ac:dyDescent="0.25">
      <c r="A119" s="117" t="s">
        <v>77</v>
      </c>
      <c r="B119" s="194">
        <v>96</v>
      </c>
    </row>
    <row r="120" spans="1:6" ht="15.75" hidden="1" customHeight="1" x14ac:dyDescent="0.25">
      <c r="A120" s="117" t="s">
        <v>103</v>
      </c>
      <c r="B120" s="194">
        <v>508</v>
      </c>
    </row>
    <row r="121" spans="1:6" ht="15.75" hidden="1" customHeight="1" x14ac:dyDescent="0.25">
      <c r="A121" s="117" t="s">
        <v>116</v>
      </c>
      <c r="B121" s="194">
        <v>116</v>
      </c>
    </row>
    <row r="122" spans="1:6" ht="15.75" hidden="1" customHeight="1" x14ac:dyDescent="0.25">
      <c r="A122" s="117" t="s">
        <v>46</v>
      </c>
      <c r="B122" s="194">
        <v>2</v>
      </c>
    </row>
    <row r="123" spans="1:6" ht="15.75" hidden="1" customHeight="1" x14ac:dyDescent="0.25">
      <c r="A123" s="117" t="s">
        <v>44</v>
      </c>
      <c r="B123" s="194">
        <v>117</v>
      </c>
    </row>
    <row r="124" spans="1:6" ht="15.75" hidden="1" customHeight="1" x14ac:dyDescent="0.25">
      <c r="A124" s="117" t="s">
        <v>62</v>
      </c>
      <c r="B124" s="194">
        <v>116</v>
      </c>
    </row>
    <row r="125" spans="1:6" ht="15.75" hidden="1" customHeight="1" x14ac:dyDescent="0.25">
      <c r="A125" s="117" t="s">
        <v>71</v>
      </c>
      <c r="B125" s="194">
        <v>96</v>
      </c>
    </row>
    <row r="126" spans="1:6" ht="15.75" hidden="1" customHeight="1" x14ac:dyDescent="0.25">
      <c r="A126" s="117" t="s">
        <v>54</v>
      </c>
      <c r="B126" s="194">
        <v>70</v>
      </c>
    </row>
    <row r="127" spans="1:6" ht="15.75" hidden="1" customHeight="1" x14ac:dyDescent="0.25">
      <c r="A127" s="117" t="s">
        <v>198</v>
      </c>
      <c r="B127" s="194">
        <v>194</v>
      </c>
    </row>
    <row r="128" spans="1:6" ht="15.75" hidden="1" customHeight="1" x14ac:dyDescent="0.25">
      <c r="A128" s="117" t="s">
        <v>27</v>
      </c>
      <c r="B128" s="194">
        <v>173</v>
      </c>
    </row>
    <row r="129" spans="1:2" ht="15.75" hidden="1" customHeight="1" x14ac:dyDescent="0.25">
      <c r="A129" s="117" t="s">
        <v>36</v>
      </c>
      <c r="B129" s="194">
        <v>363</v>
      </c>
    </row>
    <row r="130" spans="1:2" ht="15.75" hidden="1" customHeight="1" x14ac:dyDescent="0.25">
      <c r="A130" s="118" t="s">
        <v>2779</v>
      </c>
      <c r="B130" s="195">
        <v>2119</v>
      </c>
    </row>
  </sheetData>
  <pageMargins left="0.7" right="0.7" top="0.75" bottom="0.75" header="0" footer="0"/>
  <pageSetup orientation="portrait"/>
  <drawing r:id="rId5"/>
  <tableParts count="1">
    <tablePart r:id="rId6"/>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BDDF-E0E0-4470-BDC0-F2A7019473F8}">
  <dimension ref="A1:B272"/>
  <sheetViews>
    <sheetView zoomScale="55" workbookViewId="0">
      <selection activeCell="B20" sqref="B20"/>
    </sheetView>
  </sheetViews>
  <sheetFormatPr defaultRowHeight="15" x14ac:dyDescent="0.25"/>
  <cols>
    <col min="1" max="1" width="27.28515625" customWidth="1"/>
    <col min="2" max="2" width="19.5703125" customWidth="1"/>
  </cols>
  <sheetData>
    <row r="1" spans="1:2" x14ac:dyDescent="0.25">
      <c r="A1" s="12" t="s">
        <v>3202</v>
      </c>
    </row>
    <row r="2" spans="1:2" x14ac:dyDescent="0.25">
      <c r="A2" s="3" t="s">
        <v>3204</v>
      </c>
    </row>
    <row r="3" spans="1:2" x14ac:dyDescent="0.25">
      <c r="A3" s="3"/>
    </row>
    <row r="4" spans="1:2" x14ac:dyDescent="0.25">
      <c r="A4" s="120" t="s">
        <v>15</v>
      </c>
      <c r="B4" s="119" t="s">
        <v>83</v>
      </c>
    </row>
    <row r="5" spans="1:2" x14ac:dyDescent="0.25">
      <c r="A5" s="120" t="s">
        <v>8</v>
      </c>
      <c r="B5" s="119" t="s">
        <v>2817</v>
      </c>
    </row>
    <row r="7" spans="1:2" x14ac:dyDescent="0.25">
      <c r="A7" s="111" t="s">
        <v>2778</v>
      </c>
      <c r="B7" s="139" t="s">
        <v>1</v>
      </c>
    </row>
    <row r="8" spans="1:2" x14ac:dyDescent="0.25">
      <c r="A8" s="111" t="s">
        <v>7</v>
      </c>
      <c r="B8" s="116" t="s">
        <v>76</v>
      </c>
    </row>
    <row r="9" spans="1:2" x14ac:dyDescent="0.25">
      <c r="A9" s="114" t="s">
        <v>54</v>
      </c>
      <c r="B9" s="193">
        <v>51</v>
      </c>
    </row>
    <row r="10" spans="1:2" x14ac:dyDescent="0.25">
      <c r="A10" s="117" t="s">
        <v>48</v>
      </c>
      <c r="B10" s="194">
        <v>48</v>
      </c>
    </row>
    <row r="11" spans="1:2" x14ac:dyDescent="0.25">
      <c r="A11" s="117" t="s">
        <v>42</v>
      </c>
      <c r="B11" s="194">
        <v>27</v>
      </c>
    </row>
    <row r="12" spans="1:2" x14ac:dyDescent="0.25">
      <c r="A12" s="117" t="s">
        <v>194</v>
      </c>
      <c r="B12" s="194">
        <v>26</v>
      </c>
    </row>
    <row r="13" spans="1:2" x14ac:dyDescent="0.25">
      <c r="A13" s="117" t="s">
        <v>114</v>
      </c>
      <c r="B13" s="194">
        <v>24</v>
      </c>
    </row>
    <row r="14" spans="1:2" x14ac:dyDescent="0.25">
      <c r="A14" s="117" t="s">
        <v>232</v>
      </c>
      <c r="B14" s="194">
        <v>22</v>
      </c>
    </row>
    <row r="15" spans="1:2" x14ac:dyDescent="0.25">
      <c r="A15" s="117" t="s">
        <v>73</v>
      </c>
      <c r="B15" s="194">
        <v>21</v>
      </c>
    </row>
    <row r="16" spans="1:2" x14ac:dyDescent="0.25">
      <c r="A16" s="117" t="s">
        <v>130</v>
      </c>
      <c r="B16" s="194">
        <v>21</v>
      </c>
    </row>
    <row r="17" spans="1:2" x14ac:dyDescent="0.25">
      <c r="A17" s="117" t="s">
        <v>52</v>
      </c>
      <c r="B17" s="194">
        <v>21</v>
      </c>
    </row>
    <row r="18" spans="1:2" x14ac:dyDescent="0.25">
      <c r="A18" s="117" t="s">
        <v>75</v>
      </c>
      <c r="B18" s="194">
        <v>21</v>
      </c>
    </row>
    <row r="19" spans="1:2" x14ac:dyDescent="0.25">
      <c r="A19" s="117" t="s">
        <v>242</v>
      </c>
      <c r="B19" s="194">
        <v>20</v>
      </c>
    </row>
    <row r="20" spans="1:2" x14ac:dyDescent="0.25">
      <c r="A20" s="117" t="s">
        <v>171</v>
      </c>
      <c r="B20" s="194">
        <v>20</v>
      </c>
    </row>
    <row r="21" spans="1:2" x14ac:dyDescent="0.25">
      <c r="A21" s="117" t="s">
        <v>117</v>
      </c>
      <c r="B21" s="194">
        <v>19</v>
      </c>
    </row>
    <row r="22" spans="1:2" x14ac:dyDescent="0.25">
      <c r="A22" s="117" t="s">
        <v>59</v>
      </c>
      <c r="B22" s="194">
        <v>19</v>
      </c>
    </row>
    <row r="23" spans="1:2" x14ac:dyDescent="0.25">
      <c r="A23" s="117" t="s">
        <v>79</v>
      </c>
      <c r="B23" s="194">
        <v>18</v>
      </c>
    </row>
    <row r="24" spans="1:2" x14ac:dyDescent="0.25">
      <c r="A24" s="117" t="s">
        <v>407</v>
      </c>
      <c r="B24" s="194">
        <v>17</v>
      </c>
    </row>
    <row r="25" spans="1:2" x14ac:dyDescent="0.25">
      <c r="A25" s="117" t="s">
        <v>53</v>
      </c>
      <c r="B25" s="194">
        <v>17</v>
      </c>
    </row>
    <row r="26" spans="1:2" x14ac:dyDescent="0.25">
      <c r="A26" s="117" t="s">
        <v>888</v>
      </c>
      <c r="B26" s="194">
        <v>17</v>
      </c>
    </row>
    <row r="27" spans="1:2" x14ac:dyDescent="0.25">
      <c r="A27" s="117" t="s">
        <v>159</v>
      </c>
      <c r="B27" s="194">
        <v>17</v>
      </c>
    </row>
    <row r="28" spans="1:2" x14ac:dyDescent="0.25">
      <c r="A28" s="117" t="s">
        <v>208</v>
      </c>
      <c r="B28" s="194">
        <v>16</v>
      </c>
    </row>
    <row r="29" spans="1:2" x14ac:dyDescent="0.25">
      <c r="A29" s="117" t="s">
        <v>296</v>
      </c>
      <c r="B29" s="194">
        <v>16</v>
      </c>
    </row>
    <row r="30" spans="1:2" x14ac:dyDescent="0.25">
      <c r="A30" s="117" t="s">
        <v>722</v>
      </c>
      <c r="B30" s="194">
        <v>16</v>
      </c>
    </row>
    <row r="31" spans="1:2" x14ac:dyDescent="0.25">
      <c r="A31" s="117" t="s">
        <v>282</v>
      </c>
      <c r="B31" s="194">
        <v>15</v>
      </c>
    </row>
    <row r="32" spans="1:2" x14ac:dyDescent="0.25">
      <c r="A32" s="117" t="s">
        <v>93</v>
      </c>
      <c r="B32" s="194">
        <v>15</v>
      </c>
    </row>
    <row r="33" spans="1:2" x14ac:dyDescent="0.25">
      <c r="A33" s="117" t="s">
        <v>168</v>
      </c>
      <c r="B33" s="194">
        <v>15</v>
      </c>
    </row>
    <row r="34" spans="1:2" x14ac:dyDescent="0.25">
      <c r="A34" s="117" t="s">
        <v>275</v>
      </c>
      <c r="B34" s="194">
        <v>15</v>
      </c>
    </row>
    <row r="35" spans="1:2" x14ac:dyDescent="0.25">
      <c r="A35" s="117" t="s">
        <v>409</v>
      </c>
      <c r="B35" s="194">
        <v>15</v>
      </c>
    </row>
    <row r="36" spans="1:2" x14ac:dyDescent="0.25">
      <c r="A36" s="117" t="s">
        <v>67</v>
      </c>
      <c r="B36" s="194">
        <v>15</v>
      </c>
    </row>
    <row r="37" spans="1:2" x14ac:dyDescent="0.25">
      <c r="A37" s="117" t="s">
        <v>377</v>
      </c>
      <c r="B37" s="194">
        <v>13</v>
      </c>
    </row>
    <row r="38" spans="1:2" x14ac:dyDescent="0.25">
      <c r="A38" s="117" t="s">
        <v>438</v>
      </c>
      <c r="B38" s="194">
        <v>13</v>
      </c>
    </row>
    <row r="39" spans="1:2" x14ac:dyDescent="0.25">
      <c r="A39" s="117" t="s">
        <v>37</v>
      </c>
      <c r="B39" s="194">
        <v>13</v>
      </c>
    </row>
    <row r="40" spans="1:2" x14ac:dyDescent="0.25">
      <c r="A40" s="117" t="s">
        <v>111</v>
      </c>
      <c r="B40" s="194">
        <v>13</v>
      </c>
    </row>
    <row r="41" spans="1:2" x14ac:dyDescent="0.25">
      <c r="A41" s="117" t="s">
        <v>153</v>
      </c>
      <c r="B41" s="194">
        <v>13</v>
      </c>
    </row>
    <row r="42" spans="1:2" x14ac:dyDescent="0.25">
      <c r="A42" s="117" t="s">
        <v>108</v>
      </c>
      <c r="B42" s="194">
        <v>13</v>
      </c>
    </row>
    <row r="43" spans="1:2" x14ac:dyDescent="0.25">
      <c r="A43" s="117" t="s">
        <v>270</v>
      </c>
      <c r="B43" s="194">
        <v>12</v>
      </c>
    </row>
    <row r="44" spans="1:2" x14ac:dyDescent="0.25">
      <c r="A44" s="117" t="s">
        <v>107</v>
      </c>
      <c r="B44" s="194">
        <v>12</v>
      </c>
    </row>
    <row r="45" spans="1:2" x14ac:dyDescent="0.25">
      <c r="A45" s="117" t="s">
        <v>104</v>
      </c>
      <c r="B45" s="194">
        <v>12</v>
      </c>
    </row>
    <row r="46" spans="1:2" x14ac:dyDescent="0.25">
      <c r="A46" s="117" t="s">
        <v>69</v>
      </c>
      <c r="B46" s="194">
        <v>11</v>
      </c>
    </row>
    <row r="47" spans="1:2" x14ac:dyDescent="0.25">
      <c r="A47" s="117" t="s">
        <v>92</v>
      </c>
      <c r="B47" s="194">
        <v>11</v>
      </c>
    </row>
    <row r="48" spans="1:2" x14ac:dyDescent="0.25">
      <c r="A48" s="117" t="s">
        <v>405</v>
      </c>
      <c r="B48" s="194">
        <v>11</v>
      </c>
    </row>
    <row r="49" spans="1:2" x14ac:dyDescent="0.25">
      <c r="A49" s="117" t="s">
        <v>382</v>
      </c>
      <c r="B49" s="194">
        <v>11</v>
      </c>
    </row>
    <row r="50" spans="1:2" x14ac:dyDescent="0.25">
      <c r="A50" s="117" t="s">
        <v>186</v>
      </c>
      <c r="B50" s="194">
        <v>10</v>
      </c>
    </row>
    <row r="51" spans="1:2" x14ac:dyDescent="0.25">
      <c r="A51" s="117" t="s">
        <v>421</v>
      </c>
      <c r="B51" s="194">
        <v>9</v>
      </c>
    </row>
    <row r="52" spans="1:2" x14ac:dyDescent="0.25">
      <c r="A52" s="117" t="s">
        <v>432</v>
      </c>
      <c r="B52" s="194">
        <v>9</v>
      </c>
    </row>
    <row r="53" spans="1:2" x14ac:dyDescent="0.25">
      <c r="A53" s="117" t="s">
        <v>161</v>
      </c>
      <c r="B53" s="194">
        <v>9</v>
      </c>
    </row>
    <row r="54" spans="1:2" x14ac:dyDescent="0.25">
      <c r="A54" s="117" t="s">
        <v>211</v>
      </c>
      <c r="B54" s="194">
        <v>9</v>
      </c>
    </row>
    <row r="55" spans="1:2" x14ac:dyDescent="0.25">
      <c r="A55" s="117" t="s">
        <v>63</v>
      </c>
      <c r="B55" s="194">
        <v>9</v>
      </c>
    </row>
    <row r="56" spans="1:2" x14ac:dyDescent="0.25">
      <c r="A56" s="117" t="s">
        <v>363</v>
      </c>
      <c r="B56" s="194">
        <v>8</v>
      </c>
    </row>
    <row r="57" spans="1:2" x14ac:dyDescent="0.25">
      <c r="A57" s="117" t="s">
        <v>195</v>
      </c>
      <c r="B57" s="194">
        <v>8</v>
      </c>
    </row>
    <row r="58" spans="1:2" x14ac:dyDescent="0.25">
      <c r="A58" s="117" t="s">
        <v>244</v>
      </c>
      <c r="B58" s="194">
        <v>8</v>
      </c>
    </row>
    <row r="59" spans="1:2" x14ac:dyDescent="0.25">
      <c r="A59" s="117" t="s">
        <v>96</v>
      </c>
      <c r="B59" s="194">
        <v>8</v>
      </c>
    </row>
    <row r="60" spans="1:2" x14ac:dyDescent="0.25">
      <c r="A60" s="117" t="s">
        <v>32</v>
      </c>
      <c r="B60" s="194">
        <v>8</v>
      </c>
    </row>
    <row r="61" spans="1:2" x14ac:dyDescent="0.25">
      <c r="A61" s="117" t="s">
        <v>176</v>
      </c>
      <c r="B61" s="194">
        <v>7</v>
      </c>
    </row>
    <row r="62" spans="1:2" x14ac:dyDescent="0.25">
      <c r="A62" s="117" t="s">
        <v>137</v>
      </c>
      <c r="B62" s="194">
        <v>7</v>
      </c>
    </row>
    <row r="63" spans="1:2" x14ac:dyDescent="0.25">
      <c r="A63" s="117" t="s">
        <v>519</v>
      </c>
      <c r="B63" s="194">
        <v>7</v>
      </c>
    </row>
    <row r="64" spans="1:2" x14ac:dyDescent="0.25">
      <c r="A64" s="117" t="s">
        <v>280</v>
      </c>
      <c r="B64" s="194">
        <v>7</v>
      </c>
    </row>
    <row r="65" spans="1:2" x14ac:dyDescent="0.25">
      <c r="A65" s="117" t="s">
        <v>222</v>
      </c>
      <c r="B65" s="194">
        <v>7</v>
      </c>
    </row>
    <row r="66" spans="1:2" x14ac:dyDescent="0.25">
      <c r="A66" s="117" t="s">
        <v>381</v>
      </c>
      <c r="B66" s="194">
        <v>7</v>
      </c>
    </row>
    <row r="67" spans="1:2" x14ac:dyDescent="0.25">
      <c r="A67" s="117" t="s">
        <v>43</v>
      </c>
      <c r="B67" s="194">
        <v>7</v>
      </c>
    </row>
    <row r="68" spans="1:2" x14ac:dyDescent="0.25">
      <c r="A68" s="117" t="s">
        <v>180</v>
      </c>
      <c r="B68" s="194">
        <v>7</v>
      </c>
    </row>
    <row r="69" spans="1:2" x14ac:dyDescent="0.25">
      <c r="A69" s="117" t="s">
        <v>505</v>
      </c>
      <c r="B69" s="194">
        <v>6</v>
      </c>
    </row>
    <row r="70" spans="1:2" x14ac:dyDescent="0.25">
      <c r="A70" s="117" t="s">
        <v>476</v>
      </c>
      <c r="B70" s="194">
        <v>6</v>
      </c>
    </row>
    <row r="71" spans="1:2" x14ac:dyDescent="0.25">
      <c r="A71" s="117" t="s">
        <v>258</v>
      </c>
      <c r="B71" s="194">
        <v>6</v>
      </c>
    </row>
    <row r="72" spans="1:2" x14ac:dyDescent="0.25">
      <c r="A72" s="117" t="s">
        <v>443</v>
      </c>
      <c r="B72" s="194">
        <v>6</v>
      </c>
    </row>
    <row r="73" spans="1:2" x14ac:dyDescent="0.25">
      <c r="A73" s="117" t="s">
        <v>329</v>
      </c>
      <c r="B73" s="194">
        <v>6</v>
      </c>
    </row>
    <row r="74" spans="1:2" x14ac:dyDescent="0.25">
      <c r="A74" s="117" t="s">
        <v>265</v>
      </c>
      <c r="B74" s="194">
        <v>6</v>
      </c>
    </row>
    <row r="75" spans="1:2" x14ac:dyDescent="0.25">
      <c r="A75" s="117" t="s">
        <v>338</v>
      </c>
      <c r="B75" s="194">
        <v>6</v>
      </c>
    </row>
    <row r="76" spans="1:2" x14ac:dyDescent="0.25">
      <c r="A76" s="117" t="s">
        <v>451</v>
      </c>
      <c r="B76" s="194">
        <v>5</v>
      </c>
    </row>
    <row r="77" spans="1:2" x14ac:dyDescent="0.25">
      <c r="A77" s="117" t="s">
        <v>413</v>
      </c>
      <c r="B77" s="194">
        <v>5</v>
      </c>
    </row>
    <row r="78" spans="1:2" x14ac:dyDescent="0.25">
      <c r="A78" s="117" t="s">
        <v>214</v>
      </c>
      <c r="B78" s="194">
        <v>5</v>
      </c>
    </row>
    <row r="79" spans="1:2" x14ac:dyDescent="0.25">
      <c r="A79" s="117" t="s">
        <v>756</v>
      </c>
      <c r="B79" s="194">
        <v>5</v>
      </c>
    </row>
    <row r="80" spans="1:2" x14ac:dyDescent="0.25">
      <c r="A80" s="117" t="s">
        <v>163</v>
      </c>
      <c r="B80" s="194">
        <v>5</v>
      </c>
    </row>
    <row r="81" spans="1:2" x14ac:dyDescent="0.25">
      <c r="A81" s="117" t="s">
        <v>473</v>
      </c>
      <c r="B81" s="194">
        <v>5</v>
      </c>
    </row>
    <row r="82" spans="1:2" x14ac:dyDescent="0.25">
      <c r="A82" s="117" t="s">
        <v>414</v>
      </c>
      <c r="B82" s="194">
        <v>5</v>
      </c>
    </row>
    <row r="83" spans="1:2" x14ac:dyDescent="0.25">
      <c r="A83" s="117" t="s">
        <v>411</v>
      </c>
      <c r="B83" s="194">
        <v>5</v>
      </c>
    </row>
    <row r="84" spans="1:2" x14ac:dyDescent="0.25">
      <c r="A84" s="117" t="s">
        <v>469</v>
      </c>
      <c r="B84" s="194">
        <v>4</v>
      </c>
    </row>
    <row r="85" spans="1:2" x14ac:dyDescent="0.25">
      <c r="A85" s="117" t="s">
        <v>298</v>
      </c>
      <c r="B85" s="194">
        <v>4</v>
      </c>
    </row>
    <row r="86" spans="1:2" x14ac:dyDescent="0.25">
      <c r="A86" s="117" t="s">
        <v>371</v>
      </c>
      <c r="B86" s="194">
        <v>4</v>
      </c>
    </row>
    <row r="87" spans="1:2" x14ac:dyDescent="0.25">
      <c r="A87" s="117" t="s">
        <v>205</v>
      </c>
      <c r="B87" s="194">
        <v>4</v>
      </c>
    </row>
    <row r="88" spans="1:2" x14ac:dyDescent="0.25">
      <c r="A88" s="117" t="s">
        <v>241</v>
      </c>
      <c r="B88" s="194">
        <v>4</v>
      </c>
    </row>
    <row r="89" spans="1:2" x14ac:dyDescent="0.25">
      <c r="A89" s="117" t="s">
        <v>142</v>
      </c>
      <c r="B89" s="194">
        <v>4</v>
      </c>
    </row>
    <row r="90" spans="1:2" x14ac:dyDescent="0.25">
      <c r="A90" s="117" t="s">
        <v>499</v>
      </c>
      <c r="B90" s="194">
        <v>4</v>
      </c>
    </row>
    <row r="91" spans="1:2" x14ac:dyDescent="0.25">
      <c r="A91" s="117" t="s">
        <v>248</v>
      </c>
      <c r="B91" s="194">
        <v>3</v>
      </c>
    </row>
    <row r="92" spans="1:2" x14ac:dyDescent="0.25">
      <c r="A92" s="117" t="s">
        <v>303</v>
      </c>
      <c r="B92" s="194">
        <v>3</v>
      </c>
    </row>
    <row r="93" spans="1:2" x14ac:dyDescent="0.25">
      <c r="A93" s="117" t="s">
        <v>225</v>
      </c>
      <c r="B93" s="194">
        <v>3</v>
      </c>
    </row>
    <row r="94" spans="1:2" x14ac:dyDescent="0.25">
      <c r="A94" s="117" t="s">
        <v>252</v>
      </c>
      <c r="B94" s="194">
        <v>3</v>
      </c>
    </row>
    <row r="95" spans="1:2" x14ac:dyDescent="0.25">
      <c r="A95" s="117" t="s">
        <v>370</v>
      </c>
      <c r="B95" s="194">
        <v>3</v>
      </c>
    </row>
    <row r="96" spans="1:2" x14ac:dyDescent="0.25">
      <c r="A96" s="117" t="s">
        <v>513</v>
      </c>
      <c r="B96" s="194">
        <v>3</v>
      </c>
    </row>
    <row r="97" spans="1:2" x14ac:dyDescent="0.25">
      <c r="A97" s="117" t="s">
        <v>558</v>
      </c>
      <c r="B97" s="194">
        <v>3</v>
      </c>
    </row>
    <row r="98" spans="1:2" x14ac:dyDescent="0.25">
      <c r="A98" s="117" t="s">
        <v>437</v>
      </c>
      <c r="B98" s="194">
        <v>3</v>
      </c>
    </row>
    <row r="99" spans="1:2" x14ac:dyDescent="0.25">
      <c r="A99" s="117" t="s">
        <v>503</v>
      </c>
      <c r="B99" s="194">
        <v>3</v>
      </c>
    </row>
    <row r="100" spans="1:2" x14ac:dyDescent="0.25">
      <c r="A100" s="117" t="s">
        <v>369</v>
      </c>
      <c r="B100" s="194">
        <v>3</v>
      </c>
    </row>
    <row r="101" spans="1:2" x14ac:dyDescent="0.25">
      <c r="A101" s="117" t="s">
        <v>564</v>
      </c>
      <c r="B101" s="194">
        <v>3</v>
      </c>
    </row>
    <row r="102" spans="1:2" x14ac:dyDescent="0.25">
      <c r="A102" s="117" t="s">
        <v>506</v>
      </c>
      <c r="B102" s="194">
        <v>2</v>
      </c>
    </row>
    <row r="103" spans="1:2" x14ac:dyDescent="0.25">
      <c r="A103" s="117" t="s">
        <v>683</v>
      </c>
      <c r="B103" s="194">
        <v>2</v>
      </c>
    </row>
    <row r="104" spans="1:2" x14ac:dyDescent="0.25">
      <c r="A104" s="117" t="s">
        <v>653</v>
      </c>
      <c r="B104" s="194">
        <v>2</v>
      </c>
    </row>
    <row r="105" spans="1:2" x14ac:dyDescent="0.25">
      <c r="A105" s="117" t="s">
        <v>95</v>
      </c>
      <c r="B105" s="194">
        <v>2</v>
      </c>
    </row>
    <row r="106" spans="1:2" x14ac:dyDescent="0.25">
      <c r="A106" s="117" t="s">
        <v>604</v>
      </c>
      <c r="B106" s="194">
        <v>2</v>
      </c>
    </row>
    <row r="107" spans="1:2" x14ac:dyDescent="0.25">
      <c r="A107" s="117" t="s">
        <v>288</v>
      </c>
      <c r="B107" s="194">
        <v>2</v>
      </c>
    </row>
    <row r="108" spans="1:2" x14ac:dyDescent="0.25">
      <c r="A108" s="117" t="s">
        <v>452</v>
      </c>
      <c r="B108" s="194">
        <v>2</v>
      </c>
    </row>
    <row r="109" spans="1:2" x14ac:dyDescent="0.25">
      <c r="A109" s="117" t="s">
        <v>559</v>
      </c>
      <c r="B109" s="194">
        <v>2</v>
      </c>
    </row>
    <row r="110" spans="1:2" x14ac:dyDescent="0.25">
      <c r="A110" s="117" t="s">
        <v>975</v>
      </c>
      <c r="B110" s="194">
        <v>2</v>
      </c>
    </row>
    <row r="111" spans="1:2" x14ac:dyDescent="0.25">
      <c r="A111" s="117" t="s">
        <v>791</v>
      </c>
      <c r="B111" s="194">
        <v>2</v>
      </c>
    </row>
    <row r="112" spans="1:2" x14ac:dyDescent="0.25">
      <c r="A112" s="117" t="s">
        <v>293</v>
      </c>
      <c r="B112" s="194">
        <v>2</v>
      </c>
    </row>
    <row r="113" spans="1:2" x14ac:dyDescent="0.25">
      <c r="A113" s="117" t="s">
        <v>285</v>
      </c>
      <c r="B113" s="194">
        <v>2</v>
      </c>
    </row>
    <row r="114" spans="1:2" x14ac:dyDescent="0.25">
      <c r="A114" s="117" t="s">
        <v>784</v>
      </c>
      <c r="B114" s="194">
        <v>2</v>
      </c>
    </row>
    <row r="115" spans="1:2" x14ac:dyDescent="0.25">
      <c r="A115" s="117" t="s">
        <v>458</v>
      </c>
      <c r="B115" s="194">
        <v>2</v>
      </c>
    </row>
    <row r="116" spans="1:2" x14ac:dyDescent="0.25">
      <c r="A116" s="117" t="s">
        <v>417</v>
      </c>
      <c r="B116" s="194">
        <v>1</v>
      </c>
    </row>
    <row r="117" spans="1:2" x14ac:dyDescent="0.25">
      <c r="A117" s="117" t="s">
        <v>517</v>
      </c>
      <c r="B117" s="194">
        <v>1</v>
      </c>
    </row>
    <row r="118" spans="1:2" x14ac:dyDescent="0.25">
      <c r="A118" s="117" t="s">
        <v>217</v>
      </c>
      <c r="B118" s="194">
        <v>1</v>
      </c>
    </row>
    <row r="119" spans="1:2" x14ac:dyDescent="0.25">
      <c r="A119" s="117" t="s">
        <v>1027</v>
      </c>
      <c r="B119" s="194">
        <v>1</v>
      </c>
    </row>
    <row r="120" spans="1:2" x14ac:dyDescent="0.25">
      <c r="A120" s="117" t="s">
        <v>752</v>
      </c>
      <c r="B120" s="194">
        <v>1</v>
      </c>
    </row>
    <row r="121" spans="1:2" x14ac:dyDescent="0.25">
      <c r="A121" s="117" t="s">
        <v>2051</v>
      </c>
      <c r="B121" s="194">
        <v>1</v>
      </c>
    </row>
    <row r="122" spans="1:2" x14ac:dyDescent="0.25">
      <c r="A122" s="117" t="s">
        <v>600</v>
      </c>
      <c r="B122" s="194">
        <v>1</v>
      </c>
    </row>
    <row r="123" spans="1:2" x14ac:dyDescent="0.25">
      <c r="A123" s="117" t="s">
        <v>450</v>
      </c>
      <c r="B123" s="194">
        <v>1</v>
      </c>
    </row>
    <row r="124" spans="1:2" x14ac:dyDescent="0.25">
      <c r="A124" s="117" t="s">
        <v>260</v>
      </c>
      <c r="B124" s="194">
        <v>1</v>
      </c>
    </row>
    <row r="125" spans="1:2" x14ac:dyDescent="0.25">
      <c r="A125" s="117" t="s">
        <v>769</v>
      </c>
      <c r="B125" s="194">
        <v>1</v>
      </c>
    </row>
    <row r="126" spans="1:2" x14ac:dyDescent="0.25">
      <c r="A126" s="117" t="s">
        <v>783</v>
      </c>
      <c r="B126" s="194">
        <v>1</v>
      </c>
    </row>
    <row r="127" spans="1:2" x14ac:dyDescent="0.25">
      <c r="A127" s="117" t="s">
        <v>634</v>
      </c>
      <c r="B127" s="194">
        <v>1</v>
      </c>
    </row>
    <row r="128" spans="1:2" x14ac:dyDescent="0.25">
      <c r="A128" s="117" t="s">
        <v>145</v>
      </c>
      <c r="B128" s="194">
        <v>1</v>
      </c>
    </row>
    <row r="129" spans="1:2" x14ac:dyDescent="0.25">
      <c r="A129" s="117" t="s">
        <v>1013</v>
      </c>
      <c r="B129" s="194">
        <v>1</v>
      </c>
    </row>
    <row r="130" spans="1:2" x14ac:dyDescent="0.25">
      <c r="A130" s="117" t="s">
        <v>588</v>
      </c>
      <c r="B130" s="194">
        <v>1</v>
      </c>
    </row>
    <row r="131" spans="1:2" x14ac:dyDescent="0.25">
      <c r="A131" s="117" t="s">
        <v>620</v>
      </c>
      <c r="B131" s="194">
        <v>1</v>
      </c>
    </row>
    <row r="132" spans="1:2" x14ac:dyDescent="0.25">
      <c r="A132" s="117" t="s">
        <v>789</v>
      </c>
      <c r="B132" s="194">
        <v>1</v>
      </c>
    </row>
    <row r="133" spans="1:2" x14ac:dyDescent="0.25">
      <c r="A133" s="117" t="s">
        <v>836</v>
      </c>
      <c r="B133" s="194">
        <v>1</v>
      </c>
    </row>
    <row r="134" spans="1:2" x14ac:dyDescent="0.25">
      <c r="A134" s="117" t="s">
        <v>343</v>
      </c>
      <c r="B134" s="194">
        <v>1</v>
      </c>
    </row>
    <row r="135" spans="1:2" x14ac:dyDescent="0.25">
      <c r="A135" s="117" t="s">
        <v>550</v>
      </c>
      <c r="B135" s="194">
        <v>1</v>
      </c>
    </row>
    <row r="136" spans="1:2" x14ac:dyDescent="0.25">
      <c r="A136" s="117" t="s">
        <v>345</v>
      </c>
      <c r="B136" s="194">
        <v>1</v>
      </c>
    </row>
    <row r="137" spans="1:2" x14ac:dyDescent="0.25">
      <c r="A137" s="123" t="s">
        <v>743</v>
      </c>
      <c r="B137" s="215">
        <v>1</v>
      </c>
    </row>
    <row r="142" spans="1:2" x14ac:dyDescent="0.25">
      <c r="A142" s="114" t="s">
        <v>7</v>
      </c>
      <c r="B142" s="116" t="s">
        <v>76</v>
      </c>
    </row>
    <row r="143" spans="1:2" x14ac:dyDescent="0.25">
      <c r="A143" s="114" t="s">
        <v>54</v>
      </c>
      <c r="B143" s="116">
        <f>B9</f>
        <v>51</v>
      </c>
    </row>
    <row r="144" spans="1:2" x14ac:dyDescent="0.25">
      <c r="A144" s="117" t="s">
        <v>48</v>
      </c>
      <c r="B144" s="147">
        <f>B10</f>
        <v>48</v>
      </c>
    </row>
    <row r="145" spans="1:2" x14ac:dyDescent="0.25">
      <c r="A145" s="117" t="s">
        <v>194</v>
      </c>
      <c r="B145" s="116">
        <f t="shared" ref="B145:B208" si="0">B11</f>
        <v>27</v>
      </c>
    </row>
    <row r="146" spans="1:2" x14ac:dyDescent="0.25">
      <c r="A146" s="117" t="s">
        <v>42</v>
      </c>
      <c r="B146" s="147">
        <f t="shared" si="0"/>
        <v>26</v>
      </c>
    </row>
    <row r="147" spans="1:2" x14ac:dyDescent="0.25">
      <c r="A147" s="117" t="s">
        <v>114</v>
      </c>
      <c r="B147" s="116">
        <f t="shared" si="0"/>
        <v>24</v>
      </c>
    </row>
    <row r="148" spans="1:2" x14ac:dyDescent="0.25">
      <c r="A148" s="117" t="s">
        <v>232</v>
      </c>
      <c r="B148" s="147">
        <f t="shared" si="0"/>
        <v>22</v>
      </c>
    </row>
    <row r="149" spans="1:2" x14ac:dyDescent="0.25">
      <c r="A149" s="117" t="s">
        <v>73</v>
      </c>
      <c r="B149" s="116">
        <f t="shared" si="0"/>
        <v>21</v>
      </c>
    </row>
    <row r="150" spans="1:2" x14ac:dyDescent="0.25">
      <c r="A150" s="117" t="s">
        <v>130</v>
      </c>
      <c r="B150" s="147">
        <f t="shared" si="0"/>
        <v>21</v>
      </c>
    </row>
    <row r="151" spans="1:2" x14ac:dyDescent="0.25">
      <c r="A151" s="117" t="s">
        <v>52</v>
      </c>
      <c r="B151" s="116">
        <f t="shared" si="0"/>
        <v>21</v>
      </c>
    </row>
    <row r="152" spans="1:2" x14ac:dyDescent="0.25">
      <c r="A152" s="117" t="s">
        <v>75</v>
      </c>
      <c r="B152" s="147">
        <f t="shared" si="0"/>
        <v>21</v>
      </c>
    </row>
    <row r="153" spans="1:2" x14ac:dyDescent="0.25">
      <c r="A153" s="117" t="s">
        <v>242</v>
      </c>
      <c r="B153" s="116">
        <f t="shared" si="0"/>
        <v>20</v>
      </c>
    </row>
    <row r="154" spans="1:2" x14ac:dyDescent="0.25">
      <c r="A154" s="117" t="s">
        <v>171</v>
      </c>
      <c r="B154" s="147">
        <f t="shared" si="0"/>
        <v>20</v>
      </c>
    </row>
    <row r="155" spans="1:2" x14ac:dyDescent="0.25">
      <c r="A155" s="117" t="s">
        <v>117</v>
      </c>
      <c r="B155" s="116">
        <f t="shared" si="0"/>
        <v>19</v>
      </c>
    </row>
    <row r="156" spans="1:2" x14ac:dyDescent="0.25">
      <c r="A156" s="117" t="s">
        <v>59</v>
      </c>
      <c r="B156" s="147">
        <f t="shared" si="0"/>
        <v>19</v>
      </c>
    </row>
    <row r="157" spans="1:2" x14ac:dyDescent="0.25">
      <c r="A157" s="117" t="s">
        <v>79</v>
      </c>
      <c r="B157" s="116">
        <f t="shared" si="0"/>
        <v>18</v>
      </c>
    </row>
    <row r="158" spans="1:2" x14ac:dyDescent="0.25">
      <c r="A158" s="117" t="s">
        <v>407</v>
      </c>
      <c r="B158" s="147">
        <f t="shared" si="0"/>
        <v>17</v>
      </c>
    </row>
    <row r="159" spans="1:2" x14ac:dyDescent="0.25">
      <c r="A159" s="117" t="s">
        <v>53</v>
      </c>
      <c r="B159" s="116">
        <f t="shared" si="0"/>
        <v>17</v>
      </c>
    </row>
    <row r="160" spans="1:2" x14ac:dyDescent="0.25">
      <c r="A160" s="117" t="s">
        <v>888</v>
      </c>
      <c r="B160" s="147">
        <f t="shared" si="0"/>
        <v>17</v>
      </c>
    </row>
    <row r="161" spans="1:2" x14ac:dyDescent="0.25">
      <c r="A161" s="117" t="s">
        <v>159</v>
      </c>
      <c r="B161" s="116">
        <f t="shared" si="0"/>
        <v>17</v>
      </c>
    </row>
    <row r="162" spans="1:2" x14ac:dyDescent="0.25">
      <c r="A162" s="117" t="s">
        <v>208</v>
      </c>
      <c r="B162" s="147">
        <f t="shared" si="0"/>
        <v>16</v>
      </c>
    </row>
    <row r="163" spans="1:2" x14ac:dyDescent="0.25">
      <c r="A163" s="117" t="s">
        <v>296</v>
      </c>
      <c r="B163" s="116">
        <f t="shared" si="0"/>
        <v>16</v>
      </c>
    </row>
    <row r="164" spans="1:2" x14ac:dyDescent="0.25">
      <c r="A164" s="117" t="s">
        <v>722</v>
      </c>
      <c r="B164" s="147">
        <f t="shared" si="0"/>
        <v>16</v>
      </c>
    </row>
    <row r="165" spans="1:2" x14ac:dyDescent="0.25">
      <c r="A165" s="117" t="s">
        <v>282</v>
      </c>
      <c r="B165" s="116">
        <f t="shared" si="0"/>
        <v>15</v>
      </c>
    </row>
    <row r="166" spans="1:2" x14ac:dyDescent="0.25">
      <c r="A166" s="117" t="s">
        <v>93</v>
      </c>
      <c r="B166" s="147">
        <f t="shared" si="0"/>
        <v>15</v>
      </c>
    </row>
    <row r="167" spans="1:2" x14ac:dyDescent="0.25">
      <c r="A167" s="117" t="s">
        <v>168</v>
      </c>
      <c r="B167" s="116">
        <f t="shared" si="0"/>
        <v>15</v>
      </c>
    </row>
    <row r="168" spans="1:2" x14ac:dyDescent="0.25">
      <c r="A168" s="117" t="s">
        <v>275</v>
      </c>
      <c r="B168" s="147">
        <f t="shared" si="0"/>
        <v>15</v>
      </c>
    </row>
    <row r="169" spans="1:2" x14ac:dyDescent="0.25">
      <c r="A169" s="117" t="s">
        <v>409</v>
      </c>
      <c r="B169" s="116">
        <f t="shared" si="0"/>
        <v>15</v>
      </c>
    </row>
    <row r="170" spans="1:2" x14ac:dyDescent="0.25">
      <c r="A170" s="117" t="s">
        <v>67</v>
      </c>
      <c r="B170" s="147">
        <f t="shared" si="0"/>
        <v>15</v>
      </c>
    </row>
    <row r="171" spans="1:2" x14ac:dyDescent="0.25">
      <c r="A171" s="117" t="s">
        <v>377</v>
      </c>
      <c r="B171" s="116">
        <f t="shared" si="0"/>
        <v>13</v>
      </c>
    </row>
    <row r="172" spans="1:2" x14ac:dyDescent="0.25">
      <c r="A172" s="117" t="s">
        <v>438</v>
      </c>
      <c r="B172" s="147">
        <f t="shared" si="0"/>
        <v>13</v>
      </c>
    </row>
    <row r="173" spans="1:2" x14ac:dyDescent="0.25">
      <c r="A173" s="117" t="s">
        <v>37</v>
      </c>
      <c r="B173" s="116">
        <f t="shared" si="0"/>
        <v>13</v>
      </c>
    </row>
    <row r="174" spans="1:2" x14ac:dyDescent="0.25">
      <c r="A174" s="117" t="s">
        <v>111</v>
      </c>
      <c r="B174" s="147">
        <f t="shared" si="0"/>
        <v>13</v>
      </c>
    </row>
    <row r="175" spans="1:2" x14ac:dyDescent="0.25">
      <c r="A175" s="117" t="s">
        <v>153</v>
      </c>
      <c r="B175" s="116">
        <f t="shared" si="0"/>
        <v>13</v>
      </c>
    </row>
    <row r="176" spans="1:2" x14ac:dyDescent="0.25">
      <c r="A176" s="117" t="s">
        <v>108</v>
      </c>
      <c r="B176" s="147">
        <f t="shared" si="0"/>
        <v>13</v>
      </c>
    </row>
    <row r="177" spans="1:2" x14ac:dyDescent="0.25">
      <c r="A177" s="117" t="s">
        <v>270</v>
      </c>
      <c r="B177" s="116">
        <f t="shared" si="0"/>
        <v>12</v>
      </c>
    </row>
    <row r="178" spans="1:2" x14ac:dyDescent="0.25">
      <c r="A178" s="117" t="s">
        <v>107</v>
      </c>
      <c r="B178" s="147">
        <f t="shared" si="0"/>
        <v>12</v>
      </c>
    </row>
    <row r="179" spans="1:2" x14ac:dyDescent="0.25">
      <c r="A179" s="117" t="s">
        <v>104</v>
      </c>
      <c r="B179" s="116">
        <f t="shared" si="0"/>
        <v>12</v>
      </c>
    </row>
    <row r="180" spans="1:2" x14ac:dyDescent="0.25">
      <c r="A180" s="117" t="s">
        <v>69</v>
      </c>
      <c r="B180" s="147">
        <f t="shared" si="0"/>
        <v>11</v>
      </c>
    </row>
    <row r="181" spans="1:2" x14ac:dyDescent="0.25">
      <c r="A181" s="117" t="s">
        <v>92</v>
      </c>
      <c r="B181" s="116">
        <f t="shared" si="0"/>
        <v>11</v>
      </c>
    </row>
    <row r="182" spans="1:2" x14ac:dyDescent="0.25">
      <c r="A182" s="117" t="s">
        <v>405</v>
      </c>
      <c r="B182" s="147">
        <f t="shared" si="0"/>
        <v>11</v>
      </c>
    </row>
    <row r="183" spans="1:2" x14ac:dyDescent="0.25">
      <c r="A183" s="117" t="s">
        <v>382</v>
      </c>
      <c r="B183" s="116">
        <f t="shared" si="0"/>
        <v>11</v>
      </c>
    </row>
    <row r="184" spans="1:2" x14ac:dyDescent="0.25">
      <c r="A184" s="117" t="s">
        <v>186</v>
      </c>
      <c r="B184" s="147">
        <f t="shared" si="0"/>
        <v>10</v>
      </c>
    </row>
    <row r="185" spans="1:2" x14ac:dyDescent="0.25">
      <c r="A185" s="117" t="s">
        <v>421</v>
      </c>
      <c r="B185" s="116">
        <f t="shared" si="0"/>
        <v>9</v>
      </c>
    </row>
    <row r="186" spans="1:2" x14ac:dyDescent="0.25">
      <c r="A186" s="117" t="s">
        <v>432</v>
      </c>
      <c r="B186" s="147">
        <f t="shared" si="0"/>
        <v>9</v>
      </c>
    </row>
    <row r="187" spans="1:2" x14ac:dyDescent="0.25">
      <c r="A187" s="117" t="s">
        <v>161</v>
      </c>
      <c r="B187" s="116">
        <f t="shared" si="0"/>
        <v>9</v>
      </c>
    </row>
    <row r="188" spans="1:2" x14ac:dyDescent="0.25">
      <c r="A188" s="117" t="s">
        <v>211</v>
      </c>
      <c r="B188" s="147">
        <f t="shared" si="0"/>
        <v>9</v>
      </c>
    </row>
    <row r="189" spans="1:2" x14ac:dyDescent="0.25">
      <c r="A189" s="117" t="s">
        <v>63</v>
      </c>
      <c r="B189" s="116">
        <f t="shared" si="0"/>
        <v>9</v>
      </c>
    </row>
    <row r="190" spans="1:2" x14ac:dyDescent="0.25">
      <c r="A190" s="117" t="s">
        <v>363</v>
      </c>
      <c r="B190" s="147">
        <f t="shared" si="0"/>
        <v>8</v>
      </c>
    </row>
    <row r="191" spans="1:2" x14ac:dyDescent="0.25">
      <c r="A191" s="117" t="s">
        <v>195</v>
      </c>
      <c r="B191" s="116">
        <f t="shared" si="0"/>
        <v>8</v>
      </c>
    </row>
    <row r="192" spans="1:2" x14ac:dyDescent="0.25">
      <c r="A192" s="117" t="s">
        <v>244</v>
      </c>
      <c r="B192" s="147">
        <f t="shared" si="0"/>
        <v>8</v>
      </c>
    </row>
    <row r="193" spans="1:2" x14ac:dyDescent="0.25">
      <c r="A193" s="117" t="s">
        <v>96</v>
      </c>
      <c r="B193" s="116">
        <f t="shared" si="0"/>
        <v>8</v>
      </c>
    </row>
    <row r="194" spans="1:2" x14ac:dyDescent="0.25">
      <c r="A194" s="117" t="s">
        <v>32</v>
      </c>
      <c r="B194" s="147">
        <f t="shared" si="0"/>
        <v>8</v>
      </c>
    </row>
    <row r="195" spans="1:2" x14ac:dyDescent="0.25">
      <c r="A195" s="117" t="s">
        <v>176</v>
      </c>
      <c r="B195" s="116">
        <f t="shared" si="0"/>
        <v>7</v>
      </c>
    </row>
    <row r="196" spans="1:2" x14ac:dyDescent="0.25">
      <c r="A196" s="117" t="s">
        <v>137</v>
      </c>
      <c r="B196" s="147">
        <f t="shared" si="0"/>
        <v>7</v>
      </c>
    </row>
    <row r="197" spans="1:2" x14ac:dyDescent="0.25">
      <c r="A197" s="117" t="s">
        <v>519</v>
      </c>
      <c r="B197" s="116">
        <f t="shared" si="0"/>
        <v>7</v>
      </c>
    </row>
    <row r="198" spans="1:2" x14ac:dyDescent="0.25">
      <c r="A198" s="117" t="s">
        <v>280</v>
      </c>
      <c r="B198" s="147">
        <f t="shared" si="0"/>
        <v>7</v>
      </c>
    </row>
    <row r="199" spans="1:2" x14ac:dyDescent="0.25">
      <c r="A199" s="117" t="s">
        <v>222</v>
      </c>
      <c r="B199" s="116">
        <f t="shared" si="0"/>
        <v>7</v>
      </c>
    </row>
    <row r="200" spans="1:2" x14ac:dyDescent="0.25">
      <c r="A200" s="117" t="s">
        <v>381</v>
      </c>
      <c r="B200" s="147">
        <f t="shared" si="0"/>
        <v>7</v>
      </c>
    </row>
    <row r="201" spans="1:2" x14ac:dyDescent="0.25">
      <c r="A201" s="117" t="s">
        <v>43</v>
      </c>
      <c r="B201" s="116">
        <f t="shared" si="0"/>
        <v>7</v>
      </c>
    </row>
    <row r="202" spans="1:2" x14ac:dyDescent="0.25">
      <c r="A202" s="117" t="s">
        <v>180</v>
      </c>
      <c r="B202" s="147">
        <f t="shared" si="0"/>
        <v>7</v>
      </c>
    </row>
    <row r="203" spans="1:2" x14ac:dyDescent="0.25">
      <c r="A203" s="117" t="s">
        <v>505</v>
      </c>
      <c r="B203" s="116">
        <f t="shared" si="0"/>
        <v>6</v>
      </c>
    </row>
    <row r="204" spans="1:2" x14ac:dyDescent="0.25">
      <c r="A204" s="117" t="s">
        <v>476</v>
      </c>
      <c r="B204" s="147">
        <f t="shared" si="0"/>
        <v>6</v>
      </c>
    </row>
    <row r="205" spans="1:2" x14ac:dyDescent="0.25">
      <c r="A205" s="117" t="s">
        <v>258</v>
      </c>
      <c r="B205" s="116">
        <f t="shared" si="0"/>
        <v>6</v>
      </c>
    </row>
    <row r="206" spans="1:2" x14ac:dyDescent="0.25">
      <c r="A206" s="117" t="s">
        <v>443</v>
      </c>
      <c r="B206" s="147">
        <f t="shared" si="0"/>
        <v>6</v>
      </c>
    </row>
    <row r="207" spans="1:2" x14ac:dyDescent="0.25">
      <c r="A207" s="117" t="s">
        <v>329</v>
      </c>
      <c r="B207" s="116">
        <f t="shared" si="0"/>
        <v>6</v>
      </c>
    </row>
    <row r="208" spans="1:2" x14ac:dyDescent="0.25">
      <c r="A208" s="117" t="s">
        <v>265</v>
      </c>
      <c r="B208" s="147">
        <f t="shared" si="0"/>
        <v>6</v>
      </c>
    </row>
    <row r="209" spans="1:2" x14ac:dyDescent="0.25">
      <c r="A209" s="117" t="s">
        <v>338</v>
      </c>
      <c r="B209" s="116">
        <f t="shared" ref="B209:B272" si="1">B75</f>
        <v>6</v>
      </c>
    </row>
    <row r="210" spans="1:2" x14ac:dyDescent="0.25">
      <c r="A210" s="117" t="s">
        <v>451</v>
      </c>
      <c r="B210" s="147">
        <f t="shared" si="1"/>
        <v>5</v>
      </c>
    </row>
    <row r="211" spans="1:2" x14ac:dyDescent="0.25">
      <c r="A211" s="117" t="s">
        <v>413</v>
      </c>
      <c r="B211" s="116">
        <f t="shared" si="1"/>
        <v>5</v>
      </c>
    </row>
    <row r="212" spans="1:2" x14ac:dyDescent="0.25">
      <c r="A212" s="117" t="s">
        <v>214</v>
      </c>
      <c r="B212" s="147">
        <f t="shared" si="1"/>
        <v>5</v>
      </c>
    </row>
    <row r="213" spans="1:2" x14ac:dyDescent="0.25">
      <c r="A213" s="117" t="s">
        <v>756</v>
      </c>
      <c r="B213" s="116">
        <f t="shared" si="1"/>
        <v>5</v>
      </c>
    </row>
    <row r="214" spans="1:2" x14ac:dyDescent="0.25">
      <c r="A214" s="117" t="s">
        <v>163</v>
      </c>
      <c r="B214" s="147">
        <f t="shared" si="1"/>
        <v>5</v>
      </c>
    </row>
    <row r="215" spans="1:2" x14ac:dyDescent="0.25">
      <c r="A215" s="117" t="s">
        <v>473</v>
      </c>
      <c r="B215" s="116">
        <f t="shared" si="1"/>
        <v>5</v>
      </c>
    </row>
    <row r="216" spans="1:2" x14ac:dyDescent="0.25">
      <c r="A216" s="117" t="s">
        <v>414</v>
      </c>
      <c r="B216" s="147">
        <f t="shared" si="1"/>
        <v>5</v>
      </c>
    </row>
    <row r="217" spans="1:2" x14ac:dyDescent="0.25">
      <c r="A217" s="117" t="s">
        <v>411</v>
      </c>
      <c r="B217" s="116">
        <f t="shared" si="1"/>
        <v>5</v>
      </c>
    </row>
    <row r="218" spans="1:2" x14ac:dyDescent="0.25">
      <c r="A218" s="117" t="s">
        <v>469</v>
      </c>
      <c r="B218" s="147">
        <f t="shared" si="1"/>
        <v>4</v>
      </c>
    </row>
    <row r="219" spans="1:2" x14ac:dyDescent="0.25">
      <c r="A219" s="117" t="s">
        <v>298</v>
      </c>
      <c r="B219" s="116">
        <f t="shared" si="1"/>
        <v>4</v>
      </c>
    </row>
    <row r="220" spans="1:2" x14ac:dyDescent="0.25">
      <c r="A220" s="117" t="s">
        <v>371</v>
      </c>
      <c r="B220" s="147">
        <f t="shared" si="1"/>
        <v>4</v>
      </c>
    </row>
    <row r="221" spans="1:2" x14ac:dyDescent="0.25">
      <c r="A221" s="117" t="s">
        <v>205</v>
      </c>
      <c r="B221" s="116">
        <f t="shared" si="1"/>
        <v>4</v>
      </c>
    </row>
    <row r="222" spans="1:2" x14ac:dyDescent="0.25">
      <c r="A222" s="117" t="s">
        <v>241</v>
      </c>
      <c r="B222" s="147">
        <f t="shared" si="1"/>
        <v>4</v>
      </c>
    </row>
    <row r="223" spans="1:2" x14ac:dyDescent="0.25">
      <c r="A223" s="117" t="s">
        <v>142</v>
      </c>
      <c r="B223" s="116">
        <f t="shared" si="1"/>
        <v>4</v>
      </c>
    </row>
    <row r="224" spans="1:2" x14ac:dyDescent="0.25">
      <c r="A224" s="117" t="s">
        <v>499</v>
      </c>
      <c r="B224" s="147">
        <f t="shared" si="1"/>
        <v>4</v>
      </c>
    </row>
    <row r="225" spans="1:2" x14ac:dyDescent="0.25">
      <c r="A225" s="117" t="s">
        <v>248</v>
      </c>
      <c r="B225" s="116">
        <f t="shared" si="1"/>
        <v>3</v>
      </c>
    </row>
    <row r="226" spans="1:2" x14ac:dyDescent="0.25">
      <c r="A226" s="117" t="s">
        <v>303</v>
      </c>
      <c r="B226" s="147">
        <f t="shared" si="1"/>
        <v>3</v>
      </c>
    </row>
    <row r="227" spans="1:2" x14ac:dyDescent="0.25">
      <c r="A227" s="117" t="s">
        <v>225</v>
      </c>
      <c r="B227" s="116">
        <f t="shared" si="1"/>
        <v>3</v>
      </c>
    </row>
    <row r="228" spans="1:2" x14ac:dyDescent="0.25">
      <c r="A228" s="117" t="s">
        <v>252</v>
      </c>
      <c r="B228" s="147">
        <f t="shared" si="1"/>
        <v>3</v>
      </c>
    </row>
    <row r="229" spans="1:2" x14ac:dyDescent="0.25">
      <c r="A229" s="117" t="s">
        <v>370</v>
      </c>
      <c r="B229" s="116">
        <f t="shared" si="1"/>
        <v>3</v>
      </c>
    </row>
    <row r="230" spans="1:2" x14ac:dyDescent="0.25">
      <c r="A230" s="117" t="s">
        <v>513</v>
      </c>
      <c r="B230" s="147">
        <f t="shared" si="1"/>
        <v>3</v>
      </c>
    </row>
    <row r="231" spans="1:2" x14ac:dyDescent="0.25">
      <c r="A231" s="117" t="s">
        <v>558</v>
      </c>
      <c r="B231" s="116">
        <f t="shared" si="1"/>
        <v>3</v>
      </c>
    </row>
    <row r="232" spans="1:2" x14ac:dyDescent="0.25">
      <c r="A232" s="117" t="s">
        <v>437</v>
      </c>
      <c r="B232" s="147">
        <f t="shared" si="1"/>
        <v>3</v>
      </c>
    </row>
    <row r="233" spans="1:2" x14ac:dyDescent="0.25">
      <c r="A233" s="117" t="s">
        <v>503</v>
      </c>
      <c r="B233" s="116">
        <f t="shared" si="1"/>
        <v>3</v>
      </c>
    </row>
    <row r="234" spans="1:2" x14ac:dyDescent="0.25">
      <c r="A234" s="117" t="s">
        <v>369</v>
      </c>
      <c r="B234" s="147">
        <f t="shared" si="1"/>
        <v>3</v>
      </c>
    </row>
    <row r="235" spans="1:2" x14ac:dyDescent="0.25">
      <c r="A235" s="117" t="s">
        <v>564</v>
      </c>
      <c r="B235" s="116">
        <f t="shared" si="1"/>
        <v>3</v>
      </c>
    </row>
    <row r="236" spans="1:2" x14ac:dyDescent="0.25">
      <c r="A236" s="117" t="s">
        <v>506</v>
      </c>
      <c r="B236" s="147">
        <f t="shared" si="1"/>
        <v>2</v>
      </c>
    </row>
    <row r="237" spans="1:2" x14ac:dyDescent="0.25">
      <c r="A237" s="117" t="s">
        <v>683</v>
      </c>
      <c r="B237" s="116">
        <f t="shared" si="1"/>
        <v>2</v>
      </c>
    </row>
    <row r="238" spans="1:2" x14ac:dyDescent="0.25">
      <c r="A238" s="117" t="s">
        <v>653</v>
      </c>
      <c r="B238" s="147">
        <f t="shared" si="1"/>
        <v>2</v>
      </c>
    </row>
    <row r="239" spans="1:2" x14ac:dyDescent="0.25">
      <c r="A239" s="117" t="s">
        <v>95</v>
      </c>
      <c r="B239" s="116">
        <f t="shared" si="1"/>
        <v>2</v>
      </c>
    </row>
    <row r="240" spans="1:2" x14ac:dyDescent="0.25">
      <c r="A240" s="117" t="s">
        <v>604</v>
      </c>
      <c r="B240" s="147">
        <f t="shared" si="1"/>
        <v>2</v>
      </c>
    </row>
    <row r="241" spans="1:2" x14ac:dyDescent="0.25">
      <c r="A241" s="117" t="s">
        <v>288</v>
      </c>
      <c r="B241" s="116">
        <f t="shared" si="1"/>
        <v>2</v>
      </c>
    </row>
    <row r="242" spans="1:2" x14ac:dyDescent="0.25">
      <c r="A242" s="117" t="s">
        <v>452</v>
      </c>
      <c r="B242" s="147">
        <f t="shared" si="1"/>
        <v>2</v>
      </c>
    </row>
    <row r="243" spans="1:2" x14ac:dyDescent="0.25">
      <c r="A243" s="117" t="s">
        <v>559</v>
      </c>
      <c r="B243" s="116">
        <f t="shared" si="1"/>
        <v>2</v>
      </c>
    </row>
    <row r="244" spans="1:2" x14ac:dyDescent="0.25">
      <c r="A244" s="117" t="s">
        <v>975</v>
      </c>
      <c r="B244" s="147">
        <f t="shared" si="1"/>
        <v>2</v>
      </c>
    </row>
    <row r="245" spans="1:2" x14ac:dyDescent="0.25">
      <c r="A245" s="117" t="s">
        <v>791</v>
      </c>
      <c r="B245" s="116">
        <f t="shared" si="1"/>
        <v>2</v>
      </c>
    </row>
    <row r="246" spans="1:2" x14ac:dyDescent="0.25">
      <c r="A246" s="117" t="s">
        <v>293</v>
      </c>
      <c r="B246" s="147">
        <f t="shared" si="1"/>
        <v>2</v>
      </c>
    </row>
    <row r="247" spans="1:2" x14ac:dyDescent="0.25">
      <c r="A247" s="117" t="s">
        <v>285</v>
      </c>
      <c r="B247" s="116">
        <f t="shared" si="1"/>
        <v>2</v>
      </c>
    </row>
    <row r="248" spans="1:2" x14ac:dyDescent="0.25">
      <c r="A248" s="117" t="s">
        <v>784</v>
      </c>
      <c r="B248" s="147">
        <f t="shared" si="1"/>
        <v>2</v>
      </c>
    </row>
    <row r="249" spans="1:2" x14ac:dyDescent="0.25">
      <c r="A249" s="117" t="s">
        <v>458</v>
      </c>
      <c r="B249" s="116">
        <f t="shared" si="1"/>
        <v>2</v>
      </c>
    </row>
    <row r="250" spans="1:2" x14ac:dyDescent="0.25">
      <c r="A250" s="117" t="s">
        <v>752</v>
      </c>
      <c r="B250" s="147">
        <f t="shared" si="1"/>
        <v>1</v>
      </c>
    </row>
    <row r="251" spans="1:2" x14ac:dyDescent="0.25">
      <c r="A251" s="117" t="s">
        <v>343</v>
      </c>
      <c r="B251" s="116">
        <f t="shared" si="1"/>
        <v>1</v>
      </c>
    </row>
    <row r="252" spans="1:2" x14ac:dyDescent="0.25">
      <c r="A252" s="117" t="s">
        <v>2257</v>
      </c>
      <c r="B252" s="147">
        <f t="shared" si="1"/>
        <v>1</v>
      </c>
    </row>
    <row r="253" spans="1:2" x14ac:dyDescent="0.25">
      <c r="A253" s="117" t="s">
        <v>260</v>
      </c>
      <c r="B253" s="116">
        <f t="shared" si="1"/>
        <v>1</v>
      </c>
    </row>
    <row r="254" spans="1:2" x14ac:dyDescent="0.25">
      <c r="A254" s="117" t="s">
        <v>517</v>
      </c>
      <c r="B254" s="147">
        <f t="shared" si="1"/>
        <v>1</v>
      </c>
    </row>
    <row r="255" spans="1:2" x14ac:dyDescent="0.25">
      <c r="A255" s="117" t="s">
        <v>345</v>
      </c>
      <c r="B255" s="116">
        <f t="shared" si="1"/>
        <v>1</v>
      </c>
    </row>
    <row r="256" spans="1:2" x14ac:dyDescent="0.25">
      <c r="A256" s="117" t="s">
        <v>588</v>
      </c>
      <c r="B256" s="147">
        <f t="shared" si="1"/>
        <v>1</v>
      </c>
    </row>
    <row r="257" spans="1:2" x14ac:dyDescent="0.25">
      <c r="A257" s="117" t="s">
        <v>1027</v>
      </c>
      <c r="B257" s="116">
        <f t="shared" si="1"/>
        <v>1</v>
      </c>
    </row>
    <row r="258" spans="1:2" x14ac:dyDescent="0.25">
      <c r="A258" s="117" t="s">
        <v>789</v>
      </c>
      <c r="B258" s="147">
        <f t="shared" si="1"/>
        <v>1</v>
      </c>
    </row>
    <row r="259" spans="1:2" x14ac:dyDescent="0.25">
      <c r="A259" s="117" t="s">
        <v>450</v>
      </c>
      <c r="B259" s="116">
        <f t="shared" si="1"/>
        <v>1</v>
      </c>
    </row>
    <row r="260" spans="1:2" x14ac:dyDescent="0.25">
      <c r="A260" s="117" t="s">
        <v>743</v>
      </c>
      <c r="B260" s="147">
        <f t="shared" si="1"/>
        <v>1</v>
      </c>
    </row>
    <row r="261" spans="1:2" x14ac:dyDescent="0.25">
      <c r="A261" s="117" t="s">
        <v>769</v>
      </c>
      <c r="B261" s="116">
        <f t="shared" si="1"/>
        <v>1</v>
      </c>
    </row>
    <row r="262" spans="1:2" x14ac:dyDescent="0.25">
      <c r="A262" s="117" t="s">
        <v>783</v>
      </c>
      <c r="B262" s="147">
        <f t="shared" si="1"/>
        <v>1</v>
      </c>
    </row>
    <row r="263" spans="1:2" x14ac:dyDescent="0.25">
      <c r="A263" s="117" t="s">
        <v>2051</v>
      </c>
      <c r="B263" s="116">
        <f t="shared" si="1"/>
        <v>1</v>
      </c>
    </row>
    <row r="264" spans="1:2" x14ac:dyDescent="0.25">
      <c r="A264" s="117" t="s">
        <v>145</v>
      </c>
      <c r="B264" s="147">
        <f t="shared" si="1"/>
        <v>1</v>
      </c>
    </row>
    <row r="265" spans="1:2" x14ac:dyDescent="0.25">
      <c r="A265" s="117" t="s">
        <v>634</v>
      </c>
      <c r="B265" s="116">
        <f t="shared" si="1"/>
        <v>1</v>
      </c>
    </row>
    <row r="266" spans="1:2" x14ac:dyDescent="0.25">
      <c r="A266" s="117" t="s">
        <v>417</v>
      </c>
      <c r="B266" s="147">
        <f t="shared" si="1"/>
        <v>1</v>
      </c>
    </row>
    <row r="267" spans="1:2" x14ac:dyDescent="0.25">
      <c r="A267" s="117" t="s">
        <v>1013</v>
      </c>
      <c r="B267" s="116">
        <f t="shared" si="1"/>
        <v>1</v>
      </c>
    </row>
    <row r="268" spans="1:2" x14ac:dyDescent="0.25">
      <c r="A268" s="117" t="s">
        <v>600</v>
      </c>
      <c r="B268" s="147">
        <f t="shared" si="1"/>
        <v>1</v>
      </c>
    </row>
    <row r="269" spans="1:2" x14ac:dyDescent="0.25">
      <c r="A269" s="117" t="s">
        <v>620</v>
      </c>
      <c r="B269" s="116">
        <f t="shared" si="1"/>
        <v>1</v>
      </c>
    </row>
    <row r="270" spans="1:2" x14ac:dyDescent="0.25">
      <c r="A270" s="117" t="s">
        <v>217</v>
      </c>
      <c r="B270" s="147">
        <f t="shared" si="1"/>
        <v>1</v>
      </c>
    </row>
    <row r="271" spans="1:2" x14ac:dyDescent="0.25">
      <c r="A271" s="117" t="s">
        <v>836</v>
      </c>
      <c r="B271" s="116">
        <f t="shared" si="1"/>
        <v>1</v>
      </c>
    </row>
    <row r="272" spans="1:2" x14ac:dyDescent="0.25">
      <c r="A272" s="123" t="s">
        <v>550</v>
      </c>
      <c r="B272" s="147">
        <f t="shared" si="1"/>
        <v>0</v>
      </c>
    </row>
  </sheetData>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B73"/>
  <sheetViews>
    <sheetView topLeftCell="A31" workbookViewId="0">
      <selection activeCell="M40" sqref="M40"/>
    </sheetView>
  </sheetViews>
  <sheetFormatPr defaultColWidth="14.42578125" defaultRowHeight="15" customHeight="1" x14ac:dyDescent="0.25"/>
  <cols>
    <col min="1" max="1" width="15" customWidth="1"/>
    <col min="2" max="2" width="23" customWidth="1"/>
    <col min="3" max="6" width="11.42578125" customWidth="1"/>
    <col min="7" max="7" width="19.7109375" customWidth="1"/>
    <col min="8" max="26" width="11.42578125" customWidth="1"/>
  </cols>
  <sheetData>
    <row r="1" spans="1:2" hidden="1" x14ac:dyDescent="0.25">
      <c r="A1" s="12" t="s">
        <v>2867</v>
      </c>
    </row>
    <row r="2" spans="1:2" hidden="1" x14ac:dyDescent="0.25"/>
    <row r="3" spans="1:2" hidden="1" x14ac:dyDescent="0.25">
      <c r="A3" s="3" t="s">
        <v>10</v>
      </c>
      <c r="B3" s="2" t="s">
        <v>2827</v>
      </c>
    </row>
    <row r="4" spans="1:2" hidden="1" x14ac:dyDescent="0.25">
      <c r="A4" s="3" t="s">
        <v>1</v>
      </c>
      <c r="B4" s="2" t="s">
        <v>76</v>
      </c>
    </row>
    <row r="5" spans="1:2" hidden="1" x14ac:dyDescent="0.25">
      <c r="A5" s="3" t="s">
        <v>8</v>
      </c>
      <c r="B5" s="2" t="s">
        <v>2817</v>
      </c>
    </row>
    <row r="6" spans="1:2" hidden="1" x14ac:dyDescent="0.25">
      <c r="A6" s="3" t="s">
        <v>15</v>
      </c>
      <c r="B6" s="2" t="s">
        <v>83</v>
      </c>
    </row>
    <row r="7" spans="1:2" hidden="1" x14ac:dyDescent="0.25"/>
    <row r="8" spans="1:2" hidden="1" x14ac:dyDescent="0.25">
      <c r="A8" s="3" t="s">
        <v>2821</v>
      </c>
      <c r="B8" s="2" t="s">
        <v>2778</v>
      </c>
    </row>
    <row r="9" spans="1:2" hidden="1" x14ac:dyDescent="0.25">
      <c r="A9" s="6" t="s">
        <v>48</v>
      </c>
      <c r="B9" s="2">
        <v>40</v>
      </c>
    </row>
    <row r="10" spans="1:2" hidden="1" x14ac:dyDescent="0.25">
      <c r="A10" s="6" t="s">
        <v>54</v>
      </c>
      <c r="B10" s="2">
        <v>40</v>
      </c>
    </row>
    <row r="11" spans="1:2" hidden="1" x14ac:dyDescent="0.25">
      <c r="A11" s="6" t="s">
        <v>232</v>
      </c>
      <c r="B11" s="2">
        <v>20</v>
      </c>
    </row>
    <row r="12" spans="1:2" hidden="1" x14ac:dyDescent="0.25">
      <c r="A12" s="6" t="s">
        <v>194</v>
      </c>
      <c r="B12" s="2">
        <v>20</v>
      </c>
    </row>
    <row r="13" spans="1:2" hidden="1" x14ac:dyDescent="0.25">
      <c r="A13" s="6" t="s">
        <v>114</v>
      </c>
      <c r="B13" s="2">
        <v>18</v>
      </c>
    </row>
    <row r="14" spans="1:2" hidden="1" x14ac:dyDescent="0.25">
      <c r="A14" s="6" t="s">
        <v>73</v>
      </c>
      <c r="B14" s="2">
        <v>18</v>
      </c>
    </row>
    <row r="15" spans="1:2" hidden="1" x14ac:dyDescent="0.25">
      <c r="A15" s="6" t="s">
        <v>117</v>
      </c>
      <c r="B15" s="2">
        <v>18</v>
      </c>
    </row>
    <row r="16" spans="1:2" hidden="1" x14ac:dyDescent="0.25">
      <c r="A16" s="6" t="s">
        <v>130</v>
      </c>
      <c r="B16" s="2">
        <v>18</v>
      </c>
    </row>
    <row r="17" spans="1:2" hidden="1" x14ac:dyDescent="0.25">
      <c r="A17" s="6" t="s">
        <v>52</v>
      </c>
      <c r="B17" s="2">
        <v>17</v>
      </c>
    </row>
    <row r="18" spans="1:2" hidden="1" x14ac:dyDescent="0.25">
      <c r="A18" s="6" t="s">
        <v>42</v>
      </c>
      <c r="B18" s="2">
        <v>17</v>
      </c>
    </row>
    <row r="19" spans="1:2" hidden="1" x14ac:dyDescent="0.25"/>
    <row r="20" spans="1:2" hidden="1" x14ac:dyDescent="0.25"/>
    <row r="21" spans="1:2" ht="15.75" hidden="1" customHeight="1" x14ac:dyDescent="0.25"/>
    <row r="22" spans="1:2" ht="15.75" hidden="1" customHeight="1" x14ac:dyDescent="0.25"/>
    <row r="23" spans="1:2" ht="15.75" hidden="1" customHeight="1" x14ac:dyDescent="0.25"/>
    <row r="24" spans="1:2" ht="15.75" hidden="1" customHeight="1" x14ac:dyDescent="0.25"/>
    <row r="25" spans="1:2" ht="15.75" hidden="1" customHeight="1" x14ac:dyDescent="0.25"/>
    <row r="26" spans="1:2" ht="15.75" hidden="1" customHeight="1" x14ac:dyDescent="0.25"/>
    <row r="27" spans="1:2" ht="15.75" hidden="1" customHeight="1" x14ac:dyDescent="0.25"/>
    <row r="28" spans="1:2" ht="15.75" hidden="1" customHeight="1" x14ac:dyDescent="0.25"/>
    <row r="29" spans="1:2" ht="15.75" hidden="1" customHeight="1" x14ac:dyDescent="0.25"/>
    <row r="30" spans="1:2" ht="15.75" hidden="1" customHeight="1" x14ac:dyDescent="0.25"/>
    <row r="31" spans="1:2" ht="15.75" customHeight="1" x14ac:dyDescent="0.25">
      <c r="A31" s="12" t="s">
        <v>3202</v>
      </c>
    </row>
    <row r="32" spans="1:2" ht="15.75" customHeight="1" x14ac:dyDescent="0.25">
      <c r="A32" s="12" t="s">
        <v>3203</v>
      </c>
    </row>
    <row r="34" spans="1:2" ht="15.75" customHeight="1" x14ac:dyDescent="0.25">
      <c r="A34" s="3" t="s">
        <v>10</v>
      </c>
      <c r="B34" s="2" t="s">
        <v>2827</v>
      </c>
    </row>
    <row r="35" spans="1:2" ht="15.75" customHeight="1" x14ac:dyDescent="0.25">
      <c r="A35" s="3" t="s">
        <v>1</v>
      </c>
      <c r="B35" s="2" t="s">
        <v>76</v>
      </c>
    </row>
    <row r="36" spans="1:2" ht="15.75" customHeight="1" x14ac:dyDescent="0.25">
      <c r="A36" s="3" t="s">
        <v>8</v>
      </c>
      <c r="B36" s="2" t="s">
        <v>2817</v>
      </c>
    </row>
    <row r="37" spans="1:2" ht="15.75" customHeight="1" x14ac:dyDescent="0.25">
      <c r="A37" s="3" t="s">
        <v>15</v>
      </c>
      <c r="B37" s="2" t="s">
        <v>83</v>
      </c>
    </row>
    <row r="38" spans="1:2" ht="15.75" customHeight="1" x14ac:dyDescent="0.25"/>
    <row r="39" spans="1:2" ht="15.75" customHeight="1" x14ac:dyDescent="0.25">
      <c r="A39" s="3" t="s">
        <v>2821</v>
      </c>
      <c r="B39" s="2" t="s">
        <v>2778</v>
      </c>
    </row>
    <row r="40" spans="1:2" ht="15.75" customHeight="1" x14ac:dyDescent="0.25">
      <c r="A40" s="6" t="str" cm="1">
        <f t="array" ref="A40:B49">'Figure 16'!$A$9:$B$18</f>
        <v>Russia</v>
      </c>
      <c r="B40" s="2">
        <v>51</v>
      </c>
    </row>
    <row r="41" spans="1:2" ht="15.75" customHeight="1" x14ac:dyDescent="0.25">
      <c r="A41" s="6" t="str">
        <v>United States</v>
      </c>
      <c r="B41" s="2">
        <v>48</v>
      </c>
    </row>
    <row r="42" spans="1:2" ht="15.75" customHeight="1" x14ac:dyDescent="0.25">
      <c r="A42" s="6" t="str">
        <v>Pakistan</v>
      </c>
      <c r="B42" s="2">
        <v>27</v>
      </c>
    </row>
    <row r="43" spans="1:2" ht="15.75" customHeight="1" x14ac:dyDescent="0.25">
      <c r="A43" s="6" t="str">
        <v>Singapore</v>
      </c>
      <c r="B43" s="2">
        <v>26</v>
      </c>
    </row>
    <row r="44" spans="1:2" ht="15.75" customHeight="1" x14ac:dyDescent="0.25">
      <c r="A44" s="6" t="str">
        <v>Vietnam</v>
      </c>
      <c r="B44" s="2">
        <v>24</v>
      </c>
    </row>
    <row r="45" spans="1:2" ht="15.75" customHeight="1" x14ac:dyDescent="0.25">
      <c r="A45" s="6" t="str">
        <v>Cuba</v>
      </c>
      <c r="B45" s="2">
        <v>22</v>
      </c>
    </row>
    <row r="46" spans="1:2" ht="15.75" customHeight="1" x14ac:dyDescent="0.25">
      <c r="A46" s="6" t="str">
        <v>Australia</v>
      </c>
      <c r="B46" s="2">
        <v>21</v>
      </c>
    </row>
    <row r="47" spans="1:2" ht="15.75" customHeight="1" x14ac:dyDescent="0.25">
      <c r="A47" s="6" t="str">
        <v>South Korea</v>
      </c>
      <c r="B47" s="2">
        <v>21</v>
      </c>
    </row>
    <row r="48" spans="1:2" ht="15.75" customHeight="1" x14ac:dyDescent="0.25">
      <c r="A48" s="6" t="str">
        <v>Thailand</v>
      </c>
      <c r="B48" s="2">
        <v>21</v>
      </c>
    </row>
    <row r="49" spans="1:2" ht="15.75" customHeight="1" x14ac:dyDescent="0.25">
      <c r="A49" s="6" t="str">
        <v>New Zealand</v>
      </c>
      <c r="B49" s="2">
        <v>21</v>
      </c>
    </row>
    <row r="50" spans="1:2" ht="15.75" customHeight="1" x14ac:dyDescent="0.25">
      <c r="A50" s="6"/>
      <c r="B50" s="2"/>
    </row>
    <row r="51" spans="1:2" ht="15.75" customHeight="1" x14ac:dyDescent="0.25"/>
    <row r="52" spans="1:2" ht="15.75" customHeight="1" x14ac:dyDescent="0.25"/>
    <row r="53" spans="1:2" ht="15.75" customHeight="1" x14ac:dyDescent="0.25"/>
    <row r="54" spans="1:2" ht="15.75" customHeight="1" x14ac:dyDescent="0.25"/>
    <row r="55" spans="1:2" ht="15.75" hidden="1" customHeight="1" x14ac:dyDescent="0.25"/>
    <row r="56" spans="1:2" ht="15.75" hidden="1" customHeight="1" x14ac:dyDescent="0.25">
      <c r="A56" s="12" t="s">
        <v>2866</v>
      </c>
    </row>
    <row r="57" spans="1:2" ht="15.75" hidden="1" customHeight="1" x14ac:dyDescent="0.25"/>
    <row r="58" spans="1:2" ht="15.75" hidden="1" customHeight="1" x14ac:dyDescent="0.25">
      <c r="A58" s="3" t="s">
        <v>10</v>
      </c>
      <c r="B58" s="2" t="s">
        <v>2817</v>
      </c>
    </row>
    <row r="59" spans="1:2" ht="15.75" hidden="1" customHeight="1" x14ac:dyDescent="0.25">
      <c r="A59" s="3" t="s">
        <v>1</v>
      </c>
      <c r="B59" s="2" t="s">
        <v>76</v>
      </c>
    </row>
    <row r="60" spans="1:2" ht="15.75" hidden="1" customHeight="1" x14ac:dyDescent="0.25">
      <c r="A60" s="3" t="s">
        <v>8</v>
      </c>
      <c r="B60" s="2" t="s">
        <v>2817</v>
      </c>
    </row>
    <row r="61" spans="1:2" ht="15.75" hidden="1" customHeight="1" x14ac:dyDescent="0.25">
      <c r="A61" s="3" t="s">
        <v>15</v>
      </c>
      <c r="B61" s="2" t="s">
        <v>83</v>
      </c>
    </row>
    <row r="62" spans="1:2" ht="15.75" hidden="1" customHeight="1" x14ac:dyDescent="0.25"/>
    <row r="63" spans="1:2" ht="15.75" hidden="1" customHeight="1" x14ac:dyDescent="0.25">
      <c r="A63" s="3" t="s">
        <v>2821</v>
      </c>
      <c r="B63" s="2" t="s">
        <v>2778</v>
      </c>
    </row>
    <row r="64" spans="1:2" ht="15.75" hidden="1" customHeight="1" x14ac:dyDescent="0.25">
      <c r="A64" s="6" t="s">
        <v>54</v>
      </c>
      <c r="B64" s="2">
        <v>39</v>
      </c>
    </row>
    <row r="65" spans="1:2" ht="15.75" hidden="1" customHeight="1" x14ac:dyDescent="0.25">
      <c r="A65" s="6" t="s">
        <v>48</v>
      </c>
      <c r="B65" s="2">
        <v>35</v>
      </c>
    </row>
    <row r="66" spans="1:2" ht="15.75" hidden="1" customHeight="1" x14ac:dyDescent="0.25">
      <c r="A66" s="6" t="s">
        <v>232</v>
      </c>
      <c r="B66" s="2">
        <v>21</v>
      </c>
    </row>
    <row r="67" spans="1:2" ht="15.75" hidden="1" customHeight="1" x14ac:dyDescent="0.25">
      <c r="A67" s="6" t="s">
        <v>117</v>
      </c>
      <c r="B67" s="2">
        <v>19</v>
      </c>
    </row>
    <row r="68" spans="1:2" ht="15.75" hidden="1" customHeight="1" x14ac:dyDescent="0.25">
      <c r="A68" s="6" t="s">
        <v>114</v>
      </c>
      <c r="B68" s="2">
        <v>18</v>
      </c>
    </row>
    <row r="69" spans="1:2" ht="15.75" hidden="1" customHeight="1" x14ac:dyDescent="0.25">
      <c r="A69" s="6" t="s">
        <v>42</v>
      </c>
      <c r="B69" s="2">
        <v>18</v>
      </c>
    </row>
    <row r="70" spans="1:2" ht="15.75" hidden="1" customHeight="1" x14ac:dyDescent="0.25">
      <c r="A70" s="6" t="s">
        <v>194</v>
      </c>
      <c r="B70" s="2">
        <v>17</v>
      </c>
    </row>
    <row r="71" spans="1:2" ht="15.75" hidden="1" customHeight="1" x14ac:dyDescent="0.25">
      <c r="A71" s="6" t="s">
        <v>52</v>
      </c>
      <c r="B71" s="2">
        <v>17</v>
      </c>
    </row>
    <row r="72" spans="1:2" ht="15.75" hidden="1" customHeight="1" x14ac:dyDescent="0.25">
      <c r="A72" s="6" t="s">
        <v>407</v>
      </c>
      <c r="B72" s="2">
        <v>16</v>
      </c>
    </row>
    <row r="73" spans="1:2" ht="15.75" hidden="1" customHeight="1" x14ac:dyDescent="0.25">
      <c r="A73" s="6" t="s">
        <v>171</v>
      </c>
      <c r="B73" s="2">
        <v>16</v>
      </c>
    </row>
  </sheetData>
  <pageMargins left="0.7" right="0.7" top="0.75" bottom="0.75" header="0" footer="0"/>
  <pageSetup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55"/>
  <sheetViews>
    <sheetView topLeftCell="A172" workbookViewId="0">
      <selection activeCell="D27" sqref="D27"/>
    </sheetView>
  </sheetViews>
  <sheetFormatPr defaultColWidth="14.42578125" defaultRowHeight="15" customHeight="1" x14ac:dyDescent="0.25"/>
  <cols>
    <col min="1" max="1" width="23.42578125" customWidth="1"/>
    <col min="2" max="2" width="17.28515625" customWidth="1"/>
    <col min="3" max="3" width="9.42578125" customWidth="1"/>
    <col min="4" max="4" width="14.28515625" customWidth="1"/>
    <col min="5" max="5" width="7.42578125" customWidth="1"/>
    <col min="6" max="6" width="12.42578125" customWidth="1"/>
    <col min="7" max="8" width="14.42578125" customWidth="1"/>
    <col min="9" max="9" width="8" customWidth="1"/>
    <col min="10" max="10" width="23.28515625" customWidth="1"/>
    <col min="11" max="11" width="21.28515625" customWidth="1"/>
    <col min="12" max="26" width="11.42578125" customWidth="1"/>
  </cols>
  <sheetData>
    <row r="1" spans="1:7" hidden="1" x14ac:dyDescent="0.25">
      <c r="A1" s="12" t="s">
        <v>2871</v>
      </c>
    </row>
    <row r="2" spans="1:7" hidden="1" x14ac:dyDescent="0.25"/>
    <row r="3" spans="1:7" hidden="1" x14ac:dyDescent="0.25"/>
    <row r="4" spans="1:7" hidden="1" x14ac:dyDescent="0.25"/>
    <row r="5" spans="1:7" hidden="1" x14ac:dyDescent="0.25"/>
    <row r="6" spans="1:7" hidden="1" x14ac:dyDescent="0.25">
      <c r="A6" s="120" t="s">
        <v>1</v>
      </c>
      <c r="B6" s="119" t="s">
        <v>76</v>
      </c>
    </row>
    <row r="7" spans="1:7" hidden="1" x14ac:dyDescent="0.25">
      <c r="A7" s="120" t="s">
        <v>8</v>
      </c>
      <c r="B7" s="127">
        <v>2018</v>
      </c>
    </row>
    <row r="8" spans="1:7" hidden="1" x14ac:dyDescent="0.25">
      <c r="A8" s="120" t="s">
        <v>10</v>
      </c>
      <c r="B8" s="119" t="s">
        <v>2827</v>
      </c>
      <c r="C8" s="33"/>
      <c r="D8" s="34"/>
      <c r="E8" s="34"/>
      <c r="G8" s="35"/>
    </row>
    <row r="9" spans="1:7" hidden="1" x14ac:dyDescent="0.25">
      <c r="C9" s="36"/>
      <c r="G9" s="37"/>
    </row>
    <row r="10" spans="1:7" hidden="1" x14ac:dyDescent="0.25">
      <c r="A10" s="111" t="s">
        <v>2778</v>
      </c>
      <c r="B10" s="111" t="s">
        <v>15</v>
      </c>
      <c r="C10" s="113"/>
      <c r="G10" s="37"/>
    </row>
    <row r="11" spans="1:7" hidden="1" x14ac:dyDescent="0.25">
      <c r="A11" s="111" t="s">
        <v>7</v>
      </c>
      <c r="B11" s="114" t="s">
        <v>101</v>
      </c>
      <c r="C11" s="125" t="s">
        <v>83</v>
      </c>
      <c r="F11" s="19" t="s">
        <v>2807</v>
      </c>
      <c r="G11" s="19" t="s">
        <v>2832</v>
      </c>
    </row>
    <row r="12" spans="1:7" hidden="1" x14ac:dyDescent="0.25">
      <c r="A12" s="114" t="s">
        <v>1859</v>
      </c>
      <c r="B12" s="184">
        <v>1</v>
      </c>
      <c r="C12" s="186"/>
      <c r="F12" s="27" t="s">
        <v>114</v>
      </c>
      <c r="G12" s="2">
        <f t="shared" ref="G12:G62" si="0">B12-C12</f>
        <v>1</v>
      </c>
    </row>
    <row r="13" spans="1:7" hidden="1" x14ac:dyDescent="0.25">
      <c r="A13" s="117" t="s">
        <v>888</v>
      </c>
      <c r="B13" s="187"/>
      <c r="C13" s="189">
        <v>2</v>
      </c>
      <c r="F13" s="29" t="s">
        <v>258</v>
      </c>
      <c r="G13" s="2">
        <f t="shared" si="0"/>
        <v>-2</v>
      </c>
    </row>
    <row r="14" spans="1:7" hidden="1" x14ac:dyDescent="0.25">
      <c r="A14" s="117" t="s">
        <v>73</v>
      </c>
      <c r="B14" s="187">
        <v>2</v>
      </c>
      <c r="C14" s="189">
        <v>1</v>
      </c>
      <c r="F14" s="27" t="s">
        <v>588</v>
      </c>
      <c r="G14" s="2">
        <f t="shared" si="0"/>
        <v>1</v>
      </c>
    </row>
    <row r="15" spans="1:7" hidden="1" x14ac:dyDescent="0.25">
      <c r="A15" s="117" t="s">
        <v>506</v>
      </c>
      <c r="B15" s="187">
        <v>1</v>
      </c>
      <c r="C15" s="189"/>
      <c r="F15" s="29" t="s">
        <v>363</v>
      </c>
      <c r="G15" s="2">
        <f t="shared" si="0"/>
        <v>1</v>
      </c>
    </row>
    <row r="16" spans="1:7" hidden="1" x14ac:dyDescent="0.25">
      <c r="A16" s="117" t="s">
        <v>260</v>
      </c>
      <c r="B16" s="187">
        <v>1</v>
      </c>
      <c r="C16" s="189"/>
      <c r="F16" s="27" t="s">
        <v>2872</v>
      </c>
      <c r="G16" s="2">
        <f t="shared" si="0"/>
        <v>1</v>
      </c>
    </row>
    <row r="17" spans="1:7" hidden="1" x14ac:dyDescent="0.25">
      <c r="A17" s="117" t="s">
        <v>171</v>
      </c>
      <c r="B17" s="187">
        <v>1</v>
      </c>
      <c r="C17" s="189">
        <v>2</v>
      </c>
      <c r="F17" s="29" t="s">
        <v>48</v>
      </c>
      <c r="G17" s="2">
        <f t="shared" si="0"/>
        <v>-1</v>
      </c>
    </row>
    <row r="18" spans="1:7" hidden="1" x14ac:dyDescent="0.25">
      <c r="A18" s="117" t="s">
        <v>205</v>
      </c>
      <c r="B18" s="187"/>
      <c r="C18" s="189">
        <v>1</v>
      </c>
      <c r="F18" s="27" t="s">
        <v>769</v>
      </c>
      <c r="G18" s="2">
        <f t="shared" si="0"/>
        <v>-1</v>
      </c>
    </row>
    <row r="19" spans="1:7" hidden="1" x14ac:dyDescent="0.25">
      <c r="A19" s="117" t="s">
        <v>438</v>
      </c>
      <c r="B19" s="187">
        <v>2</v>
      </c>
      <c r="C19" s="189">
        <v>1</v>
      </c>
      <c r="F19" s="29" t="s">
        <v>52</v>
      </c>
      <c r="G19" s="2">
        <f t="shared" si="0"/>
        <v>1</v>
      </c>
    </row>
    <row r="20" spans="1:7" hidden="1" x14ac:dyDescent="0.25">
      <c r="A20" s="117" t="s">
        <v>1057</v>
      </c>
      <c r="B20" s="187">
        <v>1</v>
      </c>
      <c r="C20" s="189"/>
      <c r="F20" s="27" t="s">
        <v>93</v>
      </c>
      <c r="G20" s="2">
        <f t="shared" si="0"/>
        <v>1</v>
      </c>
    </row>
    <row r="21" spans="1:7" ht="15.75" hidden="1" customHeight="1" x14ac:dyDescent="0.25">
      <c r="A21" s="117" t="s">
        <v>975</v>
      </c>
      <c r="B21" s="187"/>
      <c r="C21" s="189">
        <v>1</v>
      </c>
      <c r="F21" s="29" t="s">
        <v>275</v>
      </c>
      <c r="G21" s="2">
        <f t="shared" si="0"/>
        <v>-1</v>
      </c>
    </row>
    <row r="22" spans="1:7" ht="15.75" hidden="1" customHeight="1" x14ac:dyDescent="0.25">
      <c r="A22" s="117" t="s">
        <v>232</v>
      </c>
      <c r="B22" s="187">
        <v>1</v>
      </c>
      <c r="C22" s="189"/>
      <c r="F22" s="27" t="s">
        <v>381</v>
      </c>
      <c r="G22" s="2">
        <f t="shared" si="0"/>
        <v>1</v>
      </c>
    </row>
    <row r="23" spans="1:7" ht="15.75" hidden="1" customHeight="1" x14ac:dyDescent="0.25">
      <c r="A23" s="117" t="s">
        <v>241</v>
      </c>
      <c r="B23" s="187">
        <v>1</v>
      </c>
      <c r="C23" s="189"/>
      <c r="F23" s="29" t="s">
        <v>130</v>
      </c>
      <c r="G23" s="2">
        <f t="shared" si="0"/>
        <v>1</v>
      </c>
    </row>
    <row r="24" spans="1:7" ht="15.75" hidden="1" customHeight="1" x14ac:dyDescent="0.25">
      <c r="A24" s="117" t="s">
        <v>117</v>
      </c>
      <c r="B24" s="187">
        <v>1</v>
      </c>
      <c r="C24" s="189"/>
      <c r="F24" s="27" t="s">
        <v>92</v>
      </c>
      <c r="G24" s="2">
        <f t="shared" si="0"/>
        <v>1</v>
      </c>
    </row>
    <row r="25" spans="1:7" ht="15.75" hidden="1" customHeight="1" x14ac:dyDescent="0.25">
      <c r="A25" s="117" t="s">
        <v>217</v>
      </c>
      <c r="B25" s="187">
        <v>1</v>
      </c>
      <c r="C25" s="189">
        <v>1</v>
      </c>
      <c r="F25" s="29" t="s">
        <v>194</v>
      </c>
      <c r="G25" s="2">
        <f t="shared" si="0"/>
        <v>0</v>
      </c>
    </row>
    <row r="26" spans="1:7" ht="15.75" hidden="1" customHeight="1" x14ac:dyDescent="0.25">
      <c r="A26" s="117" t="s">
        <v>621</v>
      </c>
      <c r="B26" s="187">
        <v>1</v>
      </c>
      <c r="C26" s="189"/>
      <c r="F26" s="27" t="s">
        <v>519</v>
      </c>
      <c r="G26" s="2">
        <f t="shared" si="0"/>
        <v>1</v>
      </c>
    </row>
    <row r="27" spans="1:7" ht="15.75" hidden="1" customHeight="1" x14ac:dyDescent="0.25">
      <c r="A27" s="117" t="s">
        <v>298</v>
      </c>
      <c r="B27" s="187"/>
      <c r="C27" s="189">
        <v>1</v>
      </c>
      <c r="F27" s="29" t="s">
        <v>79</v>
      </c>
      <c r="G27" s="2">
        <f t="shared" si="0"/>
        <v>-1</v>
      </c>
    </row>
    <row r="28" spans="1:7" ht="15.75" hidden="1" customHeight="1" x14ac:dyDescent="0.25">
      <c r="A28" s="117" t="s">
        <v>104</v>
      </c>
      <c r="B28" s="187">
        <v>1</v>
      </c>
      <c r="C28" s="189"/>
      <c r="F28" s="27" t="s">
        <v>54</v>
      </c>
      <c r="G28" s="2">
        <f t="shared" si="0"/>
        <v>1</v>
      </c>
    </row>
    <row r="29" spans="1:7" ht="15.75" hidden="1" customHeight="1" x14ac:dyDescent="0.25">
      <c r="A29" s="117" t="s">
        <v>722</v>
      </c>
      <c r="B29" s="187"/>
      <c r="C29" s="189">
        <v>1</v>
      </c>
      <c r="F29" s="29" t="s">
        <v>42</v>
      </c>
      <c r="G29" s="2">
        <f t="shared" si="0"/>
        <v>-1</v>
      </c>
    </row>
    <row r="30" spans="1:7" ht="15.75" hidden="1" customHeight="1" x14ac:dyDescent="0.25">
      <c r="A30" s="117" t="s">
        <v>53</v>
      </c>
      <c r="B30" s="187">
        <v>2</v>
      </c>
      <c r="C30" s="189">
        <v>2</v>
      </c>
      <c r="F30" s="27" t="s">
        <v>63</v>
      </c>
      <c r="G30" s="2">
        <f t="shared" si="0"/>
        <v>0</v>
      </c>
    </row>
    <row r="31" spans="1:7" ht="15.75" hidden="1" customHeight="1" x14ac:dyDescent="0.25">
      <c r="A31" s="117" t="s">
        <v>421</v>
      </c>
      <c r="B31" s="187">
        <v>1</v>
      </c>
      <c r="C31" s="189"/>
      <c r="F31" s="29" t="s">
        <v>178</v>
      </c>
      <c r="G31" s="2">
        <f t="shared" si="0"/>
        <v>1</v>
      </c>
    </row>
    <row r="32" spans="1:7" ht="15.75" hidden="1" customHeight="1" x14ac:dyDescent="0.25">
      <c r="A32" s="117" t="s">
        <v>409</v>
      </c>
      <c r="B32" s="187"/>
      <c r="C32" s="189">
        <v>1</v>
      </c>
      <c r="F32" s="27" t="s">
        <v>75</v>
      </c>
      <c r="G32" s="2">
        <f t="shared" si="0"/>
        <v>-1</v>
      </c>
    </row>
    <row r="33" spans="1:7" ht="15.75" hidden="1" customHeight="1" x14ac:dyDescent="0.25">
      <c r="A33" s="117" t="s">
        <v>159</v>
      </c>
      <c r="B33" s="187">
        <v>1</v>
      </c>
      <c r="C33" s="189">
        <v>1</v>
      </c>
      <c r="F33" s="29" t="s">
        <v>163</v>
      </c>
      <c r="G33" s="2">
        <f t="shared" si="0"/>
        <v>0</v>
      </c>
    </row>
    <row r="34" spans="1:7" ht="15.75" hidden="1" customHeight="1" x14ac:dyDescent="0.25">
      <c r="A34" s="117" t="s">
        <v>161</v>
      </c>
      <c r="B34" s="187">
        <v>1</v>
      </c>
      <c r="C34" s="189">
        <v>1</v>
      </c>
      <c r="F34" s="27" t="s">
        <v>46</v>
      </c>
      <c r="G34" s="2">
        <f t="shared" si="0"/>
        <v>0</v>
      </c>
    </row>
    <row r="35" spans="1:7" ht="15.75" hidden="1" customHeight="1" x14ac:dyDescent="0.25">
      <c r="A35" s="117" t="s">
        <v>242</v>
      </c>
      <c r="B35" s="187">
        <v>1</v>
      </c>
      <c r="C35" s="189">
        <v>1</v>
      </c>
      <c r="F35" s="29" t="s">
        <v>37</v>
      </c>
      <c r="G35" s="2">
        <f t="shared" si="0"/>
        <v>0</v>
      </c>
    </row>
    <row r="36" spans="1:7" ht="15.75" hidden="1" customHeight="1" x14ac:dyDescent="0.25">
      <c r="A36" s="117" t="s">
        <v>67</v>
      </c>
      <c r="B36" s="187">
        <v>1</v>
      </c>
      <c r="C36" s="189"/>
      <c r="F36" s="27" t="s">
        <v>411</v>
      </c>
      <c r="G36" s="2">
        <f t="shared" si="0"/>
        <v>1</v>
      </c>
    </row>
    <row r="37" spans="1:7" ht="15.75" hidden="1" customHeight="1" x14ac:dyDescent="0.25">
      <c r="A37" s="117" t="s">
        <v>244</v>
      </c>
      <c r="B37" s="187">
        <v>2</v>
      </c>
      <c r="C37" s="189"/>
      <c r="F37" s="29" t="s">
        <v>244</v>
      </c>
      <c r="G37" s="2">
        <f t="shared" si="0"/>
        <v>2</v>
      </c>
    </row>
    <row r="38" spans="1:7" ht="15.75" hidden="1" customHeight="1" x14ac:dyDescent="0.25">
      <c r="A38" s="117" t="s">
        <v>411</v>
      </c>
      <c r="B38" s="187">
        <v>1</v>
      </c>
      <c r="C38" s="189"/>
      <c r="F38" s="27" t="s">
        <v>67</v>
      </c>
      <c r="G38" s="2">
        <f t="shared" si="0"/>
        <v>1</v>
      </c>
    </row>
    <row r="39" spans="1:7" ht="15.75" hidden="1" customHeight="1" x14ac:dyDescent="0.25">
      <c r="A39" s="117" t="s">
        <v>37</v>
      </c>
      <c r="B39" s="187">
        <v>5</v>
      </c>
      <c r="C39" s="189">
        <v>1</v>
      </c>
      <c r="F39" s="29" t="s">
        <v>242</v>
      </c>
      <c r="G39" s="2">
        <f t="shared" si="0"/>
        <v>4</v>
      </c>
    </row>
    <row r="40" spans="1:7" ht="15.75" hidden="1" customHeight="1" x14ac:dyDescent="0.25">
      <c r="A40" s="117" t="s">
        <v>46</v>
      </c>
      <c r="B40" s="187">
        <v>1</v>
      </c>
      <c r="C40" s="189"/>
      <c r="F40" s="27" t="s">
        <v>161</v>
      </c>
      <c r="G40" s="2">
        <f t="shared" si="0"/>
        <v>1</v>
      </c>
    </row>
    <row r="41" spans="1:7" ht="15.75" hidden="1" customHeight="1" x14ac:dyDescent="0.25">
      <c r="A41" s="117" t="s">
        <v>95</v>
      </c>
      <c r="B41" s="187">
        <v>1</v>
      </c>
      <c r="C41" s="189"/>
      <c r="F41" s="29" t="s">
        <v>159</v>
      </c>
      <c r="G41" s="2">
        <f t="shared" si="0"/>
        <v>1</v>
      </c>
    </row>
    <row r="42" spans="1:7" ht="15.75" hidden="1" customHeight="1" x14ac:dyDescent="0.25">
      <c r="A42" s="117" t="s">
        <v>163</v>
      </c>
      <c r="B42" s="187">
        <v>2</v>
      </c>
      <c r="C42" s="189"/>
      <c r="F42" s="27" t="s">
        <v>409</v>
      </c>
      <c r="G42" s="2">
        <f t="shared" si="0"/>
        <v>2</v>
      </c>
    </row>
    <row r="43" spans="1:7" ht="15.75" hidden="1" customHeight="1" x14ac:dyDescent="0.25">
      <c r="A43" s="117" t="s">
        <v>75</v>
      </c>
      <c r="B43" s="187"/>
      <c r="C43" s="189">
        <v>1</v>
      </c>
      <c r="F43" s="29" t="s">
        <v>421</v>
      </c>
      <c r="G43" s="2">
        <f t="shared" si="0"/>
        <v>-1</v>
      </c>
    </row>
    <row r="44" spans="1:7" ht="15.75" hidden="1" customHeight="1" x14ac:dyDescent="0.25">
      <c r="A44" s="117" t="s">
        <v>178</v>
      </c>
      <c r="B44" s="187">
        <v>1</v>
      </c>
      <c r="C44" s="189"/>
      <c r="F44" s="27" t="s">
        <v>53</v>
      </c>
      <c r="G44" s="2">
        <f t="shared" si="0"/>
        <v>1</v>
      </c>
    </row>
    <row r="45" spans="1:7" ht="15.75" hidden="1" customHeight="1" x14ac:dyDescent="0.25">
      <c r="A45" s="117" t="s">
        <v>63</v>
      </c>
      <c r="B45" s="187">
        <v>1</v>
      </c>
      <c r="C45" s="189"/>
      <c r="F45" s="29" t="s">
        <v>722</v>
      </c>
      <c r="G45" s="2">
        <f t="shared" si="0"/>
        <v>1</v>
      </c>
    </row>
    <row r="46" spans="1:7" ht="15.75" hidden="1" customHeight="1" x14ac:dyDescent="0.25">
      <c r="A46" s="117" t="s">
        <v>42</v>
      </c>
      <c r="B46" s="187">
        <v>4</v>
      </c>
      <c r="C46" s="189">
        <v>3</v>
      </c>
      <c r="F46" s="27" t="s">
        <v>104</v>
      </c>
      <c r="G46" s="2">
        <f t="shared" si="0"/>
        <v>1</v>
      </c>
    </row>
    <row r="47" spans="1:7" ht="15.75" hidden="1" customHeight="1" x14ac:dyDescent="0.25">
      <c r="A47" s="117" t="s">
        <v>54</v>
      </c>
      <c r="B47" s="187">
        <v>5</v>
      </c>
      <c r="C47" s="189">
        <v>4</v>
      </c>
      <c r="F47" s="29" t="s">
        <v>298</v>
      </c>
      <c r="G47" s="2">
        <f t="shared" si="0"/>
        <v>1</v>
      </c>
    </row>
    <row r="48" spans="1:7" ht="15.75" hidden="1" customHeight="1" x14ac:dyDescent="0.25">
      <c r="A48" s="117" t="s">
        <v>79</v>
      </c>
      <c r="B48" s="187">
        <v>1</v>
      </c>
      <c r="C48" s="189">
        <v>1</v>
      </c>
      <c r="F48" s="27" t="s">
        <v>621</v>
      </c>
      <c r="G48" s="2">
        <f t="shared" si="0"/>
        <v>0</v>
      </c>
    </row>
    <row r="49" spans="1:7" ht="15.75" hidden="1" customHeight="1" x14ac:dyDescent="0.25">
      <c r="A49" s="117" t="s">
        <v>519</v>
      </c>
      <c r="B49" s="187">
        <v>2</v>
      </c>
      <c r="C49" s="189"/>
      <c r="F49" s="29" t="s">
        <v>217</v>
      </c>
      <c r="G49" s="2">
        <f t="shared" si="0"/>
        <v>2</v>
      </c>
    </row>
    <row r="50" spans="1:7" ht="15.75" hidden="1" customHeight="1" x14ac:dyDescent="0.25">
      <c r="A50" s="117" t="s">
        <v>194</v>
      </c>
      <c r="B50" s="187">
        <v>3</v>
      </c>
      <c r="C50" s="189">
        <v>3</v>
      </c>
      <c r="F50" s="27" t="s">
        <v>117</v>
      </c>
      <c r="G50" s="2">
        <f t="shared" si="0"/>
        <v>0</v>
      </c>
    </row>
    <row r="51" spans="1:7" ht="15.75" hidden="1" customHeight="1" x14ac:dyDescent="0.25">
      <c r="A51" s="117" t="s">
        <v>92</v>
      </c>
      <c r="B51" s="187">
        <v>1</v>
      </c>
      <c r="C51" s="189"/>
      <c r="F51" s="29" t="s">
        <v>241</v>
      </c>
      <c r="G51" s="2">
        <f t="shared" si="0"/>
        <v>1</v>
      </c>
    </row>
    <row r="52" spans="1:7" ht="15.75" hidden="1" customHeight="1" x14ac:dyDescent="0.25">
      <c r="A52" s="117" t="s">
        <v>130</v>
      </c>
      <c r="B52" s="187"/>
      <c r="C52" s="189">
        <v>1</v>
      </c>
      <c r="F52" s="27" t="s">
        <v>232</v>
      </c>
      <c r="G52" s="2">
        <f t="shared" si="0"/>
        <v>-1</v>
      </c>
    </row>
    <row r="53" spans="1:7" ht="15.75" hidden="1" customHeight="1" x14ac:dyDescent="0.25">
      <c r="A53" s="117" t="s">
        <v>381</v>
      </c>
      <c r="B53" s="187">
        <v>1</v>
      </c>
      <c r="C53" s="189"/>
      <c r="F53" s="29" t="s">
        <v>975</v>
      </c>
      <c r="G53" s="2">
        <f t="shared" si="0"/>
        <v>1</v>
      </c>
    </row>
    <row r="54" spans="1:7" ht="15.75" hidden="1" customHeight="1" x14ac:dyDescent="0.25">
      <c r="A54" s="117" t="s">
        <v>275</v>
      </c>
      <c r="B54" s="187">
        <v>1</v>
      </c>
      <c r="C54" s="189">
        <v>1</v>
      </c>
      <c r="F54" s="27" t="s">
        <v>1057</v>
      </c>
      <c r="G54" s="2">
        <f t="shared" si="0"/>
        <v>0</v>
      </c>
    </row>
    <row r="55" spans="1:7" ht="15.75" hidden="1" customHeight="1" x14ac:dyDescent="0.25">
      <c r="A55" s="117" t="s">
        <v>93</v>
      </c>
      <c r="B55" s="187">
        <v>1</v>
      </c>
      <c r="C55" s="189"/>
      <c r="F55" s="29" t="s">
        <v>438</v>
      </c>
      <c r="G55" s="2">
        <f t="shared" si="0"/>
        <v>1</v>
      </c>
    </row>
    <row r="56" spans="1:7" ht="15.75" hidden="1" customHeight="1" x14ac:dyDescent="0.25">
      <c r="A56" s="117" t="s">
        <v>52</v>
      </c>
      <c r="B56" s="187">
        <v>3</v>
      </c>
      <c r="C56" s="189">
        <v>1</v>
      </c>
      <c r="F56" s="27" t="s">
        <v>205</v>
      </c>
      <c r="G56" s="2">
        <f t="shared" si="0"/>
        <v>2</v>
      </c>
    </row>
    <row r="57" spans="1:7" ht="15.75" hidden="1" customHeight="1" x14ac:dyDescent="0.25">
      <c r="A57" s="117" t="s">
        <v>769</v>
      </c>
      <c r="B57" s="187">
        <v>1</v>
      </c>
      <c r="C57" s="189"/>
      <c r="F57" s="29" t="s">
        <v>171</v>
      </c>
      <c r="G57" s="2">
        <f t="shared" si="0"/>
        <v>1</v>
      </c>
    </row>
    <row r="58" spans="1:7" ht="15.75" hidden="1" customHeight="1" x14ac:dyDescent="0.25">
      <c r="A58" s="117" t="s">
        <v>1499</v>
      </c>
      <c r="B58" s="187">
        <v>1</v>
      </c>
      <c r="C58" s="189"/>
      <c r="F58" s="27" t="s">
        <v>260</v>
      </c>
      <c r="G58" s="2">
        <f t="shared" si="0"/>
        <v>1</v>
      </c>
    </row>
    <row r="59" spans="1:7" ht="15.75" hidden="1" customHeight="1" x14ac:dyDescent="0.25">
      <c r="A59" s="117" t="s">
        <v>48</v>
      </c>
      <c r="B59" s="187">
        <v>3</v>
      </c>
      <c r="C59" s="189">
        <v>2</v>
      </c>
      <c r="F59" s="29" t="s">
        <v>506</v>
      </c>
      <c r="G59" s="2">
        <f t="shared" si="0"/>
        <v>1</v>
      </c>
    </row>
    <row r="60" spans="1:7" ht="15.75" hidden="1" customHeight="1" x14ac:dyDescent="0.25">
      <c r="A60" s="117" t="s">
        <v>363</v>
      </c>
      <c r="B60" s="187">
        <v>1</v>
      </c>
      <c r="C60" s="189"/>
      <c r="F60" s="27" t="s">
        <v>73</v>
      </c>
      <c r="G60" s="2">
        <f t="shared" si="0"/>
        <v>1</v>
      </c>
    </row>
    <row r="61" spans="1:7" ht="15.75" hidden="1" customHeight="1" x14ac:dyDescent="0.25">
      <c r="A61" s="117" t="s">
        <v>588</v>
      </c>
      <c r="B61" s="187">
        <v>1</v>
      </c>
      <c r="C61" s="189"/>
      <c r="F61" s="29" t="s">
        <v>888</v>
      </c>
      <c r="G61" s="2">
        <f t="shared" si="0"/>
        <v>1</v>
      </c>
    </row>
    <row r="62" spans="1:7" ht="15.75" hidden="1" customHeight="1" x14ac:dyDescent="0.25">
      <c r="A62" s="117" t="s">
        <v>258</v>
      </c>
      <c r="B62" s="187">
        <v>1</v>
      </c>
      <c r="C62" s="189"/>
      <c r="F62" s="27" t="s">
        <v>1859</v>
      </c>
      <c r="G62" s="2">
        <f t="shared" si="0"/>
        <v>1</v>
      </c>
    </row>
    <row r="63" spans="1:7" ht="15.75" hidden="1" customHeight="1" x14ac:dyDescent="0.25">
      <c r="A63" s="123" t="s">
        <v>114</v>
      </c>
      <c r="B63" s="190">
        <v>2</v>
      </c>
      <c r="C63" s="192">
        <v>1</v>
      </c>
      <c r="G63" s="37"/>
    </row>
    <row r="87" spans="1:7" ht="15.75" hidden="1" customHeight="1" x14ac:dyDescent="0.25">
      <c r="A87" s="12" t="s">
        <v>2873</v>
      </c>
    </row>
    <row r="88" spans="1:7" ht="15.75" hidden="1" customHeight="1" x14ac:dyDescent="0.25"/>
    <row r="89" spans="1:7" hidden="1" x14ac:dyDescent="0.25">
      <c r="A89" s="120" t="s">
        <v>1</v>
      </c>
      <c r="B89" s="119" t="s">
        <v>76</v>
      </c>
    </row>
    <row r="90" spans="1:7" hidden="1" x14ac:dyDescent="0.25">
      <c r="A90" s="120" t="s">
        <v>8</v>
      </c>
      <c r="B90" s="127">
        <v>2019</v>
      </c>
    </row>
    <row r="91" spans="1:7" hidden="1" x14ac:dyDescent="0.25">
      <c r="A91" s="120" t="s">
        <v>10</v>
      </c>
      <c r="B91" s="119" t="s">
        <v>2827</v>
      </c>
      <c r="C91" s="33"/>
      <c r="D91" s="34"/>
      <c r="E91" s="34"/>
      <c r="G91" s="35"/>
    </row>
    <row r="92" spans="1:7" ht="15.75" hidden="1" customHeight="1" x14ac:dyDescent="0.25">
      <c r="C92" s="36"/>
      <c r="G92" s="37"/>
    </row>
    <row r="93" spans="1:7" ht="15.75" hidden="1" customHeight="1" x14ac:dyDescent="0.25">
      <c r="A93" s="111" t="s">
        <v>2778</v>
      </c>
      <c r="B93" s="111" t="s">
        <v>15</v>
      </c>
      <c r="C93" s="113"/>
      <c r="G93" s="37"/>
    </row>
    <row r="94" spans="1:7" ht="15.75" hidden="1" customHeight="1" x14ac:dyDescent="0.25">
      <c r="A94" s="111" t="s">
        <v>7</v>
      </c>
      <c r="B94" s="114" t="s">
        <v>101</v>
      </c>
      <c r="C94" s="125" t="s">
        <v>83</v>
      </c>
      <c r="F94" s="19" t="s">
        <v>2807</v>
      </c>
      <c r="G94" s="19" t="s">
        <v>2832</v>
      </c>
    </row>
    <row r="95" spans="1:7" ht="15.75" hidden="1" customHeight="1" x14ac:dyDescent="0.25">
      <c r="A95" s="114" t="s">
        <v>499</v>
      </c>
      <c r="B95" s="184">
        <v>1</v>
      </c>
      <c r="C95" s="186">
        <v>1</v>
      </c>
      <c r="F95" s="27" t="str">
        <f t="shared" ref="F95:F151" si="1">A95</f>
        <v>Angola</v>
      </c>
      <c r="G95" s="2">
        <f t="shared" ref="G95:G151" si="2">B95-C95</f>
        <v>0</v>
      </c>
    </row>
    <row r="96" spans="1:7" ht="15.75" hidden="1" customHeight="1" x14ac:dyDescent="0.25">
      <c r="A96" s="117" t="s">
        <v>282</v>
      </c>
      <c r="B96" s="187"/>
      <c r="C96" s="189">
        <v>1</v>
      </c>
      <c r="F96" s="27" t="str">
        <f t="shared" si="1"/>
        <v>Argentina</v>
      </c>
      <c r="G96" s="2">
        <f t="shared" si="2"/>
        <v>-1</v>
      </c>
    </row>
    <row r="97" spans="1:7" ht="15.75" hidden="1" customHeight="1" x14ac:dyDescent="0.25">
      <c r="A97" s="117" t="s">
        <v>285</v>
      </c>
      <c r="B97" s="187">
        <v>1</v>
      </c>
      <c r="C97" s="189"/>
      <c r="F97" s="27" t="str">
        <f t="shared" si="1"/>
        <v>Armenia</v>
      </c>
      <c r="G97" s="2">
        <f t="shared" si="2"/>
        <v>1</v>
      </c>
    </row>
    <row r="98" spans="1:7" ht="15.75" hidden="1" customHeight="1" x14ac:dyDescent="0.25">
      <c r="A98" s="117" t="s">
        <v>888</v>
      </c>
      <c r="B98" s="187"/>
      <c r="C98" s="189">
        <v>2</v>
      </c>
      <c r="F98" s="27" t="str">
        <f t="shared" si="1"/>
        <v>ASEAN</v>
      </c>
      <c r="G98" s="2">
        <f t="shared" si="2"/>
        <v>-2</v>
      </c>
    </row>
    <row r="99" spans="1:7" ht="15.75" hidden="1" customHeight="1" x14ac:dyDescent="0.25">
      <c r="A99" s="117" t="s">
        <v>73</v>
      </c>
      <c r="B99" s="187">
        <v>1</v>
      </c>
      <c r="C99" s="189">
        <v>2</v>
      </c>
      <c r="F99" s="27" t="str">
        <f t="shared" si="1"/>
        <v>Australia</v>
      </c>
      <c r="G99" s="2">
        <f t="shared" si="2"/>
        <v>-1</v>
      </c>
    </row>
    <row r="100" spans="1:7" ht="15.75" hidden="1" customHeight="1" x14ac:dyDescent="0.25">
      <c r="A100" s="117" t="s">
        <v>260</v>
      </c>
      <c r="B100" s="187">
        <v>1</v>
      </c>
      <c r="C100" s="189"/>
      <c r="F100" s="27" t="str">
        <f t="shared" si="1"/>
        <v>Azerbaijan</v>
      </c>
      <c r="G100" s="2">
        <f t="shared" si="2"/>
        <v>1</v>
      </c>
    </row>
    <row r="101" spans="1:7" ht="15.75" hidden="1" customHeight="1" x14ac:dyDescent="0.25">
      <c r="A101" s="117" t="s">
        <v>32</v>
      </c>
      <c r="B101" s="187">
        <v>2</v>
      </c>
      <c r="C101" s="189"/>
      <c r="F101" s="27" t="str">
        <f t="shared" si="1"/>
        <v>Bangladesh</v>
      </c>
      <c r="G101" s="2">
        <f t="shared" si="2"/>
        <v>2</v>
      </c>
    </row>
    <row r="102" spans="1:7" ht="15.75" hidden="1" customHeight="1" x14ac:dyDescent="0.25">
      <c r="A102" s="117" t="s">
        <v>171</v>
      </c>
      <c r="B102" s="187">
        <v>1</v>
      </c>
      <c r="C102" s="189"/>
      <c r="F102" s="27" t="str">
        <f t="shared" si="1"/>
        <v>Belarus</v>
      </c>
      <c r="G102" s="2">
        <f t="shared" si="2"/>
        <v>1</v>
      </c>
    </row>
    <row r="103" spans="1:7" ht="15.75" hidden="1" customHeight="1" x14ac:dyDescent="0.25">
      <c r="A103" s="117" t="s">
        <v>288</v>
      </c>
      <c r="B103" s="187">
        <v>1</v>
      </c>
      <c r="C103" s="189"/>
      <c r="F103" s="27" t="str">
        <f t="shared" si="1"/>
        <v>Benin</v>
      </c>
      <c r="G103" s="2">
        <f t="shared" si="2"/>
        <v>1</v>
      </c>
    </row>
    <row r="104" spans="1:7" ht="15.75" hidden="1" customHeight="1" x14ac:dyDescent="0.25">
      <c r="A104" s="117" t="s">
        <v>208</v>
      </c>
      <c r="B104" s="187"/>
      <c r="C104" s="189">
        <v>1</v>
      </c>
      <c r="F104" s="27" t="str">
        <f t="shared" si="1"/>
        <v>Brazil</v>
      </c>
      <c r="G104" s="2">
        <f t="shared" si="2"/>
        <v>-1</v>
      </c>
    </row>
    <row r="105" spans="1:7" ht="15.75" hidden="1" customHeight="1" x14ac:dyDescent="0.25">
      <c r="A105" s="117" t="s">
        <v>211</v>
      </c>
      <c r="B105" s="187">
        <v>1</v>
      </c>
      <c r="C105" s="189"/>
      <c r="F105" s="27" t="str">
        <f t="shared" si="1"/>
        <v>Brunei</v>
      </c>
      <c r="G105" s="2">
        <f t="shared" si="2"/>
        <v>1</v>
      </c>
    </row>
    <row r="106" spans="1:7" ht="15.75" hidden="1" customHeight="1" x14ac:dyDescent="0.25">
      <c r="A106" s="117" t="s">
        <v>438</v>
      </c>
      <c r="B106" s="187">
        <v>4</v>
      </c>
      <c r="C106" s="189"/>
      <c r="F106" s="27" t="str">
        <f t="shared" si="1"/>
        <v>Cambodia</v>
      </c>
      <c r="G106" s="2">
        <f t="shared" si="2"/>
        <v>4</v>
      </c>
    </row>
    <row r="107" spans="1:7" ht="15.75" hidden="1" customHeight="1" x14ac:dyDescent="0.25">
      <c r="A107" s="117" t="s">
        <v>232</v>
      </c>
      <c r="B107" s="187">
        <v>1</v>
      </c>
      <c r="C107" s="189">
        <v>1</v>
      </c>
      <c r="F107" s="27" t="str">
        <f t="shared" si="1"/>
        <v>Cuba</v>
      </c>
      <c r="G107" s="2">
        <f t="shared" si="2"/>
        <v>0</v>
      </c>
    </row>
    <row r="108" spans="1:7" ht="15.75" hidden="1" customHeight="1" x14ac:dyDescent="0.25">
      <c r="A108" s="117" t="s">
        <v>2051</v>
      </c>
      <c r="B108" s="187"/>
      <c r="C108" s="189">
        <v>1</v>
      </c>
      <c r="F108" s="27" t="str">
        <f t="shared" si="1"/>
        <v>Dominican Republic</v>
      </c>
      <c r="G108" s="2">
        <f t="shared" si="2"/>
        <v>-1</v>
      </c>
    </row>
    <row r="109" spans="1:7" ht="15.75" hidden="1" customHeight="1" x14ac:dyDescent="0.25">
      <c r="A109" s="117" t="s">
        <v>117</v>
      </c>
      <c r="B109" s="187">
        <v>1</v>
      </c>
      <c r="C109" s="189">
        <v>1</v>
      </c>
      <c r="F109" s="27" t="str">
        <f t="shared" si="1"/>
        <v>Egypt</v>
      </c>
      <c r="G109" s="2">
        <f t="shared" si="2"/>
        <v>0</v>
      </c>
    </row>
    <row r="110" spans="1:7" ht="15.75" hidden="1" customHeight="1" x14ac:dyDescent="0.25">
      <c r="A110" s="117" t="s">
        <v>621</v>
      </c>
      <c r="B110" s="187">
        <v>1</v>
      </c>
      <c r="C110" s="189"/>
      <c r="F110" s="27" t="str">
        <f t="shared" si="1"/>
        <v>Fiji</v>
      </c>
      <c r="G110" s="2">
        <f t="shared" si="2"/>
        <v>1</v>
      </c>
    </row>
    <row r="111" spans="1:7" ht="15.75" hidden="1" customHeight="1" x14ac:dyDescent="0.25">
      <c r="A111" s="117" t="s">
        <v>417</v>
      </c>
      <c r="B111" s="187">
        <v>1</v>
      </c>
      <c r="C111" s="189"/>
      <c r="F111" s="27" t="str">
        <f t="shared" si="1"/>
        <v>Ghana</v>
      </c>
      <c r="G111" s="2">
        <f t="shared" si="2"/>
        <v>1</v>
      </c>
    </row>
    <row r="112" spans="1:7" ht="15.75" hidden="1" customHeight="1" x14ac:dyDescent="0.25">
      <c r="A112" s="117" t="s">
        <v>391</v>
      </c>
      <c r="B112" s="187">
        <v>1</v>
      </c>
      <c r="C112" s="189"/>
      <c r="F112" s="27" t="str">
        <f t="shared" si="1"/>
        <v>Guinea</v>
      </c>
      <c r="G112" s="2">
        <f t="shared" si="2"/>
        <v>1</v>
      </c>
    </row>
    <row r="113" spans="1:7" ht="15.75" hidden="1" customHeight="1" x14ac:dyDescent="0.25">
      <c r="A113" s="117" t="s">
        <v>419</v>
      </c>
      <c r="B113" s="187">
        <v>1</v>
      </c>
      <c r="C113" s="189"/>
      <c r="F113" s="27" t="str">
        <f t="shared" si="1"/>
        <v>Guyana</v>
      </c>
      <c r="G113" s="2">
        <f t="shared" si="2"/>
        <v>1</v>
      </c>
    </row>
    <row r="114" spans="1:7" ht="15.75" hidden="1" customHeight="1" x14ac:dyDescent="0.25">
      <c r="A114" s="117" t="s">
        <v>407</v>
      </c>
      <c r="B114" s="187">
        <v>1</v>
      </c>
      <c r="C114" s="189"/>
      <c r="F114" s="27" t="str">
        <f t="shared" si="1"/>
        <v>Hungary</v>
      </c>
      <c r="G114" s="2">
        <f t="shared" si="2"/>
        <v>1</v>
      </c>
    </row>
    <row r="115" spans="1:7" ht="15.75" hidden="1" customHeight="1" x14ac:dyDescent="0.25">
      <c r="A115" s="117" t="s">
        <v>722</v>
      </c>
      <c r="B115" s="187"/>
      <c r="C115" s="189">
        <v>1</v>
      </c>
      <c r="F115" s="27" t="str">
        <f t="shared" si="1"/>
        <v>IISS</v>
      </c>
      <c r="G115" s="2">
        <f t="shared" si="2"/>
        <v>-1</v>
      </c>
    </row>
    <row r="116" spans="1:7" ht="15.75" hidden="1" customHeight="1" x14ac:dyDescent="0.25">
      <c r="A116" s="117" t="s">
        <v>53</v>
      </c>
      <c r="B116" s="187"/>
      <c r="C116" s="189">
        <v>1</v>
      </c>
      <c r="F116" s="27" t="str">
        <f t="shared" si="1"/>
        <v>India</v>
      </c>
      <c r="G116" s="2">
        <f t="shared" si="2"/>
        <v>-1</v>
      </c>
    </row>
    <row r="117" spans="1:7" ht="15.75" hidden="1" customHeight="1" x14ac:dyDescent="0.25">
      <c r="A117" s="117" t="s">
        <v>59</v>
      </c>
      <c r="B117" s="187">
        <v>1</v>
      </c>
      <c r="C117" s="189">
        <v>1</v>
      </c>
      <c r="F117" s="27" t="str">
        <f t="shared" si="1"/>
        <v>Indonesia</v>
      </c>
      <c r="G117" s="2">
        <f t="shared" si="2"/>
        <v>0</v>
      </c>
    </row>
    <row r="118" spans="1:7" ht="15.75" hidden="1" customHeight="1" x14ac:dyDescent="0.25">
      <c r="A118" s="117" t="s">
        <v>421</v>
      </c>
      <c r="B118" s="187">
        <v>1</v>
      </c>
      <c r="C118" s="189">
        <v>1</v>
      </c>
      <c r="F118" s="27" t="str">
        <f t="shared" si="1"/>
        <v>Iran</v>
      </c>
      <c r="G118" s="2">
        <f t="shared" si="2"/>
        <v>0</v>
      </c>
    </row>
    <row r="119" spans="1:7" ht="15.75" hidden="1" customHeight="1" x14ac:dyDescent="0.25">
      <c r="A119" s="117" t="s">
        <v>409</v>
      </c>
      <c r="B119" s="187">
        <v>1</v>
      </c>
      <c r="C119" s="189"/>
      <c r="F119" s="27" t="str">
        <f t="shared" si="1"/>
        <v>Japan</v>
      </c>
      <c r="G119" s="2">
        <f t="shared" si="2"/>
        <v>1</v>
      </c>
    </row>
    <row r="120" spans="1:7" ht="15.75" hidden="1" customHeight="1" x14ac:dyDescent="0.25">
      <c r="A120" s="117" t="s">
        <v>159</v>
      </c>
      <c r="B120" s="187">
        <v>1</v>
      </c>
      <c r="C120" s="189">
        <v>1</v>
      </c>
      <c r="F120" s="27" t="str">
        <f t="shared" si="1"/>
        <v>Kazakhstan</v>
      </c>
      <c r="G120" s="2">
        <f t="shared" si="2"/>
        <v>0</v>
      </c>
    </row>
    <row r="121" spans="1:7" ht="15.75" hidden="1" customHeight="1" x14ac:dyDescent="0.25">
      <c r="A121" s="117" t="s">
        <v>161</v>
      </c>
      <c r="B121" s="187">
        <v>2</v>
      </c>
      <c r="C121" s="189">
        <v>1</v>
      </c>
      <c r="F121" s="27" t="str">
        <f t="shared" si="1"/>
        <v>Kyrgyzstan</v>
      </c>
      <c r="G121" s="2">
        <f t="shared" si="2"/>
        <v>1</v>
      </c>
    </row>
    <row r="122" spans="1:7" ht="15.75" hidden="1" customHeight="1" x14ac:dyDescent="0.25">
      <c r="A122" s="117" t="s">
        <v>242</v>
      </c>
      <c r="B122" s="187">
        <v>1</v>
      </c>
      <c r="C122" s="189">
        <v>1</v>
      </c>
      <c r="F122" s="27" t="str">
        <f t="shared" si="1"/>
        <v>Laos</v>
      </c>
      <c r="G122" s="2">
        <f t="shared" si="2"/>
        <v>0</v>
      </c>
    </row>
    <row r="123" spans="1:7" ht="15.75" hidden="1" customHeight="1" x14ac:dyDescent="0.25">
      <c r="A123" s="117" t="s">
        <v>1013</v>
      </c>
      <c r="B123" s="187">
        <v>1</v>
      </c>
      <c r="C123" s="189"/>
      <c r="F123" s="27" t="str">
        <f t="shared" si="1"/>
        <v>Latvia</v>
      </c>
      <c r="G123" s="2">
        <f t="shared" si="2"/>
        <v>1</v>
      </c>
    </row>
    <row r="124" spans="1:7" ht="15.75" hidden="1" customHeight="1" x14ac:dyDescent="0.25">
      <c r="A124" s="117" t="s">
        <v>67</v>
      </c>
      <c r="B124" s="187"/>
      <c r="C124" s="189">
        <v>1</v>
      </c>
      <c r="F124" s="27" t="str">
        <f t="shared" si="1"/>
        <v>Malaysia</v>
      </c>
      <c r="G124" s="2">
        <f t="shared" si="2"/>
        <v>-1</v>
      </c>
    </row>
    <row r="125" spans="1:7" ht="15.75" hidden="1" customHeight="1" x14ac:dyDescent="0.25">
      <c r="A125" s="117" t="s">
        <v>244</v>
      </c>
      <c r="B125" s="187">
        <v>2</v>
      </c>
      <c r="C125" s="189"/>
      <c r="F125" s="27" t="str">
        <f t="shared" si="1"/>
        <v>Mongolia</v>
      </c>
      <c r="G125" s="2">
        <f t="shared" si="2"/>
        <v>2</v>
      </c>
    </row>
    <row r="126" spans="1:7" ht="15.75" hidden="1" customHeight="1" x14ac:dyDescent="0.25">
      <c r="A126" s="117" t="s">
        <v>411</v>
      </c>
      <c r="B126" s="187"/>
      <c r="C126" s="189">
        <v>1</v>
      </c>
      <c r="F126" s="27" t="str">
        <f t="shared" si="1"/>
        <v>Mozambique</v>
      </c>
      <c r="G126" s="2">
        <f t="shared" si="2"/>
        <v>-1</v>
      </c>
    </row>
    <row r="127" spans="1:7" ht="15.75" hidden="1" customHeight="1" x14ac:dyDescent="0.25">
      <c r="A127" s="117" t="s">
        <v>37</v>
      </c>
      <c r="B127" s="187">
        <v>1</v>
      </c>
      <c r="C127" s="189"/>
      <c r="F127" s="27" t="str">
        <f t="shared" si="1"/>
        <v>Myanmar</v>
      </c>
      <c r="G127" s="2">
        <f t="shared" si="2"/>
        <v>1</v>
      </c>
    </row>
    <row r="128" spans="1:7" ht="15.75" hidden="1" customHeight="1" x14ac:dyDescent="0.25">
      <c r="A128" s="117" t="s">
        <v>46</v>
      </c>
      <c r="B128" s="187">
        <v>1</v>
      </c>
      <c r="C128" s="189"/>
      <c r="F128" s="27" t="str">
        <f t="shared" si="1"/>
        <v>N/A</v>
      </c>
      <c r="G128" s="2">
        <f t="shared" si="2"/>
        <v>1</v>
      </c>
    </row>
    <row r="129" spans="1:7" ht="15.75" hidden="1" customHeight="1" x14ac:dyDescent="0.25">
      <c r="A129" s="117" t="s">
        <v>163</v>
      </c>
      <c r="B129" s="187">
        <v>1</v>
      </c>
      <c r="C129" s="189"/>
      <c r="F129" s="27" t="str">
        <f t="shared" si="1"/>
        <v>Nepal</v>
      </c>
      <c r="G129" s="2">
        <f t="shared" si="2"/>
        <v>1</v>
      </c>
    </row>
    <row r="130" spans="1:7" ht="15.75" hidden="1" customHeight="1" x14ac:dyDescent="0.25">
      <c r="A130" s="117" t="s">
        <v>75</v>
      </c>
      <c r="B130" s="187">
        <v>1</v>
      </c>
      <c r="C130" s="189">
        <v>2</v>
      </c>
      <c r="F130" s="27" t="str">
        <f t="shared" si="1"/>
        <v>New Zealand</v>
      </c>
      <c r="G130" s="2">
        <f t="shared" si="2"/>
        <v>-1</v>
      </c>
    </row>
    <row r="131" spans="1:7" ht="15.75" hidden="1" customHeight="1" x14ac:dyDescent="0.25">
      <c r="A131" s="117" t="s">
        <v>63</v>
      </c>
      <c r="B131" s="187">
        <v>3</v>
      </c>
      <c r="C131" s="189">
        <v>1</v>
      </c>
      <c r="F131" s="27" t="str">
        <f t="shared" si="1"/>
        <v>North Korea</v>
      </c>
      <c r="G131" s="2">
        <f t="shared" si="2"/>
        <v>2</v>
      </c>
    </row>
    <row r="132" spans="1:7" ht="15.75" hidden="1" customHeight="1" x14ac:dyDescent="0.25">
      <c r="A132" s="117" t="s">
        <v>42</v>
      </c>
      <c r="B132" s="187">
        <v>5</v>
      </c>
      <c r="C132" s="189">
        <v>3</v>
      </c>
      <c r="F132" s="27" t="str">
        <f t="shared" si="1"/>
        <v>Pakistan</v>
      </c>
      <c r="G132" s="2">
        <f t="shared" si="2"/>
        <v>2</v>
      </c>
    </row>
    <row r="133" spans="1:7" ht="15.75" hidden="1" customHeight="1" x14ac:dyDescent="0.25">
      <c r="A133" s="117" t="s">
        <v>600</v>
      </c>
      <c r="B133" s="187">
        <v>1</v>
      </c>
      <c r="C133" s="189"/>
      <c r="F133" s="27" t="str">
        <f t="shared" si="1"/>
        <v>Papua New Guinea</v>
      </c>
      <c r="G133" s="2">
        <f t="shared" si="2"/>
        <v>1</v>
      </c>
    </row>
    <row r="134" spans="1:7" ht="15.75" hidden="1" customHeight="1" x14ac:dyDescent="0.25">
      <c r="A134" s="117" t="s">
        <v>69</v>
      </c>
      <c r="B134" s="187">
        <v>1</v>
      </c>
      <c r="C134" s="189"/>
      <c r="F134" s="27" t="str">
        <f t="shared" si="1"/>
        <v>Philippines</v>
      </c>
      <c r="G134" s="2">
        <f t="shared" si="2"/>
        <v>1</v>
      </c>
    </row>
    <row r="135" spans="1:7" ht="15.75" hidden="1" customHeight="1" x14ac:dyDescent="0.25">
      <c r="A135" s="117" t="s">
        <v>54</v>
      </c>
      <c r="B135" s="187">
        <v>2</v>
      </c>
      <c r="C135" s="189">
        <v>3</v>
      </c>
      <c r="F135" s="27" t="str">
        <f t="shared" si="1"/>
        <v>Russia</v>
      </c>
      <c r="G135" s="2">
        <f t="shared" si="2"/>
        <v>-1</v>
      </c>
    </row>
    <row r="136" spans="1:7" ht="15.75" hidden="1" customHeight="1" x14ac:dyDescent="0.25">
      <c r="A136" s="117" t="s">
        <v>634</v>
      </c>
      <c r="B136" s="187">
        <v>1</v>
      </c>
      <c r="C136" s="189"/>
      <c r="F136" s="27" t="str">
        <f t="shared" si="1"/>
        <v>Rwanda</v>
      </c>
      <c r="G136" s="2">
        <f t="shared" si="2"/>
        <v>1</v>
      </c>
    </row>
    <row r="137" spans="1:7" ht="15.75" hidden="1" customHeight="1" x14ac:dyDescent="0.25">
      <c r="A137" s="117" t="s">
        <v>756</v>
      </c>
      <c r="B137" s="187"/>
      <c r="C137" s="189">
        <v>1</v>
      </c>
      <c r="F137" s="27" t="str">
        <f t="shared" si="1"/>
        <v>Saudi Arabia</v>
      </c>
      <c r="G137" s="2">
        <f t="shared" si="2"/>
        <v>-1</v>
      </c>
    </row>
    <row r="138" spans="1:7" ht="15.75" hidden="1" customHeight="1" x14ac:dyDescent="0.25">
      <c r="A138" s="117" t="s">
        <v>79</v>
      </c>
      <c r="B138" s="187"/>
      <c r="C138" s="189">
        <v>1</v>
      </c>
      <c r="F138" s="27" t="str">
        <f t="shared" si="1"/>
        <v>SCO</v>
      </c>
      <c r="G138" s="2">
        <f t="shared" si="2"/>
        <v>-1</v>
      </c>
    </row>
    <row r="139" spans="1:7" ht="15.75" hidden="1" customHeight="1" x14ac:dyDescent="0.25">
      <c r="A139" s="117" t="s">
        <v>519</v>
      </c>
      <c r="B139" s="187">
        <v>1</v>
      </c>
      <c r="C139" s="189">
        <v>2</v>
      </c>
      <c r="F139" s="27" t="str">
        <f t="shared" si="1"/>
        <v>Serbia</v>
      </c>
      <c r="G139" s="2">
        <f t="shared" si="2"/>
        <v>-1</v>
      </c>
    </row>
    <row r="140" spans="1:7" ht="15.75" hidden="1" customHeight="1" x14ac:dyDescent="0.25">
      <c r="A140" s="117" t="s">
        <v>194</v>
      </c>
      <c r="B140" s="187">
        <v>3</v>
      </c>
      <c r="C140" s="189">
        <v>2</v>
      </c>
      <c r="F140" s="27" t="str">
        <f t="shared" si="1"/>
        <v>Singapore</v>
      </c>
      <c r="G140" s="2">
        <f t="shared" si="2"/>
        <v>1</v>
      </c>
    </row>
    <row r="141" spans="1:7" ht="15.75" hidden="1" customHeight="1" x14ac:dyDescent="0.25">
      <c r="A141" s="117" t="s">
        <v>130</v>
      </c>
      <c r="B141" s="187">
        <v>2</v>
      </c>
      <c r="C141" s="189">
        <v>1</v>
      </c>
      <c r="F141" s="27" t="str">
        <f t="shared" si="1"/>
        <v>South Korea</v>
      </c>
      <c r="G141" s="2">
        <f t="shared" si="2"/>
        <v>1</v>
      </c>
    </row>
    <row r="142" spans="1:7" ht="15.75" hidden="1" customHeight="1" x14ac:dyDescent="0.25">
      <c r="A142" s="117" t="s">
        <v>430</v>
      </c>
      <c r="B142" s="187">
        <v>1</v>
      </c>
      <c r="C142" s="189"/>
      <c r="F142" s="27" t="str">
        <f t="shared" si="1"/>
        <v>Suriname</v>
      </c>
      <c r="G142" s="2">
        <f t="shared" si="2"/>
        <v>1</v>
      </c>
    </row>
    <row r="143" spans="1:7" ht="15.75" hidden="1" customHeight="1" x14ac:dyDescent="0.25">
      <c r="A143" s="117" t="s">
        <v>52</v>
      </c>
      <c r="B143" s="187">
        <v>1</v>
      </c>
      <c r="C143" s="189">
        <v>1</v>
      </c>
      <c r="F143" s="27" t="str">
        <f t="shared" si="1"/>
        <v>Thailand</v>
      </c>
      <c r="G143" s="2">
        <f t="shared" si="2"/>
        <v>0</v>
      </c>
    </row>
    <row r="144" spans="1:7" ht="15.75" hidden="1" customHeight="1" x14ac:dyDescent="0.25">
      <c r="A144" s="117" t="s">
        <v>186</v>
      </c>
      <c r="B144" s="187">
        <v>1</v>
      </c>
      <c r="C144" s="189"/>
      <c r="F144" s="27" t="str">
        <f t="shared" si="1"/>
        <v>Turkey</v>
      </c>
      <c r="G144" s="2">
        <f t="shared" si="2"/>
        <v>1</v>
      </c>
    </row>
    <row r="145" spans="1:7" ht="15.75" hidden="1" customHeight="1" x14ac:dyDescent="0.25">
      <c r="A145" s="117" t="s">
        <v>503</v>
      </c>
      <c r="B145" s="187">
        <v>1</v>
      </c>
      <c r="C145" s="189">
        <v>1</v>
      </c>
      <c r="F145" s="27" t="str">
        <f t="shared" si="1"/>
        <v>United Arab Emirates</v>
      </c>
      <c r="G145" s="2">
        <f t="shared" si="2"/>
        <v>0</v>
      </c>
    </row>
    <row r="146" spans="1:7" ht="15.75" hidden="1" customHeight="1" x14ac:dyDescent="0.25">
      <c r="A146" s="117" t="s">
        <v>48</v>
      </c>
      <c r="B146" s="187">
        <v>2</v>
      </c>
      <c r="C146" s="189">
        <v>2</v>
      </c>
      <c r="F146" s="27" t="str">
        <f t="shared" si="1"/>
        <v>United States</v>
      </c>
      <c r="G146" s="2">
        <f t="shared" si="2"/>
        <v>0</v>
      </c>
    </row>
    <row r="147" spans="1:7" ht="15.75" hidden="1" customHeight="1" x14ac:dyDescent="0.25">
      <c r="A147" s="117" t="s">
        <v>505</v>
      </c>
      <c r="B147" s="187"/>
      <c r="C147" s="189">
        <v>1</v>
      </c>
      <c r="F147" s="27" t="str">
        <f t="shared" si="1"/>
        <v>Uruguay</v>
      </c>
      <c r="G147" s="2">
        <f t="shared" si="2"/>
        <v>-1</v>
      </c>
    </row>
    <row r="148" spans="1:7" ht="15.75" hidden="1" customHeight="1" x14ac:dyDescent="0.25">
      <c r="A148" s="117" t="s">
        <v>363</v>
      </c>
      <c r="B148" s="187"/>
      <c r="C148" s="189">
        <v>1</v>
      </c>
      <c r="F148" s="27" t="str">
        <f t="shared" si="1"/>
        <v>Uzbekistan</v>
      </c>
      <c r="G148" s="2">
        <f t="shared" si="2"/>
        <v>-1</v>
      </c>
    </row>
    <row r="149" spans="1:7" ht="15.75" hidden="1" customHeight="1" x14ac:dyDescent="0.25">
      <c r="A149" s="117" t="s">
        <v>588</v>
      </c>
      <c r="B149" s="187">
        <v>1</v>
      </c>
      <c r="C149" s="189"/>
      <c r="F149" s="27" t="str">
        <f t="shared" si="1"/>
        <v>Vanuatu</v>
      </c>
      <c r="G149" s="2">
        <f t="shared" si="2"/>
        <v>1</v>
      </c>
    </row>
    <row r="150" spans="1:7" ht="15.75" hidden="1" customHeight="1" x14ac:dyDescent="0.25">
      <c r="A150" s="117" t="s">
        <v>114</v>
      </c>
      <c r="B150" s="187">
        <v>2</v>
      </c>
      <c r="C150" s="189">
        <v>1</v>
      </c>
      <c r="F150" s="27" t="str">
        <f t="shared" si="1"/>
        <v>Vietnam</v>
      </c>
      <c r="G150" s="2">
        <f t="shared" si="2"/>
        <v>1</v>
      </c>
    </row>
    <row r="151" spans="1:7" ht="15.75" hidden="1" customHeight="1" x14ac:dyDescent="0.25">
      <c r="A151" s="123" t="s">
        <v>414</v>
      </c>
      <c r="B151" s="190">
        <v>1</v>
      </c>
      <c r="C151" s="192"/>
      <c r="F151" s="27" t="str">
        <f t="shared" si="1"/>
        <v>Zimbabwe</v>
      </c>
      <c r="G151" s="2">
        <f t="shared" si="2"/>
        <v>1</v>
      </c>
    </row>
    <row r="152" spans="1:7" ht="15.75" hidden="1" customHeight="1" x14ac:dyDescent="0.25">
      <c r="F152" s="27"/>
    </row>
    <row r="173" spans="1:1" ht="15.75" customHeight="1" x14ac:dyDescent="0.25">
      <c r="A173" s="39" t="s">
        <v>3205</v>
      </c>
    </row>
    <row r="174" spans="1:1" ht="15.75" customHeight="1" x14ac:dyDescent="0.25">
      <c r="A174" s="53" t="s">
        <v>3198</v>
      </c>
    </row>
    <row r="175" spans="1:1" ht="15.75" customHeight="1" x14ac:dyDescent="0.25">
      <c r="A175" s="53" t="s">
        <v>3207</v>
      </c>
    </row>
    <row r="177" spans="1:10" x14ac:dyDescent="0.25">
      <c r="A177" s="120" t="s">
        <v>1</v>
      </c>
      <c r="B177" s="119" t="s">
        <v>76</v>
      </c>
      <c r="H177" s="6"/>
      <c r="I177" s="6"/>
    </row>
    <row r="178" spans="1:10" x14ac:dyDescent="0.25">
      <c r="A178" s="120" t="s">
        <v>8</v>
      </c>
      <c r="B178" s="119" t="s">
        <v>2817</v>
      </c>
      <c r="H178" s="6"/>
      <c r="I178" s="6"/>
    </row>
    <row r="179" spans="1:10" x14ac:dyDescent="0.25">
      <c r="A179" s="120" t="s">
        <v>10</v>
      </c>
      <c r="B179" s="119" t="s">
        <v>2817</v>
      </c>
      <c r="C179" s="33"/>
      <c r="D179" s="34"/>
      <c r="E179" s="34"/>
      <c r="G179" s="35"/>
      <c r="H179" s="6"/>
      <c r="I179" s="6"/>
    </row>
    <row r="180" spans="1:10" ht="15.75" customHeight="1" x14ac:dyDescent="0.25">
      <c r="C180" s="36"/>
      <c r="G180" s="37"/>
      <c r="H180" s="6"/>
    </row>
    <row r="181" spans="1:10" ht="15.75" customHeight="1" x14ac:dyDescent="0.25">
      <c r="A181" s="111" t="s">
        <v>2778</v>
      </c>
      <c r="B181" s="111" t="s">
        <v>3201</v>
      </c>
      <c r="C181" s="113"/>
      <c r="G181" s="37"/>
      <c r="H181" s="6"/>
    </row>
    <row r="182" spans="1:10" ht="15.75" customHeight="1" x14ac:dyDescent="0.25">
      <c r="A182" s="111" t="s">
        <v>7</v>
      </c>
      <c r="B182" s="134" t="s">
        <v>101</v>
      </c>
      <c r="C182" s="135" t="s">
        <v>83</v>
      </c>
      <c r="D182" t="s">
        <v>3200</v>
      </c>
      <c r="F182" s="19" t="s">
        <v>2807</v>
      </c>
      <c r="G182" s="19" t="s">
        <v>2832</v>
      </c>
      <c r="H182" s="6"/>
      <c r="I182" s="34"/>
      <c r="J182" s="34"/>
    </row>
    <row r="183" spans="1:10" ht="15.75" customHeight="1" x14ac:dyDescent="0.25">
      <c r="A183" s="114" t="s">
        <v>604</v>
      </c>
      <c r="B183" s="184">
        <v>12</v>
      </c>
      <c r="C183" s="186">
        <v>2</v>
      </c>
      <c r="D183">
        <f>B183-C183</f>
        <v>10</v>
      </c>
      <c r="F183" s="86" t="str" cm="1">
        <f t="array" ref="F183:F192">_xlfn.TAKE(_xlfn._xlws.SORT(A183:D494, 4, -1),10,1)</f>
        <v>Pakistan</v>
      </c>
      <c r="G183" s="87" cm="1">
        <f t="array" ref="G183:G192">_xlfn.TAKE(_xlfn._xlws.SORT(D183:D494, 1, -1),10)</f>
        <v>35</v>
      </c>
      <c r="H183" s="102"/>
      <c r="I183" s="6"/>
    </row>
    <row r="184" spans="1:10" ht="15.75" customHeight="1" x14ac:dyDescent="0.25">
      <c r="A184" s="117" t="s">
        <v>530</v>
      </c>
      <c r="B184" s="187">
        <v>1</v>
      </c>
      <c r="C184" s="189">
        <v>0</v>
      </c>
      <c r="D184">
        <f t="shared" ref="D184:D247" si="3">B184-C184</f>
        <v>1</v>
      </c>
      <c r="F184" s="86" t="str">
        <v>Thailand</v>
      </c>
      <c r="G184" s="89">
        <v>21</v>
      </c>
      <c r="H184" s="38"/>
      <c r="I184" s="6"/>
    </row>
    <row r="185" spans="1:10" ht="15.75" customHeight="1" x14ac:dyDescent="0.25">
      <c r="A185" s="117" t="s">
        <v>371</v>
      </c>
      <c r="B185" s="187">
        <v>2</v>
      </c>
      <c r="C185" s="189">
        <v>4</v>
      </c>
      <c r="D185">
        <f t="shared" si="3"/>
        <v>-2</v>
      </c>
      <c r="F185" s="86" t="str">
        <v>United States</v>
      </c>
      <c r="G185" s="87">
        <v>19</v>
      </c>
      <c r="H185" s="38"/>
      <c r="I185" s="6"/>
    </row>
    <row r="186" spans="1:10" ht="15.75" customHeight="1" x14ac:dyDescent="0.25">
      <c r="A186" s="117" t="s">
        <v>499</v>
      </c>
      <c r="B186" s="187">
        <v>5</v>
      </c>
      <c r="C186" s="189">
        <v>4</v>
      </c>
      <c r="D186">
        <f t="shared" si="3"/>
        <v>1</v>
      </c>
      <c r="F186" s="86" t="str">
        <v>Australia</v>
      </c>
      <c r="G186" s="89">
        <v>14</v>
      </c>
      <c r="H186" s="38"/>
      <c r="I186" s="6"/>
    </row>
    <row r="187" spans="1:10" ht="15.75" customHeight="1" x14ac:dyDescent="0.25">
      <c r="A187" s="117" t="s">
        <v>200</v>
      </c>
      <c r="B187" s="187">
        <v>2</v>
      </c>
      <c r="C187" s="189">
        <v>0</v>
      </c>
      <c r="D187">
        <f t="shared" si="3"/>
        <v>2</v>
      </c>
      <c r="F187" s="86" t="str">
        <v>Cambodia</v>
      </c>
      <c r="G187" s="87">
        <v>14</v>
      </c>
      <c r="H187" s="38"/>
      <c r="I187" s="6"/>
    </row>
    <row r="188" spans="1:10" ht="15.75" customHeight="1" x14ac:dyDescent="0.25">
      <c r="A188" s="117" t="s">
        <v>282</v>
      </c>
      <c r="B188" s="187">
        <v>4</v>
      </c>
      <c r="C188" s="189">
        <v>15</v>
      </c>
      <c r="D188">
        <f t="shared" si="3"/>
        <v>-11</v>
      </c>
      <c r="F188" s="86" t="str">
        <v>Bangladesh</v>
      </c>
      <c r="G188" s="89">
        <v>13</v>
      </c>
      <c r="H188" s="38"/>
      <c r="I188" s="6"/>
    </row>
    <row r="189" spans="1:10" ht="15.75" customHeight="1" x14ac:dyDescent="0.25">
      <c r="A189" s="117" t="s">
        <v>285</v>
      </c>
      <c r="B189" s="187">
        <v>5</v>
      </c>
      <c r="C189" s="189">
        <v>2</v>
      </c>
      <c r="D189">
        <f t="shared" si="3"/>
        <v>3</v>
      </c>
      <c r="F189" s="86" t="str">
        <v>Italy</v>
      </c>
      <c r="G189" s="87">
        <v>13</v>
      </c>
      <c r="H189" s="38"/>
      <c r="I189" s="6"/>
    </row>
    <row r="190" spans="1:10" ht="15.75" customHeight="1" x14ac:dyDescent="0.25">
      <c r="A190" s="117" t="s">
        <v>73</v>
      </c>
      <c r="B190" s="187">
        <v>29</v>
      </c>
      <c r="C190" s="189">
        <v>15</v>
      </c>
      <c r="D190">
        <f t="shared" si="3"/>
        <v>14</v>
      </c>
      <c r="F190" s="86" t="str">
        <v>South Korea</v>
      </c>
      <c r="G190" s="89">
        <v>13</v>
      </c>
      <c r="H190" s="38"/>
      <c r="I190" s="6"/>
    </row>
    <row r="191" spans="1:10" ht="15.75" customHeight="1" x14ac:dyDescent="0.25">
      <c r="A191" s="117" t="s">
        <v>506</v>
      </c>
      <c r="B191" s="187">
        <v>7</v>
      </c>
      <c r="C191" s="189">
        <v>2</v>
      </c>
      <c r="D191">
        <f t="shared" si="3"/>
        <v>5</v>
      </c>
      <c r="F191" s="86" t="str">
        <v>Vietnam</v>
      </c>
      <c r="G191" s="87">
        <v>11</v>
      </c>
      <c r="H191" s="38"/>
      <c r="I191" s="6"/>
    </row>
    <row r="192" spans="1:10" ht="15.75" customHeight="1" x14ac:dyDescent="0.25">
      <c r="A192" s="117" t="s">
        <v>260</v>
      </c>
      <c r="B192" s="187">
        <v>4</v>
      </c>
      <c r="C192" s="189">
        <v>1</v>
      </c>
      <c r="D192">
        <f t="shared" si="3"/>
        <v>3</v>
      </c>
      <c r="F192" s="86" t="str">
        <v>Afghanistan</v>
      </c>
      <c r="G192" s="89">
        <v>10</v>
      </c>
      <c r="H192" s="38"/>
      <c r="I192" s="40" t="s">
        <v>163</v>
      </c>
      <c r="J192" s="41">
        <v>8</v>
      </c>
    </row>
    <row r="193" spans="1:10" ht="15.75" hidden="1" customHeight="1" x14ac:dyDescent="0.25">
      <c r="A193" s="117" t="s">
        <v>783</v>
      </c>
      <c r="B193" s="187">
        <v>1</v>
      </c>
      <c r="C193" s="189">
        <v>1</v>
      </c>
      <c r="D193">
        <f t="shared" si="3"/>
        <v>0</v>
      </c>
      <c r="F193" s="86"/>
      <c r="G193" s="87"/>
      <c r="H193" s="38"/>
      <c r="I193" s="42" t="s">
        <v>161</v>
      </c>
      <c r="J193" s="43">
        <v>8</v>
      </c>
    </row>
    <row r="194" spans="1:10" ht="15.75" hidden="1" customHeight="1" x14ac:dyDescent="0.25">
      <c r="A194" s="117" t="s">
        <v>32</v>
      </c>
      <c r="B194" s="187">
        <v>21</v>
      </c>
      <c r="C194" s="189">
        <v>8</v>
      </c>
      <c r="D194">
        <f t="shared" si="3"/>
        <v>13</v>
      </c>
      <c r="F194" s="88"/>
      <c r="G194" s="89"/>
      <c r="H194" s="38"/>
    </row>
    <row r="195" spans="1:10" ht="15.75" hidden="1" customHeight="1" x14ac:dyDescent="0.25">
      <c r="A195" s="117" t="s">
        <v>477</v>
      </c>
      <c r="B195" s="187">
        <v>1</v>
      </c>
      <c r="C195" s="189">
        <v>0</v>
      </c>
      <c r="D195">
        <f t="shared" si="3"/>
        <v>1</v>
      </c>
      <c r="F195" s="86"/>
      <c r="G195" s="87"/>
      <c r="H195" s="38"/>
    </row>
    <row r="196" spans="1:10" ht="15.75" hidden="1" customHeight="1" x14ac:dyDescent="0.25">
      <c r="A196" s="117" t="s">
        <v>171</v>
      </c>
      <c r="B196" s="187">
        <v>22</v>
      </c>
      <c r="C196" s="189">
        <v>18</v>
      </c>
      <c r="D196">
        <f t="shared" si="3"/>
        <v>4</v>
      </c>
      <c r="F196" s="88"/>
      <c r="G196" s="89"/>
      <c r="H196" s="38"/>
    </row>
    <row r="197" spans="1:10" ht="15.75" hidden="1" customHeight="1" x14ac:dyDescent="0.25">
      <c r="A197" s="117" t="s">
        <v>303</v>
      </c>
      <c r="B197" s="187">
        <v>3</v>
      </c>
      <c r="C197" s="189">
        <v>3</v>
      </c>
      <c r="D197">
        <f t="shared" si="3"/>
        <v>0</v>
      </c>
      <c r="F197" s="86"/>
      <c r="G197" s="87"/>
      <c r="H197" s="38"/>
    </row>
    <row r="198" spans="1:10" ht="15.75" hidden="1" customHeight="1" x14ac:dyDescent="0.25">
      <c r="A198" s="117" t="s">
        <v>288</v>
      </c>
      <c r="B198" s="187">
        <v>2</v>
      </c>
      <c r="C198" s="189">
        <v>2</v>
      </c>
      <c r="D198">
        <f t="shared" si="3"/>
        <v>0</v>
      </c>
      <c r="F198" s="88"/>
      <c r="G198" s="89"/>
      <c r="H198" s="38"/>
    </row>
    <row r="199" spans="1:10" ht="15.75" hidden="1" customHeight="1" x14ac:dyDescent="0.25">
      <c r="A199" s="117" t="s">
        <v>205</v>
      </c>
      <c r="B199" s="187">
        <v>6</v>
      </c>
      <c r="C199" s="189">
        <v>3</v>
      </c>
      <c r="D199">
        <f t="shared" si="3"/>
        <v>3</v>
      </c>
      <c r="F199" s="86"/>
      <c r="G199" s="87"/>
      <c r="H199" s="38"/>
    </row>
    <row r="200" spans="1:10" ht="15.75" hidden="1" customHeight="1" x14ac:dyDescent="0.25">
      <c r="A200" s="117" t="s">
        <v>612</v>
      </c>
      <c r="B200" s="187">
        <v>4</v>
      </c>
      <c r="C200" s="189">
        <v>0</v>
      </c>
      <c r="D200">
        <f t="shared" si="3"/>
        <v>4</v>
      </c>
      <c r="F200" s="88"/>
      <c r="G200" s="89"/>
      <c r="H200" s="38"/>
    </row>
    <row r="201" spans="1:10" ht="15.75" hidden="1" customHeight="1" x14ac:dyDescent="0.25">
      <c r="A201" s="117" t="s">
        <v>437</v>
      </c>
      <c r="B201" s="187">
        <v>1</v>
      </c>
      <c r="C201" s="189">
        <v>3</v>
      </c>
      <c r="D201">
        <f t="shared" si="3"/>
        <v>-2</v>
      </c>
      <c r="F201" s="86"/>
      <c r="G201" s="87"/>
      <c r="H201" s="38"/>
    </row>
    <row r="202" spans="1:10" ht="15.75" hidden="1" customHeight="1" x14ac:dyDescent="0.25">
      <c r="A202" s="117" t="s">
        <v>208</v>
      </c>
      <c r="B202" s="187">
        <v>12</v>
      </c>
      <c r="C202" s="189">
        <v>16</v>
      </c>
      <c r="D202">
        <f t="shared" si="3"/>
        <v>-4</v>
      </c>
      <c r="F202" s="88"/>
      <c r="G202" s="89"/>
      <c r="H202" s="38"/>
    </row>
    <row r="203" spans="1:10" ht="15.75" hidden="1" customHeight="1" x14ac:dyDescent="0.25">
      <c r="A203" s="117" t="s">
        <v>211</v>
      </c>
      <c r="B203" s="187">
        <v>7</v>
      </c>
      <c r="C203" s="189">
        <v>9</v>
      </c>
      <c r="D203">
        <f t="shared" si="3"/>
        <v>-2</v>
      </c>
      <c r="F203" s="86"/>
      <c r="G203" s="87"/>
      <c r="H203" s="38"/>
    </row>
    <row r="204" spans="1:10" ht="15.75" hidden="1" customHeight="1" x14ac:dyDescent="0.25">
      <c r="A204" s="117" t="s">
        <v>382</v>
      </c>
      <c r="B204" s="187">
        <v>9</v>
      </c>
      <c r="C204" s="189">
        <v>11</v>
      </c>
      <c r="D204">
        <f t="shared" si="3"/>
        <v>-2</v>
      </c>
      <c r="F204" s="88"/>
      <c r="G204" s="89"/>
      <c r="H204" s="38"/>
    </row>
    <row r="205" spans="1:10" ht="15.75" hidden="1" customHeight="1" x14ac:dyDescent="0.25">
      <c r="A205" s="117" t="s">
        <v>646</v>
      </c>
      <c r="B205" s="187">
        <v>2</v>
      </c>
      <c r="C205" s="189">
        <v>0</v>
      </c>
      <c r="D205">
        <f t="shared" si="3"/>
        <v>2</v>
      </c>
      <c r="F205" s="86"/>
      <c r="G205" s="87"/>
      <c r="H205" s="38"/>
    </row>
    <row r="206" spans="1:10" ht="15.75" hidden="1" customHeight="1" x14ac:dyDescent="0.25">
      <c r="A206" s="117" t="s">
        <v>438</v>
      </c>
      <c r="B206" s="187">
        <v>26</v>
      </c>
      <c r="C206" s="189">
        <v>12</v>
      </c>
      <c r="D206">
        <f t="shared" si="3"/>
        <v>14</v>
      </c>
      <c r="F206" s="88"/>
      <c r="G206" s="89"/>
      <c r="H206" s="38"/>
    </row>
    <row r="207" spans="1:10" ht="15.75" hidden="1" customHeight="1" x14ac:dyDescent="0.25">
      <c r="A207" s="117" t="s">
        <v>293</v>
      </c>
      <c r="B207" s="187">
        <v>2</v>
      </c>
      <c r="C207" s="189">
        <v>2</v>
      </c>
      <c r="D207">
        <f t="shared" si="3"/>
        <v>0</v>
      </c>
      <c r="F207" s="86"/>
      <c r="G207" s="87"/>
      <c r="H207" s="38"/>
    </row>
    <row r="208" spans="1:10" ht="15.75" hidden="1" customHeight="1" x14ac:dyDescent="0.25">
      <c r="A208" s="117" t="s">
        <v>96</v>
      </c>
      <c r="B208" s="187">
        <v>5</v>
      </c>
      <c r="C208" s="189">
        <v>7</v>
      </c>
      <c r="D208">
        <f t="shared" si="3"/>
        <v>-2</v>
      </c>
      <c r="F208" s="88"/>
      <c r="G208" s="89"/>
      <c r="H208" s="38"/>
    </row>
    <row r="209" spans="1:4" ht="15.75" hidden="1" customHeight="1" x14ac:dyDescent="0.25">
      <c r="A209" s="117" t="s">
        <v>668</v>
      </c>
      <c r="B209" s="187">
        <v>3</v>
      </c>
      <c r="C209" s="189">
        <v>0</v>
      </c>
      <c r="D209">
        <f t="shared" si="3"/>
        <v>3</v>
      </c>
    </row>
    <row r="210" spans="1:4" ht="15.75" hidden="1" customHeight="1" x14ac:dyDescent="0.25">
      <c r="A210" s="117" t="s">
        <v>613</v>
      </c>
      <c r="B210" s="187">
        <v>2</v>
      </c>
      <c r="C210" s="189">
        <v>0</v>
      </c>
      <c r="D210">
        <f t="shared" si="3"/>
        <v>2</v>
      </c>
    </row>
    <row r="211" spans="1:4" ht="15.75" hidden="1" customHeight="1" x14ac:dyDescent="0.25">
      <c r="A211" s="117" t="s">
        <v>676</v>
      </c>
      <c r="B211" s="187">
        <v>1</v>
      </c>
      <c r="C211" s="189">
        <v>0</v>
      </c>
      <c r="D211">
        <f t="shared" si="3"/>
        <v>1</v>
      </c>
    </row>
    <row r="212" spans="1:4" ht="15.75" hidden="1" customHeight="1" x14ac:dyDescent="0.25">
      <c r="A212" s="117" t="s">
        <v>296</v>
      </c>
      <c r="B212" s="187">
        <v>18</v>
      </c>
      <c r="C212" s="189">
        <v>16</v>
      </c>
      <c r="D212">
        <f t="shared" si="3"/>
        <v>2</v>
      </c>
    </row>
    <row r="213" spans="1:4" ht="15.75" hidden="1" customHeight="1" x14ac:dyDescent="0.25">
      <c r="A213" s="117" t="s">
        <v>214</v>
      </c>
      <c r="B213" s="187">
        <v>4</v>
      </c>
      <c r="C213" s="189">
        <v>5</v>
      </c>
      <c r="D213">
        <f t="shared" si="3"/>
        <v>-1</v>
      </c>
    </row>
    <row r="214" spans="1:4" ht="15.75" hidden="1" customHeight="1" x14ac:dyDescent="0.25">
      <c r="A214" s="117" t="s">
        <v>563</v>
      </c>
      <c r="B214" s="187">
        <v>2</v>
      </c>
      <c r="C214" s="189">
        <v>0</v>
      </c>
      <c r="D214">
        <f t="shared" si="3"/>
        <v>2</v>
      </c>
    </row>
    <row r="215" spans="1:4" ht="15.75" hidden="1" customHeight="1" x14ac:dyDescent="0.25">
      <c r="A215" s="117" t="s">
        <v>145</v>
      </c>
      <c r="B215" s="187">
        <v>5</v>
      </c>
      <c r="C215" s="189">
        <v>1</v>
      </c>
      <c r="D215">
        <f t="shared" si="3"/>
        <v>4</v>
      </c>
    </row>
    <row r="216" spans="1:4" ht="15.75" hidden="1" customHeight="1" x14ac:dyDescent="0.25">
      <c r="A216" s="117" t="s">
        <v>975</v>
      </c>
      <c r="B216" s="187">
        <v>0</v>
      </c>
      <c r="C216" s="189">
        <v>1</v>
      </c>
      <c r="D216">
        <f t="shared" si="3"/>
        <v>-1</v>
      </c>
    </row>
    <row r="217" spans="1:4" ht="15.75" hidden="1" customHeight="1" x14ac:dyDescent="0.25">
      <c r="A217" s="117" t="s">
        <v>176</v>
      </c>
      <c r="B217" s="187">
        <v>5</v>
      </c>
      <c r="C217" s="189">
        <v>7</v>
      </c>
      <c r="D217">
        <f t="shared" si="3"/>
        <v>-2</v>
      </c>
    </row>
    <row r="218" spans="1:4" ht="15.75" hidden="1" customHeight="1" x14ac:dyDescent="0.25">
      <c r="A218" s="117" t="s">
        <v>232</v>
      </c>
      <c r="B218" s="187">
        <v>13</v>
      </c>
      <c r="C218" s="189">
        <v>22</v>
      </c>
      <c r="D218">
        <f t="shared" si="3"/>
        <v>-9</v>
      </c>
    </row>
    <row r="219" spans="1:4" ht="15.75" hidden="1" customHeight="1" x14ac:dyDescent="0.25">
      <c r="A219" s="117" t="s">
        <v>452</v>
      </c>
      <c r="B219" s="187">
        <v>1</v>
      </c>
      <c r="C219" s="189">
        <v>2</v>
      </c>
      <c r="D219">
        <f t="shared" si="3"/>
        <v>-1</v>
      </c>
    </row>
    <row r="220" spans="1:4" ht="15.75" hidden="1" customHeight="1" x14ac:dyDescent="0.25">
      <c r="A220" s="117" t="s">
        <v>265</v>
      </c>
      <c r="B220" s="187">
        <v>2</v>
      </c>
      <c r="C220" s="189">
        <v>6</v>
      </c>
      <c r="D220">
        <f t="shared" si="3"/>
        <v>-4</v>
      </c>
    </row>
    <row r="221" spans="1:4" ht="15.75" hidden="1" customHeight="1" x14ac:dyDescent="0.25">
      <c r="A221" s="117" t="s">
        <v>558</v>
      </c>
      <c r="B221" s="187">
        <v>2</v>
      </c>
      <c r="C221" s="189">
        <v>3</v>
      </c>
      <c r="D221">
        <f t="shared" si="3"/>
        <v>-1</v>
      </c>
    </row>
    <row r="222" spans="1:4" ht="15.75" hidden="1" customHeight="1" x14ac:dyDescent="0.25">
      <c r="A222" s="117" t="s">
        <v>564</v>
      </c>
      <c r="B222" s="187">
        <v>4</v>
      </c>
      <c r="C222" s="189">
        <v>3</v>
      </c>
      <c r="D222">
        <f t="shared" si="3"/>
        <v>1</v>
      </c>
    </row>
    <row r="223" spans="1:4" ht="15.75" hidden="1" customHeight="1" x14ac:dyDescent="0.25">
      <c r="A223" s="117" t="s">
        <v>2051</v>
      </c>
      <c r="B223" s="187">
        <v>0</v>
      </c>
      <c r="C223" s="189">
        <v>1</v>
      </c>
      <c r="D223">
        <f t="shared" si="3"/>
        <v>-1</v>
      </c>
    </row>
    <row r="224" spans="1:4" ht="15.75" hidden="1" customHeight="1" x14ac:dyDescent="0.25">
      <c r="A224" s="117" t="s">
        <v>620</v>
      </c>
      <c r="B224" s="187">
        <v>5</v>
      </c>
      <c r="C224" s="189">
        <v>1</v>
      </c>
      <c r="D224">
        <f t="shared" si="3"/>
        <v>4</v>
      </c>
    </row>
    <row r="225" spans="1:4" ht="15.75" hidden="1" customHeight="1" x14ac:dyDescent="0.25">
      <c r="A225" s="117" t="s">
        <v>239</v>
      </c>
      <c r="B225" s="187">
        <v>3</v>
      </c>
      <c r="C225" s="189">
        <v>0</v>
      </c>
      <c r="D225">
        <f t="shared" si="3"/>
        <v>3</v>
      </c>
    </row>
    <row r="226" spans="1:4" ht="15.75" hidden="1" customHeight="1" x14ac:dyDescent="0.25">
      <c r="A226" s="117" t="s">
        <v>241</v>
      </c>
      <c r="B226" s="187">
        <v>8</v>
      </c>
      <c r="C226" s="189">
        <v>4</v>
      </c>
      <c r="D226">
        <f t="shared" si="3"/>
        <v>4</v>
      </c>
    </row>
    <row r="227" spans="1:4" ht="15.75" hidden="1" customHeight="1" x14ac:dyDescent="0.25">
      <c r="A227" s="117" t="s">
        <v>117</v>
      </c>
      <c r="B227" s="187">
        <v>13</v>
      </c>
      <c r="C227" s="189">
        <v>19</v>
      </c>
      <c r="D227">
        <f t="shared" si="3"/>
        <v>-6</v>
      </c>
    </row>
    <row r="228" spans="1:4" ht="15.75" hidden="1" customHeight="1" x14ac:dyDescent="0.25">
      <c r="A228" s="117" t="s">
        <v>217</v>
      </c>
      <c r="B228" s="187">
        <v>1</v>
      </c>
      <c r="C228" s="189">
        <v>1</v>
      </c>
      <c r="D228">
        <f t="shared" si="3"/>
        <v>0</v>
      </c>
    </row>
    <row r="229" spans="1:4" ht="15.75" hidden="1" customHeight="1" x14ac:dyDescent="0.25">
      <c r="A229" s="117" t="s">
        <v>343</v>
      </c>
      <c r="B229" s="187">
        <v>2</v>
      </c>
      <c r="C229" s="189">
        <v>1</v>
      </c>
      <c r="D229">
        <f t="shared" si="3"/>
        <v>1</v>
      </c>
    </row>
    <row r="230" spans="1:4" ht="15.75" hidden="1" customHeight="1" x14ac:dyDescent="0.25">
      <c r="A230" s="117" t="s">
        <v>677</v>
      </c>
      <c r="B230" s="187">
        <v>1</v>
      </c>
      <c r="C230" s="189">
        <v>0</v>
      </c>
      <c r="D230">
        <f t="shared" si="3"/>
        <v>1</v>
      </c>
    </row>
    <row r="231" spans="1:4" ht="15.75" hidden="1" customHeight="1" x14ac:dyDescent="0.25">
      <c r="A231" s="117" t="s">
        <v>443</v>
      </c>
      <c r="B231" s="187">
        <v>3</v>
      </c>
      <c r="C231" s="189">
        <v>6</v>
      </c>
      <c r="D231">
        <f t="shared" si="3"/>
        <v>-3</v>
      </c>
    </row>
    <row r="232" spans="1:4" ht="15.75" hidden="1" customHeight="1" x14ac:dyDescent="0.25">
      <c r="A232" s="117" t="s">
        <v>1027</v>
      </c>
      <c r="B232" s="187">
        <v>3</v>
      </c>
      <c r="C232" s="189">
        <v>0</v>
      </c>
      <c r="D232">
        <f t="shared" si="3"/>
        <v>3</v>
      </c>
    </row>
    <row r="233" spans="1:4" ht="15.75" hidden="1" customHeight="1" x14ac:dyDescent="0.25">
      <c r="A233" s="117" t="s">
        <v>621</v>
      </c>
      <c r="B233" s="187">
        <v>4</v>
      </c>
      <c r="C233" s="189">
        <v>0</v>
      </c>
      <c r="D233">
        <f t="shared" si="3"/>
        <v>4</v>
      </c>
    </row>
    <row r="234" spans="1:4" ht="15.75" hidden="1" customHeight="1" x14ac:dyDescent="0.25">
      <c r="A234" s="117" t="s">
        <v>405</v>
      </c>
      <c r="B234" s="187">
        <v>13</v>
      </c>
      <c r="C234" s="189">
        <v>11</v>
      </c>
      <c r="D234">
        <f t="shared" si="3"/>
        <v>2</v>
      </c>
    </row>
    <row r="235" spans="1:4" ht="15.75" hidden="1" customHeight="1" x14ac:dyDescent="0.25">
      <c r="A235" s="117" t="s">
        <v>111</v>
      </c>
      <c r="B235" s="187">
        <v>14</v>
      </c>
      <c r="C235" s="189">
        <v>11</v>
      </c>
      <c r="D235">
        <f t="shared" si="3"/>
        <v>3</v>
      </c>
    </row>
    <row r="236" spans="1:4" ht="15.75" hidden="1" customHeight="1" x14ac:dyDescent="0.25">
      <c r="A236" s="117" t="s">
        <v>298</v>
      </c>
      <c r="B236" s="187">
        <v>5</v>
      </c>
      <c r="C236" s="189">
        <v>4</v>
      </c>
      <c r="D236">
        <f t="shared" si="3"/>
        <v>1</v>
      </c>
    </row>
    <row r="237" spans="1:4" ht="15.75" hidden="1" customHeight="1" x14ac:dyDescent="0.25">
      <c r="A237" s="117" t="s">
        <v>104</v>
      </c>
      <c r="B237" s="187">
        <v>19</v>
      </c>
      <c r="C237" s="189">
        <v>12</v>
      </c>
      <c r="D237">
        <f t="shared" si="3"/>
        <v>7</v>
      </c>
    </row>
    <row r="238" spans="1:4" ht="15.75" hidden="1" customHeight="1" x14ac:dyDescent="0.25">
      <c r="A238" s="117" t="s">
        <v>417</v>
      </c>
      <c r="B238" s="187">
        <v>5</v>
      </c>
      <c r="C238" s="189">
        <v>1</v>
      </c>
      <c r="D238">
        <f t="shared" si="3"/>
        <v>4</v>
      </c>
    </row>
    <row r="239" spans="1:4" ht="15.75" hidden="1" customHeight="1" x14ac:dyDescent="0.25">
      <c r="A239" s="117" t="s">
        <v>153</v>
      </c>
      <c r="B239" s="187">
        <v>10</v>
      </c>
      <c r="C239" s="189">
        <v>13</v>
      </c>
      <c r="D239">
        <f t="shared" si="3"/>
        <v>-3</v>
      </c>
    </row>
    <row r="240" spans="1:4" ht="15.75" hidden="1" customHeight="1" x14ac:dyDescent="0.25">
      <c r="A240" s="117" t="s">
        <v>733</v>
      </c>
      <c r="B240" s="187">
        <v>1</v>
      </c>
      <c r="C240" s="189">
        <v>0</v>
      </c>
      <c r="D240">
        <f t="shared" si="3"/>
        <v>1</v>
      </c>
    </row>
    <row r="241" spans="1:4" ht="15.75" hidden="1" customHeight="1" x14ac:dyDescent="0.25">
      <c r="A241" s="117" t="s">
        <v>391</v>
      </c>
      <c r="B241" s="187">
        <v>3</v>
      </c>
      <c r="C241" s="189">
        <v>0</v>
      </c>
      <c r="D241">
        <f t="shared" si="3"/>
        <v>3</v>
      </c>
    </row>
    <row r="242" spans="1:4" ht="15.75" hidden="1" customHeight="1" x14ac:dyDescent="0.25">
      <c r="A242" s="117" t="s">
        <v>510</v>
      </c>
      <c r="B242" s="187">
        <v>2</v>
      </c>
      <c r="C242" s="189">
        <v>0</v>
      </c>
      <c r="D242">
        <f t="shared" si="3"/>
        <v>2</v>
      </c>
    </row>
    <row r="243" spans="1:4" ht="15.75" hidden="1" customHeight="1" x14ac:dyDescent="0.25">
      <c r="A243" s="117" t="s">
        <v>419</v>
      </c>
      <c r="B243" s="187">
        <v>5</v>
      </c>
      <c r="C243" s="189">
        <v>0</v>
      </c>
      <c r="D243">
        <f t="shared" si="3"/>
        <v>5</v>
      </c>
    </row>
    <row r="244" spans="1:4" ht="15.75" hidden="1" customHeight="1" x14ac:dyDescent="0.25">
      <c r="A244" s="117" t="s">
        <v>407</v>
      </c>
      <c r="B244" s="187">
        <v>8</v>
      </c>
      <c r="C244" s="189">
        <v>17</v>
      </c>
      <c r="D244">
        <f t="shared" si="3"/>
        <v>-9</v>
      </c>
    </row>
    <row r="245" spans="1:4" ht="15.75" hidden="1" customHeight="1" x14ac:dyDescent="0.25">
      <c r="A245" s="117" t="s">
        <v>53</v>
      </c>
      <c r="B245" s="187">
        <v>18</v>
      </c>
      <c r="C245" s="189">
        <v>12</v>
      </c>
      <c r="D245">
        <f t="shared" si="3"/>
        <v>6</v>
      </c>
    </row>
    <row r="246" spans="1:4" ht="15.75" hidden="1" customHeight="1" x14ac:dyDescent="0.25">
      <c r="A246" s="117" t="s">
        <v>59</v>
      </c>
      <c r="B246" s="187">
        <v>18</v>
      </c>
      <c r="C246" s="189">
        <v>16</v>
      </c>
      <c r="D246">
        <f t="shared" si="3"/>
        <v>2</v>
      </c>
    </row>
    <row r="247" spans="1:4" ht="15.75" hidden="1" customHeight="1" x14ac:dyDescent="0.25">
      <c r="A247" s="117" t="s">
        <v>421</v>
      </c>
      <c r="B247" s="187">
        <v>8</v>
      </c>
      <c r="C247" s="189">
        <v>6</v>
      </c>
      <c r="D247">
        <f t="shared" si="3"/>
        <v>2</v>
      </c>
    </row>
    <row r="248" spans="1:4" ht="15.75" hidden="1" customHeight="1" x14ac:dyDescent="0.25">
      <c r="A248" s="117" t="s">
        <v>469</v>
      </c>
      <c r="B248" s="187">
        <v>6</v>
      </c>
      <c r="C248" s="189">
        <v>4</v>
      </c>
      <c r="D248">
        <f t="shared" ref="D248:D311" si="4">B248-C248</f>
        <v>2</v>
      </c>
    </row>
    <row r="249" spans="1:4" ht="15.75" hidden="1" customHeight="1" x14ac:dyDescent="0.25">
      <c r="A249" s="117" t="s">
        <v>107</v>
      </c>
      <c r="B249" s="187">
        <v>25</v>
      </c>
      <c r="C249" s="189">
        <v>12</v>
      </c>
      <c r="D249">
        <f t="shared" si="4"/>
        <v>13</v>
      </c>
    </row>
    <row r="250" spans="1:4" ht="15.75" hidden="1" customHeight="1" x14ac:dyDescent="0.25">
      <c r="A250" s="117" t="s">
        <v>747</v>
      </c>
      <c r="B250" s="187">
        <v>2</v>
      </c>
      <c r="C250" s="189">
        <v>0</v>
      </c>
      <c r="D250">
        <f t="shared" si="4"/>
        <v>2</v>
      </c>
    </row>
    <row r="251" spans="1:4" ht="15.75" hidden="1" customHeight="1" x14ac:dyDescent="0.25">
      <c r="A251" s="117" t="s">
        <v>781</v>
      </c>
      <c r="B251" s="187">
        <v>2</v>
      </c>
      <c r="C251" s="189">
        <v>0</v>
      </c>
      <c r="D251">
        <f t="shared" si="4"/>
        <v>2</v>
      </c>
    </row>
    <row r="252" spans="1:4" ht="15.75" hidden="1" customHeight="1" x14ac:dyDescent="0.25">
      <c r="A252" s="117" t="s">
        <v>409</v>
      </c>
      <c r="B252" s="187">
        <v>15</v>
      </c>
      <c r="C252" s="189">
        <v>9</v>
      </c>
      <c r="D252">
        <f t="shared" si="4"/>
        <v>6</v>
      </c>
    </row>
    <row r="253" spans="1:4" ht="15.75" hidden="1" customHeight="1" x14ac:dyDescent="0.25">
      <c r="A253" s="117" t="s">
        <v>473</v>
      </c>
      <c r="B253" s="187">
        <v>4</v>
      </c>
      <c r="C253" s="189">
        <v>5</v>
      </c>
      <c r="D253">
        <f t="shared" si="4"/>
        <v>-1</v>
      </c>
    </row>
    <row r="254" spans="1:4" ht="15.75" hidden="1" customHeight="1" x14ac:dyDescent="0.25">
      <c r="A254" s="117" t="s">
        <v>159</v>
      </c>
      <c r="B254" s="187">
        <v>10</v>
      </c>
      <c r="C254" s="189">
        <v>14</v>
      </c>
      <c r="D254">
        <f t="shared" si="4"/>
        <v>-4</v>
      </c>
    </row>
    <row r="255" spans="1:4" ht="15.75" hidden="1" customHeight="1" x14ac:dyDescent="0.25">
      <c r="A255" s="117" t="s">
        <v>222</v>
      </c>
      <c r="B255" s="187">
        <v>6</v>
      </c>
      <c r="C255" s="189">
        <v>7</v>
      </c>
      <c r="D255">
        <f t="shared" si="4"/>
        <v>-1</v>
      </c>
    </row>
    <row r="256" spans="1:4" ht="15.75" hidden="1" customHeight="1" x14ac:dyDescent="0.25">
      <c r="A256" s="117" t="s">
        <v>345</v>
      </c>
      <c r="B256" s="187">
        <v>3</v>
      </c>
      <c r="C256" s="189">
        <v>1</v>
      </c>
      <c r="D256">
        <f t="shared" si="4"/>
        <v>2</v>
      </c>
    </row>
    <row r="257" spans="1:4" ht="15.75" hidden="1" customHeight="1" x14ac:dyDescent="0.25">
      <c r="A257" s="117" t="s">
        <v>161</v>
      </c>
      <c r="B257" s="187">
        <v>13</v>
      </c>
      <c r="C257" s="189">
        <v>5</v>
      </c>
      <c r="D257">
        <f t="shared" si="4"/>
        <v>8</v>
      </c>
    </row>
    <row r="258" spans="1:4" ht="15.75" hidden="1" customHeight="1" x14ac:dyDescent="0.25">
      <c r="A258" s="117" t="s">
        <v>242</v>
      </c>
      <c r="B258" s="187">
        <v>17</v>
      </c>
      <c r="C258" s="189">
        <v>17</v>
      </c>
      <c r="D258">
        <f t="shared" si="4"/>
        <v>0</v>
      </c>
    </row>
    <row r="259" spans="1:4" ht="15.75" hidden="1" customHeight="1" x14ac:dyDescent="0.25">
      <c r="A259" s="117" t="s">
        <v>1013</v>
      </c>
      <c r="B259" s="187">
        <v>2</v>
      </c>
      <c r="C259" s="189">
        <v>1</v>
      </c>
      <c r="D259">
        <f t="shared" si="4"/>
        <v>1</v>
      </c>
    </row>
    <row r="260" spans="1:4" ht="15.75" hidden="1" customHeight="1" x14ac:dyDescent="0.25">
      <c r="A260" s="117" t="s">
        <v>513</v>
      </c>
      <c r="B260" s="187">
        <v>3</v>
      </c>
      <c r="C260" s="189">
        <v>3</v>
      </c>
      <c r="D260">
        <f t="shared" si="4"/>
        <v>0</v>
      </c>
    </row>
    <row r="261" spans="1:4" ht="15.75" hidden="1" customHeight="1" x14ac:dyDescent="0.25">
      <c r="A261" s="117" t="s">
        <v>550</v>
      </c>
      <c r="B261" s="187">
        <v>1</v>
      </c>
      <c r="C261" s="189">
        <v>1</v>
      </c>
      <c r="D261">
        <f t="shared" si="4"/>
        <v>0</v>
      </c>
    </row>
    <row r="262" spans="1:4" ht="15.75" hidden="1" customHeight="1" x14ac:dyDescent="0.25">
      <c r="A262" s="117" t="s">
        <v>552</v>
      </c>
      <c r="B262" s="187">
        <v>3</v>
      </c>
      <c r="C262" s="189">
        <v>0</v>
      </c>
      <c r="D262">
        <f t="shared" si="4"/>
        <v>3</v>
      </c>
    </row>
    <row r="263" spans="1:4" ht="15.75" hidden="1" customHeight="1" x14ac:dyDescent="0.25">
      <c r="A263" s="117" t="s">
        <v>517</v>
      </c>
      <c r="B263" s="187">
        <v>1</v>
      </c>
      <c r="C263" s="189">
        <v>1</v>
      </c>
      <c r="D263">
        <f t="shared" si="4"/>
        <v>0</v>
      </c>
    </row>
    <row r="264" spans="1:4" ht="15.75" hidden="1" customHeight="1" x14ac:dyDescent="0.25">
      <c r="A264" s="117" t="s">
        <v>458</v>
      </c>
      <c r="B264" s="187">
        <v>5</v>
      </c>
      <c r="C264" s="189">
        <v>2</v>
      </c>
      <c r="D264">
        <f t="shared" si="4"/>
        <v>3</v>
      </c>
    </row>
    <row r="265" spans="1:4" ht="15.75" hidden="1" customHeight="1" x14ac:dyDescent="0.25">
      <c r="A265" s="117" t="s">
        <v>752</v>
      </c>
      <c r="B265" s="187">
        <v>0</v>
      </c>
      <c r="C265" s="189">
        <v>1</v>
      </c>
      <c r="D265">
        <f t="shared" si="4"/>
        <v>-1</v>
      </c>
    </row>
    <row r="266" spans="1:4" ht="15.75" hidden="1" customHeight="1" x14ac:dyDescent="0.25">
      <c r="A266" s="117" t="s">
        <v>762</v>
      </c>
      <c r="B266" s="187">
        <v>3</v>
      </c>
      <c r="C266" s="189">
        <v>0</v>
      </c>
      <c r="D266">
        <f t="shared" si="4"/>
        <v>3</v>
      </c>
    </row>
    <row r="267" spans="1:4" ht="15.75" hidden="1" customHeight="1" x14ac:dyDescent="0.25">
      <c r="A267" s="117" t="s">
        <v>67</v>
      </c>
      <c r="B267" s="187">
        <v>15</v>
      </c>
      <c r="C267" s="189">
        <v>12</v>
      </c>
      <c r="D267">
        <f t="shared" si="4"/>
        <v>3</v>
      </c>
    </row>
    <row r="268" spans="1:4" ht="15.75" hidden="1" customHeight="1" x14ac:dyDescent="0.25">
      <c r="A268" s="117" t="s">
        <v>791</v>
      </c>
      <c r="B268" s="187">
        <v>3</v>
      </c>
      <c r="C268" s="189">
        <v>2</v>
      </c>
      <c r="D268">
        <f t="shared" si="4"/>
        <v>1</v>
      </c>
    </row>
    <row r="269" spans="1:4" ht="15.75" hidden="1" customHeight="1" x14ac:dyDescent="0.25">
      <c r="A269" s="117" t="s">
        <v>592</v>
      </c>
      <c r="B269" s="187">
        <v>3</v>
      </c>
      <c r="C269" s="189">
        <v>0</v>
      </c>
      <c r="D269">
        <f t="shared" si="4"/>
        <v>3</v>
      </c>
    </row>
    <row r="270" spans="1:4" ht="15.75" hidden="1" customHeight="1" x14ac:dyDescent="0.25">
      <c r="A270" s="117" t="s">
        <v>789</v>
      </c>
      <c r="B270" s="187">
        <v>1</v>
      </c>
      <c r="C270" s="189">
        <v>1</v>
      </c>
      <c r="D270">
        <f t="shared" si="4"/>
        <v>0</v>
      </c>
    </row>
    <row r="271" spans="1:4" ht="15.75" hidden="1" customHeight="1" x14ac:dyDescent="0.25">
      <c r="A271" s="117" t="s">
        <v>1167</v>
      </c>
      <c r="B271" s="187">
        <v>1</v>
      </c>
      <c r="C271" s="189">
        <v>0</v>
      </c>
      <c r="D271">
        <f t="shared" si="4"/>
        <v>1</v>
      </c>
    </row>
    <row r="272" spans="1:4" ht="15.75" hidden="1" customHeight="1" x14ac:dyDescent="0.25">
      <c r="A272" s="117" t="s">
        <v>377</v>
      </c>
      <c r="B272" s="187">
        <v>1</v>
      </c>
      <c r="C272" s="189">
        <v>13</v>
      </c>
      <c r="D272">
        <f t="shared" si="4"/>
        <v>-12</v>
      </c>
    </row>
    <row r="273" spans="1:4" ht="15.75" hidden="1" customHeight="1" x14ac:dyDescent="0.25">
      <c r="A273" s="117" t="s">
        <v>616</v>
      </c>
      <c r="B273" s="187">
        <v>2</v>
      </c>
      <c r="C273" s="189">
        <v>0</v>
      </c>
      <c r="D273">
        <f t="shared" si="4"/>
        <v>2</v>
      </c>
    </row>
    <row r="274" spans="1:4" ht="15.75" hidden="1" customHeight="1" x14ac:dyDescent="0.25">
      <c r="A274" s="117" t="s">
        <v>244</v>
      </c>
      <c r="B274" s="187">
        <v>14</v>
      </c>
      <c r="C274" s="189">
        <v>8</v>
      </c>
      <c r="D274">
        <f t="shared" si="4"/>
        <v>6</v>
      </c>
    </row>
    <row r="275" spans="1:4" ht="15.75" hidden="1" customHeight="1" x14ac:dyDescent="0.25">
      <c r="A275" s="117" t="s">
        <v>969</v>
      </c>
      <c r="B275" s="187">
        <v>1</v>
      </c>
      <c r="C275" s="189">
        <v>0</v>
      </c>
      <c r="D275">
        <f t="shared" si="4"/>
        <v>1</v>
      </c>
    </row>
    <row r="276" spans="1:4" ht="15.75" hidden="1" customHeight="1" x14ac:dyDescent="0.25">
      <c r="A276" s="117" t="s">
        <v>142</v>
      </c>
      <c r="B276" s="187">
        <v>3</v>
      </c>
      <c r="C276" s="189">
        <v>4</v>
      </c>
      <c r="D276">
        <f t="shared" si="4"/>
        <v>-1</v>
      </c>
    </row>
    <row r="277" spans="1:4" ht="15.75" hidden="1" customHeight="1" x14ac:dyDescent="0.25">
      <c r="A277" s="117" t="s">
        <v>411</v>
      </c>
      <c r="B277" s="187">
        <v>9</v>
      </c>
      <c r="C277" s="189">
        <v>5</v>
      </c>
      <c r="D277">
        <f t="shared" si="4"/>
        <v>4</v>
      </c>
    </row>
    <row r="278" spans="1:4" ht="15.75" hidden="1" customHeight="1" x14ac:dyDescent="0.25">
      <c r="A278" s="117" t="s">
        <v>37</v>
      </c>
      <c r="B278" s="187">
        <v>19</v>
      </c>
      <c r="C278" s="189">
        <v>12</v>
      </c>
      <c r="D278">
        <f t="shared" si="4"/>
        <v>7</v>
      </c>
    </row>
    <row r="279" spans="1:4" ht="15.75" hidden="1" customHeight="1" x14ac:dyDescent="0.25">
      <c r="A279" s="117" t="s">
        <v>329</v>
      </c>
      <c r="B279" s="187">
        <v>7</v>
      </c>
      <c r="C279" s="189">
        <v>6</v>
      </c>
      <c r="D279">
        <f t="shared" si="4"/>
        <v>1</v>
      </c>
    </row>
    <row r="280" spans="1:4" ht="15.75" hidden="1" customHeight="1" x14ac:dyDescent="0.25">
      <c r="A280" s="117" t="s">
        <v>95</v>
      </c>
      <c r="B280" s="187">
        <v>2</v>
      </c>
      <c r="C280" s="189">
        <v>0</v>
      </c>
      <c r="D280">
        <f t="shared" si="4"/>
        <v>2</v>
      </c>
    </row>
    <row r="281" spans="1:4" ht="15.75" hidden="1" customHeight="1" x14ac:dyDescent="0.25">
      <c r="A281" s="117" t="s">
        <v>163</v>
      </c>
      <c r="B281" s="187">
        <v>12</v>
      </c>
      <c r="C281" s="189">
        <v>4</v>
      </c>
      <c r="D281">
        <f t="shared" si="4"/>
        <v>8</v>
      </c>
    </row>
    <row r="282" spans="1:4" ht="15.75" hidden="1" customHeight="1" x14ac:dyDescent="0.25">
      <c r="A282" s="117" t="s">
        <v>559</v>
      </c>
      <c r="B282" s="187">
        <v>3</v>
      </c>
      <c r="C282" s="189">
        <v>2</v>
      </c>
      <c r="D282">
        <f t="shared" si="4"/>
        <v>1</v>
      </c>
    </row>
    <row r="283" spans="1:4" ht="15.75" hidden="1" customHeight="1" x14ac:dyDescent="0.25">
      <c r="A283" s="117" t="s">
        <v>75</v>
      </c>
      <c r="B283" s="187">
        <v>22</v>
      </c>
      <c r="C283" s="189">
        <v>15</v>
      </c>
      <c r="D283">
        <f t="shared" si="4"/>
        <v>7</v>
      </c>
    </row>
    <row r="284" spans="1:4" ht="15.75" hidden="1" customHeight="1" x14ac:dyDescent="0.25">
      <c r="A284" s="117" t="s">
        <v>487</v>
      </c>
      <c r="B284" s="187">
        <v>1</v>
      </c>
      <c r="C284" s="189">
        <v>0</v>
      </c>
      <c r="D284">
        <f t="shared" si="4"/>
        <v>1</v>
      </c>
    </row>
    <row r="285" spans="1:4" ht="15.75" hidden="1" customHeight="1" x14ac:dyDescent="0.25">
      <c r="A285" s="117" t="s">
        <v>178</v>
      </c>
      <c r="B285" s="187">
        <v>6</v>
      </c>
      <c r="C285" s="189">
        <v>0</v>
      </c>
      <c r="D285">
        <f t="shared" si="4"/>
        <v>6</v>
      </c>
    </row>
    <row r="286" spans="1:4" ht="15.75" hidden="1" customHeight="1" x14ac:dyDescent="0.25">
      <c r="A286" s="117" t="s">
        <v>63</v>
      </c>
      <c r="B286" s="187">
        <v>15</v>
      </c>
      <c r="C286" s="189">
        <v>9</v>
      </c>
      <c r="D286">
        <f t="shared" si="4"/>
        <v>6</v>
      </c>
    </row>
    <row r="287" spans="1:4" ht="15.75" hidden="1" customHeight="1" x14ac:dyDescent="0.25">
      <c r="A287" s="117" t="s">
        <v>180</v>
      </c>
      <c r="B287" s="187">
        <v>2</v>
      </c>
      <c r="C287" s="189">
        <v>7</v>
      </c>
      <c r="D287">
        <f t="shared" si="4"/>
        <v>-5</v>
      </c>
    </row>
    <row r="288" spans="1:4" ht="15.75" hidden="1" customHeight="1" x14ac:dyDescent="0.25">
      <c r="A288" s="117" t="s">
        <v>784</v>
      </c>
      <c r="B288" s="187">
        <v>2</v>
      </c>
      <c r="C288" s="189">
        <v>2</v>
      </c>
      <c r="D288">
        <f t="shared" si="4"/>
        <v>0</v>
      </c>
    </row>
    <row r="289" spans="1:4" ht="15.75" hidden="1" customHeight="1" x14ac:dyDescent="0.25">
      <c r="A289" s="117" t="s">
        <v>42</v>
      </c>
      <c r="B289" s="187">
        <v>55</v>
      </c>
      <c r="C289" s="189">
        <v>20</v>
      </c>
      <c r="D289">
        <f t="shared" si="4"/>
        <v>35</v>
      </c>
    </row>
    <row r="290" spans="1:4" ht="15.75" hidden="1" customHeight="1" x14ac:dyDescent="0.25">
      <c r="A290" s="117" t="s">
        <v>600</v>
      </c>
      <c r="B290" s="187">
        <v>4</v>
      </c>
      <c r="C290" s="189">
        <v>1</v>
      </c>
      <c r="D290">
        <f t="shared" si="4"/>
        <v>3</v>
      </c>
    </row>
    <row r="291" spans="1:4" ht="15.75" hidden="1" customHeight="1" x14ac:dyDescent="0.25">
      <c r="A291" s="117" t="s">
        <v>248</v>
      </c>
      <c r="B291" s="187">
        <v>7</v>
      </c>
      <c r="C291" s="189">
        <v>3</v>
      </c>
      <c r="D291">
        <f t="shared" si="4"/>
        <v>4</v>
      </c>
    </row>
    <row r="292" spans="1:4" ht="15.75" hidden="1" customHeight="1" x14ac:dyDescent="0.25">
      <c r="A292" s="117" t="s">
        <v>69</v>
      </c>
      <c r="B292" s="187">
        <v>15</v>
      </c>
      <c r="C292" s="189">
        <v>10</v>
      </c>
      <c r="D292">
        <f t="shared" si="4"/>
        <v>5</v>
      </c>
    </row>
    <row r="293" spans="1:4" ht="15.75" hidden="1" customHeight="1" x14ac:dyDescent="0.25">
      <c r="A293" s="117" t="s">
        <v>270</v>
      </c>
      <c r="B293" s="187">
        <v>10</v>
      </c>
      <c r="C293" s="189">
        <v>12</v>
      </c>
      <c r="D293">
        <f t="shared" si="4"/>
        <v>-2</v>
      </c>
    </row>
    <row r="294" spans="1:4" ht="15.75" hidden="1" customHeight="1" x14ac:dyDescent="0.25">
      <c r="A294" s="117" t="s">
        <v>225</v>
      </c>
      <c r="B294" s="187">
        <v>4</v>
      </c>
      <c r="C294" s="189">
        <v>3</v>
      </c>
      <c r="D294">
        <f t="shared" si="4"/>
        <v>1</v>
      </c>
    </row>
    <row r="295" spans="1:4" ht="15.75" hidden="1" customHeight="1" x14ac:dyDescent="0.25">
      <c r="A295" s="117" t="s">
        <v>653</v>
      </c>
      <c r="B295" s="187">
        <v>5</v>
      </c>
      <c r="C295" s="189">
        <v>2</v>
      </c>
      <c r="D295">
        <f t="shared" si="4"/>
        <v>3</v>
      </c>
    </row>
    <row r="296" spans="1:4" ht="15.75" hidden="1" customHeight="1" x14ac:dyDescent="0.25">
      <c r="A296" s="117" t="s">
        <v>168</v>
      </c>
      <c r="B296" s="187">
        <v>17</v>
      </c>
      <c r="C296" s="189">
        <v>15</v>
      </c>
      <c r="D296">
        <f t="shared" si="4"/>
        <v>2</v>
      </c>
    </row>
    <row r="297" spans="1:4" ht="15.75" hidden="1" customHeight="1" x14ac:dyDescent="0.25">
      <c r="A297" s="117" t="s">
        <v>54</v>
      </c>
      <c r="B297" s="187">
        <v>34</v>
      </c>
      <c r="C297" s="189">
        <v>42</v>
      </c>
      <c r="D297">
        <f t="shared" si="4"/>
        <v>-8</v>
      </c>
    </row>
    <row r="298" spans="1:4" ht="15.75" hidden="1" customHeight="1" x14ac:dyDescent="0.25">
      <c r="A298" s="117" t="s">
        <v>634</v>
      </c>
      <c r="B298" s="187">
        <v>2</v>
      </c>
      <c r="C298" s="189">
        <v>1</v>
      </c>
      <c r="D298">
        <f t="shared" si="4"/>
        <v>1</v>
      </c>
    </row>
    <row r="299" spans="1:4" ht="15.75" hidden="1" customHeight="1" x14ac:dyDescent="0.25">
      <c r="A299" s="117" t="s">
        <v>756</v>
      </c>
      <c r="B299" s="187">
        <v>5</v>
      </c>
      <c r="C299" s="189">
        <v>4</v>
      </c>
      <c r="D299">
        <f t="shared" si="4"/>
        <v>1</v>
      </c>
    </row>
    <row r="300" spans="1:4" ht="15.75" hidden="1" customHeight="1" x14ac:dyDescent="0.25">
      <c r="A300" s="117" t="s">
        <v>836</v>
      </c>
      <c r="B300" s="187">
        <v>1</v>
      </c>
      <c r="C300" s="189">
        <v>0</v>
      </c>
      <c r="D300">
        <f t="shared" si="4"/>
        <v>1</v>
      </c>
    </row>
    <row r="301" spans="1:4" ht="15.75" hidden="1" customHeight="1" x14ac:dyDescent="0.25">
      <c r="A301" s="117" t="s">
        <v>519</v>
      </c>
      <c r="B301" s="187">
        <v>10</v>
      </c>
      <c r="C301" s="189">
        <v>7</v>
      </c>
      <c r="D301">
        <f t="shared" si="4"/>
        <v>3</v>
      </c>
    </row>
    <row r="302" spans="1:4" ht="15.75" hidden="1" customHeight="1" x14ac:dyDescent="0.25">
      <c r="A302" s="117" t="s">
        <v>743</v>
      </c>
      <c r="B302" s="187">
        <v>2</v>
      </c>
      <c r="C302" s="189">
        <v>1</v>
      </c>
      <c r="D302">
        <f t="shared" si="4"/>
        <v>1</v>
      </c>
    </row>
    <row r="303" spans="1:4" ht="15.75" hidden="1" customHeight="1" x14ac:dyDescent="0.25">
      <c r="A303" s="117" t="s">
        <v>429</v>
      </c>
      <c r="B303" s="187">
        <v>2</v>
      </c>
      <c r="C303" s="189">
        <v>0</v>
      </c>
      <c r="D303">
        <f t="shared" si="4"/>
        <v>2</v>
      </c>
    </row>
    <row r="304" spans="1:4" ht="15.75" hidden="1" customHeight="1" x14ac:dyDescent="0.25">
      <c r="A304" s="117" t="s">
        <v>194</v>
      </c>
      <c r="B304" s="187">
        <v>25</v>
      </c>
      <c r="C304" s="189">
        <v>20</v>
      </c>
      <c r="D304">
        <f t="shared" si="4"/>
        <v>5</v>
      </c>
    </row>
    <row r="305" spans="1:4" ht="15.75" hidden="1" customHeight="1" x14ac:dyDescent="0.25">
      <c r="A305" s="117" t="s">
        <v>195</v>
      </c>
      <c r="B305" s="187">
        <v>3</v>
      </c>
      <c r="C305" s="189">
        <v>8</v>
      </c>
      <c r="D305">
        <f t="shared" si="4"/>
        <v>-5</v>
      </c>
    </row>
    <row r="306" spans="1:4" ht="15.75" hidden="1" customHeight="1" x14ac:dyDescent="0.25">
      <c r="A306" s="117" t="s">
        <v>955</v>
      </c>
      <c r="B306" s="187">
        <v>1</v>
      </c>
      <c r="C306" s="189">
        <v>0</v>
      </c>
      <c r="D306">
        <f t="shared" si="4"/>
        <v>1</v>
      </c>
    </row>
    <row r="307" spans="1:4" ht="15.75" hidden="1" customHeight="1" x14ac:dyDescent="0.25">
      <c r="A307" s="117" t="s">
        <v>92</v>
      </c>
      <c r="B307" s="187">
        <v>14</v>
      </c>
      <c r="C307" s="189">
        <v>11</v>
      </c>
      <c r="D307">
        <f t="shared" si="4"/>
        <v>3</v>
      </c>
    </row>
    <row r="308" spans="1:4" ht="15.75" hidden="1" customHeight="1" x14ac:dyDescent="0.25">
      <c r="A308" s="117" t="s">
        <v>130</v>
      </c>
      <c r="B308" s="187">
        <v>27</v>
      </c>
      <c r="C308" s="189">
        <v>14</v>
      </c>
      <c r="D308">
        <f t="shared" si="4"/>
        <v>13</v>
      </c>
    </row>
    <row r="309" spans="1:4" ht="15.75" hidden="1" customHeight="1" x14ac:dyDescent="0.25">
      <c r="A309" s="117" t="s">
        <v>338</v>
      </c>
      <c r="B309" s="187">
        <v>6</v>
      </c>
      <c r="C309" s="189">
        <v>6</v>
      </c>
      <c r="D309">
        <f t="shared" si="4"/>
        <v>0</v>
      </c>
    </row>
    <row r="310" spans="1:4" ht="15.75" hidden="1" customHeight="1" x14ac:dyDescent="0.25">
      <c r="A310" s="117" t="s">
        <v>43</v>
      </c>
      <c r="B310" s="187">
        <v>11</v>
      </c>
      <c r="C310" s="189">
        <v>6</v>
      </c>
      <c r="D310">
        <f t="shared" si="4"/>
        <v>5</v>
      </c>
    </row>
    <row r="311" spans="1:4" ht="15.75" hidden="1" customHeight="1" x14ac:dyDescent="0.25">
      <c r="A311" s="117" t="s">
        <v>369</v>
      </c>
      <c r="B311" s="187">
        <v>9</v>
      </c>
      <c r="C311" s="189">
        <v>3</v>
      </c>
      <c r="D311">
        <f t="shared" si="4"/>
        <v>6</v>
      </c>
    </row>
    <row r="312" spans="1:4" ht="15.75" hidden="1" customHeight="1" x14ac:dyDescent="0.25">
      <c r="A312" s="117" t="s">
        <v>430</v>
      </c>
      <c r="B312" s="187">
        <v>5</v>
      </c>
      <c r="C312" s="189">
        <v>0</v>
      </c>
      <c r="D312">
        <f t="shared" ref="D312:D340" si="5">B312-C312</f>
        <v>5</v>
      </c>
    </row>
    <row r="313" spans="1:4" ht="15.75" hidden="1" customHeight="1" x14ac:dyDescent="0.25">
      <c r="A313" s="117" t="s">
        <v>432</v>
      </c>
      <c r="B313" s="187">
        <v>7</v>
      </c>
      <c r="C313" s="189">
        <v>9</v>
      </c>
      <c r="D313">
        <f t="shared" si="5"/>
        <v>-2</v>
      </c>
    </row>
    <row r="314" spans="1:4" ht="15.75" hidden="1" customHeight="1" x14ac:dyDescent="0.25">
      <c r="A314" s="117" t="s">
        <v>381</v>
      </c>
      <c r="B314" s="187">
        <v>13</v>
      </c>
      <c r="C314" s="189">
        <v>7</v>
      </c>
      <c r="D314">
        <f t="shared" si="5"/>
        <v>6</v>
      </c>
    </row>
    <row r="315" spans="1:4" ht="15.75" hidden="1" customHeight="1" x14ac:dyDescent="0.25">
      <c r="A315" s="117" t="s">
        <v>476</v>
      </c>
      <c r="B315" s="187">
        <v>1</v>
      </c>
      <c r="C315" s="189">
        <v>6</v>
      </c>
      <c r="D315">
        <f t="shared" si="5"/>
        <v>-5</v>
      </c>
    </row>
    <row r="316" spans="1:4" ht="15.75" hidden="1" customHeight="1" x14ac:dyDescent="0.25">
      <c r="A316" s="117" t="s">
        <v>275</v>
      </c>
      <c r="B316" s="187">
        <v>6</v>
      </c>
      <c r="C316" s="189">
        <v>12</v>
      </c>
      <c r="D316">
        <f t="shared" si="5"/>
        <v>-6</v>
      </c>
    </row>
    <row r="317" spans="1:4" ht="15.75" hidden="1" customHeight="1" x14ac:dyDescent="0.25">
      <c r="A317" s="117" t="s">
        <v>93</v>
      </c>
      <c r="B317" s="187">
        <v>10</v>
      </c>
      <c r="C317" s="189">
        <v>15</v>
      </c>
      <c r="D317">
        <f t="shared" si="5"/>
        <v>-5</v>
      </c>
    </row>
    <row r="318" spans="1:4" ht="15.75" hidden="1" customHeight="1" x14ac:dyDescent="0.25">
      <c r="A318" s="117" t="s">
        <v>52</v>
      </c>
      <c r="B318" s="187">
        <v>38</v>
      </c>
      <c r="C318" s="189">
        <v>17</v>
      </c>
      <c r="D318">
        <f t="shared" si="5"/>
        <v>21</v>
      </c>
    </row>
    <row r="319" spans="1:4" ht="15.75" hidden="1" customHeight="1" x14ac:dyDescent="0.25">
      <c r="A319" s="117" t="s">
        <v>450</v>
      </c>
      <c r="B319" s="187">
        <v>4</v>
      </c>
      <c r="C319" s="189">
        <v>1</v>
      </c>
      <c r="D319">
        <f t="shared" si="5"/>
        <v>3</v>
      </c>
    </row>
    <row r="320" spans="1:4" ht="15.75" hidden="1" customHeight="1" x14ac:dyDescent="0.25">
      <c r="A320" s="117" t="s">
        <v>769</v>
      </c>
      <c r="B320" s="187">
        <v>2</v>
      </c>
      <c r="C320" s="189">
        <v>1</v>
      </c>
      <c r="D320">
        <f t="shared" si="5"/>
        <v>1</v>
      </c>
    </row>
    <row r="321" spans="1:4" ht="15.75" hidden="1" customHeight="1" x14ac:dyDescent="0.25">
      <c r="A321" s="117" t="s">
        <v>370</v>
      </c>
      <c r="B321" s="187">
        <v>1</v>
      </c>
      <c r="C321" s="189">
        <v>3</v>
      </c>
      <c r="D321">
        <f t="shared" si="5"/>
        <v>-2</v>
      </c>
    </row>
    <row r="322" spans="1:4" ht="15.75" hidden="1" customHeight="1" x14ac:dyDescent="0.25">
      <c r="A322" s="117" t="s">
        <v>413</v>
      </c>
      <c r="B322" s="187">
        <v>3</v>
      </c>
      <c r="C322" s="189">
        <v>5</v>
      </c>
      <c r="D322">
        <f t="shared" si="5"/>
        <v>-2</v>
      </c>
    </row>
    <row r="323" spans="1:4" ht="15.75" hidden="1" customHeight="1" x14ac:dyDescent="0.25">
      <c r="A323" s="117" t="s">
        <v>186</v>
      </c>
      <c r="B323" s="187">
        <v>9</v>
      </c>
      <c r="C323" s="189">
        <v>10</v>
      </c>
      <c r="D323">
        <f t="shared" si="5"/>
        <v>-1</v>
      </c>
    </row>
    <row r="324" spans="1:4" ht="15.75" hidden="1" customHeight="1" x14ac:dyDescent="0.25">
      <c r="A324" s="117" t="s">
        <v>252</v>
      </c>
      <c r="B324" s="187">
        <v>6</v>
      </c>
      <c r="C324" s="189">
        <v>3</v>
      </c>
      <c r="D324">
        <f t="shared" si="5"/>
        <v>3</v>
      </c>
    </row>
    <row r="325" spans="1:4" ht="15.75" hidden="1" customHeight="1" x14ac:dyDescent="0.25">
      <c r="A325" s="117" t="s">
        <v>451</v>
      </c>
      <c r="B325" s="187">
        <v>2</v>
      </c>
      <c r="C325" s="189">
        <v>5</v>
      </c>
      <c r="D325">
        <f t="shared" si="5"/>
        <v>-3</v>
      </c>
    </row>
    <row r="326" spans="1:4" ht="15.75" hidden="1" customHeight="1" x14ac:dyDescent="0.25">
      <c r="A326" s="117" t="s">
        <v>137</v>
      </c>
      <c r="B326" s="187">
        <v>5</v>
      </c>
      <c r="C326" s="189">
        <v>6</v>
      </c>
      <c r="D326">
        <f t="shared" si="5"/>
        <v>-1</v>
      </c>
    </row>
    <row r="327" spans="1:4" ht="15.75" hidden="1" customHeight="1" x14ac:dyDescent="0.25">
      <c r="A327" s="117" t="s">
        <v>503</v>
      </c>
      <c r="B327" s="187">
        <v>5</v>
      </c>
      <c r="C327" s="189">
        <v>3</v>
      </c>
      <c r="D327">
        <f t="shared" si="5"/>
        <v>2</v>
      </c>
    </row>
    <row r="328" spans="1:4" ht="15.75" hidden="1" customHeight="1" x14ac:dyDescent="0.25">
      <c r="A328" s="117" t="s">
        <v>108</v>
      </c>
      <c r="B328" s="187">
        <v>17</v>
      </c>
      <c r="C328" s="189">
        <v>11</v>
      </c>
      <c r="D328">
        <f t="shared" si="5"/>
        <v>6</v>
      </c>
    </row>
    <row r="329" spans="1:4" ht="15.75" hidden="1" customHeight="1" x14ac:dyDescent="0.25">
      <c r="A329" s="117" t="s">
        <v>1499</v>
      </c>
      <c r="B329" s="187">
        <v>1</v>
      </c>
      <c r="C329" s="189">
        <v>0</v>
      </c>
      <c r="D329">
        <f t="shared" si="5"/>
        <v>1</v>
      </c>
    </row>
    <row r="330" spans="1:4" ht="15.75" hidden="1" customHeight="1" x14ac:dyDescent="0.25">
      <c r="A330" s="117" t="s">
        <v>48</v>
      </c>
      <c r="B330" s="187">
        <v>55</v>
      </c>
      <c r="C330" s="189">
        <v>36</v>
      </c>
      <c r="D330">
        <f t="shared" si="5"/>
        <v>19</v>
      </c>
    </row>
    <row r="331" spans="1:4" ht="15.75" hidden="1" customHeight="1" x14ac:dyDescent="0.25">
      <c r="A331" s="117" t="s">
        <v>505</v>
      </c>
      <c r="B331" s="187">
        <v>5</v>
      </c>
      <c r="C331" s="189">
        <v>6</v>
      </c>
      <c r="D331">
        <f t="shared" si="5"/>
        <v>-1</v>
      </c>
    </row>
    <row r="332" spans="1:4" ht="15.75" hidden="1" customHeight="1" x14ac:dyDescent="0.25">
      <c r="A332" s="117" t="s">
        <v>363</v>
      </c>
      <c r="B332" s="187">
        <v>7</v>
      </c>
      <c r="C332" s="189">
        <v>4</v>
      </c>
      <c r="D332">
        <f t="shared" si="5"/>
        <v>3</v>
      </c>
    </row>
    <row r="333" spans="1:4" ht="15.75" hidden="1" customHeight="1" x14ac:dyDescent="0.25">
      <c r="A333" s="117" t="s">
        <v>588</v>
      </c>
      <c r="B333" s="187">
        <v>1</v>
      </c>
      <c r="C333" s="189">
        <v>1</v>
      </c>
      <c r="D333">
        <f t="shared" si="5"/>
        <v>0</v>
      </c>
    </row>
    <row r="334" spans="1:4" ht="15.75" hidden="1" customHeight="1" x14ac:dyDescent="0.25">
      <c r="A334" s="117" t="s">
        <v>258</v>
      </c>
      <c r="B334" s="187">
        <v>1</v>
      </c>
      <c r="C334" s="189">
        <v>6</v>
      </c>
      <c r="D334">
        <f t="shared" si="5"/>
        <v>-5</v>
      </c>
    </row>
    <row r="335" spans="1:4" ht="15.75" hidden="1" customHeight="1" x14ac:dyDescent="0.25">
      <c r="A335" s="117" t="s">
        <v>114</v>
      </c>
      <c r="B335" s="187">
        <v>33</v>
      </c>
      <c r="C335" s="189">
        <v>22</v>
      </c>
      <c r="D335">
        <f t="shared" si="5"/>
        <v>11</v>
      </c>
    </row>
    <row r="336" spans="1:4" ht="15.75" hidden="1" customHeight="1" x14ac:dyDescent="0.25">
      <c r="A336" s="117" t="s">
        <v>683</v>
      </c>
      <c r="B336" s="187">
        <v>1</v>
      </c>
      <c r="C336" s="189">
        <v>2</v>
      </c>
      <c r="D336">
        <f t="shared" si="5"/>
        <v>-1</v>
      </c>
    </row>
    <row r="337" spans="1:7" ht="15.75" hidden="1" customHeight="1" x14ac:dyDescent="0.25">
      <c r="A337" s="117" t="s">
        <v>280</v>
      </c>
      <c r="B337" s="187">
        <v>9</v>
      </c>
      <c r="C337" s="189">
        <v>7</v>
      </c>
      <c r="D337">
        <f t="shared" si="5"/>
        <v>2</v>
      </c>
      <c r="F337" s="86"/>
      <c r="G337" s="87"/>
    </row>
    <row r="338" spans="1:7" ht="15.75" hidden="1" customHeight="1" x14ac:dyDescent="0.25">
      <c r="A338" s="123" t="s">
        <v>414</v>
      </c>
      <c r="B338" s="190">
        <v>8</v>
      </c>
      <c r="C338" s="192">
        <v>5</v>
      </c>
      <c r="D338">
        <f t="shared" si="5"/>
        <v>3</v>
      </c>
      <c r="F338" s="88"/>
      <c r="G338" s="89"/>
    </row>
    <row r="339" spans="1:7" ht="15.75" hidden="1" customHeight="1" x14ac:dyDescent="0.25">
      <c r="D339">
        <f t="shared" si="5"/>
        <v>0</v>
      </c>
      <c r="F339" s="86"/>
      <c r="G339" s="87"/>
    </row>
    <row r="340" spans="1:7" ht="15.75" hidden="1" customHeight="1" x14ac:dyDescent="0.25">
      <c r="D340">
        <f t="shared" si="5"/>
        <v>0</v>
      </c>
      <c r="F340" s="90"/>
      <c r="G340" s="89"/>
    </row>
    <row r="341" spans="1:7" ht="15.75" customHeight="1" x14ac:dyDescent="0.25">
      <c r="F341" s="6"/>
    </row>
    <row r="342" spans="1:7" ht="15.75" customHeight="1" x14ac:dyDescent="0.25">
      <c r="A342" t="s">
        <v>3206</v>
      </c>
      <c r="F342" s="6"/>
    </row>
    <row r="343" spans="1:7" ht="15.75" customHeight="1" x14ac:dyDescent="0.25">
      <c r="F343" s="44" t="s">
        <v>2807</v>
      </c>
      <c r="G343" s="45" t="s">
        <v>2832</v>
      </c>
    </row>
    <row r="344" spans="1:7" ht="15.75" customHeight="1" x14ac:dyDescent="0.25">
      <c r="F344" s="86" t="str" cm="1">
        <f t="array" ref="F344:F353">_xlfn.TAKE(_xlfn._xlws.SORT(A183:D494, 4, 1),10,1)</f>
        <v>Mexico</v>
      </c>
      <c r="G344" s="87" cm="1">
        <f t="array" ref="G344:G353">_xlfn.TAKE(_xlfn._xlws.SORT(D183:D494, 1, 1),10)</f>
        <v>-12</v>
      </c>
    </row>
    <row r="345" spans="1:7" ht="15.75" customHeight="1" x14ac:dyDescent="0.25">
      <c r="F345" s="46" t="str">
        <v>Argentina</v>
      </c>
      <c r="G345" s="47">
        <v>-11</v>
      </c>
    </row>
    <row r="346" spans="1:7" ht="15.75" customHeight="1" x14ac:dyDescent="0.25">
      <c r="F346" s="42" t="str">
        <v>Cuba</v>
      </c>
      <c r="G346" s="43">
        <v>-9</v>
      </c>
    </row>
    <row r="347" spans="1:7" ht="15.75" customHeight="1" x14ac:dyDescent="0.25">
      <c r="F347" s="46" t="str">
        <v>Hungary</v>
      </c>
      <c r="G347" s="47">
        <v>-9</v>
      </c>
    </row>
    <row r="348" spans="1:7" ht="15.75" customHeight="1" x14ac:dyDescent="0.25">
      <c r="F348" s="42" t="str">
        <v>Russia</v>
      </c>
      <c r="G348" s="43">
        <v>-8</v>
      </c>
    </row>
    <row r="349" spans="1:7" ht="15.75" customHeight="1" x14ac:dyDescent="0.25">
      <c r="F349" s="46" t="str">
        <v>Egypt</v>
      </c>
      <c r="G349" s="47">
        <v>-6</v>
      </c>
    </row>
    <row r="350" spans="1:7" ht="15.75" customHeight="1" x14ac:dyDescent="0.25">
      <c r="F350" s="42" t="str">
        <v>Tajikistan</v>
      </c>
      <c r="G350" s="43">
        <v>-6</v>
      </c>
    </row>
    <row r="351" spans="1:7" ht="15.75" customHeight="1" x14ac:dyDescent="0.25">
      <c r="F351" s="46" t="str">
        <v>Norway</v>
      </c>
      <c r="G351" s="47">
        <v>-5</v>
      </c>
    </row>
    <row r="352" spans="1:7" ht="15.75" customHeight="1" x14ac:dyDescent="0.25">
      <c r="F352" s="42" t="str">
        <v>Slovakia</v>
      </c>
      <c r="G352" s="43">
        <v>-5</v>
      </c>
    </row>
    <row r="353" spans="6:7" ht="15.75" customHeight="1" x14ac:dyDescent="0.25">
      <c r="F353" s="46" t="str">
        <v>Syria</v>
      </c>
      <c r="G353" s="47">
        <v>-5</v>
      </c>
    </row>
    <row r="382" spans="1:2" ht="15.75" hidden="1" customHeight="1" x14ac:dyDescent="0.25">
      <c r="A382" s="39" t="s">
        <v>2874</v>
      </c>
    </row>
    <row r="383" spans="1:2" ht="15.75" hidden="1" customHeight="1" x14ac:dyDescent="0.25"/>
    <row r="384" spans="1:2" hidden="1" x14ac:dyDescent="0.25">
      <c r="A384" s="120" t="s">
        <v>1</v>
      </c>
      <c r="B384" s="119" t="s">
        <v>76</v>
      </c>
    </row>
    <row r="385" spans="1:7" hidden="1" x14ac:dyDescent="0.25">
      <c r="A385" s="120" t="s">
        <v>8</v>
      </c>
      <c r="B385" s="119" t="s">
        <v>2817</v>
      </c>
    </row>
    <row r="386" spans="1:7" hidden="1" x14ac:dyDescent="0.25">
      <c r="A386" s="120" t="s">
        <v>10</v>
      </c>
      <c r="B386" s="119" t="s">
        <v>2827</v>
      </c>
      <c r="C386" s="33"/>
      <c r="D386" s="34"/>
      <c r="E386" s="34"/>
      <c r="G386" s="35"/>
    </row>
    <row r="387" spans="1:7" ht="15.75" hidden="1" customHeight="1" x14ac:dyDescent="0.25">
      <c r="C387" s="36"/>
      <c r="G387" s="37"/>
    </row>
    <row r="388" spans="1:7" ht="15.75" hidden="1" customHeight="1" x14ac:dyDescent="0.25">
      <c r="A388" s="111" t="s">
        <v>2778</v>
      </c>
      <c r="B388" s="111" t="s">
        <v>15</v>
      </c>
      <c r="C388" s="113"/>
      <c r="G388" s="37"/>
    </row>
    <row r="389" spans="1:7" ht="15.75" hidden="1" customHeight="1" x14ac:dyDescent="0.25">
      <c r="A389" s="111" t="s">
        <v>7</v>
      </c>
      <c r="B389" s="114" t="s">
        <v>101</v>
      </c>
      <c r="C389" s="125" t="s">
        <v>83</v>
      </c>
      <c r="F389" s="19" t="s">
        <v>2807</v>
      </c>
      <c r="G389" s="19" t="s">
        <v>2832</v>
      </c>
    </row>
    <row r="390" spans="1:7" ht="15.75" hidden="1" customHeight="1" x14ac:dyDescent="0.25">
      <c r="A390" s="114" t="s">
        <v>604</v>
      </c>
      <c r="B390" s="184">
        <v>12</v>
      </c>
      <c r="C390" s="186">
        <v>2</v>
      </c>
      <c r="F390" s="27" t="str">
        <f t="shared" ref="F390:F555" si="6">A390</f>
        <v>Afghanistan</v>
      </c>
      <c r="G390" s="2">
        <f t="shared" ref="G390:G555" si="7">B390-C390</f>
        <v>10</v>
      </c>
    </row>
    <row r="391" spans="1:7" ht="15.75" hidden="1" customHeight="1" x14ac:dyDescent="0.25">
      <c r="A391" s="117" t="s">
        <v>1859</v>
      </c>
      <c r="B391" s="187">
        <v>1</v>
      </c>
      <c r="C391" s="189"/>
      <c r="F391" s="27" t="str">
        <f t="shared" si="6"/>
        <v>African Union</v>
      </c>
      <c r="G391" s="2">
        <f t="shared" si="7"/>
        <v>1</v>
      </c>
    </row>
    <row r="392" spans="1:7" ht="15.75" hidden="1" customHeight="1" x14ac:dyDescent="0.25">
      <c r="A392" s="117" t="s">
        <v>530</v>
      </c>
      <c r="B392" s="187">
        <v>1</v>
      </c>
      <c r="C392" s="189"/>
      <c r="F392" s="27" t="str">
        <f t="shared" si="6"/>
        <v>Albania</v>
      </c>
      <c r="G392" s="2">
        <f t="shared" si="7"/>
        <v>1</v>
      </c>
    </row>
    <row r="393" spans="1:7" ht="15.75" hidden="1" customHeight="1" x14ac:dyDescent="0.25">
      <c r="A393" s="117" t="s">
        <v>371</v>
      </c>
      <c r="B393" s="187">
        <v>2</v>
      </c>
      <c r="C393" s="189">
        <v>4</v>
      </c>
      <c r="F393" s="27" t="str">
        <f t="shared" si="6"/>
        <v>Algeria</v>
      </c>
      <c r="G393" s="2">
        <f t="shared" si="7"/>
        <v>-2</v>
      </c>
    </row>
    <row r="394" spans="1:7" ht="15.75" hidden="1" customHeight="1" x14ac:dyDescent="0.25">
      <c r="A394" s="117" t="s">
        <v>499</v>
      </c>
      <c r="B394" s="187">
        <v>5</v>
      </c>
      <c r="C394" s="189">
        <v>3</v>
      </c>
      <c r="F394" s="27" t="str">
        <f t="shared" si="6"/>
        <v>Angola</v>
      </c>
      <c r="G394" s="2">
        <f t="shared" si="7"/>
        <v>2</v>
      </c>
    </row>
    <row r="395" spans="1:7" ht="15.75" hidden="1" customHeight="1" x14ac:dyDescent="0.25">
      <c r="A395" s="117" t="s">
        <v>200</v>
      </c>
      <c r="B395" s="187">
        <v>2</v>
      </c>
      <c r="C395" s="189"/>
      <c r="F395" s="27" t="str">
        <f t="shared" si="6"/>
        <v>Antigua and Barbuda</v>
      </c>
      <c r="G395" s="2">
        <f t="shared" si="7"/>
        <v>2</v>
      </c>
    </row>
    <row r="396" spans="1:7" ht="15.75" hidden="1" customHeight="1" x14ac:dyDescent="0.25">
      <c r="A396" s="117" t="s">
        <v>282</v>
      </c>
      <c r="B396" s="187">
        <v>4</v>
      </c>
      <c r="C396" s="189">
        <v>14</v>
      </c>
      <c r="F396" s="27" t="str">
        <f t="shared" si="6"/>
        <v>Argentina</v>
      </c>
      <c r="G396" s="2">
        <f t="shared" si="7"/>
        <v>-10</v>
      </c>
    </row>
    <row r="397" spans="1:7" ht="15.75" hidden="1" customHeight="1" x14ac:dyDescent="0.25">
      <c r="A397" s="117" t="s">
        <v>285</v>
      </c>
      <c r="B397" s="187">
        <v>5</v>
      </c>
      <c r="C397" s="189">
        <v>2</v>
      </c>
      <c r="F397" s="27" t="str">
        <f t="shared" si="6"/>
        <v>Armenia</v>
      </c>
      <c r="G397" s="2">
        <f t="shared" si="7"/>
        <v>3</v>
      </c>
    </row>
    <row r="398" spans="1:7" ht="15.75" hidden="1" customHeight="1" x14ac:dyDescent="0.25">
      <c r="A398" s="117" t="s">
        <v>888</v>
      </c>
      <c r="B398" s="187">
        <v>1</v>
      </c>
      <c r="C398" s="189">
        <v>12</v>
      </c>
      <c r="F398" s="27" t="str">
        <f t="shared" si="6"/>
        <v>ASEAN</v>
      </c>
      <c r="G398" s="2">
        <f t="shared" si="7"/>
        <v>-11</v>
      </c>
    </row>
    <row r="399" spans="1:7" ht="15.75" hidden="1" customHeight="1" x14ac:dyDescent="0.25">
      <c r="A399" s="117" t="s">
        <v>73</v>
      </c>
      <c r="B399" s="187">
        <v>28</v>
      </c>
      <c r="C399" s="189">
        <v>18</v>
      </c>
      <c r="F399" s="27" t="str">
        <f t="shared" si="6"/>
        <v>Australia</v>
      </c>
      <c r="G399" s="2">
        <f t="shared" si="7"/>
        <v>10</v>
      </c>
    </row>
    <row r="400" spans="1:7" ht="15.75" hidden="1" customHeight="1" x14ac:dyDescent="0.25">
      <c r="A400" s="117" t="s">
        <v>506</v>
      </c>
      <c r="B400" s="187">
        <v>7</v>
      </c>
      <c r="C400" s="189">
        <v>2</v>
      </c>
      <c r="F400" s="27" t="str">
        <f t="shared" si="6"/>
        <v>Austria</v>
      </c>
      <c r="G400" s="2">
        <f t="shared" si="7"/>
        <v>5</v>
      </c>
    </row>
    <row r="401" spans="1:7" ht="15.75" hidden="1" customHeight="1" x14ac:dyDescent="0.25">
      <c r="A401" s="117" t="s">
        <v>260</v>
      </c>
      <c r="B401" s="187">
        <v>4</v>
      </c>
      <c r="C401" s="189">
        <v>1</v>
      </c>
      <c r="F401" s="27" t="str">
        <f t="shared" si="6"/>
        <v>Azerbaijan</v>
      </c>
      <c r="G401" s="2">
        <f t="shared" si="7"/>
        <v>3</v>
      </c>
    </row>
    <row r="402" spans="1:7" ht="15.75" hidden="1" customHeight="1" x14ac:dyDescent="0.25">
      <c r="A402" s="117" t="s">
        <v>783</v>
      </c>
      <c r="B402" s="187">
        <v>1</v>
      </c>
      <c r="C402" s="189">
        <v>1</v>
      </c>
      <c r="F402" s="27" t="str">
        <f t="shared" si="6"/>
        <v>Bahrain</v>
      </c>
      <c r="G402" s="2">
        <f t="shared" si="7"/>
        <v>0</v>
      </c>
    </row>
    <row r="403" spans="1:7" ht="15.75" hidden="1" customHeight="1" x14ac:dyDescent="0.25">
      <c r="A403" s="117" t="s">
        <v>32</v>
      </c>
      <c r="B403" s="187">
        <v>18</v>
      </c>
      <c r="C403" s="189">
        <v>7</v>
      </c>
      <c r="F403" s="27" t="str">
        <f t="shared" si="6"/>
        <v>Bangladesh</v>
      </c>
      <c r="G403" s="2">
        <f t="shared" si="7"/>
        <v>11</v>
      </c>
    </row>
    <row r="404" spans="1:7" ht="15.75" hidden="1" customHeight="1" x14ac:dyDescent="0.25">
      <c r="A404" s="117" t="s">
        <v>477</v>
      </c>
      <c r="B404" s="187">
        <v>1</v>
      </c>
      <c r="C404" s="189"/>
      <c r="F404" s="27" t="str">
        <f t="shared" si="6"/>
        <v>Barbados</v>
      </c>
      <c r="G404" s="2">
        <f t="shared" si="7"/>
        <v>1</v>
      </c>
    </row>
    <row r="405" spans="1:7" ht="15.75" hidden="1" customHeight="1" x14ac:dyDescent="0.25">
      <c r="A405" s="117" t="s">
        <v>171</v>
      </c>
      <c r="B405" s="187">
        <v>22</v>
      </c>
      <c r="C405" s="189">
        <v>17</v>
      </c>
      <c r="F405" s="27" t="str">
        <f t="shared" si="6"/>
        <v>Belarus</v>
      </c>
      <c r="G405" s="2">
        <f t="shared" si="7"/>
        <v>5</v>
      </c>
    </row>
    <row r="406" spans="1:7" ht="15.75" hidden="1" customHeight="1" x14ac:dyDescent="0.25">
      <c r="A406" s="117" t="s">
        <v>303</v>
      </c>
      <c r="B406" s="187">
        <v>3</v>
      </c>
      <c r="C406" s="189">
        <v>3</v>
      </c>
      <c r="F406" s="27" t="str">
        <f t="shared" si="6"/>
        <v>Belgium</v>
      </c>
      <c r="G406" s="2">
        <f t="shared" si="7"/>
        <v>0</v>
      </c>
    </row>
    <row r="407" spans="1:7" ht="15.75" hidden="1" customHeight="1" x14ac:dyDescent="0.25">
      <c r="A407" s="117" t="s">
        <v>288</v>
      </c>
      <c r="B407" s="187">
        <v>1</v>
      </c>
      <c r="C407" s="189">
        <v>2</v>
      </c>
      <c r="F407" s="27" t="str">
        <f t="shared" si="6"/>
        <v>Benin</v>
      </c>
      <c r="G407" s="2">
        <f t="shared" si="7"/>
        <v>-1</v>
      </c>
    </row>
    <row r="408" spans="1:7" ht="15.75" hidden="1" customHeight="1" x14ac:dyDescent="0.25">
      <c r="A408" s="117" t="s">
        <v>205</v>
      </c>
      <c r="B408" s="187">
        <v>6</v>
      </c>
      <c r="C408" s="189">
        <v>4</v>
      </c>
      <c r="F408" s="27" t="str">
        <f t="shared" si="6"/>
        <v>Bolivia</v>
      </c>
      <c r="G408" s="2">
        <f t="shared" si="7"/>
        <v>2</v>
      </c>
    </row>
    <row r="409" spans="1:7" ht="15.75" hidden="1" customHeight="1" x14ac:dyDescent="0.25">
      <c r="A409" s="117" t="s">
        <v>612</v>
      </c>
      <c r="B409" s="187">
        <v>4</v>
      </c>
      <c r="C409" s="189"/>
      <c r="F409" s="27" t="str">
        <f t="shared" si="6"/>
        <v>Bosnia-Herzegovina</v>
      </c>
      <c r="G409" s="2">
        <f t="shared" si="7"/>
        <v>4</v>
      </c>
    </row>
    <row r="410" spans="1:7" ht="15.75" hidden="1" customHeight="1" x14ac:dyDescent="0.25">
      <c r="A410" s="117" t="s">
        <v>437</v>
      </c>
      <c r="B410" s="187">
        <v>1</v>
      </c>
      <c r="C410" s="189">
        <v>3</v>
      </c>
      <c r="F410" s="27" t="str">
        <f t="shared" si="6"/>
        <v>Botswana</v>
      </c>
      <c r="G410" s="2">
        <f t="shared" si="7"/>
        <v>-2</v>
      </c>
    </row>
    <row r="411" spans="1:7" ht="15.75" hidden="1" customHeight="1" x14ac:dyDescent="0.25">
      <c r="A411" s="117" t="s">
        <v>208</v>
      </c>
      <c r="B411" s="187">
        <v>11</v>
      </c>
      <c r="C411" s="189">
        <v>14</v>
      </c>
      <c r="F411" s="27" t="str">
        <f t="shared" si="6"/>
        <v>Brazil</v>
      </c>
      <c r="G411" s="2">
        <f t="shared" si="7"/>
        <v>-3</v>
      </c>
    </row>
    <row r="412" spans="1:7" ht="15.75" hidden="1" customHeight="1" x14ac:dyDescent="0.25">
      <c r="A412" s="117" t="s">
        <v>211</v>
      </c>
      <c r="B412" s="187">
        <v>6</v>
      </c>
      <c r="C412" s="189">
        <v>8</v>
      </c>
      <c r="F412" s="27" t="str">
        <f t="shared" si="6"/>
        <v>Brunei</v>
      </c>
      <c r="G412" s="2">
        <f t="shared" si="7"/>
        <v>-2</v>
      </c>
    </row>
    <row r="413" spans="1:7" ht="15.75" hidden="1" customHeight="1" x14ac:dyDescent="0.25">
      <c r="A413" s="117" t="s">
        <v>382</v>
      </c>
      <c r="B413" s="187">
        <v>9</v>
      </c>
      <c r="C413" s="189">
        <v>11</v>
      </c>
      <c r="F413" s="27" t="str">
        <f t="shared" si="6"/>
        <v>Bulgaria</v>
      </c>
      <c r="G413" s="2">
        <f t="shared" si="7"/>
        <v>-2</v>
      </c>
    </row>
    <row r="414" spans="1:7" ht="15.75" hidden="1" customHeight="1" x14ac:dyDescent="0.25">
      <c r="A414" s="117" t="s">
        <v>646</v>
      </c>
      <c r="B414" s="187">
        <v>2</v>
      </c>
      <c r="C414" s="189"/>
      <c r="F414" s="27" t="str">
        <f t="shared" si="6"/>
        <v>Burundi</v>
      </c>
      <c r="G414" s="2">
        <f t="shared" si="7"/>
        <v>2</v>
      </c>
    </row>
    <row r="415" spans="1:7" ht="15.75" hidden="1" customHeight="1" x14ac:dyDescent="0.25">
      <c r="A415" s="117" t="s">
        <v>438</v>
      </c>
      <c r="B415" s="187">
        <v>20</v>
      </c>
      <c r="C415" s="189">
        <v>9</v>
      </c>
      <c r="F415" s="27" t="str">
        <f t="shared" si="6"/>
        <v>Cambodia</v>
      </c>
      <c r="G415" s="2">
        <f t="shared" si="7"/>
        <v>11</v>
      </c>
    </row>
    <row r="416" spans="1:7" ht="15.75" hidden="1" customHeight="1" x14ac:dyDescent="0.25">
      <c r="A416" s="117" t="s">
        <v>293</v>
      </c>
      <c r="B416" s="187">
        <v>2</v>
      </c>
      <c r="C416" s="189">
        <v>2</v>
      </c>
      <c r="F416" s="27" t="str">
        <f t="shared" si="6"/>
        <v>Cameroon</v>
      </c>
      <c r="G416" s="2">
        <f t="shared" si="7"/>
        <v>0</v>
      </c>
    </row>
    <row r="417" spans="1:7" ht="15.75" hidden="1" customHeight="1" x14ac:dyDescent="0.25">
      <c r="A417" s="117" t="s">
        <v>96</v>
      </c>
      <c r="B417" s="187">
        <v>5</v>
      </c>
      <c r="C417" s="189">
        <v>7</v>
      </c>
      <c r="F417" s="27" t="str">
        <f t="shared" si="6"/>
        <v>Canada</v>
      </c>
      <c r="G417" s="2">
        <f t="shared" si="7"/>
        <v>-2</v>
      </c>
    </row>
    <row r="418" spans="1:7" ht="15.75" hidden="1" customHeight="1" x14ac:dyDescent="0.25">
      <c r="A418" s="117" t="s">
        <v>668</v>
      </c>
      <c r="B418" s="187">
        <v>3</v>
      </c>
      <c r="C418" s="189"/>
      <c r="F418" s="27" t="str">
        <f t="shared" si="6"/>
        <v>Cape Verde</v>
      </c>
      <c r="G418" s="2">
        <f t="shared" si="7"/>
        <v>3</v>
      </c>
    </row>
    <row r="419" spans="1:7" ht="15.75" hidden="1" customHeight="1" x14ac:dyDescent="0.25">
      <c r="A419" s="117" t="s">
        <v>1057</v>
      </c>
      <c r="B419" s="187">
        <v>4</v>
      </c>
      <c r="C419" s="189"/>
      <c r="F419" s="27" t="str">
        <f t="shared" si="6"/>
        <v>CELAC</v>
      </c>
      <c r="G419" s="2">
        <f t="shared" si="7"/>
        <v>4</v>
      </c>
    </row>
    <row r="420" spans="1:7" ht="15.75" hidden="1" customHeight="1" x14ac:dyDescent="0.25">
      <c r="A420" s="117" t="s">
        <v>613</v>
      </c>
      <c r="B420" s="187">
        <v>2</v>
      </c>
      <c r="C420" s="189"/>
      <c r="F420" s="27" t="str">
        <f t="shared" si="6"/>
        <v>Central African Republic</v>
      </c>
      <c r="G420" s="2">
        <f t="shared" si="7"/>
        <v>2</v>
      </c>
    </row>
    <row r="421" spans="1:7" ht="15.75" hidden="1" customHeight="1" x14ac:dyDescent="0.25">
      <c r="A421" s="117" t="s">
        <v>676</v>
      </c>
      <c r="B421" s="187">
        <v>1</v>
      </c>
      <c r="C421" s="189"/>
      <c r="F421" s="27" t="str">
        <f t="shared" si="6"/>
        <v>Chad</v>
      </c>
      <c r="G421" s="2">
        <f t="shared" si="7"/>
        <v>1</v>
      </c>
    </row>
    <row r="422" spans="1:7" ht="15.75" hidden="1" customHeight="1" x14ac:dyDescent="0.25">
      <c r="A422" s="117" t="s">
        <v>296</v>
      </c>
      <c r="B422" s="187">
        <v>18</v>
      </c>
      <c r="C422" s="189">
        <v>16</v>
      </c>
      <c r="F422" s="27" t="str">
        <f t="shared" si="6"/>
        <v>Chile</v>
      </c>
      <c r="G422" s="2">
        <f t="shared" si="7"/>
        <v>2</v>
      </c>
    </row>
    <row r="423" spans="1:7" ht="15.75" hidden="1" customHeight="1" x14ac:dyDescent="0.25">
      <c r="A423" s="117" t="s">
        <v>214</v>
      </c>
      <c r="B423" s="187">
        <v>4</v>
      </c>
      <c r="C423" s="189">
        <v>5</v>
      </c>
      <c r="F423" s="27" t="str">
        <f t="shared" si="6"/>
        <v>Colombia</v>
      </c>
      <c r="G423" s="2">
        <f t="shared" si="7"/>
        <v>-1</v>
      </c>
    </row>
    <row r="424" spans="1:7" ht="15.75" hidden="1" customHeight="1" x14ac:dyDescent="0.25">
      <c r="A424" s="117" t="s">
        <v>563</v>
      </c>
      <c r="B424" s="187">
        <v>2</v>
      </c>
      <c r="C424" s="189"/>
      <c r="F424" s="27" t="str">
        <f t="shared" si="6"/>
        <v>Comoros</v>
      </c>
      <c r="G424" s="2">
        <f t="shared" si="7"/>
        <v>2</v>
      </c>
    </row>
    <row r="425" spans="1:7" ht="15.75" hidden="1" customHeight="1" x14ac:dyDescent="0.25">
      <c r="A425" s="117" t="s">
        <v>145</v>
      </c>
      <c r="B425" s="187">
        <v>5</v>
      </c>
      <c r="C425" s="189">
        <v>1</v>
      </c>
      <c r="F425" s="27" t="str">
        <f t="shared" si="6"/>
        <v>Congo</v>
      </c>
      <c r="G425" s="2">
        <f t="shared" si="7"/>
        <v>4</v>
      </c>
    </row>
    <row r="426" spans="1:7" ht="15.75" hidden="1" customHeight="1" x14ac:dyDescent="0.25">
      <c r="A426" s="117" t="s">
        <v>975</v>
      </c>
      <c r="B426" s="187"/>
      <c r="C426" s="189">
        <v>2</v>
      </c>
      <c r="F426" s="27" t="str">
        <f t="shared" si="6"/>
        <v>Costa Rica</v>
      </c>
      <c r="G426" s="2">
        <f t="shared" si="7"/>
        <v>-2</v>
      </c>
    </row>
    <row r="427" spans="1:7" ht="15.75" hidden="1" customHeight="1" x14ac:dyDescent="0.25">
      <c r="A427" s="117" t="s">
        <v>176</v>
      </c>
      <c r="B427" s="187">
        <v>5</v>
      </c>
      <c r="C427" s="189">
        <v>7</v>
      </c>
      <c r="F427" s="27" t="str">
        <f t="shared" si="6"/>
        <v>Croatia</v>
      </c>
      <c r="G427" s="2">
        <f t="shared" si="7"/>
        <v>-2</v>
      </c>
    </row>
    <row r="428" spans="1:7" ht="15.75" hidden="1" customHeight="1" x14ac:dyDescent="0.25">
      <c r="A428" s="117" t="s">
        <v>232</v>
      </c>
      <c r="B428" s="187">
        <v>11</v>
      </c>
      <c r="C428" s="189">
        <v>20</v>
      </c>
      <c r="F428" s="27" t="str">
        <f t="shared" si="6"/>
        <v>Cuba</v>
      </c>
      <c r="G428" s="2">
        <f t="shared" si="7"/>
        <v>-9</v>
      </c>
    </row>
    <row r="429" spans="1:7" ht="15.75" hidden="1" customHeight="1" x14ac:dyDescent="0.25">
      <c r="A429" s="117" t="s">
        <v>452</v>
      </c>
      <c r="B429" s="187">
        <v>1</v>
      </c>
      <c r="C429" s="189">
        <v>2</v>
      </c>
      <c r="F429" s="27" t="str">
        <f t="shared" si="6"/>
        <v>Cyprus</v>
      </c>
      <c r="G429" s="2">
        <f t="shared" si="7"/>
        <v>-1</v>
      </c>
    </row>
    <row r="430" spans="1:7" ht="15.75" hidden="1" customHeight="1" x14ac:dyDescent="0.25">
      <c r="A430" s="117" t="s">
        <v>265</v>
      </c>
      <c r="B430" s="187">
        <v>2</v>
      </c>
      <c r="C430" s="189">
        <v>6</v>
      </c>
      <c r="F430" s="27" t="str">
        <f t="shared" si="6"/>
        <v>Czech Republic</v>
      </c>
      <c r="G430" s="2">
        <f t="shared" si="7"/>
        <v>-4</v>
      </c>
    </row>
    <row r="431" spans="1:7" ht="15.75" hidden="1" customHeight="1" x14ac:dyDescent="0.25">
      <c r="A431" s="117" t="s">
        <v>558</v>
      </c>
      <c r="B431" s="187">
        <v>2</v>
      </c>
      <c r="C431" s="189">
        <v>3</v>
      </c>
      <c r="F431" s="27" t="str">
        <f t="shared" si="6"/>
        <v>Denmark</v>
      </c>
      <c r="G431" s="2">
        <f t="shared" si="7"/>
        <v>-1</v>
      </c>
    </row>
    <row r="432" spans="1:7" ht="15.75" hidden="1" customHeight="1" x14ac:dyDescent="0.25">
      <c r="A432" s="117" t="s">
        <v>564</v>
      </c>
      <c r="B432" s="187">
        <v>4</v>
      </c>
      <c r="C432" s="189">
        <v>3</v>
      </c>
      <c r="F432" s="27" t="str">
        <f t="shared" si="6"/>
        <v>Djibouti</v>
      </c>
      <c r="G432" s="2">
        <f t="shared" si="7"/>
        <v>1</v>
      </c>
    </row>
    <row r="433" spans="1:7" ht="15.75" hidden="1" customHeight="1" x14ac:dyDescent="0.25">
      <c r="A433" s="117" t="s">
        <v>620</v>
      </c>
      <c r="B433" s="187">
        <v>4</v>
      </c>
      <c r="C433" s="189">
        <v>1</v>
      </c>
      <c r="F433" s="27" t="str">
        <f t="shared" si="6"/>
        <v>DR Congo</v>
      </c>
      <c r="G433" s="2">
        <f t="shared" si="7"/>
        <v>3</v>
      </c>
    </row>
    <row r="434" spans="1:7" ht="15.75" hidden="1" customHeight="1" x14ac:dyDescent="0.25">
      <c r="A434" s="117" t="s">
        <v>239</v>
      </c>
      <c r="B434" s="187">
        <v>3</v>
      </c>
      <c r="C434" s="189"/>
      <c r="F434" s="27" t="str">
        <f t="shared" si="6"/>
        <v>East Timor</v>
      </c>
      <c r="G434" s="2">
        <f t="shared" si="7"/>
        <v>3</v>
      </c>
    </row>
    <row r="435" spans="1:7" ht="15.75" hidden="1" customHeight="1" x14ac:dyDescent="0.25">
      <c r="A435" s="117" t="s">
        <v>241</v>
      </c>
      <c r="B435" s="187">
        <v>9</v>
      </c>
      <c r="C435" s="189">
        <v>4</v>
      </c>
      <c r="F435" s="27" t="str">
        <f t="shared" si="6"/>
        <v>Ecuador</v>
      </c>
      <c r="G435" s="2">
        <f t="shared" si="7"/>
        <v>5</v>
      </c>
    </row>
    <row r="436" spans="1:7" ht="15.75" hidden="1" customHeight="1" x14ac:dyDescent="0.25">
      <c r="A436" s="117" t="s">
        <v>117</v>
      </c>
      <c r="B436" s="187">
        <v>13</v>
      </c>
      <c r="C436" s="189">
        <v>18</v>
      </c>
      <c r="F436" s="27" t="str">
        <f t="shared" si="6"/>
        <v>Egypt</v>
      </c>
      <c r="G436" s="2">
        <f t="shared" si="7"/>
        <v>-5</v>
      </c>
    </row>
    <row r="437" spans="1:7" ht="15.75" hidden="1" customHeight="1" x14ac:dyDescent="0.25">
      <c r="A437" s="117" t="s">
        <v>217</v>
      </c>
      <c r="B437" s="187">
        <v>2</v>
      </c>
      <c r="C437" s="189">
        <v>1</v>
      </c>
      <c r="F437" s="27" t="str">
        <f t="shared" si="6"/>
        <v>Equatorial Guinea</v>
      </c>
      <c r="G437" s="2">
        <f t="shared" si="7"/>
        <v>1</v>
      </c>
    </row>
    <row r="438" spans="1:7" ht="15.75" hidden="1" customHeight="1" x14ac:dyDescent="0.25">
      <c r="A438" s="117" t="s">
        <v>343</v>
      </c>
      <c r="B438" s="187">
        <v>2</v>
      </c>
      <c r="C438" s="189">
        <v>1</v>
      </c>
      <c r="F438" s="27" t="str">
        <f t="shared" si="6"/>
        <v>Eritrea</v>
      </c>
      <c r="G438" s="2">
        <f t="shared" si="7"/>
        <v>1</v>
      </c>
    </row>
    <row r="439" spans="1:7" ht="15.75" hidden="1" customHeight="1" x14ac:dyDescent="0.25">
      <c r="A439" s="117" t="s">
        <v>677</v>
      </c>
      <c r="B439" s="187">
        <v>1</v>
      </c>
      <c r="C439" s="189"/>
      <c r="F439" s="27" t="str">
        <f t="shared" si="6"/>
        <v>Estonia</v>
      </c>
      <c r="G439" s="2">
        <f t="shared" si="7"/>
        <v>1</v>
      </c>
    </row>
    <row r="440" spans="1:7" ht="15.75" hidden="1" customHeight="1" x14ac:dyDescent="0.25">
      <c r="A440" s="117" t="s">
        <v>443</v>
      </c>
      <c r="B440" s="187">
        <v>3</v>
      </c>
      <c r="C440" s="189">
        <v>6</v>
      </c>
      <c r="F440" s="27" t="str">
        <f t="shared" si="6"/>
        <v>Ethiopia</v>
      </c>
      <c r="G440" s="2">
        <f t="shared" si="7"/>
        <v>-3</v>
      </c>
    </row>
    <row r="441" spans="1:7" ht="15.75" hidden="1" customHeight="1" x14ac:dyDescent="0.25">
      <c r="A441" s="117" t="s">
        <v>1027</v>
      </c>
      <c r="B441" s="187">
        <v>3</v>
      </c>
      <c r="C441" s="189"/>
      <c r="F441" s="27" t="str">
        <f t="shared" si="6"/>
        <v>European Union</v>
      </c>
      <c r="G441" s="2">
        <f t="shared" si="7"/>
        <v>3</v>
      </c>
    </row>
    <row r="442" spans="1:7" ht="15.75" hidden="1" customHeight="1" x14ac:dyDescent="0.25">
      <c r="A442" s="117" t="s">
        <v>621</v>
      </c>
      <c r="B442" s="187">
        <v>4</v>
      </c>
      <c r="C442" s="189"/>
      <c r="F442" s="27" t="str">
        <f t="shared" si="6"/>
        <v>Fiji</v>
      </c>
      <c r="G442" s="2">
        <f t="shared" si="7"/>
        <v>4</v>
      </c>
    </row>
    <row r="443" spans="1:7" ht="15.75" hidden="1" customHeight="1" x14ac:dyDescent="0.25">
      <c r="A443" s="117" t="s">
        <v>405</v>
      </c>
      <c r="B443" s="187">
        <v>13</v>
      </c>
      <c r="C443" s="189">
        <v>11</v>
      </c>
      <c r="F443" s="27" t="str">
        <f t="shared" si="6"/>
        <v>Finland</v>
      </c>
      <c r="G443" s="2">
        <f t="shared" si="7"/>
        <v>2</v>
      </c>
    </row>
    <row r="444" spans="1:7" ht="15.75" hidden="1" customHeight="1" x14ac:dyDescent="0.25">
      <c r="A444" s="117" t="s">
        <v>111</v>
      </c>
      <c r="B444" s="187">
        <v>12</v>
      </c>
      <c r="C444" s="189">
        <v>11</v>
      </c>
      <c r="F444" s="27" t="str">
        <f t="shared" si="6"/>
        <v>France</v>
      </c>
      <c r="G444" s="2">
        <f t="shared" si="7"/>
        <v>1</v>
      </c>
    </row>
    <row r="445" spans="1:7" ht="15.75" hidden="1" customHeight="1" x14ac:dyDescent="0.25">
      <c r="A445" s="117" t="s">
        <v>298</v>
      </c>
      <c r="B445" s="187">
        <v>5</v>
      </c>
      <c r="C445" s="189">
        <v>4</v>
      </c>
      <c r="F445" s="27" t="str">
        <f t="shared" si="6"/>
        <v>Gabon</v>
      </c>
      <c r="G445" s="2">
        <f t="shared" si="7"/>
        <v>1</v>
      </c>
    </row>
    <row r="446" spans="1:7" ht="15.75" hidden="1" customHeight="1" x14ac:dyDescent="0.25">
      <c r="A446" s="117" t="s">
        <v>104</v>
      </c>
      <c r="B446" s="187">
        <v>19</v>
      </c>
      <c r="C446" s="189">
        <v>12</v>
      </c>
      <c r="F446" s="27" t="str">
        <f t="shared" si="6"/>
        <v>Germany</v>
      </c>
      <c r="G446" s="2">
        <f t="shared" si="7"/>
        <v>7</v>
      </c>
    </row>
    <row r="447" spans="1:7" ht="15.75" hidden="1" customHeight="1" x14ac:dyDescent="0.25">
      <c r="A447" s="117" t="s">
        <v>417</v>
      </c>
      <c r="B447" s="187">
        <v>4</v>
      </c>
      <c r="C447" s="189">
        <v>1</v>
      </c>
      <c r="F447" s="27" t="str">
        <f t="shared" si="6"/>
        <v>Ghana</v>
      </c>
      <c r="G447" s="2">
        <f t="shared" si="7"/>
        <v>3</v>
      </c>
    </row>
    <row r="448" spans="1:7" ht="15.75" hidden="1" customHeight="1" x14ac:dyDescent="0.25">
      <c r="A448" s="117" t="s">
        <v>153</v>
      </c>
      <c r="B448" s="187">
        <v>10</v>
      </c>
      <c r="C448" s="189">
        <v>12</v>
      </c>
      <c r="F448" s="27" t="str">
        <f t="shared" si="6"/>
        <v>Greece</v>
      </c>
      <c r="G448" s="2">
        <f t="shared" si="7"/>
        <v>-2</v>
      </c>
    </row>
    <row r="449" spans="1:7" ht="15.75" hidden="1" customHeight="1" x14ac:dyDescent="0.25">
      <c r="A449" s="117" t="s">
        <v>733</v>
      </c>
      <c r="B449" s="187">
        <v>1</v>
      </c>
      <c r="C449" s="189"/>
      <c r="F449" s="27" t="str">
        <f t="shared" si="6"/>
        <v>Grenada</v>
      </c>
      <c r="G449" s="2">
        <f t="shared" si="7"/>
        <v>1</v>
      </c>
    </row>
    <row r="450" spans="1:7" ht="15.75" hidden="1" customHeight="1" x14ac:dyDescent="0.25">
      <c r="A450" s="117" t="s">
        <v>391</v>
      </c>
      <c r="B450" s="187">
        <v>3</v>
      </c>
      <c r="C450" s="189"/>
      <c r="F450" s="27" t="str">
        <f t="shared" si="6"/>
        <v>Guinea</v>
      </c>
      <c r="G450" s="2">
        <f t="shared" si="7"/>
        <v>3</v>
      </c>
    </row>
    <row r="451" spans="1:7" ht="15.75" hidden="1" customHeight="1" x14ac:dyDescent="0.25">
      <c r="A451" s="117" t="s">
        <v>510</v>
      </c>
      <c r="B451" s="187">
        <v>2</v>
      </c>
      <c r="C451" s="189"/>
      <c r="F451" s="27" t="str">
        <f t="shared" si="6"/>
        <v>Guinea-Bissau</v>
      </c>
      <c r="G451" s="2">
        <f t="shared" si="7"/>
        <v>2</v>
      </c>
    </row>
    <row r="452" spans="1:7" ht="15.75" hidden="1" customHeight="1" x14ac:dyDescent="0.25">
      <c r="A452" s="117" t="s">
        <v>419</v>
      </c>
      <c r="B452" s="187">
        <v>4</v>
      </c>
      <c r="C452" s="189"/>
      <c r="F452" s="27" t="str">
        <f t="shared" si="6"/>
        <v>Guyana</v>
      </c>
      <c r="G452" s="2">
        <f t="shared" si="7"/>
        <v>4</v>
      </c>
    </row>
    <row r="453" spans="1:7" ht="15.75" hidden="1" customHeight="1" x14ac:dyDescent="0.25">
      <c r="A453" s="117" t="s">
        <v>407</v>
      </c>
      <c r="B453" s="187">
        <v>7</v>
      </c>
      <c r="C453" s="189">
        <v>16</v>
      </c>
      <c r="F453" s="27" t="str">
        <f t="shared" si="6"/>
        <v>Hungary</v>
      </c>
      <c r="G453" s="2">
        <f t="shared" si="7"/>
        <v>-9</v>
      </c>
    </row>
    <row r="454" spans="1:7" ht="15.75" hidden="1" customHeight="1" x14ac:dyDescent="0.25">
      <c r="A454" s="117" t="s">
        <v>722</v>
      </c>
      <c r="B454" s="187"/>
      <c r="C454" s="189">
        <v>12</v>
      </c>
      <c r="F454" s="27" t="str">
        <f t="shared" si="6"/>
        <v>IISS</v>
      </c>
      <c r="G454" s="2">
        <f t="shared" si="7"/>
        <v>-12</v>
      </c>
    </row>
    <row r="455" spans="1:7" ht="15.75" hidden="1" customHeight="1" x14ac:dyDescent="0.25">
      <c r="A455" s="117" t="s">
        <v>53</v>
      </c>
      <c r="B455" s="187">
        <v>18</v>
      </c>
      <c r="C455" s="189">
        <v>13</v>
      </c>
      <c r="F455" s="27" t="str">
        <f t="shared" si="6"/>
        <v>India</v>
      </c>
      <c r="G455" s="2">
        <f t="shared" si="7"/>
        <v>5</v>
      </c>
    </row>
    <row r="456" spans="1:7" ht="15.75" hidden="1" customHeight="1" x14ac:dyDescent="0.25">
      <c r="A456" s="117" t="s">
        <v>59</v>
      </c>
      <c r="B456" s="187">
        <v>16</v>
      </c>
      <c r="C456" s="189">
        <v>16</v>
      </c>
      <c r="F456" s="27" t="str">
        <f t="shared" si="6"/>
        <v>Indonesia</v>
      </c>
      <c r="G456" s="2">
        <f t="shared" si="7"/>
        <v>0</v>
      </c>
    </row>
    <row r="457" spans="1:7" ht="15.75" hidden="1" customHeight="1" x14ac:dyDescent="0.25">
      <c r="A457" s="117" t="s">
        <v>421</v>
      </c>
      <c r="B457" s="187">
        <v>7</v>
      </c>
      <c r="C457" s="189">
        <v>4</v>
      </c>
      <c r="F457" s="27" t="str">
        <f t="shared" si="6"/>
        <v>Iran</v>
      </c>
      <c r="G457" s="2">
        <f t="shared" si="7"/>
        <v>3</v>
      </c>
    </row>
    <row r="458" spans="1:7" ht="15.75" hidden="1" customHeight="1" x14ac:dyDescent="0.25">
      <c r="A458" s="117" t="s">
        <v>469</v>
      </c>
      <c r="B458" s="187">
        <v>6</v>
      </c>
      <c r="C458" s="189">
        <v>4</v>
      </c>
      <c r="F458" s="27" t="str">
        <f t="shared" si="6"/>
        <v>Israel</v>
      </c>
      <c r="G458" s="2">
        <f t="shared" si="7"/>
        <v>2</v>
      </c>
    </row>
    <row r="459" spans="1:7" ht="15.75" hidden="1" customHeight="1" x14ac:dyDescent="0.25">
      <c r="A459" s="117" t="s">
        <v>107</v>
      </c>
      <c r="B459" s="187">
        <v>25</v>
      </c>
      <c r="C459" s="189">
        <v>12</v>
      </c>
      <c r="F459" s="27" t="str">
        <f t="shared" si="6"/>
        <v>Italy</v>
      </c>
      <c r="G459" s="2">
        <f t="shared" si="7"/>
        <v>13</v>
      </c>
    </row>
    <row r="460" spans="1:7" ht="15.75" hidden="1" customHeight="1" x14ac:dyDescent="0.25">
      <c r="A460" s="117" t="s">
        <v>747</v>
      </c>
      <c r="B460" s="187">
        <v>2</v>
      </c>
      <c r="C460" s="189"/>
      <c r="F460" s="27" t="str">
        <f t="shared" si="6"/>
        <v>Ivory Coast</v>
      </c>
      <c r="G460" s="2">
        <f t="shared" si="7"/>
        <v>2</v>
      </c>
    </row>
    <row r="461" spans="1:7" ht="15.75" hidden="1" customHeight="1" x14ac:dyDescent="0.25">
      <c r="A461" s="117" t="s">
        <v>781</v>
      </c>
      <c r="B461" s="187">
        <v>2</v>
      </c>
      <c r="C461" s="189"/>
      <c r="F461" s="27" t="str">
        <f t="shared" si="6"/>
        <v>Jamaica</v>
      </c>
      <c r="G461" s="2">
        <f t="shared" si="7"/>
        <v>2</v>
      </c>
    </row>
    <row r="462" spans="1:7" ht="15.75" hidden="1" customHeight="1" x14ac:dyDescent="0.25">
      <c r="A462" s="117" t="s">
        <v>409</v>
      </c>
      <c r="B462" s="187">
        <v>15</v>
      </c>
      <c r="C462" s="189">
        <v>12</v>
      </c>
      <c r="F462" s="27" t="str">
        <f t="shared" si="6"/>
        <v>Japan</v>
      </c>
      <c r="G462" s="2">
        <f t="shared" si="7"/>
        <v>3</v>
      </c>
    </row>
    <row r="463" spans="1:7" ht="15.75" hidden="1" customHeight="1" x14ac:dyDescent="0.25">
      <c r="A463" s="117" t="s">
        <v>473</v>
      </c>
      <c r="B463" s="187">
        <v>4</v>
      </c>
      <c r="C463" s="189">
        <v>5</v>
      </c>
      <c r="F463" s="27" t="str">
        <f t="shared" si="6"/>
        <v>Jordan</v>
      </c>
      <c r="G463" s="2">
        <f t="shared" si="7"/>
        <v>-1</v>
      </c>
    </row>
    <row r="464" spans="1:7" ht="15.75" hidden="1" customHeight="1" x14ac:dyDescent="0.25">
      <c r="A464" s="117" t="s">
        <v>159</v>
      </c>
      <c r="B464" s="187">
        <v>15</v>
      </c>
      <c r="C464" s="189">
        <v>12</v>
      </c>
      <c r="F464" s="27" t="str">
        <f t="shared" si="6"/>
        <v>Kazakhstan</v>
      </c>
      <c r="G464" s="2">
        <f t="shared" si="7"/>
        <v>3</v>
      </c>
    </row>
    <row r="465" spans="1:7" ht="15.75" hidden="1" customHeight="1" x14ac:dyDescent="0.25">
      <c r="A465" s="117" t="s">
        <v>222</v>
      </c>
      <c r="B465" s="187">
        <v>6</v>
      </c>
      <c r="C465" s="189">
        <v>7</v>
      </c>
      <c r="F465" s="27" t="str">
        <f t="shared" si="6"/>
        <v>Kenya</v>
      </c>
      <c r="G465" s="2">
        <f t="shared" si="7"/>
        <v>-1</v>
      </c>
    </row>
    <row r="466" spans="1:7" ht="15.75" hidden="1" customHeight="1" x14ac:dyDescent="0.25">
      <c r="A466" s="117" t="s">
        <v>345</v>
      </c>
      <c r="B466" s="187">
        <v>3</v>
      </c>
      <c r="C466" s="189">
        <v>1</v>
      </c>
      <c r="F466" s="27" t="str">
        <f t="shared" si="6"/>
        <v>Kuwait</v>
      </c>
      <c r="G466" s="2">
        <f t="shared" si="7"/>
        <v>2</v>
      </c>
    </row>
    <row r="467" spans="1:7" ht="15.75" hidden="1" customHeight="1" x14ac:dyDescent="0.25">
      <c r="A467" s="117" t="s">
        <v>161</v>
      </c>
      <c r="B467" s="187">
        <v>16</v>
      </c>
      <c r="C467" s="189">
        <v>6</v>
      </c>
      <c r="F467" s="27" t="str">
        <f t="shared" si="6"/>
        <v>Kyrgyzstan</v>
      </c>
      <c r="G467" s="2">
        <f t="shared" si="7"/>
        <v>10</v>
      </c>
    </row>
    <row r="468" spans="1:7" ht="15.75" hidden="1" customHeight="1" x14ac:dyDescent="0.25">
      <c r="A468" s="117" t="s">
        <v>242</v>
      </c>
      <c r="B468" s="187">
        <v>15</v>
      </c>
      <c r="C468" s="189">
        <v>15</v>
      </c>
      <c r="F468" s="27" t="str">
        <f t="shared" si="6"/>
        <v>Laos</v>
      </c>
      <c r="G468" s="2">
        <f t="shared" si="7"/>
        <v>0</v>
      </c>
    </row>
    <row r="469" spans="1:7" ht="15.75" hidden="1" customHeight="1" x14ac:dyDescent="0.25">
      <c r="A469" s="117" t="s">
        <v>1013</v>
      </c>
      <c r="B469" s="187">
        <v>2</v>
      </c>
      <c r="C469" s="189">
        <v>1</v>
      </c>
      <c r="F469" s="27" t="str">
        <f t="shared" si="6"/>
        <v>Latvia</v>
      </c>
      <c r="G469" s="2">
        <f t="shared" si="7"/>
        <v>1</v>
      </c>
    </row>
    <row r="470" spans="1:7" ht="15.75" hidden="1" customHeight="1" x14ac:dyDescent="0.25">
      <c r="A470" s="117" t="s">
        <v>513</v>
      </c>
      <c r="B470" s="187">
        <v>3</v>
      </c>
      <c r="C470" s="189">
        <v>3</v>
      </c>
      <c r="F470" s="27" t="str">
        <f t="shared" si="6"/>
        <v>Lebanon</v>
      </c>
      <c r="G470" s="2">
        <f t="shared" si="7"/>
        <v>0</v>
      </c>
    </row>
    <row r="471" spans="1:7" ht="15.75" hidden="1" customHeight="1" x14ac:dyDescent="0.25">
      <c r="A471" s="117" t="s">
        <v>550</v>
      </c>
      <c r="B471" s="187">
        <v>1</v>
      </c>
      <c r="C471" s="189">
        <v>1</v>
      </c>
      <c r="F471" s="27" t="str">
        <f t="shared" si="6"/>
        <v>Lesotho</v>
      </c>
      <c r="G471" s="2">
        <f t="shared" si="7"/>
        <v>0</v>
      </c>
    </row>
    <row r="472" spans="1:7" ht="15.75" hidden="1" customHeight="1" x14ac:dyDescent="0.25">
      <c r="A472" s="117" t="s">
        <v>552</v>
      </c>
      <c r="B472" s="187">
        <v>3</v>
      </c>
      <c r="C472" s="189"/>
      <c r="F472" s="27" t="str">
        <f t="shared" si="6"/>
        <v>Liberia</v>
      </c>
      <c r="G472" s="2">
        <f t="shared" si="7"/>
        <v>3</v>
      </c>
    </row>
    <row r="473" spans="1:7" ht="15.75" hidden="1" customHeight="1" x14ac:dyDescent="0.25">
      <c r="A473" s="117" t="s">
        <v>517</v>
      </c>
      <c r="B473" s="187">
        <v>1</v>
      </c>
      <c r="C473" s="189">
        <v>1</v>
      </c>
      <c r="F473" s="27" t="str">
        <f t="shared" si="6"/>
        <v>Lithuania</v>
      </c>
      <c r="G473" s="2">
        <f t="shared" si="7"/>
        <v>0</v>
      </c>
    </row>
    <row r="474" spans="1:7" ht="15.75" hidden="1" customHeight="1" x14ac:dyDescent="0.25">
      <c r="A474" s="117" t="s">
        <v>458</v>
      </c>
      <c r="B474" s="187">
        <v>5</v>
      </c>
      <c r="C474" s="189">
        <v>1</v>
      </c>
      <c r="F474" s="27" t="str">
        <f t="shared" si="6"/>
        <v>Macedonia</v>
      </c>
      <c r="G474" s="2">
        <f t="shared" si="7"/>
        <v>4</v>
      </c>
    </row>
    <row r="475" spans="1:7" ht="15.75" hidden="1" customHeight="1" x14ac:dyDescent="0.25">
      <c r="A475" s="117" t="s">
        <v>752</v>
      </c>
      <c r="B475" s="187"/>
      <c r="C475" s="189">
        <v>1</v>
      </c>
      <c r="F475" s="27" t="str">
        <f t="shared" si="6"/>
        <v>Madagascar</v>
      </c>
      <c r="G475" s="2">
        <f t="shared" si="7"/>
        <v>-1</v>
      </c>
    </row>
    <row r="476" spans="1:7" ht="15.75" hidden="1" customHeight="1" x14ac:dyDescent="0.25">
      <c r="A476" s="117" t="s">
        <v>762</v>
      </c>
      <c r="B476" s="187">
        <v>3</v>
      </c>
      <c r="C476" s="189"/>
      <c r="F476" s="27" t="str">
        <f t="shared" si="6"/>
        <v>Malawi</v>
      </c>
      <c r="G476" s="2">
        <f t="shared" si="7"/>
        <v>3</v>
      </c>
    </row>
    <row r="477" spans="1:7" ht="15.75" hidden="1" customHeight="1" x14ac:dyDescent="0.25">
      <c r="A477" s="117" t="s">
        <v>67</v>
      </c>
      <c r="B477" s="187">
        <v>16</v>
      </c>
      <c r="C477" s="189">
        <v>12</v>
      </c>
      <c r="F477" s="27" t="str">
        <f t="shared" si="6"/>
        <v>Malaysia</v>
      </c>
      <c r="G477" s="2">
        <f t="shared" si="7"/>
        <v>4</v>
      </c>
    </row>
    <row r="478" spans="1:7" ht="15.75" hidden="1" customHeight="1" x14ac:dyDescent="0.25">
      <c r="A478" s="117" t="s">
        <v>791</v>
      </c>
      <c r="B478" s="187">
        <v>3</v>
      </c>
      <c r="C478" s="189">
        <v>1</v>
      </c>
      <c r="F478" s="27" t="str">
        <f t="shared" si="6"/>
        <v>Maldives</v>
      </c>
      <c r="G478" s="2">
        <f t="shared" si="7"/>
        <v>2</v>
      </c>
    </row>
    <row r="479" spans="1:7" ht="15.75" hidden="1" customHeight="1" x14ac:dyDescent="0.25">
      <c r="A479" s="117" t="s">
        <v>592</v>
      </c>
      <c r="B479" s="187">
        <v>3</v>
      </c>
      <c r="C479" s="189"/>
      <c r="F479" s="27" t="str">
        <f t="shared" si="6"/>
        <v>Mali</v>
      </c>
      <c r="G479" s="2">
        <f t="shared" si="7"/>
        <v>3</v>
      </c>
    </row>
    <row r="480" spans="1:7" ht="15.75" hidden="1" customHeight="1" x14ac:dyDescent="0.25">
      <c r="A480" s="117" t="s">
        <v>789</v>
      </c>
      <c r="B480" s="187">
        <v>1</v>
      </c>
      <c r="C480" s="189">
        <v>1</v>
      </c>
      <c r="F480" s="27" t="str">
        <f t="shared" si="6"/>
        <v>Malta</v>
      </c>
      <c r="G480" s="2">
        <f t="shared" si="7"/>
        <v>0</v>
      </c>
    </row>
    <row r="481" spans="1:7" ht="15.75" hidden="1" customHeight="1" x14ac:dyDescent="0.25">
      <c r="A481" s="117" t="s">
        <v>1167</v>
      </c>
      <c r="B481" s="187">
        <v>1</v>
      </c>
      <c r="C481" s="189"/>
      <c r="F481" s="27" t="str">
        <f t="shared" si="6"/>
        <v>Mauritania</v>
      </c>
      <c r="G481" s="2">
        <f t="shared" si="7"/>
        <v>1</v>
      </c>
    </row>
    <row r="482" spans="1:7" ht="15.75" hidden="1" customHeight="1" x14ac:dyDescent="0.25">
      <c r="A482" s="117" t="s">
        <v>377</v>
      </c>
      <c r="B482" s="187">
        <v>1</v>
      </c>
      <c r="C482" s="189">
        <v>13</v>
      </c>
      <c r="F482" s="27" t="str">
        <f t="shared" si="6"/>
        <v>Mexico</v>
      </c>
      <c r="G482" s="2">
        <f t="shared" si="7"/>
        <v>-12</v>
      </c>
    </row>
    <row r="483" spans="1:7" ht="15.75" hidden="1" customHeight="1" x14ac:dyDescent="0.25">
      <c r="A483" s="117" t="s">
        <v>616</v>
      </c>
      <c r="B483" s="187">
        <v>2</v>
      </c>
      <c r="C483" s="189"/>
      <c r="F483" s="27" t="str">
        <f t="shared" si="6"/>
        <v>Moldova</v>
      </c>
      <c r="G483" s="2">
        <f t="shared" si="7"/>
        <v>2</v>
      </c>
    </row>
    <row r="484" spans="1:7" ht="15.75" hidden="1" customHeight="1" x14ac:dyDescent="0.25">
      <c r="A484" s="117" t="s">
        <v>244</v>
      </c>
      <c r="B484" s="187">
        <v>12</v>
      </c>
      <c r="C484" s="189">
        <v>7</v>
      </c>
      <c r="F484" s="27" t="str">
        <f t="shared" si="6"/>
        <v>Mongolia</v>
      </c>
      <c r="G484" s="2">
        <f t="shared" si="7"/>
        <v>5</v>
      </c>
    </row>
    <row r="485" spans="1:7" ht="15.75" hidden="1" customHeight="1" x14ac:dyDescent="0.25">
      <c r="A485" s="117" t="s">
        <v>969</v>
      </c>
      <c r="B485" s="187">
        <v>1</v>
      </c>
      <c r="C485" s="189"/>
      <c r="F485" s="27" t="str">
        <f t="shared" si="6"/>
        <v>Montenegro</v>
      </c>
      <c r="G485" s="2">
        <f t="shared" si="7"/>
        <v>1</v>
      </c>
    </row>
    <row r="486" spans="1:7" ht="15.75" hidden="1" customHeight="1" x14ac:dyDescent="0.25">
      <c r="A486" s="117" t="s">
        <v>142</v>
      </c>
      <c r="B486" s="187">
        <v>3</v>
      </c>
      <c r="C486" s="189">
        <v>4</v>
      </c>
      <c r="F486" s="27" t="str">
        <f t="shared" si="6"/>
        <v>Morocco</v>
      </c>
      <c r="G486" s="2">
        <f t="shared" si="7"/>
        <v>-1</v>
      </c>
    </row>
    <row r="487" spans="1:7" ht="15.75" hidden="1" customHeight="1" x14ac:dyDescent="0.25">
      <c r="A487" s="117" t="s">
        <v>411</v>
      </c>
      <c r="B487" s="187">
        <v>9</v>
      </c>
      <c r="C487" s="189">
        <v>4</v>
      </c>
      <c r="F487" s="27" t="str">
        <f t="shared" si="6"/>
        <v>Mozambique</v>
      </c>
      <c r="G487" s="2">
        <f t="shared" si="7"/>
        <v>5</v>
      </c>
    </row>
    <row r="488" spans="1:7" ht="15.75" hidden="1" customHeight="1" x14ac:dyDescent="0.25">
      <c r="A488" s="117" t="s">
        <v>37</v>
      </c>
      <c r="B488" s="187">
        <v>19</v>
      </c>
      <c r="C488" s="189">
        <v>13</v>
      </c>
      <c r="F488" s="27" t="str">
        <f t="shared" si="6"/>
        <v>Myanmar</v>
      </c>
      <c r="G488" s="2">
        <f t="shared" si="7"/>
        <v>6</v>
      </c>
    </row>
    <row r="489" spans="1:7" ht="15.75" hidden="1" customHeight="1" x14ac:dyDescent="0.25">
      <c r="A489" s="117" t="s">
        <v>46</v>
      </c>
      <c r="B489" s="187">
        <v>4</v>
      </c>
      <c r="C489" s="189"/>
      <c r="F489" s="27" t="str">
        <f t="shared" si="6"/>
        <v>N/A</v>
      </c>
      <c r="G489" s="2">
        <f t="shared" si="7"/>
        <v>4</v>
      </c>
    </row>
    <row r="490" spans="1:7" ht="15.75" hidden="1" customHeight="1" x14ac:dyDescent="0.25">
      <c r="A490" s="117" t="s">
        <v>329</v>
      </c>
      <c r="B490" s="187">
        <v>7</v>
      </c>
      <c r="C490" s="189">
        <v>6</v>
      </c>
      <c r="F490" s="27" t="str">
        <f t="shared" si="6"/>
        <v>Namibia</v>
      </c>
      <c r="G490" s="2">
        <f t="shared" si="7"/>
        <v>1</v>
      </c>
    </row>
    <row r="491" spans="1:7" ht="15.75" hidden="1" customHeight="1" x14ac:dyDescent="0.25">
      <c r="A491" s="117" t="s">
        <v>95</v>
      </c>
      <c r="B491" s="187">
        <v>3</v>
      </c>
      <c r="C491" s="189">
        <v>2</v>
      </c>
      <c r="F491" s="27" t="str">
        <f t="shared" si="6"/>
        <v>NATO</v>
      </c>
      <c r="G491" s="2">
        <f t="shared" si="7"/>
        <v>1</v>
      </c>
    </row>
    <row r="492" spans="1:7" ht="15.75" hidden="1" customHeight="1" x14ac:dyDescent="0.25">
      <c r="A492" s="117" t="s">
        <v>163</v>
      </c>
      <c r="B492" s="187">
        <v>12</v>
      </c>
      <c r="C492" s="189">
        <v>4</v>
      </c>
      <c r="F492" s="27" t="str">
        <f t="shared" si="6"/>
        <v>Nepal</v>
      </c>
      <c r="G492" s="2">
        <f t="shared" si="7"/>
        <v>8</v>
      </c>
    </row>
    <row r="493" spans="1:7" ht="15.75" hidden="1" customHeight="1" x14ac:dyDescent="0.25">
      <c r="A493" s="117" t="s">
        <v>559</v>
      </c>
      <c r="B493" s="187">
        <v>3</v>
      </c>
      <c r="C493" s="189">
        <v>2</v>
      </c>
      <c r="F493" s="27" t="str">
        <f t="shared" si="6"/>
        <v>Netherlands</v>
      </c>
      <c r="G493" s="2">
        <f t="shared" si="7"/>
        <v>1</v>
      </c>
    </row>
    <row r="494" spans="1:7" ht="15.75" hidden="1" customHeight="1" x14ac:dyDescent="0.25">
      <c r="A494" s="117" t="s">
        <v>75</v>
      </c>
      <c r="B494" s="187">
        <v>21</v>
      </c>
      <c r="C494" s="189">
        <v>16</v>
      </c>
      <c r="F494" s="27" t="str">
        <f t="shared" si="6"/>
        <v>New Zealand</v>
      </c>
      <c r="G494" s="2">
        <f t="shared" si="7"/>
        <v>5</v>
      </c>
    </row>
    <row r="495" spans="1:7" ht="15.75" hidden="1" customHeight="1" x14ac:dyDescent="0.25">
      <c r="A495" s="117" t="s">
        <v>487</v>
      </c>
      <c r="B495" s="187">
        <v>1</v>
      </c>
      <c r="C495" s="189"/>
      <c r="F495" s="27" t="str">
        <f t="shared" si="6"/>
        <v>Niger</v>
      </c>
      <c r="G495" s="2">
        <f t="shared" si="7"/>
        <v>1</v>
      </c>
    </row>
    <row r="496" spans="1:7" ht="15.75" hidden="1" customHeight="1" x14ac:dyDescent="0.25">
      <c r="A496" s="117" t="s">
        <v>178</v>
      </c>
      <c r="B496" s="187">
        <v>7</v>
      </c>
      <c r="C496" s="189"/>
      <c r="F496" s="27" t="str">
        <f t="shared" si="6"/>
        <v>Nigeria</v>
      </c>
      <c r="G496" s="2">
        <f t="shared" si="7"/>
        <v>7</v>
      </c>
    </row>
    <row r="497" spans="1:7" ht="15.75" hidden="1" customHeight="1" x14ac:dyDescent="0.25">
      <c r="A497" s="117" t="s">
        <v>63</v>
      </c>
      <c r="B497" s="187">
        <v>13</v>
      </c>
      <c r="C497" s="189">
        <v>8</v>
      </c>
      <c r="F497" s="27" t="str">
        <f t="shared" si="6"/>
        <v>North Korea</v>
      </c>
      <c r="G497" s="2">
        <f t="shared" si="7"/>
        <v>5</v>
      </c>
    </row>
    <row r="498" spans="1:7" ht="15.75" hidden="1" customHeight="1" x14ac:dyDescent="0.25">
      <c r="A498" s="117" t="s">
        <v>180</v>
      </c>
      <c r="B498" s="187">
        <v>2</v>
      </c>
      <c r="C498" s="189">
        <v>7</v>
      </c>
      <c r="F498" s="27" t="str">
        <f t="shared" si="6"/>
        <v>Norway</v>
      </c>
      <c r="G498" s="2">
        <f t="shared" si="7"/>
        <v>-5</v>
      </c>
    </row>
    <row r="499" spans="1:7" ht="15.75" hidden="1" customHeight="1" x14ac:dyDescent="0.25">
      <c r="A499" s="117" t="s">
        <v>784</v>
      </c>
      <c r="B499" s="187">
        <v>2</v>
      </c>
      <c r="C499" s="189">
        <v>1</v>
      </c>
      <c r="F499" s="27" t="str">
        <f t="shared" si="6"/>
        <v>Oman</v>
      </c>
      <c r="G499" s="2">
        <f t="shared" si="7"/>
        <v>1</v>
      </c>
    </row>
    <row r="500" spans="1:7" ht="15.75" hidden="1" customHeight="1" x14ac:dyDescent="0.25">
      <c r="A500" s="117" t="s">
        <v>42</v>
      </c>
      <c r="B500" s="187">
        <v>45</v>
      </c>
      <c r="C500" s="189">
        <v>18</v>
      </c>
      <c r="F500" s="27" t="str">
        <f t="shared" si="6"/>
        <v>Pakistan</v>
      </c>
      <c r="G500" s="2">
        <f t="shared" si="7"/>
        <v>27</v>
      </c>
    </row>
    <row r="501" spans="1:7" ht="15.75" hidden="1" customHeight="1" x14ac:dyDescent="0.25">
      <c r="A501" s="117" t="s">
        <v>600</v>
      </c>
      <c r="B501" s="187">
        <v>4</v>
      </c>
      <c r="C501" s="189">
        <v>1</v>
      </c>
      <c r="F501" s="27" t="str">
        <f t="shared" si="6"/>
        <v>Papua New Guinea</v>
      </c>
      <c r="G501" s="2">
        <f t="shared" si="7"/>
        <v>3</v>
      </c>
    </row>
    <row r="502" spans="1:7" ht="15.75" hidden="1" customHeight="1" x14ac:dyDescent="0.25">
      <c r="A502" s="117" t="s">
        <v>248</v>
      </c>
      <c r="B502" s="187">
        <v>7</v>
      </c>
      <c r="C502" s="189">
        <v>3</v>
      </c>
      <c r="F502" s="27" t="str">
        <f t="shared" si="6"/>
        <v>Peru</v>
      </c>
      <c r="G502" s="2">
        <f t="shared" si="7"/>
        <v>4</v>
      </c>
    </row>
    <row r="503" spans="1:7" ht="15.75" hidden="1" customHeight="1" x14ac:dyDescent="0.25">
      <c r="A503" s="117" t="s">
        <v>69</v>
      </c>
      <c r="B503" s="187">
        <v>14</v>
      </c>
      <c r="C503" s="189">
        <v>9</v>
      </c>
      <c r="F503" s="27" t="str">
        <f t="shared" si="6"/>
        <v>Philippines</v>
      </c>
      <c r="G503" s="2">
        <f t="shared" si="7"/>
        <v>5</v>
      </c>
    </row>
    <row r="504" spans="1:7" ht="15.75" hidden="1" customHeight="1" x14ac:dyDescent="0.25">
      <c r="A504" s="117" t="s">
        <v>270</v>
      </c>
      <c r="B504" s="187">
        <v>10</v>
      </c>
      <c r="C504" s="189">
        <v>12</v>
      </c>
      <c r="F504" s="27" t="str">
        <f t="shared" si="6"/>
        <v>Poland</v>
      </c>
      <c r="G504" s="2">
        <f t="shared" si="7"/>
        <v>-2</v>
      </c>
    </row>
    <row r="505" spans="1:7" ht="15.75" hidden="1" customHeight="1" x14ac:dyDescent="0.25">
      <c r="A505" s="117" t="s">
        <v>225</v>
      </c>
      <c r="B505" s="187">
        <v>4</v>
      </c>
      <c r="C505" s="189">
        <v>3</v>
      </c>
      <c r="F505" s="27" t="str">
        <f t="shared" si="6"/>
        <v>Portugal</v>
      </c>
      <c r="G505" s="2">
        <f t="shared" si="7"/>
        <v>1</v>
      </c>
    </row>
    <row r="506" spans="1:7" ht="15.75" hidden="1" customHeight="1" x14ac:dyDescent="0.25">
      <c r="A506" s="117" t="s">
        <v>653</v>
      </c>
      <c r="B506" s="187">
        <v>4</v>
      </c>
      <c r="C506" s="189">
        <v>1</v>
      </c>
      <c r="F506" s="27" t="str">
        <f t="shared" si="6"/>
        <v>Qatar</v>
      </c>
      <c r="G506" s="2">
        <f t="shared" si="7"/>
        <v>3</v>
      </c>
    </row>
    <row r="507" spans="1:7" ht="15.75" hidden="1" customHeight="1" x14ac:dyDescent="0.25">
      <c r="A507" s="117" t="s">
        <v>168</v>
      </c>
      <c r="B507" s="187">
        <v>17</v>
      </c>
      <c r="C507" s="189">
        <v>15</v>
      </c>
      <c r="F507" s="27" t="str">
        <f t="shared" si="6"/>
        <v>Romania</v>
      </c>
      <c r="G507" s="2">
        <f t="shared" si="7"/>
        <v>2</v>
      </c>
    </row>
    <row r="508" spans="1:7" ht="15.75" hidden="1" customHeight="1" x14ac:dyDescent="0.25">
      <c r="A508" s="117" t="s">
        <v>54</v>
      </c>
      <c r="B508" s="187">
        <v>33</v>
      </c>
      <c r="C508" s="189">
        <v>40</v>
      </c>
      <c r="F508" s="27" t="str">
        <f t="shared" si="6"/>
        <v>Russia</v>
      </c>
      <c r="G508" s="2">
        <f t="shared" si="7"/>
        <v>-7</v>
      </c>
    </row>
    <row r="509" spans="1:7" ht="15.75" hidden="1" customHeight="1" x14ac:dyDescent="0.25">
      <c r="A509" s="117" t="s">
        <v>634</v>
      </c>
      <c r="B509" s="187">
        <v>2</v>
      </c>
      <c r="C509" s="189">
        <v>1</v>
      </c>
      <c r="F509" s="27" t="str">
        <f t="shared" si="6"/>
        <v>Rwanda</v>
      </c>
      <c r="G509" s="2">
        <f t="shared" si="7"/>
        <v>1</v>
      </c>
    </row>
    <row r="510" spans="1:7" ht="15.75" hidden="1" customHeight="1" x14ac:dyDescent="0.25">
      <c r="A510" s="117" t="s">
        <v>756</v>
      </c>
      <c r="B510" s="187">
        <v>4</v>
      </c>
      <c r="C510" s="189">
        <v>3</v>
      </c>
      <c r="F510" s="27" t="str">
        <f t="shared" si="6"/>
        <v>Saudi Arabia</v>
      </c>
      <c r="G510" s="2">
        <f t="shared" si="7"/>
        <v>1</v>
      </c>
    </row>
    <row r="511" spans="1:7" ht="15.75" hidden="1" customHeight="1" x14ac:dyDescent="0.25">
      <c r="A511" s="117" t="s">
        <v>79</v>
      </c>
      <c r="B511" s="187">
        <v>7</v>
      </c>
      <c r="C511" s="189">
        <v>13</v>
      </c>
      <c r="F511" s="27" t="str">
        <f t="shared" si="6"/>
        <v>SCO</v>
      </c>
      <c r="G511" s="2">
        <f t="shared" si="7"/>
        <v>-6</v>
      </c>
    </row>
    <row r="512" spans="1:7" ht="15.75" hidden="1" customHeight="1" x14ac:dyDescent="0.25">
      <c r="A512" s="117" t="s">
        <v>836</v>
      </c>
      <c r="B512" s="187">
        <v>1</v>
      </c>
      <c r="C512" s="189"/>
      <c r="F512" s="27" t="str">
        <f t="shared" si="6"/>
        <v>Senegal</v>
      </c>
      <c r="G512" s="2">
        <f t="shared" si="7"/>
        <v>1</v>
      </c>
    </row>
    <row r="513" spans="1:7" ht="15.75" hidden="1" customHeight="1" x14ac:dyDescent="0.25">
      <c r="A513" s="117" t="s">
        <v>519</v>
      </c>
      <c r="B513" s="187">
        <v>10</v>
      </c>
      <c r="C513" s="189">
        <v>4</v>
      </c>
      <c r="F513" s="27" t="str">
        <f t="shared" si="6"/>
        <v>Serbia</v>
      </c>
      <c r="G513" s="2">
        <f t="shared" si="7"/>
        <v>6</v>
      </c>
    </row>
    <row r="514" spans="1:7" ht="15.75" hidden="1" customHeight="1" x14ac:dyDescent="0.25">
      <c r="A514" s="117" t="s">
        <v>743</v>
      </c>
      <c r="B514" s="187">
        <v>2</v>
      </c>
      <c r="C514" s="189">
        <v>1</v>
      </c>
      <c r="F514" s="27" t="str">
        <f t="shared" si="6"/>
        <v>Seychelles</v>
      </c>
      <c r="G514" s="2">
        <f t="shared" si="7"/>
        <v>1</v>
      </c>
    </row>
    <row r="515" spans="1:7" ht="15.75" hidden="1" customHeight="1" x14ac:dyDescent="0.25">
      <c r="A515" s="117" t="s">
        <v>429</v>
      </c>
      <c r="B515" s="187">
        <v>2</v>
      </c>
      <c r="C515" s="189"/>
      <c r="F515" s="27" t="str">
        <f t="shared" si="6"/>
        <v>Sierra Leone</v>
      </c>
      <c r="G515" s="2">
        <f t="shared" si="7"/>
        <v>2</v>
      </c>
    </row>
    <row r="516" spans="1:7" ht="15.75" hidden="1" customHeight="1" x14ac:dyDescent="0.25">
      <c r="A516" s="117" t="s">
        <v>194</v>
      </c>
      <c r="B516" s="187">
        <v>24</v>
      </c>
      <c r="C516" s="189">
        <v>20</v>
      </c>
      <c r="F516" s="27" t="str">
        <f t="shared" si="6"/>
        <v>Singapore</v>
      </c>
      <c r="G516" s="2">
        <f t="shared" si="7"/>
        <v>4</v>
      </c>
    </row>
    <row r="517" spans="1:7" ht="15.75" hidden="1" customHeight="1" x14ac:dyDescent="0.25">
      <c r="A517" s="117" t="s">
        <v>195</v>
      </c>
      <c r="B517" s="187">
        <v>3</v>
      </c>
      <c r="C517" s="189">
        <v>8</v>
      </c>
      <c r="F517" s="27" t="str">
        <f t="shared" si="6"/>
        <v>Slovakia</v>
      </c>
      <c r="G517" s="2">
        <f t="shared" si="7"/>
        <v>-5</v>
      </c>
    </row>
    <row r="518" spans="1:7" ht="15.75" hidden="1" customHeight="1" x14ac:dyDescent="0.25">
      <c r="A518" s="117" t="s">
        <v>955</v>
      </c>
      <c r="B518" s="187">
        <v>1</v>
      </c>
      <c r="C518" s="189"/>
      <c r="F518" s="27" t="str">
        <f t="shared" si="6"/>
        <v>Slovenia</v>
      </c>
      <c r="G518" s="2">
        <f t="shared" si="7"/>
        <v>1</v>
      </c>
    </row>
    <row r="519" spans="1:7" ht="15.75" hidden="1" customHeight="1" x14ac:dyDescent="0.25">
      <c r="A519" s="117" t="s">
        <v>92</v>
      </c>
      <c r="B519" s="187">
        <v>12</v>
      </c>
      <c r="C519" s="189">
        <v>11</v>
      </c>
      <c r="F519" s="27" t="str">
        <f t="shared" si="6"/>
        <v>South Africa</v>
      </c>
      <c r="G519" s="2">
        <f t="shared" si="7"/>
        <v>1</v>
      </c>
    </row>
    <row r="520" spans="1:7" ht="15.75" hidden="1" customHeight="1" x14ac:dyDescent="0.25">
      <c r="A520" s="117" t="s">
        <v>130</v>
      </c>
      <c r="B520" s="187">
        <v>25</v>
      </c>
      <c r="C520" s="189">
        <v>19</v>
      </c>
      <c r="F520" s="27" t="str">
        <f t="shared" si="6"/>
        <v>South Korea</v>
      </c>
      <c r="G520" s="2">
        <f t="shared" si="7"/>
        <v>6</v>
      </c>
    </row>
    <row r="521" spans="1:7" ht="15.75" hidden="1" customHeight="1" x14ac:dyDescent="0.25">
      <c r="A521" s="117" t="s">
        <v>338</v>
      </c>
      <c r="B521" s="187">
        <v>6</v>
      </c>
      <c r="C521" s="189">
        <v>6</v>
      </c>
      <c r="F521" s="27" t="str">
        <f t="shared" si="6"/>
        <v>Spain</v>
      </c>
      <c r="G521" s="2">
        <f t="shared" si="7"/>
        <v>0</v>
      </c>
    </row>
    <row r="522" spans="1:7" ht="15.75" hidden="1" customHeight="1" x14ac:dyDescent="0.25">
      <c r="A522" s="117" t="s">
        <v>43</v>
      </c>
      <c r="B522" s="187">
        <v>11</v>
      </c>
      <c r="C522" s="189">
        <v>6</v>
      </c>
      <c r="F522" s="27" t="str">
        <f t="shared" si="6"/>
        <v>Sri Lanka</v>
      </c>
      <c r="G522" s="2">
        <f t="shared" si="7"/>
        <v>5</v>
      </c>
    </row>
    <row r="523" spans="1:7" ht="15.75" hidden="1" customHeight="1" x14ac:dyDescent="0.25">
      <c r="A523" s="117" t="s">
        <v>369</v>
      </c>
      <c r="B523" s="187">
        <v>9</v>
      </c>
      <c r="C523" s="189">
        <v>3</v>
      </c>
      <c r="F523" s="27" t="str">
        <f t="shared" si="6"/>
        <v>Sudan</v>
      </c>
      <c r="G523" s="2">
        <f t="shared" si="7"/>
        <v>6</v>
      </c>
    </row>
    <row r="524" spans="1:7" ht="15.75" hidden="1" customHeight="1" x14ac:dyDescent="0.25">
      <c r="A524" s="117" t="s">
        <v>430</v>
      </c>
      <c r="B524" s="187">
        <v>5</v>
      </c>
      <c r="C524" s="189"/>
      <c r="F524" s="27" t="str">
        <f t="shared" si="6"/>
        <v>Suriname</v>
      </c>
      <c r="G524" s="2">
        <f t="shared" si="7"/>
        <v>5</v>
      </c>
    </row>
    <row r="525" spans="1:7" ht="15.75" hidden="1" customHeight="1" x14ac:dyDescent="0.25">
      <c r="A525" s="117" t="s">
        <v>432</v>
      </c>
      <c r="B525" s="187">
        <v>7</v>
      </c>
      <c r="C525" s="189">
        <v>9</v>
      </c>
      <c r="F525" s="27" t="str">
        <f t="shared" si="6"/>
        <v>Sweden</v>
      </c>
      <c r="G525" s="2">
        <f t="shared" si="7"/>
        <v>-2</v>
      </c>
    </row>
    <row r="526" spans="1:7" ht="15.75" hidden="1" customHeight="1" x14ac:dyDescent="0.25">
      <c r="A526" s="117" t="s">
        <v>381</v>
      </c>
      <c r="B526" s="187">
        <v>13</v>
      </c>
      <c r="C526" s="189">
        <v>7</v>
      </c>
      <c r="F526" s="27" t="str">
        <f t="shared" si="6"/>
        <v>Switzerland</v>
      </c>
      <c r="G526" s="2">
        <f t="shared" si="7"/>
        <v>6</v>
      </c>
    </row>
    <row r="527" spans="1:7" ht="15.75" hidden="1" customHeight="1" x14ac:dyDescent="0.25">
      <c r="A527" s="117" t="s">
        <v>476</v>
      </c>
      <c r="B527" s="187">
        <v>1</v>
      </c>
      <c r="C527" s="189">
        <v>6</v>
      </c>
      <c r="F527" s="27" t="str">
        <f t="shared" si="6"/>
        <v>Syria</v>
      </c>
      <c r="G527" s="2">
        <f t="shared" si="7"/>
        <v>-5</v>
      </c>
    </row>
    <row r="528" spans="1:7" ht="15.75" hidden="1" customHeight="1" x14ac:dyDescent="0.25">
      <c r="A528" s="117" t="s">
        <v>275</v>
      </c>
      <c r="B528" s="187">
        <v>13</v>
      </c>
      <c r="C528" s="189">
        <v>12</v>
      </c>
      <c r="F528" s="27" t="str">
        <f t="shared" si="6"/>
        <v>Tajikistan</v>
      </c>
      <c r="G528" s="2">
        <f t="shared" si="7"/>
        <v>1</v>
      </c>
    </row>
    <row r="529" spans="1:7" ht="15.75" hidden="1" customHeight="1" x14ac:dyDescent="0.25">
      <c r="A529" s="117" t="s">
        <v>93</v>
      </c>
      <c r="B529" s="187">
        <v>10</v>
      </c>
      <c r="C529" s="189">
        <v>15</v>
      </c>
      <c r="F529" s="27" t="str">
        <f t="shared" si="6"/>
        <v>Tanzania</v>
      </c>
      <c r="G529" s="2">
        <f t="shared" si="7"/>
        <v>-5</v>
      </c>
    </row>
    <row r="530" spans="1:7" ht="15.75" hidden="1" customHeight="1" x14ac:dyDescent="0.25">
      <c r="A530" s="117" t="s">
        <v>52</v>
      </c>
      <c r="B530" s="187">
        <v>35</v>
      </c>
      <c r="C530" s="189">
        <v>17</v>
      </c>
      <c r="F530" s="27" t="str">
        <f t="shared" si="6"/>
        <v>Thailand</v>
      </c>
      <c r="G530" s="2">
        <f t="shared" si="7"/>
        <v>18</v>
      </c>
    </row>
    <row r="531" spans="1:7" ht="15.75" hidden="1" customHeight="1" x14ac:dyDescent="0.25">
      <c r="A531" s="117" t="s">
        <v>450</v>
      </c>
      <c r="B531" s="187">
        <v>4</v>
      </c>
      <c r="C531" s="189">
        <v>1</v>
      </c>
      <c r="F531" s="27" t="str">
        <f t="shared" si="6"/>
        <v>Togo</v>
      </c>
      <c r="G531" s="2">
        <f t="shared" si="7"/>
        <v>3</v>
      </c>
    </row>
    <row r="532" spans="1:7" ht="15.75" hidden="1" customHeight="1" x14ac:dyDescent="0.25">
      <c r="A532" s="117" t="s">
        <v>769</v>
      </c>
      <c r="B532" s="187">
        <v>3</v>
      </c>
      <c r="C532" s="189">
        <v>1</v>
      </c>
      <c r="F532" s="27" t="str">
        <f t="shared" si="6"/>
        <v>Tonga</v>
      </c>
      <c r="G532" s="2">
        <f t="shared" si="7"/>
        <v>2</v>
      </c>
    </row>
    <row r="533" spans="1:7" ht="15.75" hidden="1" customHeight="1" x14ac:dyDescent="0.25">
      <c r="A533" s="117" t="s">
        <v>370</v>
      </c>
      <c r="B533" s="187">
        <v>1</v>
      </c>
      <c r="C533" s="189">
        <v>3</v>
      </c>
      <c r="F533" s="27" t="str">
        <f t="shared" si="6"/>
        <v>Trinidad and Tobago</v>
      </c>
      <c r="G533" s="2">
        <f t="shared" si="7"/>
        <v>-2</v>
      </c>
    </row>
    <row r="534" spans="1:7" ht="15.75" hidden="1" customHeight="1" x14ac:dyDescent="0.25">
      <c r="A534" s="117" t="s">
        <v>413</v>
      </c>
      <c r="B534" s="187">
        <v>3</v>
      </c>
      <c r="C534" s="189">
        <v>5</v>
      </c>
      <c r="F534" s="27" t="str">
        <f t="shared" si="6"/>
        <v>Tunisia</v>
      </c>
      <c r="G534" s="2">
        <f t="shared" si="7"/>
        <v>-2</v>
      </c>
    </row>
    <row r="535" spans="1:7" ht="15.75" hidden="1" customHeight="1" x14ac:dyDescent="0.25">
      <c r="A535" s="117" t="s">
        <v>186</v>
      </c>
      <c r="B535" s="187">
        <v>8</v>
      </c>
      <c r="C535" s="189">
        <v>10</v>
      </c>
      <c r="F535" s="27" t="str">
        <f t="shared" si="6"/>
        <v>Turkey</v>
      </c>
      <c r="G535" s="2">
        <f t="shared" si="7"/>
        <v>-2</v>
      </c>
    </row>
    <row r="536" spans="1:7" ht="15.75" hidden="1" customHeight="1" x14ac:dyDescent="0.25">
      <c r="A536" s="117" t="s">
        <v>252</v>
      </c>
      <c r="B536" s="187">
        <v>5</v>
      </c>
      <c r="C536" s="189">
        <v>2</v>
      </c>
      <c r="F536" s="27" t="str">
        <f t="shared" si="6"/>
        <v>Turkmenistan</v>
      </c>
      <c r="G536" s="2">
        <f t="shared" si="7"/>
        <v>3</v>
      </c>
    </row>
    <row r="537" spans="1:7" ht="15.75" hidden="1" customHeight="1" x14ac:dyDescent="0.25">
      <c r="A537" s="117" t="s">
        <v>451</v>
      </c>
      <c r="B537" s="187">
        <v>2</v>
      </c>
      <c r="C537" s="189">
        <v>5</v>
      </c>
      <c r="F537" s="27" t="str">
        <f t="shared" si="6"/>
        <v>Uganda</v>
      </c>
      <c r="G537" s="2">
        <f t="shared" si="7"/>
        <v>-3</v>
      </c>
    </row>
    <row r="538" spans="1:7" ht="15.75" hidden="1" customHeight="1" x14ac:dyDescent="0.25">
      <c r="A538" s="117" t="s">
        <v>137</v>
      </c>
      <c r="B538" s="187">
        <v>5</v>
      </c>
      <c r="C538" s="189">
        <v>6</v>
      </c>
      <c r="F538" s="27" t="str">
        <f t="shared" si="6"/>
        <v>Ukraine</v>
      </c>
      <c r="G538" s="2">
        <f t="shared" si="7"/>
        <v>-1</v>
      </c>
    </row>
    <row r="539" spans="1:7" ht="15.75" hidden="1" customHeight="1" x14ac:dyDescent="0.25">
      <c r="A539" s="117" t="s">
        <v>503</v>
      </c>
      <c r="B539" s="187">
        <v>3</v>
      </c>
      <c r="C539" s="189">
        <v>2</v>
      </c>
      <c r="F539" s="27" t="str">
        <f t="shared" si="6"/>
        <v>United Arab Emirates</v>
      </c>
      <c r="G539" s="2">
        <f t="shared" si="7"/>
        <v>1</v>
      </c>
    </row>
    <row r="540" spans="1:7" ht="15.75" hidden="1" customHeight="1" x14ac:dyDescent="0.25">
      <c r="A540" s="117" t="s">
        <v>108</v>
      </c>
      <c r="B540" s="187">
        <v>17</v>
      </c>
      <c r="C540" s="189">
        <v>12</v>
      </c>
      <c r="F540" s="27" t="str">
        <f t="shared" si="6"/>
        <v>United Kingdom</v>
      </c>
      <c r="G540" s="2">
        <f t="shared" si="7"/>
        <v>5</v>
      </c>
    </row>
    <row r="541" spans="1:7" ht="15.75" hidden="1" customHeight="1" x14ac:dyDescent="0.25">
      <c r="A541" s="117" t="s">
        <v>1499</v>
      </c>
      <c r="B541" s="187">
        <v>2</v>
      </c>
      <c r="C541" s="189"/>
      <c r="F541" s="27" t="str">
        <f t="shared" si="6"/>
        <v>United Nations</v>
      </c>
      <c r="G541" s="2">
        <f t="shared" si="7"/>
        <v>2</v>
      </c>
    </row>
    <row r="542" spans="1:7" ht="15.75" hidden="1" customHeight="1" x14ac:dyDescent="0.25">
      <c r="A542" s="117" t="s">
        <v>48</v>
      </c>
      <c r="B542" s="187">
        <v>53</v>
      </c>
      <c r="C542" s="189">
        <v>41</v>
      </c>
      <c r="F542" s="27" t="str">
        <f t="shared" si="6"/>
        <v>United States</v>
      </c>
      <c r="G542" s="2">
        <f t="shared" si="7"/>
        <v>12</v>
      </c>
    </row>
    <row r="543" spans="1:7" ht="15.75" hidden="1" customHeight="1" x14ac:dyDescent="0.25">
      <c r="A543" s="117" t="s">
        <v>505</v>
      </c>
      <c r="B543" s="187">
        <v>5</v>
      </c>
      <c r="C543" s="189">
        <v>5</v>
      </c>
      <c r="F543" s="27" t="str">
        <f t="shared" si="6"/>
        <v>Uruguay</v>
      </c>
      <c r="G543" s="2">
        <f t="shared" si="7"/>
        <v>0</v>
      </c>
    </row>
    <row r="544" spans="1:7" ht="15.75" hidden="1" customHeight="1" x14ac:dyDescent="0.25">
      <c r="A544" s="117" t="s">
        <v>363</v>
      </c>
      <c r="B544" s="187">
        <v>10</v>
      </c>
      <c r="C544" s="189">
        <v>5</v>
      </c>
      <c r="F544" s="27" t="str">
        <f t="shared" si="6"/>
        <v>Uzbekistan</v>
      </c>
      <c r="G544" s="2">
        <f t="shared" si="7"/>
        <v>5</v>
      </c>
    </row>
    <row r="545" spans="1:7" ht="15.75" hidden="1" customHeight="1" x14ac:dyDescent="0.25">
      <c r="A545" s="117" t="s">
        <v>588</v>
      </c>
      <c r="B545" s="187">
        <v>2</v>
      </c>
      <c r="C545" s="189">
        <v>1</v>
      </c>
      <c r="F545" s="27" t="str">
        <f t="shared" si="6"/>
        <v>Vanuatu</v>
      </c>
      <c r="G545" s="2">
        <f t="shared" si="7"/>
        <v>1</v>
      </c>
    </row>
    <row r="546" spans="1:7" ht="15.75" hidden="1" customHeight="1" x14ac:dyDescent="0.25">
      <c r="A546" s="117" t="s">
        <v>258</v>
      </c>
      <c r="B546" s="187">
        <v>2</v>
      </c>
      <c r="C546" s="189">
        <v>6</v>
      </c>
      <c r="F546" s="27" t="str">
        <f t="shared" si="6"/>
        <v>Venezuela</v>
      </c>
      <c r="G546" s="2">
        <f t="shared" si="7"/>
        <v>-4</v>
      </c>
    </row>
    <row r="547" spans="1:7" ht="15.75" hidden="1" customHeight="1" x14ac:dyDescent="0.25">
      <c r="A547" s="117" t="s">
        <v>114</v>
      </c>
      <c r="B547" s="187">
        <v>29</v>
      </c>
      <c r="C547" s="189">
        <v>18</v>
      </c>
      <c r="F547" s="27" t="str">
        <f t="shared" si="6"/>
        <v>Vietnam</v>
      </c>
      <c r="G547" s="2">
        <f t="shared" si="7"/>
        <v>11</v>
      </c>
    </row>
    <row r="548" spans="1:7" ht="15.75" hidden="1" customHeight="1" x14ac:dyDescent="0.25">
      <c r="A548" s="117" t="s">
        <v>716</v>
      </c>
      <c r="B548" s="187">
        <v>1</v>
      </c>
      <c r="C548" s="189"/>
      <c r="F548" s="27" t="str">
        <f t="shared" si="6"/>
        <v>WPNS</v>
      </c>
      <c r="G548" s="2">
        <f t="shared" si="7"/>
        <v>1</v>
      </c>
    </row>
    <row r="549" spans="1:7" ht="15.75" hidden="1" customHeight="1" x14ac:dyDescent="0.25">
      <c r="A549" s="117" t="s">
        <v>683</v>
      </c>
      <c r="B549" s="187">
        <v>1</v>
      </c>
      <c r="C549" s="189">
        <v>2</v>
      </c>
      <c r="F549" s="27" t="str">
        <f t="shared" si="6"/>
        <v>Yemen</v>
      </c>
      <c r="G549" s="2">
        <f t="shared" si="7"/>
        <v>-1</v>
      </c>
    </row>
    <row r="550" spans="1:7" ht="15.75" hidden="1" customHeight="1" x14ac:dyDescent="0.25">
      <c r="A550" s="117" t="s">
        <v>280</v>
      </c>
      <c r="B550" s="187">
        <v>9</v>
      </c>
      <c r="C550" s="189">
        <v>7</v>
      </c>
      <c r="F550" s="27" t="str">
        <f t="shared" si="6"/>
        <v>Zambia</v>
      </c>
      <c r="G550" s="2">
        <f t="shared" si="7"/>
        <v>2</v>
      </c>
    </row>
    <row r="551" spans="1:7" ht="15.75" hidden="1" customHeight="1" x14ac:dyDescent="0.25">
      <c r="A551" s="123" t="s">
        <v>414</v>
      </c>
      <c r="B551" s="190">
        <v>7</v>
      </c>
      <c r="C551" s="192">
        <v>5</v>
      </c>
      <c r="F551" s="27" t="str">
        <f t="shared" si="6"/>
        <v>Zimbabwe</v>
      </c>
      <c r="G551" s="2">
        <f t="shared" si="7"/>
        <v>2</v>
      </c>
    </row>
    <row r="552" spans="1:7" ht="15.75" hidden="1" customHeight="1" x14ac:dyDescent="0.25">
      <c r="A552" s="6"/>
      <c r="F552" s="27">
        <f t="shared" si="6"/>
        <v>0</v>
      </c>
      <c r="G552" s="2">
        <f t="shared" si="7"/>
        <v>0</v>
      </c>
    </row>
    <row r="553" spans="1:7" ht="15.75" hidden="1" customHeight="1" x14ac:dyDescent="0.25">
      <c r="A553" s="6"/>
      <c r="F553" s="27">
        <f t="shared" si="6"/>
        <v>0</v>
      </c>
      <c r="G553" s="2">
        <f t="shared" si="7"/>
        <v>0</v>
      </c>
    </row>
    <row r="554" spans="1:7" ht="15.75" hidden="1" customHeight="1" x14ac:dyDescent="0.25">
      <c r="F554" s="27">
        <f t="shared" si="6"/>
        <v>0</v>
      </c>
      <c r="G554" s="2">
        <f t="shared" si="7"/>
        <v>0</v>
      </c>
    </row>
    <row r="555" spans="1:7" ht="15.75" hidden="1" customHeight="1" x14ac:dyDescent="0.25">
      <c r="F555" s="27">
        <f t="shared" si="6"/>
        <v>0</v>
      </c>
      <c r="G555" s="2">
        <f t="shared" si="7"/>
        <v>0</v>
      </c>
    </row>
  </sheetData>
  <pageMargins left="0.7" right="0.7" top="0.75" bottom="0.75" header="0" footer="0"/>
  <pageSetup orientation="portrait"/>
  <drawing r:id="rId5"/>
  <tableParts count="2">
    <tablePart r:id="rId6"/>
    <tablePart r:id="rId7"/>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G182"/>
  <sheetViews>
    <sheetView workbookViewId="0">
      <selection activeCell="D27" sqref="D27"/>
    </sheetView>
  </sheetViews>
  <sheetFormatPr defaultColWidth="14.42578125" defaultRowHeight="15" customHeight="1" x14ac:dyDescent="0.25"/>
  <cols>
    <col min="1" max="1" width="21.28515625" customWidth="1"/>
    <col min="2" max="2" width="20.5703125" customWidth="1"/>
    <col min="3" max="3" width="7.28515625" customWidth="1"/>
    <col min="4" max="5" width="12.28515625" customWidth="1"/>
    <col min="6" max="6" width="22.7109375" customWidth="1"/>
    <col min="7" max="7" width="15" customWidth="1"/>
    <col min="8" max="8" width="11.42578125" customWidth="1"/>
    <col min="9" max="9" width="23.28515625" customWidth="1"/>
    <col min="10" max="10" width="8" customWidth="1"/>
    <col min="11" max="27" width="11.42578125" customWidth="1"/>
  </cols>
  <sheetData>
    <row r="1" spans="1:7" x14ac:dyDescent="0.25">
      <c r="A1" s="12" t="s">
        <v>3208</v>
      </c>
    </row>
    <row r="2" spans="1:7" x14ac:dyDescent="0.25">
      <c r="A2" s="12" t="s">
        <v>3209</v>
      </c>
    </row>
    <row r="4" spans="1:7" x14ac:dyDescent="0.25">
      <c r="A4" s="120" t="s">
        <v>1</v>
      </c>
      <c r="B4" s="119" t="s">
        <v>76</v>
      </c>
    </row>
    <row r="5" spans="1:7" x14ac:dyDescent="0.25">
      <c r="A5" s="120" t="s">
        <v>8</v>
      </c>
      <c r="B5" s="119" t="s">
        <v>2817</v>
      </c>
    </row>
    <row r="6" spans="1:7" x14ac:dyDescent="0.25">
      <c r="A6" s="120" t="s">
        <v>10</v>
      </c>
      <c r="B6" s="119" t="s">
        <v>2827</v>
      </c>
    </row>
    <row r="8" spans="1:7" x14ac:dyDescent="0.25">
      <c r="A8" s="111" t="s">
        <v>2875</v>
      </c>
      <c r="B8" s="111" t="s">
        <v>15</v>
      </c>
      <c r="C8" s="113"/>
    </row>
    <row r="9" spans="1:7" x14ac:dyDescent="0.25">
      <c r="A9" s="136" t="s">
        <v>7</v>
      </c>
      <c r="B9" s="137" t="s">
        <v>101</v>
      </c>
      <c r="C9" s="138" t="s">
        <v>83</v>
      </c>
      <c r="D9" s="77" t="s">
        <v>3200</v>
      </c>
      <c r="E9" s="68"/>
      <c r="F9" s="91" t="s">
        <v>2807</v>
      </c>
      <c r="G9" s="92" t="s">
        <v>2832</v>
      </c>
    </row>
    <row r="10" spans="1:7" x14ac:dyDescent="0.25">
      <c r="A10" s="114" t="s">
        <v>604</v>
      </c>
      <c r="B10" s="184">
        <v>98</v>
      </c>
      <c r="C10" s="186">
        <v>14</v>
      </c>
      <c r="D10">
        <f>B10-C10</f>
        <v>84</v>
      </c>
      <c r="F10" s="86" t="str" cm="1">
        <f t="array" ref="F10:F19">_xlfn.TAKE(_xlfn._xlws.SORT(A$10:D$291, 4, -1),10,1)</f>
        <v>Pakistan</v>
      </c>
      <c r="G10" s="101" cm="1">
        <f t="array" ref="G10:G19">_xlfn.TAKE(_xlfn._xlws.SORT(D$10:D$291, 1, -1),10,1)</f>
        <v>305</v>
      </c>
    </row>
    <row r="11" spans="1:7" x14ac:dyDescent="0.25">
      <c r="A11" s="117" t="s">
        <v>1859</v>
      </c>
      <c r="B11" s="187">
        <v>14</v>
      </c>
      <c r="C11" s="189">
        <v>0</v>
      </c>
      <c r="D11">
        <f t="shared" ref="D11:D74" si="0">B11-C11</f>
        <v>14</v>
      </c>
      <c r="F11" s="95" t="str">
        <v>Thailand</v>
      </c>
      <c r="G11" s="94">
        <v>150</v>
      </c>
    </row>
    <row r="12" spans="1:7" x14ac:dyDescent="0.25">
      <c r="A12" s="117" t="s">
        <v>530</v>
      </c>
      <c r="B12" s="187">
        <v>10</v>
      </c>
      <c r="C12" s="189">
        <v>0</v>
      </c>
      <c r="D12">
        <f t="shared" si="0"/>
        <v>10</v>
      </c>
      <c r="F12" s="93" t="str">
        <v>Cambodia</v>
      </c>
      <c r="G12" s="94">
        <v>147</v>
      </c>
    </row>
    <row r="13" spans="1:7" x14ac:dyDescent="0.25">
      <c r="A13" s="117" t="s">
        <v>371</v>
      </c>
      <c r="B13" s="187">
        <v>20</v>
      </c>
      <c r="C13" s="189">
        <v>26</v>
      </c>
      <c r="D13">
        <f t="shared" si="0"/>
        <v>-6</v>
      </c>
      <c r="F13" s="93" t="str">
        <v>Italy</v>
      </c>
      <c r="G13" s="96">
        <v>127</v>
      </c>
    </row>
    <row r="14" spans="1:7" x14ac:dyDescent="0.25">
      <c r="A14" s="117" t="s">
        <v>499</v>
      </c>
      <c r="B14" s="187">
        <v>48</v>
      </c>
      <c r="C14" s="189">
        <v>32</v>
      </c>
      <c r="D14">
        <f t="shared" si="0"/>
        <v>16</v>
      </c>
      <c r="F14" s="93" t="str">
        <v>United States</v>
      </c>
      <c r="G14" s="94">
        <v>123</v>
      </c>
    </row>
    <row r="15" spans="1:7" ht="15.75" customHeight="1" x14ac:dyDescent="0.25">
      <c r="A15" s="117" t="s">
        <v>200</v>
      </c>
      <c r="B15" s="187">
        <v>14</v>
      </c>
      <c r="C15" s="189">
        <v>0</v>
      </c>
      <c r="D15">
        <f t="shared" si="0"/>
        <v>14</v>
      </c>
      <c r="F15" s="95" t="str">
        <v>Vietnam</v>
      </c>
      <c r="G15" s="96">
        <v>120</v>
      </c>
    </row>
    <row r="16" spans="1:7" ht="15.75" customHeight="1" x14ac:dyDescent="0.25">
      <c r="A16" s="117" t="s">
        <v>282</v>
      </c>
      <c r="B16" s="187">
        <v>36</v>
      </c>
      <c r="C16" s="189">
        <v>104</v>
      </c>
      <c r="D16">
        <f t="shared" si="0"/>
        <v>-68</v>
      </c>
      <c r="F16" s="93" t="str">
        <v>Bangladesh</v>
      </c>
      <c r="G16" s="94">
        <v>106</v>
      </c>
    </row>
    <row r="17" spans="1:7" ht="15.75" customHeight="1" x14ac:dyDescent="0.25">
      <c r="A17" s="117" t="s">
        <v>285</v>
      </c>
      <c r="B17" s="187">
        <v>62</v>
      </c>
      <c r="C17" s="189">
        <v>11</v>
      </c>
      <c r="D17">
        <f t="shared" si="0"/>
        <v>51</v>
      </c>
      <c r="F17" s="95" t="str">
        <v>Afghanistan</v>
      </c>
      <c r="G17" s="96">
        <v>84</v>
      </c>
    </row>
    <row r="18" spans="1:7" ht="15.75" customHeight="1" x14ac:dyDescent="0.25">
      <c r="A18" s="117" t="s">
        <v>73</v>
      </c>
      <c r="B18" s="187">
        <v>238</v>
      </c>
      <c r="C18" s="189">
        <v>157</v>
      </c>
      <c r="D18">
        <f t="shared" si="0"/>
        <v>81</v>
      </c>
      <c r="F18" s="97" t="str">
        <v>Kyrgyzstan</v>
      </c>
      <c r="G18" s="94">
        <v>84</v>
      </c>
    </row>
    <row r="19" spans="1:7" ht="15.75" hidden="1" customHeight="1" x14ac:dyDescent="0.25">
      <c r="A19" s="117" t="s">
        <v>506</v>
      </c>
      <c r="B19" s="187">
        <v>56</v>
      </c>
      <c r="C19" s="189">
        <v>16</v>
      </c>
      <c r="D19">
        <f t="shared" si="0"/>
        <v>40</v>
      </c>
      <c r="F19" s="98" t="str">
        <v>Australia</v>
      </c>
      <c r="G19" s="99">
        <v>81</v>
      </c>
    </row>
    <row r="20" spans="1:7" ht="15.75" hidden="1" customHeight="1" x14ac:dyDescent="0.25">
      <c r="A20" s="117" t="s">
        <v>260</v>
      </c>
      <c r="B20" s="187">
        <v>56</v>
      </c>
      <c r="C20" s="189">
        <v>8</v>
      </c>
      <c r="D20">
        <f t="shared" si="0"/>
        <v>48</v>
      </c>
      <c r="F20" s="98"/>
      <c r="G20" s="99"/>
    </row>
    <row r="21" spans="1:7" ht="15.75" hidden="1" customHeight="1" x14ac:dyDescent="0.25">
      <c r="A21" s="117" t="s">
        <v>783</v>
      </c>
      <c r="B21" s="187">
        <v>8</v>
      </c>
      <c r="C21" s="189">
        <v>8</v>
      </c>
      <c r="D21">
        <f t="shared" si="0"/>
        <v>0</v>
      </c>
      <c r="F21" s="98"/>
      <c r="G21" s="99"/>
    </row>
    <row r="22" spans="1:7" ht="15.75" hidden="1" customHeight="1" x14ac:dyDescent="0.25">
      <c r="A22" s="117" t="s">
        <v>32</v>
      </c>
      <c r="B22" s="187">
        <v>166</v>
      </c>
      <c r="C22" s="189">
        <v>60</v>
      </c>
      <c r="D22">
        <f t="shared" si="0"/>
        <v>106</v>
      </c>
      <c r="F22" s="98"/>
      <c r="G22" s="99"/>
    </row>
    <row r="23" spans="1:7" ht="15.75" hidden="1" customHeight="1" x14ac:dyDescent="0.25">
      <c r="A23" s="117" t="s">
        <v>477</v>
      </c>
      <c r="B23" s="187">
        <v>10</v>
      </c>
      <c r="C23" s="189">
        <v>0</v>
      </c>
      <c r="D23">
        <f t="shared" si="0"/>
        <v>10</v>
      </c>
      <c r="F23" s="98"/>
      <c r="G23" s="99"/>
    </row>
    <row r="24" spans="1:7" ht="15.75" hidden="1" customHeight="1" x14ac:dyDescent="0.25">
      <c r="A24" s="117" t="s">
        <v>171</v>
      </c>
      <c r="B24" s="187">
        <v>207</v>
      </c>
      <c r="C24" s="189">
        <v>148</v>
      </c>
      <c r="D24">
        <f t="shared" si="0"/>
        <v>59</v>
      </c>
      <c r="F24" s="49"/>
      <c r="G24" s="99"/>
    </row>
    <row r="25" spans="1:7" ht="15.75" hidden="1" customHeight="1" x14ac:dyDescent="0.25">
      <c r="A25" s="117" t="s">
        <v>303</v>
      </c>
      <c r="B25" s="187">
        <v>28</v>
      </c>
      <c r="C25" s="189">
        <v>22</v>
      </c>
      <c r="D25">
        <f t="shared" si="0"/>
        <v>6</v>
      </c>
      <c r="F25" s="49"/>
      <c r="G25" s="99"/>
    </row>
    <row r="26" spans="1:7" ht="15.75" hidden="1" customHeight="1" x14ac:dyDescent="0.25">
      <c r="A26" s="117" t="s">
        <v>288</v>
      </c>
      <c r="B26" s="187">
        <v>16</v>
      </c>
      <c r="C26" s="189">
        <v>12</v>
      </c>
      <c r="D26">
        <f t="shared" si="0"/>
        <v>4</v>
      </c>
      <c r="F26" s="49"/>
      <c r="G26" s="99"/>
    </row>
    <row r="27" spans="1:7" ht="15.75" hidden="1" customHeight="1" x14ac:dyDescent="0.25">
      <c r="A27" s="117" t="s">
        <v>205</v>
      </c>
      <c r="B27" s="187">
        <v>58</v>
      </c>
      <c r="C27" s="189">
        <v>26</v>
      </c>
      <c r="D27">
        <f t="shared" si="0"/>
        <v>32</v>
      </c>
      <c r="F27" s="49"/>
      <c r="G27" s="99"/>
    </row>
    <row r="28" spans="1:7" ht="15.75" hidden="1" customHeight="1" x14ac:dyDescent="0.25">
      <c r="A28" s="117" t="s">
        <v>612</v>
      </c>
      <c r="B28" s="187">
        <v>36</v>
      </c>
      <c r="C28" s="189">
        <v>0</v>
      </c>
      <c r="D28">
        <f t="shared" si="0"/>
        <v>36</v>
      </c>
      <c r="F28" s="49"/>
      <c r="G28" s="99"/>
    </row>
    <row r="29" spans="1:7" ht="15.75" hidden="1" customHeight="1" x14ac:dyDescent="0.25">
      <c r="A29" s="117" t="s">
        <v>437</v>
      </c>
      <c r="B29" s="187">
        <v>10</v>
      </c>
      <c r="C29" s="189">
        <v>17</v>
      </c>
      <c r="D29">
        <f t="shared" si="0"/>
        <v>-7</v>
      </c>
      <c r="F29" s="100"/>
      <c r="G29" s="99"/>
    </row>
    <row r="30" spans="1:7" ht="15.75" customHeight="1" x14ac:dyDescent="0.25">
      <c r="A30" s="117" t="s">
        <v>208</v>
      </c>
      <c r="B30" s="187">
        <v>102</v>
      </c>
      <c r="C30" s="189">
        <v>116</v>
      </c>
      <c r="D30">
        <f t="shared" si="0"/>
        <v>-14</v>
      </c>
      <c r="F30" s="89"/>
      <c r="G30" s="96"/>
    </row>
    <row r="31" spans="1:7" ht="15.75" hidden="1" customHeight="1" x14ac:dyDescent="0.25">
      <c r="A31" s="117" t="s">
        <v>211</v>
      </c>
      <c r="B31" s="187">
        <v>64</v>
      </c>
      <c r="C31" s="189">
        <v>68</v>
      </c>
      <c r="D31">
        <f t="shared" si="0"/>
        <v>-4</v>
      </c>
      <c r="F31" s="100"/>
      <c r="G31" s="99"/>
    </row>
    <row r="32" spans="1:7" ht="15.75" hidden="1" customHeight="1" x14ac:dyDescent="0.25">
      <c r="A32" s="117" t="s">
        <v>382</v>
      </c>
      <c r="B32" s="187">
        <v>74</v>
      </c>
      <c r="C32" s="189">
        <v>78</v>
      </c>
      <c r="D32">
        <f t="shared" si="0"/>
        <v>-4</v>
      </c>
      <c r="F32" s="100"/>
      <c r="G32" s="99"/>
    </row>
    <row r="33" spans="1:4" ht="15.75" hidden="1" customHeight="1" x14ac:dyDescent="0.25">
      <c r="A33" s="117" t="s">
        <v>646</v>
      </c>
      <c r="B33" s="187">
        <v>20</v>
      </c>
      <c r="C33" s="189">
        <v>0</v>
      </c>
      <c r="D33">
        <f t="shared" si="0"/>
        <v>20</v>
      </c>
    </row>
    <row r="34" spans="1:4" ht="15.75" hidden="1" customHeight="1" x14ac:dyDescent="0.25">
      <c r="A34" s="117" t="s">
        <v>438</v>
      </c>
      <c r="B34" s="187">
        <v>247</v>
      </c>
      <c r="C34" s="189">
        <v>100</v>
      </c>
      <c r="D34">
        <f t="shared" si="0"/>
        <v>147</v>
      </c>
    </row>
    <row r="35" spans="1:4" ht="15.75" hidden="1" customHeight="1" x14ac:dyDescent="0.25">
      <c r="A35" s="117" t="s">
        <v>293</v>
      </c>
      <c r="B35" s="187">
        <v>26</v>
      </c>
      <c r="C35" s="189">
        <v>12</v>
      </c>
      <c r="D35">
        <f t="shared" si="0"/>
        <v>14</v>
      </c>
    </row>
    <row r="36" spans="1:4" ht="15.75" hidden="1" customHeight="1" x14ac:dyDescent="0.25">
      <c r="A36" s="117" t="s">
        <v>96</v>
      </c>
      <c r="B36" s="187">
        <v>44</v>
      </c>
      <c r="C36" s="189">
        <v>54</v>
      </c>
      <c r="D36">
        <f t="shared" si="0"/>
        <v>-10</v>
      </c>
    </row>
    <row r="37" spans="1:4" ht="15.75" hidden="1" customHeight="1" x14ac:dyDescent="0.25">
      <c r="A37" s="117" t="s">
        <v>668</v>
      </c>
      <c r="B37" s="187">
        <v>28</v>
      </c>
      <c r="C37" s="189">
        <v>0</v>
      </c>
      <c r="D37">
        <f t="shared" si="0"/>
        <v>28</v>
      </c>
    </row>
    <row r="38" spans="1:4" ht="15.75" hidden="1" customHeight="1" x14ac:dyDescent="0.25">
      <c r="A38" s="117" t="s">
        <v>613</v>
      </c>
      <c r="B38" s="187">
        <v>18</v>
      </c>
      <c r="C38" s="189">
        <v>0</v>
      </c>
      <c r="D38">
        <f t="shared" si="0"/>
        <v>18</v>
      </c>
    </row>
    <row r="39" spans="1:4" ht="15.75" hidden="1" customHeight="1" x14ac:dyDescent="0.25">
      <c r="A39" s="117" t="s">
        <v>676</v>
      </c>
      <c r="B39" s="187">
        <v>10</v>
      </c>
      <c r="C39" s="189">
        <v>0</v>
      </c>
      <c r="D39">
        <f t="shared" si="0"/>
        <v>10</v>
      </c>
    </row>
    <row r="40" spans="1:4" ht="15.75" hidden="1" customHeight="1" x14ac:dyDescent="0.25">
      <c r="A40" s="117" t="s">
        <v>296</v>
      </c>
      <c r="B40" s="187">
        <v>156</v>
      </c>
      <c r="C40" s="189">
        <v>117</v>
      </c>
      <c r="D40">
        <f t="shared" si="0"/>
        <v>39</v>
      </c>
    </row>
    <row r="41" spans="1:4" ht="15.75" hidden="1" customHeight="1" x14ac:dyDescent="0.25">
      <c r="A41" s="117" t="s">
        <v>214</v>
      </c>
      <c r="B41" s="187">
        <v>34</v>
      </c>
      <c r="C41" s="189">
        <v>36</v>
      </c>
      <c r="D41">
        <f t="shared" si="0"/>
        <v>-2</v>
      </c>
    </row>
    <row r="42" spans="1:4" ht="15.75" hidden="1" customHeight="1" x14ac:dyDescent="0.25">
      <c r="A42" s="117" t="s">
        <v>563</v>
      </c>
      <c r="B42" s="187">
        <v>18</v>
      </c>
      <c r="C42" s="189">
        <v>0</v>
      </c>
      <c r="D42">
        <f t="shared" si="0"/>
        <v>18</v>
      </c>
    </row>
    <row r="43" spans="1:4" ht="15.75" hidden="1" customHeight="1" x14ac:dyDescent="0.25">
      <c r="A43" s="117" t="s">
        <v>145</v>
      </c>
      <c r="B43" s="187">
        <v>42</v>
      </c>
      <c r="C43" s="189">
        <v>6</v>
      </c>
      <c r="D43">
        <f t="shared" si="0"/>
        <v>36</v>
      </c>
    </row>
    <row r="44" spans="1:4" ht="15.75" hidden="1" customHeight="1" x14ac:dyDescent="0.25">
      <c r="A44" s="117" t="s">
        <v>975</v>
      </c>
      <c r="B44" s="187">
        <v>0</v>
      </c>
      <c r="C44" s="189">
        <v>14</v>
      </c>
      <c r="D44">
        <f t="shared" si="0"/>
        <v>-14</v>
      </c>
    </row>
    <row r="45" spans="1:4" ht="15.75" hidden="1" customHeight="1" x14ac:dyDescent="0.25">
      <c r="A45" s="117" t="s">
        <v>176</v>
      </c>
      <c r="B45" s="187">
        <v>44</v>
      </c>
      <c r="C45" s="189">
        <v>48</v>
      </c>
      <c r="D45">
        <f t="shared" si="0"/>
        <v>-4</v>
      </c>
    </row>
    <row r="46" spans="1:4" ht="15.75" hidden="1" customHeight="1" x14ac:dyDescent="0.25">
      <c r="A46" s="117" t="s">
        <v>232</v>
      </c>
      <c r="B46" s="187">
        <v>114</v>
      </c>
      <c r="C46" s="189">
        <v>157</v>
      </c>
      <c r="D46">
        <f t="shared" si="0"/>
        <v>-43</v>
      </c>
    </row>
    <row r="47" spans="1:4" ht="15.75" hidden="1" customHeight="1" x14ac:dyDescent="0.25">
      <c r="A47" s="117" t="s">
        <v>452</v>
      </c>
      <c r="B47" s="187">
        <v>10</v>
      </c>
      <c r="C47" s="189">
        <v>12</v>
      </c>
      <c r="D47">
        <f t="shared" si="0"/>
        <v>-2</v>
      </c>
    </row>
    <row r="48" spans="1:4" ht="15.75" hidden="1" customHeight="1" x14ac:dyDescent="0.25">
      <c r="A48" s="117" t="s">
        <v>265</v>
      </c>
      <c r="B48" s="187">
        <v>16</v>
      </c>
      <c r="C48" s="189">
        <v>40</v>
      </c>
      <c r="D48">
        <f t="shared" si="0"/>
        <v>-24</v>
      </c>
    </row>
    <row r="49" spans="1:4" ht="15.75" hidden="1" customHeight="1" x14ac:dyDescent="0.25">
      <c r="A49" s="117" t="s">
        <v>558</v>
      </c>
      <c r="B49" s="187">
        <v>20</v>
      </c>
      <c r="C49" s="189">
        <v>24</v>
      </c>
      <c r="D49">
        <f t="shared" si="0"/>
        <v>-4</v>
      </c>
    </row>
    <row r="50" spans="1:4" ht="15.75" hidden="1" customHeight="1" x14ac:dyDescent="0.25">
      <c r="A50" s="117" t="s">
        <v>564</v>
      </c>
      <c r="B50" s="187">
        <v>38</v>
      </c>
      <c r="C50" s="189">
        <v>26</v>
      </c>
      <c r="D50">
        <f t="shared" si="0"/>
        <v>12</v>
      </c>
    </row>
    <row r="51" spans="1:4" ht="15.75" hidden="1" customHeight="1" x14ac:dyDescent="0.25">
      <c r="A51" s="117" t="s">
        <v>2051</v>
      </c>
      <c r="B51" s="187">
        <v>0</v>
      </c>
      <c r="C51" s="189">
        <v>5</v>
      </c>
      <c r="D51">
        <f t="shared" si="0"/>
        <v>-5</v>
      </c>
    </row>
    <row r="52" spans="1:4" ht="15.75" hidden="1" customHeight="1" x14ac:dyDescent="0.25">
      <c r="A52" s="117" t="s">
        <v>620</v>
      </c>
      <c r="B52" s="187">
        <v>44</v>
      </c>
      <c r="C52" s="189">
        <v>6</v>
      </c>
      <c r="D52">
        <f t="shared" si="0"/>
        <v>38</v>
      </c>
    </row>
    <row r="53" spans="1:4" ht="15.75" hidden="1" customHeight="1" x14ac:dyDescent="0.25">
      <c r="A53" s="117" t="s">
        <v>239</v>
      </c>
      <c r="B53" s="187">
        <v>24</v>
      </c>
      <c r="C53" s="189">
        <v>0</v>
      </c>
      <c r="D53">
        <f t="shared" si="0"/>
        <v>24</v>
      </c>
    </row>
    <row r="54" spans="1:4" ht="15.75" hidden="1" customHeight="1" x14ac:dyDescent="0.25">
      <c r="A54" s="117" t="s">
        <v>241</v>
      </c>
      <c r="B54" s="187">
        <v>75</v>
      </c>
      <c r="C54" s="189">
        <v>25</v>
      </c>
      <c r="D54">
        <f t="shared" si="0"/>
        <v>50</v>
      </c>
    </row>
    <row r="55" spans="1:4" ht="15.75" hidden="1" customHeight="1" x14ac:dyDescent="0.25">
      <c r="A55" s="117" t="s">
        <v>117</v>
      </c>
      <c r="B55" s="187">
        <v>112</v>
      </c>
      <c r="C55" s="189">
        <v>134</v>
      </c>
      <c r="D55">
        <f t="shared" si="0"/>
        <v>-22</v>
      </c>
    </row>
    <row r="56" spans="1:4" ht="15.75" hidden="1" customHeight="1" x14ac:dyDescent="0.25">
      <c r="A56" s="117" t="s">
        <v>217</v>
      </c>
      <c r="B56" s="187">
        <v>16</v>
      </c>
      <c r="C56" s="189">
        <v>8</v>
      </c>
      <c r="D56">
        <f t="shared" si="0"/>
        <v>8</v>
      </c>
    </row>
    <row r="57" spans="1:4" ht="15.75" hidden="1" customHeight="1" x14ac:dyDescent="0.25">
      <c r="A57" s="117" t="s">
        <v>343</v>
      </c>
      <c r="B57" s="187">
        <v>18</v>
      </c>
      <c r="C57" s="189">
        <v>6</v>
      </c>
      <c r="D57">
        <f t="shared" si="0"/>
        <v>12</v>
      </c>
    </row>
    <row r="58" spans="1:4" ht="15.75" hidden="1" customHeight="1" x14ac:dyDescent="0.25">
      <c r="A58" s="117" t="s">
        <v>677</v>
      </c>
      <c r="B58" s="187">
        <v>8</v>
      </c>
      <c r="C58" s="189">
        <v>0</v>
      </c>
      <c r="D58">
        <f t="shared" si="0"/>
        <v>8</v>
      </c>
    </row>
    <row r="59" spans="1:4" ht="15.75" hidden="1" customHeight="1" x14ac:dyDescent="0.25">
      <c r="A59" s="117" t="s">
        <v>443</v>
      </c>
      <c r="B59" s="187">
        <v>28</v>
      </c>
      <c r="C59" s="189">
        <v>40</v>
      </c>
      <c r="D59">
        <f t="shared" si="0"/>
        <v>-12</v>
      </c>
    </row>
    <row r="60" spans="1:4" ht="15.75" customHeight="1" x14ac:dyDescent="0.25">
      <c r="A60" s="117" t="s">
        <v>1027</v>
      </c>
      <c r="B60" s="187">
        <v>24</v>
      </c>
      <c r="C60" s="189">
        <v>8</v>
      </c>
      <c r="D60">
        <f t="shared" si="0"/>
        <v>16</v>
      </c>
    </row>
    <row r="61" spans="1:4" ht="15.75" hidden="1" customHeight="1" x14ac:dyDescent="0.25">
      <c r="A61" s="117" t="s">
        <v>621</v>
      </c>
      <c r="B61" s="187">
        <v>50</v>
      </c>
      <c r="C61" s="189">
        <v>0</v>
      </c>
      <c r="D61">
        <f t="shared" si="0"/>
        <v>50</v>
      </c>
    </row>
    <row r="62" spans="1:4" ht="15.75" hidden="1" customHeight="1" x14ac:dyDescent="0.25">
      <c r="A62" s="117" t="s">
        <v>405</v>
      </c>
      <c r="B62" s="187">
        <v>107</v>
      </c>
      <c r="C62" s="189">
        <v>82</v>
      </c>
      <c r="D62">
        <f t="shared" si="0"/>
        <v>25</v>
      </c>
    </row>
    <row r="63" spans="1:4" ht="15.75" hidden="1" customHeight="1" x14ac:dyDescent="0.25">
      <c r="A63" s="117" t="s">
        <v>111</v>
      </c>
      <c r="B63" s="187">
        <v>111</v>
      </c>
      <c r="C63" s="189">
        <v>94</v>
      </c>
      <c r="D63">
        <f t="shared" si="0"/>
        <v>17</v>
      </c>
    </row>
    <row r="64" spans="1:4" ht="15.75" hidden="1" customHeight="1" x14ac:dyDescent="0.25">
      <c r="A64" s="117" t="s">
        <v>298</v>
      </c>
      <c r="B64" s="187">
        <v>51</v>
      </c>
      <c r="C64" s="189">
        <v>26</v>
      </c>
      <c r="D64">
        <f t="shared" si="0"/>
        <v>25</v>
      </c>
    </row>
    <row r="65" spans="1:4" ht="15.75" hidden="1" customHeight="1" x14ac:dyDescent="0.25">
      <c r="A65" s="117" t="s">
        <v>104</v>
      </c>
      <c r="B65" s="187">
        <v>147</v>
      </c>
      <c r="C65" s="189">
        <v>85</v>
      </c>
      <c r="D65">
        <f t="shared" si="0"/>
        <v>62</v>
      </c>
    </row>
    <row r="66" spans="1:4" ht="15.75" hidden="1" customHeight="1" x14ac:dyDescent="0.25">
      <c r="A66" s="117" t="s">
        <v>417</v>
      </c>
      <c r="B66" s="187">
        <v>46</v>
      </c>
      <c r="C66" s="189">
        <v>8</v>
      </c>
      <c r="D66">
        <f t="shared" si="0"/>
        <v>38</v>
      </c>
    </row>
    <row r="67" spans="1:4" ht="15.75" hidden="1" customHeight="1" x14ac:dyDescent="0.25">
      <c r="A67" s="117" t="s">
        <v>153</v>
      </c>
      <c r="B67" s="187">
        <v>80</v>
      </c>
      <c r="C67" s="189">
        <v>88</v>
      </c>
      <c r="D67">
        <f t="shared" si="0"/>
        <v>-8</v>
      </c>
    </row>
    <row r="68" spans="1:4" ht="15.75" hidden="1" customHeight="1" x14ac:dyDescent="0.25">
      <c r="A68" s="117" t="s">
        <v>733</v>
      </c>
      <c r="B68" s="187">
        <v>10</v>
      </c>
      <c r="C68" s="189">
        <v>0</v>
      </c>
      <c r="D68">
        <f t="shared" si="0"/>
        <v>10</v>
      </c>
    </row>
    <row r="69" spans="1:4" ht="15.75" hidden="1" customHeight="1" x14ac:dyDescent="0.25">
      <c r="A69" s="117" t="s">
        <v>391</v>
      </c>
      <c r="B69" s="187">
        <v>36</v>
      </c>
      <c r="C69" s="189">
        <v>0</v>
      </c>
      <c r="D69">
        <f t="shared" si="0"/>
        <v>36</v>
      </c>
    </row>
    <row r="70" spans="1:4" ht="15.75" hidden="1" customHeight="1" x14ac:dyDescent="0.25">
      <c r="A70" s="117" t="s">
        <v>510</v>
      </c>
      <c r="B70" s="187">
        <v>20</v>
      </c>
      <c r="C70" s="189">
        <v>0</v>
      </c>
      <c r="D70">
        <f t="shared" si="0"/>
        <v>20</v>
      </c>
    </row>
    <row r="71" spans="1:4" ht="15.75" hidden="1" customHeight="1" x14ac:dyDescent="0.25">
      <c r="A71" s="117" t="s">
        <v>419</v>
      </c>
      <c r="B71" s="187">
        <v>44</v>
      </c>
      <c r="C71" s="189">
        <v>0</v>
      </c>
      <c r="D71">
        <f t="shared" si="0"/>
        <v>44</v>
      </c>
    </row>
    <row r="72" spans="1:4" ht="15.75" hidden="1" customHeight="1" x14ac:dyDescent="0.25">
      <c r="A72" s="117" t="s">
        <v>407</v>
      </c>
      <c r="B72" s="187">
        <v>70</v>
      </c>
      <c r="C72" s="189">
        <v>118</v>
      </c>
      <c r="D72">
        <f t="shared" si="0"/>
        <v>-48</v>
      </c>
    </row>
    <row r="73" spans="1:4" ht="15.75" hidden="1" customHeight="1" x14ac:dyDescent="0.25">
      <c r="A73" s="117" t="s">
        <v>53</v>
      </c>
      <c r="B73" s="187">
        <v>156</v>
      </c>
      <c r="C73" s="189">
        <v>130</v>
      </c>
      <c r="D73">
        <f t="shared" si="0"/>
        <v>26</v>
      </c>
    </row>
    <row r="74" spans="1:4" ht="15.75" hidden="1" customHeight="1" x14ac:dyDescent="0.25">
      <c r="A74" s="117" t="s">
        <v>59</v>
      </c>
      <c r="B74" s="187">
        <v>150</v>
      </c>
      <c r="C74" s="189">
        <v>143</v>
      </c>
      <c r="D74">
        <f t="shared" si="0"/>
        <v>7</v>
      </c>
    </row>
    <row r="75" spans="1:4" ht="15.75" hidden="1" customHeight="1" x14ac:dyDescent="0.25">
      <c r="A75" s="117" t="s">
        <v>421</v>
      </c>
      <c r="B75" s="187">
        <v>68</v>
      </c>
      <c r="C75" s="189">
        <v>68</v>
      </c>
      <c r="D75">
        <f t="shared" ref="D75:D138" si="1">B75-C75</f>
        <v>0</v>
      </c>
    </row>
    <row r="76" spans="1:4" ht="15.75" hidden="1" customHeight="1" x14ac:dyDescent="0.25">
      <c r="A76" s="117" t="s">
        <v>469</v>
      </c>
      <c r="B76" s="187">
        <v>48</v>
      </c>
      <c r="C76" s="189">
        <v>25</v>
      </c>
      <c r="D76">
        <f t="shared" si="1"/>
        <v>23</v>
      </c>
    </row>
    <row r="77" spans="1:4" ht="15.75" hidden="1" customHeight="1" x14ac:dyDescent="0.25">
      <c r="A77" s="117" t="s">
        <v>107</v>
      </c>
      <c r="B77" s="187">
        <v>212</v>
      </c>
      <c r="C77" s="189">
        <v>85</v>
      </c>
      <c r="D77">
        <f t="shared" si="1"/>
        <v>127</v>
      </c>
    </row>
    <row r="78" spans="1:4" ht="15.75" hidden="1" customHeight="1" x14ac:dyDescent="0.25">
      <c r="A78" s="117" t="s">
        <v>747</v>
      </c>
      <c r="B78" s="187">
        <v>16</v>
      </c>
      <c r="C78" s="189">
        <v>0</v>
      </c>
      <c r="D78">
        <f t="shared" si="1"/>
        <v>16</v>
      </c>
    </row>
    <row r="79" spans="1:4" ht="15.75" hidden="1" customHeight="1" x14ac:dyDescent="0.25">
      <c r="A79" s="117" t="s">
        <v>781</v>
      </c>
      <c r="B79" s="187">
        <v>16</v>
      </c>
      <c r="C79" s="189">
        <v>0</v>
      </c>
      <c r="D79">
        <f t="shared" si="1"/>
        <v>16</v>
      </c>
    </row>
    <row r="80" spans="1:4" ht="15.75" hidden="1" customHeight="1" x14ac:dyDescent="0.25">
      <c r="A80" s="117" t="s">
        <v>409</v>
      </c>
      <c r="B80" s="187">
        <v>138</v>
      </c>
      <c r="C80" s="189">
        <v>107</v>
      </c>
      <c r="D80">
        <f t="shared" si="1"/>
        <v>31</v>
      </c>
    </row>
    <row r="81" spans="1:4" ht="15.75" hidden="1" customHeight="1" x14ac:dyDescent="0.25">
      <c r="A81" s="117" t="s">
        <v>473</v>
      </c>
      <c r="B81" s="187">
        <v>29</v>
      </c>
      <c r="C81" s="189">
        <v>34</v>
      </c>
      <c r="D81">
        <f t="shared" si="1"/>
        <v>-5</v>
      </c>
    </row>
    <row r="82" spans="1:4" ht="15.75" hidden="1" customHeight="1" x14ac:dyDescent="0.25">
      <c r="A82" s="117" t="s">
        <v>159</v>
      </c>
      <c r="B82" s="187">
        <v>162</v>
      </c>
      <c r="C82" s="189">
        <v>134</v>
      </c>
      <c r="D82">
        <f t="shared" si="1"/>
        <v>28</v>
      </c>
    </row>
    <row r="83" spans="1:4" ht="15.75" hidden="1" customHeight="1" x14ac:dyDescent="0.25">
      <c r="A83" s="117" t="s">
        <v>222</v>
      </c>
      <c r="B83" s="187">
        <v>52</v>
      </c>
      <c r="C83" s="189">
        <v>46</v>
      </c>
      <c r="D83">
        <f t="shared" si="1"/>
        <v>6</v>
      </c>
    </row>
    <row r="84" spans="1:4" ht="15.75" hidden="1" customHeight="1" x14ac:dyDescent="0.25">
      <c r="A84" s="117" t="s">
        <v>345</v>
      </c>
      <c r="B84" s="187">
        <v>26</v>
      </c>
      <c r="C84" s="189">
        <v>8</v>
      </c>
      <c r="D84">
        <f t="shared" si="1"/>
        <v>18</v>
      </c>
    </row>
    <row r="85" spans="1:4" ht="15.75" hidden="1" customHeight="1" x14ac:dyDescent="0.25">
      <c r="A85" s="117" t="s">
        <v>161</v>
      </c>
      <c r="B85" s="187">
        <v>158</v>
      </c>
      <c r="C85" s="189">
        <v>74</v>
      </c>
      <c r="D85">
        <f t="shared" si="1"/>
        <v>84</v>
      </c>
    </row>
    <row r="86" spans="1:4" ht="15.75" hidden="1" customHeight="1" x14ac:dyDescent="0.25">
      <c r="A86" s="117" t="s">
        <v>242</v>
      </c>
      <c r="B86" s="187">
        <v>163</v>
      </c>
      <c r="C86" s="189">
        <v>152</v>
      </c>
      <c r="D86">
        <f t="shared" si="1"/>
        <v>11</v>
      </c>
    </row>
    <row r="87" spans="1:4" ht="15.75" hidden="1" customHeight="1" x14ac:dyDescent="0.25">
      <c r="A87" s="117" t="s">
        <v>1013</v>
      </c>
      <c r="B87" s="187">
        <v>26</v>
      </c>
      <c r="C87" s="189">
        <v>8</v>
      </c>
      <c r="D87">
        <f t="shared" si="1"/>
        <v>18</v>
      </c>
    </row>
    <row r="88" spans="1:4" ht="15.75" hidden="1" customHeight="1" x14ac:dyDescent="0.25">
      <c r="A88" s="117" t="s">
        <v>513</v>
      </c>
      <c r="B88" s="187">
        <v>26</v>
      </c>
      <c r="C88" s="189">
        <v>22</v>
      </c>
      <c r="D88">
        <f t="shared" si="1"/>
        <v>4</v>
      </c>
    </row>
    <row r="89" spans="1:4" ht="15.75" hidden="1" customHeight="1" x14ac:dyDescent="0.25">
      <c r="A89" s="117" t="s">
        <v>550</v>
      </c>
      <c r="B89" s="187">
        <v>10</v>
      </c>
      <c r="C89" s="189">
        <v>5</v>
      </c>
      <c r="D89">
        <f t="shared" si="1"/>
        <v>5</v>
      </c>
    </row>
    <row r="90" spans="1:4" ht="15.75" hidden="1" customHeight="1" x14ac:dyDescent="0.25">
      <c r="A90" s="117" t="s">
        <v>552</v>
      </c>
      <c r="B90" s="187">
        <v>22</v>
      </c>
      <c r="C90" s="189">
        <v>0</v>
      </c>
      <c r="D90">
        <f t="shared" si="1"/>
        <v>22</v>
      </c>
    </row>
    <row r="91" spans="1:4" ht="15.75" hidden="1" customHeight="1" x14ac:dyDescent="0.25">
      <c r="A91" s="117" t="s">
        <v>517</v>
      </c>
      <c r="B91" s="187">
        <v>8</v>
      </c>
      <c r="C91" s="189">
        <v>10</v>
      </c>
      <c r="D91">
        <f t="shared" si="1"/>
        <v>-2</v>
      </c>
    </row>
    <row r="92" spans="1:4" ht="15.75" customHeight="1" x14ac:dyDescent="0.25">
      <c r="A92" s="117" t="s">
        <v>458</v>
      </c>
      <c r="B92" s="187">
        <v>46</v>
      </c>
      <c r="C92" s="189">
        <v>14</v>
      </c>
      <c r="D92">
        <f t="shared" si="1"/>
        <v>32</v>
      </c>
    </row>
    <row r="93" spans="1:4" ht="15.75" hidden="1" customHeight="1" x14ac:dyDescent="0.25">
      <c r="A93" s="117" t="s">
        <v>752</v>
      </c>
      <c r="B93" s="187">
        <v>8</v>
      </c>
      <c r="C93" s="189">
        <v>6</v>
      </c>
      <c r="D93">
        <f t="shared" si="1"/>
        <v>2</v>
      </c>
    </row>
    <row r="94" spans="1:4" ht="15.75" hidden="1" customHeight="1" x14ac:dyDescent="0.25">
      <c r="A94" s="117" t="s">
        <v>762</v>
      </c>
      <c r="B94" s="187">
        <v>24</v>
      </c>
      <c r="C94" s="189">
        <v>0</v>
      </c>
      <c r="D94">
        <f t="shared" si="1"/>
        <v>24</v>
      </c>
    </row>
    <row r="95" spans="1:4" ht="15.75" hidden="1" customHeight="1" x14ac:dyDescent="0.25">
      <c r="A95" s="117" t="s">
        <v>67</v>
      </c>
      <c r="B95" s="187">
        <v>142</v>
      </c>
      <c r="C95" s="189">
        <v>114</v>
      </c>
      <c r="D95">
        <f t="shared" si="1"/>
        <v>28</v>
      </c>
    </row>
    <row r="96" spans="1:4" ht="15.75" hidden="1" customHeight="1" x14ac:dyDescent="0.25">
      <c r="A96" s="117" t="s">
        <v>791</v>
      </c>
      <c r="B96" s="187">
        <v>34</v>
      </c>
      <c r="C96" s="189">
        <v>13</v>
      </c>
      <c r="D96">
        <f t="shared" si="1"/>
        <v>21</v>
      </c>
    </row>
    <row r="97" spans="1:4" ht="15.75" hidden="1" customHeight="1" x14ac:dyDescent="0.25">
      <c r="A97" s="117" t="s">
        <v>592</v>
      </c>
      <c r="B97" s="187">
        <v>30</v>
      </c>
      <c r="C97" s="189">
        <v>0</v>
      </c>
      <c r="D97">
        <f t="shared" si="1"/>
        <v>30</v>
      </c>
    </row>
    <row r="98" spans="1:4" ht="15.75" hidden="1" customHeight="1" x14ac:dyDescent="0.25">
      <c r="A98" s="117" t="s">
        <v>789</v>
      </c>
      <c r="B98" s="187">
        <v>8</v>
      </c>
      <c r="C98" s="189">
        <v>5</v>
      </c>
      <c r="D98">
        <f t="shared" si="1"/>
        <v>3</v>
      </c>
    </row>
    <row r="99" spans="1:4" ht="15.75" hidden="1" customHeight="1" x14ac:dyDescent="0.25">
      <c r="A99" s="117" t="s">
        <v>1167</v>
      </c>
      <c r="B99" s="187">
        <v>16</v>
      </c>
      <c r="C99" s="189">
        <v>0</v>
      </c>
      <c r="D99">
        <f t="shared" si="1"/>
        <v>16</v>
      </c>
    </row>
    <row r="100" spans="1:4" ht="15.75" customHeight="1" x14ac:dyDescent="0.25">
      <c r="A100" s="117" t="s">
        <v>377</v>
      </c>
      <c r="B100" s="187">
        <v>10</v>
      </c>
      <c r="C100" s="189">
        <v>82</v>
      </c>
      <c r="D100">
        <f t="shared" si="1"/>
        <v>-72</v>
      </c>
    </row>
    <row r="101" spans="1:4" ht="15.75" hidden="1" customHeight="1" x14ac:dyDescent="0.25">
      <c r="A101" s="117" t="s">
        <v>616</v>
      </c>
      <c r="B101" s="187">
        <v>18</v>
      </c>
      <c r="C101" s="189">
        <v>0</v>
      </c>
      <c r="D101">
        <f t="shared" si="1"/>
        <v>18</v>
      </c>
    </row>
    <row r="102" spans="1:4" ht="15.75" hidden="1" customHeight="1" x14ac:dyDescent="0.25">
      <c r="A102" s="117" t="s">
        <v>244</v>
      </c>
      <c r="B102" s="187">
        <v>128</v>
      </c>
      <c r="C102" s="189">
        <v>57</v>
      </c>
      <c r="D102">
        <f t="shared" si="1"/>
        <v>71</v>
      </c>
    </row>
    <row r="103" spans="1:4" ht="15.75" hidden="1" customHeight="1" x14ac:dyDescent="0.25">
      <c r="A103" s="117" t="s">
        <v>969</v>
      </c>
      <c r="B103" s="187">
        <v>10</v>
      </c>
      <c r="C103" s="189">
        <v>0</v>
      </c>
      <c r="D103">
        <f t="shared" si="1"/>
        <v>10</v>
      </c>
    </row>
    <row r="104" spans="1:4" ht="15.75" hidden="1" customHeight="1" x14ac:dyDescent="0.25">
      <c r="A104" s="117" t="s">
        <v>142</v>
      </c>
      <c r="B104" s="187">
        <v>26</v>
      </c>
      <c r="C104" s="189">
        <v>26</v>
      </c>
      <c r="D104">
        <f t="shared" si="1"/>
        <v>0</v>
      </c>
    </row>
    <row r="105" spans="1:4" ht="15.75" hidden="1" customHeight="1" x14ac:dyDescent="0.25">
      <c r="A105" s="117" t="s">
        <v>411</v>
      </c>
      <c r="B105" s="187">
        <v>88</v>
      </c>
      <c r="C105" s="189">
        <v>36</v>
      </c>
      <c r="D105">
        <f t="shared" si="1"/>
        <v>52</v>
      </c>
    </row>
    <row r="106" spans="1:4" ht="15.75" hidden="1" customHeight="1" x14ac:dyDescent="0.25">
      <c r="A106" s="117" t="s">
        <v>37</v>
      </c>
      <c r="B106" s="187">
        <v>169</v>
      </c>
      <c r="C106" s="189">
        <v>90</v>
      </c>
      <c r="D106">
        <f t="shared" si="1"/>
        <v>79</v>
      </c>
    </row>
    <row r="107" spans="1:4" ht="15.75" hidden="1" customHeight="1" x14ac:dyDescent="0.25">
      <c r="A107" s="117" t="s">
        <v>46</v>
      </c>
      <c r="B107" s="187">
        <v>69</v>
      </c>
      <c r="C107" s="189">
        <v>0</v>
      </c>
      <c r="D107">
        <f t="shared" si="1"/>
        <v>69</v>
      </c>
    </row>
    <row r="108" spans="1:4" ht="15.75" hidden="1" customHeight="1" x14ac:dyDescent="0.25">
      <c r="A108" s="117" t="s">
        <v>329</v>
      </c>
      <c r="B108" s="187">
        <v>66</v>
      </c>
      <c r="C108" s="189">
        <v>40</v>
      </c>
      <c r="D108">
        <f t="shared" si="1"/>
        <v>26</v>
      </c>
    </row>
    <row r="109" spans="1:4" ht="15.75" hidden="1" customHeight="1" x14ac:dyDescent="0.25">
      <c r="A109" s="117" t="s">
        <v>163</v>
      </c>
      <c r="B109" s="187">
        <v>110</v>
      </c>
      <c r="C109" s="189">
        <v>36</v>
      </c>
      <c r="D109">
        <f t="shared" si="1"/>
        <v>74</v>
      </c>
    </row>
    <row r="110" spans="1:4" ht="15.75" hidden="1" customHeight="1" x14ac:dyDescent="0.25">
      <c r="A110" s="117" t="s">
        <v>559</v>
      </c>
      <c r="B110" s="187">
        <v>26</v>
      </c>
      <c r="C110" s="189">
        <v>16</v>
      </c>
      <c r="D110">
        <f t="shared" si="1"/>
        <v>10</v>
      </c>
    </row>
    <row r="111" spans="1:4" ht="15.75" hidden="1" customHeight="1" x14ac:dyDescent="0.25">
      <c r="A111" s="117" t="s">
        <v>75</v>
      </c>
      <c r="B111" s="187">
        <v>184</v>
      </c>
      <c r="C111" s="189">
        <v>151</v>
      </c>
      <c r="D111">
        <f t="shared" si="1"/>
        <v>33</v>
      </c>
    </row>
    <row r="112" spans="1:4" ht="15.75" hidden="1" customHeight="1" x14ac:dyDescent="0.25">
      <c r="A112" s="117" t="s">
        <v>487</v>
      </c>
      <c r="B112" s="187">
        <v>10</v>
      </c>
      <c r="C112" s="189">
        <v>0</v>
      </c>
      <c r="D112">
        <f t="shared" si="1"/>
        <v>10</v>
      </c>
    </row>
    <row r="113" spans="1:4" ht="15.75" hidden="1" customHeight="1" x14ac:dyDescent="0.25">
      <c r="A113" s="117" t="s">
        <v>178</v>
      </c>
      <c r="B113" s="187">
        <v>70</v>
      </c>
      <c r="C113" s="189">
        <v>0</v>
      </c>
      <c r="D113">
        <f t="shared" si="1"/>
        <v>70</v>
      </c>
    </row>
    <row r="114" spans="1:4" ht="15.75" hidden="1" customHeight="1" x14ac:dyDescent="0.25">
      <c r="A114" s="117" t="s">
        <v>63</v>
      </c>
      <c r="B114" s="187">
        <v>135</v>
      </c>
      <c r="C114" s="189">
        <v>67</v>
      </c>
      <c r="D114">
        <f t="shared" si="1"/>
        <v>68</v>
      </c>
    </row>
    <row r="115" spans="1:4" ht="15.75" hidden="1" customHeight="1" x14ac:dyDescent="0.25">
      <c r="A115" s="117" t="s">
        <v>180</v>
      </c>
      <c r="B115" s="187">
        <v>18</v>
      </c>
      <c r="C115" s="189">
        <v>50</v>
      </c>
      <c r="D115">
        <f t="shared" si="1"/>
        <v>-32</v>
      </c>
    </row>
    <row r="116" spans="1:4" ht="15.75" hidden="1" customHeight="1" x14ac:dyDescent="0.25">
      <c r="A116" s="117" t="s">
        <v>784</v>
      </c>
      <c r="B116" s="187">
        <v>16</v>
      </c>
      <c r="C116" s="189">
        <v>16</v>
      </c>
      <c r="D116">
        <f t="shared" si="1"/>
        <v>0</v>
      </c>
    </row>
    <row r="117" spans="1:4" ht="15.75" hidden="1" customHeight="1" x14ac:dyDescent="0.25">
      <c r="A117" s="117" t="s">
        <v>42</v>
      </c>
      <c r="B117" s="187">
        <v>500</v>
      </c>
      <c r="C117" s="189">
        <v>195</v>
      </c>
      <c r="D117">
        <f t="shared" si="1"/>
        <v>305</v>
      </c>
    </row>
    <row r="118" spans="1:4" ht="15.75" hidden="1" customHeight="1" x14ac:dyDescent="0.25">
      <c r="A118" s="117" t="s">
        <v>600</v>
      </c>
      <c r="B118" s="187">
        <v>62</v>
      </c>
      <c r="C118" s="189">
        <v>8</v>
      </c>
      <c r="D118">
        <f t="shared" si="1"/>
        <v>54</v>
      </c>
    </row>
    <row r="119" spans="1:4" ht="15.75" hidden="1" customHeight="1" x14ac:dyDescent="0.25">
      <c r="A119" s="117" t="s">
        <v>248</v>
      </c>
      <c r="B119" s="187">
        <v>58</v>
      </c>
      <c r="C119" s="189">
        <v>24</v>
      </c>
      <c r="D119">
        <f t="shared" si="1"/>
        <v>34</v>
      </c>
    </row>
    <row r="120" spans="1:4" ht="15.75" hidden="1" customHeight="1" x14ac:dyDescent="0.25">
      <c r="A120" s="117" t="s">
        <v>69</v>
      </c>
      <c r="B120" s="187">
        <v>126</v>
      </c>
      <c r="C120" s="189">
        <v>76</v>
      </c>
      <c r="D120">
        <f t="shared" si="1"/>
        <v>50</v>
      </c>
    </row>
    <row r="121" spans="1:4" ht="15.75" hidden="1" customHeight="1" x14ac:dyDescent="0.25">
      <c r="A121" s="117" t="s">
        <v>270</v>
      </c>
      <c r="B121" s="187">
        <v>76</v>
      </c>
      <c r="C121" s="189">
        <v>80</v>
      </c>
      <c r="D121">
        <f t="shared" si="1"/>
        <v>-4</v>
      </c>
    </row>
    <row r="122" spans="1:4" ht="15.75" hidden="1" customHeight="1" x14ac:dyDescent="0.25">
      <c r="A122" s="117" t="s">
        <v>225</v>
      </c>
      <c r="B122" s="187">
        <v>32</v>
      </c>
      <c r="C122" s="189">
        <v>22</v>
      </c>
      <c r="D122">
        <f t="shared" si="1"/>
        <v>10</v>
      </c>
    </row>
    <row r="123" spans="1:4" ht="15.75" hidden="1" customHeight="1" x14ac:dyDescent="0.25">
      <c r="A123" s="117" t="s">
        <v>653</v>
      </c>
      <c r="B123" s="187">
        <v>40</v>
      </c>
      <c r="C123" s="189">
        <v>13</v>
      </c>
      <c r="D123">
        <f t="shared" si="1"/>
        <v>27</v>
      </c>
    </row>
    <row r="124" spans="1:4" ht="15.75" hidden="1" customHeight="1" x14ac:dyDescent="0.25">
      <c r="A124" s="117" t="s">
        <v>168</v>
      </c>
      <c r="B124" s="187">
        <v>147</v>
      </c>
      <c r="C124" s="189">
        <v>100</v>
      </c>
      <c r="D124">
        <f t="shared" si="1"/>
        <v>47</v>
      </c>
    </row>
    <row r="125" spans="1:4" ht="15.75" hidden="1" customHeight="1" x14ac:dyDescent="0.25">
      <c r="A125" s="117" t="s">
        <v>54</v>
      </c>
      <c r="B125" s="187">
        <v>347</v>
      </c>
      <c r="C125" s="189">
        <v>403</v>
      </c>
      <c r="D125">
        <f t="shared" si="1"/>
        <v>-56</v>
      </c>
    </row>
    <row r="126" spans="1:4" ht="15.75" hidden="1" customHeight="1" x14ac:dyDescent="0.25">
      <c r="A126" s="117" t="s">
        <v>634</v>
      </c>
      <c r="B126" s="187">
        <v>26</v>
      </c>
      <c r="C126" s="189">
        <v>6</v>
      </c>
      <c r="D126">
        <f t="shared" si="1"/>
        <v>20</v>
      </c>
    </row>
    <row r="127" spans="1:4" ht="15.75" hidden="1" customHeight="1" x14ac:dyDescent="0.25">
      <c r="A127" s="117" t="s">
        <v>756</v>
      </c>
      <c r="B127" s="187">
        <v>40</v>
      </c>
      <c r="C127" s="189">
        <v>40</v>
      </c>
      <c r="D127">
        <f t="shared" si="1"/>
        <v>0</v>
      </c>
    </row>
    <row r="128" spans="1:4" ht="15.75" hidden="1" customHeight="1" x14ac:dyDescent="0.25">
      <c r="A128" s="117" t="s">
        <v>836</v>
      </c>
      <c r="B128" s="187">
        <v>8</v>
      </c>
      <c r="C128" s="189">
        <v>5</v>
      </c>
      <c r="D128">
        <f t="shared" si="1"/>
        <v>3</v>
      </c>
    </row>
    <row r="129" spans="1:4" ht="15.75" hidden="1" customHeight="1" x14ac:dyDescent="0.25">
      <c r="A129" s="117" t="s">
        <v>519</v>
      </c>
      <c r="B129" s="187">
        <v>110</v>
      </c>
      <c r="C129" s="189">
        <v>58</v>
      </c>
      <c r="D129">
        <f t="shared" si="1"/>
        <v>52</v>
      </c>
    </row>
    <row r="130" spans="1:4" ht="15.75" hidden="1" customHeight="1" x14ac:dyDescent="0.25">
      <c r="A130" s="117" t="s">
        <v>743</v>
      </c>
      <c r="B130" s="187">
        <v>16</v>
      </c>
      <c r="C130" s="189">
        <v>8</v>
      </c>
      <c r="D130">
        <f t="shared" si="1"/>
        <v>8</v>
      </c>
    </row>
    <row r="131" spans="1:4" ht="15.75" hidden="1" customHeight="1" x14ac:dyDescent="0.25">
      <c r="A131" s="117" t="s">
        <v>429</v>
      </c>
      <c r="B131" s="187">
        <v>18</v>
      </c>
      <c r="C131" s="189">
        <v>0</v>
      </c>
      <c r="D131">
        <f t="shared" si="1"/>
        <v>18</v>
      </c>
    </row>
    <row r="132" spans="1:4" ht="15.75" hidden="1" customHeight="1" x14ac:dyDescent="0.25">
      <c r="A132" s="117" t="s">
        <v>194</v>
      </c>
      <c r="B132" s="187">
        <v>254</v>
      </c>
      <c r="C132" s="189">
        <v>183</v>
      </c>
      <c r="D132">
        <f t="shared" si="1"/>
        <v>71</v>
      </c>
    </row>
    <row r="133" spans="1:4" ht="15.75" hidden="1" customHeight="1" x14ac:dyDescent="0.25">
      <c r="A133" s="117" t="s">
        <v>195</v>
      </c>
      <c r="B133" s="187">
        <v>28</v>
      </c>
      <c r="C133" s="189">
        <v>54</v>
      </c>
      <c r="D133">
        <f t="shared" si="1"/>
        <v>-26</v>
      </c>
    </row>
    <row r="134" spans="1:4" ht="15.75" hidden="1" customHeight="1" x14ac:dyDescent="0.25">
      <c r="A134" s="117" t="s">
        <v>955</v>
      </c>
      <c r="B134" s="187">
        <v>10</v>
      </c>
      <c r="C134" s="189">
        <v>0</v>
      </c>
      <c r="D134">
        <f t="shared" si="1"/>
        <v>10</v>
      </c>
    </row>
    <row r="135" spans="1:4" ht="15.75" hidden="1" customHeight="1" x14ac:dyDescent="0.25">
      <c r="A135" s="117" t="s">
        <v>92</v>
      </c>
      <c r="B135" s="187">
        <v>117</v>
      </c>
      <c r="C135" s="189">
        <v>79</v>
      </c>
      <c r="D135">
        <f t="shared" si="1"/>
        <v>38</v>
      </c>
    </row>
    <row r="136" spans="1:4" ht="15.75" hidden="1" customHeight="1" x14ac:dyDescent="0.25">
      <c r="A136" s="117" t="s">
        <v>130</v>
      </c>
      <c r="B136" s="187">
        <v>218</v>
      </c>
      <c r="C136" s="189">
        <v>150</v>
      </c>
      <c r="D136">
        <f t="shared" si="1"/>
        <v>68</v>
      </c>
    </row>
    <row r="137" spans="1:4" ht="15.75" hidden="1" customHeight="1" x14ac:dyDescent="0.25">
      <c r="A137" s="117" t="s">
        <v>338</v>
      </c>
      <c r="B137" s="187">
        <v>44</v>
      </c>
      <c r="C137" s="189">
        <v>44</v>
      </c>
      <c r="D137">
        <f t="shared" si="1"/>
        <v>0</v>
      </c>
    </row>
    <row r="138" spans="1:4" ht="15.75" hidden="1" customHeight="1" x14ac:dyDescent="0.25">
      <c r="A138" s="117" t="s">
        <v>43</v>
      </c>
      <c r="B138" s="187">
        <v>83</v>
      </c>
      <c r="C138" s="189">
        <v>50</v>
      </c>
      <c r="D138">
        <f t="shared" si="1"/>
        <v>33</v>
      </c>
    </row>
    <row r="139" spans="1:4" ht="15.75" hidden="1" customHeight="1" x14ac:dyDescent="0.25">
      <c r="A139" s="117" t="s">
        <v>369</v>
      </c>
      <c r="B139" s="187">
        <v>82</v>
      </c>
      <c r="C139" s="189">
        <v>24</v>
      </c>
      <c r="D139">
        <f t="shared" ref="D139:D168" si="2">B139-C139</f>
        <v>58</v>
      </c>
    </row>
    <row r="140" spans="1:4" ht="15.75" hidden="1" customHeight="1" x14ac:dyDescent="0.25">
      <c r="A140" s="117" t="s">
        <v>430</v>
      </c>
      <c r="B140" s="187">
        <v>67</v>
      </c>
      <c r="C140" s="189">
        <v>0</v>
      </c>
      <c r="D140">
        <f t="shared" si="2"/>
        <v>67</v>
      </c>
    </row>
    <row r="141" spans="1:4" ht="15.75" hidden="1" customHeight="1" x14ac:dyDescent="0.25">
      <c r="A141" s="117" t="s">
        <v>432</v>
      </c>
      <c r="B141" s="187">
        <v>54</v>
      </c>
      <c r="C141" s="189">
        <v>64</v>
      </c>
      <c r="D141">
        <f t="shared" si="2"/>
        <v>-10</v>
      </c>
    </row>
    <row r="142" spans="1:4" ht="15.75" hidden="1" customHeight="1" x14ac:dyDescent="0.25">
      <c r="A142" s="117" t="s">
        <v>381</v>
      </c>
      <c r="B142" s="187">
        <v>106</v>
      </c>
      <c r="C142" s="189">
        <v>56</v>
      </c>
      <c r="D142">
        <f t="shared" si="2"/>
        <v>50</v>
      </c>
    </row>
    <row r="143" spans="1:4" ht="15.75" customHeight="1" x14ac:dyDescent="0.25">
      <c r="A143" s="117" t="s">
        <v>476</v>
      </c>
      <c r="B143" s="187">
        <v>8</v>
      </c>
      <c r="C143" s="189">
        <v>40</v>
      </c>
      <c r="D143">
        <f t="shared" si="2"/>
        <v>-32</v>
      </c>
    </row>
    <row r="144" spans="1:4" ht="15.75" hidden="1" customHeight="1" x14ac:dyDescent="0.25">
      <c r="A144" s="117" t="s">
        <v>275</v>
      </c>
      <c r="B144" s="187">
        <v>116</v>
      </c>
      <c r="C144" s="189">
        <v>114</v>
      </c>
      <c r="D144">
        <f t="shared" si="2"/>
        <v>2</v>
      </c>
    </row>
    <row r="145" spans="1:4" ht="15.75" hidden="1" customHeight="1" x14ac:dyDescent="0.25">
      <c r="A145" s="117" t="s">
        <v>93</v>
      </c>
      <c r="B145" s="187">
        <v>94</v>
      </c>
      <c r="C145" s="189">
        <v>112</v>
      </c>
      <c r="D145">
        <f t="shared" si="2"/>
        <v>-18</v>
      </c>
    </row>
    <row r="146" spans="1:4" ht="15.75" hidden="1" customHeight="1" x14ac:dyDescent="0.25">
      <c r="A146" s="117" t="s">
        <v>52</v>
      </c>
      <c r="B146" s="187">
        <v>310</v>
      </c>
      <c r="C146" s="189">
        <v>160</v>
      </c>
      <c r="D146">
        <f t="shared" si="2"/>
        <v>150</v>
      </c>
    </row>
    <row r="147" spans="1:4" ht="15.75" hidden="1" customHeight="1" x14ac:dyDescent="0.25">
      <c r="A147" s="117" t="s">
        <v>450</v>
      </c>
      <c r="B147" s="187">
        <v>36</v>
      </c>
      <c r="C147" s="189">
        <v>6</v>
      </c>
      <c r="D147">
        <f t="shared" si="2"/>
        <v>30</v>
      </c>
    </row>
    <row r="148" spans="1:4" ht="15.75" hidden="1" customHeight="1" x14ac:dyDescent="0.25">
      <c r="A148" s="117" t="s">
        <v>769</v>
      </c>
      <c r="B148" s="187">
        <v>24</v>
      </c>
      <c r="C148" s="189">
        <v>6</v>
      </c>
      <c r="D148">
        <f t="shared" si="2"/>
        <v>18</v>
      </c>
    </row>
    <row r="149" spans="1:4" ht="15.75" hidden="1" customHeight="1" x14ac:dyDescent="0.25">
      <c r="A149" s="117" t="s">
        <v>370</v>
      </c>
      <c r="B149" s="187">
        <v>8</v>
      </c>
      <c r="C149" s="189">
        <v>17</v>
      </c>
      <c r="D149">
        <f t="shared" si="2"/>
        <v>-9</v>
      </c>
    </row>
    <row r="150" spans="1:4" ht="15.75" hidden="1" customHeight="1" x14ac:dyDescent="0.25">
      <c r="A150" s="117" t="s">
        <v>413</v>
      </c>
      <c r="B150" s="187">
        <v>26</v>
      </c>
      <c r="C150" s="189">
        <v>32</v>
      </c>
      <c r="D150">
        <f t="shared" si="2"/>
        <v>-6</v>
      </c>
    </row>
    <row r="151" spans="1:4" ht="15.75" hidden="1" customHeight="1" x14ac:dyDescent="0.25">
      <c r="A151" s="117" t="s">
        <v>186</v>
      </c>
      <c r="B151" s="187">
        <v>78</v>
      </c>
      <c r="C151" s="189">
        <v>74</v>
      </c>
      <c r="D151">
        <f t="shared" si="2"/>
        <v>4</v>
      </c>
    </row>
    <row r="152" spans="1:4" ht="15.75" hidden="1" customHeight="1" x14ac:dyDescent="0.25">
      <c r="A152" s="117" t="s">
        <v>252</v>
      </c>
      <c r="B152" s="187">
        <v>46</v>
      </c>
      <c r="C152" s="189">
        <v>24</v>
      </c>
      <c r="D152">
        <f t="shared" si="2"/>
        <v>22</v>
      </c>
    </row>
    <row r="153" spans="1:4" ht="15.75" hidden="1" customHeight="1" x14ac:dyDescent="0.25">
      <c r="A153" s="117" t="s">
        <v>451</v>
      </c>
      <c r="B153" s="187">
        <v>16</v>
      </c>
      <c r="C153" s="189">
        <v>38</v>
      </c>
      <c r="D153">
        <f t="shared" si="2"/>
        <v>-22</v>
      </c>
    </row>
    <row r="154" spans="1:4" ht="15.75" hidden="1" customHeight="1" x14ac:dyDescent="0.25">
      <c r="A154" s="117" t="s">
        <v>137</v>
      </c>
      <c r="B154" s="187">
        <v>44</v>
      </c>
      <c r="C154" s="189">
        <v>50</v>
      </c>
      <c r="D154">
        <f t="shared" si="2"/>
        <v>-6</v>
      </c>
    </row>
    <row r="155" spans="1:4" ht="15.75" customHeight="1" x14ac:dyDescent="0.25">
      <c r="A155" s="117" t="s">
        <v>503</v>
      </c>
      <c r="B155" s="187">
        <v>50</v>
      </c>
      <c r="C155" s="189">
        <v>26</v>
      </c>
      <c r="D155">
        <f t="shared" si="2"/>
        <v>24</v>
      </c>
    </row>
    <row r="156" spans="1:4" ht="15.75" hidden="1" customHeight="1" x14ac:dyDescent="0.25">
      <c r="A156" s="117" t="s">
        <v>108</v>
      </c>
      <c r="B156" s="187">
        <v>138</v>
      </c>
      <c r="C156" s="189">
        <v>88</v>
      </c>
      <c r="D156">
        <f t="shared" si="2"/>
        <v>50</v>
      </c>
    </row>
    <row r="157" spans="1:4" ht="15.75" hidden="1" customHeight="1" x14ac:dyDescent="0.25">
      <c r="A157" s="117" t="s">
        <v>1499</v>
      </c>
      <c r="B157" s="187">
        <v>14</v>
      </c>
      <c r="C157" s="189">
        <v>0</v>
      </c>
      <c r="D157">
        <f t="shared" si="2"/>
        <v>14</v>
      </c>
    </row>
    <row r="158" spans="1:4" ht="15.75" hidden="1" customHeight="1" x14ac:dyDescent="0.25">
      <c r="A158" s="117" t="s">
        <v>48</v>
      </c>
      <c r="B158" s="187">
        <v>460</v>
      </c>
      <c r="C158" s="189">
        <v>337</v>
      </c>
      <c r="D158">
        <f t="shared" si="2"/>
        <v>123</v>
      </c>
    </row>
    <row r="159" spans="1:4" ht="15.75" customHeight="1" x14ac:dyDescent="0.25">
      <c r="A159" s="117" t="s">
        <v>505</v>
      </c>
      <c r="B159" s="187">
        <v>40</v>
      </c>
      <c r="C159" s="189">
        <v>40</v>
      </c>
      <c r="D159">
        <f t="shared" si="2"/>
        <v>0</v>
      </c>
    </row>
    <row r="160" spans="1:4" ht="15.75" hidden="1" customHeight="1" x14ac:dyDescent="0.25">
      <c r="A160" s="117" t="s">
        <v>363</v>
      </c>
      <c r="B160" s="187">
        <v>92</v>
      </c>
      <c r="C160" s="189">
        <v>64</v>
      </c>
      <c r="D160">
        <f t="shared" si="2"/>
        <v>28</v>
      </c>
    </row>
    <row r="161" spans="1:7" ht="15.75" hidden="1" customHeight="1" x14ac:dyDescent="0.25">
      <c r="A161" s="117" t="s">
        <v>588</v>
      </c>
      <c r="B161" s="187">
        <v>26</v>
      </c>
      <c r="C161" s="189">
        <v>6</v>
      </c>
      <c r="D161">
        <f t="shared" si="2"/>
        <v>20</v>
      </c>
      <c r="F161" s="100"/>
      <c r="G161" s="99"/>
    </row>
    <row r="162" spans="1:7" ht="15.75" hidden="1" customHeight="1" x14ac:dyDescent="0.25">
      <c r="A162" s="117" t="s">
        <v>258</v>
      </c>
      <c r="B162" s="187">
        <v>14</v>
      </c>
      <c r="C162" s="189">
        <v>40</v>
      </c>
      <c r="D162">
        <f t="shared" si="2"/>
        <v>-26</v>
      </c>
      <c r="F162" s="100"/>
      <c r="G162" s="99"/>
    </row>
    <row r="163" spans="1:7" ht="15.75" hidden="1" customHeight="1" x14ac:dyDescent="0.25">
      <c r="A163" s="117" t="s">
        <v>114</v>
      </c>
      <c r="B163" s="187">
        <v>312</v>
      </c>
      <c r="C163" s="189">
        <v>192</v>
      </c>
      <c r="D163">
        <f t="shared" si="2"/>
        <v>120</v>
      </c>
      <c r="F163" s="100"/>
      <c r="G163" s="99"/>
    </row>
    <row r="164" spans="1:7" ht="15.75" hidden="1" customHeight="1" x14ac:dyDescent="0.25">
      <c r="A164" s="117" t="s">
        <v>683</v>
      </c>
      <c r="B164" s="187">
        <v>10</v>
      </c>
      <c r="C164" s="189">
        <v>12</v>
      </c>
      <c r="D164">
        <f t="shared" si="2"/>
        <v>-2</v>
      </c>
      <c r="F164" s="100"/>
      <c r="G164" s="99"/>
    </row>
    <row r="165" spans="1:7" ht="15.75" hidden="1" customHeight="1" x14ac:dyDescent="0.25">
      <c r="A165" s="117" t="s">
        <v>280</v>
      </c>
      <c r="B165" s="187">
        <v>76</v>
      </c>
      <c r="C165" s="189">
        <v>46</v>
      </c>
      <c r="D165">
        <f t="shared" si="2"/>
        <v>30</v>
      </c>
      <c r="F165" s="100"/>
      <c r="G165" s="99"/>
    </row>
    <row r="166" spans="1:7" ht="15.75" hidden="1" customHeight="1" x14ac:dyDescent="0.25">
      <c r="A166" s="123" t="s">
        <v>414</v>
      </c>
      <c r="B166" s="190">
        <v>86</v>
      </c>
      <c r="C166" s="192">
        <v>34</v>
      </c>
      <c r="D166">
        <f t="shared" si="2"/>
        <v>52</v>
      </c>
      <c r="F166" s="100"/>
      <c r="G166" s="99"/>
    </row>
    <row r="167" spans="1:7" ht="15.75" customHeight="1" x14ac:dyDescent="0.25">
      <c r="D167">
        <f t="shared" si="2"/>
        <v>0</v>
      </c>
      <c r="F167" s="87"/>
      <c r="G167" s="94"/>
    </row>
    <row r="168" spans="1:7" ht="15.75" hidden="1" customHeight="1" x14ac:dyDescent="0.25">
      <c r="D168">
        <f t="shared" si="2"/>
        <v>0</v>
      </c>
      <c r="F168" s="100">
        <f t="shared" ref="F168" si="3">A168</f>
        <v>0</v>
      </c>
      <c r="G168" s="99">
        <f t="shared" ref="G168" si="4">B168-C168</f>
        <v>0</v>
      </c>
    </row>
    <row r="169" spans="1:7" ht="15.75" customHeight="1" x14ac:dyDescent="0.25">
      <c r="G169" s="36"/>
    </row>
    <row r="170" spans="1:7" ht="15.75" customHeight="1" x14ac:dyDescent="0.25">
      <c r="G170" s="36"/>
    </row>
    <row r="171" spans="1:7" ht="15.75" customHeight="1" x14ac:dyDescent="0.25">
      <c r="G171" s="36"/>
    </row>
    <row r="172" spans="1:7" ht="15.75" customHeight="1" x14ac:dyDescent="0.25">
      <c r="F172" s="44" t="s">
        <v>2807</v>
      </c>
      <c r="G172" s="45" t="s">
        <v>2832</v>
      </c>
    </row>
    <row r="173" spans="1:7" ht="15.75" customHeight="1" x14ac:dyDescent="0.25">
      <c r="F173" s="86" t="str" cm="1">
        <f t="array" ref="F173:F182">_xlfn.TAKE(_xlfn._xlws.SORT(A$10:D$291, 4, 1),10,1)</f>
        <v>Mexico</v>
      </c>
      <c r="G173" s="101" cm="1">
        <f t="array" ref="G173:G182">_xlfn.TAKE(_xlfn._xlws.SORT(D$10:D$291, 1, 1),10,1)</f>
        <v>-72</v>
      </c>
    </row>
    <row r="174" spans="1:7" ht="15.75" customHeight="1" x14ac:dyDescent="0.25">
      <c r="F174" s="48" t="str">
        <v>Argentina</v>
      </c>
      <c r="G174" s="47">
        <v>-68</v>
      </c>
    </row>
    <row r="175" spans="1:7" ht="15.75" customHeight="1" x14ac:dyDescent="0.25">
      <c r="F175" s="50" t="str">
        <v>Russia</v>
      </c>
      <c r="G175" s="43">
        <v>-56</v>
      </c>
    </row>
    <row r="176" spans="1:7" ht="15.75" customHeight="1" x14ac:dyDescent="0.25">
      <c r="F176" s="51" t="str">
        <v>Hungary</v>
      </c>
      <c r="G176" s="47">
        <v>-48</v>
      </c>
    </row>
    <row r="177" spans="6:7" ht="15.75" customHeight="1" x14ac:dyDescent="0.25">
      <c r="F177" s="50" t="str">
        <v>Cuba</v>
      </c>
      <c r="G177" s="43">
        <v>-43</v>
      </c>
    </row>
    <row r="178" spans="6:7" ht="15.75" customHeight="1" x14ac:dyDescent="0.25">
      <c r="F178" s="52" t="str">
        <v>Norway</v>
      </c>
      <c r="G178" s="47">
        <v>-32</v>
      </c>
    </row>
    <row r="179" spans="6:7" ht="15.75" customHeight="1" x14ac:dyDescent="0.25">
      <c r="F179" s="50" t="str">
        <v>Syria</v>
      </c>
      <c r="G179" s="43">
        <v>-32</v>
      </c>
    </row>
    <row r="180" spans="6:7" ht="15.75" customHeight="1" x14ac:dyDescent="0.25">
      <c r="F180" s="52" t="str">
        <v>Slovakia</v>
      </c>
      <c r="G180" s="47">
        <v>-26</v>
      </c>
    </row>
    <row r="181" spans="6:7" ht="15.75" customHeight="1" x14ac:dyDescent="0.25">
      <c r="F181" s="50" t="str">
        <v>Venezuela</v>
      </c>
      <c r="G181" s="43">
        <v>-26</v>
      </c>
    </row>
    <row r="182" spans="6:7" ht="15.75" customHeight="1" x14ac:dyDescent="0.25">
      <c r="F182" s="52" t="str">
        <v>Czech Republic</v>
      </c>
      <c r="G182" s="47">
        <v>-24</v>
      </c>
    </row>
  </sheetData>
  <pageMargins left="0.7" right="0.7" top="0.75" bottom="0.75" header="0" footer="0"/>
  <pageSetup orientation="portrait"/>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B2156-9597-4450-A008-FDA19D0A974B}">
  <dimension ref="A1"/>
  <sheetViews>
    <sheetView topLeftCell="A115" workbookViewId="0">
      <selection activeCell="B2" sqref="B2"/>
    </sheetView>
  </sheetViews>
  <sheetFormatPr defaultRowHeight="15"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Worksheet" shapeId="60418" r:id="rId4">
          <objectPr defaultSize="0" r:id="rId5">
            <anchor moveWithCells="1">
              <from>
                <xdr:col>1</xdr:col>
                <xdr:colOff>0</xdr:colOff>
                <xdr:row>1</xdr:row>
                <xdr:rowOff>0</xdr:rowOff>
              </from>
              <to>
                <xdr:col>88</xdr:col>
                <xdr:colOff>409575</xdr:colOff>
                <xdr:row>235</xdr:row>
                <xdr:rowOff>152400</xdr:rowOff>
              </to>
            </anchor>
          </objectPr>
        </oleObject>
      </mc:Choice>
      <mc:Fallback>
        <oleObject progId="Worksheet" shapeId="60418" r:id="rId4"/>
      </mc:Fallback>
    </mc:AlternateContent>
  </oleObjec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67827-23CF-41EE-A12F-D68981C36C2B}">
  <dimension ref="A1:T14"/>
  <sheetViews>
    <sheetView workbookViewId="0">
      <selection activeCell="T26" sqref="T26"/>
    </sheetView>
  </sheetViews>
  <sheetFormatPr defaultRowHeight="15" x14ac:dyDescent="0.25"/>
  <cols>
    <col min="1" max="1" width="20" customWidth="1"/>
    <col min="2" max="19" width="5" customWidth="1"/>
  </cols>
  <sheetData>
    <row r="1" spans="1:20" x14ac:dyDescent="0.25">
      <c r="A1" s="12" t="s">
        <v>3210</v>
      </c>
    </row>
    <row r="5" spans="1:20" x14ac:dyDescent="0.25">
      <c r="A5" s="111" t="s">
        <v>2778</v>
      </c>
      <c r="B5" s="111" t="s">
        <v>8</v>
      </c>
      <c r="C5" s="112"/>
      <c r="D5" s="112"/>
      <c r="E5" s="112"/>
      <c r="F5" s="112"/>
      <c r="G5" s="112"/>
      <c r="H5" s="112"/>
      <c r="I5" s="112"/>
      <c r="J5" s="112"/>
      <c r="K5" s="112"/>
      <c r="L5" s="112"/>
      <c r="M5" s="112"/>
      <c r="N5" s="112"/>
      <c r="O5" s="112"/>
      <c r="P5" s="112"/>
      <c r="Q5" s="112"/>
      <c r="R5" s="112"/>
      <c r="S5" s="112"/>
      <c r="T5" s="113"/>
    </row>
    <row r="6" spans="1:20" x14ac:dyDescent="0.25">
      <c r="A6" s="136" t="s">
        <v>17</v>
      </c>
      <c r="B6" s="137">
        <v>2005</v>
      </c>
      <c r="C6" s="140">
        <v>2007</v>
      </c>
      <c r="D6" s="140">
        <v>2009</v>
      </c>
      <c r="E6" s="140">
        <v>2010</v>
      </c>
      <c r="F6" s="140">
        <v>2011</v>
      </c>
      <c r="G6" s="140">
        <v>2012</v>
      </c>
      <c r="H6" s="140">
        <v>2013</v>
      </c>
      <c r="I6" s="140">
        <v>2014</v>
      </c>
      <c r="J6" s="140">
        <v>2015</v>
      </c>
      <c r="K6" s="140">
        <v>2016</v>
      </c>
      <c r="L6" s="140">
        <v>2017</v>
      </c>
      <c r="M6" s="140">
        <v>2018</v>
      </c>
      <c r="N6" s="140">
        <v>2019</v>
      </c>
      <c r="O6" s="140">
        <v>2020</v>
      </c>
      <c r="P6" s="140">
        <v>2021</v>
      </c>
      <c r="Q6" s="140">
        <v>2022</v>
      </c>
      <c r="R6" s="140">
        <v>2023</v>
      </c>
      <c r="S6" s="140">
        <v>2024</v>
      </c>
      <c r="T6" s="122" t="s">
        <v>2779</v>
      </c>
    </row>
    <row r="7" spans="1:20" x14ac:dyDescent="0.25">
      <c r="A7" s="114" t="s">
        <v>594</v>
      </c>
      <c r="B7" s="184">
        <v>1</v>
      </c>
      <c r="C7" s="185">
        <v>1</v>
      </c>
      <c r="D7" s="185">
        <v>1</v>
      </c>
      <c r="E7" s="185">
        <v>3</v>
      </c>
      <c r="F7" s="185">
        <v>2</v>
      </c>
      <c r="G7" s="185">
        <v>3</v>
      </c>
      <c r="H7" s="185">
        <v>3</v>
      </c>
      <c r="I7" s="185">
        <v>5</v>
      </c>
      <c r="J7" s="185">
        <v>6</v>
      </c>
      <c r="K7" s="185">
        <v>5</v>
      </c>
      <c r="L7" s="185">
        <v>5</v>
      </c>
      <c r="M7" s="185">
        <v>7</v>
      </c>
      <c r="N7" s="185">
        <v>8</v>
      </c>
      <c r="O7" s="185">
        <v>3</v>
      </c>
      <c r="P7" s="185">
        <v>3</v>
      </c>
      <c r="Q7" s="185">
        <v>4</v>
      </c>
      <c r="R7" s="185">
        <v>4</v>
      </c>
      <c r="S7" s="185">
        <v>5</v>
      </c>
      <c r="T7" s="199">
        <v>69</v>
      </c>
    </row>
    <row r="8" spans="1:20" x14ac:dyDescent="0.25">
      <c r="A8" s="117" t="s">
        <v>866</v>
      </c>
      <c r="B8" s="187">
        <v>0</v>
      </c>
      <c r="C8" s="188">
        <v>0</v>
      </c>
      <c r="D8" s="188">
        <v>0</v>
      </c>
      <c r="E8" s="188">
        <v>2</v>
      </c>
      <c r="F8" s="188">
        <v>0</v>
      </c>
      <c r="G8" s="188">
        <v>1</v>
      </c>
      <c r="H8" s="188">
        <v>0</v>
      </c>
      <c r="I8" s="188">
        <v>3</v>
      </c>
      <c r="J8" s="188">
        <v>1</v>
      </c>
      <c r="K8" s="188">
        <v>5</v>
      </c>
      <c r="L8" s="188">
        <v>0</v>
      </c>
      <c r="M8" s="188">
        <v>0</v>
      </c>
      <c r="N8" s="188">
        <v>0</v>
      </c>
      <c r="O8" s="188">
        <v>0</v>
      </c>
      <c r="P8" s="188">
        <v>0</v>
      </c>
      <c r="Q8" s="188">
        <v>0</v>
      </c>
      <c r="R8" s="188">
        <v>2</v>
      </c>
      <c r="S8" s="188">
        <v>1</v>
      </c>
      <c r="T8" s="200">
        <v>15</v>
      </c>
    </row>
    <row r="9" spans="1:20" x14ac:dyDescent="0.25">
      <c r="A9" s="121" t="s">
        <v>2779</v>
      </c>
      <c r="B9" s="196">
        <v>1</v>
      </c>
      <c r="C9" s="197">
        <v>1</v>
      </c>
      <c r="D9" s="197">
        <v>1</v>
      </c>
      <c r="E9" s="197">
        <v>5</v>
      </c>
      <c r="F9" s="197">
        <v>2</v>
      </c>
      <c r="G9" s="197">
        <v>4</v>
      </c>
      <c r="H9" s="197">
        <v>3</v>
      </c>
      <c r="I9" s="197">
        <v>8</v>
      </c>
      <c r="J9" s="197">
        <v>7</v>
      </c>
      <c r="K9" s="197">
        <v>10</v>
      </c>
      <c r="L9" s="197">
        <v>5</v>
      </c>
      <c r="M9" s="197">
        <v>7</v>
      </c>
      <c r="N9" s="197">
        <v>8</v>
      </c>
      <c r="O9" s="197">
        <v>3</v>
      </c>
      <c r="P9" s="197">
        <v>3</v>
      </c>
      <c r="Q9" s="197">
        <v>4</v>
      </c>
      <c r="R9" s="197">
        <v>6</v>
      </c>
      <c r="S9" s="197">
        <v>6</v>
      </c>
      <c r="T9" s="198">
        <v>84</v>
      </c>
    </row>
    <row r="12" spans="1:20" x14ac:dyDescent="0.25">
      <c r="A12" s="137" t="s">
        <v>17</v>
      </c>
      <c r="B12" s="137">
        <v>2005</v>
      </c>
      <c r="C12" s="140">
        <v>2007</v>
      </c>
      <c r="D12" s="140">
        <v>2009</v>
      </c>
      <c r="E12" s="140">
        <v>2010</v>
      </c>
      <c r="F12" s="140">
        <v>2011</v>
      </c>
      <c r="G12" s="140">
        <v>2012</v>
      </c>
      <c r="H12" s="140">
        <v>2013</v>
      </c>
      <c r="I12" s="140">
        <v>2014</v>
      </c>
      <c r="J12" s="140">
        <v>2015</v>
      </c>
      <c r="K12" s="140">
        <v>2016</v>
      </c>
      <c r="L12" s="140">
        <v>2017</v>
      </c>
      <c r="M12" s="140">
        <v>2018</v>
      </c>
      <c r="N12" s="140">
        <v>2019</v>
      </c>
      <c r="O12" s="140">
        <v>2020</v>
      </c>
      <c r="P12" s="140">
        <v>2021</v>
      </c>
      <c r="Q12" s="140">
        <v>2022</v>
      </c>
      <c r="R12" s="140">
        <v>2023</v>
      </c>
      <c r="S12" s="140">
        <v>2024</v>
      </c>
    </row>
    <row r="13" spans="1:20" x14ac:dyDescent="0.25">
      <c r="A13" s="114" t="s">
        <v>594</v>
      </c>
      <c r="B13" s="114">
        <f>B7</f>
        <v>1</v>
      </c>
      <c r="C13" s="115">
        <f>C7</f>
        <v>1</v>
      </c>
      <c r="D13" s="114">
        <f t="shared" ref="D13:S13" si="0">D7</f>
        <v>1</v>
      </c>
      <c r="E13" s="115">
        <f t="shared" si="0"/>
        <v>3</v>
      </c>
      <c r="F13" s="114">
        <f t="shared" si="0"/>
        <v>2</v>
      </c>
      <c r="G13" s="115">
        <f t="shared" si="0"/>
        <v>3</v>
      </c>
      <c r="H13" s="114">
        <f t="shared" si="0"/>
        <v>3</v>
      </c>
      <c r="I13" s="115">
        <f t="shared" si="0"/>
        <v>5</v>
      </c>
      <c r="J13" s="114">
        <f t="shared" si="0"/>
        <v>6</v>
      </c>
      <c r="K13" s="115">
        <f t="shared" si="0"/>
        <v>5</v>
      </c>
      <c r="L13" s="114">
        <f t="shared" si="0"/>
        <v>5</v>
      </c>
      <c r="M13" s="115">
        <f t="shared" si="0"/>
        <v>7</v>
      </c>
      <c r="N13" s="114">
        <f t="shared" si="0"/>
        <v>8</v>
      </c>
      <c r="O13" s="115">
        <f t="shared" si="0"/>
        <v>3</v>
      </c>
      <c r="P13" s="114">
        <f t="shared" si="0"/>
        <v>3</v>
      </c>
      <c r="Q13" s="115">
        <f t="shared" si="0"/>
        <v>4</v>
      </c>
      <c r="R13" s="114">
        <f t="shared" si="0"/>
        <v>4</v>
      </c>
      <c r="S13" s="115">
        <f t="shared" si="0"/>
        <v>5</v>
      </c>
    </row>
    <row r="14" spans="1:20" x14ac:dyDescent="0.25">
      <c r="A14" s="117" t="s">
        <v>866</v>
      </c>
      <c r="B14" s="117">
        <f>B8</f>
        <v>0</v>
      </c>
      <c r="C14" s="68">
        <f>C8</f>
        <v>0</v>
      </c>
      <c r="D14" s="117">
        <f t="shared" ref="D14:S14" si="1">D8</f>
        <v>0</v>
      </c>
      <c r="E14" s="68">
        <f t="shared" si="1"/>
        <v>2</v>
      </c>
      <c r="F14" s="117">
        <f t="shared" si="1"/>
        <v>0</v>
      </c>
      <c r="G14" s="68">
        <f t="shared" si="1"/>
        <v>1</v>
      </c>
      <c r="H14" s="117">
        <f t="shared" si="1"/>
        <v>0</v>
      </c>
      <c r="I14" s="68">
        <f t="shared" si="1"/>
        <v>3</v>
      </c>
      <c r="J14" s="117">
        <f t="shared" si="1"/>
        <v>1</v>
      </c>
      <c r="K14" s="68">
        <f t="shared" si="1"/>
        <v>5</v>
      </c>
      <c r="L14" s="117">
        <f t="shared" si="1"/>
        <v>0</v>
      </c>
      <c r="M14" s="68">
        <f t="shared" si="1"/>
        <v>0</v>
      </c>
      <c r="N14" s="117">
        <f t="shared" si="1"/>
        <v>0</v>
      </c>
      <c r="O14" s="68">
        <f t="shared" si="1"/>
        <v>0</v>
      </c>
      <c r="P14" s="117">
        <f t="shared" si="1"/>
        <v>0</v>
      </c>
      <c r="Q14" s="68">
        <f t="shared" si="1"/>
        <v>0</v>
      </c>
      <c r="R14" s="117">
        <f t="shared" si="1"/>
        <v>2</v>
      </c>
      <c r="S14" s="68">
        <f t="shared" si="1"/>
        <v>1</v>
      </c>
    </row>
  </sheetData>
  <pageMargins left="0.7" right="0.7" top="0.75" bottom="0.75" header="0.3" footer="0.3"/>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F6DF-B252-404A-83FE-72F99AEB181F}">
  <dimension ref="A1:K178"/>
  <sheetViews>
    <sheetView topLeftCell="B28" workbookViewId="0">
      <selection activeCell="D27" sqref="D27"/>
    </sheetView>
  </sheetViews>
  <sheetFormatPr defaultRowHeight="15" x14ac:dyDescent="0.25"/>
  <cols>
    <col min="1" max="1" width="18" customWidth="1"/>
    <col min="2" max="2" width="15.28515625" customWidth="1"/>
    <col min="3" max="3" width="13.28515625" customWidth="1"/>
    <col min="4" max="4" width="14.7109375" customWidth="1"/>
    <col min="7" max="7" width="18.7109375" customWidth="1"/>
    <col min="8" max="8" width="15" customWidth="1"/>
    <col min="9" max="9" width="13.28515625" customWidth="1"/>
    <col min="10" max="10" width="15" customWidth="1"/>
  </cols>
  <sheetData>
    <row r="1" spans="1:11" x14ac:dyDescent="0.25">
      <c r="A1" s="107" t="s">
        <v>3211</v>
      </c>
      <c r="B1" s="106"/>
      <c r="C1" s="106"/>
      <c r="D1" s="106"/>
      <c r="E1" s="106"/>
      <c r="F1" s="106"/>
      <c r="G1" s="107" t="s">
        <v>3212</v>
      </c>
    </row>
    <row r="2" spans="1:11" x14ac:dyDescent="0.25">
      <c r="A2" s="103" t="s">
        <v>3213</v>
      </c>
      <c r="G2" s="103" t="s">
        <v>3213</v>
      </c>
    </row>
    <row r="3" spans="1:11" x14ac:dyDescent="0.25">
      <c r="A3" s="103"/>
      <c r="G3" s="103"/>
    </row>
    <row r="4" spans="1:11" x14ac:dyDescent="0.25">
      <c r="G4" s="120" t="s">
        <v>8</v>
      </c>
      <c r="H4" s="119" t="s">
        <v>2817</v>
      </c>
    </row>
    <row r="6" spans="1:11" x14ac:dyDescent="0.25">
      <c r="A6" s="111" t="s">
        <v>2778</v>
      </c>
      <c r="B6" s="111" t="s">
        <v>1</v>
      </c>
      <c r="C6" s="112"/>
      <c r="D6" s="112"/>
      <c r="E6" s="113"/>
      <c r="G6" s="111" t="s">
        <v>2778</v>
      </c>
      <c r="H6" s="111" t="s">
        <v>1</v>
      </c>
      <c r="I6" s="112"/>
      <c r="J6" s="112"/>
      <c r="K6" s="113"/>
    </row>
    <row r="7" spans="1:11" x14ac:dyDescent="0.25">
      <c r="A7" s="111" t="s">
        <v>7</v>
      </c>
      <c r="B7" s="114" t="s">
        <v>307</v>
      </c>
      <c r="C7" s="115" t="s">
        <v>26</v>
      </c>
      <c r="D7" s="115" t="s">
        <v>76</v>
      </c>
      <c r="E7" s="122" t="s">
        <v>2779</v>
      </c>
      <c r="G7" s="111" t="s">
        <v>7</v>
      </c>
      <c r="H7" s="114" t="s">
        <v>307</v>
      </c>
      <c r="I7" s="115" t="s">
        <v>26</v>
      </c>
      <c r="J7" s="115" t="s">
        <v>76</v>
      </c>
      <c r="K7" s="122" t="s">
        <v>2779</v>
      </c>
    </row>
    <row r="8" spans="1:11" x14ac:dyDescent="0.25">
      <c r="A8" s="114" t="s">
        <v>54</v>
      </c>
      <c r="B8" s="184">
        <v>59</v>
      </c>
      <c r="C8" s="185">
        <v>8</v>
      </c>
      <c r="D8" s="185">
        <v>97</v>
      </c>
      <c r="E8" s="199">
        <v>164</v>
      </c>
      <c r="G8" s="114" t="s">
        <v>54</v>
      </c>
      <c r="H8" s="184">
        <v>24</v>
      </c>
      <c r="I8" s="185">
        <v>2</v>
      </c>
      <c r="J8" s="185">
        <v>19</v>
      </c>
      <c r="K8" s="199">
        <v>45</v>
      </c>
    </row>
    <row r="9" spans="1:11" x14ac:dyDescent="0.25">
      <c r="A9" s="117" t="s">
        <v>42</v>
      </c>
      <c r="B9" s="187">
        <v>48</v>
      </c>
      <c r="C9" s="188">
        <v>14</v>
      </c>
      <c r="D9" s="188">
        <v>85</v>
      </c>
      <c r="E9" s="200">
        <v>147</v>
      </c>
      <c r="G9" s="117" t="s">
        <v>42</v>
      </c>
      <c r="H9" s="187">
        <v>10</v>
      </c>
      <c r="I9" s="188">
        <v>0</v>
      </c>
      <c r="J9" s="188">
        <v>14</v>
      </c>
      <c r="K9" s="200">
        <v>24</v>
      </c>
    </row>
    <row r="10" spans="1:11" x14ac:dyDescent="0.25">
      <c r="A10" s="117" t="s">
        <v>48</v>
      </c>
      <c r="B10" s="187">
        <v>18</v>
      </c>
      <c r="C10" s="188">
        <v>10</v>
      </c>
      <c r="D10" s="188">
        <v>114</v>
      </c>
      <c r="E10" s="200">
        <v>142</v>
      </c>
      <c r="G10" s="117" t="s">
        <v>52</v>
      </c>
      <c r="H10" s="187">
        <v>9</v>
      </c>
      <c r="I10" s="188">
        <v>2</v>
      </c>
      <c r="J10" s="188">
        <v>8</v>
      </c>
      <c r="K10" s="200">
        <v>19</v>
      </c>
    </row>
    <row r="11" spans="1:11" x14ac:dyDescent="0.25">
      <c r="A11" s="117" t="s">
        <v>52</v>
      </c>
      <c r="B11" s="187">
        <v>32</v>
      </c>
      <c r="C11" s="188">
        <v>14</v>
      </c>
      <c r="D11" s="188">
        <v>62</v>
      </c>
      <c r="E11" s="200">
        <v>108</v>
      </c>
      <c r="G11" s="117" t="s">
        <v>194</v>
      </c>
      <c r="H11" s="187">
        <v>6</v>
      </c>
      <c r="I11" s="188">
        <v>2</v>
      </c>
      <c r="J11" s="188">
        <v>10</v>
      </c>
      <c r="K11" s="200">
        <v>18</v>
      </c>
    </row>
    <row r="12" spans="1:11" x14ac:dyDescent="0.25">
      <c r="A12" s="117" t="s">
        <v>194</v>
      </c>
      <c r="B12" s="187">
        <v>13</v>
      </c>
      <c r="C12" s="188">
        <v>13</v>
      </c>
      <c r="D12" s="188">
        <v>59</v>
      </c>
      <c r="E12" s="200">
        <v>85</v>
      </c>
      <c r="G12" s="117" t="s">
        <v>114</v>
      </c>
      <c r="H12" s="187">
        <v>1</v>
      </c>
      <c r="I12" s="188">
        <v>3</v>
      </c>
      <c r="J12" s="188">
        <v>14</v>
      </c>
      <c r="K12" s="200">
        <v>18</v>
      </c>
    </row>
    <row r="13" spans="1:11" x14ac:dyDescent="0.25">
      <c r="A13" s="117" t="s">
        <v>73</v>
      </c>
      <c r="B13" s="187">
        <v>23</v>
      </c>
      <c r="C13" s="188">
        <v>12</v>
      </c>
      <c r="D13" s="188">
        <v>50</v>
      </c>
      <c r="E13" s="200">
        <v>85</v>
      </c>
      <c r="G13" s="117" t="s">
        <v>48</v>
      </c>
      <c r="H13" s="187">
        <v>1</v>
      </c>
      <c r="I13" s="188">
        <v>0</v>
      </c>
      <c r="J13" s="188">
        <v>16</v>
      </c>
      <c r="K13" s="200">
        <v>17</v>
      </c>
    </row>
    <row r="14" spans="1:11" x14ac:dyDescent="0.25">
      <c r="A14" s="117" t="s">
        <v>114</v>
      </c>
      <c r="B14" s="187">
        <v>3</v>
      </c>
      <c r="C14" s="188">
        <v>10</v>
      </c>
      <c r="D14" s="188">
        <v>64</v>
      </c>
      <c r="E14" s="200">
        <v>77</v>
      </c>
      <c r="G14" s="117" t="s">
        <v>438</v>
      </c>
      <c r="H14" s="187">
        <v>4</v>
      </c>
      <c r="I14" s="188">
        <v>1</v>
      </c>
      <c r="J14" s="188">
        <v>11</v>
      </c>
      <c r="K14" s="200">
        <v>16</v>
      </c>
    </row>
    <row r="15" spans="1:11" x14ac:dyDescent="0.25">
      <c r="A15" s="117" t="s">
        <v>59</v>
      </c>
      <c r="B15" s="187">
        <v>12</v>
      </c>
      <c r="C15" s="188">
        <v>12</v>
      </c>
      <c r="D15" s="188">
        <v>40</v>
      </c>
      <c r="E15" s="200">
        <v>64</v>
      </c>
      <c r="G15" s="117" t="s">
        <v>242</v>
      </c>
      <c r="H15" s="187">
        <v>4</v>
      </c>
      <c r="I15" s="188">
        <v>0</v>
      </c>
      <c r="J15" s="188">
        <v>9</v>
      </c>
      <c r="K15" s="200">
        <v>13</v>
      </c>
    </row>
    <row r="16" spans="1:11" x14ac:dyDescent="0.25">
      <c r="A16" s="117" t="s">
        <v>75</v>
      </c>
      <c r="B16" s="187">
        <v>4</v>
      </c>
      <c r="C16" s="188">
        <v>10</v>
      </c>
      <c r="D16" s="188">
        <v>45</v>
      </c>
      <c r="E16" s="200">
        <v>59</v>
      </c>
      <c r="G16" s="117" t="s">
        <v>59</v>
      </c>
      <c r="H16" s="187">
        <v>3</v>
      </c>
      <c r="I16" s="188">
        <v>4</v>
      </c>
      <c r="J16" s="188">
        <v>6</v>
      </c>
      <c r="K16" s="200">
        <v>13</v>
      </c>
    </row>
    <row r="17" spans="1:11" x14ac:dyDescent="0.25">
      <c r="A17" s="117" t="s">
        <v>438</v>
      </c>
      <c r="B17" s="187">
        <v>7</v>
      </c>
      <c r="C17" s="188">
        <v>6</v>
      </c>
      <c r="D17" s="188">
        <v>44</v>
      </c>
      <c r="E17" s="200">
        <v>57</v>
      </c>
      <c r="G17" s="117" t="s">
        <v>92</v>
      </c>
      <c r="H17" s="187">
        <v>1</v>
      </c>
      <c r="I17" s="188">
        <v>3</v>
      </c>
      <c r="J17" s="188">
        <v>4</v>
      </c>
      <c r="K17" s="200">
        <v>8</v>
      </c>
    </row>
    <row r="18" spans="1:11" x14ac:dyDescent="0.25">
      <c r="A18" s="117" t="s">
        <v>130</v>
      </c>
      <c r="B18" s="187">
        <v>1</v>
      </c>
      <c r="C18" s="188">
        <v>3</v>
      </c>
      <c r="D18" s="188">
        <v>50</v>
      </c>
      <c r="E18" s="200">
        <v>54</v>
      </c>
      <c r="G18" s="117" t="s">
        <v>888</v>
      </c>
      <c r="H18" s="187">
        <v>1</v>
      </c>
      <c r="I18" s="188">
        <v>0</v>
      </c>
      <c r="J18" s="188">
        <v>7</v>
      </c>
      <c r="K18" s="200">
        <v>8</v>
      </c>
    </row>
    <row r="19" spans="1:11" x14ac:dyDescent="0.25">
      <c r="A19" s="117" t="s">
        <v>53</v>
      </c>
      <c r="B19" s="187">
        <v>12</v>
      </c>
      <c r="C19" s="188">
        <v>6</v>
      </c>
      <c r="D19" s="188">
        <v>36</v>
      </c>
      <c r="E19" s="200">
        <v>54</v>
      </c>
      <c r="G19" s="117" t="s">
        <v>46</v>
      </c>
      <c r="H19" s="187">
        <v>0</v>
      </c>
      <c r="I19" s="188">
        <v>0</v>
      </c>
      <c r="J19" s="188">
        <v>8</v>
      </c>
      <c r="K19" s="200">
        <v>8</v>
      </c>
    </row>
    <row r="20" spans="1:11" x14ac:dyDescent="0.25">
      <c r="A20" s="117" t="s">
        <v>171</v>
      </c>
      <c r="B20" s="187">
        <v>7</v>
      </c>
      <c r="C20" s="188">
        <v>0</v>
      </c>
      <c r="D20" s="188">
        <v>45</v>
      </c>
      <c r="E20" s="200">
        <v>52</v>
      </c>
      <c r="G20" s="117" t="s">
        <v>79</v>
      </c>
      <c r="H20" s="187">
        <v>1</v>
      </c>
      <c r="I20" s="188">
        <v>0</v>
      </c>
      <c r="J20" s="188">
        <v>7</v>
      </c>
      <c r="K20" s="200">
        <v>8</v>
      </c>
    </row>
    <row r="21" spans="1:11" x14ac:dyDescent="0.25">
      <c r="A21" s="117" t="s">
        <v>242</v>
      </c>
      <c r="B21" s="187">
        <v>7</v>
      </c>
      <c r="C21" s="188">
        <v>1</v>
      </c>
      <c r="D21" s="188">
        <v>41</v>
      </c>
      <c r="E21" s="200">
        <v>49</v>
      </c>
      <c r="G21" s="117" t="s">
        <v>244</v>
      </c>
      <c r="H21" s="187">
        <v>3</v>
      </c>
      <c r="I21" s="188">
        <v>0</v>
      </c>
      <c r="J21" s="188">
        <v>5</v>
      </c>
      <c r="K21" s="200">
        <v>8</v>
      </c>
    </row>
    <row r="22" spans="1:11" x14ac:dyDescent="0.25">
      <c r="A22" s="117" t="s">
        <v>67</v>
      </c>
      <c r="B22" s="187">
        <v>5</v>
      </c>
      <c r="C22" s="188">
        <v>11</v>
      </c>
      <c r="D22" s="188">
        <v>33</v>
      </c>
      <c r="E22" s="200">
        <v>49</v>
      </c>
      <c r="G22" s="117" t="s">
        <v>67</v>
      </c>
      <c r="H22" s="187">
        <v>0</v>
      </c>
      <c r="I22" s="188">
        <v>3</v>
      </c>
      <c r="J22" s="188">
        <v>4</v>
      </c>
      <c r="K22" s="200">
        <v>7</v>
      </c>
    </row>
    <row r="23" spans="1:11" x14ac:dyDescent="0.25">
      <c r="A23" s="117" t="s">
        <v>111</v>
      </c>
      <c r="B23" s="187">
        <v>10</v>
      </c>
      <c r="C23" s="188">
        <v>9</v>
      </c>
      <c r="D23" s="188">
        <v>28</v>
      </c>
      <c r="E23" s="200">
        <v>47</v>
      </c>
      <c r="G23" s="117" t="s">
        <v>421</v>
      </c>
      <c r="H23" s="187">
        <v>3</v>
      </c>
      <c r="I23" s="188">
        <v>0</v>
      </c>
      <c r="J23" s="188">
        <v>4</v>
      </c>
      <c r="K23" s="200">
        <v>7</v>
      </c>
    </row>
    <row r="24" spans="1:11" x14ac:dyDescent="0.25">
      <c r="A24" s="117" t="s">
        <v>107</v>
      </c>
      <c r="B24" s="187">
        <v>2</v>
      </c>
      <c r="C24" s="188">
        <v>6</v>
      </c>
      <c r="D24" s="188">
        <v>37</v>
      </c>
      <c r="E24" s="200">
        <v>45</v>
      </c>
      <c r="G24" s="117" t="s">
        <v>171</v>
      </c>
      <c r="H24" s="187">
        <v>1</v>
      </c>
      <c r="I24" s="188">
        <v>0</v>
      </c>
      <c r="J24" s="188">
        <v>5</v>
      </c>
      <c r="K24" s="200">
        <v>6</v>
      </c>
    </row>
    <row r="25" spans="1:11" x14ac:dyDescent="0.25">
      <c r="A25" s="117" t="s">
        <v>32</v>
      </c>
      <c r="B25" s="187">
        <v>4</v>
      </c>
      <c r="C25" s="188">
        <v>11</v>
      </c>
      <c r="D25" s="188">
        <v>29</v>
      </c>
      <c r="E25" s="200">
        <v>44</v>
      </c>
      <c r="G25" s="117" t="s">
        <v>32</v>
      </c>
      <c r="H25" s="187">
        <v>1</v>
      </c>
      <c r="I25" s="188">
        <v>3</v>
      </c>
      <c r="J25" s="188">
        <v>2</v>
      </c>
      <c r="K25" s="200">
        <v>6</v>
      </c>
    </row>
    <row r="26" spans="1:11" x14ac:dyDescent="0.25">
      <c r="A26" s="117" t="s">
        <v>79</v>
      </c>
      <c r="B26" s="187">
        <v>14</v>
      </c>
      <c r="C26" s="188">
        <v>0</v>
      </c>
      <c r="D26" s="188">
        <v>30</v>
      </c>
      <c r="E26" s="200">
        <v>44</v>
      </c>
      <c r="G26" s="117" t="s">
        <v>409</v>
      </c>
      <c r="H26" s="187">
        <v>0</v>
      </c>
      <c r="I26" s="188">
        <v>0</v>
      </c>
      <c r="J26" s="188">
        <v>6</v>
      </c>
      <c r="K26" s="200">
        <v>6</v>
      </c>
    </row>
    <row r="27" spans="1:11" x14ac:dyDescent="0.25">
      <c r="A27" s="117" t="s">
        <v>92</v>
      </c>
      <c r="B27" s="187">
        <v>4</v>
      </c>
      <c r="C27" s="188">
        <v>12</v>
      </c>
      <c r="D27" s="188">
        <v>27</v>
      </c>
      <c r="E27" s="200">
        <v>43</v>
      </c>
      <c r="G27" s="117" t="s">
        <v>159</v>
      </c>
      <c r="H27" s="187">
        <v>0</v>
      </c>
      <c r="I27" s="188">
        <v>0</v>
      </c>
      <c r="J27" s="188">
        <v>6</v>
      </c>
      <c r="K27" s="200">
        <v>6</v>
      </c>
    </row>
    <row r="28" spans="1:11" x14ac:dyDescent="0.25">
      <c r="A28" s="117" t="s">
        <v>43</v>
      </c>
      <c r="B28" s="187">
        <v>9</v>
      </c>
      <c r="C28" s="188">
        <v>16</v>
      </c>
      <c r="D28" s="188">
        <v>18</v>
      </c>
      <c r="E28" s="200">
        <v>43</v>
      </c>
      <c r="G28" s="117" t="s">
        <v>93</v>
      </c>
      <c r="H28" s="187">
        <v>1</v>
      </c>
      <c r="I28" s="188">
        <v>2</v>
      </c>
      <c r="J28" s="188">
        <v>2</v>
      </c>
      <c r="K28" s="200">
        <v>5</v>
      </c>
    </row>
    <row r="29" spans="1:11" x14ac:dyDescent="0.25">
      <c r="A29" s="117" t="s">
        <v>37</v>
      </c>
      <c r="B29" s="187">
        <v>2</v>
      </c>
      <c r="C29" s="188">
        <v>6</v>
      </c>
      <c r="D29" s="188">
        <v>35</v>
      </c>
      <c r="E29" s="200">
        <v>43</v>
      </c>
      <c r="G29" s="117" t="s">
        <v>503</v>
      </c>
      <c r="H29" s="187">
        <v>1</v>
      </c>
      <c r="I29" s="188">
        <v>2</v>
      </c>
      <c r="J29" s="188">
        <v>2</v>
      </c>
      <c r="K29" s="200">
        <v>5</v>
      </c>
    </row>
    <row r="30" spans="1:11" x14ac:dyDescent="0.25">
      <c r="A30" s="117" t="s">
        <v>108</v>
      </c>
      <c r="B30" s="187">
        <v>3</v>
      </c>
      <c r="C30" s="188">
        <v>4</v>
      </c>
      <c r="D30" s="188">
        <v>34</v>
      </c>
      <c r="E30" s="200">
        <v>41</v>
      </c>
      <c r="G30" s="117" t="s">
        <v>111</v>
      </c>
      <c r="H30" s="187">
        <v>0</v>
      </c>
      <c r="I30" s="188">
        <v>0</v>
      </c>
      <c r="J30" s="188">
        <v>5</v>
      </c>
      <c r="K30" s="200">
        <v>5</v>
      </c>
    </row>
    <row r="31" spans="1:11" x14ac:dyDescent="0.25">
      <c r="A31" s="117" t="s">
        <v>117</v>
      </c>
      <c r="B31" s="187">
        <v>2</v>
      </c>
      <c r="C31" s="188">
        <v>5</v>
      </c>
      <c r="D31" s="188">
        <v>33</v>
      </c>
      <c r="E31" s="200">
        <v>40</v>
      </c>
      <c r="G31" s="117" t="s">
        <v>75</v>
      </c>
      <c r="H31" s="187">
        <v>0</v>
      </c>
      <c r="I31" s="188">
        <v>0</v>
      </c>
      <c r="J31" s="188">
        <v>5</v>
      </c>
      <c r="K31" s="200">
        <v>5</v>
      </c>
    </row>
    <row r="32" spans="1:11" x14ac:dyDescent="0.25">
      <c r="A32" s="117" t="s">
        <v>296</v>
      </c>
      <c r="B32" s="187">
        <v>1</v>
      </c>
      <c r="C32" s="188">
        <v>3</v>
      </c>
      <c r="D32" s="188">
        <v>35</v>
      </c>
      <c r="E32" s="200">
        <v>39</v>
      </c>
      <c r="G32" s="117" t="s">
        <v>69</v>
      </c>
      <c r="H32" s="187">
        <v>1</v>
      </c>
      <c r="I32" s="188">
        <v>1</v>
      </c>
      <c r="J32" s="188">
        <v>3</v>
      </c>
      <c r="K32" s="200">
        <v>5</v>
      </c>
    </row>
    <row r="33" spans="1:11" x14ac:dyDescent="0.25">
      <c r="A33" s="117" t="s">
        <v>104</v>
      </c>
      <c r="B33" s="187">
        <v>3</v>
      </c>
      <c r="C33" s="188">
        <v>4</v>
      </c>
      <c r="D33" s="188">
        <v>32</v>
      </c>
      <c r="E33" s="200">
        <v>39</v>
      </c>
      <c r="G33" s="117" t="s">
        <v>108</v>
      </c>
      <c r="H33" s="187">
        <v>0</v>
      </c>
      <c r="I33" s="188">
        <v>0</v>
      </c>
      <c r="J33" s="188">
        <v>5</v>
      </c>
      <c r="K33" s="200">
        <v>5</v>
      </c>
    </row>
    <row r="34" spans="1:11" x14ac:dyDescent="0.25">
      <c r="A34" s="117" t="s">
        <v>564</v>
      </c>
      <c r="B34" s="187">
        <v>4</v>
      </c>
      <c r="C34" s="188">
        <v>28</v>
      </c>
      <c r="D34" s="188">
        <v>7</v>
      </c>
      <c r="E34" s="200">
        <v>39</v>
      </c>
      <c r="G34" s="117" t="s">
        <v>411</v>
      </c>
      <c r="H34" s="187">
        <v>1</v>
      </c>
      <c r="I34" s="188">
        <v>2</v>
      </c>
      <c r="J34" s="188">
        <v>2</v>
      </c>
      <c r="K34" s="200">
        <v>5</v>
      </c>
    </row>
    <row r="35" spans="1:11" x14ac:dyDescent="0.25">
      <c r="A35" s="117" t="s">
        <v>93</v>
      </c>
      <c r="B35" s="187">
        <v>4</v>
      </c>
      <c r="C35" s="188">
        <v>7</v>
      </c>
      <c r="D35" s="188">
        <v>27</v>
      </c>
      <c r="E35" s="200">
        <v>38</v>
      </c>
      <c r="G35" s="117" t="s">
        <v>53</v>
      </c>
      <c r="H35" s="187">
        <v>0</v>
      </c>
      <c r="I35" s="188">
        <v>0</v>
      </c>
      <c r="J35" s="188">
        <v>4</v>
      </c>
      <c r="K35" s="200">
        <v>4</v>
      </c>
    </row>
    <row r="36" spans="1:11" x14ac:dyDescent="0.25">
      <c r="A36" s="117" t="s">
        <v>159</v>
      </c>
      <c r="B36" s="187">
        <v>3</v>
      </c>
      <c r="C36" s="188">
        <v>0</v>
      </c>
      <c r="D36" s="188">
        <v>35</v>
      </c>
      <c r="E36" s="200">
        <v>38</v>
      </c>
      <c r="G36" s="117" t="s">
        <v>275</v>
      </c>
      <c r="H36" s="187">
        <v>0</v>
      </c>
      <c r="I36" s="188">
        <v>0</v>
      </c>
      <c r="J36" s="188">
        <v>4</v>
      </c>
      <c r="K36" s="200">
        <v>4</v>
      </c>
    </row>
    <row r="37" spans="1:11" x14ac:dyDescent="0.25">
      <c r="A37" s="117" t="s">
        <v>244</v>
      </c>
      <c r="B37" s="187">
        <v>12</v>
      </c>
      <c r="C37" s="188">
        <v>0</v>
      </c>
      <c r="D37" s="188">
        <v>26</v>
      </c>
      <c r="E37" s="200">
        <v>38</v>
      </c>
      <c r="G37" s="117" t="s">
        <v>43</v>
      </c>
      <c r="H37" s="187">
        <v>0</v>
      </c>
      <c r="I37" s="188">
        <v>3</v>
      </c>
      <c r="J37" s="188">
        <v>1</v>
      </c>
      <c r="K37" s="200">
        <v>4</v>
      </c>
    </row>
    <row r="38" spans="1:11" x14ac:dyDescent="0.25">
      <c r="A38" s="117" t="s">
        <v>232</v>
      </c>
      <c r="B38" s="187">
        <v>0</v>
      </c>
      <c r="C38" s="188">
        <v>2</v>
      </c>
      <c r="D38" s="188">
        <v>35</v>
      </c>
      <c r="E38" s="200">
        <v>37</v>
      </c>
      <c r="G38" s="117" t="s">
        <v>756</v>
      </c>
      <c r="H38" s="187">
        <v>1</v>
      </c>
      <c r="I38" s="188">
        <v>0</v>
      </c>
      <c r="J38" s="188">
        <v>3</v>
      </c>
      <c r="K38" s="200">
        <v>4</v>
      </c>
    </row>
    <row r="39" spans="1:11" x14ac:dyDescent="0.25">
      <c r="A39" s="117" t="s">
        <v>409</v>
      </c>
      <c r="B39" s="187">
        <v>0</v>
      </c>
      <c r="C39" s="188">
        <v>2</v>
      </c>
      <c r="D39" s="188">
        <v>34</v>
      </c>
      <c r="E39" s="200">
        <v>36</v>
      </c>
      <c r="G39" s="117" t="s">
        <v>653</v>
      </c>
      <c r="H39" s="187">
        <v>0</v>
      </c>
      <c r="I39" s="188">
        <v>1</v>
      </c>
      <c r="J39" s="188">
        <v>2</v>
      </c>
      <c r="K39" s="200">
        <v>3</v>
      </c>
    </row>
    <row r="40" spans="1:11" x14ac:dyDescent="0.25">
      <c r="A40" s="117" t="s">
        <v>69</v>
      </c>
      <c r="B40" s="187">
        <v>1</v>
      </c>
      <c r="C40" s="188">
        <v>8</v>
      </c>
      <c r="D40" s="188">
        <v>27</v>
      </c>
      <c r="E40" s="200">
        <v>36</v>
      </c>
      <c r="G40" s="117" t="s">
        <v>178</v>
      </c>
      <c r="H40" s="187">
        <v>1</v>
      </c>
      <c r="I40" s="188">
        <v>1</v>
      </c>
      <c r="J40" s="188">
        <v>1</v>
      </c>
      <c r="K40" s="200">
        <v>3</v>
      </c>
    </row>
    <row r="41" spans="1:11" x14ac:dyDescent="0.25">
      <c r="A41" s="117" t="s">
        <v>168</v>
      </c>
      <c r="B41" s="187">
        <v>2</v>
      </c>
      <c r="C41" s="188">
        <v>1</v>
      </c>
      <c r="D41" s="188">
        <v>32</v>
      </c>
      <c r="E41" s="200">
        <v>35</v>
      </c>
      <c r="G41" s="117" t="s">
        <v>1859</v>
      </c>
      <c r="H41" s="187">
        <v>0</v>
      </c>
      <c r="I41" s="188">
        <v>0</v>
      </c>
      <c r="J41" s="188">
        <v>3</v>
      </c>
      <c r="K41" s="200">
        <v>3</v>
      </c>
    </row>
    <row r="42" spans="1:11" x14ac:dyDescent="0.25">
      <c r="A42" s="117" t="s">
        <v>888</v>
      </c>
      <c r="B42" s="187">
        <v>12</v>
      </c>
      <c r="C42" s="188">
        <v>0</v>
      </c>
      <c r="D42" s="188">
        <v>22</v>
      </c>
      <c r="E42" s="200">
        <v>34</v>
      </c>
      <c r="G42" s="117" t="s">
        <v>722</v>
      </c>
      <c r="H42" s="187">
        <v>0</v>
      </c>
      <c r="I42" s="188">
        <v>0</v>
      </c>
      <c r="J42" s="188">
        <v>3</v>
      </c>
      <c r="K42" s="200">
        <v>3</v>
      </c>
    </row>
    <row r="43" spans="1:11" x14ac:dyDescent="0.25">
      <c r="A43" s="117" t="s">
        <v>275</v>
      </c>
      <c r="B43" s="187">
        <v>4</v>
      </c>
      <c r="C43" s="188">
        <v>0</v>
      </c>
      <c r="D43" s="188">
        <v>29</v>
      </c>
      <c r="E43" s="200">
        <v>33</v>
      </c>
      <c r="G43" s="117" t="s">
        <v>163</v>
      </c>
      <c r="H43" s="187">
        <v>2</v>
      </c>
      <c r="I43" s="188">
        <v>0</v>
      </c>
      <c r="J43" s="188">
        <v>1</v>
      </c>
      <c r="K43" s="200">
        <v>3</v>
      </c>
    </row>
    <row r="44" spans="1:11" x14ac:dyDescent="0.25">
      <c r="A44" s="117" t="s">
        <v>208</v>
      </c>
      <c r="B44" s="187">
        <v>2</v>
      </c>
      <c r="C44" s="188">
        <v>3</v>
      </c>
      <c r="D44" s="188">
        <v>28</v>
      </c>
      <c r="E44" s="200">
        <v>33</v>
      </c>
      <c r="G44" s="117" t="s">
        <v>564</v>
      </c>
      <c r="H44" s="187">
        <v>2</v>
      </c>
      <c r="I44" s="188">
        <v>1</v>
      </c>
      <c r="J44" s="188">
        <v>0</v>
      </c>
      <c r="K44" s="200">
        <v>3</v>
      </c>
    </row>
    <row r="45" spans="1:11" x14ac:dyDescent="0.25">
      <c r="A45" s="117" t="s">
        <v>784</v>
      </c>
      <c r="B45" s="187">
        <v>1</v>
      </c>
      <c r="C45" s="188">
        <v>28</v>
      </c>
      <c r="D45" s="188">
        <v>4</v>
      </c>
      <c r="E45" s="200">
        <v>33</v>
      </c>
      <c r="G45" s="117" t="s">
        <v>252</v>
      </c>
      <c r="H45" s="187">
        <v>0</v>
      </c>
      <c r="I45" s="188">
        <v>0</v>
      </c>
      <c r="J45" s="188">
        <v>3</v>
      </c>
      <c r="K45" s="200">
        <v>3</v>
      </c>
    </row>
    <row r="46" spans="1:11" x14ac:dyDescent="0.25">
      <c r="A46" s="117" t="s">
        <v>153</v>
      </c>
      <c r="B46" s="187">
        <v>2</v>
      </c>
      <c r="C46" s="188">
        <v>6</v>
      </c>
      <c r="D46" s="188">
        <v>23</v>
      </c>
      <c r="E46" s="200">
        <v>31</v>
      </c>
      <c r="G46" s="117" t="s">
        <v>208</v>
      </c>
      <c r="H46" s="187">
        <v>1</v>
      </c>
      <c r="I46" s="188">
        <v>0</v>
      </c>
      <c r="J46" s="188">
        <v>2</v>
      </c>
      <c r="K46" s="200">
        <v>3</v>
      </c>
    </row>
    <row r="47" spans="1:11" x14ac:dyDescent="0.25">
      <c r="A47" s="117" t="s">
        <v>161</v>
      </c>
      <c r="B47" s="187">
        <v>3</v>
      </c>
      <c r="C47" s="188">
        <v>0</v>
      </c>
      <c r="D47" s="188">
        <v>28</v>
      </c>
      <c r="E47" s="200">
        <v>31</v>
      </c>
      <c r="G47" s="117" t="s">
        <v>752</v>
      </c>
      <c r="H47" s="187">
        <v>0</v>
      </c>
      <c r="I47" s="188">
        <v>2</v>
      </c>
      <c r="J47" s="188">
        <v>1</v>
      </c>
      <c r="K47" s="200">
        <v>3</v>
      </c>
    </row>
    <row r="48" spans="1:11" x14ac:dyDescent="0.25">
      <c r="A48" s="117" t="s">
        <v>186</v>
      </c>
      <c r="B48" s="187">
        <v>3</v>
      </c>
      <c r="C48" s="188">
        <v>4</v>
      </c>
      <c r="D48" s="188">
        <v>19</v>
      </c>
      <c r="E48" s="200">
        <v>26</v>
      </c>
      <c r="G48" s="117" t="s">
        <v>298</v>
      </c>
      <c r="H48" s="187">
        <v>0</v>
      </c>
      <c r="I48" s="188">
        <v>2</v>
      </c>
      <c r="J48" s="188">
        <v>1</v>
      </c>
      <c r="K48" s="200">
        <v>3</v>
      </c>
    </row>
    <row r="49" spans="1:11" x14ac:dyDescent="0.25">
      <c r="A49" s="117" t="s">
        <v>63</v>
      </c>
      <c r="B49" s="187">
        <v>0</v>
      </c>
      <c r="C49" s="188">
        <v>1</v>
      </c>
      <c r="D49" s="188">
        <v>25</v>
      </c>
      <c r="E49" s="200">
        <v>26</v>
      </c>
      <c r="G49" s="117" t="s">
        <v>130</v>
      </c>
      <c r="H49" s="187">
        <v>0</v>
      </c>
      <c r="I49" s="188">
        <v>0</v>
      </c>
      <c r="J49" s="188">
        <v>3</v>
      </c>
      <c r="K49" s="200">
        <v>3</v>
      </c>
    </row>
    <row r="50" spans="1:11" x14ac:dyDescent="0.25">
      <c r="A50" s="117" t="s">
        <v>405</v>
      </c>
      <c r="B50" s="187">
        <v>0</v>
      </c>
      <c r="C50" s="188">
        <v>2</v>
      </c>
      <c r="D50" s="188">
        <v>24</v>
      </c>
      <c r="E50" s="200">
        <v>26</v>
      </c>
      <c r="G50" s="117" t="s">
        <v>37</v>
      </c>
      <c r="H50" s="187">
        <v>0</v>
      </c>
      <c r="I50" s="188">
        <v>1</v>
      </c>
      <c r="J50" s="188">
        <v>2</v>
      </c>
      <c r="K50" s="200">
        <v>3</v>
      </c>
    </row>
    <row r="51" spans="1:11" x14ac:dyDescent="0.25">
      <c r="A51" s="117" t="s">
        <v>407</v>
      </c>
      <c r="B51" s="187">
        <v>0</v>
      </c>
      <c r="C51" s="188">
        <v>0</v>
      </c>
      <c r="D51" s="188">
        <v>25</v>
      </c>
      <c r="E51" s="200">
        <v>25</v>
      </c>
      <c r="G51" s="117" t="s">
        <v>161</v>
      </c>
      <c r="H51" s="187">
        <v>0</v>
      </c>
      <c r="I51" s="188">
        <v>0</v>
      </c>
      <c r="J51" s="188">
        <v>3</v>
      </c>
      <c r="K51" s="200">
        <v>3</v>
      </c>
    </row>
    <row r="52" spans="1:11" x14ac:dyDescent="0.25">
      <c r="A52" s="117" t="s">
        <v>421</v>
      </c>
      <c r="B52" s="187">
        <v>6</v>
      </c>
      <c r="C52" s="188">
        <v>2</v>
      </c>
      <c r="D52" s="188">
        <v>17</v>
      </c>
      <c r="E52" s="200">
        <v>25</v>
      </c>
      <c r="G52" s="117" t="s">
        <v>2309</v>
      </c>
      <c r="H52" s="187">
        <v>0</v>
      </c>
      <c r="I52" s="188">
        <v>2</v>
      </c>
      <c r="J52" s="188">
        <v>0</v>
      </c>
      <c r="K52" s="200">
        <v>2</v>
      </c>
    </row>
    <row r="53" spans="1:11" x14ac:dyDescent="0.25">
      <c r="A53" s="117" t="s">
        <v>270</v>
      </c>
      <c r="B53" s="187">
        <v>0</v>
      </c>
      <c r="C53" s="188">
        <v>2</v>
      </c>
      <c r="D53" s="188">
        <v>22</v>
      </c>
      <c r="E53" s="200">
        <v>24</v>
      </c>
      <c r="G53" s="117" t="s">
        <v>743</v>
      </c>
      <c r="H53" s="187">
        <v>0</v>
      </c>
      <c r="I53" s="188">
        <v>2</v>
      </c>
      <c r="J53" s="188">
        <v>0</v>
      </c>
      <c r="K53" s="200">
        <v>2</v>
      </c>
    </row>
    <row r="54" spans="1:11" x14ac:dyDescent="0.25">
      <c r="A54" s="117" t="s">
        <v>163</v>
      </c>
      <c r="B54" s="187">
        <v>5</v>
      </c>
      <c r="C54" s="188">
        <v>0</v>
      </c>
      <c r="D54" s="188">
        <v>18</v>
      </c>
      <c r="E54" s="200">
        <v>23</v>
      </c>
      <c r="G54" s="117" t="s">
        <v>414</v>
      </c>
      <c r="H54" s="187">
        <v>0</v>
      </c>
      <c r="I54" s="188">
        <v>0</v>
      </c>
      <c r="J54" s="188">
        <v>2</v>
      </c>
      <c r="K54" s="200">
        <v>2</v>
      </c>
    </row>
    <row r="55" spans="1:11" x14ac:dyDescent="0.25">
      <c r="A55" s="117" t="s">
        <v>756</v>
      </c>
      <c r="B55" s="187">
        <v>3</v>
      </c>
      <c r="C55" s="188">
        <v>9</v>
      </c>
      <c r="D55" s="188">
        <v>11</v>
      </c>
      <c r="E55" s="200">
        <v>23</v>
      </c>
      <c r="G55" s="117" t="s">
        <v>791</v>
      </c>
      <c r="H55" s="187">
        <v>0</v>
      </c>
      <c r="I55" s="188">
        <v>0</v>
      </c>
      <c r="J55" s="188">
        <v>2</v>
      </c>
      <c r="K55" s="200">
        <v>2</v>
      </c>
    </row>
    <row r="56" spans="1:11" x14ac:dyDescent="0.25">
      <c r="A56" s="117" t="s">
        <v>211</v>
      </c>
      <c r="B56" s="187">
        <v>0</v>
      </c>
      <c r="C56" s="188">
        <v>6</v>
      </c>
      <c r="D56" s="188">
        <v>16</v>
      </c>
      <c r="E56" s="200">
        <v>22</v>
      </c>
      <c r="G56" s="117" t="s">
        <v>211</v>
      </c>
      <c r="H56" s="187">
        <v>0</v>
      </c>
      <c r="I56" s="188">
        <v>1</v>
      </c>
      <c r="J56" s="188">
        <v>1</v>
      </c>
      <c r="K56" s="200">
        <v>2</v>
      </c>
    </row>
    <row r="57" spans="1:11" x14ac:dyDescent="0.25">
      <c r="A57" s="117" t="s">
        <v>411</v>
      </c>
      <c r="B57" s="187">
        <v>1</v>
      </c>
      <c r="C57" s="188">
        <v>5</v>
      </c>
      <c r="D57" s="188">
        <v>16</v>
      </c>
      <c r="E57" s="200">
        <v>22</v>
      </c>
      <c r="G57" s="117" t="s">
        <v>1167</v>
      </c>
      <c r="H57" s="187">
        <v>0</v>
      </c>
      <c r="I57" s="188">
        <v>1</v>
      </c>
      <c r="J57" s="188">
        <v>1</v>
      </c>
      <c r="K57" s="200">
        <v>2</v>
      </c>
    </row>
    <row r="58" spans="1:11" x14ac:dyDescent="0.25">
      <c r="A58" s="117" t="s">
        <v>282</v>
      </c>
      <c r="B58" s="187">
        <v>0</v>
      </c>
      <c r="C58" s="188">
        <v>1</v>
      </c>
      <c r="D58" s="188">
        <v>20</v>
      </c>
      <c r="E58" s="200">
        <v>21</v>
      </c>
      <c r="G58" s="117" t="s">
        <v>363</v>
      </c>
      <c r="H58" s="187">
        <v>0</v>
      </c>
      <c r="I58" s="188">
        <v>0</v>
      </c>
      <c r="J58" s="188">
        <v>2</v>
      </c>
      <c r="K58" s="200">
        <v>2</v>
      </c>
    </row>
    <row r="59" spans="1:11" x14ac:dyDescent="0.25">
      <c r="A59" s="117" t="s">
        <v>382</v>
      </c>
      <c r="B59" s="187">
        <v>0</v>
      </c>
      <c r="C59" s="188">
        <v>1</v>
      </c>
      <c r="D59" s="188">
        <v>20</v>
      </c>
      <c r="E59" s="200">
        <v>21</v>
      </c>
      <c r="G59" s="117" t="s">
        <v>145</v>
      </c>
      <c r="H59" s="187">
        <v>0</v>
      </c>
      <c r="I59" s="188">
        <v>2</v>
      </c>
      <c r="J59" s="188">
        <v>0</v>
      </c>
      <c r="K59" s="200">
        <v>2</v>
      </c>
    </row>
    <row r="60" spans="1:11" x14ac:dyDescent="0.25">
      <c r="A60" s="117" t="s">
        <v>381</v>
      </c>
      <c r="B60" s="187">
        <v>0</v>
      </c>
      <c r="C60" s="188">
        <v>0</v>
      </c>
      <c r="D60" s="188">
        <v>20</v>
      </c>
      <c r="E60" s="200">
        <v>20</v>
      </c>
      <c r="G60" s="117" t="s">
        <v>519</v>
      </c>
      <c r="H60" s="187">
        <v>0</v>
      </c>
      <c r="I60" s="188">
        <v>0</v>
      </c>
      <c r="J60" s="188">
        <v>2</v>
      </c>
      <c r="K60" s="200">
        <v>2</v>
      </c>
    </row>
    <row r="61" spans="1:11" x14ac:dyDescent="0.25">
      <c r="A61" s="117" t="s">
        <v>363</v>
      </c>
      <c r="B61" s="187">
        <v>1</v>
      </c>
      <c r="C61" s="188">
        <v>0</v>
      </c>
      <c r="D61" s="188">
        <v>18</v>
      </c>
      <c r="E61" s="200">
        <v>19</v>
      </c>
      <c r="G61" s="117" t="s">
        <v>232</v>
      </c>
      <c r="H61" s="187">
        <v>0</v>
      </c>
      <c r="I61" s="188">
        <v>0</v>
      </c>
      <c r="J61" s="188">
        <v>2</v>
      </c>
      <c r="K61" s="200">
        <v>2</v>
      </c>
    </row>
    <row r="62" spans="1:11" x14ac:dyDescent="0.25">
      <c r="A62" s="117" t="s">
        <v>519</v>
      </c>
      <c r="B62" s="187">
        <v>0</v>
      </c>
      <c r="C62" s="188">
        <v>0</v>
      </c>
      <c r="D62" s="188">
        <v>19</v>
      </c>
      <c r="E62" s="200">
        <v>19</v>
      </c>
      <c r="G62" s="117" t="s">
        <v>430</v>
      </c>
      <c r="H62" s="187">
        <v>0</v>
      </c>
      <c r="I62" s="188">
        <v>0</v>
      </c>
      <c r="J62" s="188">
        <v>2</v>
      </c>
      <c r="K62" s="200">
        <v>2</v>
      </c>
    </row>
    <row r="63" spans="1:11" x14ac:dyDescent="0.25">
      <c r="A63" s="117" t="s">
        <v>241</v>
      </c>
      <c r="B63" s="187">
        <v>0</v>
      </c>
      <c r="C63" s="188">
        <v>4</v>
      </c>
      <c r="D63" s="188">
        <v>13</v>
      </c>
      <c r="E63" s="200">
        <v>17</v>
      </c>
      <c r="G63" s="117" t="s">
        <v>784</v>
      </c>
      <c r="H63" s="187">
        <v>0</v>
      </c>
      <c r="I63" s="188">
        <v>1</v>
      </c>
      <c r="J63" s="188">
        <v>1</v>
      </c>
      <c r="K63" s="200">
        <v>2</v>
      </c>
    </row>
    <row r="64" spans="1:11" x14ac:dyDescent="0.25">
      <c r="A64" s="117" t="s">
        <v>503</v>
      </c>
      <c r="B64" s="187">
        <v>2</v>
      </c>
      <c r="C64" s="188">
        <v>6</v>
      </c>
      <c r="D64" s="188">
        <v>9</v>
      </c>
      <c r="E64" s="200">
        <v>17</v>
      </c>
      <c r="G64" s="117" t="s">
        <v>747</v>
      </c>
      <c r="H64" s="187">
        <v>0</v>
      </c>
      <c r="I64" s="188">
        <v>2</v>
      </c>
      <c r="J64" s="188">
        <v>0</v>
      </c>
      <c r="K64" s="200">
        <v>2</v>
      </c>
    </row>
    <row r="65" spans="1:11" x14ac:dyDescent="0.25">
      <c r="A65" s="117" t="s">
        <v>432</v>
      </c>
      <c r="B65" s="187">
        <v>0</v>
      </c>
      <c r="C65" s="188">
        <v>1</v>
      </c>
      <c r="D65" s="188">
        <v>16</v>
      </c>
      <c r="E65" s="200">
        <v>17</v>
      </c>
      <c r="G65" s="117" t="s">
        <v>621</v>
      </c>
      <c r="H65" s="187">
        <v>0</v>
      </c>
      <c r="I65" s="188">
        <v>1</v>
      </c>
      <c r="J65" s="188">
        <v>1</v>
      </c>
      <c r="K65" s="200">
        <v>2</v>
      </c>
    </row>
    <row r="66" spans="1:11" x14ac:dyDescent="0.25">
      <c r="A66" s="117" t="s">
        <v>96</v>
      </c>
      <c r="B66" s="187">
        <v>1</v>
      </c>
      <c r="C66" s="188">
        <v>2</v>
      </c>
      <c r="D66" s="188">
        <v>13</v>
      </c>
      <c r="E66" s="200">
        <v>16</v>
      </c>
      <c r="G66" s="117" t="s">
        <v>600</v>
      </c>
      <c r="H66" s="187">
        <v>0</v>
      </c>
      <c r="I66" s="188">
        <v>0</v>
      </c>
      <c r="J66" s="188">
        <v>2</v>
      </c>
      <c r="K66" s="200">
        <v>2</v>
      </c>
    </row>
    <row r="67" spans="1:11" x14ac:dyDescent="0.25">
      <c r="A67" s="117" t="s">
        <v>280</v>
      </c>
      <c r="B67" s="187">
        <v>0</v>
      </c>
      <c r="C67" s="188">
        <v>0</v>
      </c>
      <c r="D67" s="188">
        <v>16</v>
      </c>
      <c r="E67" s="200">
        <v>16</v>
      </c>
      <c r="G67" s="117" t="s">
        <v>293</v>
      </c>
      <c r="H67" s="187">
        <v>0</v>
      </c>
      <c r="I67" s="188">
        <v>1</v>
      </c>
      <c r="J67" s="188">
        <v>1</v>
      </c>
      <c r="K67" s="200">
        <v>2</v>
      </c>
    </row>
    <row r="68" spans="1:11" x14ac:dyDescent="0.25">
      <c r="A68" s="117" t="s">
        <v>377</v>
      </c>
      <c r="B68" s="187">
        <v>0</v>
      </c>
      <c r="C68" s="188">
        <v>2</v>
      </c>
      <c r="D68" s="188">
        <v>14</v>
      </c>
      <c r="E68" s="200">
        <v>16</v>
      </c>
      <c r="G68" s="117" t="s">
        <v>371</v>
      </c>
      <c r="H68" s="187">
        <v>0</v>
      </c>
      <c r="I68" s="188">
        <v>1</v>
      </c>
      <c r="J68" s="188">
        <v>0</v>
      </c>
      <c r="K68" s="200">
        <v>1</v>
      </c>
    </row>
    <row r="69" spans="1:11" x14ac:dyDescent="0.25">
      <c r="A69" s="117" t="s">
        <v>338</v>
      </c>
      <c r="B69" s="187">
        <v>1</v>
      </c>
      <c r="C69" s="188">
        <v>3</v>
      </c>
      <c r="D69" s="188">
        <v>12</v>
      </c>
      <c r="E69" s="200">
        <v>16</v>
      </c>
      <c r="G69" s="117" t="s">
        <v>285</v>
      </c>
      <c r="H69" s="187">
        <v>0</v>
      </c>
      <c r="I69" s="188">
        <v>0</v>
      </c>
      <c r="J69" s="188">
        <v>1</v>
      </c>
      <c r="K69" s="200">
        <v>1</v>
      </c>
    </row>
    <row r="70" spans="1:11" x14ac:dyDescent="0.25">
      <c r="A70" s="117" t="s">
        <v>298</v>
      </c>
      <c r="B70" s="187">
        <v>2</v>
      </c>
      <c r="C70" s="188">
        <v>4</v>
      </c>
      <c r="D70" s="188">
        <v>10</v>
      </c>
      <c r="E70" s="200">
        <v>16</v>
      </c>
      <c r="G70" s="117" t="s">
        <v>282</v>
      </c>
      <c r="H70" s="187">
        <v>0</v>
      </c>
      <c r="I70" s="188">
        <v>0</v>
      </c>
      <c r="J70" s="188">
        <v>1</v>
      </c>
      <c r="K70" s="200">
        <v>1</v>
      </c>
    </row>
    <row r="71" spans="1:11" x14ac:dyDescent="0.25">
      <c r="A71" s="117" t="s">
        <v>722</v>
      </c>
      <c r="B71" s="187">
        <v>0</v>
      </c>
      <c r="C71" s="188">
        <v>0</v>
      </c>
      <c r="D71" s="188">
        <v>16</v>
      </c>
      <c r="E71" s="200">
        <v>16</v>
      </c>
      <c r="G71" s="117" t="s">
        <v>137</v>
      </c>
      <c r="H71" s="187">
        <v>0</v>
      </c>
      <c r="I71" s="188">
        <v>0</v>
      </c>
      <c r="J71" s="188">
        <v>1</v>
      </c>
      <c r="K71" s="200">
        <v>1</v>
      </c>
    </row>
    <row r="72" spans="1:11" x14ac:dyDescent="0.25">
      <c r="A72" s="117" t="s">
        <v>222</v>
      </c>
      <c r="B72" s="187">
        <v>0</v>
      </c>
      <c r="C72" s="188">
        <v>3</v>
      </c>
      <c r="D72" s="188">
        <v>13</v>
      </c>
      <c r="E72" s="200">
        <v>16</v>
      </c>
      <c r="G72" s="117" t="s">
        <v>1057</v>
      </c>
      <c r="H72" s="187">
        <v>0</v>
      </c>
      <c r="I72" s="188">
        <v>0</v>
      </c>
      <c r="J72" s="188">
        <v>1</v>
      </c>
      <c r="K72" s="200">
        <v>1</v>
      </c>
    </row>
    <row r="73" spans="1:11" x14ac:dyDescent="0.25">
      <c r="A73" s="117" t="s">
        <v>604</v>
      </c>
      <c r="B73" s="187">
        <v>1</v>
      </c>
      <c r="C73" s="188">
        <v>0</v>
      </c>
      <c r="D73" s="188">
        <v>14</v>
      </c>
      <c r="E73" s="200">
        <v>15</v>
      </c>
      <c r="G73" s="117" t="s">
        <v>345</v>
      </c>
      <c r="H73" s="187">
        <v>0</v>
      </c>
      <c r="I73" s="188">
        <v>1</v>
      </c>
      <c r="J73" s="188">
        <v>0</v>
      </c>
      <c r="K73" s="200">
        <v>1</v>
      </c>
    </row>
    <row r="74" spans="1:11" x14ac:dyDescent="0.25">
      <c r="A74" s="117" t="s">
        <v>414</v>
      </c>
      <c r="B74" s="187">
        <v>0</v>
      </c>
      <c r="C74" s="188">
        <v>0</v>
      </c>
      <c r="D74" s="188">
        <v>15</v>
      </c>
      <c r="E74" s="200">
        <v>15</v>
      </c>
      <c r="G74" s="117" t="s">
        <v>769</v>
      </c>
      <c r="H74" s="187">
        <v>0</v>
      </c>
      <c r="I74" s="188">
        <v>1</v>
      </c>
      <c r="J74" s="188">
        <v>0</v>
      </c>
      <c r="K74" s="200">
        <v>1</v>
      </c>
    </row>
    <row r="75" spans="1:11" x14ac:dyDescent="0.25">
      <c r="A75" s="117" t="s">
        <v>329</v>
      </c>
      <c r="B75" s="187">
        <v>1</v>
      </c>
      <c r="C75" s="188">
        <v>1</v>
      </c>
      <c r="D75" s="188">
        <v>13</v>
      </c>
      <c r="E75" s="200">
        <v>15</v>
      </c>
      <c r="G75" s="117" t="s">
        <v>73</v>
      </c>
      <c r="H75" s="187">
        <v>0</v>
      </c>
      <c r="I75" s="188">
        <v>0</v>
      </c>
      <c r="J75" s="188">
        <v>1</v>
      </c>
      <c r="K75" s="200">
        <v>1</v>
      </c>
    </row>
    <row r="76" spans="1:11" x14ac:dyDescent="0.25">
      <c r="A76" s="117" t="s">
        <v>46</v>
      </c>
      <c r="B76" s="187">
        <v>2</v>
      </c>
      <c r="C76" s="188">
        <v>0</v>
      </c>
      <c r="D76" s="188">
        <v>13</v>
      </c>
      <c r="E76" s="200">
        <v>15</v>
      </c>
      <c r="G76" s="117" t="s">
        <v>288</v>
      </c>
      <c r="H76" s="187">
        <v>0</v>
      </c>
      <c r="I76" s="188">
        <v>1</v>
      </c>
      <c r="J76" s="188">
        <v>0</v>
      </c>
      <c r="K76" s="200">
        <v>1</v>
      </c>
    </row>
    <row r="77" spans="1:11" x14ac:dyDescent="0.25">
      <c r="A77" s="117" t="s">
        <v>683</v>
      </c>
      <c r="B77" s="187">
        <v>0</v>
      </c>
      <c r="C77" s="188">
        <v>11</v>
      </c>
      <c r="D77" s="188">
        <v>3</v>
      </c>
      <c r="E77" s="200">
        <v>14</v>
      </c>
      <c r="G77" s="117" t="s">
        <v>620</v>
      </c>
      <c r="H77" s="187">
        <v>0</v>
      </c>
      <c r="I77" s="188">
        <v>0</v>
      </c>
      <c r="J77" s="188">
        <v>1</v>
      </c>
      <c r="K77" s="200">
        <v>1</v>
      </c>
    </row>
    <row r="78" spans="1:11" x14ac:dyDescent="0.25">
      <c r="A78" s="117" t="s">
        <v>137</v>
      </c>
      <c r="B78" s="187">
        <v>0</v>
      </c>
      <c r="C78" s="188">
        <v>2</v>
      </c>
      <c r="D78" s="188">
        <v>12</v>
      </c>
      <c r="E78" s="200">
        <v>14</v>
      </c>
      <c r="G78" s="117" t="s">
        <v>1027</v>
      </c>
      <c r="H78" s="187">
        <v>0</v>
      </c>
      <c r="I78" s="188">
        <v>0</v>
      </c>
      <c r="J78" s="188">
        <v>1</v>
      </c>
      <c r="K78" s="200">
        <v>1</v>
      </c>
    </row>
    <row r="79" spans="1:11" x14ac:dyDescent="0.25">
      <c r="A79" s="117" t="s">
        <v>178</v>
      </c>
      <c r="B79" s="187">
        <v>4</v>
      </c>
      <c r="C79" s="188">
        <v>2</v>
      </c>
      <c r="D79" s="188">
        <v>8</v>
      </c>
      <c r="E79" s="200">
        <v>14</v>
      </c>
      <c r="G79" s="117" t="s">
        <v>836</v>
      </c>
      <c r="H79" s="187">
        <v>0</v>
      </c>
      <c r="I79" s="188">
        <v>0</v>
      </c>
      <c r="J79" s="188">
        <v>1</v>
      </c>
      <c r="K79" s="200">
        <v>1</v>
      </c>
    </row>
    <row r="80" spans="1:11" x14ac:dyDescent="0.25">
      <c r="A80" s="117" t="s">
        <v>248</v>
      </c>
      <c r="B80" s="187">
        <v>1</v>
      </c>
      <c r="C80" s="188">
        <v>3</v>
      </c>
      <c r="D80" s="188">
        <v>10</v>
      </c>
      <c r="E80" s="200">
        <v>14</v>
      </c>
      <c r="G80" s="117" t="s">
        <v>142</v>
      </c>
      <c r="H80" s="187">
        <v>0</v>
      </c>
      <c r="I80" s="188">
        <v>1</v>
      </c>
      <c r="J80" s="188">
        <v>0</v>
      </c>
      <c r="K80" s="200">
        <v>1</v>
      </c>
    </row>
    <row r="81" spans="1:11" x14ac:dyDescent="0.25">
      <c r="A81" s="117" t="s">
        <v>369</v>
      </c>
      <c r="B81" s="187">
        <v>0</v>
      </c>
      <c r="C81" s="188">
        <v>1</v>
      </c>
      <c r="D81" s="188">
        <v>12</v>
      </c>
      <c r="E81" s="200">
        <v>13</v>
      </c>
      <c r="G81" s="117" t="s">
        <v>117</v>
      </c>
      <c r="H81" s="187">
        <v>0</v>
      </c>
      <c r="I81" s="188">
        <v>1</v>
      </c>
      <c r="J81" s="188">
        <v>0</v>
      </c>
      <c r="K81" s="200">
        <v>1</v>
      </c>
    </row>
    <row r="82" spans="1:11" x14ac:dyDescent="0.25">
      <c r="A82" s="117" t="s">
        <v>499</v>
      </c>
      <c r="B82" s="187">
        <v>0</v>
      </c>
      <c r="C82" s="188">
        <v>3</v>
      </c>
      <c r="D82" s="188">
        <v>10</v>
      </c>
      <c r="E82" s="200">
        <v>13</v>
      </c>
      <c r="G82" s="117" t="s">
        <v>296</v>
      </c>
      <c r="H82" s="187">
        <v>0</v>
      </c>
      <c r="I82" s="188">
        <v>0</v>
      </c>
      <c r="J82" s="188">
        <v>1</v>
      </c>
      <c r="K82" s="200">
        <v>1</v>
      </c>
    </row>
    <row r="83" spans="1:11" x14ac:dyDescent="0.25">
      <c r="A83" s="117" t="s">
        <v>176</v>
      </c>
      <c r="B83" s="187">
        <v>0</v>
      </c>
      <c r="C83" s="188">
        <v>1</v>
      </c>
      <c r="D83" s="188">
        <v>12</v>
      </c>
      <c r="E83" s="200">
        <v>13</v>
      </c>
      <c r="G83" s="117" t="s">
        <v>443</v>
      </c>
      <c r="H83" s="187">
        <v>1</v>
      </c>
      <c r="I83" s="188">
        <v>0</v>
      </c>
      <c r="J83" s="188">
        <v>0</v>
      </c>
      <c r="K83" s="200">
        <v>1</v>
      </c>
    </row>
    <row r="84" spans="1:11" x14ac:dyDescent="0.25">
      <c r="A84" s="117" t="s">
        <v>473</v>
      </c>
      <c r="B84" s="187">
        <v>2</v>
      </c>
      <c r="C84" s="188">
        <v>1</v>
      </c>
      <c r="D84" s="188">
        <v>9</v>
      </c>
      <c r="E84" s="200">
        <v>12</v>
      </c>
      <c r="G84" s="117" t="s">
        <v>407</v>
      </c>
      <c r="H84" s="187">
        <v>0</v>
      </c>
      <c r="I84" s="188">
        <v>0</v>
      </c>
      <c r="J84" s="188">
        <v>1</v>
      </c>
      <c r="K84" s="200">
        <v>1</v>
      </c>
    </row>
    <row r="85" spans="1:11" x14ac:dyDescent="0.25">
      <c r="A85" s="117" t="s">
        <v>600</v>
      </c>
      <c r="B85" s="187">
        <v>1</v>
      </c>
      <c r="C85" s="188">
        <v>3</v>
      </c>
      <c r="D85" s="188">
        <v>8</v>
      </c>
      <c r="E85" s="200">
        <v>12</v>
      </c>
      <c r="G85" s="117" t="s">
        <v>260</v>
      </c>
      <c r="H85" s="187">
        <v>0</v>
      </c>
      <c r="I85" s="188">
        <v>0</v>
      </c>
      <c r="J85" s="188">
        <v>1</v>
      </c>
      <c r="K85" s="200">
        <v>1</v>
      </c>
    </row>
    <row r="86" spans="1:11" x14ac:dyDescent="0.25">
      <c r="A86" s="117" t="s">
        <v>225</v>
      </c>
      <c r="B86" s="187">
        <v>0</v>
      </c>
      <c r="C86" s="188">
        <v>5</v>
      </c>
      <c r="D86" s="188">
        <v>7</v>
      </c>
      <c r="E86" s="200">
        <v>12</v>
      </c>
      <c r="G86" s="117" t="s">
        <v>2933</v>
      </c>
      <c r="H86" s="187">
        <v>0</v>
      </c>
      <c r="I86" s="188">
        <v>1</v>
      </c>
      <c r="J86" s="188">
        <v>0</v>
      </c>
      <c r="K86" s="200">
        <v>1</v>
      </c>
    </row>
    <row r="87" spans="1:11" x14ac:dyDescent="0.25">
      <c r="A87" s="117" t="s">
        <v>505</v>
      </c>
      <c r="B87" s="187">
        <v>0</v>
      </c>
      <c r="C87" s="188">
        <v>0</v>
      </c>
      <c r="D87" s="188">
        <v>11</v>
      </c>
      <c r="E87" s="200">
        <v>11</v>
      </c>
      <c r="G87" s="117" t="s">
        <v>499</v>
      </c>
      <c r="H87" s="187">
        <v>0</v>
      </c>
      <c r="I87" s="188">
        <v>1</v>
      </c>
      <c r="J87" s="188">
        <v>0</v>
      </c>
      <c r="K87" s="200">
        <v>1</v>
      </c>
    </row>
    <row r="88" spans="1:11" x14ac:dyDescent="0.25">
      <c r="A88" s="117" t="s">
        <v>469</v>
      </c>
      <c r="B88" s="187">
        <v>0</v>
      </c>
      <c r="C88" s="188">
        <v>1</v>
      </c>
      <c r="D88" s="188">
        <v>10</v>
      </c>
      <c r="E88" s="200">
        <v>11</v>
      </c>
      <c r="G88" s="117" t="s">
        <v>604</v>
      </c>
      <c r="H88" s="187">
        <v>1</v>
      </c>
      <c r="I88" s="188">
        <v>0</v>
      </c>
      <c r="J88" s="188">
        <v>0</v>
      </c>
      <c r="K88" s="200">
        <v>1</v>
      </c>
    </row>
    <row r="89" spans="1:11" x14ac:dyDescent="0.25">
      <c r="A89" s="117" t="s">
        <v>621</v>
      </c>
      <c r="B89" s="187">
        <v>0</v>
      </c>
      <c r="C89" s="188">
        <v>5</v>
      </c>
      <c r="D89" s="188">
        <v>6</v>
      </c>
      <c r="E89" s="200">
        <v>11</v>
      </c>
      <c r="G89" s="117" t="s">
        <v>104</v>
      </c>
      <c r="H89" s="187">
        <v>0</v>
      </c>
      <c r="I89" s="188">
        <v>0</v>
      </c>
      <c r="J89" s="188">
        <v>1</v>
      </c>
      <c r="K89" s="200">
        <v>1</v>
      </c>
    </row>
    <row r="90" spans="1:11" x14ac:dyDescent="0.25">
      <c r="A90" s="117" t="s">
        <v>195</v>
      </c>
      <c r="B90" s="187">
        <v>0</v>
      </c>
      <c r="C90" s="188">
        <v>0</v>
      </c>
      <c r="D90" s="188">
        <v>11</v>
      </c>
      <c r="E90" s="200">
        <v>11</v>
      </c>
      <c r="G90" s="117" t="s">
        <v>96</v>
      </c>
      <c r="H90" s="187">
        <v>0</v>
      </c>
      <c r="I90" s="188">
        <v>0</v>
      </c>
      <c r="J90" s="188">
        <v>1</v>
      </c>
      <c r="K90" s="200">
        <v>1</v>
      </c>
    </row>
    <row r="91" spans="1:11" x14ac:dyDescent="0.25">
      <c r="A91" s="117" t="s">
        <v>142</v>
      </c>
      <c r="B91" s="187">
        <v>0</v>
      </c>
      <c r="C91" s="188">
        <v>3</v>
      </c>
      <c r="D91" s="188">
        <v>7</v>
      </c>
      <c r="E91" s="200">
        <v>10</v>
      </c>
      <c r="G91" s="117" t="s">
        <v>417</v>
      </c>
      <c r="H91" s="187">
        <v>0</v>
      </c>
      <c r="I91" s="188">
        <v>1</v>
      </c>
      <c r="J91" s="188">
        <v>0</v>
      </c>
      <c r="K91" s="200">
        <v>1</v>
      </c>
    </row>
    <row r="92" spans="1:11" x14ac:dyDescent="0.25">
      <c r="A92" s="117" t="s">
        <v>293</v>
      </c>
      <c r="B92" s="187">
        <v>2</v>
      </c>
      <c r="C92" s="188">
        <v>3</v>
      </c>
      <c r="D92" s="188">
        <v>5</v>
      </c>
      <c r="E92" s="200">
        <v>10</v>
      </c>
      <c r="G92" s="117" t="s">
        <v>458</v>
      </c>
      <c r="H92" s="187">
        <v>0</v>
      </c>
      <c r="I92" s="188">
        <v>0</v>
      </c>
      <c r="J92" s="188">
        <v>1</v>
      </c>
      <c r="K92" s="200">
        <v>1</v>
      </c>
    </row>
    <row r="93" spans="1:11" x14ac:dyDescent="0.25">
      <c r="A93" s="117" t="s">
        <v>443</v>
      </c>
      <c r="B93" s="187">
        <v>1</v>
      </c>
      <c r="C93" s="188">
        <v>0</v>
      </c>
      <c r="D93" s="188">
        <v>9</v>
      </c>
      <c r="E93" s="200">
        <v>10</v>
      </c>
      <c r="G93" s="123" t="s">
        <v>153</v>
      </c>
      <c r="H93" s="190">
        <v>0</v>
      </c>
      <c r="I93" s="191">
        <v>0</v>
      </c>
      <c r="J93" s="191">
        <v>1</v>
      </c>
      <c r="K93" s="216">
        <v>1</v>
      </c>
    </row>
    <row r="94" spans="1:11" x14ac:dyDescent="0.25">
      <c r="A94" s="117" t="s">
        <v>653</v>
      </c>
      <c r="B94" s="187">
        <v>0</v>
      </c>
      <c r="C94" s="188">
        <v>3</v>
      </c>
      <c r="D94" s="188">
        <v>7</v>
      </c>
      <c r="E94" s="200">
        <v>10</v>
      </c>
    </row>
    <row r="95" spans="1:11" x14ac:dyDescent="0.25">
      <c r="A95" s="117" t="s">
        <v>205</v>
      </c>
      <c r="B95" s="187">
        <v>0</v>
      </c>
      <c r="C95" s="188">
        <v>0</v>
      </c>
      <c r="D95" s="188">
        <v>10</v>
      </c>
      <c r="E95" s="200">
        <v>10</v>
      </c>
    </row>
    <row r="96" spans="1:11" x14ac:dyDescent="0.25">
      <c r="A96" s="117" t="s">
        <v>413</v>
      </c>
      <c r="B96" s="187">
        <v>0</v>
      </c>
      <c r="C96" s="188">
        <v>2</v>
      </c>
      <c r="D96" s="188">
        <v>8</v>
      </c>
      <c r="E96" s="200">
        <v>10</v>
      </c>
    </row>
    <row r="97" spans="1:5" x14ac:dyDescent="0.25">
      <c r="A97" s="117" t="s">
        <v>252</v>
      </c>
      <c r="B97" s="187">
        <v>0</v>
      </c>
      <c r="C97" s="188">
        <v>0</v>
      </c>
      <c r="D97" s="188">
        <v>10</v>
      </c>
      <c r="E97" s="200">
        <v>10</v>
      </c>
    </row>
    <row r="98" spans="1:5" x14ac:dyDescent="0.25">
      <c r="A98" s="117" t="s">
        <v>258</v>
      </c>
      <c r="B98" s="187">
        <v>1</v>
      </c>
      <c r="C98" s="188">
        <v>1</v>
      </c>
      <c r="D98" s="188">
        <v>8</v>
      </c>
      <c r="E98" s="200">
        <v>10</v>
      </c>
    </row>
    <row r="99" spans="1:5" x14ac:dyDescent="0.25">
      <c r="A99" s="117" t="s">
        <v>214</v>
      </c>
      <c r="B99" s="187">
        <v>1</v>
      </c>
      <c r="C99" s="188">
        <v>0</v>
      </c>
      <c r="D99" s="188">
        <v>9</v>
      </c>
      <c r="E99" s="200">
        <v>10</v>
      </c>
    </row>
    <row r="100" spans="1:5" x14ac:dyDescent="0.25">
      <c r="A100" s="117" t="s">
        <v>558</v>
      </c>
      <c r="B100" s="187">
        <v>3</v>
      </c>
      <c r="C100" s="188">
        <v>2</v>
      </c>
      <c r="D100" s="188">
        <v>5</v>
      </c>
      <c r="E100" s="200">
        <v>10</v>
      </c>
    </row>
    <row r="101" spans="1:5" x14ac:dyDescent="0.25">
      <c r="A101" s="117" t="s">
        <v>371</v>
      </c>
      <c r="B101" s="187">
        <v>0</v>
      </c>
      <c r="C101" s="188">
        <v>4</v>
      </c>
      <c r="D101" s="188">
        <v>6</v>
      </c>
      <c r="E101" s="200">
        <v>10</v>
      </c>
    </row>
    <row r="102" spans="1:5" x14ac:dyDescent="0.25">
      <c r="A102" s="117" t="s">
        <v>285</v>
      </c>
      <c r="B102" s="187">
        <v>0</v>
      </c>
      <c r="C102" s="188">
        <v>0</v>
      </c>
      <c r="D102" s="188">
        <v>9</v>
      </c>
      <c r="E102" s="200">
        <v>9</v>
      </c>
    </row>
    <row r="103" spans="1:5" x14ac:dyDescent="0.25">
      <c r="A103" s="117" t="s">
        <v>506</v>
      </c>
      <c r="B103" s="187">
        <v>0</v>
      </c>
      <c r="C103" s="188">
        <v>0</v>
      </c>
      <c r="D103" s="188">
        <v>9</v>
      </c>
      <c r="E103" s="200">
        <v>9</v>
      </c>
    </row>
    <row r="104" spans="1:5" x14ac:dyDescent="0.25">
      <c r="A104" s="117" t="s">
        <v>417</v>
      </c>
      <c r="B104" s="187">
        <v>1</v>
      </c>
      <c r="C104" s="188">
        <v>2</v>
      </c>
      <c r="D104" s="188">
        <v>6</v>
      </c>
      <c r="E104" s="200">
        <v>9</v>
      </c>
    </row>
    <row r="105" spans="1:5" x14ac:dyDescent="0.25">
      <c r="A105" s="117" t="s">
        <v>145</v>
      </c>
      <c r="B105" s="187">
        <v>0</v>
      </c>
      <c r="C105" s="188">
        <v>3</v>
      </c>
      <c r="D105" s="188">
        <v>6</v>
      </c>
      <c r="E105" s="200">
        <v>9</v>
      </c>
    </row>
    <row r="106" spans="1:5" x14ac:dyDescent="0.25">
      <c r="A106" s="117" t="s">
        <v>791</v>
      </c>
      <c r="B106" s="187">
        <v>1</v>
      </c>
      <c r="C106" s="188">
        <v>2</v>
      </c>
      <c r="D106" s="188">
        <v>6</v>
      </c>
      <c r="E106" s="200">
        <v>9</v>
      </c>
    </row>
    <row r="107" spans="1:5" x14ac:dyDescent="0.25">
      <c r="A107" s="117" t="s">
        <v>180</v>
      </c>
      <c r="B107" s="187">
        <v>0</v>
      </c>
      <c r="C107" s="188">
        <v>0</v>
      </c>
      <c r="D107" s="188">
        <v>9</v>
      </c>
      <c r="E107" s="200">
        <v>9</v>
      </c>
    </row>
    <row r="108" spans="1:5" x14ac:dyDescent="0.25">
      <c r="A108" s="117" t="s">
        <v>743</v>
      </c>
      <c r="B108" s="187">
        <v>0</v>
      </c>
      <c r="C108" s="188">
        <v>5</v>
      </c>
      <c r="D108" s="188">
        <v>3</v>
      </c>
      <c r="E108" s="200">
        <v>8</v>
      </c>
    </row>
    <row r="109" spans="1:5" x14ac:dyDescent="0.25">
      <c r="A109" s="117" t="s">
        <v>345</v>
      </c>
      <c r="B109" s="187">
        <v>1</v>
      </c>
      <c r="C109" s="188">
        <v>3</v>
      </c>
      <c r="D109" s="188">
        <v>4</v>
      </c>
      <c r="E109" s="200">
        <v>8</v>
      </c>
    </row>
    <row r="110" spans="1:5" x14ac:dyDescent="0.25">
      <c r="A110" s="117" t="s">
        <v>265</v>
      </c>
      <c r="B110" s="187">
        <v>0</v>
      </c>
      <c r="C110" s="188">
        <v>0</v>
      </c>
      <c r="D110" s="188">
        <v>8</v>
      </c>
      <c r="E110" s="200">
        <v>8</v>
      </c>
    </row>
    <row r="111" spans="1:5" x14ac:dyDescent="0.25">
      <c r="A111" s="117" t="s">
        <v>430</v>
      </c>
      <c r="B111" s="187">
        <v>0</v>
      </c>
      <c r="C111" s="188">
        <v>0</v>
      </c>
      <c r="D111" s="188">
        <v>8</v>
      </c>
      <c r="E111" s="200">
        <v>8</v>
      </c>
    </row>
    <row r="112" spans="1:5" x14ac:dyDescent="0.25">
      <c r="A112" s="117" t="s">
        <v>769</v>
      </c>
      <c r="B112" s="187">
        <v>0</v>
      </c>
      <c r="C112" s="188">
        <v>3</v>
      </c>
      <c r="D112" s="188">
        <v>4</v>
      </c>
      <c r="E112" s="200">
        <v>7</v>
      </c>
    </row>
    <row r="113" spans="1:5" x14ac:dyDescent="0.25">
      <c r="A113" s="117" t="s">
        <v>476</v>
      </c>
      <c r="B113" s="187">
        <v>0</v>
      </c>
      <c r="C113" s="188">
        <v>0</v>
      </c>
      <c r="D113" s="188">
        <v>7</v>
      </c>
      <c r="E113" s="200">
        <v>7</v>
      </c>
    </row>
    <row r="114" spans="1:5" x14ac:dyDescent="0.25">
      <c r="A114" s="117" t="s">
        <v>260</v>
      </c>
      <c r="B114" s="187">
        <v>0</v>
      </c>
      <c r="C114" s="188">
        <v>0</v>
      </c>
      <c r="D114" s="188">
        <v>7</v>
      </c>
      <c r="E114" s="200">
        <v>7</v>
      </c>
    </row>
    <row r="115" spans="1:5" x14ac:dyDescent="0.25">
      <c r="A115" s="117" t="s">
        <v>588</v>
      </c>
      <c r="B115" s="187">
        <v>0</v>
      </c>
      <c r="C115" s="188">
        <v>3</v>
      </c>
      <c r="D115" s="188">
        <v>4</v>
      </c>
      <c r="E115" s="200">
        <v>7</v>
      </c>
    </row>
    <row r="116" spans="1:5" x14ac:dyDescent="0.25">
      <c r="A116" s="117" t="s">
        <v>303</v>
      </c>
      <c r="B116" s="187">
        <v>0</v>
      </c>
      <c r="C116" s="188">
        <v>1</v>
      </c>
      <c r="D116" s="188">
        <v>6</v>
      </c>
      <c r="E116" s="200">
        <v>7</v>
      </c>
    </row>
    <row r="117" spans="1:5" x14ac:dyDescent="0.25">
      <c r="A117" s="117" t="s">
        <v>1027</v>
      </c>
      <c r="B117" s="187">
        <v>3</v>
      </c>
      <c r="C117" s="188">
        <v>0</v>
      </c>
      <c r="D117" s="188">
        <v>4</v>
      </c>
      <c r="E117" s="200">
        <v>7</v>
      </c>
    </row>
    <row r="118" spans="1:5" x14ac:dyDescent="0.25">
      <c r="A118" s="117" t="s">
        <v>458</v>
      </c>
      <c r="B118" s="187">
        <v>0</v>
      </c>
      <c r="C118" s="188">
        <v>0</v>
      </c>
      <c r="D118" s="188">
        <v>7</v>
      </c>
      <c r="E118" s="200">
        <v>7</v>
      </c>
    </row>
    <row r="119" spans="1:5" x14ac:dyDescent="0.25">
      <c r="A119" s="117" t="s">
        <v>239</v>
      </c>
      <c r="B119" s="187">
        <v>1</v>
      </c>
      <c r="C119" s="188">
        <v>3</v>
      </c>
      <c r="D119" s="188">
        <v>3</v>
      </c>
      <c r="E119" s="200">
        <v>7</v>
      </c>
    </row>
    <row r="120" spans="1:5" x14ac:dyDescent="0.25">
      <c r="A120" s="117" t="s">
        <v>451</v>
      </c>
      <c r="B120" s="187">
        <v>0</v>
      </c>
      <c r="C120" s="188">
        <v>0</v>
      </c>
      <c r="D120" s="188">
        <v>7</v>
      </c>
      <c r="E120" s="200">
        <v>7</v>
      </c>
    </row>
    <row r="121" spans="1:5" x14ac:dyDescent="0.25">
      <c r="A121" s="117" t="s">
        <v>620</v>
      </c>
      <c r="B121" s="187">
        <v>0</v>
      </c>
      <c r="C121" s="188">
        <v>0</v>
      </c>
      <c r="D121" s="188">
        <v>6</v>
      </c>
      <c r="E121" s="200">
        <v>6</v>
      </c>
    </row>
    <row r="122" spans="1:5" x14ac:dyDescent="0.25">
      <c r="A122" s="117" t="s">
        <v>513</v>
      </c>
      <c r="B122" s="187">
        <v>0</v>
      </c>
      <c r="C122" s="188">
        <v>0</v>
      </c>
      <c r="D122" s="188">
        <v>6</v>
      </c>
      <c r="E122" s="200">
        <v>6</v>
      </c>
    </row>
    <row r="123" spans="1:5" x14ac:dyDescent="0.25">
      <c r="A123" s="117" t="s">
        <v>559</v>
      </c>
      <c r="B123" s="187">
        <v>0</v>
      </c>
      <c r="C123" s="188">
        <v>1</v>
      </c>
      <c r="D123" s="188">
        <v>5</v>
      </c>
      <c r="E123" s="200">
        <v>6</v>
      </c>
    </row>
    <row r="124" spans="1:5" x14ac:dyDescent="0.25">
      <c r="A124" s="117" t="s">
        <v>450</v>
      </c>
      <c r="B124" s="187">
        <v>0</v>
      </c>
      <c r="C124" s="188">
        <v>0</v>
      </c>
      <c r="D124" s="188">
        <v>5</v>
      </c>
      <c r="E124" s="200">
        <v>5</v>
      </c>
    </row>
    <row r="125" spans="1:5" x14ac:dyDescent="0.25">
      <c r="A125" s="117" t="s">
        <v>419</v>
      </c>
      <c r="B125" s="187">
        <v>0</v>
      </c>
      <c r="C125" s="188">
        <v>0</v>
      </c>
      <c r="D125" s="188">
        <v>5</v>
      </c>
      <c r="E125" s="200">
        <v>5</v>
      </c>
    </row>
    <row r="126" spans="1:5" x14ac:dyDescent="0.25">
      <c r="A126" s="117" t="s">
        <v>370</v>
      </c>
      <c r="B126" s="187">
        <v>0</v>
      </c>
      <c r="C126" s="188">
        <v>1</v>
      </c>
      <c r="D126" s="188">
        <v>4</v>
      </c>
      <c r="E126" s="200">
        <v>5</v>
      </c>
    </row>
    <row r="127" spans="1:5" x14ac:dyDescent="0.25">
      <c r="A127" s="117" t="s">
        <v>716</v>
      </c>
      <c r="B127" s="187">
        <v>4</v>
      </c>
      <c r="C127" s="188">
        <v>0</v>
      </c>
      <c r="D127" s="188">
        <v>1</v>
      </c>
      <c r="E127" s="200">
        <v>5</v>
      </c>
    </row>
    <row r="128" spans="1:5" x14ac:dyDescent="0.25">
      <c r="A128" s="117" t="s">
        <v>747</v>
      </c>
      <c r="B128" s="187">
        <v>0</v>
      </c>
      <c r="C128" s="188">
        <v>3</v>
      </c>
      <c r="D128" s="188">
        <v>2</v>
      </c>
      <c r="E128" s="200">
        <v>5</v>
      </c>
    </row>
    <row r="129" spans="1:5" x14ac:dyDescent="0.25">
      <c r="A129" s="117" t="s">
        <v>95</v>
      </c>
      <c r="B129" s="187">
        <v>0</v>
      </c>
      <c r="C129" s="188">
        <v>0</v>
      </c>
      <c r="D129" s="188">
        <v>5</v>
      </c>
      <c r="E129" s="200">
        <v>5</v>
      </c>
    </row>
    <row r="130" spans="1:5" x14ac:dyDescent="0.25">
      <c r="A130" s="117" t="s">
        <v>1057</v>
      </c>
      <c r="B130" s="187">
        <v>0</v>
      </c>
      <c r="C130" s="188">
        <v>0</v>
      </c>
      <c r="D130" s="188">
        <v>5</v>
      </c>
      <c r="E130" s="200">
        <v>5</v>
      </c>
    </row>
    <row r="131" spans="1:5" x14ac:dyDescent="0.25">
      <c r="A131" s="117" t="s">
        <v>752</v>
      </c>
      <c r="B131" s="187">
        <v>0</v>
      </c>
      <c r="C131" s="188">
        <v>3</v>
      </c>
      <c r="D131" s="188">
        <v>2</v>
      </c>
      <c r="E131" s="200">
        <v>5</v>
      </c>
    </row>
    <row r="132" spans="1:5" x14ac:dyDescent="0.25">
      <c r="A132" s="117" t="s">
        <v>288</v>
      </c>
      <c r="B132" s="187">
        <v>0</v>
      </c>
      <c r="C132" s="188">
        <v>1</v>
      </c>
      <c r="D132" s="188">
        <v>4</v>
      </c>
      <c r="E132" s="200">
        <v>5</v>
      </c>
    </row>
    <row r="133" spans="1:5" x14ac:dyDescent="0.25">
      <c r="A133" s="117" t="s">
        <v>1013</v>
      </c>
      <c r="B133" s="187">
        <v>0</v>
      </c>
      <c r="C133" s="188">
        <v>1</v>
      </c>
      <c r="D133" s="188">
        <v>4</v>
      </c>
      <c r="E133" s="200">
        <v>5</v>
      </c>
    </row>
    <row r="134" spans="1:5" x14ac:dyDescent="0.25">
      <c r="A134" s="117" t="s">
        <v>634</v>
      </c>
      <c r="B134" s="187">
        <v>0</v>
      </c>
      <c r="C134" s="188">
        <v>0</v>
      </c>
      <c r="D134" s="188">
        <v>4</v>
      </c>
      <c r="E134" s="200">
        <v>4</v>
      </c>
    </row>
    <row r="135" spans="1:5" x14ac:dyDescent="0.25">
      <c r="A135" s="117" t="s">
        <v>612</v>
      </c>
      <c r="B135" s="187">
        <v>0</v>
      </c>
      <c r="C135" s="188">
        <v>0</v>
      </c>
      <c r="D135" s="188">
        <v>4</v>
      </c>
      <c r="E135" s="200">
        <v>4</v>
      </c>
    </row>
    <row r="136" spans="1:5" x14ac:dyDescent="0.25">
      <c r="A136" s="117" t="s">
        <v>437</v>
      </c>
      <c r="B136" s="187">
        <v>0</v>
      </c>
      <c r="C136" s="188">
        <v>0</v>
      </c>
      <c r="D136" s="188">
        <v>4</v>
      </c>
      <c r="E136" s="200">
        <v>4</v>
      </c>
    </row>
    <row r="137" spans="1:5" x14ac:dyDescent="0.25">
      <c r="A137" s="117" t="s">
        <v>1859</v>
      </c>
      <c r="B137" s="187">
        <v>0</v>
      </c>
      <c r="C137" s="188">
        <v>0</v>
      </c>
      <c r="D137" s="188">
        <v>4</v>
      </c>
      <c r="E137" s="200">
        <v>4</v>
      </c>
    </row>
    <row r="138" spans="1:5" x14ac:dyDescent="0.25">
      <c r="A138" s="117" t="s">
        <v>391</v>
      </c>
      <c r="B138" s="187">
        <v>0</v>
      </c>
      <c r="C138" s="188">
        <v>0</v>
      </c>
      <c r="D138" s="188">
        <v>4</v>
      </c>
      <c r="E138" s="200">
        <v>4</v>
      </c>
    </row>
    <row r="139" spans="1:5" x14ac:dyDescent="0.25">
      <c r="A139" s="117" t="s">
        <v>552</v>
      </c>
      <c r="B139" s="187">
        <v>0</v>
      </c>
      <c r="C139" s="188">
        <v>0</v>
      </c>
      <c r="D139" s="188">
        <v>3</v>
      </c>
      <c r="E139" s="200">
        <v>3</v>
      </c>
    </row>
    <row r="140" spans="1:5" x14ac:dyDescent="0.25">
      <c r="A140" s="117" t="s">
        <v>343</v>
      </c>
      <c r="B140" s="187">
        <v>0</v>
      </c>
      <c r="C140" s="188">
        <v>0</v>
      </c>
      <c r="D140" s="188">
        <v>3</v>
      </c>
      <c r="E140" s="200">
        <v>3</v>
      </c>
    </row>
    <row r="141" spans="1:5" x14ac:dyDescent="0.25">
      <c r="A141" s="117" t="s">
        <v>836</v>
      </c>
      <c r="B141" s="187">
        <v>0</v>
      </c>
      <c r="C141" s="188">
        <v>1</v>
      </c>
      <c r="D141" s="188">
        <v>2</v>
      </c>
      <c r="E141" s="200">
        <v>3</v>
      </c>
    </row>
    <row r="142" spans="1:5" x14ac:dyDescent="0.25">
      <c r="A142" s="117" t="s">
        <v>762</v>
      </c>
      <c r="B142" s="187">
        <v>0</v>
      </c>
      <c r="C142" s="188">
        <v>0</v>
      </c>
      <c r="D142" s="188">
        <v>3</v>
      </c>
      <c r="E142" s="200">
        <v>3</v>
      </c>
    </row>
    <row r="143" spans="1:5" x14ac:dyDescent="0.25">
      <c r="A143" s="117" t="s">
        <v>429</v>
      </c>
      <c r="B143" s="187">
        <v>0</v>
      </c>
      <c r="C143" s="188">
        <v>1</v>
      </c>
      <c r="D143" s="188">
        <v>2</v>
      </c>
      <c r="E143" s="200">
        <v>3</v>
      </c>
    </row>
    <row r="144" spans="1:5" x14ac:dyDescent="0.25">
      <c r="A144" s="117" t="s">
        <v>733</v>
      </c>
      <c r="B144" s="187">
        <v>0</v>
      </c>
      <c r="C144" s="188">
        <v>2</v>
      </c>
      <c r="D144" s="188">
        <v>1</v>
      </c>
      <c r="E144" s="200">
        <v>3</v>
      </c>
    </row>
    <row r="145" spans="1:5" x14ac:dyDescent="0.25">
      <c r="A145" s="117" t="s">
        <v>2309</v>
      </c>
      <c r="B145" s="187">
        <v>0</v>
      </c>
      <c r="C145" s="188">
        <v>3</v>
      </c>
      <c r="D145" s="188">
        <v>0</v>
      </c>
      <c r="E145" s="200">
        <v>3</v>
      </c>
    </row>
    <row r="146" spans="1:5" x14ac:dyDescent="0.25">
      <c r="A146" s="117" t="s">
        <v>200</v>
      </c>
      <c r="B146" s="187">
        <v>0</v>
      </c>
      <c r="C146" s="188">
        <v>1</v>
      </c>
      <c r="D146" s="188">
        <v>2</v>
      </c>
      <c r="E146" s="200">
        <v>3</v>
      </c>
    </row>
    <row r="147" spans="1:5" x14ac:dyDescent="0.25">
      <c r="A147" s="117" t="s">
        <v>217</v>
      </c>
      <c r="B147" s="187">
        <v>0</v>
      </c>
      <c r="C147" s="188">
        <v>0</v>
      </c>
      <c r="D147" s="188">
        <v>3</v>
      </c>
      <c r="E147" s="200">
        <v>3</v>
      </c>
    </row>
    <row r="148" spans="1:5" x14ac:dyDescent="0.25">
      <c r="A148" s="117" t="s">
        <v>975</v>
      </c>
      <c r="B148" s="187">
        <v>0</v>
      </c>
      <c r="C148" s="188">
        <v>1</v>
      </c>
      <c r="D148" s="188">
        <v>2</v>
      </c>
      <c r="E148" s="200">
        <v>3</v>
      </c>
    </row>
    <row r="149" spans="1:5" x14ac:dyDescent="0.25">
      <c r="A149" s="117" t="s">
        <v>781</v>
      </c>
      <c r="B149" s="187">
        <v>0</v>
      </c>
      <c r="C149" s="188">
        <v>1</v>
      </c>
      <c r="D149" s="188">
        <v>2</v>
      </c>
      <c r="E149" s="200">
        <v>3</v>
      </c>
    </row>
    <row r="150" spans="1:5" x14ac:dyDescent="0.25">
      <c r="A150" s="117" t="s">
        <v>452</v>
      </c>
      <c r="B150" s="187">
        <v>0</v>
      </c>
      <c r="C150" s="188">
        <v>0</v>
      </c>
      <c r="D150" s="188">
        <v>3</v>
      </c>
      <c r="E150" s="200">
        <v>3</v>
      </c>
    </row>
    <row r="151" spans="1:5" x14ac:dyDescent="0.25">
      <c r="A151" s="117" t="s">
        <v>1167</v>
      </c>
      <c r="B151" s="187">
        <v>0</v>
      </c>
      <c r="C151" s="188">
        <v>1</v>
      </c>
      <c r="D151" s="188">
        <v>2</v>
      </c>
      <c r="E151" s="200">
        <v>3</v>
      </c>
    </row>
    <row r="152" spans="1:5" x14ac:dyDescent="0.25">
      <c r="A152" s="117" t="s">
        <v>783</v>
      </c>
      <c r="B152" s="187">
        <v>0</v>
      </c>
      <c r="C152" s="188">
        <v>1</v>
      </c>
      <c r="D152" s="188">
        <v>2</v>
      </c>
      <c r="E152" s="200">
        <v>3</v>
      </c>
    </row>
    <row r="153" spans="1:5" x14ac:dyDescent="0.25">
      <c r="A153" s="117" t="s">
        <v>592</v>
      </c>
      <c r="B153" s="187">
        <v>0</v>
      </c>
      <c r="C153" s="188">
        <v>0</v>
      </c>
      <c r="D153" s="188">
        <v>3</v>
      </c>
      <c r="E153" s="200">
        <v>3</v>
      </c>
    </row>
    <row r="154" spans="1:5" x14ac:dyDescent="0.25">
      <c r="A154" s="117" t="s">
        <v>789</v>
      </c>
      <c r="B154" s="187">
        <v>0</v>
      </c>
      <c r="C154" s="188">
        <v>1</v>
      </c>
      <c r="D154" s="188">
        <v>2</v>
      </c>
      <c r="E154" s="200">
        <v>3</v>
      </c>
    </row>
    <row r="155" spans="1:5" x14ac:dyDescent="0.25">
      <c r="A155" s="117" t="s">
        <v>668</v>
      </c>
      <c r="B155" s="187">
        <v>0</v>
      </c>
      <c r="C155" s="188">
        <v>0</v>
      </c>
      <c r="D155" s="188">
        <v>3</v>
      </c>
      <c r="E155" s="200">
        <v>3</v>
      </c>
    </row>
    <row r="156" spans="1:5" x14ac:dyDescent="0.25">
      <c r="A156" s="117" t="s">
        <v>646</v>
      </c>
      <c r="B156" s="187">
        <v>0</v>
      </c>
      <c r="C156" s="188">
        <v>0</v>
      </c>
      <c r="D156" s="188">
        <v>2</v>
      </c>
      <c r="E156" s="200">
        <v>2</v>
      </c>
    </row>
    <row r="157" spans="1:5" x14ac:dyDescent="0.25">
      <c r="A157" s="117" t="s">
        <v>510</v>
      </c>
      <c r="B157" s="187">
        <v>0</v>
      </c>
      <c r="C157" s="188">
        <v>0</v>
      </c>
      <c r="D157" s="188">
        <v>2</v>
      </c>
      <c r="E157" s="200">
        <v>2</v>
      </c>
    </row>
    <row r="158" spans="1:5" x14ac:dyDescent="0.25">
      <c r="A158" s="117" t="s">
        <v>477</v>
      </c>
      <c r="B158" s="187">
        <v>0</v>
      </c>
      <c r="C158" s="188">
        <v>1</v>
      </c>
      <c r="D158" s="188">
        <v>1</v>
      </c>
      <c r="E158" s="200">
        <v>2</v>
      </c>
    </row>
    <row r="159" spans="1:5" x14ac:dyDescent="0.25">
      <c r="A159" s="117" t="s">
        <v>106</v>
      </c>
      <c r="B159" s="187">
        <v>0</v>
      </c>
      <c r="C159" s="188">
        <v>2</v>
      </c>
      <c r="D159" s="188">
        <v>0</v>
      </c>
      <c r="E159" s="200">
        <v>2</v>
      </c>
    </row>
    <row r="160" spans="1:5" x14ac:dyDescent="0.25">
      <c r="A160" s="117" t="s">
        <v>616</v>
      </c>
      <c r="B160" s="187">
        <v>0</v>
      </c>
      <c r="C160" s="188">
        <v>0</v>
      </c>
      <c r="D160" s="188">
        <v>2</v>
      </c>
      <c r="E160" s="200">
        <v>2</v>
      </c>
    </row>
    <row r="161" spans="1:5" x14ac:dyDescent="0.25">
      <c r="A161" s="117" t="s">
        <v>517</v>
      </c>
      <c r="B161" s="187">
        <v>0</v>
      </c>
      <c r="C161" s="188">
        <v>0</v>
      </c>
      <c r="D161" s="188">
        <v>2</v>
      </c>
      <c r="E161" s="200">
        <v>2</v>
      </c>
    </row>
    <row r="162" spans="1:5" x14ac:dyDescent="0.25">
      <c r="A162" s="117" t="s">
        <v>613</v>
      </c>
      <c r="B162" s="187">
        <v>0</v>
      </c>
      <c r="C162" s="188">
        <v>0</v>
      </c>
      <c r="D162" s="188">
        <v>2</v>
      </c>
      <c r="E162" s="200">
        <v>2</v>
      </c>
    </row>
    <row r="163" spans="1:5" x14ac:dyDescent="0.25">
      <c r="A163" s="117" t="s">
        <v>1499</v>
      </c>
      <c r="B163" s="187">
        <v>0</v>
      </c>
      <c r="C163" s="188">
        <v>0</v>
      </c>
      <c r="D163" s="188">
        <v>2</v>
      </c>
      <c r="E163" s="200">
        <v>2</v>
      </c>
    </row>
    <row r="164" spans="1:5" x14ac:dyDescent="0.25">
      <c r="A164" s="117" t="s">
        <v>550</v>
      </c>
      <c r="B164" s="187">
        <v>0</v>
      </c>
      <c r="C164" s="188">
        <v>0</v>
      </c>
      <c r="D164" s="188">
        <v>2</v>
      </c>
      <c r="E164" s="200">
        <v>2</v>
      </c>
    </row>
    <row r="165" spans="1:5" x14ac:dyDescent="0.25">
      <c r="A165" s="117" t="s">
        <v>563</v>
      </c>
      <c r="B165" s="187">
        <v>0</v>
      </c>
      <c r="C165" s="188">
        <v>0</v>
      </c>
      <c r="D165" s="188">
        <v>2</v>
      </c>
      <c r="E165" s="200">
        <v>2</v>
      </c>
    </row>
    <row r="166" spans="1:5" x14ac:dyDescent="0.25">
      <c r="A166" s="117" t="s">
        <v>2051</v>
      </c>
      <c r="B166" s="187">
        <v>0</v>
      </c>
      <c r="C166" s="188">
        <v>1</v>
      </c>
      <c r="D166" s="188">
        <v>1</v>
      </c>
      <c r="E166" s="200">
        <v>2</v>
      </c>
    </row>
    <row r="167" spans="1:5" x14ac:dyDescent="0.25">
      <c r="A167" s="117" t="s">
        <v>2181</v>
      </c>
      <c r="B167" s="187">
        <v>0</v>
      </c>
      <c r="C167" s="188">
        <v>1</v>
      </c>
      <c r="D167" s="188">
        <v>0</v>
      </c>
      <c r="E167" s="200">
        <v>1</v>
      </c>
    </row>
    <row r="168" spans="1:5" x14ac:dyDescent="0.25">
      <c r="A168" s="117" t="s">
        <v>969</v>
      </c>
      <c r="B168" s="187">
        <v>0</v>
      </c>
      <c r="C168" s="188">
        <v>0</v>
      </c>
      <c r="D168" s="188">
        <v>1</v>
      </c>
      <c r="E168" s="200">
        <v>1</v>
      </c>
    </row>
    <row r="169" spans="1:5" x14ac:dyDescent="0.25">
      <c r="A169" s="117" t="s">
        <v>487</v>
      </c>
      <c r="B169" s="187">
        <v>0</v>
      </c>
      <c r="C169" s="188">
        <v>0</v>
      </c>
      <c r="D169" s="188">
        <v>1</v>
      </c>
      <c r="E169" s="200">
        <v>1</v>
      </c>
    </row>
    <row r="170" spans="1:5" x14ac:dyDescent="0.25">
      <c r="A170" s="117" t="s">
        <v>955</v>
      </c>
      <c r="B170" s="187">
        <v>0</v>
      </c>
      <c r="C170" s="188">
        <v>0</v>
      </c>
      <c r="D170" s="188">
        <v>1</v>
      </c>
      <c r="E170" s="200">
        <v>1</v>
      </c>
    </row>
    <row r="171" spans="1:5" x14ac:dyDescent="0.25">
      <c r="A171" s="117" t="s">
        <v>2012</v>
      </c>
      <c r="B171" s="187">
        <v>0</v>
      </c>
      <c r="C171" s="188">
        <v>1</v>
      </c>
      <c r="D171" s="188">
        <v>0</v>
      </c>
      <c r="E171" s="200">
        <v>1</v>
      </c>
    </row>
    <row r="172" spans="1:5" x14ac:dyDescent="0.25">
      <c r="A172" s="117" t="s">
        <v>530</v>
      </c>
      <c r="B172" s="187">
        <v>0</v>
      </c>
      <c r="C172" s="188">
        <v>0</v>
      </c>
      <c r="D172" s="188">
        <v>1</v>
      </c>
      <c r="E172" s="200">
        <v>1</v>
      </c>
    </row>
    <row r="173" spans="1:5" x14ac:dyDescent="0.25">
      <c r="A173" s="117" t="s">
        <v>821</v>
      </c>
      <c r="B173" s="187">
        <v>0</v>
      </c>
      <c r="C173" s="188">
        <v>1</v>
      </c>
      <c r="D173" s="188">
        <v>0</v>
      </c>
      <c r="E173" s="200">
        <v>1</v>
      </c>
    </row>
    <row r="174" spans="1:5" x14ac:dyDescent="0.25">
      <c r="A174" s="117" t="s">
        <v>1749</v>
      </c>
      <c r="B174" s="187">
        <v>1</v>
      </c>
      <c r="C174" s="188">
        <v>0</v>
      </c>
      <c r="D174" s="188">
        <v>0</v>
      </c>
      <c r="E174" s="200">
        <v>1</v>
      </c>
    </row>
    <row r="175" spans="1:5" x14ac:dyDescent="0.25">
      <c r="A175" s="117" t="s">
        <v>1306</v>
      </c>
      <c r="B175" s="187">
        <v>0</v>
      </c>
      <c r="C175" s="188">
        <v>1</v>
      </c>
      <c r="D175" s="188">
        <v>0</v>
      </c>
      <c r="E175" s="200">
        <v>1</v>
      </c>
    </row>
    <row r="176" spans="1:5" x14ac:dyDescent="0.25">
      <c r="A176" s="117" t="s">
        <v>676</v>
      </c>
      <c r="B176" s="187">
        <v>0</v>
      </c>
      <c r="C176" s="188">
        <v>0</v>
      </c>
      <c r="D176" s="188">
        <v>1</v>
      </c>
      <c r="E176" s="200">
        <v>1</v>
      </c>
    </row>
    <row r="177" spans="1:5" x14ac:dyDescent="0.25">
      <c r="A177" s="117" t="s">
        <v>677</v>
      </c>
      <c r="B177" s="187">
        <v>0</v>
      </c>
      <c r="C177" s="188">
        <v>0</v>
      </c>
      <c r="D177" s="188">
        <v>1</v>
      </c>
      <c r="E177" s="200">
        <v>1</v>
      </c>
    </row>
    <row r="178" spans="1:5" x14ac:dyDescent="0.25">
      <c r="A178" s="123" t="s">
        <v>2933</v>
      </c>
      <c r="B178" s="190">
        <v>0</v>
      </c>
      <c r="C178" s="191">
        <v>1</v>
      </c>
      <c r="D178" s="191">
        <v>0</v>
      </c>
      <c r="E178" s="216">
        <v>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58"/>
  <sheetViews>
    <sheetView topLeftCell="A20" workbookViewId="0">
      <selection activeCell="D27" sqref="D27"/>
    </sheetView>
  </sheetViews>
  <sheetFormatPr defaultColWidth="14.42578125" defaultRowHeight="15" customHeight="1" x14ac:dyDescent="0.25"/>
  <cols>
    <col min="1" max="1" width="23.42578125" customWidth="1"/>
    <col min="2" max="2" width="16.7109375" customWidth="1"/>
    <col min="3" max="3" width="13.28515625" customWidth="1"/>
    <col min="4" max="4" width="15" customWidth="1"/>
    <col min="5" max="5" width="10.7109375" customWidth="1"/>
    <col min="6" max="6" width="5" customWidth="1"/>
    <col min="7" max="7" width="15.28515625" customWidth="1"/>
    <col min="8" max="26" width="8.7109375" customWidth="1"/>
  </cols>
  <sheetData>
    <row r="1" spans="1:5" hidden="1" x14ac:dyDescent="0.25">
      <c r="A1" s="12" t="s">
        <v>2876</v>
      </c>
    </row>
    <row r="2" spans="1:5" hidden="1" x14ac:dyDescent="0.25"/>
    <row r="3" spans="1:5" hidden="1" x14ac:dyDescent="0.25">
      <c r="A3" s="3" t="s">
        <v>8</v>
      </c>
      <c r="B3" s="2" t="s">
        <v>2817</v>
      </c>
    </row>
    <row r="4" spans="1:5" hidden="1" x14ac:dyDescent="0.25"/>
    <row r="5" spans="1:5" hidden="1" x14ac:dyDescent="0.25">
      <c r="A5" s="3" t="s">
        <v>2778</v>
      </c>
      <c r="B5" s="3" t="s">
        <v>2820</v>
      </c>
    </row>
    <row r="6" spans="1:5" hidden="1" x14ac:dyDescent="0.25">
      <c r="A6" s="3" t="s">
        <v>2821</v>
      </c>
      <c r="B6" s="2" t="s">
        <v>307</v>
      </c>
      <c r="C6" s="2" t="s">
        <v>26</v>
      </c>
      <c r="D6" s="2" t="s">
        <v>76</v>
      </c>
      <c r="E6" s="2" t="s">
        <v>2779</v>
      </c>
    </row>
    <row r="7" spans="1:5" hidden="1" x14ac:dyDescent="0.25">
      <c r="A7" s="6" t="s">
        <v>48</v>
      </c>
      <c r="B7" s="2">
        <v>14</v>
      </c>
      <c r="C7" s="2">
        <v>5</v>
      </c>
      <c r="D7" s="2">
        <v>50</v>
      </c>
      <c r="E7" s="2">
        <v>69</v>
      </c>
    </row>
    <row r="8" spans="1:5" hidden="1" x14ac:dyDescent="0.25">
      <c r="A8" s="6" t="s">
        <v>54</v>
      </c>
      <c r="B8" s="2">
        <v>27</v>
      </c>
      <c r="C8" s="2">
        <v>1</v>
      </c>
      <c r="D8" s="2">
        <v>38</v>
      </c>
      <c r="E8" s="2">
        <v>66</v>
      </c>
    </row>
    <row r="9" spans="1:5" hidden="1" x14ac:dyDescent="0.25">
      <c r="A9" s="6" t="s">
        <v>42</v>
      </c>
      <c r="B9" s="2">
        <v>24</v>
      </c>
      <c r="C9" s="2">
        <v>7</v>
      </c>
      <c r="D9" s="2">
        <v>32</v>
      </c>
      <c r="E9" s="2">
        <v>63</v>
      </c>
    </row>
    <row r="10" spans="1:5" hidden="1" x14ac:dyDescent="0.25">
      <c r="A10" s="6" t="s">
        <v>73</v>
      </c>
      <c r="B10" s="2">
        <v>18</v>
      </c>
      <c r="C10" s="2">
        <v>8</v>
      </c>
      <c r="D10" s="2">
        <v>23</v>
      </c>
      <c r="E10" s="2">
        <v>49</v>
      </c>
    </row>
    <row r="11" spans="1:5" hidden="1" x14ac:dyDescent="0.25">
      <c r="A11" s="6" t="s">
        <v>52</v>
      </c>
      <c r="B11" s="2">
        <v>13</v>
      </c>
      <c r="C11" s="2">
        <v>6</v>
      </c>
      <c r="D11" s="2">
        <v>24</v>
      </c>
      <c r="E11" s="2">
        <v>43</v>
      </c>
    </row>
    <row r="12" spans="1:5" hidden="1" x14ac:dyDescent="0.25">
      <c r="A12" s="6" t="s">
        <v>194</v>
      </c>
      <c r="B12" s="2">
        <v>3</v>
      </c>
      <c r="C12" s="2">
        <v>5</v>
      </c>
      <c r="D12" s="2">
        <v>25</v>
      </c>
      <c r="E12" s="2">
        <v>33</v>
      </c>
    </row>
    <row r="13" spans="1:5" hidden="1" x14ac:dyDescent="0.25">
      <c r="A13" s="6" t="s">
        <v>43</v>
      </c>
      <c r="B13" s="2">
        <v>9</v>
      </c>
      <c r="C13" s="2">
        <v>10</v>
      </c>
      <c r="D13" s="2">
        <v>13</v>
      </c>
      <c r="E13" s="2">
        <v>32</v>
      </c>
    </row>
    <row r="14" spans="1:5" hidden="1" x14ac:dyDescent="0.25">
      <c r="A14" s="6" t="s">
        <v>59</v>
      </c>
      <c r="B14" s="2">
        <v>9</v>
      </c>
      <c r="C14" s="2">
        <v>5</v>
      </c>
      <c r="D14" s="2">
        <v>17</v>
      </c>
      <c r="E14" s="2">
        <v>31</v>
      </c>
    </row>
    <row r="15" spans="1:5" hidden="1" x14ac:dyDescent="0.25">
      <c r="A15" s="6" t="s">
        <v>114</v>
      </c>
      <c r="B15" s="2">
        <v>2</v>
      </c>
      <c r="C15" s="2">
        <v>4</v>
      </c>
      <c r="D15" s="2">
        <v>23</v>
      </c>
      <c r="E15" s="2">
        <v>29</v>
      </c>
    </row>
    <row r="16" spans="1:5" hidden="1" x14ac:dyDescent="0.25">
      <c r="A16" s="6" t="s">
        <v>564</v>
      </c>
      <c r="B16" s="2">
        <v>1</v>
      </c>
      <c r="C16" s="2">
        <v>22</v>
      </c>
      <c r="D16" s="2">
        <v>6</v>
      </c>
      <c r="E16" s="2">
        <v>29</v>
      </c>
    </row>
    <row r="20" spans="1:5" x14ac:dyDescent="0.25">
      <c r="A20" s="12" t="s">
        <v>3214</v>
      </c>
    </row>
    <row r="21" spans="1:5" x14ac:dyDescent="0.25">
      <c r="A21" s="12"/>
    </row>
    <row r="22" spans="1:5" ht="15.75" customHeight="1" x14ac:dyDescent="0.25">
      <c r="A22" s="3" t="s">
        <v>8</v>
      </c>
      <c r="B22" s="2" t="s">
        <v>2817</v>
      </c>
    </row>
    <row r="23" spans="1:5" ht="15.75" customHeight="1" x14ac:dyDescent="0.25">
      <c r="A23" s="3" t="s">
        <v>10</v>
      </c>
      <c r="B23" s="2" t="s">
        <v>2827</v>
      </c>
    </row>
    <row r="24" spans="1:5" ht="15.75" customHeight="1" x14ac:dyDescent="0.25"/>
    <row r="25" spans="1:5" ht="15.75" customHeight="1" x14ac:dyDescent="0.25">
      <c r="A25" s="3" t="s">
        <v>2778</v>
      </c>
      <c r="B25" s="3" t="s">
        <v>2820</v>
      </c>
    </row>
    <row r="26" spans="1:5" ht="15.75" customHeight="1" x14ac:dyDescent="0.25">
      <c r="A26" s="3" t="s">
        <v>2877</v>
      </c>
      <c r="B26" s="2" t="s">
        <v>307</v>
      </c>
      <c r="C26" s="2" t="s">
        <v>26</v>
      </c>
      <c r="D26" s="2" t="s">
        <v>76</v>
      </c>
      <c r="E26" s="2" t="s">
        <v>2779</v>
      </c>
    </row>
    <row r="27" spans="1:5" ht="15.75" customHeight="1" x14ac:dyDescent="0.25">
      <c r="A27" s="6" t="str" cm="1">
        <f t="array" ref="A27:E36">'Table 1-2'!$A$8:$E$17</f>
        <v>Russia</v>
      </c>
      <c r="B27" s="2">
        <v>59</v>
      </c>
      <c r="C27" s="2">
        <v>8</v>
      </c>
      <c r="D27" s="2">
        <v>97</v>
      </c>
      <c r="E27" s="2">
        <v>164</v>
      </c>
    </row>
    <row r="28" spans="1:5" ht="15.75" customHeight="1" x14ac:dyDescent="0.25">
      <c r="A28" s="6" t="str">
        <v>Pakistan</v>
      </c>
      <c r="B28" s="2">
        <v>48</v>
      </c>
      <c r="C28" s="2">
        <v>14</v>
      </c>
      <c r="D28" s="2">
        <v>85</v>
      </c>
      <c r="E28" s="2">
        <v>147</v>
      </c>
    </row>
    <row r="29" spans="1:5" ht="15.75" customHeight="1" x14ac:dyDescent="0.25">
      <c r="A29" s="6" t="str">
        <v>United States</v>
      </c>
      <c r="B29" s="2">
        <v>18</v>
      </c>
      <c r="C29" s="2">
        <v>10</v>
      </c>
      <c r="D29" s="2">
        <v>114</v>
      </c>
      <c r="E29" s="2">
        <v>142</v>
      </c>
    </row>
    <row r="30" spans="1:5" ht="15.75" customHeight="1" x14ac:dyDescent="0.25">
      <c r="A30" s="6" t="str">
        <v>Thailand</v>
      </c>
      <c r="B30" s="2">
        <v>32</v>
      </c>
      <c r="C30" s="2">
        <v>14</v>
      </c>
      <c r="D30" s="2">
        <v>62</v>
      </c>
      <c r="E30" s="2">
        <v>108</v>
      </c>
    </row>
    <row r="31" spans="1:5" ht="15.75" customHeight="1" x14ac:dyDescent="0.25">
      <c r="A31" s="6" t="str">
        <v>Singapore</v>
      </c>
      <c r="B31" s="2">
        <v>13</v>
      </c>
      <c r="C31" s="2">
        <v>13</v>
      </c>
      <c r="D31" s="2">
        <v>59</v>
      </c>
      <c r="E31" s="2">
        <v>85</v>
      </c>
    </row>
    <row r="32" spans="1:5" ht="15.75" customHeight="1" x14ac:dyDescent="0.25">
      <c r="A32" s="6" t="str">
        <v>Australia</v>
      </c>
      <c r="B32" s="2">
        <v>23</v>
      </c>
      <c r="C32" s="2">
        <v>12</v>
      </c>
      <c r="D32" s="2">
        <v>50</v>
      </c>
      <c r="E32" s="2">
        <v>85</v>
      </c>
    </row>
    <row r="33" spans="1:5" ht="15.75" customHeight="1" x14ac:dyDescent="0.25">
      <c r="A33" s="6" t="str">
        <v>Vietnam</v>
      </c>
      <c r="B33" s="2">
        <v>3</v>
      </c>
      <c r="C33" s="2">
        <v>10</v>
      </c>
      <c r="D33" s="2">
        <v>64</v>
      </c>
      <c r="E33" s="2">
        <v>77</v>
      </c>
    </row>
    <row r="34" spans="1:5" ht="15.75" customHeight="1" x14ac:dyDescent="0.25">
      <c r="A34" s="6" t="str">
        <v>Indonesia</v>
      </c>
      <c r="B34" s="2">
        <v>12</v>
      </c>
      <c r="C34" s="2">
        <v>12</v>
      </c>
      <c r="D34" s="2">
        <v>40</v>
      </c>
      <c r="E34" s="2">
        <v>64</v>
      </c>
    </row>
    <row r="35" spans="1:5" ht="15.75" customHeight="1" x14ac:dyDescent="0.25">
      <c r="A35" s="6" t="str">
        <v>New Zealand</v>
      </c>
      <c r="B35" s="2">
        <v>4</v>
      </c>
      <c r="C35" s="2">
        <v>10</v>
      </c>
      <c r="D35" s="2">
        <v>45</v>
      </c>
      <c r="E35" s="2">
        <v>59</v>
      </c>
    </row>
    <row r="36" spans="1:5" ht="15.75" customHeight="1" x14ac:dyDescent="0.25">
      <c r="A36" s="6" t="str">
        <v>Cambodia</v>
      </c>
      <c r="B36" s="2">
        <v>7</v>
      </c>
      <c r="C36" s="2">
        <v>6</v>
      </c>
      <c r="D36" s="2">
        <v>44</v>
      </c>
      <c r="E36" s="2">
        <v>57</v>
      </c>
    </row>
    <row r="37" spans="1:5" ht="15.75" customHeight="1" x14ac:dyDescent="0.25"/>
    <row r="38" spans="1:5" ht="15.75" customHeight="1" x14ac:dyDescent="0.25"/>
    <row r="39" spans="1:5" ht="15.75" customHeight="1" x14ac:dyDescent="0.25"/>
    <row r="40" spans="1:5" ht="15.75" customHeight="1" x14ac:dyDescent="0.25"/>
    <row r="41" spans="1:5" ht="15.75" customHeight="1" x14ac:dyDescent="0.25"/>
    <row r="42" spans="1:5" ht="15.75" customHeight="1" x14ac:dyDescent="0.25">
      <c r="A42" s="53"/>
      <c r="B42" s="53"/>
      <c r="C42" s="53"/>
      <c r="D42" s="53"/>
    </row>
    <row r="43" spans="1:5" ht="15.75" customHeight="1" x14ac:dyDescent="0.25">
      <c r="A43" s="12" t="s">
        <v>3215</v>
      </c>
    </row>
    <row r="44" spans="1:5" ht="15.75" customHeight="1" x14ac:dyDescent="0.25"/>
    <row r="45" spans="1:5" ht="15.75" customHeight="1" x14ac:dyDescent="0.25">
      <c r="A45" s="3" t="s">
        <v>8</v>
      </c>
      <c r="B45" s="2" t="s">
        <v>2817</v>
      </c>
    </row>
    <row r="46" spans="1:5" ht="15.75" customHeight="1" x14ac:dyDescent="0.25"/>
    <row r="47" spans="1:5" ht="15.75" customHeight="1" x14ac:dyDescent="0.25">
      <c r="A47" s="3" t="s">
        <v>2778</v>
      </c>
      <c r="B47" s="3" t="s">
        <v>2820</v>
      </c>
    </row>
    <row r="48" spans="1:5" ht="15.75" customHeight="1" x14ac:dyDescent="0.25">
      <c r="A48" s="3" t="s">
        <v>2821</v>
      </c>
      <c r="B48" s="2" t="s">
        <v>307</v>
      </c>
      <c r="C48" s="2" t="s">
        <v>26</v>
      </c>
      <c r="D48" s="2" t="s">
        <v>76</v>
      </c>
      <c r="E48" s="2" t="s">
        <v>2779</v>
      </c>
    </row>
    <row r="49" spans="1:5" ht="15.75" customHeight="1" x14ac:dyDescent="0.25">
      <c r="A49" s="6" t="str" cm="1">
        <f t="array" ref="A49:E58">'Table 1-2'!$G$8:$K$17</f>
        <v>Russia</v>
      </c>
      <c r="B49" s="2">
        <v>24</v>
      </c>
      <c r="C49" s="2">
        <v>2</v>
      </c>
      <c r="D49" s="2">
        <v>19</v>
      </c>
      <c r="E49" s="2">
        <v>45</v>
      </c>
    </row>
    <row r="50" spans="1:5" ht="15.75" customHeight="1" x14ac:dyDescent="0.25">
      <c r="A50" s="6" t="str">
        <v>Pakistan</v>
      </c>
      <c r="B50" s="2">
        <v>10</v>
      </c>
      <c r="C50" s="2">
        <v>0</v>
      </c>
      <c r="D50" s="2">
        <v>14</v>
      </c>
      <c r="E50" s="2">
        <v>24</v>
      </c>
    </row>
    <row r="51" spans="1:5" ht="15.75" customHeight="1" x14ac:dyDescent="0.25">
      <c r="A51" s="6" t="str">
        <v>Thailand</v>
      </c>
      <c r="B51" s="2">
        <v>9</v>
      </c>
      <c r="C51" s="2">
        <v>2</v>
      </c>
      <c r="D51" s="2">
        <v>8</v>
      </c>
      <c r="E51" s="2">
        <v>19</v>
      </c>
    </row>
    <row r="52" spans="1:5" ht="15.75" customHeight="1" x14ac:dyDescent="0.25">
      <c r="A52" s="6" t="str">
        <v>Singapore</v>
      </c>
      <c r="B52" s="2">
        <v>6</v>
      </c>
      <c r="C52" s="2">
        <v>2</v>
      </c>
      <c r="D52" s="2">
        <v>10</v>
      </c>
      <c r="E52" s="2">
        <v>18</v>
      </c>
    </row>
    <row r="53" spans="1:5" ht="15.75" customHeight="1" x14ac:dyDescent="0.25">
      <c r="A53" s="6" t="str">
        <v>Vietnam</v>
      </c>
      <c r="B53" s="2">
        <v>1</v>
      </c>
      <c r="C53" s="2">
        <v>3</v>
      </c>
      <c r="D53" s="2">
        <v>14</v>
      </c>
      <c r="E53" s="2">
        <v>18</v>
      </c>
    </row>
    <row r="54" spans="1:5" ht="15.75" customHeight="1" x14ac:dyDescent="0.25">
      <c r="A54" s="6" t="str">
        <v>United States</v>
      </c>
      <c r="B54" s="2">
        <v>1</v>
      </c>
      <c r="C54" s="2">
        <v>0</v>
      </c>
      <c r="D54" s="2">
        <v>16</v>
      </c>
      <c r="E54" s="2">
        <v>17</v>
      </c>
    </row>
    <row r="55" spans="1:5" ht="15.75" customHeight="1" x14ac:dyDescent="0.25">
      <c r="A55" s="6" t="str">
        <v>Cambodia</v>
      </c>
      <c r="B55" s="2">
        <v>4</v>
      </c>
      <c r="C55" s="2">
        <v>1</v>
      </c>
      <c r="D55" s="2">
        <v>11</v>
      </c>
      <c r="E55" s="2">
        <v>16</v>
      </c>
    </row>
    <row r="56" spans="1:5" ht="15.75" customHeight="1" x14ac:dyDescent="0.25">
      <c r="A56" s="6" t="str">
        <v>Laos</v>
      </c>
      <c r="B56" s="2">
        <v>4</v>
      </c>
      <c r="C56" s="2">
        <v>0</v>
      </c>
      <c r="D56" s="2">
        <v>9</v>
      </c>
      <c r="E56" s="2">
        <v>13</v>
      </c>
    </row>
    <row r="57" spans="1:5" ht="15.75" customHeight="1" x14ac:dyDescent="0.25">
      <c r="A57" s="6" t="str">
        <v>Indonesia</v>
      </c>
      <c r="B57" s="2">
        <v>3</v>
      </c>
      <c r="C57" s="2">
        <v>4</v>
      </c>
      <c r="D57" s="2">
        <v>6</v>
      </c>
      <c r="E57" s="2">
        <v>13</v>
      </c>
    </row>
    <row r="58" spans="1:5" ht="15.75" customHeight="1" x14ac:dyDescent="0.25">
      <c r="A58" s="6" t="str">
        <v>South Africa</v>
      </c>
      <c r="B58" s="2">
        <v>1</v>
      </c>
      <c r="C58" s="2">
        <v>3</v>
      </c>
      <c r="D58" s="2">
        <v>4</v>
      </c>
      <c r="E58" s="2">
        <v>8</v>
      </c>
    </row>
  </sheetData>
  <pageMargins left="0.7" right="0.7" top="0.75" bottom="0.75" header="0" footer="0"/>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435D2-93BA-4270-827B-AA0730E21C2D}">
  <dimension ref="A1:Q183"/>
  <sheetViews>
    <sheetView topLeftCell="A13" workbookViewId="0">
      <selection activeCell="V10" sqref="V10"/>
    </sheetView>
  </sheetViews>
  <sheetFormatPr defaultRowHeight="15" x14ac:dyDescent="0.25"/>
  <cols>
    <col min="1" max="1" width="15.28515625" customWidth="1"/>
    <col min="6" max="6" width="27.28515625" customWidth="1"/>
    <col min="12" max="12" width="32.42578125" customWidth="1"/>
  </cols>
  <sheetData>
    <row r="1" spans="1:17" x14ac:dyDescent="0.25">
      <c r="A1" s="105" t="s">
        <v>3216</v>
      </c>
      <c r="B1" s="106"/>
      <c r="C1" s="106"/>
      <c r="D1" s="106"/>
      <c r="E1" s="106"/>
      <c r="F1" s="106"/>
      <c r="G1" s="107" t="s">
        <v>3217</v>
      </c>
      <c r="H1" s="106"/>
      <c r="I1" s="106"/>
      <c r="J1" s="106"/>
      <c r="K1" s="106"/>
      <c r="L1" s="106"/>
      <c r="M1" s="105" t="s">
        <v>3227</v>
      </c>
    </row>
    <row r="2" spans="1:17" x14ac:dyDescent="0.25">
      <c r="A2" s="103" t="s">
        <v>3225</v>
      </c>
      <c r="G2" s="103" t="s">
        <v>3225</v>
      </c>
      <c r="M2" s="103" t="s">
        <v>3226</v>
      </c>
    </row>
    <row r="4" spans="1:17" x14ac:dyDescent="0.25">
      <c r="G4" s="120" t="s">
        <v>8</v>
      </c>
      <c r="H4" s="119" t="s">
        <v>2817</v>
      </c>
    </row>
    <row r="5" spans="1:17" x14ac:dyDescent="0.25">
      <c r="A5" s="120" t="s">
        <v>5</v>
      </c>
      <c r="B5" s="119" t="s">
        <v>95</v>
      </c>
      <c r="G5" s="120" t="s">
        <v>5</v>
      </c>
      <c r="H5" s="119" t="s">
        <v>95</v>
      </c>
      <c r="M5" s="120" t="s">
        <v>5</v>
      </c>
      <c r="N5" s="119" t="s">
        <v>2817</v>
      </c>
    </row>
    <row r="7" spans="1:17" x14ac:dyDescent="0.25">
      <c r="A7" s="111" t="s">
        <v>2778</v>
      </c>
      <c r="B7" s="111" t="s">
        <v>1</v>
      </c>
      <c r="C7" s="112"/>
      <c r="D7" s="112"/>
      <c r="E7" s="113"/>
      <c r="G7" s="111" t="s">
        <v>2778</v>
      </c>
      <c r="H7" s="111" t="s">
        <v>1</v>
      </c>
      <c r="I7" s="112"/>
      <c r="J7" s="112"/>
      <c r="K7" s="113"/>
      <c r="M7" s="111" t="s">
        <v>2778</v>
      </c>
      <c r="N7" s="111" t="s">
        <v>1</v>
      </c>
      <c r="O7" s="112"/>
      <c r="P7" s="112"/>
      <c r="Q7" s="113"/>
    </row>
    <row r="8" spans="1:17" x14ac:dyDescent="0.25">
      <c r="A8" s="111" t="s">
        <v>7</v>
      </c>
      <c r="B8" s="114" t="s">
        <v>307</v>
      </c>
      <c r="C8" s="115" t="s">
        <v>26</v>
      </c>
      <c r="D8" s="115" t="s">
        <v>76</v>
      </c>
      <c r="E8" s="122" t="s">
        <v>2779</v>
      </c>
      <c r="G8" s="111" t="s">
        <v>7</v>
      </c>
      <c r="H8" s="114" t="s">
        <v>307</v>
      </c>
      <c r="I8" s="115" t="s">
        <v>26</v>
      </c>
      <c r="J8" s="115" t="s">
        <v>76</v>
      </c>
      <c r="K8" s="122" t="s">
        <v>2779</v>
      </c>
      <c r="M8" s="111" t="s">
        <v>7</v>
      </c>
      <c r="N8" s="114" t="s">
        <v>307</v>
      </c>
      <c r="O8" s="115" t="s">
        <v>26</v>
      </c>
      <c r="P8" s="115" t="s">
        <v>76</v>
      </c>
      <c r="Q8" s="122" t="s">
        <v>2779</v>
      </c>
    </row>
    <row r="9" spans="1:17" x14ac:dyDescent="0.25">
      <c r="A9" s="114" t="s">
        <v>111</v>
      </c>
      <c r="B9" s="184">
        <v>10</v>
      </c>
      <c r="C9" s="185">
        <v>9</v>
      </c>
      <c r="D9" s="185">
        <v>28</v>
      </c>
      <c r="E9" s="199">
        <v>47</v>
      </c>
      <c r="G9" s="114" t="s">
        <v>111</v>
      </c>
      <c r="H9" s="184">
        <v>0</v>
      </c>
      <c r="I9" s="185">
        <v>0</v>
      </c>
      <c r="J9" s="185">
        <v>5</v>
      </c>
      <c r="K9" s="199">
        <v>5</v>
      </c>
      <c r="M9" s="114" t="s">
        <v>48</v>
      </c>
      <c r="N9" s="184">
        <v>18</v>
      </c>
      <c r="O9" s="185">
        <v>9</v>
      </c>
      <c r="P9" s="185">
        <v>114</v>
      </c>
      <c r="Q9" s="199">
        <v>141</v>
      </c>
    </row>
    <row r="10" spans="1:17" x14ac:dyDescent="0.25">
      <c r="A10" s="117" t="s">
        <v>107</v>
      </c>
      <c r="B10" s="187">
        <v>2</v>
      </c>
      <c r="C10" s="188">
        <v>6</v>
      </c>
      <c r="D10" s="188">
        <v>37</v>
      </c>
      <c r="E10" s="200">
        <v>45</v>
      </c>
      <c r="G10" s="117" t="s">
        <v>108</v>
      </c>
      <c r="H10" s="187">
        <v>0</v>
      </c>
      <c r="I10" s="188">
        <v>0</v>
      </c>
      <c r="J10" s="188">
        <v>5</v>
      </c>
      <c r="K10" s="200">
        <v>5</v>
      </c>
      <c r="M10" s="117" t="s">
        <v>111</v>
      </c>
      <c r="N10" s="187">
        <v>10</v>
      </c>
      <c r="O10" s="188">
        <v>9</v>
      </c>
      <c r="P10" s="188">
        <v>28</v>
      </c>
      <c r="Q10" s="200">
        <v>47</v>
      </c>
    </row>
    <row r="11" spans="1:17" x14ac:dyDescent="0.25">
      <c r="A11" s="117" t="s">
        <v>108</v>
      </c>
      <c r="B11" s="187">
        <v>3</v>
      </c>
      <c r="C11" s="188">
        <v>4</v>
      </c>
      <c r="D11" s="188">
        <v>34</v>
      </c>
      <c r="E11" s="200">
        <v>41</v>
      </c>
      <c r="G11" s="117" t="s">
        <v>153</v>
      </c>
      <c r="H11" s="187">
        <v>0</v>
      </c>
      <c r="I11" s="188">
        <v>0</v>
      </c>
      <c r="J11" s="188">
        <v>1</v>
      </c>
      <c r="K11" s="200">
        <v>1</v>
      </c>
      <c r="M11" s="117" t="s">
        <v>107</v>
      </c>
      <c r="N11" s="187">
        <v>2</v>
      </c>
      <c r="O11" s="188">
        <v>6</v>
      </c>
      <c r="P11" s="188">
        <v>37</v>
      </c>
      <c r="Q11" s="200">
        <v>45</v>
      </c>
    </row>
    <row r="12" spans="1:17" x14ac:dyDescent="0.25">
      <c r="A12" s="117" t="s">
        <v>104</v>
      </c>
      <c r="B12" s="187">
        <v>3</v>
      </c>
      <c r="C12" s="188">
        <v>4</v>
      </c>
      <c r="D12" s="188">
        <v>32</v>
      </c>
      <c r="E12" s="200">
        <v>39</v>
      </c>
      <c r="G12" s="117" t="s">
        <v>104</v>
      </c>
      <c r="H12" s="187">
        <v>0</v>
      </c>
      <c r="I12" s="188">
        <v>0</v>
      </c>
      <c r="J12" s="188">
        <v>1</v>
      </c>
      <c r="K12" s="200">
        <v>1</v>
      </c>
      <c r="M12" s="117" t="s">
        <v>108</v>
      </c>
      <c r="N12" s="187">
        <v>3</v>
      </c>
      <c r="O12" s="188">
        <v>4</v>
      </c>
      <c r="P12" s="188">
        <v>34</v>
      </c>
      <c r="Q12" s="200">
        <v>41</v>
      </c>
    </row>
    <row r="13" spans="1:17" x14ac:dyDescent="0.25">
      <c r="A13" s="117" t="s">
        <v>168</v>
      </c>
      <c r="B13" s="187">
        <v>2</v>
      </c>
      <c r="C13" s="188">
        <v>1</v>
      </c>
      <c r="D13" s="188">
        <v>32</v>
      </c>
      <c r="E13" s="200">
        <v>35</v>
      </c>
      <c r="G13" s="117" t="s">
        <v>96</v>
      </c>
      <c r="H13" s="187">
        <v>0</v>
      </c>
      <c r="I13" s="188">
        <v>0</v>
      </c>
      <c r="J13" s="188">
        <v>1</v>
      </c>
      <c r="K13" s="200">
        <v>1</v>
      </c>
      <c r="M13" s="117" t="s">
        <v>104</v>
      </c>
      <c r="N13" s="187">
        <v>3</v>
      </c>
      <c r="O13" s="188">
        <v>4</v>
      </c>
      <c r="P13" s="188">
        <v>32</v>
      </c>
      <c r="Q13" s="200">
        <v>39</v>
      </c>
    </row>
    <row r="14" spans="1:17" x14ac:dyDescent="0.25">
      <c r="A14" s="117" t="s">
        <v>153</v>
      </c>
      <c r="B14" s="187">
        <v>2</v>
      </c>
      <c r="C14" s="188">
        <v>6</v>
      </c>
      <c r="D14" s="188">
        <v>23</v>
      </c>
      <c r="E14" s="200">
        <v>31</v>
      </c>
      <c r="G14" s="117" t="s">
        <v>407</v>
      </c>
      <c r="H14" s="187">
        <v>0</v>
      </c>
      <c r="I14" s="188">
        <v>0</v>
      </c>
      <c r="J14" s="188">
        <v>1</v>
      </c>
      <c r="K14" s="200">
        <v>1</v>
      </c>
      <c r="M14" s="117" t="s">
        <v>168</v>
      </c>
      <c r="N14" s="187">
        <v>2</v>
      </c>
      <c r="O14" s="188">
        <v>1</v>
      </c>
      <c r="P14" s="188">
        <v>32</v>
      </c>
      <c r="Q14" s="200">
        <v>35</v>
      </c>
    </row>
    <row r="15" spans="1:17" x14ac:dyDescent="0.25">
      <c r="A15" s="117" t="s">
        <v>186</v>
      </c>
      <c r="B15" s="187">
        <v>3</v>
      </c>
      <c r="C15" s="188">
        <v>4</v>
      </c>
      <c r="D15" s="188">
        <v>19</v>
      </c>
      <c r="E15" s="200">
        <v>26</v>
      </c>
      <c r="G15" s="117" t="s">
        <v>519</v>
      </c>
      <c r="H15" s="187">
        <v>0</v>
      </c>
      <c r="I15" s="188">
        <v>0</v>
      </c>
      <c r="J15" s="188">
        <v>0</v>
      </c>
      <c r="K15" s="200">
        <v>0</v>
      </c>
      <c r="M15" s="117" t="s">
        <v>153</v>
      </c>
      <c r="N15" s="187">
        <v>2</v>
      </c>
      <c r="O15" s="188">
        <v>6</v>
      </c>
      <c r="P15" s="188">
        <v>23</v>
      </c>
      <c r="Q15" s="200">
        <v>31</v>
      </c>
    </row>
    <row r="16" spans="1:17" x14ac:dyDescent="0.25">
      <c r="A16" s="117" t="s">
        <v>407</v>
      </c>
      <c r="B16" s="187">
        <v>0</v>
      </c>
      <c r="C16" s="188">
        <v>0</v>
      </c>
      <c r="D16" s="188">
        <v>25</v>
      </c>
      <c r="E16" s="200">
        <v>25</v>
      </c>
      <c r="G16" s="117" t="s">
        <v>616</v>
      </c>
      <c r="H16" s="187">
        <v>0</v>
      </c>
      <c r="I16" s="188">
        <v>0</v>
      </c>
      <c r="J16" s="188">
        <v>0</v>
      </c>
      <c r="K16" s="200">
        <v>0</v>
      </c>
      <c r="M16" s="117" t="s">
        <v>186</v>
      </c>
      <c r="N16" s="187">
        <v>3</v>
      </c>
      <c r="O16" s="188">
        <v>4</v>
      </c>
      <c r="P16" s="188">
        <v>19</v>
      </c>
      <c r="Q16" s="200">
        <v>26</v>
      </c>
    </row>
    <row r="17" spans="1:17" x14ac:dyDescent="0.25">
      <c r="A17" s="117" t="s">
        <v>270</v>
      </c>
      <c r="B17" s="187">
        <v>0</v>
      </c>
      <c r="C17" s="188">
        <v>2</v>
      </c>
      <c r="D17" s="188">
        <v>22</v>
      </c>
      <c r="E17" s="200">
        <v>24</v>
      </c>
      <c r="G17" s="117" t="s">
        <v>683</v>
      </c>
      <c r="H17" s="187">
        <v>0</v>
      </c>
      <c r="I17" s="188">
        <v>0</v>
      </c>
      <c r="J17" s="188">
        <v>0</v>
      </c>
      <c r="K17" s="200">
        <v>0</v>
      </c>
      <c r="M17" s="117" t="s">
        <v>407</v>
      </c>
      <c r="N17" s="187">
        <v>0</v>
      </c>
      <c r="O17" s="188">
        <v>0</v>
      </c>
      <c r="P17" s="188">
        <v>25</v>
      </c>
      <c r="Q17" s="200">
        <v>25</v>
      </c>
    </row>
    <row r="18" spans="1:17" x14ac:dyDescent="0.25">
      <c r="A18" s="117" t="s">
        <v>338</v>
      </c>
      <c r="B18" s="187">
        <v>1</v>
      </c>
      <c r="C18" s="188">
        <v>3</v>
      </c>
      <c r="D18" s="188">
        <v>12</v>
      </c>
      <c r="E18" s="200">
        <v>16</v>
      </c>
      <c r="G18" s="117" t="s">
        <v>285</v>
      </c>
      <c r="H18" s="187">
        <v>0</v>
      </c>
      <c r="I18" s="188">
        <v>0</v>
      </c>
      <c r="J18" s="188">
        <v>0</v>
      </c>
      <c r="K18" s="200">
        <v>0</v>
      </c>
      <c r="M18" s="117" t="s">
        <v>270</v>
      </c>
      <c r="N18" s="187">
        <v>0</v>
      </c>
      <c r="O18" s="188">
        <v>2</v>
      </c>
      <c r="P18" s="188">
        <v>22</v>
      </c>
      <c r="Q18" s="200">
        <v>24</v>
      </c>
    </row>
    <row r="19" spans="1:17" x14ac:dyDescent="0.25">
      <c r="A19" s="117" t="s">
        <v>96</v>
      </c>
      <c r="B19" s="187">
        <v>1</v>
      </c>
      <c r="C19" s="188">
        <v>2</v>
      </c>
      <c r="D19" s="188">
        <v>12</v>
      </c>
      <c r="E19" s="200">
        <v>15</v>
      </c>
      <c r="G19" s="117" t="s">
        <v>180</v>
      </c>
      <c r="H19" s="187">
        <v>0</v>
      </c>
      <c r="I19" s="188">
        <v>0</v>
      </c>
      <c r="J19" s="188">
        <v>0</v>
      </c>
      <c r="K19" s="200">
        <v>0</v>
      </c>
      <c r="M19" s="117" t="s">
        <v>338</v>
      </c>
      <c r="N19" s="187">
        <v>1</v>
      </c>
      <c r="O19" s="188">
        <v>3</v>
      </c>
      <c r="P19" s="188">
        <v>12</v>
      </c>
      <c r="Q19" s="200">
        <v>16</v>
      </c>
    </row>
    <row r="20" spans="1:17" x14ac:dyDescent="0.25">
      <c r="A20" s="117" t="s">
        <v>382</v>
      </c>
      <c r="B20" s="187">
        <v>0</v>
      </c>
      <c r="C20" s="188">
        <v>1</v>
      </c>
      <c r="D20" s="188">
        <v>13</v>
      </c>
      <c r="E20" s="200">
        <v>14</v>
      </c>
      <c r="G20" s="117" t="s">
        <v>888</v>
      </c>
      <c r="H20" s="187">
        <v>0</v>
      </c>
      <c r="I20" s="188">
        <v>0</v>
      </c>
      <c r="J20" s="188">
        <v>0</v>
      </c>
      <c r="K20" s="200">
        <v>0</v>
      </c>
      <c r="M20" s="117" t="s">
        <v>96</v>
      </c>
      <c r="N20" s="187">
        <v>1</v>
      </c>
      <c r="O20" s="188">
        <v>2</v>
      </c>
      <c r="P20" s="188">
        <v>12</v>
      </c>
      <c r="Q20" s="200">
        <v>15</v>
      </c>
    </row>
    <row r="21" spans="1:17" x14ac:dyDescent="0.25">
      <c r="A21" s="117" t="s">
        <v>176</v>
      </c>
      <c r="B21" s="187">
        <v>0</v>
      </c>
      <c r="C21" s="188">
        <v>1</v>
      </c>
      <c r="D21" s="188">
        <v>12</v>
      </c>
      <c r="E21" s="200">
        <v>13</v>
      </c>
      <c r="G21" s="117" t="s">
        <v>450</v>
      </c>
      <c r="H21" s="187">
        <v>0</v>
      </c>
      <c r="I21" s="188">
        <v>0</v>
      </c>
      <c r="J21" s="188">
        <v>0</v>
      </c>
      <c r="K21" s="200">
        <v>0</v>
      </c>
      <c r="M21" s="117" t="s">
        <v>382</v>
      </c>
      <c r="N21" s="187">
        <v>0</v>
      </c>
      <c r="O21" s="188">
        <v>1</v>
      </c>
      <c r="P21" s="188">
        <v>13</v>
      </c>
      <c r="Q21" s="200">
        <v>14</v>
      </c>
    </row>
    <row r="22" spans="1:17" x14ac:dyDescent="0.25">
      <c r="A22" s="117" t="s">
        <v>225</v>
      </c>
      <c r="B22" s="187">
        <v>0</v>
      </c>
      <c r="C22" s="188">
        <v>5</v>
      </c>
      <c r="D22" s="188">
        <v>7</v>
      </c>
      <c r="E22" s="200">
        <v>12</v>
      </c>
      <c r="G22" s="117" t="s">
        <v>73</v>
      </c>
      <c r="H22" s="187">
        <v>0</v>
      </c>
      <c r="I22" s="188">
        <v>0</v>
      </c>
      <c r="J22" s="188">
        <v>0</v>
      </c>
      <c r="K22" s="200">
        <v>0</v>
      </c>
      <c r="M22" s="117" t="s">
        <v>176</v>
      </c>
      <c r="N22" s="187">
        <v>0</v>
      </c>
      <c r="O22" s="188">
        <v>1</v>
      </c>
      <c r="P22" s="188">
        <v>12</v>
      </c>
      <c r="Q22" s="200">
        <v>13</v>
      </c>
    </row>
    <row r="23" spans="1:17" x14ac:dyDescent="0.25">
      <c r="A23" s="117" t="s">
        <v>171</v>
      </c>
      <c r="B23" s="187">
        <v>1</v>
      </c>
      <c r="C23" s="188">
        <v>0</v>
      </c>
      <c r="D23" s="188">
        <v>11</v>
      </c>
      <c r="E23" s="200">
        <v>12</v>
      </c>
      <c r="G23" s="117" t="s">
        <v>762</v>
      </c>
      <c r="H23" s="187">
        <v>0</v>
      </c>
      <c r="I23" s="188">
        <v>0</v>
      </c>
      <c r="J23" s="188">
        <v>0</v>
      </c>
      <c r="K23" s="200">
        <v>0</v>
      </c>
      <c r="M23" s="117" t="s">
        <v>225</v>
      </c>
      <c r="N23" s="187">
        <v>0</v>
      </c>
      <c r="O23" s="188">
        <v>5</v>
      </c>
      <c r="P23" s="188">
        <v>7</v>
      </c>
      <c r="Q23" s="200">
        <v>12</v>
      </c>
    </row>
    <row r="24" spans="1:17" x14ac:dyDescent="0.25">
      <c r="A24" s="117" t="s">
        <v>195</v>
      </c>
      <c r="B24" s="187">
        <v>0</v>
      </c>
      <c r="C24" s="188">
        <v>0</v>
      </c>
      <c r="D24" s="188">
        <v>11</v>
      </c>
      <c r="E24" s="200">
        <v>11</v>
      </c>
      <c r="G24" s="117" t="s">
        <v>506</v>
      </c>
      <c r="H24" s="187">
        <v>0</v>
      </c>
      <c r="I24" s="188">
        <v>0</v>
      </c>
      <c r="J24" s="188">
        <v>0</v>
      </c>
      <c r="K24" s="200">
        <v>0</v>
      </c>
      <c r="M24" s="117" t="s">
        <v>171</v>
      </c>
      <c r="N24" s="187">
        <v>1</v>
      </c>
      <c r="O24" s="188">
        <v>0</v>
      </c>
      <c r="P24" s="188">
        <v>11</v>
      </c>
      <c r="Q24" s="200">
        <v>12</v>
      </c>
    </row>
    <row r="25" spans="1:17" x14ac:dyDescent="0.25">
      <c r="A25" s="117" t="s">
        <v>558</v>
      </c>
      <c r="B25" s="187">
        <v>3</v>
      </c>
      <c r="C25" s="188">
        <v>2</v>
      </c>
      <c r="D25" s="188">
        <v>5</v>
      </c>
      <c r="E25" s="200">
        <v>10</v>
      </c>
      <c r="G25" s="117" t="s">
        <v>95</v>
      </c>
      <c r="H25" s="187">
        <v>0</v>
      </c>
      <c r="I25" s="188">
        <v>0</v>
      </c>
      <c r="J25" s="188">
        <v>0</v>
      </c>
      <c r="K25" s="200">
        <v>0</v>
      </c>
      <c r="M25" s="117" t="s">
        <v>195</v>
      </c>
      <c r="N25" s="187">
        <v>0</v>
      </c>
      <c r="O25" s="188">
        <v>0</v>
      </c>
      <c r="P25" s="188">
        <v>11</v>
      </c>
      <c r="Q25" s="200">
        <v>11</v>
      </c>
    </row>
    <row r="26" spans="1:17" x14ac:dyDescent="0.25">
      <c r="A26" s="117" t="s">
        <v>180</v>
      </c>
      <c r="B26" s="187">
        <v>0</v>
      </c>
      <c r="C26" s="188">
        <v>0</v>
      </c>
      <c r="D26" s="188">
        <v>9</v>
      </c>
      <c r="E26" s="200">
        <v>9</v>
      </c>
      <c r="G26" s="117" t="s">
        <v>260</v>
      </c>
      <c r="H26" s="187">
        <v>0</v>
      </c>
      <c r="I26" s="188">
        <v>0</v>
      </c>
      <c r="J26" s="188">
        <v>0</v>
      </c>
      <c r="K26" s="200">
        <v>0</v>
      </c>
      <c r="M26" s="117" t="s">
        <v>558</v>
      </c>
      <c r="N26" s="187">
        <v>3</v>
      </c>
      <c r="O26" s="188">
        <v>2</v>
      </c>
      <c r="P26" s="188">
        <v>5</v>
      </c>
      <c r="Q26" s="200">
        <v>10</v>
      </c>
    </row>
    <row r="27" spans="1:17" x14ac:dyDescent="0.25">
      <c r="A27" s="117" t="s">
        <v>506</v>
      </c>
      <c r="B27" s="187">
        <v>0</v>
      </c>
      <c r="C27" s="188">
        <v>0</v>
      </c>
      <c r="D27" s="188">
        <v>9</v>
      </c>
      <c r="E27" s="200">
        <v>9</v>
      </c>
      <c r="G27" s="117" t="s">
        <v>225</v>
      </c>
      <c r="H27" s="187">
        <v>0</v>
      </c>
      <c r="I27" s="188">
        <v>0</v>
      </c>
      <c r="J27" s="188">
        <v>0</v>
      </c>
      <c r="K27" s="200">
        <v>0</v>
      </c>
      <c r="M27" s="117" t="s">
        <v>180</v>
      </c>
      <c r="N27" s="187">
        <v>0</v>
      </c>
      <c r="O27" s="188">
        <v>0</v>
      </c>
      <c r="P27" s="188">
        <v>9</v>
      </c>
      <c r="Q27" s="200">
        <v>9</v>
      </c>
    </row>
    <row r="28" spans="1:17" x14ac:dyDescent="0.25">
      <c r="A28" s="117" t="s">
        <v>265</v>
      </c>
      <c r="B28" s="187">
        <v>0</v>
      </c>
      <c r="C28" s="188">
        <v>0</v>
      </c>
      <c r="D28" s="188">
        <v>8</v>
      </c>
      <c r="E28" s="200">
        <v>8</v>
      </c>
      <c r="G28" s="117" t="s">
        <v>783</v>
      </c>
      <c r="H28" s="187">
        <v>0</v>
      </c>
      <c r="I28" s="188">
        <v>0</v>
      </c>
      <c r="J28" s="188">
        <v>0</v>
      </c>
      <c r="K28" s="200">
        <v>0</v>
      </c>
      <c r="M28" s="117" t="s">
        <v>506</v>
      </c>
      <c r="N28" s="187">
        <v>0</v>
      </c>
      <c r="O28" s="188">
        <v>0</v>
      </c>
      <c r="P28" s="188">
        <v>9</v>
      </c>
      <c r="Q28" s="200">
        <v>9</v>
      </c>
    </row>
    <row r="29" spans="1:17" x14ac:dyDescent="0.25">
      <c r="A29" s="117" t="s">
        <v>303</v>
      </c>
      <c r="B29" s="187">
        <v>0</v>
      </c>
      <c r="C29" s="188">
        <v>1</v>
      </c>
      <c r="D29" s="188">
        <v>6</v>
      </c>
      <c r="E29" s="200">
        <v>7</v>
      </c>
      <c r="G29" s="117" t="s">
        <v>430</v>
      </c>
      <c r="H29" s="187">
        <v>0</v>
      </c>
      <c r="I29" s="188">
        <v>0</v>
      </c>
      <c r="J29" s="188">
        <v>0</v>
      </c>
      <c r="K29" s="200">
        <v>0</v>
      </c>
      <c r="M29" s="117" t="s">
        <v>265</v>
      </c>
      <c r="N29" s="187">
        <v>0</v>
      </c>
      <c r="O29" s="188">
        <v>0</v>
      </c>
      <c r="P29" s="188">
        <v>8</v>
      </c>
      <c r="Q29" s="200">
        <v>8</v>
      </c>
    </row>
    <row r="30" spans="1:17" x14ac:dyDescent="0.25">
      <c r="A30" s="117" t="s">
        <v>559</v>
      </c>
      <c r="B30" s="187">
        <v>0</v>
      </c>
      <c r="C30" s="188">
        <v>1</v>
      </c>
      <c r="D30" s="188">
        <v>5</v>
      </c>
      <c r="E30" s="200">
        <v>6</v>
      </c>
      <c r="G30" s="117" t="s">
        <v>32</v>
      </c>
      <c r="H30" s="187">
        <v>0</v>
      </c>
      <c r="I30" s="188">
        <v>0</v>
      </c>
      <c r="J30" s="188">
        <v>0</v>
      </c>
      <c r="K30" s="200">
        <v>0</v>
      </c>
      <c r="M30" s="117" t="s">
        <v>303</v>
      </c>
      <c r="N30" s="187">
        <v>0</v>
      </c>
      <c r="O30" s="188">
        <v>1</v>
      </c>
      <c r="P30" s="188">
        <v>6</v>
      </c>
      <c r="Q30" s="200">
        <v>7</v>
      </c>
    </row>
    <row r="31" spans="1:17" x14ac:dyDescent="0.25">
      <c r="A31" s="117" t="s">
        <v>1013</v>
      </c>
      <c r="B31" s="187">
        <v>0</v>
      </c>
      <c r="C31" s="188">
        <v>1</v>
      </c>
      <c r="D31" s="188">
        <v>4</v>
      </c>
      <c r="E31" s="200">
        <v>5</v>
      </c>
      <c r="G31" s="117" t="s">
        <v>530</v>
      </c>
      <c r="H31" s="187">
        <v>0</v>
      </c>
      <c r="I31" s="188">
        <v>0</v>
      </c>
      <c r="J31" s="188">
        <v>0</v>
      </c>
      <c r="K31" s="200">
        <v>0</v>
      </c>
      <c r="M31" s="117" t="s">
        <v>559</v>
      </c>
      <c r="N31" s="187">
        <v>0</v>
      </c>
      <c r="O31" s="188">
        <v>1</v>
      </c>
      <c r="P31" s="188">
        <v>5</v>
      </c>
      <c r="Q31" s="200">
        <v>6</v>
      </c>
    </row>
    <row r="32" spans="1:17" x14ac:dyDescent="0.25">
      <c r="A32" s="117" t="s">
        <v>95</v>
      </c>
      <c r="B32" s="187">
        <v>0</v>
      </c>
      <c r="C32" s="188">
        <v>0</v>
      </c>
      <c r="D32" s="188">
        <v>5</v>
      </c>
      <c r="E32" s="200">
        <v>5</v>
      </c>
      <c r="G32" s="117" t="s">
        <v>477</v>
      </c>
      <c r="H32" s="187">
        <v>0</v>
      </c>
      <c r="I32" s="188">
        <v>0</v>
      </c>
      <c r="J32" s="188">
        <v>0</v>
      </c>
      <c r="K32" s="200">
        <v>0</v>
      </c>
      <c r="M32" s="117" t="s">
        <v>95</v>
      </c>
      <c r="N32" s="187">
        <v>0</v>
      </c>
      <c r="O32" s="188">
        <v>0</v>
      </c>
      <c r="P32" s="188">
        <v>5</v>
      </c>
      <c r="Q32" s="200">
        <v>5</v>
      </c>
    </row>
    <row r="33" spans="1:17" x14ac:dyDescent="0.25">
      <c r="A33" s="117" t="s">
        <v>517</v>
      </c>
      <c r="B33" s="187">
        <v>0</v>
      </c>
      <c r="C33" s="188">
        <v>0</v>
      </c>
      <c r="D33" s="188">
        <v>2</v>
      </c>
      <c r="E33" s="200">
        <v>2</v>
      </c>
      <c r="G33" s="117" t="s">
        <v>552</v>
      </c>
      <c r="H33" s="187">
        <v>0</v>
      </c>
      <c r="I33" s="188">
        <v>0</v>
      </c>
      <c r="J33" s="188">
        <v>0</v>
      </c>
      <c r="K33" s="200">
        <v>0</v>
      </c>
      <c r="M33" s="117" t="s">
        <v>1013</v>
      </c>
      <c r="N33" s="187">
        <v>0</v>
      </c>
      <c r="O33" s="188">
        <v>1</v>
      </c>
      <c r="P33" s="188">
        <v>4</v>
      </c>
      <c r="Q33" s="200">
        <v>5</v>
      </c>
    </row>
    <row r="34" spans="1:17" x14ac:dyDescent="0.25">
      <c r="A34" s="117" t="s">
        <v>677</v>
      </c>
      <c r="B34" s="187">
        <v>0</v>
      </c>
      <c r="C34" s="188">
        <v>0</v>
      </c>
      <c r="D34" s="188">
        <v>1</v>
      </c>
      <c r="E34" s="200">
        <v>1</v>
      </c>
      <c r="G34" s="117" t="s">
        <v>171</v>
      </c>
      <c r="H34" s="187">
        <v>0</v>
      </c>
      <c r="I34" s="188">
        <v>0</v>
      </c>
      <c r="J34" s="188">
        <v>0</v>
      </c>
      <c r="K34" s="200">
        <v>0</v>
      </c>
      <c r="M34" s="117" t="s">
        <v>517</v>
      </c>
      <c r="N34" s="187">
        <v>0</v>
      </c>
      <c r="O34" s="188">
        <v>0</v>
      </c>
      <c r="P34" s="188">
        <v>2</v>
      </c>
      <c r="Q34" s="200">
        <v>2</v>
      </c>
    </row>
    <row r="35" spans="1:17" x14ac:dyDescent="0.25">
      <c r="A35" s="117" t="s">
        <v>955</v>
      </c>
      <c r="B35" s="187">
        <v>0</v>
      </c>
      <c r="C35" s="188">
        <v>0</v>
      </c>
      <c r="D35" s="188">
        <v>1</v>
      </c>
      <c r="E35" s="200">
        <v>1</v>
      </c>
      <c r="G35" s="117" t="s">
        <v>789</v>
      </c>
      <c r="H35" s="187">
        <v>0</v>
      </c>
      <c r="I35" s="188">
        <v>0</v>
      </c>
      <c r="J35" s="188">
        <v>0</v>
      </c>
      <c r="K35" s="200">
        <v>0</v>
      </c>
      <c r="M35" s="117" t="s">
        <v>54</v>
      </c>
      <c r="N35" s="187">
        <v>0</v>
      </c>
      <c r="O35" s="188">
        <v>1</v>
      </c>
      <c r="P35" s="188">
        <v>0</v>
      </c>
      <c r="Q35" s="200">
        <v>1</v>
      </c>
    </row>
    <row r="36" spans="1:17" x14ac:dyDescent="0.25">
      <c r="A36" s="117" t="s">
        <v>530</v>
      </c>
      <c r="B36" s="187">
        <v>0</v>
      </c>
      <c r="C36" s="188">
        <v>0</v>
      </c>
      <c r="D36" s="188">
        <v>1</v>
      </c>
      <c r="E36" s="200">
        <v>1</v>
      </c>
      <c r="G36" s="117" t="s">
        <v>303</v>
      </c>
      <c r="H36" s="187">
        <v>0</v>
      </c>
      <c r="I36" s="188">
        <v>0</v>
      </c>
      <c r="J36" s="188">
        <v>0</v>
      </c>
      <c r="K36" s="200">
        <v>0</v>
      </c>
      <c r="M36" s="132" t="s">
        <v>1859</v>
      </c>
      <c r="N36" s="201">
        <v>0</v>
      </c>
      <c r="O36" s="202">
        <v>0</v>
      </c>
      <c r="P36" s="202">
        <v>1</v>
      </c>
      <c r="Q36" s="214">
        <v>1</v>
      </c>
    </row>
    <row r="37" spans="1:17" x14ac:dyDescent="0.25">
      <c r="A37" s="121" t="s">
        <v>2779</v>
      </c>
      <c r="B37" s="196">
        <v>31</v>
      </c>
      <c r="C37" s="197">
        <v>53</v>
      </c>
      <c r="D37" s="197">
        <v>386</v>
      </c>
      <c r="E37" s="198">
        <v>470</v>
      </c>
      <c r="G37" s="117" t="s">
        <v>411</v>
      </c>
      <c r="H37" s="187">
        <v>0</v>
      </c>
      <c r="I37" s="188">
        <v>0</v>
      </c>
      <c r="J37" s="188">
        <v>0</v>
      </c>
      <c r="K37" s="200">
        <v>0</v>
      </c>
      <c r="M37" s="117" t="s">
        <v>1499</v>
      </c>
      <c r="N37" s="187">
        <v>0</v>
      </c>
      <c r="O37" s="188">
        <v>0</v>
      </c>
      <c r="P37" s="188">
        <v>1</v>
      </c>
      <c r="Q37" s="200">
        <v>1</v>
      </c>
    </row>
    <row r="38" spans="1:17" x14ac:dyDescent="0.25">
      <c r="G38" s="117" t="s">
        <v>288</v>
      </c>
      <c r="H38" s="187">
        <v>0</v>
      </c>
      <c r="I38" s="188">
        <v>0</v>
      </c>
      <c r="J38" s="188">
        <v>0</v>
      </c>
      <c r="K38" s="200">
        <v>0</v>
      </c>
      <c r="M38" s="117" t="s">
        <v>530</v>
      </c>
      <c r="N38" s="187">
        <v>0</v>
      </c>
      <c r="O38" s="188">
        <v>0</v>
      </c>
      <c r="P38" s="188">
        <v>1</v>
      </c>
      <c r="Q38" s="200">
        <v>1</v>
      </c>
    </row>
    <row r="39" spans="1:17" x14ac:dyDescent="0.25">
      <c r="G39" s="117" t="s">
        <v>75</v>
      </c>
      <c r="H39" s="187">
        <v>0</v>
      </c>
      <c r="I39" s="188">
        <v>0</v>
      </c>
      <c r="J39" s="188">
        <v>0</v>
      </c>
      <c r="K39" s="200">
        <v>0</v>
      </c>
      <c r="M39" s="117" t="s">
        <v>955</v>
      </c>
      <c r="N39" s="187">
        <v>0</v>
      </c>
      <c r="O39" s="188">
        <v>0</v>
      </c>
      <c r="P39" s="188">
        <v>1</v>
      </c>
      <c r="Q39" s="200">
        <v>1</v>
      </c>
    </row>
    <row r="40" spans="1:17" x14ac:dyDescent="0.25">
      <c r="G40" s="117" t="s">
        <v>205</v>
      </c>
      <c r="H40" s="187">
        <v>0</v>
      </c>
      <c r="I40" s="188">
        <v>0</v>
      </c>
      <c r="J40" s="188">
        <v>0</v>
      </c>
      <c r="K40" s="200">
        <v>0</v>
      </c>
      <c r="M40" s="117" t="s">
        <v>677</v>
      </c>
      <c r="N40" s="187">
        <v>0</v>
      </c>
      <c r="O40" s="188">
        <v>0</v>
      </c>
      <c r="P40" s="188">
        <v>1</v>
      </c>
      <c r="Q40" s="200">
        <v>1</v>
      </c>
    </row>
    <row r="41" spans="1:17" x14ac:dyDescent="0.25">
      <c r="G41" s="117" t="s">
        <v>600</v>
      </c>
      <c r="H41" s="187">
        <v>0</v>
      </c>
      <c r="I41" s="188">
        <v>0</v>
      </c>
      <c r="J41" s="188">
        <v>0</v>
      </c>
      <c r="K41" s="200">
        <v>0</v>
      </c>
      <c r="M41" s="121" t="s">
        <v>2779</v>
      </c>
      <c r="N41" s="196">
        <v>49</v>
      </c>
      <c r="O41" s="197">
        <v>63</v>
      </c>
      <c r="P41" s="197">
        <v>502</v>
      </c>
      <c r="Q41" s="198">
        <v>614</v>
      </c>
    </row>
    <row r="42" spans="1:17" x14ac:dyDescent="0.25">
      <c r="G42" s="117" t="s">
        <v>612</v>
      </c>
      <c r="H42" s="187">
        <v>0</v>
      </c>
      <c r="I42" s="188">
        <v>0</v>
      </c>
      <c r="J42" s="188">
        <v>0</v>
      </c>
      <c r="K42" s="200">
        <v>0</v>
      </c>
    </row>
    <row r="43" spans="1:17" x14ac:dyDescent="0.25">
      <c r="G43" s="117" t="s">
        <v>634</v>
      </c>
      <c r="H43" s="187">
        <v>0</v>
      </c>
      <c r="I43" s="188">
        <v>0</v>
      </c>
      <c r="J43" s="188">
        <v>0</v>
      </c>
      <c r="K43" s="200">
        <v>0</v>
      </c>
    </row>
    <row r="44" spans="1:17" x14ac:dyDescent="0.25">
      <c r="G44" s="117" t="s">
        <v>437</v>
      </c>
      <c r="H44" s="187">
        <v>0</v>
      </c>
      <c r="I44" s="188">
        <v>0</v>
      </c>
      <c r="J44" s="188">
        <v>0</v>
      </c>
      <c r="K44" s="200">
        <v>0</v>
      </c>
    </row>
    <row r="45" spans="1:17" x14ac:dyDescent="0.25">
      <c r="G45" s="117" t="s">
        <v>130</v>
      </c>
      <c r="H45" s="187">
        <v>0</v>
      </c>
      <c r="I45" s="188">
        <v>0</v>
      </c>
      <c r="J45" s="188">
        <v>0</v>
      </c>
      <c r="K45" s="200">
        <v>0</v>
      </c>
    </row>
    <row r="46" spans="1:17" x14ac:dyDescent="0.25">
      <c r="G46" s="117" t="s">
        <v>208</v>
      </c>
      <c r="H46" s="187">
        <v>0</v>
      </c>
      <c r="I46" s="188">
        <v>0</v>
      </c>
      <c r="J46" s="188">
        <v>0</v>
      </c>
      <c r="K46" s="200">
        <v>0</v>
      </c>
    </row>
    <row r="47" spans="1:17" x14ac:dyDescent="0.25">
      <c r="G47" s="117" t="s">
        <v>275</v>
      </c>
      <c r="H47" s="187">
        <v>0</v>
      </c>
      <c r="I47" s="188">
        <v>0</v>
      </c>
      <c r="J47" s="188">
        <v>0</v>
      </c>
      <c r="K47" s="200">
        <v>0</v>
      </c>
    </row>
    <row r="48" spans="1:17" x14ac:dyDescent="0.25">
      <c r="G48" s="117" t="s">
        <v>211</v>
      </c>
      <c r="H48" s="187">
        <v>0</v>
      </c>
      <c r="I48" s="188">
        <v>0</v>
      </c>
      <c r="J48" s="188">
        <v>0</v>
      </c>
      <c r="K48" s="200">
        <v>0</v>
      </c>
    </row>
    <row r="49" spans="7:11" x14ac:dyDescent="0.25">
      <c r="G49" s="117" t="s">
        <v>186</v>
      </c>
      <c r="H49" s="187">
        <v>0</v>
      </c>
      <c r="I49" s="188">
        <v>0</v>
      </c>
      <c r="J49" s="188">
        <v>0</v>
      </c>
      <c r="K49" s="200">
        <v>0</v>
      </c>
    </row>
    <row r="50" spans="7:11" x14ac:dyDescent="0.25">
      <c r="G50" s="117" t="s">
        <v>382</v>
      </c>
      <c r="H50" s="187">
        <v>0</v>
      </c>
      <c r="I50" s="188">
        <v>0</v>
      </c>
      <c r="J50" s="188">
        <v>0</v>
      </c>
      <c r="K50" s="200">
        <v>0</v>
      </c>
    </row>
    <row r="51" spans="7:11" x14ac:dyDescent="0.25">
      <c r="G51" s="117" t="s">
        <v>588</v>
      </c>
      <c r="H51" s="187">
        <v>0</v>
      </c>
      <c r="I51" s="188">
        <v>0</v>
      </c>
      <c r="J51" s="188">
        <v>0</v>
      </c>
      <c r="K51" s="200">
        <v>0</v>
      </c>
    </row>
    <row r="52" spans="7:11" x14ac:dyDescent="0.25">
      <c r="G52" s="117" t="s">
        <v>646</v>
      </c>
      <c r="H52" s="187">
        <v>0</v>
      </c>
      <c r="I52" s="188">
        <v>0</v>
      </c>
      <c r="J52" s="188">
        <v>0</v>
      </c>
      <c r="K52" s="200">
        <v>0</v>
      </c>
    </row>
    <row r="53" spans="7:11" x14ac:dyDescent="0.25">
      <c r="G53" s="117" t="s">
        <v>604</v>
      </c>
      <c r="H53" s="187">
        <v>0</v>
      </c>
      <c r="I53" s="188">
        <v>0</v>
      </c>
      <c r="J53" s="188">
        <v>0</v>
      </c>
      <c r="K53" s="200">
        <v>0</v>
      </c>
    </row>
    <row r="54" spans="7:11" x14ac:dyDescent="0.25">
      <c r="G54" s="117" t="s">
        <v>438</v>
      </c>
      <c r="H54" s="187">
        <v>0</v>
      </c>
      <c r="I54" s="188">
        <v>0</v>
      </c>
      <c r="J54" s="188">
        <v>0</v>
      </c>
      <c r="K54" s="200">
        <v>0</v>
      </c>
    </row>
    <row r="55" spans="7:11" x14ac:dyDescent="0.25">
      <c r="G55" s="117" t="s">
        <v>458</v>
      </c>
      <c r="H55" s="187">
        <v>0</v>
      </c>
      <c r="I55" s="188">
        <v>0</v>
      </c>
      <c r="J55" s="188">
        <v>0</v>
      </c>
      <c r="K55" s="200">
        <v>0</v>
      </c>
    </row>
    <row r="56" spans="7:11" x14ac:dyDescent="0.25">
      <c r="G56" s="117" t="s">
        <v>293</v>
      </c>
      <c r="H56" s="187">
        <v>0</v>
      </c>
      <c r="I56" s="188">
        <v>0</v>
      </c>
      <c r="J56" s="188">
        <v>0</v>
      </c>
      <c r="K56" s="200">
        <v>0</v>
      </c>
    </row>
    <row r="57" spans="7:11" x14ac:dyDescent="0.25">
      <c r="G57" s="117" t="s">
        <v>791</v>
      </c>
      <c r="H57" s="187">
        <v>0</v>
      </c>
      <c r="I57" s="188">
        <v>0</v>
      </c>
      <c r="J57" s="188">
        <v>0</v>
      </c>
      <c r="K57" s="200">
        <v>0</v>
      </c>
    </row>
    <row r="58" spans="7:11" x14ac:dyDescent="0.25">
      <c r="G58" s="117" t="s">
        <v>371</v>
      </c>
      <c r="H58" s="187">
        <v>0</v>
      </c>
      <c r="I58" s="188">
        <v>0</v>
      </c>
      <c r="J58" s="188">
        <v>0</v>
      </c>
      <c r="K58" s="200">
        <v>0</v>
      </c>
    </row>
    <row r="59" spans="7:11" x14ac:dyDescent="0.25">
      <c r="G59" s="117" t="s">
        <v>1306</v>
      </c>
      <c r="H59" s="187">
        <v>0</v>
      </c>
      <c r="I59" s="188">
        <v>0</v>
      </c>
      <c r="J59" s="188">
        <v>0</v>
      </c>
      <c r="K59" s="200">
        <v>0</v>
      </c>
    </row>
    <row r="60" spans="7:11" x14ac:dyDescent="0.25">
      <c r="G60" s="117" t="s">
        <v>668</v>
      </c>
      <c r="H60" s="187">
        <v>0</v>
      </c>
      <c r="I60" s="188">
        <v>0</v>
      </c>
      <c r="J60" s="188">
        <v>0</v>
      </c>
      <c r="K60" s="200">
        <v>0</v>
      </c>
    </row>
    <row r="61" spans="7:11" x14ac:dyDescent="0.25">
      <c r="G61" s="117" t="s">
        <v>969</v>
      </c>
      <c r="H61" s="187">
        <v>0</v>
      </c>
      <c r="I61" s="188">
        <v>0</v>
      </c>
      <c r="J61" s="188">
        <v>0</v>
      </c>
      <c r="K61" s="200">
        <v>0</v>
      </c>
    </row>
    <row r="62" spans="7:11" x14ac:dyDescent="0.25">
      <c r="G62" s="117" t="s">
        <v>1057</v>
      </c>
      <c r="H62" s="187">
        <v>0</v>
      </c>
      <c r="I62" s="188">
        <v>0</v>
      </c>
      <c r="J62" s="188">
        <v>0</v>
      </c>
      <c r="K62" s="200">
        <v>0</v>
      </c>
    </row>
    <row r="63" spans="7:11" x14ac:dyDescent="0.25">
      <c r="G63" s="117" t="s">
        <v>46</v>
      </c>
      <c r="H63" s="187">
        <v>0</v>
      </c>
      <c r="I63" s="188">
        <v>0</v>
      </c>
      <c r="J63" s="188">
        <v>0</v>
      </c>
      <c r="K63" s="200">
        <v>0</v>
      </c>
    </row>
    <row r="64" spans="7:11" x14ac:dyDescent="0.25">
      <c r="G64" s="117" t="s">
        <v>613</v>
      </c>
      <c r="H64" s="187">
        <v>0</v>
      </c>
      <c r="I64" s="188">
        <v>0</v>
      </c>
      <c r="J64" s="188">
        <v>0</v>
      </c>
      <c r="K64" s="200">
        <v>0</v>
      </c>
    </row>
    <row r="65" spans="7:11" x14ac:dyDescent="0.25">
      <c r="G65" s="117" t="s">
        <v>3042</v>
      </c>
      <c r="H65" s="187">
        <v>0</v>
      </c>
      <c r="I65" s="188">
        <v>0</v>
      </c>
      <c r="J65" s="188">
        <v>0</v>
      </c>
      <c r="K65" s="200">
        <v>0</v>
      </c>
    </row>
    <row r="66" spans="7:11" x14ac:dyDescent="0.25">
      <c r="G66" s="117" t="s">
        <v>676</v>
      </c>
      <c r="H66" s="187">
        <v>0</v>
      </c>
      <c r="I66" s="188">
        <v>0</v>
      </c>
      <c r="J66" s="188">
        <v>0</v>
      </c>
      <c r="K66" s="200">
        <v>0</v>
      </c>
    </row>
    <row r="67" spans="7:11" x14ac:dyDescent="0.25">
      <c r="G67" s="117" t="s">
        <v>178</v>
      </c>
      <c r="H67" s="187">
        <v>0</v>
      </c>
      <c r="I67" s="188">
        <v>0</v>
      </c>
      <c r="J67" s="188">
        <v>0</v>
      </c>
      <c r="K67" s="200">
        <v>0</v>
      </c>
    </row>
    <row r="68" spans="7:11" x14ac:dyDescent="0.25">
      <c r="G68" s="117" t="s">
        <v>296</v>
      </c>
      <c r="H68" s="187">
        <v>0</v>
      </c>
      <c r="I68" s="188">
        <v>0</v>
      </c>
      <c r="J68" s="188">
        <v>0</v>
      </c>
      <c r="K68" s="200">
        <v>0</v>
      </c>
    </row>
    <row r="69" spans="7:11" x14ac:dyDescent="0.25">
      <c r="G69" s="117" t="s">
        <v>42</v>
      </c>
      <c r="H69" s="187">
        <v>0</v>
      </c>
      <c r="I69" s="188">
        <v>0</v>
      </c>
      <c r="J69" s="188">
        <v>0</v>
      </c>
      <c r="K69" s="200">
        <v>0</v>
      </c>
    </row>
    <row r="70" spans="7:11" x14ac:dyDescent="0.25">
      <c r="G70" s="117" t="s">
        <v>214</v>
      </c>
      <c r="H70" s="187">
        <v>0</v>
      </c>
      <c r="I70" s="188">
        <v>0</v>
      </c>
      <c r="J70" s="188">
        <v>0</v>
      </c>
      <c r="K70" s="200">
        <v>0</v>
      </c>
    </row>
    <row r="71" spans="7:11" x14ac:dyDescent="0.25">
      <c r="G71" s="117" t="s">
        <v>69</v>
      </c>
      <c r="H71" s="187">
        <v>0</v>
      </c>
      <c r="I71" s="188">
        <v>0</v>
      </c>
      <c r="J71" s="188">
        <v>0</v>
      </c>
      <c r="K71" s="200">
        <v>0</v>
      </c>
    </row>
    <row r="72" spans="7:11" x14ac:dyDescent="0.25">
      <c r="G72" s="117" t="s">
        <v>563</v>
      </c>
      <c r="H72" s="187">
        <v>0</v>
      </c>
      <c r="I72" s="188">
        <v>0</v>
      </c>
      <c r="J72" s="188">
        <v>0</v>
      </c>
      <c r="K72" s="200">
        <v>0</v>
      </c>
    </row>
    <row r="73" spans="7:11" x14ac:dyDescent="0.25">
      <c r="G73" s="117" t="s">
        <v>168</v>
      </c>
      <c r="H73" s="187">
        <v>0</v>
      </c>
      <c r="I73" s="188">
        <v>0</v>
      </c>
      <c r="J73" s="188">
        <v>0</v>
      </c>
      <c r="K73" s="200">
        <v>0</v>
      </c>
    </row>
    <row r="74" spans="7:11" x14ac:dyDescent="0.25">
      <c r="G74" s="117" t="s">
        <v>145</v>
      </c>
      <c r="H74" s="187">
        <v>0</v>
      </c>
      <c r="I74" s="188">
        <v>0</v>
      </c>
      <c r="J74" s="188">
        <v>0</v>
      </c>
      <c r="K74" s="200">
        <v>0</v>
      </c>
    </row>
    <row r="75" spans="7:11" x14ac:dyDescent="0.25">
      <c r="G75" s="117" t="s">
        <v>79</v>
      </c>
      <c r="H75" s="187">
        <v>0</v>
      </c>
      <c r="I75" s="188">
        <v>0</v>
      </c>
      <c r="J75" s="188">
        <v>0</v>
      </c>
      <c r="K75" s="200">
        <v>0</v>
      </c>
    </row>
    <row r="76" spans="7:11" x14ac:dyDescent="0.25">
      <c r="G76" s="117" t="s">
        <v>975</v>
      </c>
      <c r="H76" s="187">
        <v>0</v>
      </c>
      <c r="I76" s="188">
        <v>0</v>
      </c>
      <c r="J76" s="188">
        <v>0</v>
      </c>
      <c r="K76" s="200">
        <v>0</v>
      </c>
    </row>
    <row r="77" spans="7:11" x14ac:dyDescent="0.25">
      <c r="G77" s="117" t="s">
        <v>429</v>
      </c>
      <c r="H77" s="187">
        <v>0</v>
      </c>
      <c r="I77" s="188">
        <v>0</v>
      </c>
      <c r="J77" s="188">
        <v>0</v>
      </c>
      <c r="K77" s="200">
        <v>0</v>
      </c>
    </row>
    <row r="78" spans="7:11" x14ac:dyDescent="0.25">
      <c r="G78" s="117" t="s">
        <v>176</v>
      </c>
      <c r="H78" s="187">
        <v>0</v>
      </c>
      <c r="I78" s="188">
        <v>0</v>
      </c>
      <c r="J78" s="188">
        <v>0</v>
      </c>
      <c r="K78" s="200">
        <v>0</v>
      </c>
    </row>
    <row r="79" spans="7:11" x14ac:dyDescent="0.25">
      <c r="G79" s="117" t="s">
        <v>43</v>
      </c>
      <c r="H79" s="187">
        <v>0</v>
      </c>
      <c r="I79" s="188">
        <v>0</v>
      </c>
      <c r="J79" s="188">
        <v>0</v>
      </c>
      <c r="K79" s="200">
        <v>0</v>
      </c>
    </row>
    <row r="80" spans="7:11" x14ac:dyDescent="0.25">
      <c r="G80" s="117" t="s">
        <v>232</v>
      </c>
      <c r="H80" s="187">
        <v>0</v>
      </c>
      <c r="I80" s="188">
        <v>0</v>
      </c>
      <c r="J80" s="188">
        <v>0</v>
      </c>
      <c r="K80" s="200">
        <v>0</v>
      </c>
    </row>
    <row r="81" spans="7:11" x14ac:dyDescent="0.25">
      <c r="G81" s="117" t="s">
        <v>381</v>
      </c>
      <c r="H81" s="187">
        <v>0</v>
      </c>
      <c r="I81" s="188">
        <v>0</v>
      </c>
      <c r="J81" s="188">
        <v>0</v>
      </c>
      <c r="K81" s="200">
        <v>0</v>
      </c>
    </row>
    <row r="82" spans="7:11" x14ac:dyDescent="0.25">
      <c r="G82" s="117" t="s">
        <v>452</v>
      </c>
      <c r="H82" s="187">
        <v>0</v>
      </c>
      <c r="I82" s="188">
        <v>0</v>
      </c>
      <c r="J82" s="188">
        <v>0</v>
      </c>
      <c r="K82" s="200">
        <v>0</v>
      </c>
    </row>
    <row r="83" spans="7:11" x14ac:dyDescent="0.25">
      <c r="G83" s="117" t="s">
        <v>52</v>
      </c>
      <c r="H83" s="187">
        <v>0</v>
      </c>
      <c r="I83" s="188">
        <v>0</v>
      </c>
      <c r="J83" s="188">
        <v>0</v>
      </c>
      <c r="K83" s="200">
        <v>0</v>
      </c>
    </row>
    <row r="84" spans="7:11" x14ac:dyDescent="0.25">
      <c r="G84" s="117" t="s">
        <v>265</v>
      </c>
      <c r="H84" s="187">
        <v>0</v>
      </c>
      <c r="I84" s="188">
        <v>0</v>
      </c>
      <c r="J84" s="188">
        <v>0</v>
      </c>
      <c r="K84" s="200">
        <v>0</v>
      </c>
    </row>
    <row r="85" spans="7:11" x14ac:dyDescent="0.25">
      <c r="G85" s="117" t="s">
        <v>370</v>
      </c>
      <c r="H85" s="187">
        <v>0</v>
      </c>
      <c r="I85" s="188">
        <v>0</v>
      </c>
      <c r="J85" s="188">
        <v>0</v>
      </c>
      <c r="K85" s="200">
        <v>0</v>
      </c>
    </row>
    <row r="86" spans="7:11" x14ac:dyDescent="0.25">
      <c r="G86" s="117" t="s">
        <v>558</v>
      </c>
      <c r="H86" s="187">
        <v>0</v>
      </c>
      <c r="I86" s="188">
        <v>0</v>
      </c>
      <c r="J86" s="188">
        <v>0</v>
      </c>
      <c r="K86" s="200">
        <v>0</v>
      </c>
    </row>
    <row r="87" spans="7:11" x14ac:dyDescent="0.25">
      <c r="G87" s="117" t="s">
        <v>451</v>
      </c>
      <c r="H87" s="187">
        <v>0</v>
      </c>
      <c r="I87" s="188">
        <v>0</v>
      </c>
      <c r="J87" s="188">
        <v>0</v>
      </c>
      <c r="K87" s="200">
        <v>0</v>
      </c>
    </row>
    <row r="88" spans="7:11" x14ac:dyDescent="0.25">
      <c r="G88" s="117" t="s">
        <v>564</v>
      </c>
      <c r="H88" s="187">
        <v>0</v>
      </c>
      <c r="I88" s="188">
        <v>0</v>
      </c>
      <c r="J88" s="188">
        <v>0</v>
      </c>
      <c r="K88" s="200">
        <v>0</v>
      </c>
    </row>
    <row r="89" spans="7:11" x14ac:dyDescent="0.25">
      <c r="G89" s="117" t="s">
        <v>505</v>
      </c>
      <c r="H89" s="187">
        <v>0</v>
      </c>
      <c r="I89" s="188">
        <v>0</v>
      </c>
      <c r="J89" s="188">
        <v>0</v>
      </c>
      <c r="K89" s="200">
        <v>0</v>
      </c>
    </row>
    <row r="90" spans="7:11" x14ac:dyDescent="0.25">
      <c r="G90" s="117" t="s">
        <v>2012</v>
      </c>
      <c r="H90" s="187">
        <v>0</v>
      </c>
      <c r="I90" s="188">
        <v>0</v>
      </c>
      <c r="J90" s="188">
        <v>0</v>
      </c>
      <c r="K90" s="200">
        <v>0</v>
      </c>
    </row>
    <row r="91" spans="7:11" x14ac:dyDescent="0.25">
      <c r="G91" s="117" t="s">
        <v>114</v>
      </c>
      <c r="H91" s="187">
        <v>0</v>
      </c>
      <c r="I91" s="188">
        <v>0</v>
      </c>
      <c r="J91" s="188">
        <v>0</v>
      </c>
      <c r="K91" s="200">
        <v>0</v>
      </c>
    </row>
    <row r="92" spans="7:11" x14ac:dyDescent="0.25">
      <c r="G92" s="117" t="s">
        <v>2051</v>
      </c>
      <c r="H92" s="187">
        <v>0</v>
      </c>
      <c r="I92" s="188">
        <v>0</v>
      </c>
      <c r="J92" s="188">
        <v>0</v>
      </c>
      <c r="K92" s="200">
        <v>0</v>
      </c>
    </row>
    <row r="93" spans="7:11" x14ac:dyDescent="0.25">
      <c r="G93" s="117" t="s">
        <v>414</v>
      </c>
      <c r="H93" s="187">
        <v>0</v>
      </c>
      <c r="I93" s="188">
        <v>0</v>
      </c>
      <c r="J93" s="188">
        <v>0</v>
      </c>
      <c r="K93" s="200">
        <v>0</v>
      </c>
    </row>
    <row r="94" spans="7:11" x14ac:dyDescent="0.25">
      <c r="G94" s="117" t="s">
        <v>620</v>
      </c>
      <c r="H94" s="187">
        <v>0</v>
      </c>
      <c r="I94" s="188">
        <v>0</v>
      </c>
      <c r="J94" s="188">
        <v>0</v>
      </c>
      <c r="K94" s="200">
        <v>0</v>
      </c>
    </row>
    <row r="95" spans="7:11" x14ac:dyDescent="0.25">
      <c r="G95" s="117" t="s">
        <v>550</v>
      </c>
      <c r="H95" s="187">
        <v>0</v>
      </c>
      <c r="I95" s="188">
        <v>0</v>
      </c>
      <c r="J95" s="188">
        <v>0</v>
      </c>
      <c r="K95" s="200">
        <v>0</v>
      </c>
    </row>
    <row r="96" spans="7:11" x14ac:dyDescent="0.25">
      <c r="G96" s="117" t="s">
        <v>239</v>
      </c>
      <c r="H96" s="187">
        <v>0</v>
      </c>
      <c r="I96" s="188">
        <v>0</v>
      </c>
      <c r="J96" s="188">
        <v>0</v>
      </c>
      <c r="K96" s="200">
        <v>0</v>
      </c>
    </row>
    <row r="97" spans="7:11" x14ac:dyDescent="0.25">
      <c r="G97" s="117" t="s">
        <v>517</v>
      </c>
      <c r="H97" s="187">
        <v>0</v>
      </c>
      <c r="I97" s="188">
        <v>0</v>
      </c>
      <c r="J97" s="188">
        <v>0</v>
      </c>
      <c r="K97" s="200">
        <v>0</v>
      </c>
    </row>
    <row r="98" spans="7:11" x14ac:dyDescent="0.25">
      <c r="G98" s="117" t="s">
        <v>241</v>
      </c>
      <c r="H98" s="187">
        <v>0</v>
      </c>
      <c r="I98" s="188">
        <v>0</v>
      </c>
      <c r="J98" s="188">
        <v>0</v>
      </c>
      <c r="K98" s="200">
        <v>0</v>
      </c>
    </row>
    <row r="99" spans="7:11" x14ac:dyDescent="0.25">
      <c r="G99" s="117" t="s">
        <v>752</v>
      </c>
      <c r="H99" s="187">
        <v>0</v>
      </c>
      <c r="I99" s="188">
        <v>0</v>
      </c>
      <c r="J99" s="188">
        <v>0</v>
      </c>
      <c r="K99" s="200">
        <v>0</v>
      </c>
    </row>
    <row r="100" spans="7:11" x14ac:dyDescent="0.25">
      <c r="G100" s="117" t="s">
        <v>117</v>
      </c>
      <c r="H100" s="187">
        <v>0</v>
      </c>
      <c r="I100" s="188">
        <v>0</v>
      </c>
      <c r="J100" s="188">
        <v>0</v>
      </c>
      <c r="K100" s="200">
        <v>0</v>
      </c>
    </row>
    <row r="101" spans="7:11" x14ac:dyDescent="0.25">
      <c r="G101" s="117" t="s">
        <v>67</v>
      </c>
      <c r="H101" s="187">
        <v>0</v>
      </c>
      <c r="I101" s="188">
        <v>0</v>
      </c>
      <c r="J101" s="188">
        <v>0</v>
      </c>
      <c r="K101" s="200">
        <v>0</v>
      </c>
    </row>
    <row r="102" spans="7:11" x14ac:dyDescent="0.25">
      <c r="G102" s="117" t="s">
        <v>217</v>
      </c>
      <c r="H102" s="187">
        <v>0</v>
      </c>
      <c r="I102" s="188">
        <v>0</v>
      </c>
      <c r="J102" s="188">
        <v>0</v>
      </c>
      <c r="K102" s="200">
        <v>0</v>
      </c>
    </row>
    <row r="103" spans="7:11" x14ac:dyDescent="0.25">
      <c r="G103" s="117" t="s">
        <v>592</v>
      </c>
      <c r="H103" s="187">
        <v>0</v>
      </c>
      <c r="I103" s="188">
        <v>0</v>
      </c>
      <c r="J103" s="188">
        <v>0</v>
      </c>
      <c r="K103" s="200">
        <v>0</v>
      </c>
    </row>
    <row r="104" spans="7:11" x14ac:dyDescent="0.25">
      <c r="G104" s="117" t="s">
        <v>343</v>
      </c>
      <c r="H104" s="187">
        <v>0</v>
      </c>
      <c r="I104" s="188">
        <v>0</v>
      </c>
      <c r="J104" s="188">
        <v>0</v>
      </c>
      <c r="K104" s="200">
        <v>0</v>
      </c>
    </row>
    <row r="105" spans="7:11" x14ac:dyDescent="0.25">
      <c r="G105" s="117" t="s">
        <v>1167</v>
      </c>
      <c r="H105" s="187">
        <v>0</v>
      </c>
      <c r="I105" s="188">
        <v>0</v>
      </c>
      <c r="J105" s="188">
        <v>0</v>
      </c>
      <c r="K105" s="200">
        <v>0</v>
      </c>
    </row>
    <row r="106" spans="7:11" x14ac:dyDescent="0.25">
      <c r="G106" s="117" t="s">
        <v>677</v>
      </c>
      <c r="H106" s="187">
        <v>0</v>
      </c>
      <c r="I106" s="188">
        <v>0</v>
      </c>
      <c r="J106" s="188">
        <v>0</v>
      </c>
      <c r="K106" s="200">
        <v>0</v>
      </c>
    </row>
    <row r="107" spans="7:11" x14ac:dyDescent="0.25">
      <c r="G107" s="117" t="s">
        <v>377</v>
      </c>
      <c r="H107" s="187">
        <v>0</v>
      </c>
      <c r="I107" s="188">
        <v>0</v>
      </c>
      <c r="J107" s="188">
        <v>0</v>
      </c>
      <c r="K107" s="200">
        <v>0</v>
      </c>
    </row>
    <row r="108" spans="7:11" x14ac:dyDescent="0.25">
      <c r="G108" s="117" t="s">
        <v>443</v>
      </c>
      <c r="H108" s="187">
        <v>0</v>
      </c>
      <c r="I108" s="188">
        <v>0</v>
      </c>
      <c r="J108" s="188">
        <v>0</v>
      </c>
      <c r="K108" s="200">
        <v>0</v>
      </c>
    </row>
    <row r="109" spans="7:11" x14ac:dyDescent="0.25">
      <c r="G109" s="117" t="s">
        <v>244</v>
      </c>
      <c r="H109" s="187">
        <v>0</v>
      </c>
      <c r="I109" s="188">
        <v>0</v>
      </c>
      <c r="J109" s="188">
        <v>0</v>
      </c>
      <c r="K109" s="200">
        <v>0</v>
      </c>
    </row>
    <row r="110" spans="7:11" x14ac:dyDescent="0.25">
      <c r="G110" s="117" t="s">
        <v>1027</v>
      </c>
      <c r="H110" s="187">
        <v>0</v>
      </c>
      <c r="I110" s="188">
        <v>0</v>
      </c>
      <c r="J110" s="188">
        <v>0</v>
      </c>
      <c r="K110" s="200">
        <v>0</v>
      </c>
    </row>
    <row r="111" spans="7:11" x14ac:dyDescent="0.25">
      <c r="G111" s="117" t="s">
        <v>142</v>
      </c>
      <c r="H111" s="187">
        <v>0</v>
      </c>
      <c r="I111" s="188">
        <v>0</v>
      </c>
      <c r="J111" s="188">
        <v>0</v>
      </c>
      <c r="K111" s="200">
        <v>0</v>
      </c>
    </row>
    <row r="112" spans="7:11" x14ac:dyDescent="0.25">
      <c r="G112" s="117" t="s">
        <v>621</v>
      </c>
      <c r="H112" s="187">
        <v>0</v>
      </c>
      <c r="I112" s="188">
        <v>0</v>
      </c>
      <c r="J112" s="188">
        <v>0</v>
      </c>
      <c r="K112" s="200">
        <v>0</v>
      </c>
    </row>
    <row r="113" spans="7:11" x14ac:dyDescent="0.25">
      <c r="G113" s="117" t="s">
        <v>37</v>
      </c>
      <c r="H113" s="187">
        <v>0</v>
      </c>
      <c r="I113" s="188">
        <v>0</v>
      </c>
      <c r="J113" s="188">
        <v>0</v>
      </c>
      <c r="K113" s="200">
        <v>0</v>
      </c>
    </row>
    <row r="114" spans="7:11" x14ac:dyDescent="0.25">
      <c r="G114" s="117" t="s">
        <v>405</v>
      </c>
      <c r="H114" s="187">
        <v>0</v>
      </c>
      <c r="I114" s="188">
        <v>0</v>
      </c>
      <c r="J114" s="188">
        <v>0</v>
      </c>
      <c r="K114" s="200">
        <v>0</v>
      </c>
    </row>
    <row r="115" spans="7:11" x14ac:dyDescent="0.25">
      <c r="G115" s="117" t="s">
        <v>329</v>
      </c>
      <c r="H115" s="187">
        <v>0</v>
      </c>
      <c r="I115" s="188">
        <v>0</v>
      </c>
      <c r="J115" s="188">
        <v>0</v>
      </c>
      <c r="K115" s="200">
        <v>0</v>
      </c>
    </row>
    <row r="116" spans="7:11" x14ac:dyDescent="0.25">
      <c r="G116" s="117" t="s">
        <v>1859</v>
      </c>
      <c r="H116" s="187">
        <v>0</v>
      </c>
      <c r="I116" s="188">
        <v>0</v>
      </c>
      <c r="J116" s="188">
        <v>0</v>
      </c>
      <c r="K116" s="200">
        <v>0</v>
      </c>
    </row>
    <row r="117" spans="7:11" x14ac:dyDescent="0.25">
      <c r="G117" s="117" t="s">
        <v>163</v>
      </c>
      <c r="H117" s="187">
        <v>0</v>
      </c>
      <c r="I117" s="188">
        <v>0</v>
      </c>
      <c r="J117" s="188">
        <v>0</v>
      </c>
      <c r="K117" s="200">
        <v>0</v>
      </c>
    </row>
    <row r="118" spans="7:11" x14ac:dyDescent="0.25">
      <c r="G118" s="117" t="s">
        <v>3091</v>
      </c>
      <c r="H118" s="187">
        <v>0</v>
      </c>
      <c r="I118" s="188">
        <v>0</v>
      </c>
      <c r="J118" s="188">
        <v>0</v>
      </c>
      <c r="K118" s="200">
        <v>0</v>
      </c>
    </row>
    <row r="119" spans="7:11" x14ac:dyDescent="0.25">
      <c r="G119" s="117" t="s">
        <v>559</v>
      </c>
      <c r="H119" s="187">
        <v>0</v>
      </c>
      <c r="I119" s="188">
        <v>0</v>
      </c>
      <c r="J119" s="188">
        <v>0</v>
      </c>
      <c r="K119" s="200">
        <v>0</v>
      </c>
    </row>
    <row r="120" spans="7:11" x14ac:dyDescent="0.25">
      <c r="G120" s="117" t="s">
        <v>821</v>
      </c>
      <c r="H120" s="187">
        <v>0</v>
      </c>
      <c r="I120" s="188">
        <v>0</v>
      </c>
      <c r="J120" s="188">
        <v>0</v>
      </c>
      <c r="K120" s="200">
        <v>0</v>
      </c>
    </row>
    <row r="121" spans="7:11" x14ac:dyDescent="0.25">
      <c r="G121" s="117" t="s">
        <v>487</v>
      </c>
      <c r="H121" s="187">
        <v>0</v>
      </c>
      <c r="I121" s="188">
        <v>0</v>
      </c>
      <c r="J121" s="188">
        <v>0</v>
      </c>
      <c r="K121" s="200">
        <v>0</v>
      </c>
    </row>
    <row r="122" spans="7:11" x14ac:dyDescent="0.25">
      <c r="G122" s="117" t="s">
        <v>298</v>
      </c>
      <c r="H122" s="187">
        <v>0</v>
      </c>
      <c r="I122" s="188">
        <v>0</v>
      </c>
      <c r="J122" s="188">
        <v>0</v>
      </c>
      <c r="K122" s="200">
        <v>0</v>
      </c>
    </row>
    <row r="123" spans="7:11" x14ac:dyDescent="0.25">
      <c r="G123" s="117" t="s">
        <v>63</v>
      </c>
      <c r="H123" s="187">
        <v>0</v>
      </c>
      <c r="I123" s="188">
        <v>0</v>
      </c>
      <c r="J123" s="188">
        <v>0</v>
      </c>
      <c r="K123" s="200">
        <v>0</v>
      </c>
    </row>
    <row r="124" spans="7:11" x14ac:dyDescent="0.25">
      <c r="G124" s="117" t="s">
        <v>499</v>
      </c>
      <c r="H124" s="187">
        <v>0</v>
      </c>
      <c r="I124" s="188">
        <v>0</v>
      </c>
      <c r="J124" s="188">
        <v>0</v>
      </c>
      <c r="K124" s="200">
        <v>0</v>
      </c>
    </row>
    <row r="125" spans="7:11" x14ac:dyDescent="0.25">
      <c r="G125" s="117" t="s">
        <v>784</v>
      </c>
      <c r="H125" s="187">
        <v>0</v>
      </c>
      <c r="I125" s="188">
        <v>0</v>
      </c>
      <c r="J125" s="188">
        <v>0</v>
      </c>
      <c r="K125" s="200">
        <v>0</v>
      </c>
    </row>
    <row r="126" spans="7:11" x14ac:dyDescent="0.25">
      <c r="G126" s="117" t="s">
        <v>417</v>
      </c>
      <c r="H126" s="187">
        <v>0</v>
      </c>
      <c r="I126" s="188">
        <v>0</v>
      </c>
      <c r="J126" s="188">
        <v>0</v>
      </c>
      <c r="K126" s="200">
        <v>0</v>
      </c>
    </row>
    <row r="127" spans="7:11" x14ac:dyDescent="0.25">
      <c r="G127" s="117" t="s">
        <v>2257</v>
      </c>
      <c r="H127" s="187">
        <v>0</v>
      </c>
      <c r="I127" s="188">
        <v>0</v>
      </c>
      <c r="J127" s="188">
        <v>0</v>
      </c>
      <c r="K127" s="200">
        <v>0</v>
      </c>
    </row>
    <row r="128" spans="7:11" x14ac:dyDescent="0.25">
      <c r="G128" s="117" t="s">
        <v>200</v>
      </c>
      <c r="H128" s="187">
        <v>0</v>
      </c>
      <c r="I128" s="188">
        <v>0</v>
      </c>
      <c r="J128" s="188">
        <v>0</v>
      </c>
      <c r="K128" s="200">
        <v>0</v>
      </c>
    </row>
    <row r="129" spans="7:11" x14ac:dyDescent="0.25">
      <c r="G129" s="117" t="s">
        <v>248</v>
      </c>
      <c r="H129" s="187">
        <v>0</v>
      </c>
      <c r="I129" s="188">
        <v>0</v>
      </c>
      <c r="J129" s="188">
        <v>0</v>
      </c>
      <c r="K129" s="200">
        <v>0</v>
      </c>
    </row>
    <row r="130" spans="7:11" x14ac:dyDescent="0.25">
      <c r="G130" s="117" t="s">
        <v>733</v>
      </c>
      <c r="H130" s="187">
        <v>0</v>
      </c>
      <c r="I130" s="188">
        <v>0</v>
      </c>
      <c r="J130" s="188">
        <v>0</v>
      </c>
      <c r="K130" s="200">
        <v>0</v>
      </c>
    </row>
    <row r="131" spans="7:11" x14ac:dyDescent="0.25">
      <c r="G131" s="117" t="s">
        <v>270</v>
      </c>
      <c r="H131" s="187">
        <v>0</v>
      </c>
      <c r="I131" s="188">
        <v>0</v>
      </c>
      <c r="J131" s="188">
        <v>0</v>
      </c>
      <c r="K131" s="200">
        <v>0</v>
      </c>
    </row>
    <row r="132" spans="7:11" x14ac:dyDescent="0.25">
      <c r="G132" s="117" t="s">
        <v>391</v>
      </c>
      <c r="H132" s="187">
        <v>0</v>
      </c>
      <c r="I132" s="188">
        <v>0</v>
      </c>
      <c r="J132" s="188">
        <v>0</v>
      </c>
      <c r="K132" s="200">
        <v>0</v>
      </c>
    </row>
    <row r="133" spans="7:11" x14ac:dyDescent="0.25">
      <c r="G133" s="117" t="s">
        <v>653</v>
      </c>
      <c r="H133" s="187">
        <v>0</v>
      </c>
      <c r="I133" s="188">
        <v>0</v>
      </c>
      <c r="J133" s="188">
        <v>0</v>
      </c>
      <c r="K133" s="200">
        <v>0</v>
      </c>
    </row>
    <row r="134" spans="7:11" x14ac:dyDescent="0.25">
      <c r="G134" s="117" t="s">
        <v>510</v>
      </c>
      <c r="H134" s="187">
        <v>0</v>
      </c>
      <c r="I134" s="188">
        <v>0</v>
      </c>
      <c r="J134" s="188">
        <v>0</v>
      </c>
      <c r="K134" s="200">
        <v>0</v>
      </c>
    </row>
    <row r="135" spans="7:11" x14ac:dyDescent="0.25">
      <c r="G135" s="117" t="s">
        <v>54</v>
      </c>
      <c r="H135" s="187">
        <v>0</v>
      </c>
      <c r="I135" s="188">
        <v>0</v>
      </c>
      <c r="J135" s="188">
        <v>0</v>
      </c>
      <c r="K135" s="200">
        <v>0</v>
      </c>
    </row>
    <row r="136" spans="7:11" x14ac:dyDescent="0.25">
      <c r="G136" s="117" t="s">
        <v>419</v>
      </c>
      <c r="H136" s="187">
        <v>0</v>
      </c>
      <c r="I136" s="188">
        <v>0</v>
      </c>
      <c r="J136" s="188">
        <v>0</v>
      </c>
      <c r="K136" s="200">
        <v>0</v>
      </c>
    </row>
    <row r="137" spans="7:11" x14ac:dyDescent="0.25">
      <c r="G137" s="117" t="s">
        <v>756</v>
      </c>
      <c r="H137" s="187">
        <v>0</v>
      </c>
      <c r="I137" s="188">
        <v>0</v>
      </c>
      <c r="J137" s="188">
        <v>0</v>
      </c>
      <c r="K137" s="200">
        <v>0</v>
      </c>
    </row>
    <row r="138" spans="7:11" x14ac:dyDescent="0.25">
      <c r="G138" s="117" t="s">
        <v>106</v>
      </c>
      <c r="H138" s="187">
        <v>0</v>
      </c>
      <c r="I138" s="188">
        <v>0</v>
      </c>
      <c r="J138" s="188">
        <v>0</v>
      </c>
      <c r="K138" s="200">
        <v>0</v>
      </c>
    </row>
    <row r="139" spans="7:11" x14ac:dyDescent="0.25">
      <c r="G139" s="117" t="s">
        <v>836</v>
      </c>
      <c r="H139" s="187">
        <v>0</v>
      </c>
      <c r="I139" s="188">
        <v>0</v>
      </c>
      <c r="J139" s="188">
        <v>0</v>
      </c>
      <c r="K139" s="200">
        <v>0</v>
      </c>
    </row>
    <row r="140" spans="7:11" x14ac:dyDescent="0.25">
      <c r="G140" s="117" t="s">
        <v>194</v>
      </c>
      <c r="H140" s="187">
        <v>0</v>
      </c>
      <c r="I140" s="188">
        <v>0</v>
      </c>
      <c r="J140" s="188">
        <v>0</v>
      </c>
      <c r="K140" s="200">
        <v>0</v>
      </c>
    </row>
    <row r="141" spans="7:11" x14ac:dyDescent="0.25">
      <c r="G141" s="117" t="s">
        <v>743</v>
      </c>
      <c r="H141" s="187">
        <v>0</v>
      </c>
      <c r="I141" s="188">
        <v>0</v>
      </c>
      <c r="J141" s="188">
        <v>0</v>
      </c>
      <c r="K141" s="200">
        <v>0</v>
      </c>
    </row>
    <row r="142" spans="7:11" x14ac:dyDescent="0.25">
      <c r="G142" s="117" t="s">
        <v>195</v>
      </c>
      <c r="H142" s="187">
        <v>0</v>
      </c>
      <c r="I142" s="188">
        <v>0</v>
      </c>
      <c r="J142" s="188">
        <v>0</v>
      </c>
      <c r="K142" s="200">
        <v>0</v>
      </c>
    </row>
    <row r="143" spans="7:11" x14ac:dyDescent="0.25">
      <c r="G143" s="117" t="s">
        <v>282</v>
      </c>
      <c r="H143" s="187">
        <v>0</v>
      </c>
      <c r="I143" s="188">
        <v>0</v>
      </c>
      <c r="J143" s="188">
        <v>0</v>
      </c>
      <c r="K143" s="200">
        <v>0</v>
      </c>
    </row>
    <row r="144" spans="7:11" x14ac:dyDescent="0.25">
      <c r="G144" s="117" t="s">
        <v>2181</v>
      </c>
      <c r="H144" s="187">
        <v>0</v>
      </c>
      <c r="I144" s="188">
        <v>0</v>
      </c>
      <c r="J144" s="188">
        <v>0</v>
      </c>
      <c r="K144" s="200">
        <v>0</v>
      </c>
    </row>
    <row r="145" spans="7:11" x14ac:dyDescent="0.25">
      <c r="G145" s="117" t="s">
        <v>955</v>
      </c>
      <c r="H145" s="187">
        <v>0</v>
      </c>
      <c r="I145" s="188">
        <v>0</v>
      </c>
      <c r="J145" s="188">
        <v>0</v>
      </c>
      <c r="K145" s="200">
        <v>0</v>
      </c>
    </row>
    <row r="146" spans="7:11" x14ac:dyDescent="0.25">
      <c r="G146" s="117" t="s">
        <v>722</v>
      </c>
      <c r="H146" s="187">
        <v>0</v>
      </c>
      <c r="I146" s="188">
        <v>0</v>
      </c>
      <c r="J146" s="188">
        <v>0</v>
      </c>
      <c r="K146" s="200">
        <v>0</v>
      </c>
    </row>
    <row r="147" spans="7:11" x14ac:dyDescent="0.25">
      <c r="G147" s="117" t="s">
        <v>92</v>
      </c>
      <c r="H147" s="187">
        <v>0</v>
      </c>
      <c r="I147" s="188">
        <v>0</v>
      </c>
      <c r="J147" s="188">
        <v>0</v>
      </c>
      <c r="K147" s="200">
        <v>0</v>
      </c>
    </row>
    <row r="148" spans="7:11" x14ac:dyDescent="0.25">
      <c r="G148" s="117" t="s">
        <v>53</v>
      </c>
      <c r="H148" s="187">
        <v>0</v>
      </c>
      <c r="I148" s="188">
        <v>0</v>
      </c>
      <c r="J148" s="188">
        <v>0</v>
      </c>
      <c r="K148" s="200">
        <v>0</v>
      </c>
    </row>
    <row r="149" spans="7:11" x14ac:dyDescent="0.25">
      <c r="G149" s="117" t="s">
        <v>338</v>
      </c>
      <c r="H149" s="187">
        <v>0</v>
      </c>
      <c r="I149" s="188">
        <v>0</v>
      </c>
      <c r="J149" s="188">
        <v>0</v>
      </c>
      <c r="K149" s="200">
        <v>0</v>
      </c>
    </row>
    <row r="150" spans="7:11" x14ac:dyDescent="0.25">
      <c r="G150" s="117" t="s">
        <v>59</v>
      </c>
      <c r="H150" s="187">
        <v>0</v>
      </c>
      <c r="I150" s="188">
        <v>0</v>
      </c>
      <c r="J150" s="188">
        <v>0</v>
      </c>
      <c r="K150" s="200">
        <v>0</v>
      </c>
    </row>
    <row r="151" spans="7:11" x14ac:dyDescent="0.25">
      <c r="G151" s="117" t="s">
        <v>369</v>
      </c>
      <c r="H151" s="187">
        <v>0</v>
      </c>
      <c r="I151" s="188">
        <v>0</v>
      </c>
      <c r="J151" s="188">
        <v>0</v>
      </c>
      <c r="K151" s="200">
        <v>0</v>
      </c>
    </row>
    <row r="152" spans="7:11" x14ac:dyDescent="0.25">
      <c r="G152" s="117" t="s">
        <v>1749</v>
      </c>
      <c r="H152" s="187">
        <v>0</v>
      </c>
      <c r="I152" s="188">
        <v>0</v>
      </c>
      <c r="J152" s="188">
        <v>0</v>
      </c>
      <c r="K152" s="200">
        <v>0</v>
      </c>
    </row>
    <row r="153" spans="7:11" x14ac:dyDescent="0.25">
      <c r="G153" s="117" t="s">
        <v>432</v>
      </c>
      <c r="H153" s="187">
        <v>0</v>
      </c>
      <c r="I153" s="188">
        <v>0</v>
      </c>
      <c r="J153" s="188">
        <v>0</v>
      </c>
      <c r="K153" s="200">
        <v>0</v>
      </c>
    </row>
    <row r="154" spans="7:11" x14ac:dyDescent="0.25">
      <c r="G154" s="117" t="s">
        <v>421</v>
      </c>
      <c r="H154" s="187">
        <v>0</v>
      </c>
      <c r="I154" s="188">
        <v>0</v>
      </c>
      <c r="J154" s="188">
        <v>0</v>
      </c>
      <c r="K154" s="200">
        <v>0</v>
      </c>
    </row>
    <row r="155" spans="7:11" x14ac:dyDescent="0.25">
      <c r="G155" s="117" t="s">
        <v>476</v>
      </c>
      <c r="H155" s="187">
        <v>0</v>
      </c>
      <c r="I155" s="188">
        <v>0</v>
      </c>
      <c r="J155" s="188">
        <v>0</v>
      </c>
      <c r="K155" s="200">
        <v>0</v>
      </c>
    </row>
    <row r="156" spans="7:11" x14ac:dyDescent="0.25">
      <c r="G156" s="117" t="s">
        <v>469</v>
      </c>
      <c r="H156" s="187">
        <v>0</v>
      </c>
      <c r="I156" s="188">
        <v>0</v>
      </c>
      <c r="J156" s="188">
        <v>0</v>
      </c>
      <c r="K156" s="200">
        <v>0</v>
      </c>
    </row>
    <row r="157" spans="7:11" x14ac:dyDescent="0.25">
      <c r="G157" s="117" t="s">
        <v>93</v>
      </c>
      <c r="H157" s="187">
        <v>0</v>
      </c>
      <c r="I157" s="188">
        <v>0</v>
      </c>
      <c r="J157" s="188">
        <v>0</v>
      </c>
      <c r="K157" s="200">
        <v>0</v>
      </c>
    </row>
    <row r="158" spans="7:11" x14ac:dyDescent="0.25">
      <c r="G158" s="117" t="s">
        <v>107</v>
      </c>
      <c r="H158" s="187">
        <v>0</v>
      </c>
      <c r="I158" s="188">
        <v>0</v>
      </c>
      <c r="J158" s="188">
        <v>0</v>
      </c>
      <c r="K158" s="200">
        <v>0</v>
      </c>
    </row>
    <row r="159" spans="7:11" x14ac:dyDescent="0.25">
      <c r="G159" s="117" t="s">
        <v>2309</v>
      </c>
      <c r="H159" s="187">
        <v>0</v>
      </c>
      <c r="I159" s="188">
        <v>0</v>
      </c>
      <c r="J159" s="188">
        <v>0</v>
      </c>
      <c r="K159" s="200">
        <v>0</v>
      </c>
    </row>
    <row r="160" spans="7:11" x14ac:dyDescent="0.25">
      <c r="G160" s="117" t="s">
        <v>747</v>
      </c>
      <c r="H160" s="187">
        <v>0</v>
      </c>
      <c r="I160" s="188">
        <v>0</v>
      </c>
      <c r="J160" s="188">
        <v>0</v>
      </c>
      <c r="K160" s="200">
        <v>0</v>
      </c>
    </row>
    <row r="161" spans="7:11" x14ac:dyDescent="0.25">
      <c r="G161" s="117" t="s">
        <v>769</v>
      </c>
      <c r="H161" s="187">
        <v>0</v>
      </c>
      <c r="I161" s="188">
        <v>0</v>
      </c>
      <c r="J161" s="188">
        <v>0</v>
      </c>
      <c r="K161" s="200">
        <v>0</v>
      </c>
    </row>
    <row r="162" spans="7:11" x14ac:dyDescent="0.25">
      <c r="G162" s="117" t="s">
        <v>781</v>
      </c>
      <c r="H162" s="187">
        <v>0</v>
      </c>
      <c r="I162" s="188">
        <v>0</v>
      </c>
      <c r="J162" s="188">
        <v>0</v>
      </c>
      <c r="K162" s="200">
        <v>0</v>
      </c>
    </row>
    <row r="163" spans="7:11" x14ac:dyDescent="0.25">
      <c r="G163" s="117" t="s">
        <v>413</v>
      </c>
      <c r="H163" s="187">
        <v>0</v>
      </c>
      <c r="I163" s="188">
        <v>0</v>
      </c>
      <c r="J163" s="188">
        <v>0</v>
      </c>
      <c r="K163" s="200">
        <v>0</v>
      </c>
    </row>
    <row r="164" spans="7:11" x14ac:dyDescent="0.25">
      <c r="G164" s="117" t="s">
        <v>409</v>
      </c>
      <c r="H164" s="187">
        <v>0</v>
      </c>
      <c r="I164" s="188">
        <v>0</v>
      </c>
      <c r="J164" s="188">
        <v>0</v>
      </c>
      <c r="K164" s="200">
        <v>0</v>
      </c>
    </row>
    <row r="165" spans="7:11" x14ac:dyDescent="0.25">
      <c r="G165" s="117" t="s">
        <v>252</v>
      </c>
      <c r="H165" s="187">
        <v>0</v>
      </c>
      <c r="I165" s="188">
        <v>0</v>
      </c>
      <c r="J165" s="188">
        <v>0</v>
      </c>
      <c r="K165" s="200">
        <v>0</v>
      </c>
    </row>
    <row r="166" spans="7:11" x14ac:dyDescent="0.25">
      <c r="G166" s="117" t="s">
        <v>473</v>
      </c>
      <c r="H166" s="187">
        <v>0</v>
      </c>
      <c r="I166" s="188">
        <v>0</v>
      </c>
      <c r="J166" s="188">
        <v>0</v>
      </c>
      <c r="K166" s="200">
        <v>0</v>
      </c>
    </row>
    <row r="167" spans="7:11" x14ac:dyDescent="0.25">
      <c r="G167" s="117" t="s">
        <v>137</v>
      </c>
      <c r="H167" s="187">
        <v>0</v>
      </c>
      <c r="I167" s="188">
        <v>0</v>
      </c>
      <c r="J167" s="188">
        <v>0</v>
      </c>
      <c r="K167" s="200">
        <v>0</v>
      </c>
    </row>
    <row r="168" spans="7:11" x14ac:dyDescent="0.25">
      <c r="G168" s="117" t="s">
        <v>503</v>
      </c>
      <c r="H168" s="187">
        <v>0</v>
      </c>
      <c r="I168" s="188">
        <v>0</v>
      </c>
      <c r="J168" s="188">
        <v>0</v>
      </c>
      <c r="K168" s="200">
        <v>0</v>
      </c>
    </row>
    <row r="169" spans="7:11" x14ac:dyDescent="0.25">
      <c r="G169" s="117" t="s">
        <v>1499</v>
      </c>
      <c r="H169" s="187">
        <v>0</v>
      </c>
      <c r="I169" s="188">
        <v>0</v>
      </c>
      <c r="J169" s="188">
        <v>0</v>
      </c>
      <c r="K169" s="200">
        <v>0</v>
      </c>
    </row>
    <row r="170" spans="7:11" x14ac:dyDescent="0.25">
      <c r="G170" s="117" t="s">
        <v>159</v>
      </c>
      <c r="H170" s="187">
        <v>0</v>
      </c>
      <c r="I170" s="188">
        <v>0</v>
      </c>
      <c r="J170" s="188">
        <v>0</v>
      </c>
      <c r="K170" s="200">
        <v>0</v>
      </c>
    </row>
    <row r="171" spans="7:11" x14ac:dyDescent="0.25">
      <c r="G171" s="117" t="s">
        <v>48</v>
      </c>
      <c r="H171" s="187">
        <v>0</v>
      </c>
      <c r="I171" s="188">
        <v>0</v>
      </c>
      <c r="J171" s="188">
        <v>0</v>
      </c>
      <c r="K171" s="200">
        <v>0</v>
      </c>
    </row>
    <row r="172" spans="7:11" x14ac:dyDescent="0.25">
      <c r="G172" s="117" t="s">
        <v>222</v>
      </c>
      <c r="H172" s="187">
        <v>0</v>
      </c>
      <c r="I172" s="188">
        <v>0</v>
      </c>
      <c r="J172" s="188">
        <v>0</v>
      </c>
      <c r="K172" s="200">
        <v>0</v>
      </c>
    </row>
    <row r="173" spans="7:11" x14ac:dyDescent="0.25">
      <c r="G173" s="117" t="s">
        <v>363</v>
      </c>
      <c r="H173" s="187">
        <v>0</v>
      </c>
      <c r="I173" s="188">
        <v>0</v>
      </c>
      <c r="J173" s="188">
        <v>0</v>
      </c>
      <c r="K173" s="200">
        <v>0</v>
      </c>
    </row>
    <row r="174" spans="7:11" x14ac:dyDescent="0.25">
      <c r="G174" s="117" t="s">
        <v>2933</v>
      </c>
      <c r="H174" s="187">
        <v>0</v>
      </c>
      <c r="I174" s="188">
        <v>0</v>
      </c>
      <c r="J174" s="188">
        <v>0</v>
      </c>
      <c r="K174" s="200">
        <v>0</v>
      </c>
    </row>
    <row r="175" spans="7:11" x14ac:dyDescent="0.25">
      <c r="G175" s="117" t="s">
        <v>258</v>
      </c>
      <c r="H175" s="187">
        <v>0</v>
      </c>
      <c r="I175" s="188">
        <v>0</v>
      </c>
      <c r="J175" s="188">
        <v>0</v>
      </c>
      <c r="K175" s="200">
        <v>0</v>
      </c>
    </row>
    <row r="176" spans="7:11" x14ac:dyDescent="0.25">
      <c r="G176" s="117" t="s">
        <v>345</v>
      </c>
      <c r="H176" s="187">
        <v>0</v>
      </c>
      <c r="I176" s="188">
        <v>0</v>
      </c>
      <c r="J176" s="188">
        <v>0</v>
      </c>
      <c r="K176" s="200">
        <v>0</v>
      </c>
    </row>
    <row r="177" spans="7:11" x14ac:dyDescent="0.25">
      <c r="G177" s="117" t="s">
        <v>716</v>
      </c>
      <c r="H177" s="187">
        <v>0</v>
      </c>
      <c r="I177" s="188">
        <v>0</v>
      </c>
      <c r="J177" s="188">
        <v>0</v>
      </c>
      <c r="K177" s="200">
        <v>0</v>
      </c>
    </row>
    <row r="178" spans="7:11" x14ac:dyDescent="0.25">
      <c r="G178" s="117" t="s">
        <v>161</v>
      </c>
      <c r="H178" s="187">
        <v>0</v>
      </c>
      <c r="I178" s="188">
        <v>0</v>
      </c>
      <c r="J178" s="188">
        <v>0</v>
      </c>
      <c r="K178" s="200">
        <v>0</v>
      </c>
    </row>
    <row r="179" spans="7:11" x14ac:dyDescent="0.25">
      <c r="G179" s="117" t="s">
        <v>280</v>
      </c>
      <c r="H179" s="187">
        <v>0</v>
      </c>
      <c r="I179" s="188">
        <v>0</v>
      </c>
      <c r="J179" s="188">
        <v>0</v>
      </c>
      <c r="K179" s="200">
        <v>0</v>
      </c>
    </row>
    <row r="180" spans="7:11" x14ac:dyDescent="0.25">
      <c r="G180" s="117" t="s">
        <v>242</v>
      </c>
      <c r="H180" s="187">
        <v>0</v>
      </c>
      <c r="I180" s="188">
        <v>0</v>
      </c>
      <c r="J180" s="188">
        <v>0</v>
      </c>
      <c r="K180" s="200">
        <v>0</v>
      </c>
    </row>
    <row r="181" spans="7:11" x14ac:dyDescent="0.25">
      <c r="G181" s="117" t="s">
        <v>2883</v>
      </c>
      <c r="H181" s="187">
        <v>0</v>
      </c>
      <c r="I181" s="188">
        <v>0</v>
      </c>
      <c r="J181" s="188">
        <v>0</v>
      </c>
      <c r="K181" s="200">
        <v>0</v>
      </c>
    </row>
    <row r="182" spans="7:11" x14ac:dyDescent="0.25">
      <c r="G182" s="117" t="s">
        <v>1013</v>
      </c>
      <c r="H182" s="187">
        <v>0</v>
      </c>
      <c r="I182" s="188">
        <v>0</v>
      </c>
      <c r="J182" s="188">
        <v>0</v>
      </c>
      <c r="K182" s="200">
        <v>0</v>
      </c>
    </row>
    <row r="183" spans="7:11" x14ac:dyDescent="0.25">
      <c r="G183" s="123" t="s">
        <v>513</v>
      </c>
      <c r="H183" s="190">
        <v>0</v>
      </c>
      <c r="I183" s="191">
        <v>0</v>
      </c>
      <c r="J183" s="191">
        <v>0</v>
      </c>
      <c r="K183" s="216">
        <v>0</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E78"/>
  <sheetViews>
    <sheetView topLeftCell="A45" workbookViewId="0">
      <selection activeCell="A65" sqref="A65"/>
    </sheetView>
  </sheetViews>
  <sheetFormatPr defaultColWidth="14.42578125" defaultRowHeight="15" customHeight="1" x14ac:dyDescent="0.25"/>
  <cols>
    <col min="1" max="1" width="26.28515625" customWidth="1"/>
    <col min="2" max="2" width="16.7109375" customWidth="1"/>
    <col min="3" max="3" width="13.28515625" customWidth="1"/>
    <col min="4" max="4" width="15" customWidth="1"/>
    <col min="5" max="5" width="10.7109375" customWidth="1"/>
    <col min="6" max="6" width="5" customWidth="1"/>
    <col min="7" max="7" width="15.28515625" customWidth="1"/>
    <col min="8" max="26" width="8.7109375" customWidth="1"/>
  </cols>
  <sheetData>
    <row r="1" spans="1:5" hidden="1" x14ac:dyDescent="0.25">
      <c r="A1" s="12" t="s">
        <v>2876</v>
      </c>
    </row>
    <row r="2" spans="1:5" hidden="1" x14ac:dyDescent="0.25"/>
    <row r="3" spans="1:5" hidden="1" x14ac:dyDescent="0.25">
      <c r="A3" s="2" t="s">
        <v>8</v>
      </c>
      <c r="B3" s="2" t="s">
        <v>2817</v>
      </c>
    </row>
    <row r="4" spans="1:5" hidden="1" x14ac:dyDescent="0.25"/>
    <row r="5" spans="1:5" hidden="1" x14ac:dyDescent="0.25">
      <c r="A5" s="2" t="s">
        <v>2778</v>
      </c>
      <c r="B5" s="2" t="s">
        <v>2820</v>
      </c>
    </row>
    <row r="6" spans="1:5" hidden="1" x14ac:dyDescent="0.25">
      <c r="A6" s="2" t="s">
        <v>2821</v>
      </c>
      <c r="B6" s="2" t="s">
        <v>307</v>
      </c>
      <c r="C6" s="2" t="s">
        <v>26</v>
      </c>
      <c r="D6" s="2" t="s">
        <v>76</v>
      </c>
      <c r="E6" s="2" t="s">
        <v>2779</v>
      </c>
    </row>
    <row r="7" spans="1:5" hidden="1" x14ac:dyDescent="0.25">
      <c r="A7" s="6" t="s">
        <v>48</v>
      </c>
      <c r="B7" s="2">
        <v>14</v>
      </c>
      <c r="C7" s="2">
        <v>5</v>
      </c>
      <c r="D7" s="2">
        <v>50</v>
      </c>
      <c r="E7" s="2">
        <v>69</v>
      </c>
    </row>
    <row r="8" spans="1:5" hidden="1" x14ac:dyDescent="0.25">
      <c r="A8" s="6" t="s">
        <v>54</v>
      </c>
      <c r="B8" s="2">
        <v>27</v>
      </c>
      <c r="C8" s="2">
        <v>1</v>
      </c>
      <c r="D8" s="2">
        <v>38</v>
      </c>
      <c r="E8" s="2">
        <v>66</v>
      </c>
    </row>
    <row r="9" spans="1:5" hidden="1" x14ac:dyDescent="0.25">
      <c r="A9" s="6" t="s">
        <v>42</v>
      </c>
      <c r="B9" s="2">
        <v>24</v>
      </c>
      <c r="C9" s="2">
        <v>7</v>
      </c>
      <c r="D9" s="2">
        <v>32</v>
      </c>
      <c r="E9" s="2">
        <v>63</v>
      </c>
    </row>
    <row r="10" spans="1:5" hidden="1" x14ac:dyDescent="0.25">
      <c r="A10" s="6" t="s">
        <v>73</v>
      </c>
      <c r="B10" s="2">
        <v>18</v>
      </c>
      <c r="C10" s="2">
        <v>8</v>
      </c>
      <c r="D10" s="2">
        <v>23</v>
      </c>
      <c r="E10" s="2">
        <v>49</v>
      </c>
    </row>
    <row r="11" spans="1:5" hidden="1" x14ac:dyDescent="0.25">
      <c r="A11" s="6" t="s">
        <v>52</v>
      </c>
      <c r="B11" s="2">
        <v>13</v>
      </c>
      <c r="C11" s="2">
        <v>6</v>
      </c>
      <c r="D11" s="2">
        <v>24</v>
      </c>
      <c r="E11" s="2">
        <v>43</v>
      </c>
    </row>
    <row r="12" spans="1:5" hidden="1" x14ac:dyDescent="0.25">
      <c r="A12" s="6" t="s">
        <v>194</v>
      </c>
      <c r="B12" s="2">
        <v>3</v>
      </c>
      <c r="C12" s="2">
        <v>5</v>
      </c>
      <c r="D12" s="2">
        <v>25</v>
      </c>
      <c r="E12" s="2">
        <v>33</v>
      </c>
    </row>
    <row r="13" spans="1:5" hidden="1" x14ac:dyDescent="0.25">
      <c r="A13" s="6" t="s">
        <v>43</v>
      </c>
      <c r="B13" s="2">
        <v>9</v>
      </c>
      <c r="C13" s="2">
        <v>10</v>
      </c>
      <c r="D13" s="2">
        <v>13</v>
      </c>
      <c r="E13" s="2">
        <v>32</v>
      </c>
    </row>
    <row r="14" spans="1:5" hidden="1" x14ac:dyDescent="0.25">
      <c r="A14" s="6" t="s">
        <v>59</v>
      </c>
      <c r="B14" s="2">
        <v>9</v>
      </c>
      <c r="C14" s="2">
        <v>5</v>
      </c>
      <c r="D14" s="2">
        <v>17</v>
      </c>
      <c r="E14" s="2">
        <v>31</v>
      </c>
    </row>
    <row r="15" spans="1:5" hidden="1" x14ac:dyDescent="0.25">
      <c r="A15" s="6" t="s">
        <v>114</v>
      </c>
      <c r="B15" s="2">
        <v>2</v>
      </c>
      <c r="C15" s="2">
        <v>4</v>
      </c>
      <c r="D15" s="2">
        <v>23</v>
      </c>
      <c r="E15" s="2">
        <v>29</v>
      </c>
    </row>
    <row r="16" spans="1:5" hidden="1" x14ac:dyDescent="0.25">
      <c r="A16" s="6" t="s">
        <v>564</v>
      </c>
      <c r="B16" s="2">
        <v>1</v>
      </c>
      <c r="C16" s="2">
        <v>22</v>
      </c>
      <c r="D16" s="2">
        <v>6</v>
      </c>
      <c r="E16" s="2">
        <v>29</v>
      </c>
    </row>
    <row r="21" spans="1:5" ht="15.75" customHeight="1" x14ac:dyDescent="0.25">
      <c r="A21" s="105" t="s">
        <v>3228</v>
      </c>
    </row>
    <row r="22" spans="1:5" ht="15.75" customHeight="1" x14ac:dyDescent="0.25">
      <c r="A22" s="12"/>
    </row>
    <row r="23" spans="1:5" x14ac:dyDescent="0.25">
      <c r="A23" s="3" t="s">
        <v>8</v>
      </c>
      <c r="B23" s="2" t="s">
        <v>2817</v>
      </c>
    </row>
    <row r="24" spans="1:5" ht="15.75" customHeight="1" x14ac:dyDescent="0.25">
      <c r="A24" s="3" t="s">
        <v>10</v>
      </c>
      <c r="B24" s="2" t="s">
        <v>2827</v>
      </c>
    </row>
    <row r="25" spans="1:5" ht="15.75" customHeight="1" x14ac:dyDescent="0.25">
      <c r="A25" s="3" t="s">
        <v>5</v>
      </c>
      <c r="B25" s="2" t="s">
        <v>95</v>
      </c>
    </row>
    <row r="26" spans="1:5" ht="15.75" customHeight="1" x14ac:dyDescent="0.25"/>
    <row r="27" spans="1:5" ht="15.75" customHeight="1" x14ac:dyDescent="0.25">
      <c r="A27" s="3" t="s">
        <v>2778</v>
      </c>
      <c r="B27" s="3" t="s">
        <v>2820</v>
      </c>
    </row>
    <row r="28" spans="1:5" ht="15.75" customHeight="1" x14ac:dyDescent="0.25">
      <c r="A28" s="3" t="s">
        <v>2877</v>
      </c>
      <c r="B28" s="2" t="s">
        <v>307</v>
      </c>
      <c r="C28" s="2" t="s">
        <v>26</v>
      </c>
      <c r="D28" s="2" t="s">
        <v>76</v>
      </c>
      <c r="E28" s="2" t="s">
        <v>2779</v>
      </c>
    </row>
    <row r="29" spans="1:5" ht="15.75" customHeight="1" x14ac:dyDescent="0.25">
      <c r="A29" s="6" t="str" cm="1">
        <f t="array" ref="A29:E38">'Table 1A-2A NATO'!$A$9:$E$18</f>
        <v>France</v>
      </c>
      <c r="B29" s="2">
        <v>10</v>
      </c>
      <c r="C29" s="2">
        <v>9</v>
      </c>
      <c r="D29" s="2">
        <v>28</v>
      </c>
      <c r="E29" s="2">
        <v>47</v>
      </c>
    </row>
    <row r="30" spans="1:5" ht="15.75" customHeight="1" x14ac:dyDescent="0.25">
      <c r="A30" s="6" t="str">
        <v>Italy</v>
      </c>
      <c r="B30" s="2">
        <v>2</v>
      </c>
      <c r="C30" s="2">
        <v>6</v>
      </c>
      <c r="D30" s="2">
        <v>37</v>
      </c>
      <c r="E30" s="2">
        <v>45</v>
      </c>
    </row>
    <row r="31" spans="1:5" ht="15.75" customHeight="1" x14ac:dyDescent="0.25">
      <c r="A31" s="6" t="str">
        <v>United Kingdom</v>
      </c>
      <c r="B31" s="2">
        <v>3</v>
      </c>
      <c r="C31" s="2">
        <v>4</v>
      </c>
      <c r="D31" s="2">
        <v>34</v>
      </c>
      <c r="E31" s="2">
        <v>41</v>
      </c>
    </row>
    <row r="32" spans="1:5" ht="15.75" customHeight="1" x14ac:dyDescent="0.25">
      <c r="A32" s="6" t="str">
        <v>Germany</v>
      </c>
      <c r="B32" s="2">
        <v>3</v>
      </c>
      <c r="C32" s="2">
        <v>4</v>
      </c>
      <c r="D32" s="2">
        <v>32</v>
      </c>
      <c r="E32" s="2">
        <v>39</v>
      </c>
    </row>
    <row r="33" spans="1:5" ht="15.75" customHeight="1" x14ac:dyDescent="0.25">
      <c r="A33" s="6" t="str">
        <v>Romania</v>
      </c>
      <c r="B33" s="2">
        <v>2</v>
      </c>
      <c r="C33" s="2">
        <v>1</v>
      </c>
      <c r="D33" s="2">
        <v>32</v>
      </c>
      <c r="E33" s="2">
        <v>35</v>
      </c>
    </row>
    <row r="34" spans="1:5" ht="15.75" customHeight="1" x14ac:dyDescent="0.25">
      <c r="A34" s="6" t="str">
        <v>Greece</v>
      </c>
      <c r="B34" s="2">
        <v>2</v>
      </c>
      <c r="C34" s="2">
        <v>6</v>
      </c>
      <c r="D34" s="2">
        <v>23</v>
      </c>
      <c r="E34" s="2">
        <v>31</v>
      </c>
    </row>
    <row r="35" spans="1:5" ht="15.75" customHeight="1" x14ac:dyDescent="0.25">
      <c r="A35" s="6" t="str">
        <v>Turkey</v>
      </c>
      <c r="B35" s="2">
        <v>3</v>
      </c>
      <c r="C35" s="2">
        <v>4</v>
      </c>
      <c r="D35" s="2">
        <v>19</v>
      </c>
      <c r="E35" s="2">
        <v>26</v>
      </c>
    </row>
    <row r="36" spans="1:5" ht="15.75" customHeight="1" x14ac:dyDescent="0.25">
      <c r="A36" s="6" t="str">
        <v>Hungary</v>
      </c>
      <c r="B36" s="2">
        <v>0</v>
      </c>
      <c r="C36" s="2">
        <v>0</v>
      </c>
      <c r="D36" s="2">
        <v>25</v>
      </c>
      <c r="E36" s="2">
        <v>25</v>
      </c>
    </row>
    <row r="37" spans="1:5" ht="15.75" customHeight="1" x14ac:dyDescent="0.25">
      <c r="A37" s="6" t="str">
        <v>Poland</v>
      </c>
      <c r="B37" s="2">
        <v>0</v>
      </c>
      <c r="C37" s="2">
        <v>2</v>
      </c>
      <c r="D37" s="2">
        <v>22</v>
      </c>
      <c r="E37" s="2">
        <v>24</v>
      </c>
    </row>
    <row r="38" spans="1:5" ht="15.75" customHeight="1" x14ac:dyDescent="0.25">
      <c r="A38" s="6" t="str">
        <v>Spain</v>
      </c>
      <c r="B38" s="2">
        <v>1</v>
      </c>
      <c r="C38" s="2">
        <v>3</v>
      </c>
      <c r="D38" s="2">
        <v>12</v>
      </c>
      <c r="E38" s="2">
        <v>16</v>
      </c>
    </row>
    <row r="39" spans="1:5" ht="15.75" customHeight="1" x14ac:dyDescent="0.25"/>
    <row r="40" spans="1:5" ht="15.75" customHeight="1" x14ac:dyDescent="0.25"/>
    <row r="41" spans="1:5" ht="15.75" customHeight="1" x14ac:dyDescent="0.25"/>
    <row r="42" spans="1:5" ht="15.75" customHeight="1" x14ac:dyDescent="0.25"/>
    <row r="43" spans="1:5" ht="15.75" customHeight="1" x14ac:dyDescent="0.25"/>
    <row r="44" spans="1:5" ht="15.75" customHeight="1" x14ac:dyDescent="0.25">
      <c r="A44" s="53"/>
      <c r="B44" s="53"/>
      <c r="C44" s="53"/>
      <c r="D44" s="53"/>
    </row>
    <row r="45" spans="1:5" ht="15.75" customHeight="1" x14ac:dyDescent="0.25">
      <c r="A45" s="105" t="s">
        <v>3229</v>
      </c>
    </row>
    <row r="46" spans="1:5" ht="15.75" customHeight="1" x14ac:dyDescent="0.25"/>
    <row r="47" spans="1:5" ht="15.75" customHeight="1" x14ac:dyDescent="0.25">
      <c r="A47" s="2" t="s">
        <v>8</v>
      </c>
      <c r="B47" s="2" t="s">
        <v>2817</v>
      </c>
    </row>
    <row r="49" spans="1:5" ht="15.75" customHeight="1" x14ac:dyDescent="0.25">
      <c r="A49" s="2" t="s">
        <v>2778</v>
      </c>
      <c r="B49" s="2" t="s">
        <v>2820</v>
      </c>
    </row>
    <row r="50" spans="1:5" ht="15.75" customHeight="1" x14ac:dyDescent="0.25">
      <c r="A50" s="2" t="s">
        <v>2821</v>
      </c>
      <c r="B50" s="2" t="s">
        <v>307</v>
      </c>
      <c r="C50" s="2" t="s">
        <v>26</v>
      </c>
      <c r="D50" s="2" t="s">
        <v>76</v>
      </c>
      <c r="E50" s="2" t="s">
        <v>2779</v>
      </c>
    </row>
    <row r="51" spans="1:5" ht="15.75" customHeight="1" x14ac:dyDescent="0.25">
      <c r="A51" s="6" t="str" cm="1">
        <f t="array" ref="A51:E60">'Table 1A-2A NATO'!$G$9:$K$18</f>
        <v>France</v>
      </c>
      <c r="B51" s="2">
        <v>0</v>
      </c>
      <c r="C51" s="2">
        <v>0</v>
      </c>
      <c r="D51" s="2">
        <v>5</v>
      </c>
      <c r="E51" s="2">
        <v>5</v>
      </c>
    </row>
    <row r="52" spans="1:5" ht="15.75" customHeight="1" x14ac:dyDescent="0.25">
      <c r="A52" s="6" t="str">
        <v>United Kingdom</v>
      </c>
      <c r="B52" s="2">
        <v>0</v>
      </c>
      <c r="C52" s="2">
        <v>0</v>
      </c>
      <c r="D52" s="2">
        <v>5</v>
      </c>
      <c r="E52" s="2">
        <v>5</v>
      </c>
    </row>
    <row r="53" spans="1:5" ht="15.75" customHeight="1" x14ac:dyDescent="0.25">
      <c r="A53" s="6" t="str">
        <v>Greece</v>
      </c>
      <c r="B53" s="2">
        <v>0</v>
      </c>
      <c r="C53" s="2">
        <v>0</v>
      </c>
      <c r="D53" s="2">
        <v>1</v>
      </c>
      <c r="E53" s="2">
        <v>1</v>
      </c>
    </row>
    <row r="54" spans="1:5" ht="15.75" customHeight="1" x14ac:dyDescent="0.25">
      <c r="A54" s="6" t="str">
        <v>Germany</v>
      </c>
      <c r="B54" s="2">
        <v>0</v>
      </c>
      <c r="C54" s="2">
        <v>0</v>
      </c>
      <c r="D54" s="2">
        <v>1</v>
      </c>
      <c r="E54" s="2">
        <v>1</v>
      </c>
    </row>
    <row r="55" spans="1:5" ht="15.75" customHeight="1" x14ac:dyDescent="0.25">
      <c r="A55" s="6" t="str">
        <v>Canada</v>
      </c>
      <c r="B55" s="2">
        <v>0</v>
      </c>
      <c r="C55" s="2">
        <v>0</v>
      </c>
      <c r="D55" s="2">
        <v>1</v>
      </c>
      <c r="E55" s="2">
        <v>1</v>
      </c>
    </row>
    <row r="56" spans="1:5" ht="15.75" customHeight="1" x14ac:dyDescent="0.25">
      <c r="A56" s="6" t="str">
        <v>Hungary</v>
      </c>
      <c r="B56" s="2">
        <v>0</v>
      </c>
      <c r="C56" s="2">
        <v>0</v>
      </c>
      <c r="D56" s="2">
        <v>1</v>
      </c>
      <c r="E56" s="2">
        <v>1</v>
      </c>
    </row>
    <row r="57" spans="1:5" ht="15.75" customHeight="1" x14ac:dyDescent="0.25">
      <c r="A57" s="6" t="str">
        <v>Serbia</v>
      </c>
      <c r="B57" s="2">
        <v>0</v>
      </c>
      <c r="C57" s="2">
        <v>0</v>
      </c>
      <c r="D57" s="2">
        <v>0</v>
      </c>
      <c r="E57" s="2">
        <v>0</v>
      </c>
    </row>
    <row r="58" spans="1:5" ht="15.75" customHeight="1" x14ac:dyDescent="0.25">
      <c r="A58" s="6" t="str">
        <v>Moldova</v>
      </c>
      <c r="B58" s="2">
        <v>0</v>
      </c>
      <c r="C58" s="2">
        <v>0</v>
      </c>
      <c r="D58" s="2">
        <v>0</v>
      </c>
      <c r="E58" s="2">
        <v>0</v>
      </c>
    </row>
    <row r="59" spans="1:5" ht="15.75" customHeight="1" x14ac:dyDescent="0.25">
      <c r="A59" s="6" t="str">
        <v>Yemen</v>
      </c>
      <c r="B59" s="2">
        <v>0</v>
      </c>
      <c r="C59" s="2">
        <v>0</v>
      </c>
      <c r="D59" s="2">
        <v>0</v>
      </c>
      <c r="E59" s="2">
        <v>0</v>
      </c>
    </row>
    <row r="60" spans="1:5" ht="15.75" customHeight="1" x14ac:dyDescent="0.25">
      <c r="A60" s="6" t="str">
        <v>Armenia</v>
      </c>
      <c r="B60" s="2">
        <v>0</v>
      </c>
      <c r="C60" s="2">
        <v>0</v>
      </c>
      <c r="D60" s="2">
        <v>0</v>
      </c>
      <c r="E60" s="2">
        <v>0</v>
      </c>
    </row>
    <row r="61" spans="1:5" ht="15.75" customHeight="1" x14ac:dyDescent="0.25">
      <c r="A61" s="6"/>
      <c r="B61" s="2"/>
      <c r="C61" s="2"/>
      <c r="D61" s="2"/>
      <c r="E61" s="2"/>
    </row>
    <row r="62" spans="1:5" ht="15.75" customHeight="1" x14ac:dyDescent="0.25"/>
    <row r="63" spans="1:5" ht="15.75" customHeight="1" x14ac:dyDescent="0.25"/>
    <row r="64" spans="1:5" ht="15.75" customHeight="1" x14ac:dyDescent="0.25">
      <c r="A64" s="105" t="s">
        <v>3230</v>
      </c>
    </row>
    <row r="65" spans="1:5" ht="15.75" customHeight="1" x14ac:dyDescent="0.25">
      <c r="A65" s="103" t="s">
        <v>3226</v>
      </c>
    </row>
    <row r="66" spans="1:5" ht="15.75" customHeight="1" x14ac:dyDescent="0.25">
      <c r="A66" s="103"/>
    </row>
    <row r="67" spans="1:5" ht="15.75" customHeight="1" x14ac:dyDescent="0.25">
      <c r="A67" s="54" t="s">
        <v>2877</v>
      </c>
      <c r="B67" s="54" t="s">
        <v>307</v>
      </c>
      <c r="C67" s="54" t="s">
        <v>26</v>
      </c>
      <c r="D67" s="54" t="s">
        <v>76</v>
      </c>
      <c r="E67" s="54" t="s">
        <v>2779</v>
      </c>
    </row>
    <row r="68" spans="1:5" ht="15.75" customHeight="1" x14ac:dyDescent="0.25">
      <c r="A68" s="55" t="str" cm="1">
        <f t="array" ref="A68:E78">'Table 1A-2A NATO'!$M$9:$Q$19</f>
        <v>United States</v>
      </c>
      <c r="B68" s="55">
        <v>18</v>
      </c>
      <c r="C68" s="55">
        <v>9</v>
      </c>
      <c r="D68" s="55">
        <v>114</v>
      </c>
      <c r="E68" s="55">
        <v>141</v>
      </c>
    </row>
    <row r="69" spans="1:5" ht="15.75" customHeight="1" x14ac:dyDescent="0.25">
      <c r="A69" s="56" t="str">
        <v>France</v>
      </c>
      <c r="B69" s="55">
        <v>10</v>
      </c>
      <c r="C69" s="55">
        <v>9</v>
      </c>
      <c r="D69" s="55">
        <v>28</v>
      </c>
      <c r="E69" s="55">
        <v>47</v>
      </c>
    </row>
    <row r="70" spans="1:5" ht="15.75" customHeight="1" x14ac:dyDescent="0.25">
      <c r="A70" s="56" t="str">
        <v>Italy</v>
      </c>
      <c r="B70" s="55">
        <v>2</v>
      </c>
      <c r="C70" s="55">
        <v>6</v>
      </c>
      <c r="D70" s="55">
        <v>37</v>
      </c>
      <c r="E70" s="55">
        <v>45</v>
      </c>
    </row>
    <row r="71" spans="1:5" ht="15.75" customHeight="1" x14ac:dyDescent="0.25">
      <c r="A71" s="56" t="str">
        <v>United Kingdom</v>
      </c>
      <c r="B71" s="55">
        <v>3</v>
      </c>
      <c r="C71" s="55">
        <v>4</v>
      </c>
      <c r="D71" s="55">
        <v>34</v>
      </c>
      <c r="E71" s="55">
        <v>41</v>
      </c>
    </row>
    <row r="72" spans="1:5" ht="15.75" customHeight="1" x14ac:dyDescent="0.25">
      <c r="A72" s="56" t="str">
        <v>Germany</v>
      </c>
      <c r="B72" s="55">
        <v>3</v>
      </c>
      <c r="C72" s="55">
        <v>4</v>
      </c>
      <c r="D72" s="55">
        <v>32</v>
      </c>
      <c r="E72" s="55">
        <v>39</v>
      </c>
    </row>
    <row r="73" spans="1:5" ht="15.75" customHeight="1" x14ac:dyDescent="0.25">
      <c r="A73" s="56" t="str">
        <v>Romania</v>
      </c>
      <c r="B73" s="55">
        <v>2</v>
      </c>
      <c r="C73" s="55">
        <v>1</v>
      </c>
      <c r="D73" s="55">
        <v>32</v>
      </c>
      <c r="E73" s="55">
        <v>35</v>
      </c>
    </row>
    <row r="74" spans="1:5" ht="15.75" customHeight="1" x14ac:dyDescent="0.25">
      <c r="A74" s="56" t="str">
        <v>Greece</v>
      </c>
      <c r="B74" s="55">
        <v>2</v>
      </c>
      <c r="C74" s="55">
        <v>6</v>
      </c>
      <c r="D74" s="55">
        <v>23</v>
      </c>
      <c r="E74" s="55">
        <v>31</v>
      </c>
    </row>
    <row r="75" spans="1:5" ht="15.75" customHeight="1" x14ac:dyDescent="0.25">
      <c r="A75" s="56" t="str">
        <v>Turkey</v>
      </c>
      <c r="B75" s="55">
        <v>3</v>
      </c>
      <c r="C75" s="55">
        <v>4</v>
      </c>
      <c r="D75" s="55">
        <v>19</v>
      </c>
      <c r="E75" s="55">
        <v>26</v>
      </c>
    </row>
    <row r="76" spans="1:5" ht="15.75" customHeight="1" x14ac:dyDescent="0.25">
      <c r="A76" s="56" t="str">
        <v>Hungary</v>
      </c>
      <c r="B76" s="55">
        <v>0</v>
      </c>
      <c r="C76" s="55">
        <v>0</v>
      </c>
      <c r="D76" s="55">
        <v>25</v>
      </c>
      <c r="E76" s="55">
        <v>25</v>
      </c>
    </row>
    <row r="77" spans="1:5" ht="15.75" customHeight="1" x14ac:dyDescent="0.25">
      <c r="A77" s="56" t="str">
        <v>Poland</v>
      </c>
      <c r="B77" s="55">
        <v>0</v>
      </c>
      <c r="C77" s="55">
        <v>2</v>
      </c>
      <c r="D77" s="55">
        <v>22</v>
      </c>
      <c r="E77" s="55">
        <v>24</v>
      </c>
    </row>
    <row r="78" spans="1:5" ht="15.75" customHeight="1" x14ac:dyDescent="0.25">
      <c r="A78" s="56" t="str">
        <v>Spain</v>
      </c>
      <c r="B78" s="55">
        <v>1</v>
      </c>
      <c r="C78" s="55">
        <v>3</v>
      </c>
      <c r="D78" s="55">
        <v>12</v>
      </c>
      <c r="E78" s="55">
        <v>16</v>
      </c>
    </row>
  </sheetData>
  <pageMargins left="0.7" right="0.7" top="0.75" bottom="0.75" header="0" footer="0"/>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22EC1-DD07-40E0-9F41-03037FE26CFB}">
  <dimension ref="A1:K34"/>
  <sheetViews>
    <sheetView topLeftCell="A13" workbookViewId="0">
      <selection activeCell="E19" sqref="E19"/>
    </sheetView>
  </sheetViews>
  <sheetFormatPr defaultRowHeight="15" x14ac:dyDescent="0.25"/>
  <cols>
    <col min="1" max="1" width="18.5703125" customWidth="1"/>
    <col min="2" max="2" width="14.5703125" customWidth="1"/>
    <col min="3" max="3" width="13.7109375" customWidth="1"/>
    <col min="4" max="4" width="15.28515625" customWidth="1"/>
    <col min="5" max="5" width="11.42578125" customWidth="1"/>
    <col min="7" max="7" width="17.7109375" customWidth="1"/>
    <col min="8" max="8" width="14.7109375" customWidth="1"/>
    <col min="10" max="10" width="15" customWidth="1"/>
  </cols>
  <sheetData>
    <row r="1" spans="1:11" x14ac:dyDescent="0.25">
      <c r="A1" s="104" t="s">
        <v>3218</v>
      </c>
      <c r="G1" s="104" t="s">
        <v>3219</v>
      </c>
    </row>
    <row r="3" spans="1:11" x14ac:dyDescent="0.25">
      <c r="G3" s="120" t="s">
        <v>8</v>
      </c>
      <c r="H3" s="119" t="s">
        <v>2817</v>
      </c>
    </row>
    <row r="5" spans="1:11" x14ac:dyDescent="0.25">
      <c r="A5" s="111" t="s">
        <v>2778</v>
      </c>
      <c r="B5" s="111" t="s">
        <v>1</v>
      </c>
      <c r="C5" s="112"/>
      <c r="D5" s="112"/>
      <c r="E5" s="113"/>
      <c r="G5" s="111" t="s">
        <v>2778</v>
      </c>
      <c r="H5" s="111" t="s">
        <v>1</v>
      </c>
      <c r="I5" s="112"/>
      <c r="J5" s="112"/>
      <c r="K5" s="113"/>
    </row>
    <row r="6" spans="1:11" x14ac:dyDescent="0.25">
      <c r="A6" s="111" t="s">
        <v>2</v>
      </c>
      <c r="B6" s="114" t="s">
        <v>307</v>
      </c>
      <c r="C6" s="115" t="s">
        <v>26</v>
      </c>
      <c r="D6" s="115" t="s">
        <v>76</v>
      </c>
      <c r="E6" s="122" t="s">
        <v>2779</v>
      </c>
      <c r="G6" s="111" t="s">
        <v>2</v>
      </c>
      <c r="H6" s="114" t="s">
        <v>307</v>
      </c>
      <c r="I6" s="115" t="s">
        <v>26</v>
      </c>
      <c r="J6" s="115" t="s">
        <v>76</v>
      </c>
      <c r="K6" s="122" t="s">
        <v>2779</v>
      </c>
    </row>
    <row r="7" spans="1:11" x14ac:dyDescent="0.25">
      <c r="A7" s="114" t="s">
        <v>89</v>
      </c>
      <c r="B7" s="184">
        <v>22</v>
      </c>
      <c r="C7" s="185">
        <v>74</v>
      </c>
      <c r="D7" s="185">
        <v>295</v>
      </c>
      <c r="E7" s="199">
        <v>391</v>
      </c>
      <c r="G7" s="114" t="s">
        <v>89</v>
      </c>
      <c r="H7" s="184">
        <v>7</v>
      </c>
      <c r="I7" s="185">
        <v>27</v>
      </c>
      <c r="J7" s="185">
        <v>21</v>
      </c>
      <c r="K7" s="199">
        <v>55</v>
      </c>
    </row>
    <row r="8" spans="1:11" x14ac:dyDescent="0.25">
      <c r="A8" s="117" t="s">
        <v>77</v>
      </c>
      <c r="B8" s="187">
        <v>24</v>
      </c>
      <c r="C8" s="188">
        <v>0</v>
      </c>
      <c r="D8" s="188">
        <v>148</v>
      </c>
      <c r="E8" s="200">
        <v>172</v>
      </c>
      <c r="G8" s="117" t="s">
        <v>77</v>
      </c>
      <c r="H8" s="187">
        <v>0</v>
      </c>
      <c r="I8" s="188">
        <v>0</v>
      </c>
      <c r="J8" s="188">
        <v>23</v>
      </c>
      <c r="K8" s="200">
        <v>23</v>
      </c>
    </row>
    <row r="9" spans="1:11" x14ac:dyDescent="0.25">
      <c r="A9" s="117" t="s">
        <v>103</v>
      </c>
      <c r="B9" s="187">
        <v>41</v>
      </c>
      <c r="C9" s="188">
        <v>57</v>
      </c>
      <c r="D9" s="188">
        <v>543</v>
      </c>
      <c r="E9" s="200">
        <v>641</v>
      </c>
      <c r="G9" s="117" t="s">
        <v>103</v>
      </c>
      <c r="H9" s="187">
        <v>3</v>
      </c>
      <c r="I9" s="188">
        <v>0</v>
      </c>
      <c r="J9" s="188">
        <v>25</v>
      </c>
      <c r="K9" s="200">
        <v>28</v>
      </c>
    </row>
    <row r="10" spans="1:11" x14ac:dyDescent="0.25">
      <c r="A10" s="117" t="s">
        <v>116</v>
      </c>
      <c r="B10" s="187">
        <v>19</v>
      </c>
      <c r="C10" s="188">
        <v>95</v>
      </c>
      <c r="D10" s="188">
        <v>129</v>
      </c>
      <c r="E10" s="200">
        <v>243</v>
      </c>
      <c r="G10" s="117" t="s">
        <v>116</v>
      </c>
      <c r="H10" s="187">
        <v>6</v>
      </c>
      <c r="I10" s="188">
        <v>5</v>
      </c>
      <c r="J10" s="188">
        <v>12</v>
      </c>
      <c r="K10" s="200">
        <v>23</v>
      </c>
    </row>
    <row r="11" spans="1:11" x14ac:dyDescent="0.25">
      <c r="A11" s="117" t="s">
        <v>46</v>
      </c>
      <c r="B11" s="187">
        <v>0</v>
      </c>
      <c r="C11" s="188">
        <v>0</v>
      </c>
      <c r="D11" s="188">
        <v>2</v>
      </c>
      <c r="E11" s="200">
        <v>2</v>
      </c>
      <c r="G11" s="117" t="s">
        <v>46</v>
      </c>
      <c r="H11" s="187">
        <v>0</v>
      </c>
      <c r="I11" s="188">
        <v>0</v>
      </c>
      <c r="J11" s="188">
        <v>0</v>
      </c>
      <c r="K11" s="200">
        <v>0</v>
      </c>
    </row>
    <row r="12" spans="1:11" x14ac:dyDescent="0.25">
      <c r="A12" s="117" t="s">
        <v>44</v>
      </c>
      <c r="B12" s="187">
        <v>19</v>
      </c>
      <c r="C12" s="188">
        <v>14</v>
      </c>
      <c r="D12" s="188">
        <v>143</v>
      </c>
      <c r="E12" s="200">
        <v>176</v>
      </c>
      <c r="G12" s="117" t="s">
        <v>44</v>
      </c>
      <c r="H12" s="187">
        <v>1</v>
      </c>
      <c r="I12" s="188">
        <v>0</v>
      </c>
      <c r="J12" s="188">
        <v>18</v>
      </c>
      <c r="K12" s="200">
        <v>19</v>
      </c>
    </row>
    <row r="13" spans="1:11" x14ac:dyDescent="0.25">
      <c r="A13" s="117" t="s">
        <v>62</v>
      </c>
      <c r="B13" s="187">
        <v>19</v>
      </c>
      <c r="C13" s="188">
        <v>8</v>
      </c>
      <c r="D13" s="188">
        <v>149</v>
      </c>
      <c r="E13" s="200">
        <v>176</v>
      </c>
      <c r="G13" s="117" t="s">
        <v>62</v>
      </c>
      <c r="H13" s="187">
        <v>3</v>
      </c>
      <c r="I13" s="188">
        <v>0</v>
      </c>
      <c r="J13" s="188">
        <v>22</v>
      </c>
      <c r="K13" s="200">
        <v>25</v>
      </c>
    </row>
    <row r="14" spans="1:11" x14ac:dyDescent="0.25">
      <c r="A14" s="117" t="s">
        <v>71</v>
      </c>
      <c r="B14" s="187">
        <v>27</v>
      </c>
      <c r="C14" s="188">
        <v>36</v>
      </c>
      <c r="D14" s="188">
        <v>117</v>
      </c>
      <c r="E14" s="200">
        <v>180</v>
      </c>
      <c r="G14" s="117" t="s">
        <v>71</v>
      </c>
      <c r="H14" s="187">
        <v>0</v>
      </c>
      <c r="I14" s="188">
        <v>3</v>
      </c>
      <c r="J14" s="188">
        <v>7</v>
      </c>
      <c r="K14" s="200">
        <v>10</v>
      </c>
    </row>
    <row r="15" spans="1:11" x14ac:dyDescent="0.25">
      <c r="A15" s="117" t="s">
        <v>54</v>
      </c>
      <c r="B15" s="187">
        <v>59</v>
      </c>
      <c r="C15" s="188">
        <v>8</v>
      </c>
      <c r="D15" s="188">
        <v>97</v>
      </c>
      <c r="E15" s="200">
        <v>164</v>
      </c>
      <c r="G15" s="117" t="s">
        <v>54</v>
      </c>
      <c r="H15" s="187">
        <v>23</v>
      </c>
      <c r="I15" s="188">
        <v>2</v>
      </c>
      <c r="J15" s="188">
        <v>20</v>
      </c>
      <c r="K15" s="200">
        <v>45</v>
      </c>
    </row>
    <row r="16" spans="1:11" x14ac:dyDescent="0.25">
      <c r="A16" s="117" t="s">
        <v>198</v>
      </c>
      <c r="B16" s="187">
        <v>6</v>
      </c>
      <c r="C16" s="188">
        <v>26</v>
      </c>
      <c r="D16" s="188">
        <v>206</v>
      </c>
      <c r="E16" s="200">
        <v>238</v>
      </c>
      <c r="G16" s="117" t="s">
        <v>198</v>
      </c>
      <c r="H16" s="187">
        <v>1</v>
      </c>
      <c r="I16" s="188">
        <v>0</v>
      </c>
      <c r="J16" s="188">
        <v>7</v>
      </c>
      <c r="K16" s="200">
        <v>8</v>
      </c>
    </row>
    <row r="17" spans="1:11" x14ac:dyDescent="0.25">
      <c r="A17" s="117" t="s">
        <v>27</v>
      </c>
      <c r="B17" s="187">
        <v>81</v>
      </c>
      <c r="C17" s="188">
        <v>49</v>
      </c>
      <c r="D17" s="188">
        <v>204</v>
      </c>
      <c r="E17" s="200">
        <v>334</v>
      </c>
      <c r="G17" s="117" t="s">
        <v>27</v>
      </c>
      <c r="H17" s="187">
        <v>14</v>
      </c>
      <c r="I17" s="188">
        <v>6</v>
      </c>
      <c r="J17" s="188">
        <v>23</v>
      </c>
      <c r="K17" s="200">
        <v>43</v>
      </c>
    </row>
    <row r="18" spans="1:11" x14ac:dyDescent="0.25">
      <c r="A18" s="117" t="s">
        <v>36</v>
      </c>
      <c r="B18" s="187">
        <v>95</v>
      </c>
      <c r="C18" s="188">
        <v>96</v>
      </c>
      <c r="D18" s="188">
        <v>470</v>
      </c>
      <c r="E18" s="200">
        <v>661</v>
      </c>
      <c r="G18" s="117" t="s">
        <v>36</v>
      </c>
      <c r="H18" s="187">
        <v>28</v>
      </c>
      <c r="I18" s="188">
        <v>20</v>
      </c>
      <c r="J18" s="188">
        <v>82</v>
      </c>
      <c r="K18" s="200">
        <v>130</v>
      </c>
    </row>
    <row r="19" spans="1:11" x14ac:dyDescent="0.25">
      <c r="A19" s="121" t="s">
        <v>2779</v>
      </c>
      <c r="B19" s="196">
        <v>412</v>
      </c>
      <c r="C19" s="197">
        <v>463</v>
      </c>
      <c r="D19" s="197">
        <v>2503</v>
      </c>
      <c r="E19" s="198">
        <v>3378</v>
      </c>
      <c r="G19" s="121" t="s">
        <v>2779</v>
      </c>
      <c r="H19" s="196">
        <v>86</v>
      </c>
      <c r="I19" s="197">
        <v>63</v>
      </c>
      <c r="J19" s="197">
        <v>260</v>
      </c>
      <c r="K19" s="198">
        <v>409</v>
      </c>
    </row>
    <row r="20" spans="1:11" x14ac:dyDescent="0.25">
      <c r="A20" s="77"/>
      <c r="B20" s="77"/>
      <c r="C20" s="77"/>
      <c r="D20" s="77"/>
      <c r="E20" s="77"/>
      <c r="G20" s="77"/>
      <c r="H20" s="77"/>
      <c r="I20" s="77"/>
      <c r="J20" s="77"/>
      <c r="K20" s="77"/>
    </row>
    <row r="21" spans="1:11" x14ac:dyDescent="0.25">
      <c r="A21" s="77"/>
      <c r="B21" s="77"/>
      <c r="C21" s="77"/>
      <c r="D21" s="77"/>
      <c r="E21" s="77"/>
      <c r="G21" s="77"/>
      <c r="H21" s="77"/>
      <c r="I21" s="77"/>
      <c r="J21" s="77"/>
      <c r="K21" s="77"/>
    </row>
    <row r="22" spans="1:11" x14ac:dyDescent="0.25">
      <c r="A22" s="104" t="s">
        <v>3218</v>
      </c>
      <c r="G22" s="104" t="s">
        <v>3219</v>
      </c>
    </row>
    <row r="24" spans="1:11" x14ac:dyDescent="0.25">
      <c r="B24" s="64" t="s">
        <v>307</v>
      </c>
      <c r="C24" s="65" t="s">
        <v>26</v>
      </c>
      <c r="D24" s="65" t="s">
        <v>76</v>
      </c>
      <c r="E24" s="74" t="s">
        <v>2779</v>
      </c>
      <c r="H24" s="64" t="s">
        <v>307</v>
      </c>
      <c r="I24" s="65" t="s">
        <v>26</v>
      </c>
      <c r="J24" s="65" t="s">
        <v>76</v>
      </c>
      <c r="K24" s="74" t="s">
        <v>2779</v>
      </c>
    </row>
    <row r="25" spans="1:11" x14ac:dyDescent="0.25">
      <c r="A25" s="64" t="s">
        <v>89</v>
      </c>
      <c r="B25" s="64">
        <f>GETPIVOTDATA("Activity Category",$A$5,"Activity Category","Military Exercise","Geographic Region","Africa")</f>
        <v>22</v>
      </c>
      <c r="C25" s="65">
        <f>GETPIVOTDATA("Activity Category",$A$5,"Activity Category","Naval Port Call","Geographic Region","Africa")</f>
        <v>74</v>
      </c>
      <c r="D25" s="65">
        <f>GETPIVOTDATA("Activity Category",$A$5,"Activity Category","Senior Level Visit","Geographic Region","Africa")</f>
        <v>295</v>
      </c>
      <c r="E25" s="74">
        <f>GETPIVOTDATA("Activity Category",$A$5,"Geographic Region","Africa")</f>
        <v>391</v>
      </c>
      <c r="G25" s="64" t="s">
        <v>89</v>
      </c>
      <c r="H25" s="64">
        <f>GETPIVOTDATA("Activity Category",$G$5,"Activity Category","Military Exercise","Geographic Region","Africa")</f>
        <v>7</v>
      </c>
      <c r="I25" s="65">
        <f>GETPIVOTDATA("Activity Category",$G$5,"Activity Category","Naval Port Call","Geographic Region","Africa")</f>
        <v>27</v>
      </c>
      <c r="J25" s="65">
        <f>GETPIVOTDATA("Activity Category",$G$5,"Activity Category","Senior Level Visit","Geographic Region","Africa")</f>
        <v>21</v>
      </c>
      <c r="K25" s="74">
        <f>GETPIVOTDATA("Activity Category",$G$5,"Geographic Region","Africa")</f>
        <v>55</v>
      </c>
    </row>
    <row r="26" spans="1:11" x14ac:dyDescent="0.25">
      <c r="A26" s="103" t="s">
        <v>28</v>
      </c>
      <c r="B26">
        <f>GETPIVOTDATA("Activity Category",$A$5,"Activity Category","Military Exercise","Geographic Region","Central Asia")+GETPIVOTDATA("Activity Category",$A$5,"Activity Category","Military Exercise","Geographic Region","Northeast Asia")+GETPIVOTDATA("Activity Category",$A$5,"Activity Category","Military Exercise","Geographic Region","South Asia")+GETPIVOTDATA("Activity Category",$A$5,"Activity Category","Military Exercise","Geographic Region","Southeast Asia")</f>
        <v>219</v>
      </c>
      <c r="C26">
        <f>GETPIVOTDATA("Activity Category",$A$5,"Activity Category","Naval Port Call","Geographic Region","Central Asia")+GETPIVOTDATA("Activity Category",$A$5,"Activity Category","Naval Port Call","Geographic Region","Northeast Asia")+GETPIVOTDATA("Activity Category",$A$5,"Activity Category","Naval Port Call","Geographic Region","South Asia")+GETPIVOTDATA("Activity Category",$A$5,"Activity Category","Naval Port Call","Geographic Region","Southeast Asia")</f>
        <v>153</v>
      </c>
      <c r="D26">
        <f>GETPIVOTDATA("Activity Category",$A$5,"Activity Category","Senior Level Visit","Geographic Region","Central Asia")+GETPIVOTDATA("Activity Category",$A$5,"Activity Category","Senior Level Visit","Geographic Region","Northeast Asia")+GETPIVOTDATA("Activity Category",$A$5,"Activity Category","Senior Level Visit","Geographic Region","South Asia")+GETPIVOTDATA("Activity Category",$A$5,"Activity Category","Senior Level Visit","Geographic Region","Southeast Asia")</f>
        <v>971</v>
      </c>
      <c r="E26" s="72">
        <f>GETPIVOTDATA("Activity Category",$A$5,"Geographic Region","Central Asia")+GETPIVOTDATA("Activity Category",$A$5,"Geographic Region","Northeast Asia")+GETPIVOTDATA("Activity Category",$A$5,"Geographic Region","South Asia")+GETPIVOTDATA("Activity Category",$A$5,"Geographic Region","Southeast Asia")</f>
        <v>1343</v>
      </c>
      <c r="G26" s="103" t="s">
        <v>28</v>
      </c>
      <c r="H26">
        <f>GETPIVOTDATA("Activity Category",$G$5,"Activity Category","Military Exercise","Geographic Region","Central Asia")+GETPIVOTDATA("Activity Category",$G$5,"Activity Category","Military Exercise","Geographic Region","Northeast Asia")+GETPIVOTDATA("Activity Category",$G$5,"Activity Category","Military Exercise","Geographic Region","South Asia")+GETPIVOTDATA("Activity Category",$G$5,"Activity Category","Military Exercise","Geographic Region","Southeast Asia")</f>
        <v>45</v>
      </c>
      <c r="I26">
        <f>GETPIVOTDATA("Activity Category",$G$5,"Activity Category","Naval Port Call","Geographic Region","Central Asia")+GETPIVOTDATA("Activity Category",$G$5,"Activity Category","Naval Port Call","Geographic Region","Northeast Asia")+GETPIVOTDATA("Activity Category",$G$5,"Activity Category","Naval Port Call","Geographic Region","South Asia")+GETPIVOTDATA("Activity Category",$G$5,"Activity Category","Naval Port Call","Geographic Region","Southeast Asia")</f>
        <v>26</v>
      </c>
      <c r="J26">
        <f>GETPIVOTDATA("Activity Category",$G$5,"Activity Category","Senior Level Visit","Geographic Region","Central Asia")+GETPIVOTDATA("Activity Category",$G$5,"Activity Category","Senior Level Visit","Geographic Region","Northeast Asia")+GETPIVOTDATA("Activity Category",$G$5,"Activity Category","Senior Level Visit","Geographic Region","South Asia")+GETPIVOTDATA("Activity Category",$G$5,"Activity Category","Senior Level Visit","Geographic Region","Southeast Asia")</f>
        <v>150</v>
      </c>
      <c r="K26" s="72">
        <f>GETPIVOTDATA("Activity Category",$G$5,"Geographic Region","Central Asia")+GETPIVOTDATA("Activity Category",$G$5,"Geographic Region","Northeast Asia")+GETPIVOTDATA("Activity Category",$G$5,"Geographic Region","South Asia")+GETPIVOTDATA("Activity Category",$G$5,"Geographic Region","Southeast Asia")</f>
        <v>221</v>
      </c>
    </row>
    <row r="27" spans="1:11" x14ac:dyDescent="0.25">
      <c r="A27" s="67" t="s">
        <v>103</v>
      </c>
      <c r="B27">
        <f>GETPIVOTDATA("Activity Category",$A$5,"Activity Category","Military Exercise","Geographic Region","Europe")</f>
        <v>41</v>
      </c>
      <c r="C27">
        <f>GETPIVOTDATA("Activity Category",$A$5,"Activity Category","Naval Port Call","Geographic Region","Europe")</f>
        <v>57</v>
      </c>
      <c r="D27">
        <f>GETPIVOTDATA("Activity Category",$A$5,"Activity Category","Senior Level Visit","Geographic Region","Europe")</f>
        <v>543</v>
      </c>
      <c r="E27" s="72">
        <f>GETPIVOTDATA("Activity Category",$A$5,"Geographic Region","Europe")</f>
        <v>641</v>
      </c>
      <c r="G27" s="67" t="s">
        <v>103</v>
      </c>
      <c r="H27">
        <f>GETPIVOTDATA("Activity Category",$G$5,"Activity Category","Military Exercise","Geographic Region","Europe")</f>
        <v>3</v>
      </c>
      <c r="I27">
        <f>GETPIVOTDATA("Activity Category",$G$5,"Activity Category","Naval Port Call","Geographic Region","Europe")</f>
        <v>0</v>
      </c>
      <c r="J27">
        <f>GETPIVOTDATA("Activity Category",$G$5,"Activity Category","Senior Level Visit","Geographic Region","Europe")</f>
        <v>25</v>
      </c>
      <c r="K27" s="72">
        <f>GETPIVOTDATA("Activity Category",$G$5,"Geographic Region","Europe")</f>
        <v>28</v>
      </c>
    </row>
    <row r="28" spans="1:11" x14ac:dyDescent="0.25">
      <c r="A28" s="67" t="s">
        <v>116</v>
      </c>
      <c r="B28">
        <f>GETPIVOTDATA("Activity Category",$A$5,"Activity Category","Military Exercise","Geographic Region","Middle East")</f>
        <v>19</v>
      </c>
      <c r="C28">
        <f>GETPIVOTDATA("Activity Category",$A$5,"Activity Category","Naval Port Call","Geographic Region","Middle East")</f>
        <v>95</v>
      </c>
      <c r="D28">
        <f>GETPIVOTDATA("Activity Category",$A$5,"Activity Category","Senior Level Visit","Geographic Region","Middle East")</f>
        <v>129</v>
      </c>
      <c r="E28" s="72">
        <f>GETPIVOTDATA("Activity Category",$A$5,"Geographic Region","Middle East")</f>
        <v>243</v>
      </c>
      <c r="G28" s="67" t="s">
        <v>116</v>
      </c>
      <c r="H28">
        <f>GETPIVOTDATA("Activity Category",$G$5,"Activity Category","Military Exercise","Geographic Region","Middle East")</f>
        <v>6</v>
      </c>
      <c r="I28">
        <f>GETPIVOTDATA("Activity Category",$G$5,"Activity Category","Naval Port Call","Geographic Region","Middle East")</f>
        <v>5</v>
      </c>
      <c r="J28">
        <f>GETPIVOTDATA("Activity Category",$G$5,"Activity Category","Senior Level Visit","Geographic Region","Middle East")</f>
        <v>12</v>
      </c>
      <c r="K28" s="72">
        <f>GETPIVOTDATA("Activity Category",$G$5,"Geographic Region","Middle East")</f>
        <v>23</v>
      </c>
    </row>
    <row r="29" spans="1:11" x14ac:dyDescent="0.25">
      <c r="A29" s="67" t="s">
        <v>46</v>
      </c>
      <c r="B29">
        <f>GETPIVOTDATA("Activity Category",$A$5,"Activity Category","Military Exercise","Geographic Region","N/A")</f>
        <v>0</v>
      </c>
      <c r="C29">
        <f>GETPIVOTDATA("Activity Category",$A$5,"Activity Category","Naval Port Call","Geographic Region","N/A")</f>
        <v>0</v>
      </c>
      <c r="D29">
        <f>GETPIVOTDATA("Activity Category",$A$5,"Activity Category","Senior Level Visit","Geographic Region","N/A")</f>
        <v>2</v>
      </c>
      <c r="E29" s="72">
        <f>GETPIVOTDATA("Activity Category",$A$5,"Geographic Region","N/A")</f>
        <v>2</v>
      </c>
      <c r="G29" s="67" t="s">
        <v>46</v>
      </c>
      <c r="H29">
        <f>GETPIVOTDATA("Activity Category",$G$5,"Activity Category","Military Exercise","Geographic Region","N/A")</f>
        <v>0</v>
      </c>
      <c r="I29">
        <f>GETPIVOTDATA("Activity Category",$G$5,"Activity Category","Naval Port Call","Geographic Region","N/A")</f>
        <v>0</v>
      </c>
      <c r="J29">
        <f>GETPIVOTDATA("Activity Category",$G$5,"Activity Category","Senior Level Visit","Geographic Region","N/A")</f>
        <v>0</v>
      </c>
      <c r="K29" s="72">
        <f>GETPIVOTDATA("Activity Category",$G$5,"Geographic Region","N/A")</f>
        <v>0</v>
      </c>
    </row>
    <row r="30" spans="1:11" x14ac:dyDescent="0.25">
      <c r="A30" s="67" t="s">
        <v>44</v>
      </c>
      <c r="B30">
        <f>GETPIVOTDATA("Activity Category",$A$5,"Activity Category","Military Exercise","Geographic Region","North America")</f>
        <v>19</v>
      </c>
      <c r="C30">
        <f>GETPIVOTDATA("Activity Category",$A$5,"Activity Category","Naval Port Call","Geographic Region","North America")</f>
        <v>14</v>
      </c>
      <c r="D30">
        <f>GETPIVOTDATA("Activity Category",$A$5,"Activity Category","Senior Level Visit","Geographic Region","North America")</f>
        <v>143</v>
      </c>
      <c r="E30" s="72">
        <f>GETPIVOTDATA("Activity Category",$A$5,"Geographic Region","North America")</f>
        <v>176</v>
      </c>
      <c r="G30" s="67" t="s">
        <v>44</v>
      </c>
      <c r="H30">
        <f>GETPIVOTDATA("Activity Category",$G$5,"Activity Category","Military Exercise","Geographic Region","North America")</f>
        <v>1</v>
      </c>
      <c r="I30">
        <f>GETPIVOTDATA("Activity Category",$G$5,"Activity Category","Naval Port Call","Geographic Region","North America")</f>
        <v>0</v>
      </c>
      <c r="J30">
        <f>GETPIVOTDATA("Activity Category",$G$5,"Activity Category","Senior Level Visit","Geographic Region","North America")</f>
        <v>18</v>
      </c>
      <c r="K30" s="72">
        <f>GETPIVOTDATA("Activity Category",$G$5,"Geographic Region","North America")</f>
        <v>19</v>
      </c>
    </row>
    <row r="31" spans="1:11" x14ac:dyDescent="0.25">
      <c r="A31" s="67" t="s">
        <v>71</v>
      </c>
      <c r="B31">
        <f>GETPIVOTDATA("Activity Category",$A$5,"Activity Category","Military Exercise","Geographic Region","Oceania")</f>
        <v>27</v>
      </c>
      <c r="C31">
        <f>GETPIVOTDATA("Activity Category",$A$5,"Activity Category","Naval Port Call","Geographic Region","Oceania")</f>
        <v>36</v>
      </c>
      <c r="D31">
        <f>GETPIVOTDATA("Activity Category",$A$5,"Activity Category","Senior Level Visit","Geographic Region","Oceania")</f>
        <v>117</v>
      </c>
      <c r="E31" s="72">
        <f>GETPIVOTDATA("Activity Category",$A$5,"Geographic Region","Oceania")</f>
        <v>180</v>
      </c>
      <c r="G31" s="67" t="s">
        <v>71</v>
      </c>
      <c r="H31">
        <f>GETPIVOTDATA("Activity Category",$G$5,"Activity Category","Military Exercise","Geographic Region","Oceania")</f>
        <v>0</v>
      </c>
      <c r="I31">
        <f>GETPIVOTDATA("Activity Category",$G$5,"Activity Category","Naval Port Call","Geographic Region","Oceania")</f>
        <v>3</v>
      </c>
      <c r="J31">
        <f>GETPIVOTDATA("Activity Category",$G$5,"Activity Category","Senior Level Visit","Geographic Region","Oceania")</f>
        <v>7</v>
      </c>
      <c r="K31" s="72">
        <f>GETPIVOTDATA("Activity Category",$G$5,"Geographic Region","Oceania")</f>
        <v>10</v>
      </c>
    </row>
    <row r="32" spans="1:11" x14ac:dyDescent="0.25">
      <c r="A32" s="67" t="s">
        <v>54</v>
      </c>
      <c r="B32">
        <f>GETPIVOTDATA("Activity Category",$A$5,"Activity Category","Military Exercise","Geographic Region","Russia")</f>
        <v>59</v>
      </c>
      <c r="C32">
        <f>GETPIVOTDATA("Activity Category",$A$5,"Activity Category","Naval Port Call","Geographic Region","Russia")</f>
        <v>8</v>
      </c>
      <c r="D32">
        <f>GETPIVOTDATA("Activity Category",$A$5,"Activity Category","Senior Level Visit","Geographic Region","Russia")</f>
        <v>97</v>
      </c>
      <c r="E32" s="72">
        <f>GETPIVOTDATA("Activity Category",$A$5,"Geographic Region","Russia")</f>
        <v>164</v>
      </c>
      <c r="G32" s="67" t="s">
        <v>54</v>
      </c>
      <c r="H32">
        <f>GETPIVOTDATA("Activity Category",$G$5,"Activity Category","Military Exercise","Geographic Region","Russia")</f>
        <v>23</v>
      </c>
      <c r="I32">
        <f>GETPIVOTDATA("Activity Category",$G$5,"Activity Category","Naval Port Call","Geographic Region","Russia")</f>
        <v>2</v>
      </c>
      <c r="J32">
        <f>GETPIVOTDATA("Activity Category",$G$5,"Activity Category","Senior Level Visit","Geographic Region","Russia")</f>
        <v>20</v>
      </c>
      <c r="K32" s="72">
        <f>GETPIVOTDATA("Activity Category",$G$5,"Geographic Region","Russia")</f>
        <v>45</v>
      </c>
    </row>
    <row r="33" spans="1:11" x14ac:dyDescent="0.25">
      <c r="A33" s="67" t="s">
        <v>198</v>
      </c>
      <c r="B33">
        <f>GETPIVOTDATA("Activity Category",$A$5,"Activity Category","Military Exercise","Geographic Region","South America")</f>
        <v>6</v>
      </c>
      <c r="C33">
        <f>GETPIVOTDATA("Activity Category",$A$5,"Activity Category","Naval Port Call","Geographic Region","South America")</f>
        <v>26</v>
      </c>
      <c r="D33">
        <f>GETPIVOTDATA("Activity Category",$A$5,"Activity Category","Senior Level Visit","Geographic Region","South America")</f>
        <v>206</v>
      </c>
      <c r="E33" s="72">
        <f>GETPIVOTDATA("Activity Category",$A$5,"Geographic Region","South America")</f>
        <v>238</v>
      </c>
      <c r="G33" s="67" t="s">
        <v>198</v>
      </c>
      <c r="H33">
        <f>GETPIVOTDATA("Activity Category",$G$5,"Activity Category","Military Exercise","Geographic Region","South America")</f>
        <v>1</v>
      </c>
      <c r="I33">
        <f>GETPIVOTDATA("Activity Category",$G$5,"Activity Category","Naval Port Call","Geographic Region","South America")</f>
        <v>0</v>
      </c>
      <c r="J33">
        <f>GETPIVOTDATA("Activity Category",$G$5,"Activity Category","Senior Level Visit","Geographic Region","South America")</f>
        <v>7</v>
      </c>
      <c r="K33" s="72">
        <f>GETPIVOTDATA("Activity Category",$G$5,"Geographic Region","Russia")</f>
        <v>45</v>
      </c>
    </row>
    <row r="34" spans="1:11" x14ac:dyDescent="0.25">
      <c r="A34" s="73" t="s">
        <v>2779</v>
      </c>
      <c r="B34" s="72">
        <f>SUM(B25:B33)</f>
        <v>412</v>
      </c>
      <c r="C34" s="72">
        <f>SUM(C25:C33)</f>
        <v>463</v>
      </c>
      <c r="D34" s="72">
        <f>SUM(D25:D33)</f>
        <v>2503</v>
      </c>
      <c r="E34" s="72">
        <f>SUM(E25:E33)</f>
        <v>3378</v>
      </c>
      <c r="G34" s="73" t="s">
        <v>2779</v>
      </c>
      <c r="H34" s="72">
        <f>SUM(H25:H33)</f>
        <v>86</v>
      </c>
      <c r="I34" s="72">
        <f>SUM(I25:I33)</f>
        <v>63</v>
      </c>
      <c r="J34" s="72">
        <f>SUM(J25:J33)</f>
        <v>260</v>
      </c>
      <c r="K34" s="72">
        <f>SUM(K25:K33)</f>
        <v>446</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D45DB-8FB1-49EB-9644-FD8161DA851F}">
  <dimension ref="A1:K11"/>
  <sheetViews>
    <sheetView workbookViewId="0">
      <selection activeCell="G46" sqref="G46"/>
    </sheetView>
  </sheetViews>
  <sheetFormatPr defaultRowHeight="15" x14ac:dyDescent="0.25"/>
  <cols>
    <col min="1" max="1" width="16" customWidth="1"/>
    <col min="2" max="2" width="15.28515625" customWidth="1"/>
    <col min="3" max="3" width="13.28515625" customWidth="1"/>
    <col min="4" max="4" width="14.42578125" customWidth="1"/>
    <col min="5" max="5" width="10.7109375" customWidth="1"/>
    <col min="7" max="7" width="13.7109375" customWidth="1"/>
    <col min="8" max="8" width="15.28515625" customWidth="1"/>
    <col min="9" max="9" width="13.7109375" customWidth="1"/>
    <col min="10" max="10" width="14.7109375" customWidth="1"/>
    <col min="11" max="11" width="11.42578125" customWidth="1"/>
  </cols>
  <sheetData>
    <row r="1" spans="1:11" x14ac:dyDescent="0.25">
      <c r="A1" s="104" t="s">
        <v>3220</v>
      </c>
      <c r="G1" s="104" t="s">
        <v>3221</v>
      </c>
    </row>
    <row r="3" spans="1:11" x14ac:dyDescent="0.25">
      <c r="G3" s="120" t="s">
        <v>8</v>
      </c>
      <c r="H3" s="119" t="s">
        <v>2817</v>
      </c>
    </row>
    <row r="5" spans="1:11" x14ac:dyDescent="0.25">
      <c r="A5" s="111" t="s">
        <v>2778</v>
      </c>
      <c r="B5" s="111" t="s">
        <v>1</v>
      </c>
      <c r="C5" s="112"/>
      <c r="D5" s="112"/>
      <c r="E5" s="113"/>
      <c r="G5" s="111" t="s">
        <v>2778</v>
      </c>
      <c r="H5" s="111" t="s">
        <v>1</v>
      </c>
      <c r="I5" s="112"/>
      <c r="J5" s="112"/>
      <c r="K5" s="113"/>
    </row>
    <row r="6" spans="1:11" x14ac:dyDescent="0.25">
      <c r="A6" s="111" t="s">
        <v>2</v>
      </c>
      <c r="B6" s="114" t="s">
        <v>307</v>
      </c>
      <c r="C6" s="115" t="s">
        <v>26</v>
      </c>
      <c r="D6" s="115" t="s">
        <v>76</v>
      </c>
      <c r="E6" s="122" t="s">
        <v>2779</v>
      </c>
      <c r="G6" s="111" t="s">
        <v>2</v>
      </c>
      <c r="H6" s="114" t="s">
        <v>307</v>
      </c>
      <c r="I6" s="115" t="s">
        <v>26</v>
      </c>
      <c r="J6" s="115" t="s">
        <v>76</v>
      </c>
      <c r="K6" s="122" t="s">
        <v>2779</v>
      </c>
    </row>
    <row r="7" spans="1:11" x14ac:dyDescent="0.25">
      <c r="A7" s="114" t="s">
        <v>77</v>
      </c>
      <c r="B7" s="184">
        <v>24</v>
      </c>
      <c r="C7" s="185">
        <v>0</v>
      </c>
      <c r="D7" s="185">
        <v>148</v>
      </c>
      <c r="E7" s="199">
        <v>172</v>
      </c>
      <c r="G7" s="114" t="s">
        <v>77</v>
      </c>
      <c r="H7" s="184">
        <v>0</v>
      </c>
      <c r="I7" s="185">
        <v>0</v>
      </c>
      <c r="J7" s="185">
        <v>23</v>
      </c>
      <c r="K7" s="199">
        <v>23</v>
      </c>
    </row>
    <row r="8" spans="1:11" x14ac:dyDescent="0.25">
      <c r="A8" s="117" t="s">
        <v>62</v>
      </c>
      <c r="B8" s="187">
        <v>19</v>
      </c>
      <c r="C8" s="188">
        <v>8</v>
      </c>
      <c r="D8" s="188">
        <v>149</v>
      </c>
      <c r="E8" s="200">
        <v>176</v>
      </c>
      <c r="G8" s="117" t="s">
        <v>62</v>
      </c>
      <c r="H8" s="187">
        <v>3</v>
      </c>
      <c r="I8" s="188">
        <v>0</v>
      </c>
      <c r="J8" s="188">
        <v>22</v>
      </c>
      <c r="K8" s="200">
        <v>25</v>
      </c>
    </row>
    <row r="9" spans="1:11" x14ac:dyDescent="0.25">
      <c r="A9" s="117" t="s">
        <v>27</v>
      </c>
      <c r="B9" s="187">
        <v>81</v>
      </c>
      <c r="C9" s="188">
        <v>49</v>
      </c>
      <c r="D9" s="188">
        <v>204</v>
      </c>
      <c r="E9" s="200">
        <v>334</v>
      </c>
      <c r="G9" s="117" t="s">
        <v>27</v>
      </c>
      <c r="H9" s="187">
        <v>14</v>
      </c>
      <c r="I9" s="188">
        <v>6</v>
      </c>
      <c r="J9" s="188">
        <v>23</v>
      </c>
      <c r="K9" s="200">
        <v>43</v>
      </c>
    </row>
    <row r="10" spans="1:11" x14ac:dyDescent="0.25">
      <c r="A10" s="117" t="s">
        <v>36</v>
      </c>
      <c r="B10" s="187">
        <v>95</v>
      </c>
      <c r="C10" s="188">
        <v>96</v>
      </c>
      <c r="D10" s="188">
        <v>470</v>
      </c>
      <c r="E10" s="200">
        <v>661</v>
      </c>
      <c r="G10" s="117" t="s">
        <v>36</v>
      </c>
      <c r="H10" s="187">
        <v>28</v>
      </c>
      <c r="I10" s="188">
        <v>20</v>
      </c>
      <c r="J10" s="188">
        <v>82</v>
      </c>
      <c r="K10" s="200">
        <v>130</v>
      </c>
    </row>
    <row r="11" spans="1:11" x14ac:dyDescent="0.25">
      <c r="A11" s="121" t="s">
        <v>2779</v>
      </c>
      <c r="B11" s="196">
        <v>219</v>
      </c>
      <c r="C11" s="197">
        <v>153</v>
      </c>
      <c r="D11" s="197">
        <v>971</v>
      </c>
      <c r="E11" s="198">
        <v>1343</v>
      </c>
      <c r="G11" s="121" t="s">
        <v>2779</v>
      </c>
      <c r="H11" s="196">
        <v>45</v>
      </c>
      <c r="I11" s="197">
        <v>26</v>
      </c>
      <c r="J11" s="197">
        <v>150</v>
      </c>
      <c r="K11" s="198">
        <v>221</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1B61C-321A-4EA3-92BB-E54A3D29C771}">
  <dimension ref="A1:L112"/>
  <sheetViews>
    <sheetView workbookViewId="0">
      <selection activeCell="P16" sqref="P16"/>
    </sheetView>
  </sheetViews>
  <sheetFormatPr defaultRowHeight="15" x14ac:dyDescent="0.25"/>
  <cols>
    <col min="1" max="1" width="17.28515625" customWidth="1"/>
    <col min="2" max="2" width="17.7109375" customWidth="1"/>
    <col min="6" max="6" width="15.28515625" customWidth="1"/>
    <col min="7" max="7" width="17.28515625" customWidth="1"/>
    <col min="11" max="11" width="15.42578125" customWidth="1"/>
    <col min="12" max="12" width="19.28515625" customWidth="1"/>
  </cols>
  <sheetData>
    <row r="1" spans="1:12" x14ac:dyDescent="0.25">
      <c r="A1" s="104" t="s">
        <v>3222</v>
      </c>
      <c r="F1" s="104" t="s">
        <v>3223</v>
      </c>
      <c r="K1" s="104" t="s">
        <v>3224</v>
      </c>
    </row>
    <row r="3" spans="1:12" x14ac:dyDescent="0.25">
      <c r="A3" s="120" t="s">
        <v>1</v>
      </c>
      <c r="B3" s="119" t="s">
        <v>26</v>
      </c>
      <c r="F3" s="120" t="s">
        <v>1</v>
      </c>
      <c r="G3" s="119" t="s">
        <v>26</v>
      </c>
      <c r="K3" s="120" t="s">
        <v>1</v>
      </c>
      <c r="L3" s="119" t="s">
        <v>26</v>
      </c>
    </row>
    <row r="4" spans="1:12" x14ac:dyDescent="0.25">
      <c r="A4" s="120" t="s">
        <v>8</v>
      </c>
      <c r="B4" s="119" t="s">
        <v>2827</v>
      </c>
      <c r="F4" s="120" t="s">
        <v>8</v>
      </c>
      <c r="G4" s="119" t="s">
        <v>2827</v>
      </c>
      <c r="K4" s="120" t="s">
        <v>8</v>
      </c>
      <c r="L4" s="119" t="s">
        <v>2827</v>
      </c>
    </row>
    <row r="5" spans="1:12" x14ac:dyDescent="0.25">
      <c r="A5" s="120" t="s">
        <v>21</v>
      </c>
      <c r="B5" s="119" t="s">
        <v>2817</v>
      </c>
      <c r="F5" s="120" t="s">
        <v>21</v>
      </c>
      <c r="G5" s="119" t="s">
        <v>2817</v>
      </c>
      <c r="K5" s="120" t="s">
        <v>21</v>
      </c>
      <c r="L5" s="119" t="s">
        <v>2827</v>
      </c>
    </row>
    <row r="7" spans="1:12" x14ac:dyDescent="0.25">
      <c r="A7" s="111" t="s">
        <v>7</v>
      </c>
      <c r="B7" s="122" t="s">
        <v>2778</v>
      </c>
      <c r="F7" s="111" t="s">
        <v>7</v>
      </c>
      <c r="G7" s="122" t="s">
        <v>2778</v>
      </c>
      <c r="K7" s="111" t="s">
        <v>7</v>
      </c>
      <c r="L7" s="122" t="s">
        <v>2778</v>
      </c>
    </row>
    <row r="8" spans="1:12" x14ac:dyDescent="0.25">
      <c r="A8" s="114" t="s">
        <v>784</v>
      </c>
      <c r="B8" s="199">
        <v>27</v>
      </c>
      <c r="F8" s="114" t="s">
        <v>111</v>
      </c>
      <c r="G8" s="199">
        <v>3</v>
      </c>
      <c r="K8" s="114" t="s">
        <v>784</v>
      </c>
      <c r="L8" s="199">
        <v>28</v>
      </c>
    </row>
    <row r="9" spans="1:12" x14ac:dyDescent="0.25">
      <c r="A9" s="117" t="s">
        <v>564</v>
      </c>
      <c r="B9" s="200">
        <v>23</v>
      </c>
      <c r="F9" s="117" t="s">
        <v>114</v>
      </c>
      <c r="G9" s="200">
        <v>2</v>
      </c>
      <c r="K9" s="117" t="s">
        <v>564</v>
      </c>
      <c r="L9" s="200">
        <v>28</v>
      </c>
    </row>
    <row r="10" spans="1:12" x14ac:dyDescent="0.25">
      <c r="A10" s="117" t="s">
        <v>683</v>
      </c>
      <c r="B10" s="200">
        <v>11</v>
      </c>
      <c r="F10" s="117" t="s">
        <v>241</v>
      </c>
      <c r="G10" s="200">
        <v>1</v>
      </c>
      <c r="K10" s="117" t="s">
        <v>43</v>
      </c>
      <c r="L10" s="200">
        <v>16</v>
      </c>
    </row>
    <row r="11" spans="1:12" x14ac:dyDescent="0.25">
      <c r="A11" s="117" t="s">
        <v>756</v>
      </c>
      <c r="B11" s="200">
        <v>8</v>
      </c>
      <c r="F11" s="117" t="s">
        <v>338</v>
      </c>
      <c r="G11" s="200">
        <v>1</v>
      </c>
      <c r="K11" s="117" t="s">
        <v>52</v>
      </c>
      <c r="L11" s="200">
        <v>14</v>
      </c>
    </row>
    <row r="12" spans="1:12" x14ac:dyDescent="0.25">
      <c r="A12" s="117" t="s">
        <v>194</v>
      </c>
      <c r="B12" s="200">
        <v>8</v>
      </c>
      <c r="F12" s="117" t="s">
        <v>248</v>
      </c>
      <c r="G12" s="200">
        <v>1</v>
      </c>
      <c r="K12" s="117" t="s">
        <v>42</v>
      </c>
      <c r="L12" s="200">
        <v>14</v>
      </c>
    </row>
    <row r="13" spans="1:12" x14ac:dyDescent="0.25">
      <c r="A13" s="117" t="s">
        <v>92</v>
      </c>
      <c r="B13" s="200">
        <v>8</v>
      </c>
      <c r="F13" s="117" t="s">
        <v>54</v>
      </c>
      <c r="G13" s="200">
        <v>1</v>
      </c>
      <c r="K13" s="117" t="s">
        <v>194</v>
      </c>
      <c r="L13" s="200">
        <v>13</v>
      </c>
    </row>
    <row r="14" spans="1:12" x14ac:dyDescent="0.25">
      <c r="A14" s="117" t="s">
        <v>42</v>
      </c>
      <c r="B14" s="200">
        <v>7</v>
      </c>
      <c r="F14" s="117" t="s">
        <v>194</v>
      </c>
      <c r="G14" s="200">
        <v>1</v>
      </c>
      <c r="K14" s="117" t="s">
        <v>73</v>
      </c>
      <c r="L14" s="200">
        <v>12</v>
      </c>
    </row>
    <row r="15" spans="1:12" x14ac:dyDescent="0.25">
      <c r="A15" s="117" t="s">
        <v>43</v>
      </c>
      <c r="B15" s="200">
        <v>7</v>
      </c>
      <c r="F15" s="117" t="s">
        <v>821</v>
      </c>
      <c r="G15" s="200">
        <v>1</v>
      </c>
      <c r="K15" s="117" t="s">
        <v>92</v>
      </c>
      <c r="L15" s="200">
        <v>12</v>
      </c>
    </row>
    <row r="16" spans="1:12" x14ac:dyDescent="0.25">
      <c r="A16" s="117" t="s">
        <v>503</v>
      </c>
      <c r="B16" s="200">
        <v>6</v>
      </c>
      <c r="F16" s="117" t="s">
        <v>108</v>
      </c>
      <c r="G16" s="200">
        <v>1</v>
      </c>
      <c r="K16" s="117" t="s">
        <v>59</v>
      </c>
      <c r="L16" s="200">
        <v>12</v>
      </c>
    </row>
    <row r="17" spans="1:12" x14ac:dyDescent="0.25">
      <c r="A17" s="117" t="s">
        <v>67</v>
      </c>
      <c r="B17" s="200">
        <v>6</v>
      </c>
      <c r="F17" s="117" t="s">
        <v>409</v>
      </c>
      <c r="G17" s="200">
        <v>1</v>
      </c>
      <c r="K17" s="117" t="s">
        <v>32</v>
      </c>
      <c r="L17" s="200">
        <v>11</v>
      </c>
    </row>
    <row r="18" spans="1:12" x14ac:dyDescent="0.25">
      <c r="A18" s="117" t="s">
        <v>73</v>
      </c>
      <c r="B18" s="200">
        <v>5</v>
      </c>
      <c r="F18" s="117" t="s">
        <v>296</v>
      </c>
      <c r="G18" s="200">
        <v>1</v>
      </c>
      <c r="K18" s="117" t="s">
        <v>683</v>
      </c>
      <c r="L18" s="200">
        <v>11</v>
      </c>
    </row>
    <row r="19" spans="1:12" x14ac:dyDescent="0.25">
      <c r="A19" s="117" t="s">
        <v>52</v>
      </c>
      <c r="B19" s="200">
        <v>5</v>
      </c>
      <c r="F19" s="117" t="s">
        <v>42</v>
      </c>
      <c r="G19" s="200">
        <v>1</v>
      </c>
      <c r="K19" s="117" t="s">
        <v>67</v>
      </c>
      <c r="L19" s="200">
        <v>11</v>
      </c>
    </row>
    <row r="20" spans="1:12" x14ac:dyDescent="0.25">
      <c r="A20" s="117" t="s">
        <v>111</v>
      </c>
      <c r="B20" s="200">
        <v>5</v>
      </c>
      <c r="F20" s="121" t="s">
        <v>2779</v>
      </c>
      <c r="G20" s="198">
        <v>15</v>
      </c>
      <c r="K20" s="117" t="s">
        <v>48</v>
      </c>
      <c r="L20" s="200">
        <v>10</v>
      </c>
    </row>
    <row r="21" spans="1:12" x14ac:dyDescent="0.25">
      <c r="A21" s="117" t="s">
        <v>153</v>
      </c>
      <c r="B21" s="200">
        <v>4</v>
      </c>
      <c r="K21" s="117" t="s">
        <v>75</v>
      </c>
      <c r="L21" s="200">
        <v>10</v>
      </c>
    </row>
    <row r="22" spans="1:12" x14ac:dyDescent="0.25">
      <c r="A22" s="117" t="s">
        <v>117</v>
      </c>
      <c r="B22" s="200">
        <v>4</v>
      </c>
      <c r="K22" s="117" t="s">
        <v>114</v>
      </c>
      <c r="L22" s="200">
        <v>10</v>
      </c>
    </row>
    <row r="23" spans="1:12" x14ac:dyDescent="0.25">
      <c r="A23" s="117" t="s">
        <v>59</v>
      </c>
      <c r="B23" s="200">
        <v>3</v>
      </c>
      <c r="K23" s="117" t="s">
        <v>756</v>
      </c>
      <c r="L23" s="200">
        <v>9</v>
      </c>
    </row>
    <row r="24" spans="1:12" x14ac:dyDescent="0.25">
      <c r="A24" s="117" t="s">
        <v>107</v>
      </c>
      <c r="B24" s="200">
        <v>3</v>
      </c>
      <c r="K24" s="117" t="s">
        <v>111</v>
      </c>
      <c r="L24" s="200">
        <v>9</v>
      </c>
    </row>
    <row r="25" spans="1:12" x14ac:dyDescent="0.25">
      <c r="A25" s="117" t="s">
        <v>743</v>
      </c>
      <c r="B25" s="200">
        <v>3</v>
      </c>
      <c r="K25" s="117" t="s">
        <v>69</v>
      </c>
      <c r="L25" s="200">
        <v>8</v>
      </c>
    </row>
    <row r="26" spans="1:12" x14ac:dyDescent="0.25">
      <c r="A26" s="117" t="s">
        <v>411</v>
      </c>
      <c r="B26" s="200">
        <v>3</v>
      </c>
      <c r="K26" s="117" t="s">
        <v>54</v>
      </c>
      <c r="L26" s="200">
        <v>8</v>
      </c>
    </row>
    <row r="27" spans="1:12" x14ac:dyDescent="0.25">
      <c r="A27" s="117" t="s">
        <v>653</v>
      </c>
      <c r="B27" s="200">
        <v>3</v>
      </c>
      <c r="K27" s="117" t="s">
        <v>93</v>
      </c>
      <c r="L27" s="200">
        <v>7</v>
      </c>
    </row>
    <row r="28" spans="1:12" x14ac:dyDescent="0.25">
      <c r="A28" s="117" t="s">
        <v>747</v>
      </c>
      <c r="B28" s="200">
        <v>3</v>
      </c>
      <c r="K28" s="117" t="s">
        <v>107</v>
      </c>
      <c r="L28" s="200">
        <v>6</v>
      </c>
    </row>
    <row r="29" spans="1:12" x14ac:dyDescent="0.25">
      <c r="A29" s="117" t="s">
        <v>104</v>
      </c>
      <c r="B29" s="200">
        <v>3</v>
      </c>
      <c r="K29" s="117" t="s">
        <v>438</v>
      </c>
      <c r="L29" s="200">
        <v>6</v>
      </c>
    </row>
    <row r="30" spans="1:12" x14ac:dyDescent="0.25">
      <c r="A30" s="117" t="s">
        <v>345</v>
      </c>
      <c r="B30" s="200">
        <v>3</v>
      </c>
      <c r="K30" s="117" t="s">
        <v>37</v>
      </c>
      <c r="L30" s="200">
        <v>6</v>
      </c>
    </row>
    <row r="31" spans="1:12" x14ac:dyDescent="0.25">
      <c r="A31" s="117" t="s">
        <v>225</v>
      </c>
      <c r="B31" s="200">
        <v>3</v>
      </c>
      <c r="K31" s="117" t="s">
        <v>211</v>
      </c>
      <c r="L31" s="200">
        <v>6</v>
      </c>
    </row>
    <row r="32" spans="1:12" x14ac:dyDescent="0.25">
      <c r="A32" s="117" t="s">
        <v>371</v>
      </c>
      <c r="B32" s="200">
        <v>3</v>
      </c>
      <c r="K32" s="117" t="s">
        <v>153</v>
      </c>
      <c r="L32" s="200">
        <v>6</v>
      </c>
    </row>
    <row r="33" spans="1:12" x14ac:dyDescent="0.25">
      <c r="A33" s="117" t="s">
        <v>142</v>
      </c>
      <c r="B33" s="200">
        <v>3</v>
      </c>
      <c r="K33" s="117" t="s">
        <v>503</v>
      </c>
      <c r="L33" s="200">
        <v>6</v>
      </c>
    </row>
    <row r="34" spans="1:12" x14ac:dyDescent="0.25">
      <c r="A34" s="117" t="s">
        <v>108</v>
      </c>
      <c r="B34" s="200">
        <v>2</v>
      </c>
      <c r="K34" s="117" t="s">
        <v>53</v>
      </c>
      <c r="L34" s="200">
        <v>6</v>
      </c>
    </row>
    <row r="35" spans="1:12" x14ac:dyDescent="0.25">
      <c r="A35" s="117" t="s">
        <v>93</v>
      </c>
      <c r="B35" s="200">
        <v>2</v>
      </c>
      <c r="K35" s="117" t="s">
        <v>225</v>
      </c>
      <c r="L35" s="200">
        <v>5</v>
      </c>
    </row>
    <row r="36" spans="1:12" x14ac:dyDescent="0.25">
      <c r="A36" s="117" t="s">
        <v>298</v>
      </c>
      <c r="B36" s="200">
        <v>2</v>
      </c>
      <c r="K36" s="117" t="s">
        <v>117</v>
      </c>
      <c r="L36" s="200">
        <v>5</v>
      </c>
    </row>
    <row r="37" spans="1:12" x14ac:dyDescent="0.25">
      <c r="A37" s="117" t="s">
        <v>222</v>
      </c>
      <c r="B37" s="200">
        <v>2</v>
      </c>
      <c r="K37" s="117" t="s">
        <v>621</v>
      </c>
      <c r="L37" s="200">
        <v>5</v>
      </c>
    </row>
    <row r="38" spans="1:12" x14ac:dyDescent="0.25">
      <c r="A38" s="117" t="s">
        <v>413</v>
      </c>
      <c r="B38" s="200">
        <v>2</v>
      </c>
      <c r="K38" s="117" t="s">
        <v>743</v>
      </c>
      <c r="L38" s="200">
        <v>5</v>
      </c>
    </row>
    <row r="39" spans="1:12" x14ac:dyDescent="0.25">
      <c r="A39" s="117" t="s">
        <v>752</v>
      </c>
      <c r="B39" s="200">
        <v>2</v>
      </c>
      <c r="K39" s="117" t="s">
        <v>411</v>
      </c>
      <c r="L39" s="200">
        <v>5</v>
      </c>
    </row>
    <row r="40" spans="1:12" x14ac:dyDescent="0.25">
      <c r="A40" s="117" t="s">
        <v>54</v>
      </c>
      <c r="B40" s="200">
        <v>2</v>
      </c>
      <c r="K40" s="117" t="s">
        <v>108</v>
      </c>
      <c r="L40" s="200">
        <v>4</v>
      </c>
    </row>
    <row r="41" spans="1:12" x14ac:dyDescent="0.25">
      <c r="A41" s="117" t="s">
        <v>558</v>
      </c>
      <c r="B41" s="200">
        <v>2</v>
      </c>
      <c r="K41" s="117" t="s">
        <v>104</v>
      </c>
      <c r="L41" s="200">
        <v>4</v>
      </c>
    </row>
    <row r="42" spans="1:12" x14ac:dyDescent="0.25">
      <c r="A42" s="117" t="s">
        <v>417</v>
      </c>
      <c r="B42" s="200">
        <v>2</v>
      </c>
      <c r="K42" s="117" t="s">
        <v>298</v>
      </c>
      <c r="L42" s="200">
        <v>4</v>
      </c>
    </row>
    <row r="43" spans="1:12" x14ac:dyDescent="0.25">
      <c r="A43" s="117" t="s">
        <v>37</v>
      </c>
      <c r="B43" s="200">
        <v>2</v>
      </c>
      <c r="K43" s="117" t="s">
        <v>186</v>
      </c>
      <c r="L43" s="200">
        <v>4</v>
      </c>
    </row>
    <row r="44" spans="1:12" x14ac:dyDescent="0.25">
      <c r="A44" s="117" t="s">
        <v>438</v>
      </c>
      <c r="B44" s="200">
        <v>2</v>
      </c>
      <c r="K44" s="117" t="s">
        <v>241</v>
      </c>
      <c r="L44" s="200">
        <v>4</v>
      </c>
    </row>
    <row r="45" spans="1:12" x14ac:dyDescent="0.25">
      <c r="A45" s="117" t="s">
        <v>178</v>
      </c>
      <c r="B45" s="200">
        <v>2</v>
      </c>
      <c r="K45" s="117" t="s">
        <v>371</v>
      </c>
      <c r="L45" s="200">
        <v>4</v>
      </c>
    </row>
    <row r="46" spans="1:12" x14ac:dyDescent="0.25">
      <c r="A46" s="117" t="s">
        <v>186</v>
      </c>
      <c r="B46" s="200">
        <v>2</v>
      </c>
      <c r="K46" s="117" t="s">
        <v>208</v>
      </c>
      <c r="L46" s="200">
        <v>3</v>
      </c>
    </row>
    <row r="47" spans="1:12" x14ac:dyDescent="0.25">
      <c r="A47" s="117" t="s">
        <v>270</v>
      </c>
      <c r="B47" s="200">
        <v>2</v>
      </c>
      <c r="K47" s="117" t="s">
        <v>653</v>
      </c>
      <c r="L47" s="200">
        <v>3</v>
      </c>
    </row>
    <row r="48" spans="1:12" x14ac:dyDescent="0.25">
      <c r="A48" s="117" t="s">
        <v>114</v>
      </c>
      <c r="B48" s="200">
        <v>2</v>
      </c>
      <c r="K48" s="117" t="s">
        <v>600</v>
      </c>
      <c r="L48" s="200">
        <v>3</v>
      </c>
    </row>
    <row r="49" spans="1:12" x14ac:dyDescent="0.25">
      <c r="A49" s="117" t="s">
        <v>32</v>
      </c>
      <c r="B49" s="200">
        <v>2</v>
      </c>
      <c r="K49" s="117" t="s">
        <v>293</v>
      </c>
      <c r="L49" s="200">
        <v>3</v>
      </c>
    </row>
    <row r="50" spans="1:12" x14ac:dyDescent="0.25">
      <c r="A50" s="117" t="s">
        <v>293</v>
      </c>
      <c r="B50" s="200">
        <v>2</v>
      </c>
      <c r="K50" s="117" t="s">
        <v>130</v>
      </c>
      <c r="L50" s="200">
        <v>3</v>
      </c>
    </row>
    <row r="51" spans="1:12" x14ac:dyDescent="0.25">
      <c r="A51" s="117" t="s">
        <v>53</v>
      </c>
      <c r="B51" s="200">
        <v>1</v>
      </c>
      <c r="K51" s="117" t="s">
        <v>747</v>
      </c>
      <c r="L51" s="200">
        <v>3</v>
      </c>
    </row>
    <row r="52" spans="1:12" x14ac:dyDescent="0.25">
      <c r="A52" s="117" t="s">
        <v>421</v>
      </c>
      <c r="B52" s="200">
        <v>1</v>
      </c>
      <c r="K52" s="117" t="s">
        <v>769</v>
      </c>
      <c r="L52" s="200">
        <v>3</v>
      </c>
    </row>
    <row r="53" spans="1:12" x14ac:dyDescent="0.25">
      <c r="A53" s="117" t="s">
        <v>329</v>
      </c>
      <c r="B53" s="200">
        <v>1</v>
      </c>
      <c r="K53" s="117" t="s">
        <v>222</v>
      </c>
      <c r="L53" s="200">
        <v>3</v>
      </c>
    </row>
    <row r="54" spans="1:12" x14ac:dyDescent="0.25">
      <c r="A54" s="117" t="s">
        <v>69</v>
      </c>
      <c r="B54" s="200">
        <v>1</v>
      </c>
      <c r="K54" s="117" t="s">
        <v>499</v>
      </c>
      <c r="L54" s="200">
        <v>3</v>
      </c>
    </row>
    <row r="55" spans="1:12" x14ac:dyDescent="0.25">
      <c r="A55" s="117" t="s">
        <v>239</v>
      </c>
      <c r="B55" s="200">
        <v>1</v>
      </c>
      <c r="K55" s="117" t="s">
        <v>345</v>
      </c>
      <c r="L55" s="200">
        <v>3</v>
      </c>
    </row>
    <row r="56" spans="1:12" x14ac:dyDescent="0.25">
      <c r="A56" s="117" t="s">
        <v>232</v>
      </c>
      <c r="B56" s="200">
        <v>1</v>
      </c>
      <c r="K56" s="117" t="s">
        <v>239</v>
      </c>
      <c r="L56" s="200">
        <v>3</v>
      </c>
    </row>
    <row r="57" spans="1:12" x14ac:dyDescent="0.25">
      <c r="A57" s="117" t="s">
        <v>432</v>
      </c>
      <c r="B57" s="200">
        <v>1</v>
      </c>
      <c r="K57" s="117" t="s">
        <v>296</v>
      </c>
      <c r="L57" s="200">
        <v>3</v>
      </c>
    </row>
    <row r="58" spans="1:12" x14ac:dyDescent="0.25">
      <c r="A58" s="117" t="s">
        <v>405</v>
      </c>
      <c r="B58" s="200">
        <v>1</v>
      </c>
      <c r="K58" s="117" t="s">
        <v>338</v>
      </c>
      <c r="L58" s="200">
        <v>3</v>
      </c>
    </row>
    <row r="59" spans="1:12" x14ac:dyDescent="0.25">
      <c r="A59" s="117" t="s">
        <v>75</v>
      </c>
      <c r="B59" s="200">
        <v>1</v>
      </c>
      <c r="K59" s="117" t="s">
        <v>752</v>
      </c>
      <c r="L59" s="200">
        <v>3</v>
      </c>
    </row>
    <row r="60" spans="1:12" x14ac:dyDescent="0.25">
      <c r="A60" s="117" t="s">
        <v>789</v>
      </c>
      <c r="B60" s="200">
        <v>1</v>
      </c>
      <c r="K60" s="117" t="s">
        <v>2309</v>
      </c>
      <c r="L60" s="200">
        <v>3</v>
      </c>
    </row>
    <row r="61" spans="1:12" x14ac:dyDescent="0.25">
      <c r="A61" s="117" t="s">
        <v>48</v>
      </c>
      <c r="B61" s="200">
        <v>1</v>
      </c>
      <c r="K61" s="117" t="s">
        <v>145</v>
      </c>
      <c r="L61" s="200">
        <v>3</v>
      </c>
    </row>
    <row r="62" spans="1:12" x14ac:dyDescent="0.25">
      <c r="A62" s="117" t="s">
        <v>469</v>
      </c>
      <c r="B62" s="200">
        <v>1</v>
      </c>
      <c r="K62" s="117" t="s">
        <v>588</v>
      </c>
      <c r="L62" s="200">
        <v>3</v>
      </c>
    </row>
    <row r="63" spans="1:12" x14ac:dyDescent="0.25">
      <c r="A63" s="117" t="s">
        <v>338</v>
      </c>
      <c r="B63" s="200">
        <v>1</v>
      </c>
      <c r="K63" s="117" t="s">
        <v>142</v>
      </c>
      <c r="L63" s="200">
        <v>3</v>
      </c>
    </row>
    <row r="64" spans="1:12" x14ac:dyDescent="0.25">
      <c r="A64" s="117" t="s">
        <v>377</v>
      </c>
      <c r="B64" s="200">
        <v>1</v>
      </c>
      <c r="K64" s="117" t="s">
        <v>248</v>
      </c>
      <c r="L64" s="200">
        <v>3</v>
      </c>
    </row>
    <row r="65" spans="1:12" x14ac:dyDescent="0.25">
      <c r="A65" s="117" t="s">
        <v>369</v>
      </c>
      <c r="B65" s="200">
        <v>1</v>
      </c>
      <c r="K65" s="117" t="s">
        <v>106</v>
      </c>
      <c r="L65" s="200">
        <v>2</v>
      </c>
    </row>
    <row r="66" spans="1:12" x14ac:dyDescent="0.25">
      <c r="A66" s="117" t="s">
        <v>145</v>
      </c>
      <c r="B66" s="200">
        <v>1</v>
      </c>
      <c r="K66" s="117" t="s">
        <v>791</v>
      </c>
      <c r="L66" s="200">
        <v>2</v>
      </c>
    </row>
    <row r="67" spans="1:12" x14ac:dyDescent="0.25">
      <c r="A67" s="117" t="s">
        <v>176</v>
      </c>
      <c r="B67" s="200">
        <v>1</v>
      </c>
      <c r="K67" s="117" t="s">
        <v>421</v>
      </c>
      <c r="L67" s="200">
        <v>2</v>
      </c>
    </row>
    <row r="68" spans="1:12" x14ac:dyDescent="0.25">
      <c r="A68" s="117" t="s">
        <v>836</v>
      </c>
      <c r="B68" s="200">
        <v>1</v>
      </c>
      <c r="K68" s="117" t="s">
        <v>377</v>
      </c>
      <c r="L68" s="200">
        <v>2</v>
      </c>
    </row>
    <row r="69" spans="1:12" x14ac:dyDescent="0.25">
      <c r="A69" s="117" t="s">
        <v>559</v>
      </c>
      <c r="B69" s="200">
        <v>1</v>
      </c>
      <c r="K69" s="117" t="s">
        <v>137</v>
      </c>
      <c r="L69" s="200">
        <v>2</v>
      </c>
    </row>
    <row r="70" spans="1:12" x14ac:dyDescent="0.25">
      <c r="A70" s="117" t="s">
        <v>303</v>
      </c>
      <c r="B70" s="200">
        <v>1</v>
      </c>
      <c r="K70" s="117" t="s">
        <v>232</v>
      </c>
      <c r="L70" s="200">
        <v>2</v>
      </c>
    </row>
    <row r="71" spans="1:12" x14ac:dyDescent="0.25">
      <c r="A71" s="117" t="s">
        <v>137</v>
      </c>
      <c r="B71" s="200">
        <v>1</v>
      </c>
      <c r="K71" s="117" t="s">
        <v>405</v>
      </c>
      <c r="L71" s="200">
        <v>2</v>
      </c>
    </row>
    <row r="72" spans="1:12" x14ac:dyDescent="0.25">
      <c r="A72" s="117" t="s">
        <v>499</v>
      </c>
      <c r="B72" s="200">
        <v>1</v>
      </c>
      <c r="K72" s="117" t="s">
        <v>178</v>
      </c>
      <c r="L72" s="200">
        <v>2</v>
      </c>
    </row>
    <row r="73" spans="1:12" x14ac:dyDescent="0.25">
      <c r="A73" s="117" t="s">
        <v>473</v>
      </c>
      <c r="B73" s="200">
        <v>1</v>
      </c>
      <c r="K73" s="117" t="s">
        <v>409</v>
      </c>
      <c r="L73" s="200">
        <v>2</v>
      </c>
    </row>
    <row r="74" spans="1:12" x14ac:dyDescent="0.25">
      <c r="A74" s="117" t="s">
        <v>2181</v>
      </c>
      <c r="B74" s="200">
        <v>1</v>
      </c>
      <c r="K74" s="117" t="s">
        <v>558</v>
      </c>
      <c r="L74" s="200">
        <v>2</v>
      </c>
    </row>
    <row r="75" spans="1:12" x14ac:dyDescent="0.25">
      <c r="A75" s="117" t="s">
        <v>588</v>
      </c>
      <c r="B75" s="200">
        <v>1</v>
      </c>
      <c r="K75" s="117" t="s">
        <v>413</v>
      </c>
      <c r="L75" s="200">
        <v>2</v>
      </c>
    </row>
    <row r="76" spans="1:12" x14ac:dyDescent="0.25">
      <c r="A76" s="117" t="s">
        <v>382</v>
      </c>
      <c r="B76" s="200">
        <v>1</v>
      </c>
      <c r="K76" s="117" t="s">
        <v>270</v>
      </c>
      <c r="L76" s="200">
        <v>2</v>
      </c>
    </row>
    <row r="77" spans="1:12" x14ac:dyDescent="0.25">
      <c r="A77" s="117" t="s">
        <v>783</v>
      </c>
      <c r="B77" s="200">
        <v>1</v>
      </c>
      <c r="K77" s="117" t="s">
        <v>417</v>
      </c>
      <c r="L77" s="200">
        <v>2</v>
      </c>
    </row>
    <row r="78" spans="1:12" x14ac:dyDescent="0.25">
      <c r="A78" s="117" t="s">
        <v>130</v>
      </c>
      <c r="B78" s="200">
        <v>1</v>
      </c>
      <c r="K78" s="117" t="s">
        <v>96</v>
      </c>
      <c r="L78" s="200">
        <v>2</v>
      </c>
    </row>
    <row r="79" spans="1:12" x14ac:dyDescent="0.25">
      <c r="A79" s="117" t="s">
        <v>168</v>
      </c>
      <c r="B79" s="200">
        <v>1</v>
      </c>
      <c r="K79" s="117" t="s">
        <v>733</v>
      </c>
      <c r="L79" s="200">
        <v>2</v>
      </c>
    </row>
    <row r="80" spans="1:12" x14ac:dyDescent="0.25">
      <c r="A80" s="121" t="s">
        <v>2779</v>
      </c>
      <c r="B80" s="198">
        <v>230</v>
      </c>
      <c r="K80" s="117" t="s">
        <v>369</v>
      </c>
      <c r="L80" s="200">
        <v>1</v>
      </c>
    </row>
    <row r="81" spans="11:12" x14ac:dyDescent="0.25">
      <c r="K81" s="117" t="s">
        <v>282</v>
      </c>
      <c r="L81" s="200">
        <v>1</v>
      </c>
    </row>
    <row r="82" spans="11:12" x14ac:dyDescent="0.25">
      <c r="K82" s="117" t="s">
        <v>783</v>
      </c>
      <c r="L82" s="200">
        <v>1</v>
      </c>
    </row>
    <row r="83" spans="11:12" x14ac:dyDescent="0.25">
      <c r="K83" s="117" t="s">
        <v>2051</v>
      </c>
      <c r="L83" s="200">
        <v>1</v>
      </c>
    </row>
    <row r="84" spans="11:12" x14ac:dyDescent="0.25">
      <c r="K84" s="117" t="s">
        <v>781</v>
      </c>
      <c r="L84" s="200">
        <v>1</v>
      </c>
    </row>
    <row r="85" spans="11:12" x14ac:dyDescent="0.25">
      <c r="K85" s="117" t="s">
        <v>559</v>
      </c>
      <c r="L85" s="200">
        <v>1</v>
      </c>
    </row>
    <row r="86" spans="11:12" x14ac:dyDescent="0.25">
      <c r="K86" s="117" t="s">
        <v>821</v>
      </c>
      <c r="L86" s="200">
        <v>1</v>
      </c>
    </row>
    <row r="87" spans="11:12" x14ac:dyDescent="0.25">
      <c r="K87" s="117" t="s">
        <v>168</v>
      </c>
      <c r="L87" s="200">
        <v>1</v>
      </c>
    </row>
    <row r="88" spans="11:12" x14ac:dyDescent="0.25">
      <c r="K88" s="117" t="s">
        <v>370</v>
      </c>
      <c r="L88" s="200">
        <v>1</v>
      </c>
    </row>
    <row r="89" spans="11:12" x14ac:dyDescent="0.25">
      <c r="K89" s="117" t="s">
        <v>242</v>
      </c>
      <c r="L89" s="200">
        <v>1</v>
      </c>
    </row>
    <row r="90" spans="11:12" x14ac:dyDescent="0.25">
      <c r="K90" s="117" t="s">
        <v>2012</v>
      </c>
      <c r="L90" s="200">
        <v>1</v>
      </c>
    </row>
    <row r="91" spans="11:12" x14ac:dyDescent="0.25">
      <c r="K91" s="117" t="s">
        <v>382</v>
      </c>
      <c r="L91" s="200">
        <v>1</v>
      </c>
    </row>
    <row r="92" spans="11:12" x14ac:dyDescent="0.25">
      <c r="K92" s="117" t="s">
        <v>288</v>
      </c>
      <c r="L92" s="200">
        <v>1</v>
      </c>
    </row>
    <row r="93" spans="11:12" x14ac:dyDescent="0.25">
      <c r="K93" s="117" t="s">
        <v>1167</v>
      </c>
      <c r="L93" s="200">
        <v>1</v>
      </c>
    </row>
    <row r="94" spans="11:12" x14ac:dyDescent="0.25">
      <c r="K94" s="117" t="s">
        <v>432</v>
      </c>
      <c r="L94" s="200">
        <v>1</v>
      </c>
    </row>
    <row r="95" spans="11:12" x14ac:dyDescent="0.25">
      <c r="K95" s="117" t="s">
        <v>473</v>
      </c>
      <c r="L95" s="200">
        <v>1</v>
      </c>
    </row>
    <row r="96" spans="11:12" x14ac:dyDescent="0.25">
      <c r="K96" s="117" t="s">
        <v>176</v>
      </c>
      <c r="L96" s="200">
        <v>1</v>
      </c>
    </row>
    <row r="97" spans="11:12" x14ac:dyDescent="0.25">
      <c r="K97" s="117" t="s">
        <v>429</v>
      </c>
      <c r="L97" s="200">
        <v>1</v>
      </c>
    </row>
    <row r="98" spans="11:12" x14ac:dyDescent="0.25">
      <c r="K98" s="117" t="s">
        <v>789</v>
      </c>
      <c r="L98" s="200">
        <v>1</v>
      </c>
    </row>
    <row r="99" spans="11:12" x14ac:dyDescent="0.25">
      <c r="K99" s="117" t="s">
        <v>303</v>
      </c>
      <c r="L99" s="200">
        <v>1</v>
      </c>
    </row>
    <row r="100" spans="11:12" x14ac:dyDescent="0.25">
      <c r="K100" s="117" t="s">
        <v>469</v>
      </c>
      <c r="L100" s="200">
        <v>1</v>
      </c>
    </row>
    <row r="101" spans="11:12" x14ac:dyDescent="0.25">
      <c r="K101" s="117" t="s">
        <v>2181</v>
      </c>
      <c r="L101" s="200">
        <v>1</v>
      </c>
    </row>
    <row r="102" spans="11:12" x14ac:dyDescent="0.25">
      <c r="K102" s="117" t="s">
        <v>2933</v>
      </c>
      <c r="L102" s="200">
        <v>1</v>
      </c>
    </row>
    <row r="103" spans="11:12" x14ac:dyDescent="0.25">
      <c r="K103" s="117" t="s">
        <v>975</v>
      </c>
      <c r="L103" s="200">
        <v>1</v>
      </c>
    </row>
    <row r="104" spans="11:12" x14ac:dyDescent="0.25">
      <c r="K104" s="117" t="s">
        <v>329</v>
      </c>
      <c r="L104" s="200">
        <v>1</v>
      </c>
    </row>
    <row r="105" spans="11:12" x14ac:dyDescent="0.25">
      <c r="K105" s="117" t="s">
        <v>63</v>
      </c>
      <c r="L105" s="200">
        <v>1</v>
      </c>
    </row>
    <row r="106" spans="11:12" x14ac:dyDescent="0.25">
      <c r="K106" s="117" t="s">
        <v>200</v>
      </c>
      <c r="L106" s="200">
        <v>1</v>
      </c>
    </row>
    <row r="107" spans="11:12" x14ac:dyDescent="0.25">
      <c r="K107" s="117" t="s">
        <v>258</v>
      </c>
      <c r="L107" s="200">
        <v>1</v>
      </c>
    </row>
    <row r="108" spans="11:12" x14ac:dyDescent="0.25">
      <c r="K108" s="117" t="s">
        <v>836</v>
      </c>
      <c r="L108" s="200">
        <v>1</v>
      </c>
    </row>
    <row r="109" spans="11:12" x14ac:dyDescent="0.25">
      <c r="K109" s="117" t="s">
        <v>1306</v>
      </c>
      <c r="L109" s="200">
        <v>1</v>
      </c>
    </row>
    <row r="110" spans="11:12" x14ac:dyDescent="0.25">
      <c r="K110" s="117" t="s">
        <v>477</v>
      </c>
      <c r="L110" s="200">
        <v>1</v>
      </c>
    </row>
    <row r="111" spans="11:12" x14ac:dyDescent="0.25">
      <c r="K111" s="117" t="s">
        <v>1013</v>
      </c>
      <c r="L111" s="200">
        <v>1</v>
      </c>
    </row>
    <row r="112" spans="11:12" x14ac:dyDescent="0.25">
      <c r="K112" s="121" t="s">
        <v>2779</v>
      </c>
      <c r="L112" s="198">
        <v>463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L740"/>
  <sheetViews>
    <sheetView topLeftCell="A586" workbookViewId="0">
      <selection activeCell="S407" sqref="S407"/>
    </sheetView>
  </sheetViews>
  <sheetFormatPr defaultColWidth="14.42578125" defaultRowHeight="15" customHeight="1" x14ac:dyDescent="0.25"/>
  <cols>
    <col min="1" max="1" width="13" customWidth="1"/>
    <col min="2" max="2" width="23.42578125" customWidth="1"/>
    <col min="3" max="3" width="15.42578125" customWidth="1"/>
    <col min="4" max="4" width="16.42578125" customWidth="1"/>
    <col min="5" max="6" width="15" customWidth="1"/>
    <col min="7" max="27" width="8.7109375" customWidth="1"/>
  </cols>
  <sheetData>
    <row r="1" spans="1:5" ht="15" customHeight="1" x14ac:dyDescent="0.25">
      <c r="A1" s="79" t="s">
        <v>3184</v>
      </c>
      <c r="B1" s="79"/>
      <c r="C1" s="79"/>
    </row>
    <row r="2" spans="1:5" ht="15" customHeight="1" x14ac:dyDescent="0.25">
      <c r="A2" s="83"/>
      <c r="B2" s="79"/>
      <c r="C2" s="79"/>
    </row>
    <row r="5" spans="1:5" x14ac:dyDescent="0.25">
      <c r="A5" s="57" t="s">
        <v>2878</v>
      </c>
      <c r="B5" s="120" t="s">
        <v>7</v>
      </c>
      <c r="C5" s="119" t="s">
        <v>211</v>
      </c>
    </row>
    <row r="6" spans="1:5" x14ac:dyDescent="0.25">
      <c r="A6" s="58"/>
    </row>
    <row r="7" spans="1:5" x14ac:dyDescent="0.25">
      <c r="A7" s="58"/>
      <c r="B7" s="111" t="s">
        <v>2778</v>
      </c>
      <c r="C7" s="111" t="s">
        <v>1</v>
      </c>
      <c r="D7" s="112"/>
      <c r="E7" s="113"/>
    </row>
    <row r="8" spans="1:5" x14ac:dyDescent="0.25">
      <c r="A8" s="58"/>
      <c r="B8" s="111" t="s">
        <v>8</v>
      </c>
      <c r="C8" s="114" t="s">
        <v>26</v>
      </c>
      <c r="D8" s="115" t="s">
        <v>76</v>
      </c>
      <c r="E8" s="122" t="s">
        <v>2779</v>
      </c>
    </row>
    <row r="9" spans="1:5" x14ac:dyDescent="0.25">
      <c r="A9" s="58"/>
      <c r="B9" s="114">
        <v>2002</v>
      </c>
      <c r="C9" s="184">
        <v>0</v>
      </c>
      <c r="D9" s="185">
        <v>1</v>
      </c>
      <c r="E9" s="199">
        <v>1</v>
      </c>
    </row>
    <row r="10" spans="1:5" x14ac:dyDescent="0.25">
      <c r="A10" s="58"/>
      <c r="B10" s="117">
        <v>2003</v>
      </c>
      <c r="C10" s="187">
        <v>1</v>
      </c>
      <c r="D10" s="188">
        <v>1</v>
      </c>
      <c r="E10" s="200">
        <v>2</v>
      </c>
    </row>
    <row r="11" spans="1:5" x14ac:dyDescent="0.25">
      <c r="A11" s="58"/>
      <c r="B11" s="117">
        <v>2004</v>
      </c>
      <c r="C11" s="187">
        <v>0</v>
      </c>
      <c r="D11" s="188">
        <v>2</v>
      </c>
      <c r="E11" s="200">
        <v>2</v>
      </c>
    </row>
    <row r="12" spans="1:5" x14ac:dyDescent="0.25">
      <c r="A12" s="58"/>
      <c r="B12" s="117">
        <v>2005</v>
      </c>
      <c r="C12" s="187">
        <v>0</v>
      </c>
      <c r="D12" s="188">
        <v>1</v>
      </c>
      <c r="E12" s="200">
        <v>1</v>
      </c>
    </row>
    <row r="13" spans="1:5" x14ac:dyDescent="0.25">
      <c r="A13" s="58"/>
      <c r="B13" s="117">
        <v>2006</v>
      </c>
      <c r="C13" s="187">
        <v>0</v>
      </c>
      <c r="D13" s="188">
        <v>0</v>
      </c>
      <c r="E13" s="200">
        <v>0</v>
      </c>
    </row>
    <row r="14" spans="1:5" x14ac:dyDescent="0.25">
      <c r="A14" s="58"/>
      <c r="B14" s="117">
        <v>2007</v>
      </c>
      <c r="C14" s="187">
        <v>0</v>
      </c>
      <c r="D14" s="188">
        <v>1</v>
      </c>
      <c r="E14" s="200">
        <v>1</v>
      </c>
    </row>
    <row r="15" spans="1:5" x14ac:dyDescent="0.25">
      <c r="A15" s="58"/>
      <c r="B15" s="117">
        <v>2008</v>
      </c>
      <c r="C15" s="187">
        <v>0</v>
      </c>
      <c r="D15" s="188">
        <v>2</v>
      </c>
      <c r="E15" s="200">
        <v>2</v>
      </c>
    </row>
    <row r="16" spans="1:5" x14ac:dyDescent="0.25">
      <c r="A16" s="58"/>
      <c r="B16" s="117">
        <v>2009</v>
      </c>
      <c r="C16" s="187">
        <v>0</v>
      </c>
      <c r="D16" s="188">
        <v>1</v>
      </c>
      <c r="E16" s="200">
        <v>1</v>
      </c>
    </row>
    <row r="17" spans="2:5" x14ac:dyDescent="0.25">
      <c r="B17" s="117">
        <v>2010</v>
      </c>
      <c r="C17" s="187">
        <v>0</v>
      </c>
      <c r="D17" s="188">
        <v>0</v>
      </c>
      <c r="E17" s="200">
        <v>0</v>
      </c>
    </row>
    <row r="18" spans="2:5" x14ac:dyDescent="0.25">
      <c r="B18" s="117">
        <v>2011</v>
      </c>
      <c r="C18" s="187">
        <v>0</v>
      </c>
      <c r="D18" s="188">
        <v>0</v>
      </c>
      <c r="E18" s="200">
        <v>0</v>
      </c>
    </row>
    <row r="19" spans="2:5" x14ac:dyDescent="0.25">
      <c r="B19" s="117">
        <v>2012</v>
      </c>
      <c r="C19" s="187">
        <v>0</v>
      </c>
      <c r="D19" s="188">
        <v>1</v>
      </c>
      <c r="E19" s="200">
        <v>1</v>
      </c>
    </row>
    <row r="20" spans="2:5" x14ac:dyDescent="0.25">
      <c r="B20" s="117">
        <v>2013</v>
      </c>
      <c r="C20" s="187">
        <v>1</v>
      </c>
      <c r="D20" s="188">
        <v>2</v>
      </c>
      <c r="E20" s="200">
        <v>3</v>
      </c>
    </row>
    <row r="21" spans="2:5" x14ac:dyDescent="0.25">
      <c r="B21" s="117">
        <v>2014</v>
      </c>
      <c r="C21" s="187">
        <v>0</v>
      </c>
      <c r="D21" s="188">
        <v>1</v>
      </c>
      <c r="E21" s="200">
        <v>1</v>
      </c>
    </row>
    <row r="22" spans="2:5" x14ac:dyDescent="0.25">
      <c r="B22" s="117">
        <v>2015</v>
      </c>
      <c r="C22" s="187">
        <v>0</v>
      </c>
      <c r="D22" s="188">
        <v>0</v>
      </c>
      <c r="E22" s="200">
        <v>0</v>
      </c>
    </row>
    <row r="23" spans="2:5" x14ac:dyDescent="0.25">
      <c r="B23" s="117">
        <v>2016</v>
      </c>
      <c r="C23" s="187">
        <v>0</v>
      </c>
      <c r="D23" s="188">
        <v>1</v>
      </c>
      <c r="E23" s="200">
        <v>1</v>
      </c>
    </row>
    <row r="24" spans="2:5" x14ac:dyDescent="0.25">
      <c r="B24" s="117">
        <v>2017</v>
      </c>
      <c r="C24" s="187">
        <v>1</v>
      </c>
      <c r="D24" s="188">
        <v>0</v>
      </c>
      <c r="E24" s="200">
        <v>1</v>
      </c>
    </row>
    <row r="25" spans="2:5" x14ac:dyDescent="0.25">
      <c r="B25" s="117">
        <v>2018</v>
      </c>
      <c r="C25" s="187">
        <v>0</v>
      </c>
      <c r="D25" s="188">
        <v>0</v>
      </c>
      <c r="E25" s="200">
        <v>0</v>
      </c>
    </row>
    <row r="26" spans="2:5" x14ac:dyDescent="0.25">
      <c r="B26" s="117">
        <v>2019</v>
      </c>
      <c r="C26" s="187">
        <v>2</v>
      </c>
      <c r="D26" s="188">
        <v>1</v>
      </c>
      <c r="E26" s="200">
        <v>3</v>
      </c>
    </row>
    <row r="27" spans="2:5" x14ac:dyDescent="0.25">
      <c r="B27" s="117">
        <v>2020</v>
      </c>
      <c r="C27" s="187">
        <v>0</v>
      </c>
      <c r="D27" s="188">
        <v>1</v>
      </c>
      <c r="E27" s="200">
        <v>1</v>
      </c>
    </row>
    <row r="28" spans="2:5" x14ac:dyDescent="0.25">
      <c r="B28" s="117">
        <v>2021</v>
      </c>
      <c r="C28" s="187">
        <v>0</v>
      </c>
      <c r="D28" s="188">
        <v>0</v>
      </c>
      <c r="E28" s="200">
        <v>0</v>
      </c>
    </row>
    <row r="29" spans="2:5" x14ac:dyDescent="0.25">
      <c r="B29" s="117">
        <v>2022</v>
      </c>
      <c r="C29" s="187">
        <v>0</v>
      </c>
      <c r="D29" s="188">
        <v>0</v>
      </c>
      <c r="E29" s="200">
        <v>0</v>
      </c>
    </row>
    <row r="30" spans="2:5" x14ac:dyDescent="0.25">
      <c r="B30" s="117">
        <v>2023</v>
      </c>
      <c r="C30" s="187">
        <v>1</v>
      </c>
      <c r="D30" s="188">
        <v>0</v>
      </c>
      <c r="E30" s="200">
        <v>1</v>
      </c>
    </row>
    <row r="31" spans="2:5" x14ac:dyDescent="0.25">
      <c r="B31" s="117">
        <v>2024</v>
      </c>
      <c r="C31" s="187">
        <v>0</v>
      </c>
      <c r="D31" s="188">
        <v>0</v>
      </c>
      <c r="E31" s="200">
        <v>0</v>
      </c>
    </row>
    <row r="32" spans="2:5" x14ac:dyDescent="0.25">
      <c r="B32" s="121" t="s">
        <v>2779</v>
      </c>
      <c r="C32" s="196">
        <v>6</v>
      </c>
      <c r="D32" s="197">
        <v>16</v>
      </c>
      <c r="E32" s="198">
        <v>22</v>
      </c>
    </row>
    <row r="37" spans="1:6" x14ac:dyDescent="0.25">
      <c r="A37" s="57" t="s">
        <v>438</v>
      </c>
      <c r="B37" s="120" t="s">
        <v>7</v>
      </c>
      <c r="C37" s="119" t="s">
        <v>438</v>
      </c>
    </row>
    <row r="38" spans="1:6" ht="15.75" customHeight="1" x14ac:dyDescent="0.25">
      <c r="A38" s="58"/>
    </row>
    <row r="39" spans="1:6" ht="15.75" customHeight="1" x14ac:dyDescent="0.25">
      <c r="A39" s="58"/>
      <c r="B39" s="111" t="s">
        <v>2778</v>
      </c>
      <c r="C39" s="111" t="s">
        <v>1</v>
      </c>
      <c r="D39" s="112"/>
      <c r="E39" s="112"/>
      <c r="F39" s="113"/>
    </row>
    <row r="40" spans="1:6" x14ac:dyDescent="0.25">
      <c r="A40" s="58"/>
      <c r="B40" s="111" t="s">
        <v>8</v>
      </c>
      <c r="C40" s="114" t="s">
        <v>307</v>
      </c>
      <c r="D40" s="115" t="s">
        <v>26</v>
      </c>
      <c r="E40" s="115" t="s">
        <v>76</v>
      </c>
      <c r="F40" s="122" t="s">
        <v>2779</v>
      </c>
    </row>
    <row r="41" spans="1:6" x14ac:dyDescent="0.25">
      <c r="A41" s="58"/>
      <c r="B41" s="114">
        <v>2002</v>
      </c>
      <c r="C41" s="184">
        <v>0</v>
      </c>
      <c r="D41" s="185">
        <v>0</v>
      </c>
      <c r="E41" s="185">
        <v>0</v>
      </c>
      <c r="F41" s="199">
        <v>0</v>
      </c>
    </row>
    <row r="42" spans="1:6" x14ac:dyDescent="0.25">
      <c r="A42" s="58"/>
      <c r="B42" s="117">
        <v>2003</v>
      </c>
      <c r="C42" s="187">
        <v>0</v>
      </c>
      <c r="D42" s="188">
        <v>0</v>
      </c>
      <c r="E42" s="188">
        <v>1</v>
      </c>
      <c r="F42" s="200">
        <v>1</v>
      </c>
    </row>
    <row r="43" spans="1:6" x14ac:dyDescent="0.25">
      <c r="A43" s="58"/>
      <c r="B43" s="117">
        <v>2004</v>
      </c>
      <c r="C43" s="187">
        <v>0</v>
      </c>
      <c r="D43" s="188">
        <v>0</v>
      </c>
      <c r="E43" s="188">
        <v>2</v>
      </c>
      <c r="F43" s="200">
        <v>2</v>
      </c>
    </row>
    <row r="44" spans="1:6" x14ac:dyDescent="0.25">
      <c r="A44" s="58"/>
      <c r="B44" s="117">
        <v>2005</v>
      </c>
      <c r="C44" s="187">
        <v>0</v>
      </c>
      <c r="D44" s="188">
        <v>0</v>
      </c>
      <c r="E44" s="188">
        <v>0</v>
      </c>
      <c r="F44" s="200">
        <v>0</v>
      </c>
    </row>
    <row r="45" spans="1:6" x14ac:dyDescent="0.25">
      <c r="A45" s="58"/>
      <c r="B45" s="117">
        <v>2006</v>
      </c>
      <c r="C45" s="187">
        <v>0</v>
      </c>
      <c r="D45" s="188">
        <v>0</v>
      </c>
      <c r="E45" s="188">
        <v>1</v>
      </c>
      <c r="F45" s="200">
        <v>1</v>
      </c>
    </row>
    <row r="46" spans="1:6" x14ac:dyDescent="0.25">
      <c r="A46" s="58"/>
      <c r="B46" s="117">
        <v>2007</v>
      </c>
      <c r="C46" s="187">
        <v>0</v>
      </c>
      <c r="D46" s="188">
        <v>0</v>
      </c>
      <c r="E46" s="188">
        <v>2</v>
      </c>
      <c r="F46" s="200">
        <v>2</v>
      </c>
    </row>
    <row r="47" spans="1:6" x14ac:dyDescent="0.25">
      <c r="A47" s="58"/>
      <c r="B47" s="117">
        <v>2008</v>
      </c>
      <c r="C47" s="187">
        <v>0</v>
      </c>
      <c r="D47" s="188">
        <v>0</v>
      </c>
      <c r="E47" s="188">
        <v>1</v>
      </c>
      <c r="F47" s="200">
        <v>1</v>
      </c>
    </row>
    <row r="48" spans="1:6" x14ac:dyDescent="0.25">
      <c r="A48" s="58"/>
      <c r="B48" s="117">
        <v>2009</v>
      </c>
      <c r="C48" s="187">
        <v>0</v>
      </c>
      <c r="D48" s="188">
        <v>0</v>
      </c>
      <c r="E48" s="188">
        <v>1</v>
      </c>
      <c r="F48" s="200">
        <v>1</v>
      </c>
    </row>
    <row r="49" spans="2:6" x14ac:dyDescent="0.25">
      <c r="B49" s="117">
        <v>2010</v>
      </c>
      <c r="C49" s="187">
        <v>0</v>
      </c>
      <c r="D49" s="188">
        <v>0</v>
      </c>
      <c r="E49" s="188">
        <v>3</v>
      </c>
      <c r="F49" s="200">
        <v>3</v>
      </c>
    </row>
    <row r="50" spans="2:6" x14ac:dyDescent="0.25">
      <c r="B50" s="117">
        <v>2011</v>
      </c>
      <c r="C50" s="187">
        <v>0</v>
      </c>
      <c r="D50" s="188">
        <v>0</v>
      </c>
      <c r="E50" s="188">
        <v>1</v>
      </c>
      <c r="F50" s="200">
        <v>1</v>
      </c>
    </row>
    <row r="51" spans="2:6" x14ac:dyDescent="0.25">
      <c r="B51" s="117">
        <v>2012</v>
      </c>
      <c r="C51" s="187">
        <v>0</v>
      </c>
      <c r="D51" s="188">
        <v>0</v>
      </c>
      <c r="E51" s="188">
        <v>1</v>
      </c>
      <c r="F51" s="200">
        <v>1</v>
      </c>
    </row>
    <row r="52" spans="2:6" x14ac:dyDescent="0.25">
      <c r="B52" s="117">
        <v>2013</v>
      </c>
      <c r="C52" s="187">
        <v>0</v>
      </c>
      <c r="D52" s="188">
        <v>1</v>
      </c>
      <c r="E52" s="188">
        <v>3</v>
      </c>
      <c r="F52" s="200">
        <v>4</v>
      </c>
    </row>
    <row r="53" spans="2:6" x14ac:dyDescent="0.25">
      <c r="B53" s="117">
        <v>2014</v>
      </c>
      <c r="C53" s="187">
        <v>0</v>
      </c>
      <c r="D53" s="188">
        <v>0</v>
      </c>
      <c r="E53" s="188">
        <v>2</v>
      </c>
      <c r="F53" s="200">
        <v>2</v>
      </c>
    </row>
    <row r="54" spans="2:6" x14ac:dyDescent="0.25">
      <c r="B54" s="117">
        <v>2015</v>
      </c>
      <c r="C54" s="187">
        <v>0</v>
      </c>
      <c r="D54" s="188">
        <v>0</v>
      </c>
      <c r="E54" s="188">
        <v>3</v>
      </c>
      <c r="F54" s="200">
        <v>3</v>
      </c>
    </row>
    <row r="55" spans="2:6" x14ac:dyDescent="0.25">
      <c r="B55" s="117">
        <v>2016</v>
      </c>
      <c r="C55" s="187">
        <v>0</v>
      </c>
      <c r="D55" s="188">
        <v>2</v>
      </c>
      <c r="E55" s="188">
        <v>2</v>
      </c>
      <c r="F55" s="200">
        <v>4</v>
      </c>
    </row>
    <row r="56" spans="2:6" x14ac:dyDescent="0.25">
      <c r="B56" s="117">
        <v>2017</v>
      </c>
      <c r="C56" s="187">
        <v>1</v>
      </c>
      <c r="D56" s="188">
        <v>1</v>
      </c>
      <c r="E56" s="188">
        <v>3</v>
      </c>
      <c r="F56" s="200">
        <v>5</v>
      </c>
    </row>
    <row r="57" spans="2:6" x14ac:dyDescent="0.25">
      <c r="B57" s="117">
        <v>2018</v>
      </c>
      <c r="C57" s="187">
        <v>1</v>
      </c>
      <c r="D57" s="188">
        <v>0</v>
      </c>
      <c r="E57" s="188">
        <v>3</v>
      </c>
      <c r="F57" s="200">
        <v>4</v>
      </c>
    </row>
    <row r="58" spans="2:6" x14ac:dyDescent="0.25">
      <c r="B58" s="117">
        <v>2019</v>
      </c>
      <c r="C58" s="187">
        <v>1</v>
      </c>
      <c r="D58" s="188">
        <v>1</v>
      </c>
      <c r="E58" s="188">
        <v>4</v>
      </c>
      <c r="F58" s="200">
        <v>6</v>
      </c>
    </row>
    <row r="59" spans="2:6" x14ac:dyDescent="0.25">
      <c r="B59" s="117">
        <v>2020</v>
      </c>
      <c r="C59" s="187">
        <v>1</v>
      </c>
      <c r="D59" s="188">
        <v>0</v>
      </c>
      <c r="E59" s="188">
        <v>1</v>
      </c>
      <c r="F59" s="200">
        <v>2</v>
      </c>
    </row>
    <row r="60" spans="2:6" x14ac:dyDescent="0.25">
      <c r="B60" s="117">
        <v>2021</v>
      </c>
      <c r="C60" s="187">
        <v>0</v>
      </c>
      <c r="D60" s="188">
        <v>0</v>
      </c>
      <c r="E60" s="188">
        <v>0</v>
      </c>
      <c r="F60" s="200">
        <v>0</v>
      </c>
    </row>
    <row r="61" spans="2:6" x14ac:dyDescent="0.25">
      <c r="B61" s="117">
        <v>2022</v>
      </c>
      <c r="C61" s="187">
        <v>0</v>
      </c>
      <c r="D61" s="188">
        <v>0</v>
      </c>
      <c r="E61" s="188">
        <v>3</v>
      </c>
      <c r="F61" s="200">
        <v>3</v>
      </c>
    </row>
    <row r="62" spans="2:6" x14ac:dyDescent="0.25">
      <c r="B62" s="117">
        <v>2023</v>
      </c>
      <c r="C62" s="187">
        <v>2</v>
      </c>
      <c r="D62" s="188">
        <v>0</v>
      </c>
      <c r="E62" s="188">
        <v>3</v>
      </c>
      <c r="F62" s="200">
        <v>5</v>
      </c>
    </row>
    <row r="63" spans="2:6" x14ac:dyDescent="0.25">
      <c r="B63" s="117">
        <v>2024</v>
      </c>
      <c r="C63" s="187">
        <v>1</v>
      </c>
      <c r="D63" s="188">
        <v>1</v>
      </c>
      <c r="E63" s="188">
        <v>4</v>
      </c>
      <c r="F63" s="200">
        <v>6</v>
      </c>
    </row>
    <row r="64" spans="2:6" x14ac:dyDescent="0.25">
      <c r="B64" s="121" t="s">
        <v>2779</v>
      </c>
      <c r="C64" s="196">
        <v>7</v>
      </c>
      <c r="D64" s="197">
        <v>6</v>
      </c>
      <c r="E64" s="197">
        <v>44</v>
      </c>
      <c r="F64" s="198">
        <v>57</v>
      </c>
    </row>
    <row r="68" spans="1:6" x14ac:dyDescent="0.25">
      <c r="A68" s="57" t="s">
        <v>59</v>
      </c>
      <c r="B68" s="120" t="s">
        <v>7</v>
      </c>
      <c r="C68" s="119" t="s">
        <v>59</v>
      </c>
    </row>
    <row r="69" spans="1:6" ht="15.75" customHeight="1" x14ac:dyDescent="0.25">
      <c r="A69" s="58"/>
    </row>
    <row r="70" spans="1:6" ht="15.75" customHeight="1" x14ac:dyDescent="0.25">
      <c r="A70" s="58"/>
      <c r="B70" s="111" t="s">
        <v>2778</v>
      </c>
      <c r="C70" s="111" t="s">
        <v>1</v>
      </c>
      <c r="D70" s="112"/>
      <c r="E70" s="112"/>
      <c r="F70" s="113"/>
    </row>
    <row r="71" spans="1:6" x14ac:dyDescent="0.25">
      <c r="A71" s="58"/>
      <c r="B71" s="111" t="s">
        <v>8</v>
      </c>
      <c r="C71" s="114" t="s">
        <v>307</v>
      </c>
      <c r="D71" s="115" t="s">
        <v>26</v>
      </c>
      <c r="E71" s="115" t="s">
        <v>76</v>
      </c>
      <c r="F71" s="122" t="s">
        <v>2779</v>
      </c>
    </row>
    <row r="72" spans="1:6" x14ac:dyDescent="0.25">
      <c r="A72" s="58"/>
      <c r="B72" s="114">
        <v>2002</v>
      </c>
      <c r="C72" s="184">
        <v>0</v>
      </c>
      <c r="D72" s="185">
        <v>0</v>
      </c>
      <c r="E72" s="185">
        <v>2</v>
      </c>
      <c r="F72" s="199">
        <v>2</v>
      </c>
    </row>
    <row r="73" spans="1:6" x14ac:dyDescent="0.25">
      <c r="A73" s="58"/>
      <c r="B73" s="117">
        <v>2003</v>
      </c>
      <c r="C73" s="187">
        <v>0</v>
      </c>
      <c r="D73" s="188">
        <v>0</v>
      </c>
      <c r="E73" s="188">
        <v>0</v>
      </c>
      <c r="F73" s="200">
        <v>0</v>
      </c>
    </row>
    <row r="74" spans="1:6" x14ac:dyDescent="0.25">
      <c r="A74" s="58"/>
      <c r="B74" s="117">
        <v>2004</v>
      </c>
      <c r="C74" s="187">
        <v>0</v>
      </c>
      <c r="D74" s="188">
        <v>0</v>
      </c>
      <c r="E74" s="188">
        <v>0</v>
      </c>
      <c r="F74" s="200">
        <v>0</v>
      </c>
    </row>
    <row r="75" spans="1:6" x14ac:dyDescent="0.25">
      <c r="A75" s="58"/>
      <c r="B75" s="117">
        <v>2005</v>
      </c>
      <c r="C75" s="187">
        <v>0</v>
      </c>
      <c r="D75" s="188">
        <v>0</v>
      </c>
      <c r="E75" s="188">
        <v>0</v>
      </c>
      <c r="F75" s="200">
        <v>0</v>
      </c>
    </row>
    <row r="76" spans="1:6" x14ac:dyDescent="0.25">
      <c r="A76" s="58"/>
      <c r="B76" s="117">
        <v>2006</v>
      </c>
      <c r="C76" s="187">
        <v>0</v>
      </c>
      <c r="D76" s="188">
        <v>0</v>
      </c>
      <c r="E76" s="188">
        <v>2</v>
      </c>
      <c r="F76" s="200">
        <v>2</v>
      </c>
    </row>
    <row r="77" spans="1:6" x14ac:dyDescent="0.25">
      <c r="A77" s="58"/>
      <c r="B77" s="117">
        <v>2007</v>
      </c>
      <c r="C77" s="187">
        <v>0</v>
      </c>
      <c r="D77" s="188">
        <v>0</v>
      </c>
      <c r="E77" s="188">
        <v>4</v>
      </c>
      <c r="F77" s="200">
        <v>4</v>
      </c>
    </row>
    <row r="78" spans="1:6" x14ac:dyDescent="0.25">
      <c r="A78" s="58"/>
      <c r="B78" s="117">
        <v>2008</v>
      </c>
      <c r="C78" s="187">
        <v>0</v>
      </c>
      <c r="D78" s="188">
        <v>0</v>
      </c>
      <c r="E78" s="188">
        <v>2</v>
      </c>
      <c r="F78" s="200">
        <v>2</v>
      </c>
    </row>
    <row r="79" spans="1:6" x14ac:dyDescent="0.25">
      <c r="A79" s="58"/>
      <c r="B79" s="117">
        <v>2009</v>
      </c>
      <c r="C79" s="187">
        <v>0</v>
      </c>
      <c r="D79" s="188">
        <v>0</v>
      </c>
      <c r="E79" s="188">
        <v>2</v>
      </c>
      <c r="F79" s="200">
        <v>2</v>
      </c>
    </row>
    <row r="80" spans="1:6" x14ac:dyDescent="0.25">
      <c r="A80" s="58"/>
      <c r="B80" s="117">
        <v>2010</v>
      </c>
      <c r="C80" s="187">
        <v>0</v>
      </c>
      <c r="D80" s="188">
        <v>1</v>
      </c>
      <c r="E80" s="188">
        <v>3</v>
      </c>
      <c r="F80" s="200">
        <v>4</v>
      </c>
    </row>
    <row r="81" spans="2:6" x14ac:dyDescent="0.25">
      <c r="B81" s="117">
        <v>2011</v>
      </c>
      <c r="C81" s="187">
        <v>1</v>
      </c>
      <c r="D81" s="188">
        <v>0</v>
      </c>
      <c r="E81" s="188">
        <v>3</v>
      </c>
      <c r="F81" s="200">
        <v>4</v>
      </c>
    </row>
    <row r="82" spans="2:6" x14ac:dyDescent="0.25">
      <c r="B82" s="117">
        <v>2012</v>
      </c>
      <c r="C82" s="187">
        <v>1</v>
      </c>
      <c r="D82" s="188">
        <v>0</v>
      </c>
      <c r="E82" s="188">
        <v>3</v>
      </c>
      <c r="F82" s="200">
        <v>4</v>
      </c>
    </row>
    <row r="83" spans="2:6" x14ac:dyDescent="0.25">
      <c r="B83" s="117">
        <v>2013</v>
      </c>
      <c r="C83" s="187">
        <v>1</v>
      </c>
      <c r="D83" s="188">
        <v>2</v>
      </c>
      <c r="E83" s="188">
        <v>2</v>
      </c>
      <c r="F83" s="200">
        <v>5</v>
      </c>
    </row>
    <row r="84" spans="2:6" x14ac:dyDescent="0.25">
      <c r="B84" s="117">
        <v>2014</v>
      </c>
      <c r="C84" s="187">
        <v>3</v>
      </c>
      <c r="D84" s="188">
        <v>0</v>
      </c>
      <c r="E84" s="188">
        <v>4</v>
      </c>
      <c r="F84" s="200">
        <v>7</v>
      </c>
    </row>
    <row r="85" spans="2:6" x14ac:dyDescent="0.25">
      <c r="B85" s="117">
        <v>2015</v>
      </c>
      <c r="C85" s="187">
        <v>0</v>
      </c>
      <c r="D85" s="188">
        <v>0</v>
      </c>
      <c r="E85" s="188">
        <v>3</v>
      </c>
      <c r="F85" s="200">
        <v>3</v>
      </c>
    </row>
    <row r="86" spans="2:6" x14ac:dyDescent="0.25">
      <c r="B86" s="117">
        <v>2016</v>
      </c>
      <c r="C86" s="187">
        <v>2</v>
      </c>
      <c r="D86" s="188">
        <v>2</v>
      </c>
      <c r="E86" s="188">
        <v>1</v>
      </c>
      <c r="F86" s="200">
        <v>5</v>
      </c>
    </row>
    <row r="87" spans="2:6" x14ac:dyDescent="0.25">
      <c r="B87" s="117">
        <v>2017</v>
      </c>
      <c r="C87" s="187">
        <v>0</v>
      </c>
      <c r="D87" s="188">
        <v>1</v>
      </c>
      <c r="E87" s="188">
        <v>1</v>
      </c>
      <c r="F87" s="200">
        <v>2</v>
      </c>
    </row>
    <row r="88" spans="2:6" x14ac:dyDescent="0.25">
      <c r="B88" s="117">
        <v>2018</v>
      </c>
      <c r="C88" s="187">
        <v>1</v>
      </c>
      <c r="D88" s="188">
        <v>1</v>
      </c>
      <c r="E88" s="188">
        <v>0</v>
      </c>
      <c r="F88" s="200">
        <v>2</v>
      </c>
    </row>
    <row r="89" spans="2:6" x14ac:dyDescent="0.25">
      <c r="B89" s="117">
        <v>2019</v>
      </c>
      <c r="C89" s="187">
        <v>0</v>
      </c>
      <c r="D89" s="188">
        <v>0</v>
      </c>
      <c r="E89" s="188">
        <v>2</v>
      </c>
      <c r="F89" s="200">
        <v>2</v>
      </c>
    </row>
    <row r="90" spans="2:6" x14ac:dyDescent="0.25">
      <c r="B90" s="117">
        <v>2020</v>
      </c>
      <c r="C90" s="187">
        <v>0</v>
      </c>
      <c r="D90" s="188">
        <v>0</v>
      </c>
      <c r="E90" s="188">
        <v>2</v>
      </c>
      <c r="F90" s="200">
        <v>2</v>
      </c>
    </row>
    <row r="91" spans="2:6" x14ac:dyDescent="0.25">
      <c r="B91" s="117">
        <v>2021</v>
      </c>
      <c r="C91" s="187">
        <v>1</v>
      </c>
      <c r="D91" s="188">
        <v>0</v>
      </c>
      <c r="E91" s="188">
        <v>1</v>
      </c>
      <c r="F91" s="200">
        <v>2</v>
      </c>
    </row>
    <row r="92" spans="2:6" x14ac:dyDescent="0.25">
      <c r="B92" s="117">
        <v>2022</v>
      </c>
      <c r="C92" s="187">
        <v>0</v>
      </c>
      <c r="D92" s="188">
        <v>1</v>
      </c>
      <c r="E92" s="188">
        <v>1</v>
      </c>
      <c r="F92" s="200">
        <v>2</v>
      </c>
    </row>
    <row r="93" spans="2:6" x14ac:dyDescent="0.25">
      <c r="B93" s="117">
        <v>2023</v>
      </c>
      <c r="C93" s="187">
        <v>1</v>
      </c>
      <c r="D93" s="188">
        <v>1</v>
      </c>
      <c r="E93" s="188">
        <v>1</v>
      </c>
      <c r="F93" s="200">
        <v>3</v>
      </c>
    </row>
    <row r="94" spans="2:6" x14ac:dyDescent="0.25">
      <c r="B94" s="117">
        <v>2024</v>
      </c>
      <c r="C94" s="187">
        <v>1</v>
      </c>
      <c r="D94" s="188">
        <v>2</v>
      </c>
      <c r="E94" s="188">
        <v>1</v>
      </c>
      <c r="F94" s="200">
        <v>4</v>
      </c>
    </row>
    <row r="95" spans="2:6" x14ac:dyDescent="0.25">
      <c r="B95" s="121" t="s">
        <v>2779</v>
      </c>
      <c r="C95" s="196">
        <v>12</v>
      </c>
      <c r="D95" s="197">
        <v>11</v>
      </c>
      <c r="E95" s="197">
        <v>40</v>
      </c>
      <c r="F95" s="198">
        <v>63</v>
      </c>
    </row>
    <row r="98" spans="1:6" x14ac:dyDescent="0.25">
      <c r="A98" s="57" t="s">
        <v>242</v>
      </c>
      <c r="B98" s="120" t="s">
        <v>7</v>
      </c>
      <c r="C98" s="119" t="s">
        <v>242</v>
      </c>
    </row>
    <row r="99" spans="1:6" ht="15.75" customHeight="1" x14ac:dyDescent="0.25">
      <c r="A99" s="58"/>
    </row>
    <row r="100" spans="1:6" ht="15.75" customHeight="1" x14ac:dyDescent="0.25">
      <c r="A100" s="58"/>
      <c r="B100" s="111" t="s">
        <v>2778</v>
      </c>
      <c r="C100" s="111" t="s">
        <v>1</v>
      </c>
      <c r="D100" s="112"/>
      <c r="E100" s="112"/>
      <c r="F100" s="113"/>
    </row>
    <row r="101" spans="1:6" x14ac:dyDescent="0.25">
      <c r="A101" s="58"/>
      <c r="B101" s="111" t="s">
        <v>8</v>
      </c>
      <c r="C101" s="114" t="s">
        <v>307</v>
      </c>
      <c r="D101" s="115" t="s">
        <v>26</v>
      </c>
      <c r="E101" s="115" t="s">
        <v>76</v>
      </c>
      <c r="F101" s="122" t="s">
        <v>2779</v>
      </c>
    </row>
    <row r="102" spans="1:6" x14ac:dyDescent="0.25">
      <c r="A102" s="58"/>
      <c r="B102" s="114">
        <v>2002</v>
      </c>
      <c r="C102" s="184">
        <v>0</v>
      </c>
      <c r="D102" s="185">
        <v>0</v>
      </c>
      <c r="E102" s="185">
        <v>2</v>
      </c>
      <c r="F102" s="199">
        <v>2</v>
      </c>
    </row>
    <row r="103" spans="1:6" x14ac:dyDescent="0.25">
      <c r="A103" s="58"/>
      <c r="B103" s="117">
        <v>2003</v>
      </c>
      <c r="C103" s="187">
        <v>0</v>
      </c>
      <c r="D103" s="188">
        <v>0</v>
      </c>
      <c r="E103" s="188">
        <v>0</v>
      </c>
      <c r="F103" s="200">
        <v>0</v>
      </c>
    </row>
    <row r="104" spans="1:6" x14ac:dyDescent="0.25">
      <c r="A104" s="58"/>
      <c r="B104" s="117">
        <v>2004</v>
      </c>
      <c r="C104" s="187">
        <v>0</v>
      </c>
      <c r="D104" s="188">
        <v>0</v>
      </c>
      <c r="E104" s="188">
        <v>2</v>
      </c>
      <c r="F104" s="200">
        <v>2</v>
      </c>
    </row>
    <row r="105" spans="1:6" x14ac:dyDescent="0.25">
      <c r="A105" s="58"/>
      <c r="B105" s="117">
        <v>2005</v>
      </c>
      <c r="C105" s="187">
        <v>0</v>
      </c>
      <c r="D105" s="188">
        <v>0</v>
      </c>
      <c r="E105" s="188">
        <v>0</v>
      </c>
      <c r="F105" s="200">
        <v>0</v>
      </c>
    </row>
    <row r="106" spans="1:6" x14ac:dyDescent="0.25">
      <c r="A106" s="58"/>
      <c r="B106" s="117">
        <v>2006</v>
      </c>
      <c r="C106" s="187">
        <v>0</v>
      </c>
      <c r="D106" s="188">
        <v>0</v>
      </c>
      <c r="E106" s="188">
        <v>1</v>
      </c>
      <c r="F106" s="200">
        <v>1</v>
      </c>
    </row>
    <row r="107" spans="1:6" x14ac:dyDescent="0.25">
      <c r="A107" s="58"/>
      <c r="B107" s="117">
        <v>2007</v>
      </c>
      <c r="C107" s="187">
        <v>0</v>
      </c>
      <c r="D107" s="188">
        <v>0</v>
      </c>
      <c r="E107" s="188">
        <v>3</v>
      </c>
      <c r="F107" s="200">
        <v>3</v>
      </c>
    </row>
    <row r="108" spans="1:6" x14ac:dyDescent="0.25">
      <c r="A108" s="58"/>
      <c r="B108" s="117">
        <v>2008</v>
      </c>
      <c r="C108" s="187">
        <v>0</v>
      </c>
      <c r="D108" s="188">
        <v>0</v>
      </c>
      <c r="E108" s="188">
        <v>1</v>
      </c>
      <c r="F108" s="200">
        <v>1</v>
      </c>
    </row>
    <row r="109" spans="1:6" x14ac:dyDescent="0.25">
      <c r="A109" s="58"/>
      <c r="B109" s="117">
        <v>2009</v>
      </c>
      <c r="C109" s="187">
        <v>0</v>
      </c>
      <c r="D109" s="188">
        <v>0</v>
      </c>
      <c r="E109" s="188">
        <v>1</v>
      </c>
      <c r="F109" s="200">
        <v>1</v>
      </c>
    </row>
    <row r="110" spans="1:6" x14ac:dyDescent="0.25">
      <c r="A110" s="58"/>
      <c r="B110" s="117">
        <v>2010</v>
      </c>
      <c r="C110" s="187">
        <v>0</v>
      </c>
      <c r="D110" s="188">
        <v>0</v>
      </c>
      <c r="E110" s="188">
        <v>2</v>
      </c>
      <c r="F110" s="200">
        <v>2</v>
      </c>
    </row>
    <row r="111" spans="1:6" x14ac:dyDescent="0.25">
      <c r="A111" s="58"/>
      <c r="B111" s="117">
        <v>2011</v>
      </c>
      <c r="C111" s="187">
        <v>0</v>
      </c>
      <c r="D111" s="188">
        <v>0</v>
      </c>
      <c r="E111" s="188">
        <v>3</v>
      </c>
      <c r="F111" s="200">
        <v>3</v>
      </c>
    </row>
    <row r="112" spans="1:6" x14ac:dyDescent="0.25">
      <c r="A112" s="58"/>
      <c r="B112" s="117">
        <v>2012</v>
      </c>
      <c r="C112" s="187">
        <v>0</v>
      </c>
      <c r="D112" s="188">
        <v>0</v>
      </c>
      <c r="E112" s="188">
        <v>3</v>
      </c>
      <c r="F112" s="200">
        <v>3</v>
      </c>
    </row>
    <row r="113" spans="2:6" x14ac:dyDescent="0.25">
      <c r="B113" s="117">
        <v>2013</v>
      </c>
      <c r="C113" s="187">
        <v>0</v>
      </c>
      <c r="D113" s="188">
        <v>0</v>
      </c>
      <c r="E113" s="188">
        <v>1</v>
      </c>
      <c r="F113" s="200">
        <v>1</v>
      </c>
    </row>
    <row r="114" spans="2:6" x14ac:dyDescent="0.25">
      <c r="B114" s="117">
        <v>2014</v>
      </c>
      <c r="C114" s="187">
        <v>0</v>
      </c>
      <c r="D114" s="188">
        <v>0</v>
      </c>
      <c r="E114" s="188">
        <v>3</v>
      </c>
      <c r="F114" s="200">
        <v>3</v>
      </c>
    </row>
    <row r="115" spans="2:6" x14ac:dyDescent="0.25">
      <c r="B115" s="117">
        <v>2015</v>
      </c>
      <c r="C115" s="187">
        <v>0</v>
      </c>
      <c r="D115" s="188">
        <v>0</v>
      </c>
      <c r="E115" s="188">
        <v>3</v>
      </c>
      <c r="F115" s="200">
        <v>3</v>
      </c>
    </row>
    <row r="116" spans="2:6" x14ac:dyDescent="0.25">
      <c r="B116" s="117">
        <v>2016</v>
      </c>
      <c r="C116" s="187">
        <v>0</v>
      </c>
      <c r="D116" s="188">
        <v>0</v>
      </c>
      <c r="E116" s="188">
        <v>2</v>
      </c>
      <c r="F116" s="200">
        <v>2</v>
      </c>
    </row>
    <row r="117" spans="2:6" x14ac:dyDescent="0.25">
      <c r="B117" s="117">
        <v>2017</v>
      </c>
      <c r="C117" s="187">
        <v>0</v>
      </c>
      <c r="D117" s="188">
        <v>1</v>
      </c>
      <c r="E117" s="188">
        <v>1</v>
      </c>
      <c r="F117" s="200">
        <v>2</v>
      </c>
    </row>
    <row r="118" spans="2:6" x14ac:dyDescent="0.25">
      <c r="B118" s="117">
        <v>2018</v>
      </c>
      <c r="C118" s="187">
        <v>1</v>
      </c>
      <c r="D118" s="188">
        <v>0</v>
      </c>
      <c r="E118" s="188">
        <v>2</v>
      </c>
      <c r="F118" s="200">
        <v>3</v>
      </c>
    </row>
    <row r="119" spans="2:6" x14ac:dyDescent="0.25">
      <c r="B119" s="117">
        <v>2019</v>
      </c>
      <c r="C119" s="187">
        <v>2</v>
      </c>
      <c r="D119" s="188">
        <v>0</v>
      </c>
      <c r="E119" s="188">
        <v>2</v>
      </c>
      <c r="F119" s="200">
        <v>4</v>
      </c>
    </row>
    <row r="120" spans="2:6" x14ac:dyDescent="0.25">
      <c r="B120" s="117">
        <v>2020</v>
      </c>
      <c r="C120" s="187">
        <v>0</v>
      </c>
      <c r="D120" s="188">
        <v>0</v>
      </c>
      <c r="E120" s="188">
        <v>1</v>
      </c>
      <c r="F120" s="200">
        <v>1</v>
      </c>
    </row>
    <row r="121" spans="2:6" x14ac:dyDescent="0.25">
      <c r="B121" s="117">
        <v>2021</v>
      </c>
      <c r="C121" s="187">
        <v>0</v>
      </c>
      <c r="D121" s="188">
        <v>0</v>
      </c>
      <c r="E121" s="188">
        <v>0</v>
      </c>
      <c r="F121" s="200">
        <v>0</v>
      </c>
    </row>
    <row r="122" spans="2:6" x14ac:dyDescent="0.25">
      <c r="B122" s="117">
        <v>2022</v>
      </c>
      <c r="C122" s="187">
        <v>1</v>
      </c>
      <c r="D122" s="188">
        <v>0</v>
      </c>
      <c r="E122" s="188">
        <v>1</v>
      </c>
      <c r="F122" s="200">
        <v>2</v>
      </c>
    </row>
    <row r="123" spans="2:6" x14ac:dyDescent="0.25">
      <c r="B123" s="117">
        <v>2023</v>
      </c>
      <c r="C123" s="187">
        <v>1</v>
      </c>
      <c r="D123" s="188">
        <v>0</v>
      </c>
      <c r="E123" s="188">
        <v>4</v>
      </c>
      <c r="F123" s="200">
        <v>5</v>
      </c>
    </row>
    <row r="124" spans="2:6" x14ac:dyDescent="0.25">
      <c r="B124" s="117">
        <v>2024</v>
      </c>
      <c r="C124" s="187">
        <v>2</v>
      </c>
      <c r="D124" s="188">
        <v>0</v>
      </c>
      <c r="E124" s="188">
        <v>3</v>
      </c>
      <c r="F124" s="200">
        <v>5</v>
      </c>
    </row>
    <row r="125" spans="2:6" x14ac:dyDescent="0.25">
      <c r="B125" s="121" t="s">
        <v>2779</v>
      </c>
      <c r="C125" s="196">
        <v>7</v>
      </c>
      <c r="D125" s="197">
        <v>1</v>
      </c>
      <c r="E125" s="197">
        <v>41</v>
      </c>
      <c r="F125" s="198">
        <v>49</v>
      </c>
    </row>
    <row r="129" spans="1:6" x14ac:dyDescent="0.25">
      <c r="A129" s="57" t="s">
        <v>67</v>
      </c>
      <c r="B129" s="120" t="s">
        <v>7</v>
      </c>
      <c r="C129" s="119" t="s">
        <v>67</v>
      </c>
    </row>
    <row r="130" spans="1:6" ht="15.75" customHeight="1" x14ac:dyDescent="0.25">
      <c r="A130" s="58"/>
    </row>
    <row r="131" spans="1:6" ht="15.75" customHeight="1" x14ac:dyDescent="0.25">
      <c r="A131" s="58"/>
      <c r="B131" s="111" t="s">
        <v>2778</v>
      </c>
      <c r="C131" s="111" t="s">
        <v>1</v>
      </c>
      <c r="D131" s="112"/>
      <c r="E131" s="112"/>
      <c r="F131" s="113"/>
    </row>
    <row r="132" spans="1:6" x14ac:dyDescent="0.25">
      <c r="A132" s="58"/>
      <c r="B132" s="111" t="s">
        <v>8</v>
      </c>
      <c r="C132" s="114" t="s">
        <v>307</v>
      </c>
      <c r="D132" s="115" t="s">
        <v>26</v>
      </c>
      <c r="E132" s="115" t="s">
        <v>76</v>
      </c>
      <c r="F132" s="122" t="s">
        <v>2779</v>
      </c>
    </row>
    <row r="133" spans="1:6" x14ac:dyDescent="0.25">
      <c r="A133" s="58"/>
      <c r="B133" s="114">
        <v>2002</v>
      </c>
      <c r="C133" s="184">
        <v>0</v>
      </c>
      <c r="D133" s="185">
        <v>0</v>
      </c>
      <c r="E133" s="185">
        <v>0</v>
      </c>
      <c r="F133" s="199">
        <v>0</v>
      </c>
    </row>
    <row r="134" spans="1:6" x14ac:dyDescent="0.25">
      <c r="A134" s="58"/>
      <c r="B134" s="117">
        <v>2003</v>
      </c>
      <c r="C134" s="187">
        <v>0</v>
      </c>
      <c r="D134" s="188">
        <v>0</v>
      </c>
      <c r="E134" s="188">
        <v>1</v>
      </c>
      <c r="F134" s="200">
        <v>1</v>
      </c>
    </row>
    <row r="135" spans="1:6" x14ac:dyDescent="0.25">
      <c r="A135" s="58"/>
      <c r="B135" s="117">
        <v>2004</v>
      </c>
      <c r="C135" s="187">
        <v>0</v>
      </c>
      <c r="D135" s="188">
        <v>0</v>
      </c>
      <c r="E135" s="188">
        <v>0</v>
      </c>
      <c r="F135" s="200">
        <v>0</v>
      </c>
    </row>
    <row r="136" spans="1:6" x14ac:dyDescent="0.25">
      <c r="A136" s="58"/>
      <c r="B136" s="117">
        <v>2005</v>
      </c>
      <c r="C136" s="187">
        <v>0</v>
      </c>
      <c r="D136" s="188">
        <v>0</v>
      </c>
      <c r="E136" s="188">
        <v>1</v>
      </c>
      <c r="F136" s="200">
        <v>1</v>
      </c>
    </row>
    <row r="137" spans="1:6" x14ac:dyDescent="0.25">
      <c r="A137" s="58"/>
      <c r="B137" s="117">
        <v>2006</v>
      </c>
      <c r="C137" s="187">
        <v>0</v>
      </c>
      <c r="D137" s="188">
        <v>0</v>
      </c>
      <c r="E137" s="188">
        <v>3</v>
      </c>
      <c r="F137" s="200">
        <v>3</v>
      </c>
    </row>
    <row r="138" spans="1:6" x14ac:dyDescent="0.25">
      <c r="A138" s="58"/>
      <c r="B138" s="117">
        <v>2007</v>
      </c>
      <c r="C138" s="187">
        <v>0</v>
      </c>
      <c r="D138" s="188">
        <v>0</v>
      </c>
      <c r="E138" s="188">
        <v>1</v>
      </c>
      <c r="F138" s="200">
        <v>1</v>
      </c>
    </row>
    <row r="139" spans="1:6" x14ac:dyDescent="0.25">
      <c r="A139" s="58"/>
      <c r="B139" s="117">
        <v>2008</v>
      </c>
      <c r="C139" s="187">
        <v>0</v>
      </c>
      <c r="D139" s="188">
        <v>0</v>
      </c>
      <c r="E139" s="188">
        <v>1</v>
      </c>
      <c r="F139" s="200">
        <v>1</v>
      </c>
    </row>
    <row r="140" spans="1:6" x14ac:dyDescent="0.25">
      <c r="A140" s="58"/>
      <c r="B140" s="117">
        <v>2009</v>
      </c>
      <c r="C140" s="187">
        <v>0</v>
      </c>
      <c r="D140" s="188">
        <v>1</v>
      </c>
      <c r="E140" s="188">
        <v>3</v>
      </c>
      <c r="F140" s="200">
        <v>4</v>
      </c>
    </row>
    <row r="141" spans="1:6" x14ac:dyDescent="0.25">
      <c r="A141" s="58"/>
      <c r="B141" s="117">
        <v>2010</v>
      </c>
      <c r="C141" s="187">
        <v>0</v>
      </c>
      <c r="D141" s="188">
        <v>0</v>
      </c>
      <c r="E141" s="188">
        <v>2</v>
      </c>
      <c r="F141" s="200">
        <v>2</v>
      </c>
    </row>
    <row r="142" spans="1:6" x14ac:dyDescent="0.25">
      <c r="A142" s="58"/>
      <c r="B142" s="117">
        <v>2011</v>
      </c>
      <c r="C142" s="187">
        <v>0</v>
      </c>
      <c r="D142" s="188">
        <v>0</v>
      </c>
      <c r="E142" s="188">
        <v>1</v>
      </c>
      <c r="F142" s="200">
        <v>1</v>
      </c>
    </row>
    <row r="143" spans="1:6" x14ac:dyDescent="0.25">
      <c r="A143" s="58"/>
      <c r="B143" s="117">
        <v>2012</v>
      </c>
      <c r="C143" s="187">
        <v>0</v>
      </c>
      <c r="D143" s="188">
        <v>0</v>
      </c>
      <c r="E143" s="188">
        <v>1</v>
      </c>
      <c r="F143" s="200">
        <v>1</v>
      </c>
    </row>
    <row r="144" spans="1:6" x14ac:dyDescent="0.25">
      <c r="A144" s="58"/>
      <c r="B144" s="117">
        <v>2013</v>
      </c>
      <c r="C144" s="187">
        <v>0</v>
      </c>
      <c r="D144" s="188">
        <v>1</v>
      </c>
      <c r="E144" s="188">
        <v>2</v>
      </c>
      <c r="F144" s="200">
        <v>3</v>
      </c>
    </row>
    <row r="145" spans="1:6" x14ac:dyDescent="0.25">
      <c r="A145" s="58"/>
      <c r="B145" s="117">
        <v>2014</v>
      </c>
      <c r="C145" s="187">
        <v>1</v>
      </c>
      <c r="D145" s="188">
        <v>0</v>
      </c>
      <c r="E145" s="188">
        <v>1</v>
      </c>
      <c r="F145" s="200">
        <v>2</v>
      </c>
    </row>
    <row r="146" spans="1:6" x14ac:dyDescent="0.25">
      <c r="A146" s="58"/>
      <c r="B146" s="117">
        <v>2015</v>
      </c>
      <c r="C146" s="187">
        <v>1</v>
      </c>
      <c r="D146" s="188">
        <v>1</v>
      </c>
      <c r="E146" s="188">
        <v>4</v>
      </c>
      <c r="F146" s="200">
        <v>6</v>
      </c>
    </row>
    <row r="147" spans="1:6" x14ac:dyDescent="0.25">
      <c r="A147" s="58"/>
      <c r="B147" s="117">
        <v>2016</v>
      </c>
      <c r="C147" s="187">
        <v>1</v>
      </c>
      <c r="D147" s="188">
        <v>1</v>
      </c>
      <c r="E147" s="188">
        <v>3</v>
      </c>
      <c r="F147" s="200">
        <v>5</v>
      </c>
    </row>
    <row r="148" spans="1:6" x14ac:dyDescent="0.25">
      <c r="A148" s="58"/>
      <c r="B148" s="117">
        <v>2017</v>
      </c>
      <c r="C148" s="187">
        <v>0</v>
      </c>
      <c r="D148" s="188">
        <v>1</v>
      </c>
      <c r="E148" s="188">
        <v>3</v>
      </c>
      <c r="F148" s="200">
        <v>4</v>
      </c>
    </row>
    <row r="149" spans="1:6" x14ac:dyDescent="0.25">
      <c r="A149" s="58"/>
      <c r="B149" s="117">
        <v>2018</v>
      </c>
      <c r="C149" s="187">
        <v>1</v>
      </c>
      <c r="D149" s="188">
        <v>0</v>
      </c>
      <c r="E149" s="188">
        <v>1</v>
      </c>
      <c r="F149" s="200">
        <v>2</v>
      </c>
    </row>
    <row r="150" spans="1:6" x14ac:dyDescent="0.25">
      <c r="A150" s="58"/>
      <c r="B150" s="117">
        <v>2019</v>
      </c>
      <c r="C150" s="187">
        <v>1</v>
      </c>
      <c r="D150" s="188">
        <v>1</v>
      </c>
      <c r="E150" s="188">
        <v>1</v>
      </c>
      <c r="F150" s="200">
        <v>3</v>
      </c>
    </row>
    <row r="151" spans="1:6" x14ac:dyDescent="0.25">
      <c r="A151" s="58"/>
      <c r="B151" s="117">
        <v>2020</v>
      </c>
      <c r="C151" s="187">
        <v>0</v>
      </c>
      <c r="D151" s="188">
        <v>0</v>
      </c>
      <c r="E151" s="188">
        <v>2</v>
      </c>
      <c r="F151" s="200">
        <v>2</v>
      </c>
    </row>
    <row r="152" spans="1:6" x14ac:dyDescent="0.25">
      <c r="A152" s="58"/>
      <c r="B152" s="117">
        <v>2021</v>
      </c>
      <c r="C152" s="187">
        <v>0</v>
      </c>
      <c r="D152" s="188">
        <v>0</v>
      </c>
      <c r="E152" s="188">
        <v>1</v>
      </c>
      <c r="F152" s="200">
        <v>1</v>
      </c>
    </row>
    <row r="153" spans="1:6" x14ac:dyDescent="0.25">
      <c r="A153" s="58"/>
      <c r="B153" s="117">
        <v>2022</v>
      </c>
      <c r="C153" s="187">
        <v>0</v>
      </c>
      <c r="D153" s="188">
        <v>0</v>
      </c>
      <c r="E153" s="188">
        <v>0</v>
      </c>
      <c r="F153" s="200">
        <v>0</v>
      </c>
    </row>
    <row r="154" spans="1:6" x14ac:dyDescent="0.25">
      <c r="A154" s="58"/>
      <c r="B154" s="117">
        <v>2023</v>
      </c>
      <c r="C154" s="187">
        <v>0</v>
      </c>
      <c r="D154" s="188">
        <v>1</v>
      </c>
      <c r="E154" s="188">
        <v>0</v>
      </c>
      <c r="F154" s="200">
        <v>1</v>
      </c>
    </row>
    <row r="155" spans="1:6" x14ac:dyDescent="0.25">
      <c r="A155" s="58"/>
      <c r="B155" s="117">
        <v>2024</v>
      </c>
      <c r="C155" s="187">
        <v>0</v>
      </c>
      <c r="D155" s="188">
        <v>2</v>
      </c>
      <c r="E155" s="188">
        <v>1</v>
      </c>
      <c r="F155" s="200">
        <v>3</v>
      </c>
    </row>
    <row r="156" spans="1:6" x14ac:dyDescent="0.25">
      <c r="A156" s="58"/>
      <c r="B156" s="121" t="s">
        <v>2779</v>
      </c>
      <c r="C156" s="196">
        <v>5</v>
      </c>
      <c r="D156" s="197">
        <v>9</v>
      </c>
      <c r="E156" s="197">
        <v>33</v>
      </c>
      <c r="F156" s="198">
        <v>47</v>
      </c>
    </row>
    <row r="157" spans="1:6" ht="15.75" customHeight="1" x14ac:dyDescent="0.25">
      <c r="A157" s="58"/>
    </row>
    <row r="158" spans="1:6" ht="15.75" customHeight="1" x14ac:dyDescent="0.25">
      <c r="A158" s="58"/>
    </row>
    <row r="159" spans="1:6" x14ac:dyDescent="0.25">
      <c r="A159" s="57" t="s">
        <v>37</v>
      </c>
      <c r="B159" s="120" t="s">
        <v>7</v>
      </c>
      <c r="C159" s="119" t="s">
        <v>37</v>
      </c>
    </row>
    <row r="160" spans="1:6" ht="15.75" customHeight="1" x14ac:dyDescent="0.25">
      <c r="A160" s="58"/>
    </row>
    <row r="161" spans="2:6" ht="15.75" customHeight="1" x14ac:dyDescent="0.25">
      <c r="B161" s="111" t="s">
        <v>2778</v>
      </c>
      <c r="C161" s="111" t="s">
        <v>1</v>
      </c>
      <c r="D161" s="112"/>
      <c r="E161" s="112"/>
      <c r="F161" s="113"/>
    </row>
    <row r="162" spans="2:6" x14ac:dyDescent="0.25">
      <c r="B162" s="111" t="s">
        <v>8</v>
      </c>
      <c r="C162" s="114" t="s">
        <v>307</v>
      </c>
      <c r="D162" s="115" t="s">
        <v>26</v>
      </c>
      <c r="E162" s="115" t="s">
        <v>76</v>
      </c>
      <c r="F162" s="122" t="s">
        <v>2779</v>
      </c>
    </row>
    <row r="163" spans="2:6" x14ac:dyDescent="0.25">
      <c r="B163" s="114">
        <v>2002</v>
      </c>
      <c r="C163" s="184">
        <v>0</v>
      </c>
      <c r="D163" s="185">
        <v>0</v>
      </c>
      <c r="E163" s="185">
        <v>1</v>
      </c>
      <c r="F163" s="199">
        <v>1</v>
      </c>
    </row>
    <row r="164" spans="2:6" x14ac:dyDescent="0.25">
      <c r="B164" s="117">
        <v>2003</v>
      </c>
      <c r="C164" s="187">
        <v>0</v>
      </c>
      <c r="D164" s="188">
        <v>0</v>
      </c>
      <c r="E164" s="188">
        <v>2</v>
      </c>
      <c r="F164" s="200">
        <v>2</v>
      </c>
    </row>
    <row r="165" spans="2:6" x14ac:dyDescent="0.25">
      <c r="B165" s="117">
        <v>2004</v>
      </c>
      <c r="C165" s="187">
        <v>0</v>
      </c>
      <c r="D165" s="188">
        <v>0</v>
      </c>
      <c r="E165" s="188">
        <v>1</v>
      </c>
      <c r="F165" s="200">
        <v>1</v>
      </c>
    </row>
    <row r="166" spans="2:6" x14ac:dyDescent="0.25">
      <c r="B166" s="117">
        <v>2005</v>
      </c>
      <c r="C166" s="187">
        <v>0</v>
      </c>
      <c r="D166" s="188">
        <v>0</v>
      </c>
      <c r="E166" s="188">
        <v>0</v>
      </c>
      <c r="F166" s="200">
        <v>0</v>
      </c>
    </row>
    <row r="167" spans="2:6" x14ac:dyDescent="0.25">
      <c r="B167" s="117">
        <v>2006</v>
      </c>
      <c r="C167" s="187">
        <v>0</v>
      </c>
      <c r="D167" s="188">
        <v>0</v>
      </c>
      <c r="E167" s="188">
        <v>1</v>
      </c>
      <c r="F167" s="200">
        <v>1</v>
      </c>
    </row>
    <row r="168" spans="2:6" x14ac:dyDescent="0.25">
      <c r="B168" s="117">
        <v>2007</v>
      </c>
      <c r="C168" s="187">
        <v>0</v>
      </c>
      <c r="D168" s="188">
        <v>0</v>
      </c>
      <c r="E168" s="188">
        <v>1</v>
      </c>
      <c r="F168" s="200">
        <v>1</v>
      </c>
    </row>
    <row r="169" spans="2:6" x14ac:dyDescent="0.25">
      <c r="B169" s="117">
        <v>2008</v>
      </c>
      <c r="C169" s="187">
        <v>0</v>
      </c>
      <c r="D169" s="188">
        <v>0</v>
      </c>
      <c r="E169" s="188">
        <v>3</v>
      </c>
      <c r="F169" s="200">
        <v>3</v>
      </c>
    </row>
    <row r="170" spans="2:6" x14ac:dyDescent="0.25">
      <c r="B170" s="117">
        <v>2009</v>
      </c>
      <c r="C170" s="187">
        <v>0</v>
      </c>
      <c r="D170" s="188">
        <v>0</v>
      </c>
      <c r="E170" s="188">
        <v>1</v>
      </c>
      <c r="F170" s="200">
        <v>1</v>
      </c>
    </row>
    <row r="171" spans="2:6" x14ac:dyDescent="0.25">
      <c r="B171" s="117">
        <v>2010</v>
      </c>
      <c r="C171" s="187">
        <v>0</v>
      </c>
      <c r="D171" s="188">
        <v>1</v>
      </c>
      <c r="E171" s="188">
        <v>1</v>
      </c>
      <c r="F171" s="200">
        <v>2</v>
      </c>
    </row>
    <row r="172" spans="2:6" x14ac:dyDescent="0.25">
      <c r="B172" s="117">
        <v>2011</v>
      </c>
      <c r="C172" s="187">
        <v>0</v>
      </c>
      <c r="D172" s="188">
        <v>0</v>
      </c>
      <c r="E172" s="188">
        <v>3</v>
      </c>
      <c r="F172" s="200">
        <v>3</v>
      </c>
    </row>
    <row r="173" spans="2:6" x14ac:dyDescent="0.25">
      <c r="B173" s="117">
        <v>2012</v>
      </c>
      <c r="C173" s="187">
        <v>0</v>
      </c>
      <c r="D173" s="188">
        <v>0</v>
      </c>
      <c r="E173" s="188">
        <v>4</v>
      </c>
      <c r="F173" s="200">
        <v>4</v>
      </c>
    </row>
    <row r="174" spans="2:6" x14ac:dyDescent="0.25">
      <c r="B174" s="117">
        <v>2013</v>
      </c>
      <c r="C174" s="187">
        <v>0</v>
      </c>
      <c r="D174" s="188">
        <v>2</v>
      </c>
      <c r="E174" s="188">
        <v>1</v>
      </c>
      <c r="F174" s="200">
        <v>3</v>
      </c>
    </row>
    <row r="175" spans="2:6" x14ac:dyDescent="0.25">
      <c r="B175" s="117">
        <v>2014</v>
      </c>
      <c r="C175" s="187">
        <v>0</v>
      </c>
      <c r="D175" s="188">
        <v>0</v>
      </c>
      <c r="E175" s="188">
        <v>3</v>
      </c>
      <c r="F175" s="200">
        <v>3</v>
      </c>
    </row>
    <row r="176" spans="2:6" x14ac:dyDescent="0.25">
      <c r="B176" s="117">
        <v>2015</v>
      </c>
      <c r="C176" s="187">
        <v>0</v>
      </c>
      <c r="D176" s="188">
        <v>0</v>
      </c>
      <c r="E176" s="188">
        <v>2</v>
      </c>
      <c r="F176" s="200">
        <v>2</v>
      </c>
    </row>
    <row r="177" spans="1:6" x14ac:dyDescent="0.25">
      <c r="A177" s="58"/>
      <c r="B177" s="117">
        <v>2016</v>
      </c>
      <c r="C177" s="187">
        <v>0</v>
      </c>
      <c r="D177" s="188">
        <v>0</v>
      </c>
      <c r="E177" s="188">
        <v>1</v>
      </c>
      <c r="F177" s="200">
        <v>1</v>
      </c>
    </row>
    <row r="178" spans="1:6" x14ac:dyDescent="0.25">
      <c r="A178" s="58"/>
      <c r="B178" s="117">
        <v>2017</v>
      </c>
      <c r="C178" s="187">
        <v>2</v>
      </c>
      <c r="D178" s="188">
        <v>1</v>
      </c>
      <c r="E178" s="188">
        <v>1</v>
      </c>
      <c r="F178" s="200">
        <v>4</v>
      </c>
    </row>
    <row r="179" spans="1:6" x14ac:dyDescent="0.25">
      <c r="A179" s="58"/>
      <c r="B179" s="117">
        <v>2018</v>
      </c>
      <c r="C179" s="187">
        <v>0</v>
      </c>
      <c r="D179" s="188">
        <v>0</v>
      </c>
      <c r="E179" s="188">
        <v>6</v>
      </c>
      <c r="F179" s="200">
        <v>6</v>
      </c>
    </row>
    <row r="180" spans="1:6" x14ac:dyDescent="0.25">
      <c r="A180" s="58"/>
      <c r="B180" s="117">
        <v>2019</v>
      </c>
      <c r="C180" s="187">
        <v>0</v>
      </c>
      <c r="D180" s="188">
        <v>0</v>
      </c>
      <c r="E180" s="188">
        <v>1</v>
      </c>
      <c r="F180" s="200">
        <v>1</v>
      </c>
    </row>
    <row r="181" spans="1:6" x14ac:dyDescent="0.25">
      <c r="A181" s="58"/>
      <c r="B181" s="117">
        <v>2020</v>
      </c>
      <c r="C181" s="187">
        <v>0</v>
      </c>
      <c r="D181" s="188">
        <v>0</v>
      </c>
      <c r="E181" s="188">
        <v>1</v>
      </c>
      <c r="F181" s="200">
        <v>1</v>
      </c>
    </row>
    <row r="182" spans="1:6" x14ac:dyDescent="0.25">
      <c r="A182" s="58"/>
      <c r="B182" s="117">
        <v>2021</v>
      </c>
      <c r="C182" s="187">
        <v>0</v>
      </c>
      <c r="D182" s="188">
        <v>0</v>
      </c>
      <c r="E182" s="188">
        <v>0</v>
      </c>
      <c r="F182" s="200">
        <v>0</v>
      </c>
    </row>
    <row r="183" spans="1:6" x14ac:dyDescent="0.25">
      <c r="A183" s="58"/>
      <c r="B183" s="117">
        <v>2022</v>
      </c>
      <c r="C183" s="187">
        <v>0</v>
      </c>
      <c r="D183" s="188">
        <v>0</v>
      </c>
      <c r="E183" s="188">
        <v>0</v>
      </c>
      <c r="F183" s="200">
        <v>0</v>
      </c>
    </row>
    <row r="184" spans="1:6" x14ac:dyDescent="0.25">
      <c r="A184" s="58"/>
      <c r="B184" s="117">
        <v>2023</v>
      </c>
      <c r="C184" s="187">
        <v>0</v>
      </c>
      <c r="D184" s="188">
        <v>1</v>
      </c>
      <c r="E184" s="188">
        <v>0</v>
      </c>
      <c r="F184" s="200">
        <v>1</v>
      </c>
    </row>
    <row r="185" spans="1:6" x14ac:dyDescent="0.25">
      <c r="A185" s="58"/>
      <c r="B185" s="117">
        <v>2024</v>
      </c>
      <c r="C185" s="187">
        <v>0</v>
      </c>
      <c r="D185" s="188">
        <v>0</v>
      </c>
      <c r="E185" s="188">
        <v>1</v>
      </c>
      <c r="F185" s="200">
        <v>1</v>
      </c>
    </row>
    <row r="186" spans="1:6" x14ac:dyDescent="0.25">
      <c r="A186" s="58"/>
      <c r="B186" s="121" t="s">
        <v>2779</v>
      </c>
      <c r="C186" s="196">
        <v>2</v>
      </c>
      <c r="D186" s="197">
        <v>5</v>
      </c>
      <c r="E186" s="197">
        <v>35</v>
      </c>
      <c r="F186" s="198">
        <v>42</v>
      </c>
    </row>
    <row r="187" spans="1:6" ht="15.75" customHeight="1" x14ac:dyDescent="0.25">
      <c r="A187" s="58"/>
    </row>
    <row r="188" spans="1:6" ht="15.75" customHeight="1" x14ac:dyDescent="0.25">
      <c r="A188" s="58"/>
    </row>
    <row r="189" spans="1:6" x14ac:dyDescent="0.25">
      <c r="A189" s="57" t="s">
        <v>69</v>
      </c>
      <c r="B189" s="120" t="s">
        <v>7</v>
      </c>
      <c r="C189" s="119" t="s">
        <v>69</v>
      </c>
    </row>
    <row r="190" spans="1:6" ht="15.75" customHeight="1" x14ac:dyDescent="0.25">
      <c r="A190" s="58"/>
    </row>
    <row r="191" spans="1:6" ht="15.75" customHeight="1" x14ac:dyDescent="0.25">
      <c r="A191" s="58"/>
      <c r="B191" s="111" t="s">
        <v>2778</v>
      </c>
      <c r="C191" s="111" t="s">
        <v>1</v>
      </c>
      <c r="D191" s="112"/>
      <c r="E191" s="112"/>
      <c r="F191" s="113"/>
    </row>
    <row r="192" spans="1:6" x14ac:dyDescent="0.25">
      <c r="A192" s="58"/>
      <c r="B192" s="111" t="s">
        <v>8</v>
      </c>
      <c r="C192" s="114" t="s">
        <v>307</v>
      </c>
      <c r="D192" s="115" t="s">
        <v>26</v>
      </c>
      <c r="E192" s="115" t="s">
        <v>76</v>
      </c>
      <c r="F192" s="122" t="s">
        <v>2779</v>
      </c>
    </row>
    <row r="193" spans="2:6" x14ac:dyDescent="0.25">
      <c r="B193" s="114">
        <v>2002</v>
      </c>
      <c r="C193" s="184">
        <v>0</v>
      </c>
      <c r="D193" s="185">
        <v>0</v>
      </c>
      <c r="E193" s="185">
        <v>2</v>
      </c>
      <c r="F193" s="199">
        <v>2</v>
      </c>
    </row>
    <row r="194" spans="2:6" x14ac:dyDescent="0.25">
      <c r="B194" s="117">
        <v>2003</v>
      </c>
      <c r="C194" s="187">
        <v>0</v>
      </c>
      <c r="D194" s="188">
        <v>0</v>
      </c>
      <c r="E194" s="188">
        <v>1</v>
      </c>
      <c r="F194" s="200">
        <v>1</v>
      </c>
    </row>
    <row r="195" spans="2:6" x14ac:dyDescent="0.25">
      <c r="B195" s="117">
        <v>2004</v>
      </c>
      <c r="C195" s="187">
        <v>0</v>
      </c>
      <c r="D195" s="188">
        <v>0</v>
      </c>
      <c r="E195" s="188">
        <v>3</v>
      </c>
      <c r="F195" s="200">
        <v>3</v>
      </c>
    </row>
    <row r="196" spans="2:6" x14ac:dyDescent="0.25">
      <c r="B196" s="117">
        <v>2005</v>
      </c>
      <c r="C196" s="187">
        <v>0</v>
      </c>
      <c r="D196" s="188">
        <v>0</v>
      </c>
      <c r="E196" s="188">
        <v>1</v>
      </c>
      <c r="F196" s="200">
        <v>1</v>
      </c>
    </row>
    <row r="197" spans="2:6" x14ac:dyDescent="0.25">
      <c r="B197" s="117">
        <v>2006</v>
      </c>
      <c r="C197" s="187">
        <v>0</v>
      </c>
      <c r="D197" s="188">
        <v>1</v>
      </c>
      <c r="E197" s="188">
        <v>1</v>
      </c>
      <c r="F197" s="200">
        <v>2</v>
      </c>
    </row>
    <row r="198" spans="2:6" x14ac:dyDescent="0.25">
      <c r="B198" s="117">
        <v>2007</v>
      </c>
      <c r="C198" s="187">
        <v>0</v>
      </c>
      <c r="D198" s="188">
        <v>0</v>
      </c>
      <c r="E198" s="188">
        <v>3</v>
      </c>
      <c r="F198" s="200">
        <v>3</v>
      </c>
    </row>
    <row r="199" spans="2:6" x14ac:dyDescent="0.25">
      <c r="B199" s="117">
        <v>2008</v>
      </c>
      <c r="C199" s="187">
        <v>0</v>
      </c>
      <c r="D199" s="188">
        <v>0</v>
      </c>
      <c r="E199" s="188">
        <v>1</v>
      </c>
      <c r="F199" s="200">
        <v>1</v>
      </c>
    </row>
    <row r="200" spans="2:6" x14ac:dyDescent="0.25">
      <c r="B200" s="117">
        <v>2009</v>
      </c>
      <c r="C200" s="187">
        <v>0</v>
      </c>
      <c r="D200" s="188">
        <v>0</v>
      </c>
      <c r="E200" s="188">
        <v>2</v>
      </c>
      <c r="F200" s="200">
        <v>2</v>
      </c>
    </row>
    <row r="201" spans="2:6" x14ac:dyDescent="0.25">
      <c r="B201" s="117">
        <v>2010</v>
      </c>
      <c r="C201" s="187">
        <v>0</v>
      </c>
      <c r="D201" s="188">
        <v>1</v>
      </c>
      <c r="E201" s="188">
        <v>2</v>
      </c>
      <c r="F201" s="200">
        <v>3</v>
      </c>
    </row>
    <row r="202" spans="2:6" x14ac:dyDescent="0.25">
      <c r="B202" s="117">
        <v>2011</v>
      </c>
      <c r="C202" s="187">
        <v>0</v>
      </c>
      <c r="D202" s="188">
        <v>0</v>
      </c>
      <c r="E202" s="188">
        <v>2</v>
      </c>
      <c r="F202" s="200">
        <v>2</v>
      </c>
    </row>
    <row r="203" spans="2:6" x14ac:dyDescent="0.25">
      <c r="B203" s="117">
        <v>2012</v>
      </c>
      <c r="C203" s="187">
        <v>0</v>
      </c>
      <c r="D203" s="188">
        <v>0</v>
      </c>
      <c r="E203" s="188">
        <v>0</v>
      </c>
      <c r="F203" s="200">
        <v>0</v>
      </c>
    </row>
    <row r="204" spans="2:6" x14ac:dyDescent="0.25">
      <c r="B204" s="117">
        <v>2013</v>
      </c>
      <c r="C204" s="187">
        <v>0</v>
      </c>
      <c r="D204" s="188">
        <v>1</v>
      </c>
      <c r="E204" s="188">
        <v>1</v>
      </c>
      <c r="F204" s="200">
        <v>2</v>
      </c>
    </row>
    <row r="205" spans="2:6" x14ac:dyDescent="0.25">
      <c r="B205" s="117">
        <v>2014</v>
      </c>
      <c r="C205" s="187">
        <v>0</v>
      </c>
      <c r="D205" s="188">
        <v>0</v>
      </c>
      <c r="E205" s="188">
        <v>0</v>
      </c>
      <c r="F205" s="200">
        <v>0</v>
      </c>
    </row>
    <row r="206" spans="2:6" x14ac:dyDescent="0.25">
      <c r="B206" s="117">
        <v>2015</v>
      </c>
      <c r="C206" s="187">
        <v>0</v>
      </c>
      <c r="D206" s="188">
        <v>0</v>
      </c>
      <c r="E206" s="188">
        <v>0</v>
      </c>
      <c r="F206" s="200">
        <v>0</v>
      </c>
    </row>
    <row r="207" spans="2:6" x14ac:dyDescent="0.25">
      <c r="B207" s="117">
        <v>2016</v>
      </c>
      <c r="C207" s="187">
        <v>0</v>
      </c>
      <c r="D207" s="188">
        <v>0</v>
      </c>
      <c r="E207" s="188">
        <v>2</v>
      </c>
      <c r="F207" s="200">
        <v>2</v>
      </c>
    </row>
    <row r="208" spans="2:6" x14ac:dyDescent="0.25">
      <c r="B208" s="117">
        <v>2017</v>
      </c>
      <c r="C208" s="187">
        <v>0</v>
      </c>
      <c r="D208" s="188">
        <v>1</v>
      </c>
      <c r="E208" s="188">
        <v>2</v>
      </c>
      <c r="F208" s="200">
        <v>3</v>
      </c>
    </row>
    <row r="209" spans="1:6" x14ac:dyDescent="0.25">
      <c r="A209" s="58"/>
      <c r="B209" s="117">
        <v>2018</v>
      </c>
      <c r="C209" s="187">
        <v>0</v>
      </c>
      <c r="D209" s="188">
        <v>0</v>
      </c>
      <c r="E209" s="188">
        <v>0</v>
      </c>
      <c r="F209" s="200">
        <v>0</v>
      </c>
    </row>
    <row r="210" spans="1:6" x14ac:dyDescent="0.25">
      <c r="A210" s="58"/>
      <c r="B210" s="117">
        <v>2019</v>
      </c>
      <c r="C210" s="187">
        <v>0</v>
      </c>
      <c r="D210" s="188">
        <v>1</v>
      </c>
      <c r="E210" s="188">
        <v>1</v>
      </c>
      <c r="F210" s="200">
        <v>2</v>
      </c>
    </row>
    <row r="211" spans="1:6" x14ac:dyDescent="0.25">
      <c r="A211" s="58"/>
      <c r="B211" s="117">
        <v>2020</v>
      </c>
      <c r="C211" s="187">
        <v>1</v>
      </c>
      <c r="D211" s="188">
        <v>0</v>
      </c>
      <c r="E211" s="188">
        <v>2</v>
      </c>
      <c r="F211" s="200">
        <v>3</v>
      </c>
    </row>
    <row r="212" spans="1:6" x14ac:dyDescent="0.25">
      <c r="A212" s="58"/>
      <c r="B212" s="117">
        <v>2021</v>
      </c>
      <c r="C212" s="187">
        <v>0</v>
      </c>
      <c r="D212" s="188">
        <v>0</v>
      </c>
      <c r="E212" s="188">
        <v>0</v>
      </c>
      <c r="F212" s="200">
        <v>0</v>
      </c>
    </row>
    <row r="213" spans="1:6" x14ac:dyDescent="0.25">
      <c r="A213" s="58"/>
      <c r="B213" s="117">
        <v>2022</v>
      </c>
      <c r="C213" s="187">
        <v>0</v>
      </c>
      <c r="D213" s="188">
        <v>0</v>
      </c>
      <c r="E213" s="188">
        <v>0</v>
      </c>
      <c r="F213" s="200">
        <v>0</v>
      </c>
    </row>
    <row r="214" spans="1:6" x14ac:dyDescent="0.25">
      <c r="A214" s="58"/>
      <c r="B214" s="117">
        <v>2023</v>
      </c>
      <c r="C214" s="187">
        <v>0</v>
      </c>
      <c r="D214" s="188">
        <v>1</v>
      </c>
      <c r="E214" s="188">
        <v>0</v>
      </c>
      <c r="F214" s="200">
        <v>1</v>
      </c>
    </row>
    <row r="215" spans="1:6" x14ac:dyDescent="0.25">
      <c r="A215" s="58"/>
      <c r="B215" s="117">
        <v>2024</v>
      </c>
      <c r="C215" s="187">
        <v>0</v>
      </c>
      <c r="D215" s="188">
        <v>0</v>
      </c>
      <c r="E215" s="188">
        <v>1</v>
      </c>
      <c r="F215" s="200">
        <v>1</v>
      </c>
    </row>
    <row r="216" spans="1:6" x14ac:dyDescent="0.25">
      <c r="A216" s="58"/>
      <c r="B216" s="121" t="s">
        <v>2779</v>
      </c>
      <c r="C216" s="196">
        <v>1</v>
      </c>
      <c r="D216" s="197">
        <v>6</v>
      </c>
      <c r="E216" s="197">
        <v>27</v>
      </c>
      <c r="F216" s="198">
        <v>34</v>
      </c>
    </row>
    <row r="217" spans="1:6" ht="15.75" customHeight="1" x14ac:dyDescent="0.25">
      <c r="A217" s="58"/>
    </row>
    <row r="218" spans="1:6" ht="15.75" customHeight="1" x14ac:dyDescent="0.25">
      <c r="A218" s="58"/>
    </row>
    <row r="219" spans="1:6" ht="15.75" customHeight="1" x14ac:dyDescent="0.25">
      <c r="A219" s="58"/>
    </row>
    <row r="220" spans="1:6" ht="15.75" customHeight="1" x14ac:dyDescent="0.25">
      <c r="A220" s="58"/>
    </row>
    <row r="221" spans="1:6" x14ac:dyDescent="0.25">
      <c r="A221" s="57" t="s">
        <v>194</v>
      </c>
      <c r="B221" s="120" t="s">
        <v>7</v>
      </c>
      <c r="C221" s="119" t="s">
        <v>194</v>
      </c>
    </row>
    <row r="222" spans="1:6" ht="15.75" customHeight="1" x14ac:dyDescent="0.25">
      <c r="A222" s="58"/>
    </row>
    <row r="223" spans="1:6" ht="15.75" customHeight="1" x14ac:dyDescent="0.25">
      <c r="A223" s="58"/>
      <c r="B223" s="111" t="s">
        <v>2778</v>
      </c>
      <c r="C223" s="111" t="s">
        <v>1</v>
      </c>
      <c r="D223" s="112"/>
      <c r="E223" s="112"/>
      <c r="F223" s="113"/>
    </row>
    <row r="224" spans="1:6" x14ac:dyDescent="0.25">
      <c r="A224" s="58"/>
      <c r="B224" s="111" t="s">
        <v>8</v>
      </c>
      <c r="C224" s="114" t="s">
        <v>307</v>
      </c>
      <c r="D224" s="115" t="s">
        <v>26</v>
      </c>
      <c r="E224" s="115" t="s">
        <v>76</v>
      </c>
      <c r="F224" s="122" t="s">
        <v>2779</v>
      </c>
    </row>
    <row r="225" spans="2:6" x14ac:dyDescent="0.25">
      <c r="B225" s="114">
        <v>2002</v>
      </c>
      <c r="C225" s="184">
        <v>0</v>
      </c>
      <c r="D225" s="185">
        <v>1</v>
      </c>
      <c r="E225" s="185">
        <v>1</v>
      </c>
      <c r="F225" s="199">
        <v>2</v>
      </c>
    </row>
    <row r="226" spans="2:6" x14ac:dyDescent="0.25">
      <c r="B226" s="117">
        <v>2003</v>
      </c>
      <c r="C226" s="187">
        <v>0</v>
      </c>
      <c r="D226" s="188">
        <v>1</v>
      </c>
      <c r="E226" s="188">
        <v>1</v>
      </c>
      <c r="F226" s="200">
        <v>2</v>
      </c>
    </row>
    <row r="227" spans="2:6" x14ac:dyDescent="0.25">
      <c r="B227" s="117">
        <v>2004</v>
      </c>
      <c r="C227" s="187">
        <v>0</v>
      </c>
      <c r="D227" s="188">
        <v>0</v>
      </c>
      <c r="E227" s="188">
        <v>0</v>
      </c>
      <c r="F227" s="200">
        <v>0</v>
      </c>
    </row>
    <row r="228" spans="2:6" x14ac:dyDescent="0.25">
      <c r="B228" s="117">
        <v>2005</v>
      </c>
      <c r="C228" s="187">
        <v>0</v>
      </c>
      <c r="D228" s="188">
        <v>0</v>
      </c>
      <c r="E228" s="188">
        <v>1</v>
      </c>
      <c r="F228" s="200">
        <v>1</v>
      </c>
    </row>
    <row r="229" spans="2:6" x14ac:dyDescent="0.25">
      <c r="B229" s="117">
        <v>2006</v>
      </c>
      <c r="C229" s="187">
        <v>0</v>
      </c>
      <c r="D229" s="188">
        <v>0</v>
      </c>
      <c r="E229" s="188">
        <v>2</v>
      </c>
      <c r="F229" s="200">
        <v>2</v>
      </c>
    </row>
    <row r="230" spans="2:6" x14ac:dyDescent="0.25">
      <c r="B230" s="117">
        <v>2007</v>
      </c>
      <c r="C230" s="187">
        <v>0</v>
      </c>
      <c r="D230" s="188">
        <v>1</v>
      </c>
      <c r="E230" s="188">
        <v>2</v>
      </c>
      <c r="F230" s="200">
        <v>3</v>
      </c>
    </row>
    <row r="231" spans="2:6" x14ac:dyDescent="0.25">
      <c r="B231" s="117">
        <v>2008</v>
      </c>
      <c r="C231" s="187">
        <v>0</v>
      </c>
      <c r="D231" s="188">
        <v>0</v>
      </c>
      <c r="E231" s="188">
        <v>4</v>
      </c>
      <c r="F231" s="200">
        <v>4</v>
      </c>
    </row>
    <row r="232" spans="2:6" x14ac:dyDescent="0.25">
      <c r="B232" s="117">
        <v>2009</v>
      </c>
      <c r="C232" s="187">
        <v>1</v>
      </c>
      <c r="D232" s="188">
        <v>2</v>
      </c>
      <c r="E232" s="188">
        <v>2</v>
      </c>
      <c r="F232" s="200">
        <v>5</v>
      </c>
    </row>
    <row r="233" spans="2:6" x14ac:dyDescent="0.25">
      <c r="B233" s="117">
        <v>2010</v>
      </c>
      <c r="C233" s="187">
        <v>2</v>
      </c>
      <c r="D233" s="188">
        <v>1</v>
      </c>
      <c r="E233" s="188">
        <v>6</v>
      </c>
      <c r="F233" s="200">
        <v>9</v>
      </c>
    </row>
    <row r="234" spans="2:6" x14ac:dyDescent="0.25">
      <c r="B234" s="117">
        <v>2011</v>
      </c>
      <c r="C234" s="187">
        <v>0</v>
      </c>
      <c r="D234" s="188">
        <v>1</v>
      </c>
      <c r="E234" s="188">
        <v>2</v>
      </c>
      <c r="F234" s="200">
        <v>3</v>
      </c>
    </row>
    <row r="235" spans="2:6" x14ac:dyDescent="0.25">
      <c r="B235" s="117">
        <v>2012</v>
      </c>
      <c r="C235" s="187">
        <v>0</v>
      </c>
      <c r="D235" s="188">
        <v>0</v>
      </c>
      <c r="E235" s="188">
        <v>2</v>
      </c>
      <c r="F235" s="200">
        <v>2</v>
      </c>
    </row>
    <row r="236" spans="2:6" x14ac:dyDescent="0.25">
      <c r="B236" s="117">
        <v>2013</v>
      </c>
      <c r="C236" s="187">
        <v>0</v>
      </c>
      <c r="D236" s="188">
        <v>1</v>
      </c>
      <c r="E236" s="188">
        <v>2</v>
      </c>
      <c r="F236" s="200">
        <v>3</v>
      </c>
    </row>
    <row r="237" spans="2:6" x14ac:dyDescent="0.25">
      <c r="B237" s="117">
        <v>2014</v>
      </c>
      <c r="C237" s="187">
        <v>1</v>
      </c>
      <c r="D237" s="188">
        <v>2</v>
      </c>
      <c r="E237" s="188">
        <v>4</v>
      </c>
      <c r="F237" s="200">
        <v>7</v>
      </c>
    </row>
    <row r="238" spans="2:6" x14ac:dyDescent="0.25">
      <c r="B238" s="117">
        <v>2015</v>
      </c>
      <c r="C238" s="187">
        <v>1</v>
      </c>
      <c r="D238" s="188">
        <v>1</v>
      </c>
      <c r="E238" s="188">
        <v>4</v>
      </c>
      <c r="F238" s="200">
        <v>6</v>
      </c>
    </row>
    <row r="239" spans="2:6" x14ac:dyDescent="0.25">
      <c r="B239" s="117">
        <v>2016</v>
      </c>
      <c r="C239" s="187">
        <v>0</v>
      </c>
      <c r="D239" s="188">
        <v>0</v>
      </c>
      <c r="E239" s="188">
        <v>2</v>
      </c>
      <c r="F239" s="200">
        <v>2</v>
      </c>
    </row>
    <row r="240" spans="2:6" x14ac:dyDescent="0.25">
      <c r="B240" s="117">
        <v>2017</v>
      </c>
      <c r="C240" s="187">
        <v>1</v>
      </c>
      <c r="D240" s="188">
        <v>0</v>
      </c>
      <c r="E240" s="188">
        <v>3</v>
      </c>
      <c r="F240" s="200">
        <v>4</v>
      </c>
    </row>
    <row r="241" spans="1:6" x14ac:dyDescent="0.25">
      <c r="A241" s="58"/>
      <c r="B241" s="117">
        <v>2018</v>
      </c>
      <c r="C241" s="187">
        <v>0</v>
      </c>
      <c r="D241" s="188">
        <v>0</v>
      </c>
      <c r="E241" s="188">
        <v>6</v>
      </c>
      <c r="F241" s="200">
        <v>6</v>
      </c>
    </row>
    <row r="242" spans="1:6" x14ac:dyDescent="0.25">
      <c r="A242" s="58"/>
      <c r="B242" s="117">
        <v>2019</v>
      </c>
      <c r="C242" s="187">
        <v>1</v>
      </c>
      <c r="D242" s="188">
        <v>0</v>
      </c>
      <c r="E242" s="188">
        <v>5</v>
      </c>
      <c r="F242" s="200">
        <v>6</v>
      </c>
    </row>
    <row r="243" spans="1:6" x14ac:dyDescent="0.25">
      <c r="A243" s="58"/>
      <c r="B243" s="117">
        <v>2020</v>
      </c>
      <c r="C243" s="187">
        <v>0</v>
      </c>
      <c r="D243" s="188">
        <v>0</v>
      </c>
      <c r="E243" s="188">
        <v>1</v>
      </c>
      <c r="F243" s="200">
        <v>1</v>
      </c>
    </row>
    <row r="244" spans="1:6" x14ac:dyDescent="0.25">
      <c r="A244" s="58"/>
      <c r="B244" s="117">
        <v>2021</v>
      </c>
      <c r="C244" s="187">
        <v>2</v>
      </c>
      <c r="D244" s="188">
        <v>0</v>
      </c>
      <c r="E244" s="188">
        <v>2</v>
      </c>
      <c r="F244" s="200">
        <v>4</v>
      </c>
    </row>
    <row r="245" spans="1:6" x14ac:dyDescent="0.25">
      <c r="A245" s="58"/>
      <c r="B245" s="117">
        <v>2022</v>
      </c>
      <c r="C245" s="187">
        <v>0</v>
      </c>
      <c r="D245" s="188">
        <v>0</v>
      </c>
      <c r="E245" s="188">
        <v>2</v>
      </c>
      <c r="F245" s="200">
        <v>2</v>
      </c>
    </row>
    <row r="246" spans="1:6" x14ac:dyDescent="0.25">
      <c r="A246" s="58"/>
      <c r="B246" s="117">
        <v>2023</v>
      </c>
      <c r="C246" s="187">
        <v>2</v>
      </c>
      <c r="D246" s="188">
        <v>1</v>
      </c>
      <c r="E246" s="188">
        <v>2</v>
      </c>
      <c r="F246" s="200">
        <v>5</v>
      </c>
    </row>
    <row r="247" spans="1:6" x14ac:dyDescent="0.25">
      <c r="A247" s="58"/>
      <c r="B247" s="117">
        <v>2024</v>
      </c>
      <c r="C247" s="187">
        <v>2</v>
      </c>
      <c r="D247" s="188">
        <v>1</v>
      </c>
      <c r="E247" s="188">
        <v>3</v>
      </c>
      <c r="F247" s="200">
        <v>6</v>
      </c>
    </row>
    <row r="248" spans="1:6" x14ac:dyDescent="0.25">
      <c r="A248" s="58"/>
      <c r="B248" s="121" t="s">
        <v>2779</v>
      </c>
      <c r="C248" s="196">
        <v>13</v>
      </c>
      <c r="D248" s="197">
        <v>13</v>
      </c>
      <c r="E248" s="197">
        <v>59</v>
      </c>
      <c r="F248" s="198">
        <v>85</v>
      </c>
    </row>
    <row r="249" spans="1:6" ht="15.75" customHeight="1" x14ac:dyDescent="0.25">
      <c r="A249" s="58"/>
      <c r="B249" s="69"/>
      <c r="C249" s="69"/>
      <c r="D249" s="68"/>
      <c r="E249" s="68"/>
      <c r="F249" s="68"/>
    </row>
    <row r="250" spans="1:6" ht="15.75" customHeight="1" x14ac:dyDescent="0.25">
      <c r="A250" s="58"/>
      <c r="B250" s="69"/>
      <c r="C250" s="69"/>
      <c r="D250" s="68"/>
      <c r="E250" s="68"/>
      <c r="F250" s="68"/>
    </row>
    <row r="251" spans="1:6" ht="15.75" customHeight="1" x14ac:dyDescent="0.25">
      <c r="A251" s="58"/>
      <c r="B251" s="69"/>
      <c r="C251" s="69"/>
      <c r="D251" s="68"/>
      <c r="E251" s="68"/>
      <c r="F251" s="68"/>
    </row>
    <row r="252" spans="1:6" ht="15.75" customHeight="1" x14ac:dyDescent="0.25">
      <c r="A252" s="58"/>
      <c r="B252" s="69"/>
      <c r="C252" s="69"/>
      <c r="D252" s="68"/>
      <c r="E252" s="68"/>
      <c r="F252" s="68"/>
    </row>
    <row r="253" spans="1:6" x14ac:dyDescent="0.25">
      <c r="A253" s="57" t="s">
        <v>52</v>
      </c>
      <c r="B253" s="120" t="s">
        <v>7</v>
      </c>
      <c r="C253" s="119" t="s">
        <v>52</v>
      </c>
    </row>
    <row r="254" spans="1:6" ht="15.75" customHeight="1" x14ac:dyDescent="0.25">
      <c r="A254" s="58"/>
    </row>
    <row r="255" spans="1:6" ht="15.75" customHeight="1" x14ac:dyDescent="0.25">
      <c r="A255" s="58"/>
      <c r="B255" s="111" t="s">
        <v>2778</v>
      </c>
      <c r="C255" s="111" t="s">
        <v>1</v>
      </c>
      <c r="D255" s="112"/>
      <c r="E255" s="112"/>
      <c r="F255" s="113"/>
    </row>
    <row r="256" spans="1:6" x14ac:dyDescent="0.25">
      <c r="A256" s="58"/>
      <c r="B256" s="111" t="s">
        <v>8</v>
      </c>
      <c r="C256" s="114" t="s">
        <v>307</v>
      </c>
      <c r="D256" s="115" t="s">
        <v>26</v>
      </c>
      <c r="E256" s="115" t="s">
        <v>76</v>
      </c>
      <c r="F256" s="122" t="s">
        <v>2779</v>
      </c>
    </row>
    <row r="257" spans="2:6" x14ac:dyDescent="0.25">
      <c r="B257" s="114">
        <v>2002</v>
      </c>
      <c r="C257" s="184">
        <v>0</v>
      </c>
      <c r="D257" s="185">
        <v>0</v>
      </c>
      <c r="E257" s="185">
        <v>2</v>
      </c>
      <c r="F257" s="199">
        <v>2</v>
      </c>
    </row>
    <row r="258" spans="2:6" x14ac:dyDescent="0.25">
      <c r="B258" s="117">
        <v>2003</v>
      </c>
      <c r="C258" s="187">
        <v>0</v>
      </c>
      <c r="D258" s="188">
        <v>0</v>
      </c>
      <c r="E258" s="188">
        <v>2</v>
      </c>
      <c r="F258" s="200">
        <v>2</v>
      </c>
    </row>
    <row r="259" spans="2:6" x14ac:dyDescent="0.25">
      <c r="B259" s="117">
        <v>2004</v>
      </c>
      <c r="C259" s="187">
        <v>0</v>
      </c>
      <c r="D259" s="188">
        <v>0</v>
      </c>
      <c r="E259" s="188">
        <v>3</v>
      </c>
      <c r="F259" s="200">
        <v>3</v>
      </c>
    </row>
    <row r="260" spans="2:6" x14ac:dyDescent="0.25">
      <c r="B260" s="117">
        <v>2005</v>
      </c>
      <c r="C260" s="187">
        <v>1</v>
      </c>
      <c r="D260" s="188">
        <v>1</v>
      </c>
      <c r="E260" s="188">
        <v>2</v>
      </c>
      <c r="F260" s="200">
        <v>4</v>
      </c>
    </row>
    <row r="261" spans="2:6" x14ac:dyDescent="0.25">
      <c r="B261" s="117">
        <v>2006</v>
      </c>
      <c r="C261" s="187">
        <v>0</v>
      </c>
      <c r="D261" s="188">
        <v>0</v>
      </c>
      <c r="E261" s="188">
        <v>5</v>
      </c>
      <c r="F261" s="200">
        <v>5</v>
      </c>
    </row>
    <row r="262" spans="2:6" x14ac:dyDescent="0.25">
      <c r="B262" s="117">
        <v>2007</v>
      </c>
      <c r="C262" s="187">
        <v>1</v>
      </c>
      <c r="D262" s="188">
        <v>0</v>
      </c>
      <c r="E262" s="188">
        <v>4</v>
      </c>
      <c r="F262" s="200">
        <v>5</v>
      </c>
    </row>
    <row r="263" spans="2:6" x14ac:dyDescent="0.25">
      <c r="B263" s="117">
        <v>2008</v>
      </c>
      <c r="C263" s="187">
        <v>1</v>
      </c>
      <c r="D263" s="188">
        <v>0</v>
      </c>
      <c r="E263" s="188">
        <v>2</v>
      </c>
      <c r="F263" s="200">
        <v>3</v>
      </c>
    </row>
    <row r="264" spans="2:6" x14ac:dyDescent="0.25">
      <c r="B264" s="117">
        <v>2009</v>
      </c>
      <c r="C264" s="187">
        <v>0</v>
      </c>
      <c r="D264" s="188">
        <v>0</v>
      </c>
      <c r="E264" s="188">
        <v>4</v>
      </c>
      <c r="F264" s="200">
        <v>4</v>
      </c>
    </row>
    <row r="265" spans="2:6" x14ac:dyDescent="0.25">
      <c r="B265" s="117">
        <v>2010</v>
      </c>
      <c r="C265" s="187">
        <v>2</v>
      </c>
      <c r="D265" s="188">
        <v>0</v>
      </c>
      <c r="E265" s="188">
        <v>4</v>
      </c>
      <c r="F265" s="200">
        <v>6</v>
      </c>
    </row>
    <row r="266" spans="2:6" x14ac:dyDescent="0.25">
      <c r="B266" s="117">
        <v>2011</v>
      </c>
      <c r="C266" s="187">
        <v>1</v>
      </c>
      <c r="D266" s="188">
        <v>1</v>
      </c>
      <c r="E266" s="188">
        <v>2</v>
      </c>
      <c r="F266" s="200">
        <v>4</v>
      </c>
    </row>
    <row r="267" spans="2:6" x14ac:dyDescent="0.25">
      <c r="B267" s="117">
        <v>2012</v>
      </c>
      <c r="C267" s="187">
        <v>1</v>
      </c>
      <c r="D267" s="188">
        <v>1</v>
      </c>
      <c r="E267" s="188">
        <v>2</v>
      </c>
      <c r="F267" s="200">
        <v>4</v>
      </c>
    </row>
    <row r="268" spans="2:6" x14ac:dyDescent="0.25">
      <c r="B268" s="117">
        <v>2013</v>
      </c>
      <c r="C268" s="187">
        <v>1</v>
      </c>
      <c r="D268" s="188">
        <v>1</v>
      </c>
      <c r="E268" s="188">
        <v>3</v>
      </c>
      <c r="F268" s="200">
        <v>5</v>
      </c>
    </row>
    <row r="269" spans="2:6" x14ac:dyDescent="0.25">
      <c r="B269" s="117">
        <v>2014</v>
      </c>
      <c r="C269" s="187">
        <v>1</v>
      </c>
      <c r="D269" s="188">
        <v>1</v>
      </c>
      <c r="E269" s="188">
        <v>3</v>
      </c>
      <c r="F269" s="200">
        <v>5</v>
      </c>
    </row>
    <row r="270" spans="2:6" x14ac:dyDescent="0.25">
      <c r="B270" s="117">
        <v>2015</v>
      </c>
      <c r="C270" s="187">
        <v>2</v>
      </c>
      <c r="D270" s="188">
        <v>0</v>
      </c>
      <c r="E270" s="188">
        <v>5</v>
      </c>
      <c r="F270" s="200">
        <v>7</v>
      </c>
    </row>
    <row r="271" spans="2:6" x14ac:dyDescent="0.25">
      <c r="B271" s="117">
        <v>2016</v>
      </c>
      <c r="C271" s="187">
        <v>2</v>
      </c>
      <c r="D271" s="188">
        <v>1</v>
      </c>
      <c r="E271" s="188">
        <v>3</v>
      </c>
      <c r="F271" s="200">
        <v>6</v>
      </c>
    </row>
    <row r="272" spans="2:6" x14ac:dyDescent="0.25">
      <c r="B272" s="117">
        <v>2017</v>
      </c>
      <c r="C272" s="187">
        <v>3</v>
      </c>
      <c r="D272" s="188">
        <v>3</v>
      </c>
      <c r="E272" s="188">
        <v>2</v>
      </c>
      <c r="F272" s="200">
        <v>8</v>
      </c>
    </row>
    <row r="273" spans="1:6" x14ac:dyDescent="0.25">
      <c r="A273" s="58"/>
      <c r="B273" s="117">
        <v>2018</v>
      </c>
      <c r="C273" s="187">
        <v>2</v>
      </c>
      <c r="D273" s="188">
        <v>0</v>
      </c>
      <c r="E273" s="188">
        <v>4</v>
      </c>
      <c r="F273" s="200">
        <v>6</v>
      </c>
    </row>
    <row r="274" spans="1:6" x14ac:dyDescent="0.25">
      <c r="A274" s="58"/>
      <c r="B274" s="117">
        <v>2019</v>
      </c>
      <c r="C274" s="187">
        <v>5</v>
      </c>
      <c r="D274" s="188">
        <v>0</v>
      </c>
      <c r="E274" s="188">
        <v>2</v>
      </c>
      <c r="F274" s="200">
        <v>7</v>
      </c>
    </row>
    <row r="275" spans="1:6" x14ac:dyDescent="0.25">
      <c r="A275" s="58"/>
      <c r="B275" s="117">
        <v>2020</v>
      </c>
      <c r="C275" s="187">
        <v>1</v>
      </c>
      <c r="D275" s="188">
        <v>1</v>
      </c>
      <c r="E275" s="188">
        <v>1</v>
      </c>
      <c r="F275" s="200">
        <v>3</v>
      </c>
    </row>
    <row r="276" spans="1:6" x14ac:dyDescent="0.25">
      <c r="A276" s="58"/>
      <c r="B276" s="117">
        <v>2021</v>
      </c>
      <c r="C276" s="187">
        <v>1</v>
      </c>
      <c r="D276" s="188">
        <v>0</v>
      </c>
      <c r="E276" s="188">
        <v>0</v>
      </c>
      <c r="F276" s="200">
        <v>1</v>
      </c>
    </row>
    <row r="277" spans="1:6" x14ac:dyDescent="0.25">
      <c r="A277" s="58"/>
      <c r="B277" s="117">
        <v>2022</v>
      </c>
      <c r="C277" s="187">
        <v>1</v>
      </c>
      <c r="D277" s="188">
        <v>0</v>
      </c>
      <c r="E277" s="188">
        <v>2</v>
      </c>
      <c r="F277" s="200">
        <v>3</v>
      </c>
    </row>
    <row r="278" spans="1:6" x14ac:dyDescent="0.25">
      <c r="A278" s="58"/>
      <c r="B278" s="117">
        <v>2023</v>
      </c>
      <c r="C278" s="187">
        <v>3</v>
      </c>
      <c r="D278" s="188">
        <v>1</v>
      </c>
      <c r="E278" s="188">
        <v>2</v>
      </c>
      <c r="F278" s="200">
        <v>6</v>
      </c>
    </row>
    <row r="279" spans="1:6" x14ac:dyDescent="0.25">
      <c r="A279" s="58"/>
      <c r="B279" s="117">
        <v>2024</v>
      </c>
      <c r="C279" s="187">
        <v>3</v>
      </c>
      <c r="D279" s="188">
        <v>0</v>
      </c>
      <c r="E279" s="188">
        <v>3</v>
      </c>
      <c r="F279" s="200">
        <v>6</v>
      </c>
    </row>
    <row r="280" spans="1:6" x14ac:dyDescent="0.25">
      <c r="A280" s="58"/>
      <c r="B280" s="121" t="s">
        <v>2779</v>
      </c>
      <c r="C280" s="196">
        <v>32</v>
      </c>
      <c r="D280" s="197">
        <v>11</v>
      </c>
      <c r="E280" s="197">
        <v>62</v>
      </c>
      <c r="F280" s="198">
        <v>105</v>
      </c>
    </row>
    <row r="281" spans="1:6" x14ac:dyDescent="0.25">
      <c r="A281" s="58"/>
      <c r="B281" s="70"/>
      <c r="C281" s="70"/>
      <c r="D281" s="68"/>
      <c r="E281" s="68"/>
      <c r="F281" s="68"/>
    </row>
    <row r="282" spans="1:6" x14ac:dyDescent="0.25">
      <c r="A282" s="58"/>
      <c r="B282" s="70"/>
      <c r="C282" s="70"/>
      <c r="D282" s="68"/>
      <c r="E282" s="68"/>
      <c r="F282" s="68"/>
    </row>
    <row r="283" spans="1:6" x14ac:dyDescent="0.25">
      <c r="A283" s="58"/>
      <c r="B283" s="70"/>
      <c r="C283" s="70"/>
      <c r="D283" s="68"/>
      <c r="E283" s="68"/>
      <c r="F283" s="68"/>
    </row>
    <row r="284" spans="1:6" x14ac:dyDescent="0.25">
      <c r="A284" s="58"/>
      <c r="B284" s="70"/>
      <c r="C284" s="70"/>
      <c r="D284" s="68"/>
      <c r="E284" s="68"/>
      <c r="F284" s="68"/>
    </row>
    <row r="285" spans="1:6" x14ac:dyDescent="0.25">
      <c r="A285" s="58"/>
      <c r="B285" s="70"/>
      <c r="C285" s="70"/>
      <c r="D285" s="68"/>
      <c r="E285" s="68"/>
      <c r="F285" s="68"/>
    </row>
    <row r="286" spans="1:6" x14ac:dyDescent="0.25">
      <c r="A286" s="57" t="s">
        <v>114</v>
      </c>
      <c r="B286" s="120" t="s">
        <v>7</v>
      </c>
      <c r="C286" s="119" t="s">
        <v>114</v>
      </c>
    </row>
    <row r="287" spans="1:6" ht="15.75" customHeight="1" x14ac:dyDescent="0.25">
      <c r="A287" s="58"/>
    </row>
    <row r="288" spans="1:6" ht="15.75" customHeight="1" x14ac:dyDescent="0.25">
      <c r="A288" s="58"/>
      <c r="B288" s="111" t="s">
        <v>2778</v>
      </c>
      <c r="C288" s="111" t="s">
        <v>1</v>
      </c>
      <c r="D288" s="112"/>
      <c r="E288" s="112"/>
      <c r="F288" s="113"/>
    </row>
    <row r="289" spans="2:6" x14ac:dyDescent="0.25">
      <c r="B289" s="111" t="s">
        <v>8</v>
      </c>
      <c r="C289" s="114" t="s">
        <v>307</v>
      </c>
      <c r="D289" s="115" t="s">
        <v>26</v>
      </c>
      <c r="E289" s="115" t="s">
        <v>76</v>
      </c>
      <c r="F289" s="122" t="s">
        <v>2779</v>
      </c>
    </row>
    <row r="290" spans="2:6" x14ac:dyDescent="0.25">
      <c r="B290" s="114">
        <v>2002</v>
      </c>
      <c r="C290" s="184">
        <v>0</v>
      </c>
      <c r="D290" s="185">
        <v>0</v>
      </c>
      <c r="E290" s="185">
        <v>1</v>
      </c>
      <c r="F290" s="199">
        <v>1</v>
      </c>
    </row>
    <row r="291" spans="2:6" x14ac:dyDescent="0.25">
      <c r="B291" s="117">
        <v>2003</v>
      </c>
      <c r="C291" s="187">
        <v>0</v>
      </c>
      <c r="D291" s="188">
        <v>0</v>
      </c>
      <c r="E291" s="188">
        <v>1</v>
      </c>
      <c r="F291" s="200">
        <v>1</v>
      </c>
    </row>
    <row r="292" spans="2:6" x14ac:dyDescent="0.25">
      <c r="B292" s="117">
        <v>2004</v>
      </c>
      <c r="C292" s="187">
        <v>0</v>
      </c>
      <c r="D292" s="188">
        <v>0</v>
      </c>
      <c r="E292" s="188">
        <v>2</v>
      </c>
      <c r="F292" s="200">
        <v>2</v>
      </c>
    </row>
    <row r="293" spans="2:6" x14ac:dyDescent="0.25">
      <c r="B293" s="117">
        <v>2005</v>
      </c>
      <c r="C293" s="187">
        <v>0</v>
      </c>
      <c r="D293" s="188">
        <v>0</v>
      </c>
      <c r="E293" s="188">
        <v>2</v>
      </c>
      <c r="F293" s="200">
        <v>2</v>
      </c>
    </row>
    <row r="294" spans="2:6" x14ac:dyDescent="0.25">
      <c r="B294" s="117">
        <v>2006</v>
      </c>
      <c r="C294" s="187">
        <v>0</v>
      </c>
      <c r="D294" s="188">
        <v>0</v>
      </c>
      <c r="E294" s="188">
        <v>3</v>
      </c>
      <c r="F294" s="200">
        <v>3</v>
      </c>
    </row>
    <row r="295" spans="2:6" x14ac:dyDescent="0.25">
      <c r="B295" s="117">
        <v>2007</v>
      </c>
      <c r="C295" s="187">
        <v>0</v>
      </c>
      <c r="D295" s="188">
        <v>0</v>
      </c>
      <c r="E295" s="188">
        <v>3</v>
      </c>
      <c r="F295" s="200">
        <v>3</v>
      </c>
    </row>
    <row r="296" spans="2:6" x14ac:dyDescent="0.25">
      <c r="B296" s="117">
        <v>2008</v>
      </c>
      <c r="C296" s="187">
        <v>0</v>
      </c>
      <c r="D296" s="188">
        <v>1</v>
      </c>
      <c r="E296" s="188">
        <v>2</v>
      </c>
      <c r="F296" s="200">
        <v>3</v>
      </c>
    </row>
    <row r="297" spans="2:6" x14ac:dyDescent="0.25">
      <c r="B297" s="117">
        <v>2009</v>
      </c>
      <c r="C297" s="187">
        <v>0</v>
      </c>
      <c r="D297" s="188">
        <v>1</v>
      </c>
      <c r="E297" s="188">
        <v>5</v>
      </c>
      <c r="F297" s="200">
        <v>6</v>
      </c>
    </row>
    <row r="298" spans="2:6" x14ac:dyDescent="0.25">
      <c r="B298" s="117">
        <v>2010</v>
      </c>
      <c r="C298" s="187">
        <v>0</v>
      </c>
      <c r="D298" s="188">
        <v>0</v>
      </c>
      <c r="E298" s="188">
        <v>5</v>
      </c>
      <c r="F298" s="200">
        <v>5</v>
      </c>
    </row>
    <row r="299" spans="2:6" x14ac:dyDescent="0.25">
      <c r="B299" s="117">
        <v>2011</v>
      </c>
      <c r="C299" s="187">
        <v>0</v>
      </c>
      <c r="D299" s="188">
        <v>0</v>
      </c>
      <c r="E299" s="188">
        <v>4</v>
      </c>
      <c r="F299" s="200">
        <v>4</v>
      </c>
    </row>
    <row r="300" spans="2:6" x14ac:dyDescent="0.25">
      <c r="B300" s="117">
        <v>2012</v>
      </c>
      <c r="C300" s="187">
        <v>0</v>
      </c>
      <c r="D300" s="188">
        <v>0</v>
      </c>
      <c r="E300" s="188">
        <v>1</v>
      </c>
      <c r="F300" s="200">
        <v>1</v>
      </c>
    </row>
    <row r="301" spans="2:6" x14ac:dyDescent="0.25">
      <c r="B301" s="117">
        <v>2013</v>
      </c>
      <c r="C301" s="187">
        <v>0</v>
      </c>
      <c r="D301" s="188">
        <v>2</v>
      </c>
      <c r="E301" s="188">
        <v>1</v>
      </c>
      <c r="F301" s="200">
        <v>3</v>
      </c>
    </row>
    <row r="302" spans="2:6" x14ac:dyDescent="0.25">
      <c r="B302" s="117">
        <v>2014</v>
      </c>
      <c r="C302" s="187">
        <v>0</v>
      </c>
      <c r="D302" s="188">
        <v>0</v>
      </c>
      <c r="E302" s="188">
        <v>3</v>
      </c>
      <c r="F302" s="200">
        <v>3</v>
      </c>
    </row>
    <row r="303" spans="2:6" x14ac:dyDescent="0.25">
      <c r="B303" s="117">
        <v>2015</v>
      </c>
      <c r="C303" s="187">
        <v>0</v>
      </c>
      <c r="D303" s="188">
        <v>0</v>
      </c>
      <c r="E303" s="188">
        <v>2</v>
      </c>
      <c r="F303" s="200">
        <v>2</v>
      </c>
    </row>
    <row r="304" spans="2:6" x14ac:dyDescent="0.25">
      <c r="B304" s="117">
        <v>2016</v>
      </c>
      <c r="C304" s="187">
        <v>0</v>
      </c>
      <c r="D304" s="188">
        <v>1</v>
      </c>
      <c r="E304" s="188">
        <v>5</v>
      </c>
      <c r="F304" s="200">
        <v>6</v>
      </c>
    </row>
    <row r="305" spans="2:6" x14ac:dyDescent="0.25">
      <c r="B305" s="117">
        <v>2017</v>
      </c>
      <c r="C305" s="187">
        <v>1</v>
      </c>
      <c r="D305" s="188">
        <v>1</v>
      </c>
      <c r="E305" s="188">
        <v>4</v>
      </c>
      <c r="F305" s="200">
        <v>6</v>
      </c>
    </row>
    <row r="306" spans="2:6" x14ac:dyDescent="0.25">
      <c r="B306" s="117">
        <v>2018</v>
      </c>
      <c r="C306" s="187">
        <v>1</v>
      </c>
      <c r="D306" s="188">
        <v>0</v>
      </c>
      <c r="E306" s="188">
        <v>3</v>
      </c>
      <c r="F306" s="200">
        <v>4</v>
      </c>
    </row>
    <row r="307" spans="2:6" x14ac:dyDescent="0.25">
      <c r="B307" s="117">
        <v>2019</v>
      </c>
      <c r="C307" s="187">
        <v>0</v>
      </c>
      <c r="D307" s="188">
        <v>0</v>
      </c>
      <c r="E307" s="188">
        <v>3</v>
      </c>
      <c r="F307" s="200">
        <v>3</v>
      </c>
    </row>
    <row r="308" spans="2:6" x14ac:dyDescent="0.25">
      <c r="B308" s="117">
        <v>2020</v>
      </c>
      <c r="C308" s="187">
        <v>0</v>
      </c>
      <c r="D308" s="188">
        <v>0</v>
      </c>
      <c r="E308" s="188">
        <v>2</v>
      </c>
      <c r="F308" s="200">
        <v>2</v>
      </c>
    </row>
    <row r="309" spans="2:6" x14ac:dyDescent="0.25">
      <c r="B309" s="117">
        <v>2021</v>
      </c>
      <c r="C309" s="187">
        <v>1</v>
      </c>
      <c r="D309" s="188">
        <v>0</v>
      </c>
      <c r="E309" s="188">
        <v>2</v>
      </c>
      <c r="F309" s="200">
        <v>3</v>
      </c>
    </row>
    <row r="310" spans="2:6" x14ac:dyDescent="0.25">
      <c r="B310" s="117">
        <v>2022</v>
      </c>
      <c r="C310" s="187">
        <v>0</v>
      </c>
      <c r="D310" s="188">
        <v>0</v>
      </c>
      <c r="E310" s="188">
        <v>2</v>
      </c>
      <c r="F310" s="200">
        <v>2</v>
      </c>
    </row>
    <row r="311" spans="2:6" x14ac:dyDescent="0.25">
      <c r="B311" s="117">
        <v>2023</v>
      </c>
      <c r="C311" s="187">
        <v>0</v>
      </c>
      <c r="D311" s="188">
        <v>1</v>
      </c>
      <c r="E311" s="188">
        <v>3</v>
      </c>
      <c r="F311" s="200">
        <v>4</v>
      </c>
    </row>
    <row r="312" spans="2:6" x14ac:dyDescent="0.25">
      <c r="B312" s="117">
        <v>2024</v>
      </c>
      <c r="C312" s="187">
        <v>0</v>
      </c>
      <c r="D312" s="188">
        <v>2</v>
      </c>
      <c r="E312" s="188">
        <v>5</v>
      </c>
      <c r="F312" s="200">
        <v>7</v>
      </c>
    </row>
    <row r="313" spans="2:6" x14ac:dyDescent="0.25">
      <c r="B313" s="121" t="s">
        <v>2779</v>
      </c>
      <c r="C313" s="196">
        <v>3</v>
      </c>
      <c r="D313" s="197">
        <v>9</v>
      </c>
      <c r="E313" s="197">
        <v>64</v>
      </c>
      <c r="F313" s="198">
        <v>76</v>
      </c>
    </row>
    <row r="324" spans="1:5" x14ac:dyDescent="0.25">
      <c r="A324" s="57" t="s">
        <v>409</v>
      </c>
      <c r="B324" s="120" t="s">
        <v>7</v>
      </c>
      <c r="C324" s="119" t="s">
        <v>409</v>
      </c>
    </row>
    <row r="325" spans="1:5" ht="15.75" customHeight="1" x14ac:dyDescent="0.25">
      <c r="A325" s="58"/>
    </row>
    <row r="326" spans="1:5" ht="15.75" customHeight="1" x14ac:dyDescent="0.25">
      <c r="A326" s="58"/>
      <c r="B326" s="111" t="s">
        <v>2778</v>
      </c>
      <c r="C326" s="111" t="s">
        <v>1</v>
      </c>
      <c r="D326" s="112"/>
      <c r="E326" s="113"/>
    </row>
    <row r="327" spans="1:5" x14ac:dyDescent="0.25">
      <c r="A327" s="58"/>
      <c r="B327" s="111" t="s">
        <v>8</v>
      </c>
      <c r="C327" s="114" t="s">
        <v>26</v>
      </c>
      <c r="D327" s="115" t="s">
        <v>76</v>
      </c>
      <c r="E327" s="122" t="s">
        <v>2779</v>
      </c>
    </row>
    <row r="328" spans="1:5" x14ac:dyDescent="0.25">
      <c r="A328" s="58"/>
      <c r="B328" s="114">
        <v>2002</v>
      </c>
      <c r="C328" s="184">
        <v>0</v>
      </c>
      <c r="D328" s="185">
        <v>0</v>
      </c>
      <c r="E328" s="199">
        <v>0</v>
      </c>
    </row>
    <row r="329" spans="1:5" x14ac:dyDescent="0.25">
      <c r="A329" s="58"/>
      <c r="B329" s="117">
        <v>2003</v>
      </c>
      <c r="C329" s="187">
        <v>0</v>
      </c>
      <c r="D329" s="188">
        <v>1</v>
      </c>
      <c r="E329" s="200">
        <v>1</v>
      </c>
    </row>
    <row r="330" spans="1:5" x14ac:dyDescent="0.25">
      <c r="A330" s="58"/>
      <c r="B330" s="117">
        <v>2004</v>
      </c>
      <c r="C330" s="187">
        <v>0</v>
      </c>
      <c r="D330" s="188">
        <v>4</v>
      </c>
      <c r="E330" s="200">
        <v>4</v>
      </c>
    </row>
    <row r="331" spans="1:5" x14ac:dyDescent="0.25">
      <c r="A331" s="58"/>
      <c r="B331" s="117">
        <v>2005</v>
      </c>
      <c r="C331" s="187">
        <v>0</v>
      </c>
      <c r="D331" s="188">
        <v>1</v>
      </c>
      <c r="E331" s="200">
        <v>1</v>
      </c>
    </row>
    <row r="332" spans="1:5" x14ac:dyDescent="0.25">
      <c r="A332" s="58"/>
      <c r="B332" s="117">
        <v>2006</v>
      </c>
      <c r="C332" s="187">
        <v>0</v>
      </c>
      <c r="D332" s="188">
        <v>1</v>
      </c>
      <c r="E332" s="200">
        <v>1</v>
      </c>
    </row>
    <row r="333" spans="1:5" x14ac:dyDescent="0.25">
      <c r="A333" s="58"/>
      <c r="B333" s="117">
        <v>2007</v>
      </c>
      <c r="C333" s="187">
        <v>1</v>
      </c>
      <c r="D333" s="188">
        <v>2</v>
      </c>
      <c r="E333" s="200">
        <v>3</v>
      </c>
    </row>
    <row r="334" spans="1:5" x14ac:dyDescent="0.25">
      <c r="A334" s="58"/>
      <c r="B334" s="117">
        <v>2008</v>
      </c>
      <c r="C334" s="187">
        <v>0</v>
      </c>
      <c r="D334" s="188">
        <v>3</v>
      </c>
      <c r="E334" s="200">
        <v>3</v>
      </c>
    </row>
    <row r="335" spans="1:5" x14ac:dyDescent="0.25">
      <c r="A335" s="58"/>
      <c r="B335" s="117">
        <v>2009</v>
      </c>
      <c r="C335" s="187">
        <v>1</v>
      </c>
      <c r="D335" s="188">
        <v>5</v>
      </c>
      <c r="E335" s="200">
        <v>6</v>
      </c>
    </row>
    <row r="336" spans="1:5" x14ac:dyDescent="0.25">
      <c r="A336" s="58"/>
      <c r="B336" s="117">
        <v>2010</v>
      </c>
      <c r="C336" s="187">
        <v>0</v>
      </c>
      <c r="D336" s="188">
        <v>3</v>
      </c>
      <c r="E336" s="200">
        <v>3</v>
      </c>
    </row>
    <row r="337" spans="2:5" x14ac:dyDescent="0.25">
      <c r="B337" s="117">
        <v>2011</v>
      </c>
      <c r="C337" s="187">
        <v>0</v>
      </c>
      <c r="D337" s="188">
        <v>2</v>
      </c>
      <c r="E337" s="200">
        <v>2</v>
      </c>
    </row>
    <row r="338" spans="2:5" x14ac:dyDescent="0.25">
      <c r="B338" s="117">
        <v>2012</v>
      </c>
      <c r="C338" s="187">
        <v>0</v>
      </c>
      <c r="D338" s="188">
        <v>1</v>
      </c>
      <c r="E338" s="200">
        <v>1</v>
      </c>
    </row>
    <row r="339" spans="2:5" x14ac:dyDescent="0.25">
      <c r="B339" s="117">
        <v>2013</v>
      </c>
      <c r="C339" s="187">
        <v>0</v>
      </c>
      <c r="D339" s="188">
        <v>0</v>
      </c>
      <c r="E339" s="200">
        <v>0</v>
      </c>
    </row>
    <row r="340" spans="2:5" x14ac:dyDescent="0.25">
      <c r="B340" s="117">
        <v>2014</v>
      </c>
      <c r="C340" s="187">
        <v>0</v>
      </c>
      <c r="D340" s="188">
        <v>1</v>
      </c>
      <c r="E340" s="200">
        <v>1</v>
      </c>
    </row>
    <row r="341" spans="2:5" x14ac:dyDescent="0.25">
      <c r="B341" s="117">
        <v>2015</v>
      </c>
      <c r="C341" s="187">
        <v>0</v>
      </c>
      <c r="D341" s="188">
        <v>1</v>
      </c>
      <c r="E341" s="200">
        <v>1</v>
      </c>
    </row>
    <row r="342" spans="2:5" x14ac:dyDescent="0.25">
      <c r="B342" s="117">
        <v>2016</v>
      </c>
      <c r="C342" s="187">
        <v>0</v>
      </c>
      <c r="D342" s="188">
        <v>1</v>
      </c>
      <c r="E342" s="200">
        <v>1</v>
      </c>
    </row>
    <row r="343" spans="2:5" x14ac:dyDescent="0.25">
      <c r="B343" s="117">
        <v>2017</v>
      </c>
      <c r="C343" s="187">
        <v>0</v>
      </c>
      <c r="D343" s="188">
        <v>0</v>
      </c>
      <c r="E343" s="200">
        <v>0</v>
      </c>
    </row>
    <row r="344" spans="2:5" x14ac:dyDescent="0.25">
      <c r="B344" s="117">
        <v>2018</v>
      </c>
      <c r="C344" s="187">
        <v>0</v>
      </c>
      <c r="D344" s="188">
        <v>1</v>
      </c>
      <c r="E344" s="200">
        <v>1</v>
      </c>
    </row>
    <row r="345" spans="2:5" x14ac:dyDescent="0.25">
      <c r="B345" s="117">
        <v>2019</v>
      </c>
      <c r="C345" s="187">
        <v>0</v>
      </c>
      <c r="D345" s="188">
        <v>1</v>
      </c>
      <c r="E345" s="200">
        <v>1</v>
      </c>
    </row>
    <row r="346" spans="2:5" x14ac:dyDescent="0.25">
      <c r="B346" s="117">
        <v>2020</v>
      </c>
      <c r="C346" s="187">
        <v>0</v>
      </c>
      <c r="D346" s="188">
        <v>1</v>
      </c>
      <c r="E346" s="200">
        <v>1</v>
      </c>
    </row>
    <row r="347" spans="2:5" x14ac:dyDescent="0.25">
      <c r="B347" s="117">
        <v>2021</v>
      </c>
      <c r="C347" s="187">
        <v>0</v>
      </c>
      <c r="D347" s="188">
        <v>1</v>
      </c>
      <c r="E347" s="200">
        <v>1</v>
      </c>
    </row>
    <row r="348" spans="2:5" x14ac:dyDescent="0.25">
      <c r="B348" s="117">
        <v>2022</v>
      </c>
      <c r="C348" s="187">
        <v>0</v>
      </c>
      <c r="D348" s="188">
        <v>0</v>
      </c>
      <c r="E348" s="200">
        <v>0</v>
      </c>
    </row>
    <row r="349" spans="2:5" x14ac:dyDescent="0.25">
      <c r="B349" s="117">
        <v>2023</v>
      </c>
      <c r="C349" s="187">
        <v>0</v>
      </c>
      <c r="D349" s="188">
        <v>2</v>
      </c>
      <c r="E349" s="200">
        <v>2</v>
      </c>
    </row>
    <row r="350" spans="2:5" x14ac:dyDescent="0.25">
      <c r="B350" s="117">
        <v>2024</v>
      </c>
      <c r="C350" s="187">
        <v>0</v>
      </c>
      <c r="D350" s="188">
        <v>2</v>
      </c>
      <c r="E350" s="200">
        <v>2</v>
      </c>
    </row>
    <row r="351" spans="2:5" x14ac:dyDescent="0.25">
      <c r="B351" s="121" t="s">
        <v>2779</v>
      </c>
      <c r="C351" s="196">
        <v>2</v>
      </c>
      <c r="D351" s="197">
        <v>34</v>
      </c>
      <c r="E351" s="198">
        <v>36</v>
      </c>
    </row>
    <row r="361" spans="1:6" x14ac:dyDescent="0.25">
      <c r="A361" s="57" t="s">
        <v>130</v>
      </c>
      <c r="B361" s="120" t="s">
        <v>7</v>
      </c>
      <c r="C361" s="119" t="s">
        <v>130</v>
      </c>
    </row>
    <row r="362" spans="1:6" ht="15.75" customHeight="1" x14ac:dyDescent="0.25">
      <c r="A362" s="58"/>
    </row>
    <row r="363" spans="1:6" ht="15.75" customHeight="1" x14ac:dyDescent="0.25">
      <c r="A363" s="58"/>
      <c r="B363" s="111" t="s">
        <v>2778</v>
      </c>
      <c r="C363" s="111" t="s">
        <v>1</v>
      </c>
      <c r="D363" s="112"/>
      <c r="E363" s="112"/>
      <c r="F363" s="113"/>
    </row>
    <row r="364" spans="1:6" ht="15.75" customHeight="1" x14ac:dyDescent="0.25">
      <c r="A364" s="58"/>
      <c r="B364" s="111" t="s">
        <v>8</v>
      </c>
      <c r="C364" s="114" t="s">
        <v>307</v>
      </c>
      <c r="D364" s="115" t="s">
        <v>26</v>
      </c>
      <c r="E364" s="115" t="s">
        <v>76</v>
      </c>
      <c r="F364" s="116" t="s">
        <v>2779</v>
      </c>
    </row>
    <row r="365" spans="1:6" ht="15.75" customHeight="1" x14ac:dyDescent="0.25">
      <c r="A365" s="58"/>
      <c r="B365" s="114">
        <v>2002</v>
      </c>
      <c r="C365" s="184">
        <v>0</v>
      </c>
      <c r="D365" s="185">
        <v>1</v>
      </c>
      <c r="E365" s="185">
        <v>6</v>
      </c>
      <c r="F365" s="193">
        <v>7</v>
      </c>
    </row>
    <row r="366" spans="1:6" ht="15.75" customHeight="1" x14ac:dyDescent="0.25">
      <c r="A366" s="58"/>
      <c r="B366" s="117">
        <v>2003</v>
      </c>
      <c r="C366" s="187">
        <v>0</v>
      </c>
      <c r="D366" s="188">
        <v>0</v>
      </c>
      <c r="E366" s="188">
        <v>2</v>
      </c>
      <c r="F366" s="194">
        <v>2</v>
      </c>
    </row>
    <row r="367" spans="1:6" ht="15.75" customHeight="1" x14ac:dyDescent="0.25">
      <c r="A367" s="58"/>
      <c r="B367" s="117">
        <v>2004</v>
      </c>
      <c r="C367" s="187">
        <v>0</v>
      </c>
      <c r="D367" s="188">
        <v>0</v>
      </c>
      <c r="E367" s="188">
        <v>2</v>
      </c>
      <c r="F367" s="194">
        <v>2</v>
      </c>
    </row>
    <row r="368" spans="1:6" x14ac:dyDescent="0.25">
      <c r="A368" s="58"/>
      <c r="B368" s="117">
        <v>2005</v>
      </c>
      <c r="C368" s="187">
        <v>0</v>
      </c>
      <c r="D368" s="188">
        <v>0</v>
      </c>
      <c r="E368" s="188">
        <v>2</v>
      </c>
      <c r="F368" s="194">
        <v>2</v>
      </c>
    </row>
    <row r="369" spans="2:6" ht="15.75" customHeight="1" x14ac:dyDescent="0.25">
      <c r="B369" s="117">
        <v>2006</v>
      </c>
      <c r="C369" s="187">
        <v>0</v>
      </c>
      <c r="D369" s="188">
        <v>0</v>
      </c>
      <c r="E369" s="188">
        <v>2</v>
      </c>
      <c r="F369" s="194">
        <v>2</v>
      </c>
    </row>
    <row r="370" spans="2:6" ht="15.75" customHeight="1" x14ac:dyDescent="0.25">
      <c r="B370" s="117">
        <v>2007</v>
      </c>
      <c r="C370" s="187">
        <v>0</v>
      </c>
      <c r="D370" s="188">
        <v>0</v>
      </c>
      <c r="E370" s="188">
        <v>6</v>
      </c>
      <c r="F370" s="194">
        <v>6</v>
      </c>
    </row>
    <row r="371" spans="2:6" ht="15.75" customHeight="1" x14ac:dyDescent="0.25">
      <c r="B371" s="117">
        <v>2008</v>
      </c>
      <c r="C371" s="187">
        <v>0</v>
      </c>
      <c r="D371" s="188">
        <v>0</v>
      </c>
      <c r="E371" s="188">
        <v>4</v>
      </c>
      <c r="F371" s="194">
        <v>4</v>
      </c>
    </row>
    <row r="372" spans="2:6" ht="15.75" customHeight="1" x14ac:dyDescent="0.25">
      <c r="B372" s="117">
        <v>2009</v>
      </c>
      <c r="C372" s="187">
        <v>0</v>
      </c>
      <c r="D372" s="188">
        <v>0</v>
      </c>
      <c r="E372" s="188">
        <v>5</v>
      </c>
      <c r="F372" s="194">
        <v>5</v>
      </c>
    </row>
    <row r="373" spans="2:6" ht="15.75" customHeight="1" x14ac:dyDescent="0.25">
      <c r="B373" s="117">
        <v>2010</v>
      </c>
      <c r="C373" s="187">
        <v>0</v>
      </c>
      <c r="D373" s="188">
        <v>0</v>
      </c>
      <c r="E373" s="188">
        <v>0</v>
      </c>
      <c r="F373" s="194">
        <v>0</v>
      </c>
    </row>
    <row r="374" spans="2:6" ht="15.75" customHeight="1" x14ac:dyDescent="0.25">
      <c r="B374" s="117">
        <v>2011</v>
      </c>
      <c r="C374" s="187">
        <v>0</v>
      </c>
      <c r="D374" s="188">
        <v>0</v>
      </c>
      <c r="E374" s="188">
        <v>2</v>
      </c>
      <c r="F374" s="194">
        <v>2</v>
      </c>
    </row>
    <row r="375" spans="2:6" ht="15.75" customHeight="1" x14ac:dyDescent="0.25">
      <c r="B375" s="117">
        <v>2012</v>
      </c>
      <c r="C375" s="187">
        <v>0</v>
      </c>
      <c r="D375" s="188">
        <v>0</v>
      </c>
      <c r="E375" s="188">
        <v>1</v>
      </c>
      <c r="F375" s="194">
        <v>1</v>
      </c>
    </row>
    <row r="376" spans="2:6" ht="15.75" customHeight="1" x14ac:dyDescent="0.25">
      <c r="B376" s="117">
        <v>2013</v>
      </c>
      <c r="C376" s="187">
        <v>0</v>
      </c>
      <c r="D376" s="188">
        <v>1</v>
      </c>
      <c r="E376" s="188">
        <v>4</v>
      </c>
      <c r="F376" s="194">
        <v>5</v>
      </c>
    </row>
    <row r="377" spans="2:6" ht="15.75" customHeight="1" x14ac:dyDescent="0.25">
      <c r="B377" s="117">
        <v>2014</v>
      </c>
      <c r="C377" s="187">
        <v>0</v>
      </c>
      <c r="D377" s="188">
        <v>0</v>
      </c>
      <c r="E377" s="188">
        <v>3</v>
      </c>
      <c r="F377" s="194">
        <v>3</v>
      </c>
    </row>
    <row r="378" spans="2:6" ht="15.75" customHeight="1" x14ac:dyDescent="0.25">
      <c r="B378" s="117">
        <v>2015</v>
      </c>
      <c r="C378" s="187">
        <v>1</v>
      </c>
      <c r="D378" s="188">
        <v>0</v>
      </c>
      <c r="E378" s="188">
        <v>3</v>
      </c>
      <c r="F378" s="194">
        <v>4</v>
      </c>
    </row>
    <row r="379" spans="2:6" ht="15.75" customHeight="1" x14ac:dyDescent="0.25">
      <c r="B379" s="117">
        <v>2016</v>
      </c>
      <c r="C379" s="187">
        <v>0</v>
      </c>
      <c r="D379" s="188">
        <v>1</v>
      </c>
      <c r="E379" s="188">
        <v>0</v>
      </c>
      <c r="F379" s="194">
        <v>1</v>
      </c>
    </row>
    <row r="380" spans="2:6" ht="15.75" customHeight="1" x14ac:dyDescent="0.25">
      <c r="B380" s="117">
        <v>2017</v>
      </c>
      <c r="C380" s="187">
        <v>0</v>
      </c>
      <c r="D380" s="188">
        <v>0</v>
      </c>
      <c r="E380" s="188">
        <v>1</v>
      </c>
      <c r="F380" s="194">
        <v>1</v>
      </c>
    </row>
    <row r="381" spans="2:6" ht="15.75" customHeight="1" x14ac:dyDescent="0.25">
      <c r="B381" s="117">
        <v>2018</v>
      </c>
      <c r="C381" s="187">
        <v>0</v>
      </c>
      <c r="D381" s="188">
        <v>0</v>
      </c>
      <c r="E381" s="188">
        <v>1</v>
      </c>
      <c r="F381" s="194">
        <v>1</v>
      </c>
    </row>
    <row r="382" spans="2:6" ht="15.75" customHeight="1" x14ac:dyDescent="0.25">
      <c r="B382" s="117">
        <v>2019</v>
      </c>
      <c r="C382" s="187">
        <v>0</v>
      </c>
      <c r="D382" s="188">
        <v>0</v>
      </c>
      <c r="E382" s="188">
        <v>3</v>
      </c>
      <c r="F382" s="194">
        <v>3</v>
      </c>
    </row>
    <row r="383" spans="2:6" ht="15.75" customHeight="1" x14ac:dyDescent="0.25">
      <c r="B383" s="117">
        <v>2020</v>
      </c>
      <c r="C383" s="187">
        <v>0</v>
      </c>
      <c r="D383" s="188">
        <v>0</v>
      </c>
      <c r="E383" s="188">
        <v>2</v>
      </c>
      <c r="F383" s="194">
        <v>2</v>
      </c>
    </row>
    <row r="384" spans="2:6" ht="15.75" customHeight="1" x14ac:dyDescent="0.25">
      <c r="B384" s="117">
        <v>2021</v>
      </c>
      <c r="C384" s="187">
        <v>0</v>
      </c>
      <c r="D384" s="188">
        <v>0</v>
      </c>
      <c r="E384" s="188">
        <v>0</v>
      </c>
      <c r="F384" s="194">
        <v>0</v>
      </c>
    </row>
    <row r="385" spans="1:6" ht="15.75" customHeight="1" x14ac:dyDescent="0.25">
      <c r="A385" s="58"/>
      <c r="B385" s="117">
        <v>2022</v>
      </c>
      <c r="C385" s="187">
        <v>0</v>
      </c>
      <c r="D385" s="188">
        <v>0</v>
      </c>
      <c r="E385" s="188">
        <v>1</v>
      </c>
      <c r="F385" s="194">
        <v>1</v>
      </c>
    </row>
    <row r="386" spans="1:6" ht="15.75" customHeight="1" x14ac:dyDescent="0.25">
      <c r="A386" s="58"/>
      <c r="B386" s="117">
        <v>2023</v>
      </c>
      <c r="C386" s="187">
        <v>0</v>
      </c>
      <c r="D386" s="188">
        <v>0</v>
      </c>
      <c r="E386" s="188">
        <v>0</v>
      </c>
      <c r="F386" s="194">
        <v>0</v>
      </c>
    </row>
    <row r="387" spans="1:6" x14ac:dyDescent="0.25">
      <c r="A387" s="58"/>
      <c r="B387" s="117">
        <v>2024</v>
      </c>
      <c r="C387" s="187">
        <v>0</v>
      </c>
      <c r="D387" s="188">
        <v>0</v>
      </c>
      <c r="E387" s="188">
        <v>0</v>
      </c>
      <c r="F387" s="194">
        <v>0</v>
      </c>
    </row>
    <row r="388" spans="1:6" x14ac:dyDescent="0.25">
      <c r="A388" s="58"/>
      <c r="B388" s="121" t="s">
        <v>2779</v>
      </c>
      <c r="C388" s="196">
        <v>1</v>
      </c>
      <c r="D388" s="197">
        <v>3</v>
      </c>
      <c r="E388" s="197">
        <v>50</v>
      </c>
      <c r="F388" s="198">
        <v>54</v>
      </c>
    </row>
    <row r="389" spans="1:6" ht="15.75" customHeight="1" x14ac:dyDescent="0.25">
      <c r="A389" s="58"/>
      <c r="B389" s="69"/>
      <c r="C389" s="69"/>
      <c r="D389" s="68"/>
      <c r="E389" s="68"/>
      <c r="F389" s="68"/>
    </row>
    <row r="390" spans="1:6" ht="15.75" customHeight="1" x14ac:dyDescent="0.25">
      <c r="A390" s="58"/>
      <c r="B390" s="69"/>
      <c r="C390" s="69"/>
      <c r="D390" s="68"/>
      <c r="E390" s="68"/>
      <c r="F390" s="68"/>
    </row>
    <row r="391" spans="1:6" ht="15.75" customHeight="1" x14ac:dyDescent="0.25">
      <c r="A391" s="58"/>
      <c r="B391" s="69"/>
      <c r="C391" s="69"/>
      <c r="D391" s="68"/>
      <c r="E391" s="68"/>
      <c r="F391" s="68"/>
    </row>
    <row r="392" spans="1:6" x14ac:dyDescent="0.25">
      <c r="A392" s="57" t="s">
        <v>63</v>
      </c>
      <c r="B392" s="120" t="s">
        <v>7</v>
      </c>
      <c r="C392" s="119" t="s">
        <v>63</v>
      </c>
    </row>
    <row r="393" spans="1:6" ht="15.75" customHeight="1" x14ac:dyDescent="0.25">
      <c r="A393" s="58"/>
    </row>
    <row r="394" spans="1:6" ht="15.75" customHeight="1" x14ac:dyDescent="0.25">
      <c r="A394" s="58"/>
      <c r="B394" s="111" t="s">
        <v>2778</v>
      </c>
      <c r="C394" s="114"/>
      <c r="D394" s="112"/>
      <c r="E394" s="112"/>
      <c r="F394" s="113"/>
    </row>
    <row r="395" spans="1:6" x14ac:dyDescent="0.25">
      <c r="A395" s="58"/>
      <c r="B395" s="114"/>
      <c r="C395" s="114" t="s">
        <v>307</v>
      </c>
      <c r="D395" s="115" t="s">
        <v>26</v>
      </c>
      <c r="E395" s="115" t="s">
        <v>76</v>
      </c>
      <c r="F395" s="122" t="s">
        <v>2779</v>
      </c>
    </row>
    <row r="396" spans="1:6" x14ac:dyDescent="0.25">
      <c r="A396" s="58"/>
      <c r="B396" s="114">
        <v>2002</v>
      </c>
      <c r="C396" s="184">
        <v>0</v>
      </c>
      <c r="D396" s="185">
        <v>0</v>
      </c>
      <c r="E396" s="185">
        <v>1</v>
      </c>
      <c r="F396" s="199">
        <v>1</v>
      </c>
    </row>
    <row r="397" spans="1:6" x14ac:dyDescent="0.25">
      <c r="A397" s="58"/>
      <c r="B397" s="117">
        <v>2003</v>
      </c>
      <c r="C397" s="187">
        <v>0</v>
      </c>
      <c r="D397" s="188">
        <v>0</v>
      </c>
      <c r="E397" s="188">
        <v>3</v>
      </c>
      <c r="F397" s="200">
        <v>3</v>
      </c>
    </row>
    <row r="398" spans="1:6" x14ac:dyDescent="0.25">
      <c r="A398" s="58"/>
      <c r="B398" s="117">
        <v>2004</v>
      </c>
      <c r="C398" s="187">
        <v>0</v>
      </c>
      <c r="D398" s="188">
        <v>0</v>
      </c>
      <c r="E398" s="188">
        <v>2</v>
      </c>
      <c r="F398" s="200">
        <v>2</v>
      </c>
    </row>
    <row r="399" spans="1:6" x14ac:dyDescent="0.25">
      <c r="A399" s="58"/>
      <c r="B399" s="117">
        <v>2005</v>
      </c>
      <c r="C399" s="187">
        <v>0</v>
      </c>
      <c r="D399" s="188">
        <v>0</v>
      </c>
      <c r="E399" s="188">
        <v>1</v>
      </c>
      <c r="F399" s="200">
        <v>1</v>
      </c>
    </row>
    <row r="400" spans="1:6" x14ac:dyDescent="0.25">
      <c r="A400" s="58"/>
      <c r="B400" s="117">
        <v>2006</v>
      </c>
      <c r="C400" s="187">
        <v>0</v>
      </c>
      <c r="D400" s="188">
        <v>0</v>
      </c>
      <c r="E400" s="188">
        <v>2</v>
      </c>
      <c r="F400" s="200">
        <v>2</v>
      </c>
    </row>
    <row r="401" spans="2:6" x14ac:dyDescent="0.25">
      <c r="B401" s="117">
        <v>2007</v>
      </c>
      <c r="C401" s="187">
        <v>0</v>
      </c>
      <c r="D401" s="188">
        <v>0</v>
      </c>
      <c r="E401" s="188">
        <v>1</v>
      </c>
      <c r="F401" s="200">
        <v>1</v>
      </c>
    </row>
    <row r="402" spans="2:6" x14ac:dyDescent="0.25">
      <c r="B402" s="117">
        <v>2008</v>
      </c>
      <c r="C402" s="187">
        <v>0</v>
      </c>
      <c r="D402" s="188">
        <v>0</v>
      </c>
      <c r="E402" s="188">
        <v>1</v>
      </c>
      <c r="F402" s="200">
        <v>1</v>
      </c>
    </row>
    <row r="403" spans="2:6" x14ac:dyDescent="0.25">
      <c r="B403" s="117">
        <v>2009</v>
      </c>
      <c r="C403" s="187">
        <v>0</v>
      </c>
      <c r="D403" s="188">
        <v>0</v>
      </c>
      <c r="E403" s="188">
        <v>2</v>
      </c>
      <c r="F403" s="200">
        <v>2</v>
      </c>
    </row>
    <row r="404" spans="2:6" x14ac:dyDescent="0.25">
      <c r="B404" s="117">
        <v>2010</v>
      </c>
      <c r="C404" s="187">
        <v>0</v>
      </c>
      <c r="D404" s="188">
        <v>0</v>
      </c>
      <c r="E404" s="188">
        <v>2</v>
      </c>
      <c r="F404" s="200">
        <v>2</v>
      </c>
    </row>
    <row r="405" spans="2:6" x14ac:dyDescent="0.25">
      <c r="B405" s="117">
        <v>2011</v>
      </c>
      <c r="C405" s="187">
        <v>0</v>
      </c>
      <c r="D405" s="188">
        <v>0</v>
      </c>
      <c r="E405" s="188">
        <v>4</v>
      </c>
      <c r="F405" s="200">
        <v>4</v>
      </c>
    </row>
    <row r="406" spans="2:6" x14ac:dyDescent="0.25">
      <c r="B406" s="117">
        <v>2012</v>
      </c>
      <c r="C406" s="187">
        <v>0</v>
      </c>
      <c r="D406" s="188">
        <v>0</v>
      </c>
      <c r="E406" s="188">
        <v>0</v>
      </c>
      <c r="F406" s="200">
        <v>0</v>
      </c>
    </row>
    <row r="407" spans="2:6" x14ac:dyDescent="0.25">
      <c r="B407" s="117">
        <v>2013</v>
      </c>
      <c r="C407" s="187">
        <v>0</v>
      </c>
      <c r="D407" s="188">
        <v>0</v>
      </c>
      <c r="E407" s="188">
        <v>1</v>
      </c>
      <c r="F407" s="200">
        <v>1</v>
      </c>
    </row>
    <row r="408" spans="2:6" x14ac:dyDescent="0.25">
      <c r="B408" s="117">
        <v>2014</v>
      </c>
      <c r="C408" s="187">
        <v>0</v>
      </c>
      <c r="D408" s="188">
        <v>0</v>
      </c>
      <c r="E408" s="188">
        <v>0</v>
      </c>
      <c r="F408" s="200">
        <v>0</v>
      </c>
    </row>
    <row r="409" spans="2:6" x14ac:dyDescent="0.25">
      <c r="B409" s="117">
        <v>2015</v>
      </c>
      <c r="C409" s="187">
        <v>0</v>
      </c>
      <c r="D409" s="188">
        <v>0</v>
      </c>
      <c r="E409" s="188">
        <v>0</v>
      </c>
      <c r="F409" s="200">
        <v>0</v>
      </c>
    </row>
    <row r="410" spans="2:6" x14ac:dyDescent="0.25">
      <c r="B410" s="117">
        <v>2016</v>
      </c>
      <c r="C410" s="187">
        <v>0</v>
      </c>
      <c r="D410" s="188">
        <v>0</v>
      </c>
      <c r="E410" s="188">
        <v>0</v>
      </c>
      <c r="F410" s="200">
        <v>0</v>
      </c>
    </row>
    <row r="411" spans="2:6" x14ac:dyDescent="0.25">
      <c r="B411" s="117">
        <v>2017</v>
      </c>
      <c r="C411" s="187">
        <v>0</v>
      </c>
      <c r="D411" s="188">
        <v>0</v>
      </c>
      <c r="E411" s="188">
        <v>0</v>
      </c>
      <c r="F411" s="200">
        <v>0</v>
      </c>
    </row>
    <row r="412" spans="2:6" x14ac:dyDescent="0.25">
      <c r="B412" s="117">
        <v>2018</v>
      </c>
      <c r="C412" s="187">
        <v>0</v>
      </c>
      <c r="D412" s="188">
        <v>0</v>
      </c>
      <c r="E412" s="188">
        <v>1</v>
      </c>
      <c r="F412" s="200">
        <v>1</v>
      </c>
    </row>
    <row r="413" spans="2:6" x14ac:dyDescent="0.25">
      <c r="B413" s="117">
        <v>2019</v>
      </c>
      <c r="C413" s="187">
        <v>0</v>
      </c>
      <c r="D413" s="188">
        <v>0</v>
      </c>
      <c r="E413" s="188">
        <v>4</v>
      </c>
      <c r="F413" s="200">
        <v>4</v>
      </c>
    </row>
    <row r="414" spans="2:6" x14ac:dyDescent="0.25">
      <c r="B414" s="117">
        <v>2020</v>
      </c>
      <c r="C414" s="187">
        <v>0</v>
      </c>
      <c r="D414" s="188">
        <v>0</v>
      </c>
      <c r="E414" s="188">
        <v>0</v>
      </c>
      <c r="F414" s="200">
        <v>0</v>
      </c>
    </row>
    <row r="415" spans="2:6" x14ac:dyDescent="0.25">
      <c r="B415" s="117">
        <v>2021</v>
      </c>
      <c r="C415" s="187">
        <v>0</v>
      </c>
      <c r="D415" s="188">
        <v>0</v>
      </c>
      <c r="E415" s="188">
        <v>0</v>
      </c>
      <c r="F415" s="200">
        <v>0</v>
      </c>
    </row>
    <row r="416" spans="2:6" x14ac:dyDescent="0.25">
      <c r="B416" s="117">
        <v>2022</v>
      </c>
      <c r="C416" s="187">
        <v>0</v>
      </c>
      <c r="D416" s="188">
        <v>0</v>
      </c>
      <c r="E416" s="188">
        <v>0</v>
      </c>
      <c r="F416" s="200">
        <v>0</v>
      </c>
    </row>
    <row r="417" spans="1:6" x14ac:dyDescent="0.25">
      <c r="A417" s="58"/>
      <c r="B417" s="117">
        <v>2023</v>
      </c>
      <c r="C417" s="187">
        <v>0</v>
      </c>
      <c r="D417" s="188">
        <v>0</v>
      </c>
      <c r="E417" s="188">
        <v>0</v>
      </c>
      <c r="F417" s="200">
        <v>0</v>
      </c>
    </row>
    <row r="418" spans="1:6" x14ac:dyDescent="0.25">
      <c r="A418" s="58"/>
      <c r="B418" s="117">
        <v>2024</v>
      </c>
      <c r="C418" s="187">
        <v>0</v>
      </c>
      <c r="D418" s="188">
        <v>0</v>
      </c>
      <c r="E418" s="188">
        <v>0</v>
      </c>
      <c r="F418" s="200">
        <v>0</v>
      </c>
    </row>
    <row r="419" spans="1:6" x14ac:dyDescent="0.25">
      <c r="A419" s="58"/>
      <c r="B419" s="121" t="s">
        <v>2779</v>
      </c>
      <c r="C419" s="196">
        <v>0</v>
      </c>
      <c r="D419" s="197">
        <v>0</v>
      </c>
      <c r="E419" s="197">
        <v>25</v>
      </c>
      <c r="F419" s="198">
        <v>25</v>
      </c>
    </row>
    <row r="420" spans="1:6" ht="15.75" customHeight="1" x14ac:dyDescent="0.25">
      <c r="A420" s="58"/>
      <c r="B420" s="68"/>
      <c r="C420" s="68"/>
      <c r="D420" s="68"/>
      <c r="E420" s="68"/>
      <c r="F420" s="68"/>
    </row>
    <row r="421" spans="1:6" ht="15.75" customHeight="1" x14ac:dyDescent="0.25">
      <c r="A421" s="58"/>
      <c r="B421" s="68"/>
      <c r="C421" s="68"/>
      <c r="D421" s="68"/>
      <c r="E421" s="68"/>
      <c r="F421" s="68"/>
    </row>
    <row r="422" spans="1:6" ht="15" customHeight="1" x14ac:dyDescent="0.25">
      <c r="A422" s="58"/>
      <c r="B422" s="68"/>
      <c r="C422" s="68"/>
      <c r="D422" s="68"/>
      <c r="E422" s="68"/>
      <c r="F422" s="68"/>
    </row>
    <row r="423" spans="1:6" ht="15.75" customHeight="1" x14ac:dyDescent="0.25">
      <c r="A423" s="58"/>
      <c r="B423" s="68"/>
      <c r="C423" s="68"/>
      <c r="D423" s="68"/>
      <c r="E423" s="68"/>
      <c r="F423" s="68"/>
    </row>
    <row r="424" spans="1:6" ht="15.75" customHeight="1" x14ac:dyDescent="0.25">
      <c r="A424" s="58"/>
      <c r="B424" s="6"/>
    </row>
    <row r="425" spans="1:6" ht="15.75" customHeight="1" x14ac:dyDescent="0.25">
      <c r="A425" s="58"/>
      <c r="B425" s="6"/>
    </row>
    <row r="426" spans="1:6" ht="15.75" customHeight="1" x14ac:dyDescent="0.25">
      <c r="A426" s="58"/>
      <c r="B426" s="6"/>
    </row>
    <row r="427" spans="1:6" ht="15.75" customHeight="1" x14ac:dyDescent="0.25">
      <c r="A427" s="58"/>
      <c r="B427" s="6"/>
    </row>
    <row r="428" spans="1:6" ht="15.75" customHeight="1" x14ac:dyDescent="0.25">
      <c r="A428" s="58"/>
    </row>
    <row r="429" spans="1:6" x14ac:dyDescent="0.25">
      <c r="A429" s="57" t="s">
        <v>73</v>
      </c>
      <c r="B429" s="120" t="s">
        <v>7</v>
      </c>
      <c r="C429" s="119" t="s">
        <v>73</v>
      </c>
    </row>
    <row r="430" spans="1:6" ht="15.75" customHeight="1" x14ac:dyDescent="0.25">
      <c r="A430" s="58"/>
    </row>
    <row r="431" spans="1:6" ht="15.75" customHeight="1" x14ac:dyDescent="0.25">
      <c r="A431" s="58"/>
      <c r="B431" s="111" t="s">
        <v>2778</v>
      </c>
      <c r="C431" s="111" t="s">
        <v>1</v>
      </c>
      <c r="D431" s="112"/>
      <c r="E431" s="112"/>
      <c r="F431" s="113"/>
    </row>
    <row r="432" spans="1:6" x14ac:dyDescent="0.25">
      <c r="A432" s="58"/>
      <c r="B432" s="111" t="s">
        <v>8</v>
      </c>
      <c r="C432" s="114" t="s">
        <v>307</v>
      </c>
      <c r="D432" s="115" t="s">
        <v>26</v>
      </c>
      <c r="E432" s="115" t="s">
        <v>76</v>
      </c>
      <c r="F432" s="122" t="s">
        <v>2779</v>
      </c>
    </row>
    <row r="433" spans="2:6" x14ac:dyDescent="0.25">
      <c r="B433" s="114">
        <v>2002</v>
      </c>
      <c r="C433" s="184">
        <v>0</v>
      </c>
      <c r="D433" s="185">
        <v>0</v>
      </c>
      <c r="E433" s="185">
        <v>1</v>
      </c>
      <c r="F433" s="199">
        <v>1</v>
      </c>
    </row>
    <row r="434" spans="2:6" x14ac:dyDescent="0.25">
      <c r="B434" s="117">
        <v>2003</v>
      </c>
      <c r="C434" s="187">
        <v>0</v>
      </c>
      <c r="D434" s="188">
        <v>0</v>
      </c>
      <c r="E434" s="188">
        <v>2</v>
      </c>
      <c r="F434" s="200">
        <v>2</v>
      </c>
    </row>
    <row r="435" spans="2:6" x14ac:dyDescent="0.25">
      <c r="B435" s="117">
        <v>2004</v>
      </c>
      <c r="C435" s="187">
        <v>1</v>
      </c>
      <c r="D435" s="188">
        <v>0</v>
      </c>
      <c r="E435" s="188">
        <v>5</v>
      </c>
      <c r="F435" s="200">
        <v>6</v>
      </c>
    </row>
    <row r="436" spans="2:6" x14ac:dyDescent="0.25">
      <c r="B436" s="117">
        <v>2005</v>
      </c>
      <c r="C436" s="187">
        <v>0</v>
      </c>
      <c r="D436" s="188">
        <v>0</v>
      </c>
      <c r="E436" s="188">
        <v>4</v>
      </c>
      <c r="F436" s="200">
        <v>4</v>
      </c>
    </row>
    <row r="437" spans="2:6" x14ac:dyDescent="0.25">
      <c r="B437" s="117">
        <v>2006</v>
      </c>
      <c r="C437" s="187">
        <v>0</v>
      </c>
      <c r="D437" s="188">
        <v>0</v>
      </c>
      <c r="E437" s="188">
        <v>3</v>
      </c>
      <c r="F437" s="200">
        <v>3</v>
      </c>
    </row>
    <row r="438" spans="2:6" x14ac:dyDescent="0.25">
      <c r="B438" s="117">
        <v>2007</v>
      </c>
      <c r="C438" s="187">
        <v>1</v>
      </c>
      <c r="D438" s="188">
        <v>0</v>
      </c>
      <c r="E438" s="188">
        <v>2</v>
      </c>
      <c r="F438" s="200">
        <v>3</v>
      </c>
    </row>
    <row r="439" spans="2:6" x14ac:dyDescent="0.25">
      <c r="B439" s="117">
        <v>2008</v>
      </c>
      <c r="C439" s="187">
        <v>0</v>
      </c>
      <c r="D439" s="188">
        <v>0</v>
      </c>
      <c r="E439" s="188">
        <v>2</v>
      </c>
      <c r="F439" s="200">
        <v>2</v>
      </c>
    </row>
    <row r="440" spans="2:6" x14ac:dyDescent="0.25">
      <c r="B440" s="117">
        <v>2009</v>
      </c>
      <c r="C440" s="187">
        <v>0</v>
      </c>
      <c r="D440" s="188">
        <v>0</v>
      </c>
      <c r="E440" s="188">
        <v>2</v>
      </c>
      <c r="F440" s="200">
        <v>2</v>
      </c>
    </row>
    <row r="441" spans="2:6" x14ac:dyDescent="0.25">
      <c r="B441" s="117">
        <v>2010</v>
      </c>
      <c r="C441" s="187">
        <v>1</v>
      </c>
      <c r="D441" s="188">
        <v>1</v>
      </c>
      <c r="E441" s="188">
        <v>2</v>
      </c>
      <c r="F441" s="200">
        <v>4</v>
      </c>
    </row>
    <row r="442" spans="2:6" x14ac:dyDescent="0.25">
      <c r="B442" s="117">
        <v>2011</v>
      </c>
      <c r="C442" s="187">
        <v>1</v>
      </c>
      <c r="D442" s="188">
        <v>0</v>
      </c>
      <c r="E442" s="188">
        <v>2</v>
      </c>
      <c r="F442" s="200">
        <v>3</v>
      </c>
    </row>
    <row r="443" spans="2:6" x14ac:dyDescent="0.25">
      <c r="B443" s="117">
        <v>2012</v>
      </c>
      <c r="C443" s="187">
        <v>1</v>
      </c>
      <c r="D443" s="188">
        <v>1</v>
      </c>
      <c r="E443" s="188">
        <v>2</v>
      </c>
      <c r="F443" s="200">
        <v>4</v>
      </c>
    </row>
    <row r="444" spans="2:6" x14ac:dyDescent="0.25">
      <c r="B444" s="117">
        <v>2013</v>
      </c>
      <c r="C444" s="187">
        <v>0</v>
      </c>
      <c r="D444" s="188">
        <v>1</v>
      </c>
      <c r="E444" s="188">
        <v>4</v>
      </c>
      <c r="F444" s="200">
        <v>5</v>
      </c>
    </row>
    <row r="445" spans="2:6" x14ac:dyDescent="0.25">
      <c r="B445" s="117">
        <v>2014</v>
      </c>
      <c r="C445" s="187">
        <v>2</v>
      </c>
      <c r="D445" s="188">
        <v>1</v>
      </c>
      <c r="E445" s="188">
        <v>5</v>
      </c>
      <c r="F445" s="200">
        <v>8</v>
      </c>
    </row>
    <row r="446" spans="2:6" x14ac:dyDescent="0.25">
      <c r="B446" s="117">
        <v>2015</v>
      </c>
      <c r="C446" s="187">
        <v>3</v>
      </c>
      <c r="D446" s="188">
        <v>1</v>
      </c>
      <c r="E446" s="188">
        <v>3</v>
      </c>
      <c r="F446" s="200">
        <v>7</v>
      </c>
    </row>
    <row r="447" spans="2:6" x14ac:dyDescent="0.25">
      <c r="B447" s="117">
        <v>2016</v>
      </c>
      <c r="C447" s="187">
        <v>4</v>
      </c>
      <c r="D447" s="188">
        <v>2</v>
      </c>
      <c r="E447" s="188">
        <v>2</v>
      </c>
      <c r="F447" s="200">
        <v>8</v>
      </c>
    </row>
    <row r="448" spans="2:6" x14ac:dyDescent="0.25">
      <c r="B448" s="117">
        <v>2017</v>
      </c>
      <c r="C448" s="187">
        <v>4</v>
      </c>
      <c r="D448" s="188">
        <v>1</v>
      </c>
      <c r="E448" s="188">
        <v>2</v>
      </c>
      <c r="F448" s="200">
        <v>7</v>
      </c>
    </row>
    <row r="449" spans="1:6" x14ac:dyDescent="0.25">
      <c r="A449" s="58"/>
      <c r="B449" s="117">
        <v>2018</v>
      </c>
      <c r="C449" s="187">
        <v>3</v>
      </c>
      <c r="D449" s="188">
        <v>1</v>
      </c>
      <c r="E449" s="188">
        <v>3</v>
      </c>
      <c r="F449" s="200">
        <v>7</v>
      </c>
    </row>
    <row r="450" spans="1:6" x14ac:dyDescent="0.25">
      <c r="A450" s="57"/>
      <c r="B450" s="117">
        <v>2019</v>
      </c>
      <c r="C450" s="187">
        <v>2</v>
      </c>
      <c r="D450" s="188">
        <v>1</v>
      </c>
      <c r="E450" s="188">
        <v>3</v>
      </c>
      <c r="F450" s="200">
        <v>6</v>
      </c>
    </row>
    <row r="451" spans="1:6" x14ac:dyDescent="0.25">
      <c r="A451" s="57"/>
      <c r="B451" s="117">
        <v>2020</v>
      </c>
      <c r="C451" s="187">
        <v>0</v>
      </c>
      <c r="D451" s="188">
        <v>0</v>
      </c>
      <c r="E451" s="188">
        <v>0</v>
      </c>
      <c r="F451" s="200">
        <v>0</v>
      </c>
    </row>
    <row r="452" spans="1:6" x14ac:dyDescent="0.25">
      <c r="A452" s="57"/>
      <c r="B452" s="117">
        <v>2021</v>
      </c>
      <c r="C452" s="187">
        <v>0</v>
      </c>
      <c r="D452" s="188">
        <v>0</v>
      </c>
      <c r="E452" s="188">
        <v>0</v>
      </c>
      <c r="F452" s="200">
        <v>0</v>
      </c>
    </row>
    <row r="453" spans="1:6" x14ac:dyDescent="0.25">
      <c r="A453" s="57"/>
      <c r="B453" s="117">
        <v>2022</v>
      </c>
      <c r="C453" s="187">
        <v>0</v>
      </c>
      <c r="D453" s="188">
        <v>0</v>
      </c>
      <c r="E453" s="188">
        <v>0</v>
      </c>
      <c r="F453" s="200">
        <v>0</v>
      </c>
    </row>
    <row r="454" spans="1:6" x14ac:dyDescent="0.25">
      <c r="A454" s="57"/>
      <c r="B454" s="117">
        <v>2023</v>
      </c>
      <c r="C454" s="187">
        <v>0</v>
      </c>
      <c r="D454" s="188">
        <v>0</v>
      </c>
      <c r="E454" s="188">
        <v>0</v>
      </c>
      <c r="F454" s="200">
        <v>0</v>
      </c>
    </row>
    <row r="455" spans="1:6" x14ac:dyDescent="0.25">
      <c r="A455" s="57"/>
      <c r="B455" s="117">
        <v>2024</v>
      </c>
      <c r="C455" s="187">
        <v>0</v>
      </c>
      <c r="D455" s="188">
        <v>0</v>
      </c>
      <c r="E455" s="188">
        <v>1</v>
      </c>
      <c r="F455" s="200">
        <v>1</v>
      </c>
    </row>
    <row r="456" spans="1:6" x14ac:dyDescent="0.25">
      <c r="A456" s="57"/>
      <c r="B456" s="121" t="s">
        <v>2779</v>
      </c>
      <c r="C456" s="196">
        <v>23</v>
      </c>
      <c r="D456" s="197">
        <v>10</v>
      </c>
      <c r="E456" s="197">
        <v>50</v>
      </c>
      <c r="F456" s="198">
        <v>83</v>
      </c>
    </row>
    <row r="457" spans="1:6" ht="15.75" customHeight="1" x14ac:dyDescent="0.25">
      <c r="A457" s="57"/>
      <c r="B457" s="6"/>
    </row>
    <row r="458" spans="1:6" ht="15.75" customHeight="1" x14ac:dyDescent="0.25">
      <c r="A458" s="57"/>
      <c r="B458" s="6"/>
    </row>
    <row r="459" spans="1:6" ht="15.75" customHeight="1" x14ac:dyDescent="0.25">
      <c r="A459" s="57"/>
      <c r="B459" s="6"/>
    </row>
    <row r="460" spans="1:6" ht="15.75" customHeight="1" x14ac:dyDescent="0.25">
      <c r="A460" s="57"/>
      <c r="B460" s="6"/>
    </row>
    <row r="461" spans="1:6" ht="15.75" customHeight="1" x14ac:dyDescent="0.25">
      <c r="A461" s="58"/>
    </row>
    <row r="462" spans="1:6" x14ac:dyDescent="0.25">
      <c r="A462" s="57" t="s">
        <v>53</v>
      </c>
      <c r="B462" s="120" t="s">
        <v>7</v>
      </c>
      <c r="C462" s="119" t="s">
        <v>53</v>
      </c>
    </row>
    <row r="463" spans="1:6" ht="15.75" customHeight="1" x14ac:dyDescent="0.25">
      <c r="A463" s="58"/>
    </row>
    <row r="464" spans="1:6" ht="15.75" customHeight="1" x14ac:dyDescent="0.25">
      <c r="A464" s="58"/>
      <c r="B464" s="111" t="s">
        <v>2778</v>
      </c>
      <c r="C464" s="111" t="s">
        <v>1</v>
      </c>
      <c r="D464" s="112"/>
      <c r="E464" s="112"/>
      <c r="F464" s="113"/>
    </row>
    <row r="465" spans="2:6" x14ac:dyDescent="0.25">
      <c r="B465" s="111" t="s">
        <v>8</v>
      </c>
      <c r="C465" s="114" t="s">
        <v>307</v>
      </c>
      <c r="D465" s="115" t="s">
        <v>26</v>
      </c>
      <c r="E465" s="115" t="s">
        <v>76</v>
      </c>
      <c r="F465" s="122" t="s">
        <v>2779</v>
      </c>
    </row>
    <row r="466" spans="2:6" x14ac:dyDescent="0.25">
      <c r="B466" s="114">
        <v>2002</v>
      </c>
      <c r="C466" s="184">
        <v>0</v>
      </c>
      <c r="D466" s="185">
        <v>0</v>
      </c>
      <c r="E466" s="185">
        <v>1</v>
      </c>
      <c r="F466" s="199">
        <v>1</v>
      </c>
    </row>
    <row r="467" spans="2:6" x14ac:dyDescent="0.25">
      <c r="B467" s="117">
        <v>2003</v>
      </c>
      <c r="C467" s="187">
        <v>1</v>
      </c>
      <c r="D467" s="188">
        <v>0</v>
      </c>
      <c r="E467" s="188">
        <v>2</v>
      </c>
      <c r="F467" s="200">
        <v>3</v>
      </c>
    </row>
    <row r="468" spans="2:6" x14ac:dyDescent="0.25">
      <c r="B468" s="117">
        <v>2004</v>
      </c>
      <c r="C468" s="187">
        <v>0</v>
      </c>
      <c r="D468" s="188">
        <v>0</v>
      </c>
      <c r="E468" s="188">
        <v>2</v>
      </c>
      <c r="F468" s="200">
        <v>2</v>
      </c>
    </row>
    <row r="469" spans="2:6" x14ac:dyDescent="0.25">
      <c r="B469" s="117">
        <v>2005</v>
      </c>
      <c r="C469" s="187">
        <v>1</v>
      </c>
      <c r="D469" s="188">
        <v>1</v>
      </c>
      <c r="E469" s="188">
        <v>1</v>
      </c>
      <c r="F469" s="200">
        <v>3</v>
      </c>
    </row>
    <row r="470" spans="2:6" x14ac:dyDescent="0.25">
      <c r="B470" s="117">
        <v>2006</v>
      </c>
      <c r="C470" s="187">
        <v>0</v>
      </c>
      <c r="D470" s="188">
        <v>0</v>
      </c>
      <c r="E470" s="188">
        <v>3</v>
      </c>
      <c r="F470" s="200">
        <v>3</v>
      </c>
    </row>
    <row r="471" spans="2:6" x14ac:dyDescent="0.25">
      <c r="B471" s="117">
        <v>2007</v>
      </c>
      <c r="C471" s="187">
        <v>1</v>
      </c>
      <c r="D471" s="188">
        <v>0</v>
      </c>
      <c r="E471" s="188">
        <v>2</v>
      </c>
      <c r="F471" s="200">
        <v>3</v>
      </c>
    </row>
    <row r="472" spans="2:6" x14ac:dyDescent="0.25">
      <c r="B472" s="117">
        <v>2008</v>
      </c>
      <c r="C472" s="187">
        <v>1</v>
      </c>
      <c r="D472" s="188">
        <v>0</v>
      </c>
      <c r="E472" s="188">
        <v>2</v>
      </c>
      <c r="F472" s="200">
        <v>3</v>
      </c>
    </row>
    <row r="473" spans="2:6" x14ac:dyDescent="0.25">
      <c r="B473" s="117">
        <v>2009</v>
      </c>
      <c r="C473" s="187">
        <v>0</v>
      </c>
      <c r="D473" s="188">
        <v>1</v>
      </c>
      <c r="E473" s="188">
        <v>1</v>
      </c>
      <c r="F473" s="200">
        <v>2</v>
      </c>
    </row>
    <row r="474" spans="2:6" x14ac:dyDescent="0.25">
      <c r="B474" s="117">
        <v>2010</v>
      </c>
      <c r="C474" s="187">
        <v>0</v>
      </c>
      <c r="D474" s="188">
        <v>0</v>
      </c>
      <c r="E474" s="188">
        <v>1</v>
      </c>
      <c r="F474" s="200">
        <v>1</v>
      </c>
    </row>
    <row r="475" spans="2:6" x14ac:dyDescent="0.25">
      <c r="B475" s="117">
        <v>2011</v>
      </c>
      <c r="C475" s="187">
        <v>0</v>
      </c>
      <c r="D475" s="188">
        <v>0</v>
      </c>
      <c r="E475" s="188">
        <v>1</v>
      </c>
      <c r="F475" s="200">
        <v>1</v>
      </c>
    </row>
    <row r="476" spans="2:6" x14ac:dyDescent="0.25">
      <c r="B476" s="117">
        <v>2012</v>
      </c>
      <c r="C476" s="187">
        <v>0</v>
      </c>
      <c r="D476" s="188">
        <v>0</v>
      </c>
      <c r="E476" s="188">
        <v>1</v>
      </c>
      <c r="F476" s="200">
        <v>1</v>
      </c>
    </row>
    <row r="477" spans="2:6" x14ac:dyDescent="0.25">
      <c r="B477" s="117">
        <v>2013</v>
      </c>
      <c r="C477" s="187">
        <v>1</v>
      </c>
      <c r="D477" s="188">
        <v>2</v>
      </c>
      <c r="E477" s="188">
        <v>3</v>
      </c>
      <c r="F477" s="200">
        <v>6</v>
      </c>
    </row>
    <row r="478" spans="2:6" x14ac:dyDescent="0.25">
      <c r="B478" s="117">
        <v>2014</v>
      </c>
      <c r="C478" s="187">
        <v>1</v>
      </c>
      <c r="D478" s="188">
        <v>0</v>
      </c>
      <c r="E478" s="188">
        <v>1</v>
      </c>
      <c r="F478" s="200">
        <v>2</v>
      </c>
    </row>
    <row r="479" spans="2:6" x14ac:dyDescent="0.25">
      <c r="B479" s="117">
        <v>2015</v>
      </c>
      <c r="C479" s="187">
        <v>1</v>
      </c>
      <c r="D479" s="188">
        <v>0</v>
      </c>
      <c r="E479" s="188">
        <v>4</v>
      </c>
      <c r="F479" s="200">
        <v>5</v>
      </c>
    </row>
    <row r="480" spans="2:6" x14ac:dyDescent="0.25">
      <c r="B480" s="117">
        <v>2016</v>
      </c>
      <c r="C480" s="187">
        <v>3</v>
      </c>
      <c r="D480" s="188">
        <v>0</v>
      </c>
      <c r="E480" s="188">
        <v>2</v>
      </c>
      <c r="F480" s="200">
        <v>5</v>
      </c>
    </row>
    <row r="481" spans="1:6" x14ac:dyDescent="0.25">
      <c r="A481" s="58"/>
      <c r="B481" s="117">
        <v>2017</v>
      </c>
      <c r="C481" s="187">
        <v>0</v>
      </c>
      <c r="D481" s="188">
        <v>0</v>
      </c>
      <c r="E481" s="188">
        <v>0</v>
      </c>
      <c r="F481" s="200">
        <v>0</v>
      </c>
    </row>
    <row r="482" spans="1:6" x14ac:dyDescent="0.25">
      <c r="A482" s="58"/>
      <c r="B482" s="117">
        <v>2018</v>
      </c>
      <c r="C482" s="187">
        <v>1</v>
      </c>
      <c r="D482" s="188">
        <v>0</v>
      </c>
      <c r="E482" s="188">
        <v>4</v>
      </c>
      <c r="F482" s="200">
        <v>5</v>
      </c>
    </row>
    <row r="483" spans="1:6" x14ac:dyDescent="0.25">
      <c r="A483" s="58"/>
      <c r="B483" s="117">
        <v>2019</v>
      </c>
      <c r="C483" s="187">
        <v>1</v>
      </c>
      <c r="D483" s="188">
        <v>0</v>
      </c>
      <c r="E483" s="188">
        <v>1</v>
      </c>
      <c r="F483" s="200">
        <v>2</v>
      </c>
    </row>
    <row r="484" spans="1:6" x14ac:dyDescent="0.25">
      <c r="A484" s="58"/>
      <c r="B484" s="117">
        <v>2020</v>
      </c>
      <c r="C484" s="187">
        <v>0</v>
      </c>
      <c r="D484" s="188">
        <v>0</v>
      </c>
      <c r="E484" s="188">
        <v>2</v>
      </c>
      <c r="F484" s="200">
        <v>2</v>
      </c>
    </row>
    <row r="485" spans="1:6" x14ac:dyDescent="0.25">
      <c r="A485" s="58"/>
      <c r="B485" s="117">
        <v>2021</v>
      </c>
      <c r="C485" s="187">
        <v>0</v>
      </c>
      <c r="D485" s="188">
        <v>0</v>
      </c>
      <c r="E485" s="188">
        <v>0</v>
      </c>
      <c r="F485" s="200">
        <v>0</v>
      </c>
    </row>
    <row r="486" spans="1:6" x14ac:dyDescent="0.25">
      <c r="A486" s="58"/>
      <c r="B486" s="117">
        <v>2022</v>
      </c>
      <c r="C486" s="187">
        <v>0</v>
      </c>
      <c r="D486" s="188">
        <v>0</v>
      </c>
      <c r="E486" s="188">
        <v>0</v>
      </c>
      <c r="F486" s="200">
        <v>0</v>
      </c>
    </row>
    <row r="487" spans="1:6" x14ac:dyDescent="0.25">
      <c r="A487" s="58"/>
      <c r="B487" s="117">
        <v>2023</v>
      </c>
      <c r="C487" s="187">
        <v>0</v>
      </c>
      <c r="D487" s="188">
        <v>0</v>
      </c>
      <c r="E487" s="188">
        <v>1</v>
      </c>
      <c r="F487" s="200">
        <v>1</v>
      </c>
    </row>
    <row r="488" spans="1:6" x14ac:dyDescent="0.25">
      <c r="A488" s="58"/>
      <c r="B488" s="117">
        <v>2024</v>
      </c>
      <c r="C488" s="187">
        <v>0</v>
      </c>
      <c r="D488" s="188">
        <v>0</v>
      </c>
      <c r="E488" s="188">
        <v>1</v>
      </c>
      <c r="F488" s="200">
        <v>1</v>
      </c>
    </row>
    <row r="489" spans="1:6" x14ac:dyDescent="0.25">
      <c r="A489" s="58"/>
      <c r="B489" s="121" t="s">
        <v>2779</v>
      </c>
      <c r="C489" s="196">
        <v>12</v>
      </c>
      <c r="D489" s="197">
        <v>4</v>
      </c>
      <c r="E489" s="197">
        <v>36</v>
      </c>
      <c r="F489" s="198">
        <v>52</v>
      </c>
    </row>
    <row r="490" spans="1:6" ht="15.75" customHeight="1" x14ac:dyDescent="0.25">
      <c r="A490" s="57"/>
    </row>
    <row r="491" spans="1:6" ht="15.75" customHeight="1" x14ac:dyDescent="0.25">
      <c r="A491" s="58"/>
      <c r="C491" s="2"/>
      <c r="D491" s="2"/>
      <c r="E491" s="2"/>
      <c r="F491" s="2"/>
    </row>
    <row r="492" spans="1:6" ht="15.75" customHeight="1" x14ac:dyDescent="0.25">
      <c r="A492" s="58"/>
      <c r="C492" s="2"/>
      <c r="D492" s="2"/>
      <c r="E492" s="2"/>
      <c r="F492" s="2"/>
    </row>
    <row r="493" spans="1:6" ht="15.75" customHeight="1" x14ac:dyDescent="0.25">
      <c r="A493" s="58"/>
      <c r="C493" s="2"/>
      <c r="D493" s="2"/>
      <c r="E493" s="2"/>
      <c r="F493" s="2"/>
    </row>
    <row r="494" spans="1:6" ht="15.75" customHeight="1" x14ac:dyDescent="0.25">
      <c r="A494" s="58"/>
      <c r="C494" s="2"/>
      <c r="D494" s="2"/>
      <c r="E494" s="2"/>
      <c r="F494" s="2"/>
    </row>
    <row r="495" spans="1:6" x14ac:dyDescent="0.25">
      <c r="A495" s="57" t="s">
        <v>48</v>
      </c>
      <c r="B495" s="120" t="s">
        <v>7</v>
      </c>
      <c r="C495" s="119" t="s">
        <v>48</v>
      </c>
    </row>
    <row r="496" spans="1:6" ht="15.75" customHeight="1" x14ac:dyDescent="0.25">
      <c r="A496" s="58"/>
    </row>
    <row r="497" spans="2:6" ht="15.75" customHeight="1" x14ac:dyDescent="0.25">
      <c r="B497" s="111" t="s">
        <v>2778</v>
      </c>
      <c r="C497" s="111" t="s">
        <v>1</v>
      </c>
      <c r="D497" s="112"/>
      <c r="E497" s="112"/>
      <c r="F497" s="113"/>
    </row>
    <row r="498" spans="2:6" x14ac:dyDescent="0.25">
      <c r="B498" s="111" t="s">
        <v>8</v>
      </c>
      <c r="C498" s="114" t="s">
        <v>307</v>
      </c>
      <c r="D498" s="115" t="s">
        <v>26</v>
      </c>
      <c r="E498" s="115" t="s">
        <v>76</v>
      </c>
      <c r="F498" s="122" t="s">
        <v>2779</v>
      </c>
    </row>
    <row r="499" spans="2:6" x14ac:dyDescent="0.25">
      <c r="B499" s="114">
        <v>2002</v>
      </c>
      <c r="C499" s="184">
        <v>0</v>
      </c>
      <c r="D499" s="185">
        <v>0</v>
      </c>
      <c r="E499" s="185">
        <v>8</v>
      </c>
      <c r="F499" s="199">
        <v>8</v>
      </c>
    </row>
    <row r="500" spans="2:6" x14ac:dyDescent="0.25">
      <c r="B500" s="117">
        <v>2003</v>
      </c>
      <c r="C500" s="187">
        <v>0</v>
      </c>
      <c r="D500" s="188">
        <v>1</v>
      </c>
      <c r="E500" s="188">
        <v>3</v>
      </c>
      <c r="F500" s="200">
        <v>4</v>
      </c>
    </row>
    <row r="501" spans="2:6" x14ac:dyDescent="0.25">
      <c r="B501" s="117">
        <v>2004</v>
      </c>
      <c r="C501" s="187">
        <v>0</v>
      </c>
      <c r="D501" s="188">
        <v>0</v>
      </c>
      <c r="E501" s="188">
        <v>3</v>
      </c>
      <c r="F501" s="200">
        <v>3</v>
      </c>
    </row>
    <row r="502" spans="2:6" x14ac:dyDescent="0.25">
      <c r="B502" s="117">
        <v>2005</v>
      </c>
      <c r="C502" s="187">
        <v>1</v>
      </c>
      <c r="D502" s="188">
        <v>0</v>
      </c>
      <c r="E502" s="188">
        <v>6</v>
      </c>
      <c r="F502" s="200">
        <v>7</v>
      </c>
    </row>
    <row r="503" spans="2:6" x14ac:dyDescent="0.25">
      <c r="B503" s="117">
        <v>2006</v>
      </c>
      <c r="C503" s="187">
        <v>1</v>
      </c>
      <c r="D503" s="188">
        <v>1</v>
      </c>
      <c r="E503" s="188">
        <v>3</v>
      </c>
      <c r="F503" s="200">
        <v>5</v>
      </c>
    </row>
    <row r="504" spans="2:6" x14ac:dyDescent="0.25">
      <c r="B504" s="117">
        <v>2007</v>
      </c>
      <c r="C504" s="187">
        <v>0</v>
      </c>
      <c r="D504" s="188">
        <v>0</v>
      </c>
      <c r="E504" s="188">
        <v>8</v>
      </c>
      <c r="F504" s="200">
        <v>8</v>
      </c>
    </row>
    <row r="505" spans="2:6" x14ac:dyDescent="0.25">
      <c r="B505" s="117">
        <v>2008</v>
      </c>
      <c r="C505" s="187">
        <v>0</v>
      </c>
      <c r="D505" s="188">
        <v>0</v>
      </c>
      <c r="E505" s="188">
        <v>6</v>
      </c>
      <c r="F505" s="200">
        <v>6</v>
      </c>
    </row>
    <row r="506" spans="2:6" x14ac:dyDescent="0.25">
      <c r="B506" s="117">
        <v>2009</v>
      </c>
      <c r="C506" s="187">
        <v>0</v>
      </c>
      <c r="D506" s="188">
        <v>0</v>
      </c>
      <c r="E506" s="188">
        <v>5</v>
      </c>
      <c r="F506" s="200">
        <v>5</v>
      </c>
    </row>
    <row r="507" spans="2:6" x14ac:dyDescent="0.25">
      <c r="B507" s="117">
        <v>2010</v>
      </c>
      <c r="C507" s="187">
        <v>0</v>
      </c>
      <c r="D507" s="188">
        <v>0</v>
      </c>
      <c r="E507" s="188">
        <v>3</v>
      </c>
      <c r="F507" s="200">
        <v>3</v>
      </c>
    </row>
    <row r="508" spans="2:6" x14ac:dyDescent="0.25">
      <c r="B508" s="117">
        <v>2011</v>
      </c>
      <c r="C508" s="187">
        <v>0</v>
      </c>
      <c r="D508" s="188">
        <v>0</v>
      </c>
      <c r="E508" s="188">
        <v>7</v>
      </c>
      <c r="F508" s="200">
        <v>7</v>
      </c>
    </row>
    <row r="509" spans="2:6" x14ac:dyDescent="0.25">
      <c r="B509" s="117">
        <v>2012</v>
      </c>
      <c r="C509" s="187">
        <v>1</v>
      </c>
      <c r="D509" s="188">
        <v>0</v>
      </c>
      <c r="E509" s="188">
        <v>6</v>
      </c>
      <c r="F509" s="200">
        <v>7</v>
      </c>
    </row>
    <row r="510" spans="2:6" x14ac:dyDescent="0.25">
      <c r="B510" s="117">
        <v>2013</v>
      </c>
      <c r="C510" s="187">
        <v>2</v>
      </c>
      <c r="D510" s="188">
        <v>1</v>
      </c>
      <c r="E510" s="188">
        <v>6</v>
      </c>
      <c r="F510" s="200">
        <v>9</v>
      </c>
    </row>
    <row r="511" spans="2:6" x14ac:dyDescent="0.25">
      <c r="B511" s="117">
        <v>2014</v>
      </c>
      <c r="C511" s="187">
        <v>2</v>
      </c>
      <c r="D511" s="188">
        <v>0</v>
      </c>
      <c r="E511" s="188">
        <v>9</v>
      </c>
      <c r="F511" s="200">
        <v>11</v>
      </c>
    </row>
    <row r="512" spans="2:6" x14ac:dyDescent="0.25">
      <c r="B512" s="117">
        <v>2015</v>
      </c>
      <c r="C512" s="187">
        <v>4</v>
      </c>
      <c r="D512" s="188">
        <v>3</v>
      </c>
      <c r="E512" s="188">
        <v>6</v>
      </c>
      <c r="F512" s="200">
        <v>13</v>
      </c>
    </row>
    <row r="513" spans="1:6" x14ac:dyDescent="0.25">
      <c r="A513" s="58"/>
      <c r="B513" s="117">
        <v>2016</v>
      </c>
      <c r="C513" s="187">
        <v>2</v>
      </c>
      <c r="D513" s="188">
        <v>1</v>
      </c>
      <c r="E513" s="188">
        <v>6</v>
      </c>
      <c r="F513" s="200">
        <v>9</v>
      </c>
    </row>
    <row r="514" spans="1:6" x14ac:dyDescent="0.25">
      <c r="A514" s="58"/>
      <c r="B514" s="117">
        <v>2017</v>
      </c>
      <c r="C514" s="187">
        <v>2</v>
      </c>
      <c r="D514" s="188">
        <v>0</v>
      </c>
      <c r="E514" s="188">
        <v>4</v>
      </c>
      <c r="F514" s="200">
        <v>6</v>
      </c>
    </row>
    <row r="515" spans="1:6" x14ac:dyDescent="0.25">
      <c r="A515" s="58"/>
      <c r="B515" s="117">
        <v>2018</v>
      </c>
      <c r="C515" s="187">
        <v>1</v>
      </c>
      <c r="D515" s="188">
        <v>0</v>
      </c>
      <c r="E515" s="188">
        <v>5</v>
      </c>
      <c r="F515" s="200">
        <v>6</v>
      </c>
    </row>
    <row r="516" spans="1:6" x14ac:dyDescent="0.25">
      <c r="A516" s="57"/>
      <c r="B516" s="117">
        <v>2019</v>
      </c>
      <c r="C516" s="187">
        <v>1</v>
      </c>
      <c r="D516" s="188">
        <v>0</v>
      </c>
      <c r="E516" s="188">
        <v>4</v>
      </c>
      <c r="F516" s="200">
        <v>5</v>
      </c>
    </row>
    <row r="517" spans="1:6" x14ac:dyDescent="0.25">
      <c r="A517" s="57"/>
      <c r="B517" s="117">
        <v>2020</v>
      </c>
      <c r="C517" s="187">
        <v>1</v>
      </c>
      <c r="D517" s="188">
        <v>0</v>
      </c>
      <c r="E517" s="188">
        <v>4</v>
      </c>
      <c r="F517" s="200">
        <v>5</v>
      </c>
    </row>
    <row r="518" spans="1:6" x14ac:dyDescent="0.25">
      <c r="A518" s="57"/>
      <c r="B518" s="117">
        <v>2021</v>
      </c>
      <c r="C518" s="187">
        <v>0</v>
      </c>
      <c r="D518" s="188">
        <v>0</v>
      </c>
      <c r="E518" s="188">
        <v>1</v>
      </c>
      <c r="F518" s="200">
        <v>1</v>
      </c>
    </row>
    <row r="519" spans="1:6" x14ac:dyDescent="0.25">
      <c r="A519" s="58"/>
      <c r="B519" s="117">
        <v>2022</v>
      </c>
      <c r="C519" s="187">
        <v>0</v>
      </c>
      <c r="D519" s="188">
        <v>0</v>
      </c>
      <c r="E519" s="188">
        <v>4</v>
      </c>
      <c r="F519" s="200">
        <v>4</v>
      </c>
    </row>
    <row r="520" spans="1:6" x14ac:dyDescent="0.25">
      <c r="A520" s="58"/>
      <c r="B520" s="117">
        <v>2023</v>
      </c>
      <c r="C520" s="187">
        <v>0</v>
      </c>
      <c r="D520" s="188">
        <v>0</v>
      </c>
      <c r="E520" s="188">
        <v>1</v>
      </c>
      <c r="F520" s="200">
        <v>1</v>
      </c>
    </row>
    <row r="521" spans="1:6" x14ac:dyDescent="0.25">
      <c r="A521" s="58"/>
      <c r="B521" s="117">
        <v>2024</v>
      </c>
      <c r="C521" s="187">
        <v>0</v>
      </c>
      <c r="D521" s="188">
        <v>0</v>
      </c>
      <c r="E521" s="188">
        <v>6</v>
      </c>
      <c r="F521" s="200">
        <v>6</v>
      </c>
    </row>
    <row r="522" spans="1:6" x14ac:dyDescent="0.25">
      <c r="A522" s="58"/>
      <c r="B522" s="121" t="s">
        <v>2779</v>
      </c>
      <c r="C522" s="196">
        <v>18</v>
      </c>
      <c r="D522" s="197">
        <v>7</v>
      </c>
      <c r="E522" s="197">
        <v>114</v>
      </c>
      <c r="F522" s="198">
        <v>139</v>
      </c>
    </row>
    <row r="523" spans="1:6" ht="15.75" customHeight="1" x14ac:dyDescent="0.25">
      <c r="A523" s="58"/>
      <c r="B523" s="70"/>
      <c r="C523" s="70"/>
      <c r="D523" s="68"/>
      <c r="E523" s="68"/>
      <c r="F523" s="68"/>
    </row>
    <row r="524" spans="1:6" ht="15.75" customHeight="1" x14ac:dyDescent="0.25">
      <c r="A524" s="58"/>
      <c r="B524" s="70"/>
      <c r="C524" s="70"/>
      <c r="D524" s="68"/>
      <c r="E524" s="68"/>
      <c r="F524" s="68"/>
    </row>
    <row r="525" spans="1:6" x14ac:dyDescent="0.25">
      <c r="A525" s="57" t="s">
        <v>54</v>
      </c>
      <c r="B525" s="120" t="s">
        <v>7</v>
      </c>
      <c r="C525" s="119" t="s">
        <v>54</v>
      </c>
    </row>
    <row r="526" spans="1:6" ht="15.75" customHeight="1" x14ac:dyDescent="0.25">
      <c r="A526" s="58"/>
    </row>
    <row r="527" spans="1:6" ht="15.75" customHeight="1" x14ac:dyDescent="0.25">
      <c r="A527" s="58"/>
      <c r="B527" s="111" t="s">
        <v>2778</v>
      </c>
      <c r="C527" s="111" t="s">
        <v>1</v>
      </c>
      <c r="D527" s="112"/>
      <c r="E527" s="112"/>
      <c r="F527" s="113"/>
    </row>
    <row r="528" spans="1:6" x14ac:dyDescent="0.25">
      <c r="A528" s="58"/>
      <c r="B528" s="111" t="s">
        <v>8</v>
      </c>
      <c r="C528" s="114" t="s">
        <v>307</v>
      </c>
      <c r="D528" s="115" t="s">
        <v>26</v>
      </c>
      <c r="E528" s="115" t="s">
        <v>76</v>
      </c>
      <c r="F528" s="122" t="s">
        <v>2779</v>
      </c>
    </row>
    <row r="529" spans="2:6" x14ac:dyDescent="0.25">
      <c r="B529" s="114">
        <v>2002</v>
      </c>
      <c r="C529" s="184">
        <v>0</v>
      </c>
      <c r="D529" s="185">
        <v>0</v>
      </c>
      <c r="E529" s="185">
        <v>3</v>
      </c>
      <c r="F529" s="199">
        <v>3</v>
      </c>
    </row>
    <row r="530" spans="2:6" x14ac:dyDescent="0.25">
      <c r="B530" s="117">
        <v>2003</v>
      </c>
      <c r="C530" s="187">
        <v>0</v>
      </c>
      <c r="D530" s="188">
        <v>0</v>
      </c>
      <c r="E530" s="188">
        <v>5</v>
      </c>
      <c r="F530" s="200">
        <v>5</v>
      </c>
    </row>
    <row r="531" spans="2:6" x14ac:dyDescent="0.25">
      <c r="B531" s="117">
        <v>2004</v>
      </c>
      <c r="C531" s="187">
        <v>0</v>
      </c>
      <c r="D531" s="188">
        <v>0</v>
      </c>
      <c r="E531" s="188">
        <v>6</v>
      </c>
      <c r="F531" s="200">
        <v>6</v>
      </c>
    </row>
    <row r="532" spans="2:6" x14ac:dyDescent="0.25">
      <c r="B532" s="117">
        <v>2005</v>
      </c>
      <c r="C532" s="187">
        <v>1</v>
      </c>
      <c r="D532" s="188">
        <v>0</v>
      </c>
      <c r="E532" s="188">
        <v>5</v>
      </c>
      <c r="F532" s="200">
        <v>6</v>
      </c>
    </row>
    <row r="533" spans="2:6" x14ac:dyDescent="0.25">
      <c r="B533" s="117">
        <v>2006</v>
      </c>
      <c r="C533" s="187">
        <v>0</v>
      </c>
      <c r="D533" s="188">
        <v>0</v>
      </c>
      <c r="E533" s="188">
        <v>4</v>
      </c>
      <c r="F533" s="200">
        <v>4</v>
      </c>
    </row>
    <row r="534" spans="2:6" x14ac:dyDescent="0.25">
      <c r="B534" s="117">
        <v>2007</v>
      </c>
      <c r="C534" s="187">
        <v>1</v>
      </c>
      <c r="D534" s="188">
        <v>1</v>
      </c>
      <c r="E534" s="188">
        <v>3</v>
      </c>
      <c r="F534" s="200">
        <v>5</v>
      </c>
    </row>
    <row r="535" spans="2:6" x14ac:dyDescent="0.25">
      <c r="B535" s="117">
        <v>2008</v>
      </c>
      <c r="C535" s="187">
        <v>0</v>
      </c>
      <c r="D535" s="188">
        <v>0</v>
      </c>
      <c r="E535" s="188">
        <v>2</v>
      </c>
      <c r="F535" s="200">
        <v>2</v>
      </c>
    </row>
    <row r="536" spans="2:6" x14ac:dyDescent="0.25">
      <c r="B536" s="117">
        <v>2009</v>
      </c>
      <c r="C536" s="187">
        <v>3</v>
      </c>
      <c r="D536" s="188">
        <v>0</v>
      </c>
      <c r="E536" s="188">
        <v>4</v>
      </c>
      <c r="F536" s="200">
        <v>7</v>
      </c>
    </row>
    <row r="537" spans="2:6" x14ac:dyDescent="0.25">
      <c r="B537" s="117">
        <v>2010</v>
      </c>
      <c r="C537" s="187">
        <v>0</v>
      </c>
      <c r="D537" s="188">
        <v>0</v>
      </c>
      <c r="E537" s="188">
        <v>3</v>
      </c>
      <c r="F537" s="200">
        <v>3</v>
      </c>
    </row>
    <row r="538" spans="2:6" x14ac:dyDescent="0.25">
      <c r="B538" s="117">
        <v>2011</v>
      </c>
      <c r="C538" s="187">
        <v>0</v>
      </c>
      <c r="D538" s="188">
        <v>0</v>
      </c>
      <c r="E538" s="188">
        <v>5</v>
      </c>
      <c r="F538" s="200">
        <v>5</v>
      </c>
    </row>
    <row r="539" spans="2:6" x14ac:dyDescent="0.25">
      <c r="B539" s="117">
        <v>2012</v>
      </c>
      <c r="C539" s="187">
        <v>1</v>
      </c>
      <c r="D539" s="188">
        <v>0</v>
      </c>
      <c r="E539" s="188">
        <v>3</v>
      </c>
      <c r="F539" s="200">
        <v>4</v>
      </c>
    </row>
    <row r="540" spans="2:6" x14ac:dyDescent="0.25">
      <c r="B540" s="117">
        <v>2013</v>
      </c>
      <c r="C540" s="187">
        <v>5</v>
      </c>
      <c r="D540" s="188">
        <v>0</v>
      </c>
      <c r="E540" s="188">
        <v>4</v>
      </c>
      <c r="F540" s="200">
        <v>9</v>
      </c>
    </row>
    <row r="541" spans="2:6" x14ac:dyDescent="0.25">
      <c r="B541" s="117">
        <v>2014</v>
      </c>
      <c r="C541" s="187">
        <v>5</v>
      </c>
      <c r="D541" s="188">
        <v>0</v>
      </c>
      <c r="E541" s="188">
        <v>3</v>
      </c>
      <c r="F541" s="200">
        <v>8</v>
      </c>
    </row>
    <row r="542" spans="2:6" x14ac:dyDescent="0.25">
      <c r="B542" s="117">
        <v>2015</v>
      </c>
      <c r="C542" s="187">
        <v>3</v>
      </c>
      <c r="D542" s="188">
        <v>1</v>
      </c>
      <c r="E542" s="188">
        <v>6</v>
      </c>
      <c r="F542" s="200">
        <v>10</v>
      </c>
    </row>
    <row r="543" spans="2:6" x14ac:dyDescent="0.25">
      <c r="B543" s="117">
        <v>2016</v>
      </c>
      <c r="C543" s="187">
        <v>4</v>
      </c>
      <c r="D543" s="188">
        <v>0</v>
      </c>
      <c r="E543" s="188">
        <v>5</v>
      </c>
      <c r="F543" s="200">
        <v>9</v>
      </c>
    </row>
    <row r="544" spans="2:6" x14ac:dyDescent="0.25">
      <c r="B544" s="117">
        <v>2017</v>
      </c>
      <c r="C544" s="187">
        <v>5</v>
      </c>
      <c r="D544" s="188">
        <v>0</v>
      </c>
      <c r="E544" s="188">
        <v>3</v>
      </c>
      <c r="F544" s="200">
        <v>8</v>
      </c>
    </row>
    <row r="545" spans="1:6" x14ac:dyDescent="0.25">
      <c r="A545" s="58"/>
      <c r="B545" s="117">
        <v>2018</v>
      </c>
      <c r="C545" s="187">
        <v>2</v>
      </c>
      <c r="D545" s="188">
        <v>0</v>
      </c>
      <c r="E545" s="188">
        <v>9</v>
      </c>
      <c r="F545" s="200">
        <v>11</v>
      </c>
    </row>
    <row r="546" spans="1:6" x14ac:dyDescent="0.25">
      <c r="A546" s="57"/>
      <c r="B546" s="117">
        <v>2019</v>
      </c>
      <c r="C546" s="187">
        <v>5</v>
      </c>
      <c r="D546" s="188">
        <v>1</v>
      </c>
      <c r="E546" s="188">
        <v>5</v>
      </c>
      <c r="F546" s="200">
        <v>11</v>
      </c>
    </row>
    <row r="547" spans="1:6" x14ac:dyDescent="0.25">
      <c r="A547" s="57"/>
      <c r="B547" s="117">
        <v>2020</v>
      </c>
      <c r="C547" s="187">
        <v>3</v>
      </c>
      <c r="D547" s="188">
        <v>0</v>
      </c>
      <c r="E547" s="188">
        <v>2</v>
      </c>
      <c r="F547" s="200">
        <v>5</v>
      </c>
    </row>
    <row r="548" spans="1:6" x14ac:dyDescent="0.25">
      <c r="A548" s="57"/>
      <c r="B548" s="117">
        <v>2021</v>
      </c>
      <c r="C548" s="187">
        <v>5</v>
      </c>
      <c r="D548" s="188">
        <v>0</v>
      </c>
      <c r="E548" s="188">
        <v>4</v>
      </c>
      <c r="F548" s="200">
        <v>9</v>
      </c>
    </row>
    <row r="549" spans="1:6" x14ac:dyDescent="0.25">
      <c r="A549" s="58"/>
      <c r="B549" s="117">
        <v>2022</v>
      </c>
      <c r="C549" s="187">
        <v>6</v>
      </c>
      <c r="D549" s="188">
        <v>0</v>
      </c>
      <c r="E549" s="188">
        <v>2</v>
      </c>
      <c r="F549" s="200">
        <v>8</v>
      </c>
    </row>
    <row r="550" spans="1:6" x14ac:dyDescent="0.25">
      <c r="A550" s="58"/>
      <c r="B550" s="117">
        <v>2023</v>
      </c>
      <c r="C550" s="187">
        <v>3</v>
      </c>
      <c r="D550" s="188">
        <v>0</v>
      </c>
      <c r="E550" s="188">
        <v>7</v>
      </c>
      <c r="F550" s="200">
        <v>10</v>
      </c>
    </row>
    <row r="551" spans="1:6" x14ac:dyDescent="0.25">
      <c r="A551" s="58"/>
      <c r="B551" s="117">
        <v>2024</v>
      </c>
      <c r="C551" s="187">
        <v>7</v>
      </c>
      <c r="D551" s="188">
        <v>2</v>
      </c>
      <c r="E551" s="188">
        <v>4</v>
      </c>
      <c r="F551" s="200">
        <v>13</v>
      </c>
    </row>
    <row r="552" spans="1:6" x14ac:dyDescent="0.25">
      <c r="A552" s="58"/>
      <c r="B552" s="121" t="s">
        <v>2779</v>
      </c>
      <c r="C552" s="196">
        <v>59</v>
      </c>
      <c r="D552" s="197">
        <v>5</v>
      </c>
      <c r="E552" s="197">
        <v>97</v>
      </c>
      <c r="F552" s="198">
        <v>161</v>
      </c>
    </row>
    <row r="553" spans="1:6" ht="15.75" customHeight="1" x14ac:dyDescent="0.25">
      <c r="A553" s="58"/>
      <c r="B553" s="70"/>
      <c r="C553" s="70"/>
      <c r="D553" s="68"/>
      <c r="E553" s="68"/>
      <c r="F553" s="68"/>
    </row>
    <row r="554" spans="1:6" ht="15.75" customHeight="1" x14ac:dyDescent="0.25">
      <c r="A554" s="58"/>
      <c r="B554" s="70"/>
      <c r="C554" s="70"/>
      <c r="D554" s="68"/>
      <c r="E554" s="68"/>
      <c r="F554" s="68"/>
    </row>
    <row r="555" spans="1:6" x14ac:dyDescent="0.25">
      <c r="A555" s="57" t="s">
        <v>75</v>
      </c>
      <c r="B555" s="120" t="s">
        <v>7</v>
      </c>
      <c r="C555" s="119" t="s">
        <v>75</v>
      </c>
    </row>
    <row r="556" spans="1:6" ht="15.75" customHeight="1" x14ac:dyDescent="0.25">
      <c r="A556" s="58"/>
    </row>
    <row r="557" spans="1:6" ht="15.75" customHeight="1" x14ac:dyDescent="0.25">
      <c r="A557" s="58"/>
      <c r="B557" s="111" t="s">
        <v>2778</v>
      </c>
      <c r="C557" s="111" t="s">
        <v>1</v>
      </c>
      <c r="D557" s="112"/>
      <c r="E557" s="112"/>
      <c r="F557" s="113"/>
    </row>
    <row r="558" spans="1:6" x14ac:dyDescent="0.25">
      <c r="A558" s="58"/>
      <c r="B558" s="111" t="s">
        <v>8</v>
      </c>
      <c r="C558" s="114" t="s">
        <v>307</v>
      </c>
      <c r="D558" s="115" t="s">
        <v>26</v>
      </c>
      <c r="E558" s="115" t="s">
        <v>76</v>
      </c>
      <c r="F558" s="122" t="s">
        <v>2779</v>
      </c>
    </row>
    <row r="559" spans="1:6" x14ac:dyDescent="0.25">
      <c r="A559" s="58"/>
      <c r="B559" s="114">
        <v>2002</v>
      </c>
      <c r="C559" s="184">
        <v>0</v>
      </c>
      <c r="D559" s="185">
        <v>0</v>
      </c>
      <c r="E559" s="185">
        <v>0</v>
      </c>
      <c r="F559" s="199">
        <v>0</v>
      </c>
    </row>
    <row r="560" spans="1:6" x14ac:dyDescent="0.25">
      <c r="A560" s="58"/>
      <c r="B560" s="117">
        <v>2003</v>
      </c>
      <c r="C560" s="187">
        <v>0</v>
      </c>
      <c r="D560" s="188">
        <v>1</v>
      </c>
      <c r="E560" s="188">
        <v>2</v>
      </c>
      <c r="F560" s="200">
        <v>3</v>
      </c>
    </row>
    <row r="561" spans="2:6" x14ac:dyDescent="0.25">
      <c r="B561" s="117">
        <v>2004</v>
      </c>
      <c r="C561" s="187">
        <v>0</v>
      </c>
      <c r="D561" s="188">
        <v>0</v>
      </c>
      <c r="E561" s="188">
        <v>2</v>
      </c>
      <c r="F561" s="200">
        <v>2</v>
      </c>
    </row>
    <row r="562" spans="2:6" x14ac:dyDescent="0.25">
      <c r="B562" s="117">
        <v>2005</v>
      </c>
      <c r="C562" s="187">
        <v>0</v>
      </c>
      <c r="D562" s="188">
        <v>0</v>
      </c>
      <c r="E562" s="188">
        <v>1</v>
      </c>
      <c r="F562" s="200">
        <v>1</v>
      </c>
    </row>
    <row r="563" spans="2:6" x14ac:dyDescent="0.25">
      <c r="B563" s="117">
        <v>2006</v>
      </c>
      <c r="C563" s="187">
        <v>0</v>
      </c>
      <c r="D563" s="188">
        <v>0</v>
      </c>
      <c r="E563" s="188">
        <v>3</v>
      </c>
      <c r="F563" s="200">
        <v>3</v>
      </c>
    </row>
    <row r="564" spans="2:6" x14ac:dyDescent="0.25">
      <c r="B564" s="117">
        <v>2007</v>
      </c>
      <c r="C564" s="187">
        <v>0</v>
      </c>
      <c r="D564" s="188">
        <v>0</v>
      </c>
      <c r="E564" s="188">
        <v>2</v>
      </c>
      <c r="F564" s="200">
        <v>2</v>
      </c>
    </row>
    <row r="565" spans="2:6" x14ac:dyDescent="0.25">
      <c r="B565" s="117">
        <v>2008</v>
      </c>
      <c r="C565" s="187">
        <v>0</v>
      </c>
      <c r="D565" s="188">
        <v>0</v>
      </c>
      <c r="E565" s="188">
        <v>2</v>
      </c>
      <c r="F565" s="200">
        <v>2</v>
      </c>
    </row>
    <row r="566" spans="2:6" x14ac:dyDescent="0.25">
      <c r="B566" s="117">
        <v>2009</v>
      </c>
      <c r="C566" s="187">
        <v>0</v>
      </c>
      <c r="D566" s="188">
        <v>0</v>
      </c>
      <c r="E566" s="188">
        <v>2</v>
      </c>
      <c r="F566" s="200">
        <v>2</v>
      </c>
    </row>
    <row r="567" spans="2:6" x14ac:dyDescent="0.25">
      <c r="B567" s="117">
        <v>2010</v>
      </c>
      <c r="C567" s="187">
        <v>0</v>
      </c>
      <c r="D567" s="188">
        <v>1</v>
      </c>
      <c r="E567" s="188">
        <v>4</v>
      </c>
      <c r="F567" s="200">
        <v>5</v>
      </c>
    </row>
    <row r="568" spans="2:6" x14ac:dyDescent="0.25">
      <c r="B568" s="117">
        <v>2011</v>
      </c>
      <c r="C568" s="187">
        <v>0</v>
      </c>
      <c r="D568" s="188">
        <v>0</v>
      </c>
      <c r="E568" s="188">
        <v>2</v>
      </c>
      <c r="F568" s="200">
        <v>2</v>
      </c>
    </row>
    <row r="569" spans="2:6" x14ac:dyDescent="0.25">
      <c r="B569" s="117">
        <v>2012</v>
      </c>
      <c r="C569" s="187">
        <v>0</v>
      </c>
      <c r="D569" s="188">
        <v>0</v>
      </c>
      <c r="E569" s="188">
        <v>1</v>
      </c>
      <c r="F569" s="200">
        <v>1</v>
      </c>
    </row>
    <row r="570" spans="2:6" x14ac:dyDescent="0.25">
      <c r="B570" s="117">
        <v>2013</v>
      </c>
      <c r="C570" s="187">
        <v>1</v>
      </c>
      <c r="D570" s="188">
        <v>1</v>
      </c>
      <c r="E570" s="188">
        <v>4</v>
      </c>
      <c r="F570" s="200">
        <v>6</v>
      </c>
    </row>
    <row r="571" spans="2:6" x14ac:dyDescent="0.25">
      <c r="B571" s="117">
        <v>2014</v>
      </c>
      <c r="C571" s="187">
        <v>0</v>
      </c>
      <c r="D571" s="188">
        <v>1</v>
      </c>
      <c r="E571" s="188">
        <v>1</v>
      </c>
      <c r="F571" s="200">
        <v>2</v>
      </c>
    </row>
    <row r="572" spans="2:6" x14ac:dyDescent="0.25">
      <c r="B572" s="117">
        <v>2015</v>
      </c>
      <c r="C572" s="187">
        <v>1</v>
      </c>
      <c r="D572" s="188">
        <v>0</v>
      </c>
      <c r="E572" s="188">
        <v>3</v>
      </c>
      <c r="F572" s="200">
        <v>4</v>
      </c>
    </row>
    <row r="573" spans="2:6" x14ac:dyDescent="0.25">
      <c r="B573" s="117">
        <v>2016</v>
      </c>
      <c r="C573" s="187">
        <v>0</v>
      </c>
      <c r="D573" s="188">
        <v>2</v>
      </c>
      <c r="E573" s="188">
        <v>4</v>
      </c>
      <c r="F573" s="200">
        <v>6</v>
      </c>
    </row>
    <row r="574" spans="2:6" x14ac:dyDescent="0.25">
      <c r="B574" s="117">
        <v>2017</v>
      </c>
      <c r="C574" s="187">
        <v>1</v>
      </c>
      <c r="D574" s="188">
        <v>1</v>
      </c>
      <c r="E574" s="188">
        <v>3</v>
      </c>
      <c r="F574" s="200">
        <v>5</v>
      </c>
    </row>
    <row r="575" spans="2:6" x14ac:dyDescent="0.25">
      <c r="B575" s="117">
        <v>2018</v>
      </c>
      <c r="C575" s="187">
        <v>1</v>
      </c>
      <c r="D575" s="188">
        <v>0</v>
      </c>
      <c r="E575" s="188">
        <v>1</v>
      </c>
      <c r="F575" s="200">
        <v>2</v>
      </c>
    </row>
    <row r="576" spans="2:6" x14ac:dyDescent="0.25">
      <c r="B576" s="117">
        <v>2019</v>
      </c>
      <c r="C576" s="187">
        <v>0</v>
      </c>
      <c r="D576" s="188">
        <v>1</v>
      </c>
      <c r="E576" s="188">
        <v>3</v>
      </c>
      <c r="F576" s="200">
        <v>4</v>
      </c>
    </row>
    <row r="577" spans="1:6" x14ac:dyDescent="0.25">
      <c r="A577" s="58"/>
      <c r="B577" s="117">
        <v>2020</v>
      </c>
      <c r="C577" s="187">
        <v>0</v>
      </c>
      <c r="D577" s="188">
        <v>0</v>
      </c>
      <c r="E577" s="188">
        <v>0</v>
      </c>
      <c r="F577" s="200">
        <v>0</v>
      </c>
    </row>
    <row r="578" spans="1:6" x14ac:dyDescent="0.25">
      <c r="A578" s="58"/>
      <c r="B578" s="117">
        <v>2021</v>
      </c>
      <c r="C578" s="187">
        <v>0</v>
      </c>
      <c r="D578" s="188">
        <v>0</v>
      </c>
      <c r="E578" s="188">
        <v>0</v>
      </c>
      <c r="F578" s="200">
        <v>0</v>
      </c>
    </row>
    <row r="579" spans="1:6" x14ac:dyDescent="0.25">
      <c r="A579" s="58"/>
      <c r="B579" s="117">
        <v>2022</v>
      </c>
      <c r="C579" s="187">
        <v>0</v>
      </c>
      <c r="D579" s="188">
        <v>0</v>
      </c>
      <c r="E579" s="188">
        <v>1</v>
      </c>
      <c r="F579" s="200">
        <v>1</v>
      </c>
    </row>
    <row r="580" spans="1:6" x14ac:dyDescent="0.25">
      <c r="A580" s="58"/>
      <c r="B580" s="117">
        <v>2023</v>
      </c>
      <c r="C580" s="187">
        <v>0</v>
      </c>
      <c r="D580" s="188">
        <v>0</v>
      </c>
      <c r="E580" s="188">
        <v>1</v>
      </c>
      <c r="F580" s="200">
        <v>1</v>
      </c>
    </row>
    <row r="581" spans="1:6" x14ac:dyDescent="0.25">
      <c r="A581" s="58"/>
      <c r="B581" s="117">
        <v>2024</v>
      </c>
      <c r="C581" s="187">
        <v>0</v>
      </c>
      <c r="D581" s="188">
        <v>0</v>
      </c>
      <c r="E581" s="188">
        <v>3</v>
      </c>
      <c r="F581" s="200">
        <v>3</v>
      </c>
    </row>
    <row r="582" spans="1:6" x14ac:dyDescent="0.25">
      <c r="A582" s="58"/>
      <c r="B582" s="121" t="s">
        <v>2779</v>
      </c>
      <c r="C582" s="196">
        <v>4</v>
      </c>
      <c r="D582" s="197">
        <v>8</v>
      </c>
      <c r="E582" s="197">
        <v>45</v>
      </c>
      <c r="F582" s="198">
        <v>57</v>
      </c>
    </row>
    <row r="583" spans="1:6" ht="15.75" customHeight="1" x14ac:dyDescent="0.25">
      <c r="A583" s="58"/>
      <c r="B583" s="68"/>
      <c r="C583" s="68"/>
      <c r="D583" s="68"/>
      <c r="E583" s="68"/>
      <c r="F583" s="68"/>
    </row>
    <row r="584" spans="1:6" ht="15.75" customHeight="1" x14ac:dyDescent="0.25">
      <c r="A584" s="58"/>
      <c r="B584" s="6"/>
    </row>
    <row r="585" spans="1:6" ht="15.75" customHeight="1" x14ac:dyDescent="0.25">
      <c r="A585" s="57"/>
    </row>
    <row r="586" spans="1:6" ht="15.75" customHeight="1" x14ac:dyDescent="0.25">
      <c r="A586" s="58"/>
    </row>
    <row r="587" spans="1:6" x14ac:dyDescent="0.25">
      <c r="A587" s="57" t="s">
        <v>42</v>
      </c>
      <c r="B587" s="120" t="s">
        <v>7</v>
      </c>
      <c r="C587" s="119" t="s">
        <v>42</v>
      </c>
    </row>
    <row r="588" spans="1:6" ht="15.75" customHeight="1" x14ac:dyDescent="0.25">
      <c r="A588" s="58"/>
    </row>
    <row r="589" spans="1:6" ht="15.75" customHeight="1" x14ac:dyDescent="0.25">
      <c r="A589" s="58"/>
      <c r="B589" s="111" t="s">
        <v>2778</v>
      </c>
      <c r="C589" s="111" t="s">
        <v>1</v>
      </c>
      <c r="D589" s="112"/>
      <c r="E589" s="112"/>
      <c r="F589" s="113"/>
    </row>
    <row r="590" spans="1:6" x14ac:dyDescent="0.25">
      <c r="A590" s="58"/>
      <c r="B590" s="111" t="s">
        <v>8</v>
      </c>
      <c r="C590" s="114" t="s">
        <v>307</v>
      </c>
      <c r="D590" s="115" t="s">
        <v>26</v>
      </c>
      <c r="E590" s="115" t="s">
        <v>76</v>
      </c>
      <c r="F590" s="122" t="s">
        <v>2779</v>
      </c>
    </row>
    <row r="591" spans="1:6" x14ac:dyDescent="0.25">
      <c r="A591" s="58"/>
      <c r="B591" s="114">
        <v>2002</v>
      </c>
      <c r="C591" s="184">
        <v>0</v>
      </c>
      <c r="D591" s="185">
        <v>0</v>
      </c>
      <c r="E591" s="185">
        <v>4</v>
      </c>
      <c r="F591" s="199">
        <v>4</v>
      </c>
    </row>
    <row r="592" spans="1:6" x14ac:dyDescent="0.25">
      <c r="A592" s="58"/>
      <c r="B592" s="117">
        <v>2003</v>
      </c>
      <c r="C592" s="187">
        <v>1</v>
      </c>
      <c r="D592" s="188">
        <v>0</v>
      </c>
      <c r="E592" s="188">
        <v>2</v>
      </c>
      <c r="F592" s="200">
        <v>3</v>
      </c>
    </row>
    <row r="593" spans="2:6" x14ac:dyDescent="0.25">
      <c r="B593" s="117">
        <v>2004</v>
      </c>
      <c r="C593" s="187">
        <v>1</v>
      </c>
      <c r="D593" s="188">
        <v>0</v>
      </c>
      <c r="E593" s="188">
        <v>3</v>
      </c>
      <c r="F593" s="200">
        <v>4</v>
      </c>
    </row>
    <row r="594" spans="2:6" x14ac:dyDescent="0.25">
      <c r="B594" s="117">
        <v>2005</v>
      </c>
      <c r="C594" s="187">
        <v>1</v>
      </c>
      <c r="D594" s="188">
        <v>2</v>
      </c>
      <c r="E594" s="188">
        <v>3</v>
      </c>
      <c r="F594" s="200">
        <v>6</v>
      </c>
    </row>
    <row r="595" spans="2:6" x14ac:dyDescent="0.25">
      <c r="B595" s="117">
        <v>2006</v>
      </c>
      <c r="C595" s="187">
        <v>1</v>
      </c>
      <c r="D595" s="188">
        <v>0</v>
      </c>
      <c r="E595" s="188">
        <v>3</v>
      </c>
      <c r="F595" s="200">
        <v>4</v>
      </c>
    </row>
    <row r="596" spans="2:6" x14ac:dyDescent="0.25">
      <c r="B596" s="117">
        <v>2007</v>
      </c>
      <c r="C596" s="187">
        <v>1</v>
      </c>
      <c r="D596" s="188">
        <v>0</v>
      </c>
      <c r="E596" s="188">
        <v>2</v>
      </c>
      <c r="F596" s="200">
        <v>3</v>
      </c>
    </row>
    <row r="597" spans="2:6" x14ac:dyDescent="0.25">
      <c r="B597" s="117">
        <v>2008</v>
      </c>
      <c r="C597" s="187">
        <v>0</v>
      </c>
      <c r="D597" s="188">
        <v>0</v>
      </c>
      <c r="E597" s="188">
        <v>3</v>
      </c>
      <c r="F597" s="200">
        <v>3</v>
      </c>
    </row>
    <row r="598" spans="2:6" x14ac:dyDescent="0.25">
      <c r="B598" s="117">
        <v>2009</v>
      </c>
      <c r="C598" s="187">
        <v>2</v>
      </c>
      <c r="D598" s="188">
        <v>1</v>
      </c>
      <c r="E598" s="188">
        <v>6</v>
      </c>
      <c r="F598" s="200">
        <v>9</v>
      </c>
    </row>
    <row r="599" spans="2:6" x14ac:dyDescent="0.25">
      <c r="B599" s="117">
        <v>2010</v>
      </c>
      <c r="C599" s="187">
        <v>2</v>
      </c>
      <c r="D599" s="188">
        <v>1</v>
      </c>
      <c r="E599" s="188">
        <v>5</v>
      </c>
      <c r="F599" s="200">
        <v>8</v>
      </c>
    </row>
    <row r="600" spans="2:6" x14ac:dyDescent="0.25">
      <c r="B600" s="117">
        <v>2011</v>
      </c>
      <c r="C600" s="187">
        <v>4</v>
      </c>
      <c r="D600" s="188">
        <v>1</v>
      </c>
      <c r="E600" s="188">
        <v>2</v>
      </c>
      <c r="F600" s="200">
        <v>7</v>
      </c>
    </row>
    <row r="601" spans="2:6" x14ac:dyDescent="0.25">
      <c r="B601" s="117">
        <v>2012</v>
      </c>
      <c r="C601" s="187">
        <v>0</v>
      </c>
      <c r="D601" s="188">
        <v>1</v>
      </c>
      <c r="E601" s="188">
        <v>3</v>
      </c>
      <c r="F601" s="200">
        <v>4</v>
      </c>
    </row>
    <row r="602" spans="2:6" x14ac:dyDescent="0.25">
      <c r="B602" s="117">
        <v>2013</v>
      </c>
      <c r="C602" s="187">
        <v>1</v>
      </c>
      <c r="D602" s="188">
        <v>1</v>
      </c>
      <c r="E602" s="188">
        <v>3</v>
      </c>
      <c r="F602" s="200">
        <v>5</v>
      </c>
    </row>
    <row r="603" spans="2:6" x14ac:dyDescent="0.25">
      <c r="B603" s="117">
        <v>2014</v>
      </c>
      <c r="C603" s="187">
        <v>2</v>
      </c>
      <c r="D603" s="188">
        <v>1</v>
      </c>
      <c r="E603" s="188">
        <v>3</v>
      </c>
      <c r="F603" s="200">
        <v>6</v>
      </c>
    </row>
    <row r="604" spans="2:6" x14ac:dyDescent="0.25">
      <c r="B604" s="117">
        <v>2015</v>
      </c>
      <c r="C604" s="187">
        <v>4</v>
      </c>
      <c r="D604" s="188">
        <v>0</v>
      </c>
      <c r="E604" s="188">
        <v>4</v>
      </c>
      <c r="F604" s="200">
        <v>8</v>
      </c>
    </row>
    <row r="605" spans="2:6" x14ac:dyDescent="0.25">
      <c r="B605" s="117">
        <v>2016</v>
      </c>
      <c r="C605" s="187">
        <v>5</v>
      </c>
      <c r="D605" s="188">
        <v>2</v>
      </c>
      <c r="E605" s="188">
        <v>5</v>
      </c>
      <c r="F605" s="200">
        <v>12</v>
      </c>
    </row>
    <row r="606" spans="2:6" x14ac:dyDescent="0.25">
      <c r="B606" s="117">
        <v>2017</v>
      </c>
      <c r="C606" s="187">
        <v>6</v>
      </c>
      <c r="D606" s="188">
        <v>1</v>
      </c>
      <c r="E606" s="188">
        <v>5</v>
      </c>
      <c r="F606" s="200">
        <v>12</v>
      </c>
    </row>
    <row r="607" spans="2:6" x14ac:dyDescent="0.25">
      <c r="B607" s="117">
        <v>2018</v>
      </c>
      <c r="C607" s="187">
        <v>2</v>
      </c>
      <c r="D607" s="188">
        <v>0</v>
      </c>
      <c r="E607" s="188">
        <v>7</v>
      </c>
      <c r="F607" s="200">
        <v>9</v>
      </c>
    </row>
    <row r="608" spans="2:6" x14ac:dyDescent="0.25">
      <c r="B608" s="117">
        <v>2019</v>
      </c>
      <c r="C608" s="187">
        <v>5</v>
      </c>
      <c r="D608" s="188">
        <v>0</v>
      </c>
      <c r="E608" s="188">
        <v>8</v>
      </c>
      <c r="F608" s="200">
        <v>13</v>
      </c>
    </row>
    <row r="609" spans="1:12" x14ac:dyDescent="0.25">
      <c r="A609" s="58"/>
      <c r="B609" s="117">
        <v>2020</v>
      </c>
      <c r="C609" s="187">
        <v>2</v>
      </c>
      <c r="D609" s="188">
        <v>0</v>
      </c>
      <c r="E609" s="188">
        <v>2</v>
      </c>
      <c r="F609" s="200">
        <v>4</v>
      </c>
    </row>
    <row r="610" spans="1:12" x14ac:dyDescent="0.25">
      <c r="A610" s="58"/>
      <c r="B610" s="117">
        <v>2021</v>
      </c>
      <c r="C610" s="187">
        <v>3</v>
      </c>
      <c r="D610" s="188">
        <v>0</v>
      </c>
      <c r="E610" s="188">
        <v>3</v>
      </c>
      <c r="F610" s="200">
        <v>6</v>
      </c>
    </row>
    <row r="611" spans="1:12" x14ac:dyDescent="0.25">
      <c r="A611" s="58"/>
      <c r="B611" s="117">
        <v>2022</v>
      </c>
      <c r="C611" s="187">
        <v>1</v>
      </c>
      <c r="D611" s="188">
        <v>0</v>
      </c>
      <c r="E611" s="188">
        <v>2</v>
      </c>
      <c r="F611" s="200">
        <v>3</v>
      </c>
    </row>
    <row r="612" spans="1:12" x14ac:dyDescent="0.25">
      <c r="A612" s="58"/>
      <c r="B612" s="117">
        <v>2023</v>
      </c>
      <c r="C612" s="187">
        <v>3</v>
      </c>
      <c r="D612" s="188">
        <v>0</v>
      </c>
      <c r="E612" s="188">
        <v>4</v>
      </c>
      <c r="F612" s="200">
        <v>7</v>
      </c>
    </row>
    <row r="613" spans="1:12" x14ac:dyDescent="0.25">
      <c r="A613" s="58"/>
      <c r="B613" s="117">
        <v>2024</v>
      </c>
      <c r="C613" s="187">
        <v>1</v>
      </c>
      <c r="D613" s="188">
        <v>0</v>
      </c>
      <c r="E613" s="188">
        <v>3</v>
      </c>
      <c r="F613" s="200">
        <v>4</v>
      </c>
    </row>
    <row r="614" spans="1:12" x14ac:dyDescent="0.25">
      <c r="A614" s="58"/>
      <c r="B614" s="121" t="s">
        <v>2779</v>
      </c>
      <c r="C614" s="196">
        <v>48</v>
      </c>
      <c r="D614" s="197">
        <v>11</v>
      </c>
      <c r="E614" s="197">
        <v>85</v>
      </c>
      <c r="F614" s="198">
        <v>144</v>
      </c>
    </row>
    <row r="615" spans="1:12" ht="15.75" customHeight="1" x14ac:dyDescent="0.25">
      <c r="A615" s="58"/>
      <c r="B615" s="68"/>
      <c r="C615" s="68"/>
      <c r="D615" s="68"/>
      <c r="E615" s="68"/>
      <c r="F615" s="68"/>
    </row>
    <row r="616" spans="1:12" ht="15.75" customHeight="1" x14ac:dyDescent="0.25">
      <c r="A616" s="58"/>
      <c r="B616" s="68"/>
      <c r="C616" s="68"/>
      <c r="D616" s="68"/>
      <c r="E616" s="68"/>
      <c r="F616" s="68"/>
    </row>
    <row r="617" spans="1:12" ht="15.75" customHeight="1" x14ac:dyDescent="0.25">
      <c r="A617" s="58"/>
    </row>
    <row r="618" spans="1:12" ht="15.75" customHeight="1" x14ac:dyDescent="0.25">
      <c r="A618" s="58"/>
    </row>
    <row r="619" spans="1:12" x14ac:dyDescent="0.25">
      <c r="A619" s="57" t="s">
        <v>208</v>
      </c>
      <c r="B619" s="120" t="s">
        <v>7</v>
      </c>
      <c r="C619" s="119" t="s">
        <v>208</v>
      </c>
    </row>
    <row r="620" spans="1:12" ht="15.75" customHeight="1" x14ac:dyDescent="0.25">
      <c r="A620" s="58"/>
    </row>
    <row r="621" spans="1:12" ht="15.75" customHeight="1" x14ac:dyDescent="0.25">
      <c r="A621" s="58"/>
      <c r="B621" s="111" t="s">
        <v>2778</v>
      </c>
      <c r="C621" s="111" t="s">
        <v>1</v>
      </c>
      <c r="D621" s="112"/>
      <c r="E621" s="112"/>
      <c r="F621" s="113"/>
    </row>
    <row r="622" spans="1:12" x14ac:dyDescent="0.25">
      <c r="A622" s="58"/>
      <c r="B622" s="111" t="s">
        <v>8</v>
      </c>
      <c r="C622" s="114" t="s">
        <v>307</v>
      </c>
      <c r="D622" s="115" t="s">
        <v>26</v>
      </c>
      <c r="E622" s="115" t="s">
        <v>76</v>
      </c>
      <c r="F622" s="122" t="s">
        <v>2779</v>
      </c>
      <c r="I622" s="114" t="s">
        <v>8</v>
      </c>
      <c r="J622" s="114" t="s">
        <v>307</v>
      </c>
      <c r="K622" s="115" t="s">
        <v>26</v>
      </c>
      <c r="L622" s="115" t="s">
        <v>76</v>
      </c>
    </row>
    <row r="623" spans="1:12" x14ac:dyDescent="0.25">
      <c r="A623" s="58"/>
      <c r="B623" s="114">
        <v>2002</v>
      </c>
      <c r="C623" s="184">
        <v>0</v>
      </c>
      <c r="D623" s="185">
        <v>1</v>
      </c>
      <c r="E623" s="185">
        <v>1</v>
      </c>
      <c r="F623" s="199">
        <v>2</v>
      </c>
      <c r="I623" s="114">
        <v>2002</v>
      </c>
      <c r="J623" s="114">
        <f t="shared" ref="J623:L624" si="0">C623</f>
        <v>0</v>
      </c>
      <c r="K623" s="115">
        <f t="shared" si="0"/>
        <v>1</v>
      </c>
      <c r="L623" s="115">
        <f t="shared" si="0"/>
        <v>1</v>
      </c>
    </row>
    <row r="624" spans="1:12" x14ac:dyDescent="0.25">
      <c r="A624" s="58"/>
      <c r="B624" s="117">
        <v>2003</v>
      </c>
      <c r="C624" s="187">
        <v>0</v>
      </c>
      <c r="D624" s="188">
        <v>0</v>
      </c>
      <c r="E624" s="188">
        <v>2</v>
      </c>
      <c r="F624" s="200">
        <v>2</v>
      </c>
      <c r="I624" s="117">
        <v>2003</v>
      </c>
      <c r="J624" s="117">
        <f t="shared" si="0"/>
        <v>0</v>
      </c>
      <c r="K624" s="68">
        <f t="shared" si="0"/>
        <v>0</v>
      </c>
      <c r="L624" s="68">
        <f t="shared" si="0"/>
        <v>2</v>
      </c>
    </row>
    <row r="625" spans="2:12" x14ac:dyDescent="0.25">
      <c r="B625" s="117">
        <v>2004</v>
      </c>
      <c r="C625" s="187">
        <v>0</v>
      </c>
      <c r="D625" s="188">
        <v>0</v>
      </c>
      <c r="E625" s="188">
        <v>2</v>
      </c>
      <c r="F625" s="200">
        <v>2</v>
      </c>
      <c r="I625" s="117">
        <v>2004</v>
      </c>
      <c r="J625" s="114">
        <f t="shared" ref="J625:J645" si="1">C625</f>
        <v>0</v>
      </c>
      <c r="K625" s="115">
        <f t="shared" ref="K625:K645" si="2">D625</f>
        <v>0</v>
      </c>
      <c r="L625" s="115">
        <f t="shared" ref="L625:L645" si="3">E625</f>
        <v>2</v>
      </c>
    </row>
    <row r="626" spans="2:12" x14ac:dyDescent="0.25">
      <c r="B626" s="117">
        <v>2005</v>
      </c>
      <c r="C626" s="187">
        <v>0</v>
      </c>
      <c r="D626" s="188">
        <v>0</v>
      </c>
      <c r="E626" s="188">
        <v>2</v>
      </c>
      <c r="F626" s="200">
        <v>2</v>
      </c>
      <c r="I626" s="117">
        <v>2005</v>
      </c>
      <c r="J626" s="117">
        <f t="shared" si="1"/>
        <v>0</v>
      </c>
      <c r="K626" s="68">
        <f t="shared" si="2"/>
        <v>0</v>
      </c>
      <c r="L626" s="68">
        <f t="shared" si="3"/>
        <v>2</v>
      </c>
    </row>
    <row r="627" spans="2:12" x14ac:dyDescent="0.25">
      <c r="B627" s="117">
        <v>2006</v>
      </c>
      <c r="C627" s="187">
        <v>0</v>
      </c>
      <c r="D627" s="188">
        <v>0</v>
      </c>
      <c r="E627" s="188">
        <v>1</v>
      </c>
      <c r="F627" s="200">
        <v>1</v>
      </c>
      <c r="I627" s="117">
        <v>2006</v>
      </c>
      <c r="J627" s="114">
        <f t="shared" si="1"/>
        <v>0</v>
      </c>
      <c r="K627" s="115">
        <f t="shared" si="2"/>
        <v>0</v>
      </c>
      <c r="L627" s="115">
        <f t="shared" si="3"/>
        <v>1</v>
      </c>
    </row>
    <row r="628" spans="2:12" x14ac:dyDescent="0.25">
      <c r="B628" s="117">
        <v>2007</v>
      </c>
      <c r="C628" s="187">
        <v>0</v>
      </c>
      <c r="D628" s="188">
        <v>0</v>
      </c>
      <c r="E628" s="188">
        <v>2</v>
      </c>
      <c r="F628" s="200">
        <v>2</v>
      </c>
      <c r="I628" s="117">
        <v>2007</v>
      </c>
      <c r="J628" s="117">
        <f t="shared" si="1"/>
        <v>0</v>
      </c>
      <c r="K628" s="68">
        <f t="shared" si="2"/>
        <v>0</v>
      </c>
      <c r="L628" s="68">
        <f t="shared" si="3"/>
        <v>2</v>
      </c>
    </row>
    <row r="629" spans="2:12" x14ac:dyDescent="0.25">
      <c r="B629" s="117">
        <v>2008</v>
      </c>
      <c r="C629" s="187">
        <v>0</v>
      </c>
      <c r="D629" s="188">
        <v>0</v>
      </c>
      <c r="E629" s="188">
        <v>2</v>
      </c>
      <c r="F629" s="200">
        <v>2</v>
      </c>
      <c r="I629" s="117">
        <v>2008</v>
      </c>
      <c r="J629" s="114">
        <f t="shared" si="1"/>
        <v>0</v>
      </c>
      <c r="K629" s="115">
        <f t="shared" si="2"/>
        <v>0</v>
      </c>
      <c r="L629" s="115">
        <f t="shared" si="3"/>
        <v>2</v>
      </c>
    </row>
    <row r="630" spans="2:12" x14ac:dyDescent="0.25">
      <c r="B630" s="117">
        <v>2009</v>
      </c>
      <c r="C630" s="187">
        <v>0</v>
      </c>
      <c r="D630" s="188">
        <v>0</v>
      </c>
      <c r="E630" s="188">
        <v>3</v>
      </c>
      <c r="F630" s="200">
        <v>3</v>
      </c>
      <c r="I630" s="117">
        <v>2009</v>
      </c>
      <c r="J630" s="117">
        <f t="shared" si="1"/>
        <v>0</v>
      </c>
      <c r="K630" s="68">
        <f t="shared" si="2"/>
        <v>0</v>
      </c>
      <c r="L630" s="68">
        <f t="shared" si="3"/>
        <v>3</v>
      </c>
    </row>
    <row r="631" spans="2:12" x14ac:dyDescent="0.25">
      <c r="B631" s="117">
        <v>2010</v>
      </c>
      <c r="C631" s="187">
        <v>0</v>
      </c>
      <c r="D631" s="188">
        <v>0</v>
      </c>
      <c r="E631" s="188">
        <v>3</v>
      </c>
      <c r="F631" s="200">
        <v>3</v>
      </c>
      <c r="I631" s="117">
        <v>2010</v>
      </c>
      <c r="J631" s="114">
        <f t="shared" si="1"/>
        <v>0</v>
      </c>
      <c r="K631" s="115">
        <f t="shared" si="2"/>
        <v>0</v>
      </c>
      <c r="L631" s="115">
        <f t="shared" si="3"/>
        <v>3</v>
      </c>
    </row>
    <row r="632" spans="2:12" x14ac:dyDescent="0.25">
      <c r="B632" s="117">
        <v>2011</v>
      </c>
      <c r="C632" s="187">
        <v>0</v>
      </c>
      <c r="D632" s="188">
        <v>0</v>
      </c>
      <c r="E632" s="188">
        <v>1</v>
      </c>
      <c r="F632" s="200">
        <v>1</v>
      </c>
      <c r="I632" s="117">
        <v>2011</v>
      </c>
      <c r="J632" s="117">
        <f t="shared" si="1"/>
        <v>0</v>
      </c>
      <c r="K632" s="68">
        <f t="shared" si="2"/>
        <v>0</v>
      </c>
      <c r="L632" s="68">
        <f t="shared" si="3"/>
        <v>1</v>
      </c>
    </row>
    <row r="633" spans="2:12" x14ac:dyDescent="0.25">
      <c r="B633" s="117">
        <v>2012</v>
      </c>
      <c r="C633" s="187">
        <v>0</v>
      </c>
      <c r="D633" s="188">
        <v>0</v>
      </c>
      <c r="E633" s="188">
        <v>0</v>
      </c>
      <c r="F633" s="200">
        <v>0</v>
      </c>
      <c r="I633" s="117">
        <v>2012</v>
      </c>
      <c r="J633" s="114">
        <f t="shared" si="1"/>
        <v>0</v>
      </c>
      <c r="K633" s="115">
        <f t="shared" si="2"/>
        <v>0</v>
      </c>
      <c r="L633" s="115">
        <f t="shared" si="3"/>
        <v>0</v>
      </c>
    </row>
    <row r="634" spans="2:12" x14ac:dyDescent="0.25">
      <c r="B634" s="117">
        <v>2013</v>
      </c>
      <c r="C634" s="187">
        <v>0</v>
      </c>
      <c r="D634" s="188">
        <v>1</v>
      </c>
      <c r="E634" s="188">
        <v>1</v>
      </c>
      <c r="F634" s="200">
        <v>2</v>
      </c>
      <c r="I634" s="117">
        <v>2013</v>
      </c>
      <c r="J634" s="117">
        <f t="shared" si="1"/>
        <v>0</v>
      </c>
      <c r="K634" s="68">
        <f t="shared" si="2"/>
        <v>1</v>
      </c>
      <c r="L634" s="68">
        <f t="shared" si="3"/>
        <v>1</v>
      </c>
    </row>
    <row r="635" spans="2:12" x14ac:dyDescent="0.25">
      <c r="B635" s="117">
        <v>2014</v>
      </c>
      <c r="C635" s="187">
        <v>0</v>
      </c>
      <c r="D635" s="188">
        <v>0</v>
      </c>
      <c r="E635" s="188">
        <v>2</v>
      </c>
      <c r="F635" s="200">
        <v>2</v>
      </c>
      <c r="I635" s="117">
        <v>2014</v>
      </c>
      <c r="J635" s="114">
        <f t="shared" si="1"/>
        <v>0</v>
      </c>
      <c r="K635" s="115">
        <f t="shared" si="2"/>
        <v>0</v>
      </c>
      <c r="L635" s="115">
        <f t="shared" si="3"/>
        <v>2</v>
      </c>
    </row>
    <row r="636" spans="2:12" x14ac:dyDescent="0.25">
      <c r="B636" s="117">
        <v>2015</v>
      </c>
      <c r="C636" s="187">
        <v>0</v>
      </c>
      <c r="D636" s="188">
        <v>1</v>
      </c>
      <c r="E636" s="188">
        <v>2</v>
      </c>
      <c r="F636" s="200">
        <v>3</v>
      </c>
      <c r="I636" s="117">
        <v>2015</v>
      </c>
      <c r="J636" s="117">
        <f t="shared" si="1"/>
        <v>0</v>
      </c>
      <c r="K636" s="68">
        <f t="shared" si="2"/>
        <v>1</v>
      </c>
      <c r="L636" s="68">
        <f t="shared" si="3"/>
        <v>2</v>
      </c>
    </row>
    <row r="637" spans="2:12" x14ac:dyDescent="0.25">
      <c r="B637" s="117">
        <v>2016</v>
      </c>
      <c r="C637" s="187">
        <v>1</v>
      </c>
      <c r="D637" s="188">
        <v>0</v>
      </c>
      <c r="E637" s="188">
        <v>1</v>
      </c>
      <c r="F637" s="200">
        <v>2</v>
      </c>
      <c r="I637" s="117">
        <v>2016</v>
      </c>
      <c r="J637" s="114">
        <f t="shared" si="1"/>
        <v>1</v>
      </c>
      <c r="K637" s="115">
        <f t="shared" si="2"/>
        <v>0</v>
      </c>
      <c r="L637" s="115">
        <f t="shared" si="3"/>
        <v>1</v>
      </c>
    </row>
    <row r="638" spans="2:12" x14ac:dyDescent="0.25">
      <c r="B638" s="117">
        <v>2017</v>
      </c>
      <c r="C638" s="187">
        <v>0</v>
      </c>
      <c r="D638" s="188">
        <v>0</v>
      </c>
      <c r="E638" s="188">
        <v>0</v>
      </c>
      <c r="F638" s="200">
        <v>0</v>
      </c>
      <c r="I638" s="117">
        <v>2017</v>
      </c>
      <c r="J638" s="117">
        <f t="shared" si="1"/>
        <v>0</v>
      </c>
      <c r="K638" s="68">
        <f t="shared" si="2"/>
        <v>0</v>
      </c>
      <c r="L638" s="68">
        <f t="shared" si="3"/>
        <v>0</v>
      </c>
    </row>
    <row r="639" spans="2:12" x14ac:dyDescent="0.25">
      <c r="B639" s="117">
        <v>2018</v>
      </c>
      <c r="C639" s="187">
        <v>0</v>
      </c>
      <c r="D639" s="188">
        <v>0</v>
      </c>
      <c r="E639" s="188">
        <v>0</v>
      </c>
      <c r="F639" s="200">
        <v>0</v>
      </c>
      <c r="I639" s="117">
        <v>2018</v>
      </c>
      <c r="J639" s="114">
        <f t="shared" si="1"/>
        <v>0</v>
      </c>
      <c r="K639" s="115">
        <f t="shared" si="2"/>
        <v>0</v>
      </c>
      <c r="L639" s="115">
        <f t="shared" si="3"/>
        <v>0</v>
      </c>
    </row>
    <row r="640" spans="2:12" x14ac:dyDescent="0.25">
      <c r="B640" s="117">
        <v>2019</v>
      </c>
      <c r="C640" s="187">
        <v>0</v>
      </c>
      <c r="D640" s="188">
        <v>0</v>
      </c>
      <c r="E640" s="188">
        <v>1</v>
      </c>
      <c r="F640" s="200">
        <v>1</v>
      </c>
      <c r="I640" s="117">
        <v>2019</v>
      </c>
      <c r="J640" s="117">
        <f t="shared" si="1"/>
        <v>0</v>
      </c>
      <c r="K640" s="68">
        <f t="shared" si="2"/>
        <v>0</v>
      </c>
      <c r="L640" s="68">
        <f t="shared" si="3"/>
        <v>1</v>
      </c>
    </row>
    <row r="641" spans="1:12" x14ac:dyDescent="0.25">
      <c r="A641" s="58"/>
      <c r="B641" s="117">
        <v>2020</v>
      </c>
      <c r="C641" s="187">
        <v>0</v>
      </c>
      <c r="D641" s="188">
        <v>0</v>
      </c>
      <c r="E641" s="188">
        <v>0</v>
      </c>
      <c r="F641" s="200">
        <v>0</v>
      </c>
      <c r="I641" s="117">
        <v>2020</v>
      </c>
      <c r="J641" s="114">
        <f t="shared" si="1"/>
        <v>0</v>
      </c>
      <c r="K641" s="115">
        <f t="shared" si="2"/>
        <v>0</v>
      </c>
      <c r="L641" s="115">
        <f t="shared" si="3"/>
        <v>0</v>
      </c>
    </row>
    <row r="642" spans="1:12" x14ac:dyDescent="0.25">
      <c r="A642" s="58"/>
      <c r="B642" s="117">
        <v>2021</v>
      </c>
      <c r="C642" s="187">
        <v>0</v>
      </c>
      <c r="D642" s="188">
        <v>0</v>
      </c>
      <c r="E642" s="188">
        <v>0</v>
      </c>
      <c r="F642" s="200">
        <v>0</v>
      </c>
      <c r="I642" s="117">
        <v>2021</v>
      </c>
      <c r="J642" s="117">
        <f t="shared" si="1"/>
        <v>0</v>
      </c>
      <c r="K642" s="68">
        <f t="shared" si="2"/>
        <v>0</v>
      </c>
      <c r="L642" s="68">
        <f t="shared" si="3"/>
        <v>0</v>
      </c>
    </row>
    <row r="643" spans="1:12" x14ac:dyDescent="0.25">
      <c r="A643" s="58"/>
      <c r="B643" s="117">
        <v>2022</v>
      </c>
      <c r="C643" s="187">
        <v>0</v>
      </c>
      <c r="D643" s="188">
        <v>0</v>
      </c>
      <c r="E643" s="188">
        <v>0</v>
      </c>
      <c r="F643" s="200">
        <v>0</v>
      </c>
      <c r="I643" s="117">
        <v>2022</v>
      </c>
      <c r="J643" s="114">
        <f t="shared" si="1"/>
        <v>0</v>
      </c>
      <c r="K643" s="115">
        <f t="shared" si="2"/>
        <v>0</v>
      </c>
      <c r="L643" s="115">
        <f t="shared" si="3"/>
        <v>0</v>
      </c>
    </row>
    <row r="644" spans="1:12" x14ac:dyDescent="0.25">
      <c r="A644" s="58"/>
      <c r="B644" s="117">
        <v>2023</v>
      </c>
      <c r="C644" s="187">
        <v>0</v>
      </c>
      <c r="D644" s="188">
        <v>0</v>
      </c>
      <c r="E644" s="188">
        <v>1</v>
      </c>
      <c r="F644" s="200">
        <v>1</v>
      </c>
      <c r="I644" s="117">
        <v>2023</v>
      </c>
      <c r="J644" s="117">
        <f t="shared" si="1"/>
        <v>0</v>
      </c>
      <c r="K644" s="68">
        <f t="shared" si="2"/>
        <v>0</v>
      </c>
      <c r="L644" s="68">
        <f t="shared" si="3"/>
        <v>1</v>
      </c>
    </row>
    <row r="645" spans="1:12" x14ac:dyDescent="0.25">
      <c r="A645" s="58"/>
      <c r="B645" s="117">
        <v>2024</v>
      </c>
      <c r="C645" s="187">
        <v>1</v>
      </c>
      <c r="D645" s="188">
        <v>0</v>
      </c>
      <c r="E645" s="188">
        <v>1</v>
      </c>
      <c r="F645" s="200">
        <v>2</v>
      </c>
      <c r="I645" s="117">
        <v>2024</v>
      </c>
      <c r="J645" s="114">
        <f t="shared" si="1"/>
        <v>1</v>
      </c>
      <c r="K645" s="115">
        <f t="shared" si="2"/>
        <v>0</v>
      </c>
      <c r="L645" s="115">
        <f t="shared" si="3"/>
        <v>1</v>
      </c>
    </row>
    <row r="646" spans="1:12" x14ac:dyDescent="0.25">
      <c r="A646" s="58"/>
      <c r="B646" s="121" t="s">
        <v>2779</v>
      </c>
      <c r="C646" s="196">
        <v>2</v>
      </c>
      <c r="D646" s="197">
        <v>3</v>
      </c>
      <c r="E646" s="197">
        <v>28</v>
      </c>
      <c r="F646" s="198">
        <v>33</v>
      </c>
    </row>
    <row r="647" spans="1:12" ht="15.75" customHeight="1" x14ac:dyDescent="0.25">
      <c r="A647" s="57"/>
    </row>
    <row r="648" spans="1:12" ht="15.75" customHeight="1" x14ac:dyDescent="0.25">
      <c r="A648" s="58"/>
    </row>
    <row r="649" spans="1:12" x14ac:dyDescent="0.25">
      <c r="A649" s="57" t="s">
        <v>93</v>
      </c>
      <c r="B649" s="120" t="s">
        <v>7</v>
      </c>
      <c r="C649" s="119" t="s">
        <v>93</v>
      </c>
    </row>
    <row r="650" spans="1:12" ht="15.75" customHeight="1" x14ac:dyDescent="0.25">
      <c r="A650" s="58"/>
    </row>
    <row r="651" spans="1:12" ht="15.75" customHeight="1" x14ac:dyDescent="0.25">
      <c r="A651" s="58"/>
      <c r="B651" s="111" t="s">
        <v>2778</v>
      </c>
      <c r="C651" s="111" t="s">
        <v>1</v>
      </c>
      <c r="D651" s="112"/>
      <c r="E651" s="112"/>
      <c r="F651" s="113"/>
    </row>
    <row r="652" spans="1:12" x14ac:dyDescent="0.25">
      <c r="A652" s="58"/>
      <c r="B652" s="111" t="s">
        <v>8</v>
      </c>
      <c r="C652" s="114" t="s">
        <v>307</v>
      </c>
      <c r="D652" s="115" t="s">
        <v>26</v>
      </c>
      <c r="E652" s="115" t="s">
        <v>76</v>
      </c>
      <c r="F652" s="122" t="s">
        <v>2779</v>
      </c>
      <c r="I652" s="114" t="s">
        <v>8</v>
      </c>
      <c r="J652" s="114" t="s">
        <v>307</v>
      </c>
      <c r="K652" s="115" t="s">
        <v>26</v>
      </c>
      <c r="L652" s="115" t="s">
        <v>76</v>
      </c>
    </row>
    <row r="653" spans="1:12" x14ac:dyDescent="0.25">
      <c r="A653" s="58"/>
      <c r="B653" s="114">
        <v>2002</v>
      </c>
      <c r="C653" s="184">
        <v>0</v>
      </c>
      <c r="D653" s="185">
        <v>0</v>
      </c>
      <c r="E653" s="185">
        <v>1</v>
      </c>
      <c r="F653" s="199">
        <v>1</v>
      </c>
      <c r="I653" s="114">
        <v>2002</v>
      </c>
      <c r="J653" s="114">
        <f t="shared" ref="J653:L654" si="4">C653</f>
        <v>0</v>
      </c>
      <c r="K653" s="115">
        <f t="shared" si="4"/>
        <v>0</v>
      </c>
      <c r="L653" s="115">
        <f t="shared" si="4"/>
        <v>1</v>
      </c>
    </row>
    <row r="654" spans="1:12" x14ac:dyDescent="0.25">
      <c r="A654" s="58"/>
      <c r="B654" s="117">
        <v>2003</v>
      </c>
      <c r="C654" s="187">
        <v>0</v>
      </c>
      <c r="D654" s="188">
        <v>0</v>
      </c>
      <c r="E654" s="188">
        <v>3</v>
      </c>
      <c r="F654" s="200">
        <v>3</v>
      </c>
      <c r="I654" s="117">
        <v>2003</v>
      </c>
      <c r="J654" s="117">
        <f t="shared" si="4"/>
        <v>0</v>
      </c>
      <c r="K654" s="68">
        <f t="shared" si="4"/>
        <v>0</v>
      </c>
      <c r="L654" s="68">
        <f t="shared" si="4"/>
        <v>3</v>
      </c>
    </row>
    <row r="655" spans="1:12" x14ac:dyDescent="0.25">
      <c r="A655" s="58"/>
      <c r="B655" s="117">
        <v>2004</v>
      </c>
      <c r="C655" s="187">
        <v>0</v>
      </c>
      <c r="D655" s="188">
        <v>0</v>
      </c>
      <c r="E655" s="188">
        <v>2</v>
      </c>
      <c r="F655" s="200">
        <v>2</v>
      </c>
      <c r="I655" s="117">
        <v>2004</v>
      </c>
      <c r="J655" s="114">
        <f t="shared" ref="J655:J675" si="5">C655</f>
        <v>0</v>
      </c>
      <c r="K655" s="115">
        <f t="shared" ref="K655:K675" si="6">D655</f>
        <v>0</v>
      </c>
      <c r="L655" s="115">
        <f t="shared" ref="L655:L675" si="7">E655</f>
        <v>2</v>
      </c>
    </row>
    <row r="656" spans="1:12" x14ac:dyDescent="0.25">
      <c r="A656" s="58"/>
      <c r="B656" s="117">
        <v>2005</v>
      </c>
      <c r="C656" s="187">
        <v>0</v>
      </c>
      <c r="D656" s="188">
        <v>0</v>
      </c>
      <c r="E656" s="188">
        <v>3</v>
      </c>
      <c r="F656" s="200">
        <v>3</v>
      </c>
      <c r="I656" s="117">
        <v>2005</v>
      </c>
      <c r="J656" s="117">
        <f t="shared" si="5"/>
        <v>0</v>
      </c>
      <c r="K656" s="68">
        <f t="shared" si="6"/>
        <v>0</v>
      </c>
      <c r="L656" s="68">
        <f t="shared" si="7"/>
        <v>3</v>
      </c>
    </row>
    <row r="657" spans="2:12" x14ac:dyDescent="0.25">
      <c r="B657" s="117">
        <v>2006</v>
      </c>
      <c r="C657" s="187">
        <v>0</v>
      </c>
      <c r="D657" s="188">
        <v>0</v>
      </c>
      <c r="E657" s="188">
        <v>2</v>
      </c>
      <c r="F657" s="200">
        <v>2</v>
      </c>
      <c r="I657" s="117">
        <v>2006</v>
      </c>
      <c r="J657" s="114">
        <f t="shared" si="5"/>
        <v>0</v>
      </c>
      <c r="K657" s="115">
        <f t="shared" si="6"/>
        <v>0</v>
      </c>
      <c r="L657" s="115">
        <f t="shared" si="7"/>
        <v>2</v>
      </c>
    </row>
    <row r="658" spans="2:12" x14ac:dyDescent="0.25">
      <c r="B658" s="117">
        <v>2007</v>
      </c>
      <c r="C658" s="187">
        <v>0</v>
      </c>
      <c r="D658" s="188">
        <v>0</v>
      </c>
      <c r="E658" s="188">
        <v>1</v>
      </c>
      <c r="F658" s="200">
        <v>1</v>
      </c>
      <c r="I658" s="117">
        <v>2007</v>
      </c>
      <c r="J658" s="117">
        <f t="shared" si="5"/>
        <v>0</v>
      </c>
      <c r="K658" s="68">
        <f t="shared" si="6"/>
        <v>0</v>
      </c>
      <c r="L658" s="68">
        <f t="shared" si="7"/>
        <v>1</v>
      </c>
    </row>
    <row r="659" spans="2:12" x14ac:dyDescent="0.25">
      <c r="B659" s="117">
        <v>2008</v>
      </c>
      <c r="C659" s="187">
        <v>0</v>
      </c>
      <c r="D659" s="188">
        <v>0</v>
      </c>
      <c r="E659" s="188">
        <v>3</v>
      </c>
      <c r="F659" s="200">
        <v>3</v>
      </c>
      <c r="I659" s="117">
        <v>2008</v>
      </c>
      <c r="J659" s="114">
        <f t="shared" si="5"/>
        <v>0</v>
      </c>
      <c r="K659" s="115">
        <f t="shared" si="6"/>
        <v>0</v>
      </c>
      <c r="L659" s="115">
        <f t="shared" si="7"/>
        <v>3</v>
      </c>
    </row>
    <row r="660" spans="2:12" x14ac:dyDescent="0.25">
      <c r="B660" s="117">
        <v>2009</v>
      </c>
      <c r="C660" s="187">
        <v>0</v>
      </c>
      <c r="D660" s="188">
        <v>0</v>
      </c>
      <c r="E660" s="188">
        <v>2</v>
      </c>
      <c r="F660" s="200">
        <v>2</v>
      </c>
      <c r="I660" s="117">
        <v>2009</v>
      </c>
      <c r="J660" s="117">
        <f t="shared" si="5"/>
        <v>0</v>
      </c>
      <c r="K660" s="68">
        <f t="shared" si="6"/>
        <v>0</v>
      </c>
      <c r="L660" s="68">
        <f t="shared" si="7"/>
        <v>2</v>
      </c>
    </row>
    <row r="661" spans="2:12" x14ac:dyDescent="0.25">
      <c r="B661" s="117">
        <v>2010</v>
      </c>
      <c r="C661" s="187">
        <v>0</v>
      </c>
      <c r="D661" s="188">
        <v>1</v>
      </c>
      <c r="E661" s="188">
        <v>1</v>
      </c>
      <c r="F661" s="200">
        <v>2</v>
      </c>
      <c r="I661" s="117">
        <v>2010</v>
      </c>
      <c r="J661" s="114">
        <f t="shared" si="5"/>
        <v>0</v>
      </c>
      <c r="K661" s="115">
        <f t="shared" si="6"/>
        <v>1</v>
      </c>
      <c r="L661" s="115">
        <f t="shared" si="7"/>
        <v>1</v>
      </c>
    </row>
    <row r="662" spans="2:12" x14ac:dyDescent="0.25">
      <c r="B662" s="117">
        <v>2011</v>
      </c>
      <c r="C662" s="187">
        <v>0</v>
      </c>
      <c r="D662" s="188">
        <v>0</v>
      </c>
      <c r="E662" s="188">
        <v>2</v>
      </c>
      <c r="F662" s="200">
        <v>2</v>
      </c>
      <c r="I662" s="117">
        <v>2011</v>
      </c>
      <c r="J662" s="117">
        <f t="shared" si="5"/>
        <v>0</v>
      </c>
      <c r="K662" s="68">
        <f t="shared" si="6"/>
        <v>0</v>
      </c>
      <c r="L662" s="68">
        <f t="shared" si="7"/>
        <v>2</v>
      </c>
    </row>
    <row r="663" spans="2:12" x14ac:dyDescent="0.25">
      <c r="B663" s="117">
        <v>2012</v>
      </c>
      <c r="C663" s="187">
        <v>0</v>
      </c>
      <c r="D663" s="188">
        <v>0</v>
      </c>
      <c r="E663" s="188">
        <v>0</v>
      </c>
      <c r="F663" s="200">
        <v>0</v>
      </c>
      <c r="I663" s="117">
        <v>2012</v>
      </c>
      <c r="J663" s="114">
        <f t="shared" si="5"/>
        <v>0</v>
      </c>
      <c r="K663" s="115">
        <f t="shared" si="6"/>
        <v>0</v>
      </c>
      <c r="L663" s="115">
        <f t="shared" si="7"/>
        <v>0</v>
      </c>
    </row>
    <row r="664" spans="2:12" x14ac:dyDescent="0.25">
      <c r="B664" s="117">
        <v>2013</v>
      </c>
      <c r="C664" s="187">
        <v>0</v>
      </c>
      <c r="D664" s="188">
        <v>0</v>
      </c>
      <c r="E664" s="188">
        <v>1</v>
      </c>
      <c r="F664" s="200">
        <v>1</v>
      </c>
      <c r="I664" s="117">
        <v>2013</v>
      </c>
      <c r="J664" s="117">
        <f t="shared" si="5"/>
        <v>0</v>
      </c>
      <c r="K664" s="68">
        <f t="shared" si="6"/>
        <v>0</v>
      </c>
      <c r="L664" s="68">
        <f t="shared" si="7"/>
        <v>1</v>
      </c>
    </row>
    <row r="665" spans="2:12" x14ac:dyDescent="0.25">
      <c r="B665" s="117">
        <v>2014</v>
      </c>
      <c r="C665" s="187">
        <v>1</v>
      </c>
      <c r="D665" s="188">
        <v>1</v>
      </c>
      <c r="E665" s="188">
        <v>1</v>
      </c>
      <c r="F665" s="200">
        <v>3</v>
      </c>
      <c r="I665" s="117">
        <v>2014</v>
      </c>
      <c r="J665" s="114">
        <f t="shared" si="5"/>
        <v>1</v>
      </c>
      <c r="K665" s="115">
        <f t="shared" si="6"/>
        <v>1</v>
      </c>
      <c r="L665" s="115">
        <f t="shared" si="7"/>
        <v>1</v>
      </c>
    </row>
    <row r="666" spans="2:12" x14ac:dyDescent="0.25">
      <c r="B666" s="117">
        <v>2015</v>
      </c>
      <c r="C666" s="187">
        <v>0</v>
      </c>
      <c r="D666" s="188">
        <v>0</v>
      </c>
      <c r="E666" s="188">
        <v>0</v>
      </c>
      <c r="F666" s="200">
        <v>0</v>
      </c>
      <c r="I666" s="117">
        <v>2015</v>
      </c>
      <c r="J666" s="117">
        <f t="shared" si="5"/>
        <v>0</v>
      </c>
      <c r="K666" s="68">
        <f t="shared" si="6"/>
        <v>0</v>
      </c>
      <c r="L666" s="68">
        <f t="shared" si="7"/>
        <v>0</v>
      </c>
    </row>
    <row r="667" spans="2:12" x14ac:dyDescent="0.25">
      <c r="B667" s="117">
        <v>2016</v>
      </c>
      <c r="C667" s="187">
        <v>0</v>
      </c>
      <c r="D667" s="188">
        <v>0</v>
      </c>
      <c r="E667" s="188">
        <v>1</v>
      </c>
      <c r="F667" s="200">
        <v>1</v>
      </c>
      <c r="I667" s="117">
        <v>2016</v>
      </c>
      <c r="J667" s="114">
        <f t="shared" si="5"/>
        <v>0</v>
      </c>
      <c r="K667" s="115">
        <f t="shared" si="6"/>
        <v>0</v>
      </c>
      <c r="L667" s="115">
        <f t="shared" si="7"/>
        <v>1</v>
      </c>
    </row>
    <row r="668" spans="2:12" x14ac:dyDescent="0.25">
      <c r="B668" s="117">
        <v>2017</v>
      </c>
      <c r="C668" s="187">
        <v>1</v>
      </c>
      <c r="D668" s="188">
        <v>2</v>
      </c>
      <c r="E668" s="188">
        <v>1</v>
      </c>
      <c r="F668" s="200">
        <v>4</v>
      </c>
      <c r="I668" s="117">
        <v>2017</v>
      </c>
      <c r="J668" s="117">
        <f t="shared" si="5"/>
        <v>1</v>
      </c>
      <c r="K668" s="68">
        <f t="shared" si="6"/>
        <v>2</v>
      </c>
      <c r="L668" s="68">
        <f t="shared" si="7"/>
        <v>1</v>
      </c>
    </row>
    <row r="669" spans="2:12" x14ac:dyDescent="0.25">
      <c r="B669" s="117">
        <v>2018</v>
      </c>
      <c r="C669" s="187">
        <v>0</v>
      </c>
      <c r="D669" s="188">
        <v>0</v>
      </c>
      <c r="E669" s="188">
        <v>1</v>
      </c>
      <c r="F669" s="200">
        <v>1</v>
      </c>
      <c r="I669" s="117">
        <v>2018</v>
      </c>
      <c r="J669" s="114">
        <f t="shared" si="5"/>
        <v>0</v>
      </c>
      <c r="K669" s="115">
        <f t="shared" si="6"/>
        <v>0</v>
      </c>
      <c r="L669" s="115">
        <f t="shared" si="7"/>
        <v>1</v>
      </c>
    </row>
    <row r="670" spans="2:12" x14ac:dyDescent="0.25">
      <c r="B670" s="117">
        <v>2019</v>
      </c>
      <c r="C670" s="187">
        <v>1</v>
      </c>
      <c r="D670" s="188">
        <v>0</v>
      </c>
      <c r="E670" s="188">
        <v>0</v>
      </c>
      <c r="F670" s="200">
        <v>1</v>
      </c>
      <c r="I670" s="117">
        <v>2019</v>
      </c>
      <c r="J670" s="117">
        <f t="shared" si="5"/>
        <v>1</v>
      </c>
      <c r="K670" s="68">
        <f t="shared" si="6"/>
        <v>0</v>
      </c>
      <c r="L670" s="68">
        <f t="shared" si="7"/>
        <v>0</v>
      </c>
    </row>
    <row r="671" spans="2:12" x14ac:dyDescent="0.25">
      <c r="B671" s="117">
        <v>2020</v>
      </c>
      <c r="C671" s="187">
        <v>0</v>
      </c>
      <c r="D671" s="188">
        <v>0</v>
      </c>
      <c r="E671" s="188">
        <v>0</v>
      </c>
      <c r="F671" s="200">
        <v>0</v>
      </c>
      <c r="I671" s="117">
        <v>2020</v>
      </c>
      <c r="J671" s="114">
        <f t="shared" si="5"/>
        <v>0</v>
      </c>
      <c r="K671" s="115">
        <f t="shared" si="6"/>
        <v>0</v>
      </c>
      <c r="L671" s="115">
        <f t="shared" si="7"/>
        <v>0</v>
      </c>
    </row>
    <row r="672" spans="2:12" x14ac:dyDescent="0.25">
      <c r="B672" s="117">
        <v>2021</v>
      </c>
      <c r="C672" s="187">
        <v>0</v>
      </c>
      <c r="D672" s="188">
        <v>0</v>
      </c>
      <c r="E672" s="188">
        <v>0</v>
      </c>
      <c r="F672" s="200">
        <v>0</v>
      </c>
      <c r="I672" s="117">
        <v>2021</v>
      </c>
      <c r="J672" s="117">
        <f t="shared" si="5"/>
        <v>0</v>
      </c>
      <c r="K672" s="68">
        <f t="shared" si="6"/>
        <v>0</v>
      </c>
      <c r="L672" s="68">
        <f t="shared" si="7"/>
        <v>0</v>
      </c>
    </row>
    <row r="673" spans="1:12" x14ac:dyDescent="0.25">
      <c r="A673" s="57"/>
      <c r="B673" s="117">
        <v>2022</v>
      </c>
      <c r="C673" s="187">
        <v>0</v>
      </c>
      <c r="D673" s="188">
        <v>0</v>
      </c>
      <c r="E673" s="188">
        <v>1</v>
      </c>
      <c r="F673" s="200">
        <v>1</v>
      </c>
      <c r="I673" s="117">
        <v>2022</v>
      </c>
      <c r="J673" s="114">
        <f t="shared" si="5"/>
        <v>0</v>
      </c>
      <c r="K673" s="115">
        <f t="shared" si="6"/>
        <v>0</v>
      </c>
      <c r="L673" s="115">
        <f t="shared" si="7"/>
        <v>1</v>
      </c>
    </row>
    <row r="674" spans="1:12" x14ac:dyDescent="0.25">
      <c r="A674" s="57"/>
      <c r="B674" s="117">
        <v>2023</v>
      </c>
      <c r="C674" s="187">
        <v>0</v>
      </c>
      <c r="D674" s="188">
        <v>0</v>
      </c>
      <c r="E674" s="188">
        <v>0</v>
      </c>
      <c r="F674" s="200">
        <v>0</v>
      </c>
      <c r="I674" s="117">
        <v>2023</v>
      </c>
      <c r="J674" s="117">
        <f t="shared" si="5"/>
        <v>0</v>
      </c>
      <c r="K674" s="68">
        <f t="shared" si="6"/>
        <v>0</v>
      </c>
      <c r="L674" s="68">
        <f t="shared" si="7"/>
        <v>0</v>
      </c>
    </row>
    <row r="675" spans="1:12" x14ac:dyDescent="0.25">
      <c r="A675" s="57"/>
      <c r="B675" s="117">
        <v>2024</v>
      </c>
      <c r="C675" s="187">
        <v>1</v>
      </c>
      <c r="D675" s="188">
        <v>2</v>
      </c>
      <c r="E675" s="188">
        <v>1</v>
      </c>
      <c r="F675" s="200">
        <v>4</v>
      </c>
      <c r="I675" s="117">
        <v>2024</v>
      </c>
      <c r="J675" s="114">
        <f t="shared" si="5"/>
        <v>1</v>
      </c>
      <c r="K675" s="115">
        <f t="shared" si="6"/>
        <v>2</v>
      </c>
      <c r="L675" s="115">
        <f t="shared" si="7"/>
        <v>1</v>
      </c>
    </row>
    <row r="676" spans="1:12" x14ac:dyDescent="0.25">
      <c r="A676" s="58"/>
      <c r="B676" s="121" t="s">
        <v>2779</v>
      </c>
      <c r="C676" s="196">
        <v>4</v>
      </c>
      <c r="D676" s="197">
        <v>6</v>
      </c>
      <c r="E676" s="197">
        <v>27</v>
      </c>
      <c r="F676" s="198">
        <v>37</v>
      </c>
    </row>
    <row r="677" spans="1:12" ht="15.75" customHeight="1" x14ac:dyDescent="0.25">
      <c r="A677" s="58"/>
    </row>
    <row r="678" spans="1:12" ht="15.75" customHeight="1" x14ac:dyDescent="0.25">
      <c r="A678" s="58"/>
    </row>
    <row r="679" spans="1:12" x14ac:dyDescent="0.25">
      <c r="A679" s="57" t="s">
        <v>756</v>
      </c>
      <c r="B679" s="120" t="s">
        <v>7</v>
      </c>
      <c r="C679" s="119" t="s">
        <v>756</v>
      </c>
    </row>
    <row r="680" spans="1:12" ht="15.75" customHeight="1" x14ac:dyDescent="0.25">
      <c r="A680" s="58"/>
    </row>
    <row r="681" spans="1:12" ht="15.75" customHeight="1" x14ac:dyDescent="0.25">
      <c r="A681" s="58"/>
      <c r="B681" s="111" t="s">
        <v>2778</v>
      </c>
      <c r="C681" s="111" t="s">
        <v>1</v>
      </c>
      <c r="D681" s="112"/>
      <c r="E681" s="112"/>
      <c r="F681" s="113"/>
    </row>
    <row r="682" spans="1:12" x14ac:dyDescent="0.25">
      <c r="A682" s="58"/>
      <c r="B682" s="111" t="s">
        <v>8</v>
      </c>
      <c r="C682" s="114" t="s">
        <v>307</v>
      </c>
      <c r="D682" s="115" t="s">
        <v>26</v>
      </c>
      <c r="E682" s="115" t="s">
        <v>76</v>
      </c>
      <c r="F682" s="122" t="s">
        <v>2779</v>
      </c>
      <c r="I682" s="114" t="s">
        <v>8</v>
      </c>
      <c r="J682" s="114" t="s">
        <v>307</v>
      </c>
      <c r="K682" s="115" t="s">
        <v>26</v>
      </c>
      <c r="L682" s="115" t="s">
        <v>76</v>
      </c>
    </row>
    <row r="683" spans="1:12" x14ac:dyDescent="0.25">
      <c r="A683" s="58"/>
      <c r="B683" s="114">
        <v>2002</v>
      </c>
      <c r="C683" s="184">
        <v>0</v>
      </c>
      <c r="D683" s="185">
        <v>0</v>
      </c>
      <c r="E683" s="185">
        <v>0</v>
      </c>
      <c r="F683" s="199">
        <v>0</v>
      </c>
      <c r="I683" s="114">
        <v>2002</v>
      </c>
      <c r="J683" s="114">
        <f t="shared" ref="J683:L684" si="8">C683</f>
        <v>0</v>
      </c>
      <c r="K683" s="115">
        <f t="shared" si="8"/>
        <v>0</v>
      </c>
      <c r="L683" s="115">
        <f t="shared" si="8"/>
        <v>0</v>
      </c>
    </row>
    <row r="684" spans="1:12" x14ac:dyDescent="0.25">
      <c r="A684" s="58"/>
      <c r="B684" s="117">
        <v>2003</v>
      </c>
      <c r="C684" s="187">
        <v>0</v>
      </c>
      <c r="D684" s="188">
        <v>0</v>
      </c>
      <c r="E684" s="188">
        <v>0</v>
      </c>
      <c r="F684" s="200">
        <v>0</v>
      </c>
      <c r="I684" s="117">
        <v>2003</v>
      </c>
      <c r="J684" s="117">
        <f t="shared" si="8"/>
        <v>0</v>
      </c>
      <c r="K684" s="115">
        <f t="shared" si="8"/>
        <v>0</v>
      </c>
      <c r="L684" s="68">
        <f t="shared" si="8"/>
        <v>0</v>
      </c>
    </row>
    <row r="685" spans="1:12" x14ac:dyDescent="0.25">
      <c r="A685" s="58"/>
      <c r="B685" s="117">
        <v>2004</v>
      </c>
      <c r="C685" s="187">
        <v>0</v>
      </c>
      <c r="D685" s="188">
        <v>0</v>
      </c>
      <c r="E685" s="188">
        <v>0</v>
      </c>
      <c r="F685" s="200">
        <v>0</v>
      </c>
      <c r="I685" s="117">
        <v>2004</v>
      </c>
      <c r="J685" s="114">
        <f t="shared" ref="J685:J705" si="9">C685</f>
        <v>0</v>
      </c>
      <c r="K685" s="115">
        <f t="shared" ref="K685:K705" si="10">D685</f>
        <v>0</v>
      </c>
      <c r="L685" s="115">
        <f t="shared" ref="L685:L705" si="11">E685</f>
        <v>0</v>
      </c>
    </row>
    <row r="686" spans="1:12" x14ac:dyDescent="0.25">
      <c r="A686" s="58"/>
      <c r="B686" s="117">
        <v>2005</v>
      </c>
      <c r="C686" s="187">
        <v>0</v>
      </c>
      <c r="D686" s="188">
        <v>0</v>
      </c>
      <c r="E686" s="188">
        <v>0</v>
      </c>
      <c r="F686" s="200">
        <v>0</v>
      </c>
      <c r="I686" s="117">
        <v>2005</v>
      </c>
      <c r="J686" s="117">
        <f t="shared" si="9"/>
        <v>0</v>
      </c>
      <c r="K686" s="115">
        <f t="shared" si="10"/>
        <v>0</v>
      </c>
      <c r="L686" s="68">
        <f t="shared" si="11"/>
        <v>0</v>
      </c>
    </row>
    <row r="687" spans="1:12" x14ac:dyDescent="0.25">
      <c r="A687" s="58"/>
      <c r="B687" s="117">
        <v>2006</v>
      </c>
      <c r="C687" s="187">
        <v>0</v>
      </c>
      <c r="D687" s="188">
        <v>0</v>
      </c>
      <c r="E687" s="188">
        <v>0</v>
      </c>
      <c r="F687" s="200">
        <v>0</v>
      </c>
      <c r="I687" s="117">
        <v>2006</v>
      </c>
      <c r="J687" s="114">
        <f t="shared" si="9"/>
        <v>0</v>
      </c>
      <c r="K687" s="115">
        <f t="shared" si="10"/>
        <v>0</v>
      </c>
      <c r="L687" s="115">
        <f t="shared" si="11"/>
        <v>0</v>
      </c>
    </row>
    <row r="688" spans="1:12" x14ac:dyDescent="0.25">
      <c r="A688" s="58"/>
      <c r="B688" s="117">
        <v>2007</v>
      </c>
      <c r="C688" s="187">
        <v>0</v>
      </c>
      <c r="D688" s="188">
        <v>0</v>
      </c>
      <c r="E688" s="188">
        <v>0</v>
      </c>
      <c r="F688" s="200">
        <v>0</v>
      </c>
      <c r="I688" s="117">
        <v>2007</v>
      </c>
      <c r="J688" s="117">
        <f t="shared" si="9"/>
        <v>0</v>
      </c>
      <c r="K688" s="115">
        <f t="shared" si="10"/>
        <v>0</v>
      </c>
      <c r="L688" s="68">
        <f t="shared" si="11"/>
        <v>0</v>
      </c>
    </row>
    <row r="689" spans="2:12" x14ac:dyDescent="0.25">
      <c r="B689" s="117">
        <v>2008</v>
      </c>
      <c r="C689" s="187">
        <v>0</v>
      </c>
      <c r="D689" s="188">
        <v>0</v>
      </c>
      <c r="E689" s="188">
        <v>1</v>
      </c>
      <c r="F689" s="200">
        <v>1</v>
      </c>
      <c r="I689" s="117">
        <v>2008</v>
      </c>
      <c r="J689" s="114">
        <f t="shared" si="9"/>
        <v>0</v>
      </c>
      <c r="K689" s="115">
        <f t="shared" si="10"/>
        <v>0</v>
      </c>
      <c r="L689" s="115">
        <f t="shared" si="11"/>
        <v>1</v>
      </c>
    </row>
    <row r="690" spans="2:12" x14ac:dyDescent="0.25">
      <c r="B690" s="117">
        <v>2009</v>
      </c>
      <c r="C690" s="187">
        <v>0</v>
      </c>
      <c r="D690" s="188">
        <v>0</v>
      </c>
      <c r="E690" s="188">
        <v>1</v>
      </c>
      <c r="F690" s="200">
        <v>1</v>
      </c>
      <c r="I690" s="117">
        <v>2009</v>
      </c>
      <c r="J690" s="117">
        <f t="shared" si="9"/>
        <v>0</v>
      </c>
      <c r="K690" s="115">
        <f t="shared" si="10"/>
        <v>0</v>
      </c>
      <c r="L690" s="68">
        <f t="shared" si="11"/>
        <v>1</v>
      </c>
    </row>
    <row r="691" spans="2:12" x14ac:dyDescent="0.25">
      <c r="B691" s="117">
        <v>2010</v>
      </c>
      <c r="C691" s="187">
        <v>0</v>
      </c>
      <c r="D691" s="188">
        <v>1</v>
      </c>
      <c r="E691" s="188">
        <v>0</v>
      </c>
      <c r="F691" s="200">
        <v>1</v>
      </c>
      <c r="I691" s="117">
        <v>2010</v>
      </c>
      <c r="J691" s="114">
        <f t="shared" si="9"/>
        <v>0</v>
      </c>
      <c r="K691" s="115">
        <f t="shared" si="10"/>
        <v>1</v>
      </c>
      <c r="L691" s="115">
        <f t="shared" si="11"/>
        <v>0</v>
      </c>
    </row>
    <row r="692" spans="2:12" x14ac:dyDescent="0.25">
      <c r="B692" s="117">
        <v>2011</v>
      </c>
      <c r="C692" s="187">
        <v>0</v>
      </c>
      <c r="D692" s="188">
        <v>1</v>
      </c>
      <c r="E692" s="188">
        <v>0</v>
      </c>
      <c r="F692" s="200">
        <v>1</v>
      </c>
      <c r="I692" s="117">
        <v>2011</v>
      </c>
      <c r="J692" s="117">
        <f t="shared" si="9"/>
        <v>0</v>
      </c>
      <c r="K692" s="115">
        <f t="shared" si="10"/>
        <v>1</v>
      </c>
      <c r="L692" s="68">
        <f t="shared" si="11"/>
        <v>0</v>
      </c>
    </row>
    <row r="693" spans="2:12" x14ac:dyDescent="0.25">
      <c r="B693" s="117">
        <v>2012</v>
      </c>
      <c r="C693" s="187">
        <v>0</v>
      </c>
      <c r="D693" s="188">
        <v>1</v>
      </c>
      <c r="E693" s="188">
        <v>0</v>
      </c>
      <c r="F693" s="200">
        <v>1</v>
      </c>
      <c r="I693" s="117">
        <v>2012</v>
      </c>
      <c r="J693" s="114">
        <f t="shared" si="9"/>
        <v>0</v>
      </c>
      <c r="K693" s="115">
        <f t="shared" si="10"/>
        <v>1</v>
      </c>
      <c r="L693" s="115">
        <f t="shared" si="11"/>
        <v>0</v>
      </c>
    </row>
    <row r="694" spans="2:12" x14ac:dyDescent="0.25">
      <c r="B694" s="117">
        <v>2013</v>
      </c>
      <c r="C694" s="187">
        <v>0</v>
      </c>
      <c r="D694" s="188">
        <v>4</v>
      </c>
      <c r="E694" s="188">
        <v>1</v>
      </c>
      <c r="F694" s="200">
        <v>5</v>
      </c>
      <c r="I694" s="117">
        <v>2013</v>
      </c>
      <c r="J694" s="117">
        <f t="shared" si="9"/>
        <v>0</v>
      </c>
      <c r="K694" s="115">
        <f t="shared" si="10"/>
        <v>4</v>
      </c>
      <c r="L694" s="68">
        <f t="shared" si="11"/>
        <v>1</v>
      </c>
    </row>
    <row r="695" spans="2:12" x14ac:dyDescent="0.25">
      <c r="B695" s="117">
        <v>2014</v>
      </c>
      <c r="C695" s="187">
        <v>0</v>
      </c>
      <c r="D695" s="188">
        <v>0</v>
      </c>
      <c r="E695" s="188">
        <v>1</v>
      </c>
      <c r="F695" s="200">
        <v>1</v>
      </c>
      <c r="I695" s="117">
        <v>2014</v>
      </c>
      <c r="J695" s="114">
        <f t="shared" si="9"/>
        <v>0</v>
      </c>
      <c r="K695" s="115">
        <f t="shared" si="10"/>
        <v>0</v>
      </c>
      <c r="L695" s="115">
        <f t="shared" si="11"/>
        <v>1</v>
      </c>
    </row>
    <row r="696" spans="2:12" x14ac:dyDescent="0.25">
      <c r="B696" s="117">
        <v>2015</v>
      </c>
      <c r="C696" s="187">
        <v>0</v>
      </c>
      <c r="D696" s="188">
        <v>0</v>
      </c>
      <c r="E696" s="188">
        <v>1</v>
      </c>
      <c r="F696" s="200">
        <v>1</v>
      </c>
      <c r="I696" s="117">
        <v>2015</v>
      </c>
      <c r="J696" s="117">
        <f t="shared" si="9"/>
        <v>0</v>
      </c>
      <c r="K696" s="115">
        <f t="shared" si="10"/>
        <v>0</v>
      </c>
      <c r="L696" s="68">
        <f t="shared" si="11"/>
        <v>1</v>
      </c>
    </row>
    <row r="697" spans="2:12" x14ac:dyDescent="0.25">
      <c r="B697" s="117">
        <v>2016</v>
      </c>
      <c r="C697" s="187">
        <v>1</v>
      </c>
      <c r="D697" s="188">
        <v>0</v>
      </c>
      <c r="E697" s="188">
        <v>1</v>
      </c>
      <c r="F697" s="200">
        <v>2</v>
      </c>
      <c r="I697" s="117">
        <v>2016</v>
      </c>
      <c r="J697" s="114">
        <f t="shared" si="9"/>
        <v>1</v>
      </c>
      <c r="K697" s="115">
        <f t="shared" si="10"/>
        <v>0</v>
      </c>
      <c r="L697" s="115">
        <f t="shared" si="11"/>
        <v>1</v>
      </c>
    </row>
    <row r="698" spans="2:12" x14ac:dyDescent="0.25">
      <c r="B698" s="117">
        <v>2017</v>
      </c>
      <c r="C698" s="187">
        <v>0</v>
      </c>
      <c r="D698" s="188">
        <v>1</v>
      </c>
      <c r="E698" s="188">
        <v>1</v>
      </c>
      <c r="F698" s="200">
        <v>2</v>
      </c>
      <c r="I698" s="117">
        <v>2017</v>
      </c>
      <c r="J698" s="117">
        <f t="shared" si="9"/>
        <v>0</v>
      </c>
      <c r="K698" s="115">
        <f t="shared" si="10"/>
        <v>1</v>
      </c>
      <c r="L698" s="68">
        <f t="shared" si="11"/>
        <v>1</v>
      </c>
    </row>
    <row r="699" spans="2:12" x14ac:dyDescent="0.25">
      <c r="B699" s="117">
        <v>2018</v>
      </c>
      <c r="C699" s="187">
        <v>0</v>
      </c>
      <c r="D699" s="188">
        <v>0</v>
      </c>
      <c r="E699" s="188">
        <v>0</v>
      </c>
      <c r="F699" s="200">
        <v>0</v>
      </c>
      <c r="I699" s="117">
        <v>2018</v>
      </c>
      <c r="J699" s="114">
        <f t="shared" si="9"/>
        <v>0</v>
      </c>
      <c r="K699" s="115">
        <f t="shared" si="10"/>
        <v>0</v>
      </c>
      <c r="L699" s="115">
        <f t="shared" si="11"/>
        <v>0</v>
      </c>
    </row>
    <row r="700" spans="2:12" x14ac:dyDescent="0.25">
      <c r="B700" s="117">
        <v>2019</v>
      </c>
      <c r="C700" s="187">
        <v>1</v>
      </c>
      <c r="D700" s="188">
        <v>1</v>
      </c>
      <c r="E700" s="188">
        <v>1</v>
      </c>
      <c r="F700" s="200">
        <v>3</v>
      </c>
      <c r="I700" s="117">
        <v>2019</v>
      </c>
      <c r="J700" s="117">
        <f t="shared" si="9"/>
        <v>1</v>
      </c>
      <c r="K700" s="115">
        <f t="shared" si="10"/>
        <v>1</v>
      </c>
      <c r="L700" s="68">
        <f t="shared" si="11"/>
        <v>1</v>
      </c>
    </row>
    <row r="701" spans="2:12" x14ac:dyDescent="0.25">
      <c r="B701" s="117">
        <v>2020</v>
      </c>
      <c r="C701" s="187">
        <v>0</v>
      </c>
      <c r="D701" s="188">
        <v>0</v>
      </c>
      <c r="E701" s="188">
        <v>0</v>
      </c>
      <c r="F701" s="200">
        <v>0</v>
      </c>
      <c r="I701" s="117">
        <v>2020</v>
      </c>
      <c r="J701" s="114">
        <f t="shared" si="9"/>
        <v>0</v>
      </c>
      <c r="K701" s="115">
        <f t="shared" si="10"/>
        <v>0</v>
      </c>
      <c r="L701" s="115">
        <f t="shared" si="11"/>
        <v>0</v>
      </c>
    </row>
    <row r="702" spans="2:12" x14ac:dyDescent="0.25">
      <c r="B702" s="117">
        <v>2021</v>
      </c>
      <c r="C702" s="187">
        <v>0</v>
      </c>
      <c r="D702" s="188">
        <v>0</v>
      </c>
      <c r="E702" s="188">
        <v>0</v>
      </c>
      <c r="F702" s="200">
        <v>0</v>
      </c>
      <c r="I702" s="117">
        <v>2021</v>
      </c>
      <c r="J702" s="117">
        <f t="shared" si="9"/>
        <v>0</v>
      </c>
      <c r="K702" s="115">
        <f t="shared" si="10"/>
        <v>0</v>
      </c>
      <c r="L702" s="68">
        <f t="shared" si="11"/>
        <v>0</v>
      </c>
    </row>
    <row r="703" spans="2:12" x14ac:dyDescent="0.25">
      <c r="B703" s="117">
        <v>2022</v>
      </c>
      <c r="C703" s="187">
        <v>0</v>
      </c>
      <c r="D703" s="188">
        <v>0</v>
      </c>
      <c r="E703" s="188">
        <v>1</v>
      </c>
      <c r="F703" s="200">
        <v>1</v>
      </c>
      <c r="I703" s="117">
        <v>2022</v>
      </c>
      <c r="J703" s="114">
        <f t="shared" si="9"/>
        <v>0</v>
      </c>
      <c r="K703" s="115">
        <f t="shared" si="10"/>
        <v>0</v>
      </c>
      <c r="L703" s="115">
        <f t="shared" si="11"/>
        <v>1</v>
      </c>
    </row>
    <row r="704" spans="2:12" x14ac:dyDescent="0.25">
      <c r="B704" s="117">
        <v>2023</v>
      </c>
      <c r="C704" s="187">
        <v>1</v>
      </c>
      <c r="D704" s="188">
        <v>0</v>
      </c>
      <c r="E704" s="188">
        <v>1</v>
      </c>
      <c r="F704" s="200">
        <v>2</v>
      </c>
      <c r="I704" s="117">
        <v>2023</v>
      </c>
      <c r="J704" s="117">
        <f t="shared" si="9"/>
        <v>1</v>
      </c>
      <c r="K704" s="115">
        <f t="shared" si="10"/>
        <v>0</v>
      </c>
      <c r="L704" s="68">
        <f t="shared" si="11"/>
        <v>1</v>
      </c>
    </row>
    <row r="705" spans="1:12" x14ac:dyDescent="0.25">
      <c r="A705" s="58"/>
      <c r="B705" s="117">
        <v>2024</v>
      </c>
      <c r="C705" s="187">
        <v>0</v>
      </c>
      <c r="D705" s="188">
        <v>0</v>
      </c>
      <c r="E705" s="188">
        <v>1</v>
      </c>
      <c r="F705" s="200">
        <v>1</v>
      </c>
      <c r="I705" s="117">
        <v>2024</v>
      </c>
      <c r="J705" s="114">
        <f t="shared" si="9"/>
        <v>0</v>
      </c>
      <c r="K705" s="115">
        <f t="shared" si="10"/>
        <v>0</v>
      </c>
      <c r="L705" s="115">
        <f t="shared" si="11"/>
        <v>1</v>
      </c>
    </row>
    <row r="706" spans="1:12" x14ac:dyDescent="0.25">
      <c r="A706" s="58"/>
      <c r="B706" s="121" t="s">
        <v>2779</v>
      </c>
      <c r="C706" s="196">
        <v>3</v>
      </c>
      <c r="D706" s="197">
        <v>9</v>
      </c>
      <c r="E706" s="197">
        <v>11</v>
      </c>
      <c r="F706" s="198">
        <v>23</v>
      </c>
    </row>
    <row r="707" spans="1:12" ht="15.75" customHeight="1" x14ac:dyDescent="0.25">
      <c r="A707" s="58"/>
    </row>
    <row r="708" spans="1:12" ht="15.75" customHeight="1" x14ac:dyDescent="0.25">
      <c r="A708" s="58"/>
    </row>
    <row r="709" spans="1:12" ht="15.75" customHeight="1" x14ac:dyDescent="0.25">
      <c r="A709" s="58"/>
    </row>
    <row r="710" spans="1:12" ht="15.75" customHeight="1" x14ac:dyDescent="0.25">
      <c r="A710" s="58"/>
    </row>
    <row r="711" spans="1:12" ht="15.75" customHeight="1" x14ac:dyDescent="0.25">
      <c r="A711" s="58"/>
    </row>
    <row r="712" spans="1:12" ht="15.75" customHeight="1" x14ac:dyDescent="0.25">
      <c r="A712" s="58"/>
    </row>
    <row r="713" spans="1:12" x14ac:dyDescent="0.25">
      <c r="A713" s="57" t="s">
        <v>421</v>
      </c>
      <c r="B713" s="120" t="s">
        <v>7</v>
      </c>
      <c r="C713" s="119" t="s">
        <v>421</v>
      </c>
    </row>
    <row r="714" spans="1:12" ht="15.75" customHeight="1" x14ac:dyDescent="0.25">
      <c r="A714" s="58"/>
    </row>
    <row r="715" spans="1:12" ht="15.75" customHeight="1" x14ac:dyDescent="0.25">
      <c r="A715" s="58"/>
      <c r="B715" s="111" t="s">
        <v>2778</v>
      </c>
      <c r="C715" s="111" t="s">
        <v>1</v>
      </c>
      <c r="D715" s="112"/>
      <c r="E715" s="112"/>
      <c r="F715" s="113"/>
    </row>
    <row r="716" spans="1:12" x14ac:dyDescent="0.25">
      <c r="A716" s="58"/>
      <c r="B716" s="111" t="s">
        <v>8</v>
      </c>
      <c r="C716" s="114" t="s">
        <v>307</v>
      </c>
      <c r="D716" s="115" t="s">
        <v>26</v>
      </c>
      <c r="E716" s="115" t="s">
        <v>76</v>
      </c>
      <c r="F716" s="122" t="s">
        <v>2779</v>
      </c>
      <c r="I716" s="114" t="s">
        <v>8</v>
      </c>
      <c r="J716" s="114" t="s">
        <v>307</v>
      </c>
      <c r="K716" s="115" t="s">
        <v>26</v>
      </c>
      <c r="L716" s="115" t="s">
        <v>76</v>
      </c>
    </row>
    <row r="717" spans="1:12" x14ac:dyDescent="0.25">
      <c r="A717" s="58"/>
      <c r="B717" s="114">
        <v>2002</v>
      </c>
      <c r="C717" s="184">
        <v>0</v>
      </c>
      <c r="D717" s="185">
        <v>0</v>
      </c>
      <c r="E717" s="185">
        <v>0</v>
      </c>
      <c r="F717" s="199">
        <v>0</v>
      </c>
      <c r="I717" s="114">
        <v>2002</v>
      </c>
      <c r="J717" s="114">
        <f t="shared" ref="J717:L718" si="12">C717</f>
        <v>0</v>
      </c>
      <c r="K717" s="115">
        <f t="shared" si="12"/>
        <v>0</v>
      </c>
      <c r="L717" s="115">
        <f t="shared" si="12"/>
        <v>0</v>
      </c>
    </row>
    <row r="718" spans="1:12" x14ac:dyDescent="0.25">
      <c r="A718" s="58"/>
      <c r="B718" s="117">
        <v>2003</v>
      </c>
      <c r="C718" s="187">
        <v>0</v>
      </c>
      <c r="D718" s="188">
        <v>0</v>
      </c>
      <c r="E718" s="188">
        <v>1</v>
      </c>
      <c r="F718" s="200">
        <v>1</v>
      </c>
      <c r="I718" s="117">
        <v>2003</v>
      </c>
      <c r="J718" s="117">
        <f t="shared" si="12"/>
        <v>0</v>
      </c>
      <c r="K718" s="68">
        <f t="shared" si="12"/>
        <v>0</v>
      </c>
      <c r="L718" s="68">
        <f t="shared" si="12"/>
        <v>1</v>
      </c>
    </row>
    <row r="719" spans="1:12" x14ac:dyDescent="0.25">
      <c r="A719" s="58"/>
      <c r="B719" s="117">
        <v>2004</v>
      </c>
      <c r="C719" s="187">
        <v>0</v>
      </c>
      <c r="D719" s="188">
        <v>0</v>
      </c>
      <c r="E719" s="188">
        <v>0</v>
      </c>
      <c r="F719" s="200">
        <v>0</v>
      </c>
      <c r="I719" s="117">
        <v>2004</v>
      </c>
      <c r="J719" s="114">
        <f t="shared" ref="J719:J739" si="13">C719</f>
        <v>0</v>
      </c>
      <c r="K719" s="115">
        <f t="shared" ref="K719:K739" si="14">D719</f>
        <v>0</v>
      </c>
      <c r="L719" s="115">
        <f t="shared" ref="L719:L739" si="15">E719</f>
        <v>0</v>
      </c>
    </row>
    <row r="720" spans="1:12" x14ac:dyDescent="0.25">
      <c r="A720" s="58"/>
      <c r="B720" s="117">
        <v>2005</v>
      </c>
      <c r="C720" s="187">
        <v>0</v>
      </c>
      <c r="D720" s="188">
        <v>0</v>
      </c>
      <c r="E720" s="188">
        <v>1</v>
      </c>
      <c r="F720" s="200">
        <v>1</v>
      </c>
      <c r="I720" s="117">
        <v>2005</v>
      </c>
      <c r="J720" s="117">
        <f t="shared" si="13"/>
        <v>0</v>
      </c>
      <c r="K720" s="68">
        <f t="shared" si="14"/>
        <v>0</v>
      </c>
      <c r="L720" s="68">
        <f t="shared" si="15"/>
        <v>1</v>
      </c>
    </row>
    <row r="721" spans="2:12" x14ac:dyDescent="0.25">
      <c r="B721" s="117">
        <v>2006</v>
      </c>
      <c r="C721" s="187">
        <v>0</v>
      </c>
      <c r="D721" s="188">
        <v>0</v>
      </c>
      <c r="E721" s="188">
        <v>0</v>
      </c>
      <c r="F721" s="200">
        <v>0</v>
      </c>
      <c r="I721" s="117">
        <v>2006</v>
      </c>
      <c r="J721" s="114">
        <f t="shared" si="13"/>
        <v>0</v>
      </c>
      <c r="K721" s="115">
        <f t="shared" si="14"/>
        <v>0</v>
      </c>
      <c r="L721" s="115">
        <f t="shared" si="15"/>
        <v>0</v>
      </c>
    </row>
    <row r="722" spans="2:12" x14ac:dyDescent="0.25">
      <c r="B722" s="117">
        <v>2007</v>
      </c>
      <c r="C722" s="187">
        <v>0</v>
      </c>
      <c r="D722" s="188">
        <v>0</v>
      </c>
      <c r="E722" s="188">
        <v>0</v>
      </c>
      <c r="F722" s="200">
        <v>0</v>
      </c>
      <c r="I722" s="117">
        <v>2007</v>
      </c>
      <c r="J722" s="117">
        <f t="shared" si="13"/>
        <v>0</v>
      </c>
      <c r="K722" s="68">
        <f t="shared" si="14"/>
        <v>0</v>
      </c>
      <c r="L722" s="68">
        <f t="shared" si="15"/>
        <v>0</v>
      </c>
    </row>
    <row r="723" spans="2:12" x14ac:dyDescent="0.25">
      <c r="B723" s="117">
        <v>2008</v>
      </c>
      <c r="C723" s="187">
        <v>0</v>
      </c>
      <c r="D723" s="188">
        <v>0</v>
      </c>
      <c r="E723" s="188">
        <v>0</v>
      </c>
      <c r="F723" s="200">
        <v>0</v>
      </c>
      <c r="I723" s="117">
        <v>2008</v>
      </c>
      <c r="J723" s="114">
        <f t="shared" si="13"/>
        <v>0</v>
      </c>
      <c r="K723" s="115">
        <f t="shared" si="14"/>
        <v>0</v>
      </c>
      <c r="L723" s="115">
        <f t="shared" si="15"/>
        <v>0</v>
      </c>
    </row>
    <row r="724" spans="2:12" x14ac:dyDescent="0.25">
      <c r="B724" s="117">
        <v>2009</v>
      </c>
      <c r="C724" s="187">
        <v>0</v>
      </c>
      <c r="D724" s="188">
        <v>0</v>
      </c>
      <c r="E724" s="188">
        <v>0</v>
      </c>
      <c r="F724" s="200">
        <v>0</v>
      </c>
      <c r="I724" s="117">
        <v>2009</v>
      </c>
      <c r="J724" s="117">
        <f t="shared" si="13"/>
        <v>0</v>
      </c>
      <c r="K724" s="68">
        <f t="shared" si="14"/>
        <v>0</v>
      </c>
      <c r="L724" s="68">
        <f t="shared" si="15"/>
        <v>0</v>
      </c>
    </row>
    <row r="725" spans="2:12" x14ac:dyDescent="0.25">
      <c r="B725" s="117">
        <v>2010</v>
      </c>
      <c r="C725" s="187">
        <v>0</v>
      </c>
      <c r="D725" s="188">
        <v>0</v>
      </c>
      <c r="E725" s="188">
        <v>0</v>
      </c>
      <c r="F725" s="200">
        <v>0</v>
      </c>
      <c r="I725" s="117">
        <v>2010</v>
      </c>
      <c r="J725" s="114">
        <f t="shared" si="13"/>
        <v>0</v>
      </c>
      <c r="K725" s="115">
        <f t="shared" si="14"/>
        <v>0</v>
      </c>
      <c r="L725" s="115">
        <f t="shared" si="15"/>
        <v>0</v>
      </c>
    </row>
    <row r="726" spans="2:12" x14ac:dyDescent="0.25">
      <c r="B726" s="117">
        <v>2011</v>
      </c>
      <c r="C726" s="187">
        <v>0</v>
      </c>
      <c r="D726" s="188">
        <v>0</v>
      </c>
      <c r="E726" s="188">
        <v>0</v>
      </c>
      <c r="F726" s="200">
        <v>0</v>
      </c>
      <c r="I726" s="117">
        <v>2011</v>
      </c>
      <c r="J726" s="117">
        <f t="shared" si="13"/>
        <v>0</v>
      </c>
      <c r="K726" s="68">
        <f t="shared" si="14"/>
        <v>0</v>
      </c>
      <c r="L726" s="68">
        <f t="shared" si="15"/>
        <v>0</v>
      </c>
    </row>
    <row r="727" spans="2:12" x14ac:dyDescent="0.25">
      <c r="B727" s="117">
        <v>2012</v>
      </c>
      <c r="C727" s="187">
        <v>0</v>
      </c>
      <c r="D727" s="188">
        <v>0</v>
      </c>
      <c r="E727" s="188">
        <v>0</v>
      </c>
      <c r="F727" s="200">
        <v>0</v>
      </c>
      <c r="I727" s="117">
        <v>2012</v>
      </c>
      <c r="J727" s="114">
        <f t="shared" si="13"/>
        <v>0</v>
      </c>
      <c r="K727" s="115">
        <f t="shared" si="14"/>
        <v>0</v>
      </c>
      <c r="L727" s="115">
        <f t="shared" si="15"/>
        <v>0</v>
      </c>
    </row>
    <row r="728" spans="2:12" x14ac:dyDescent="0.25">
      <c r="B728" s="117">
        <v>2013</v>
      </c>
      <c r="C728" s="187">
        <v>0</v>
      </c>
      <c r="D728" s="188">
        <v>0</v>
      </c>
      <c r="E728" s="188">
        <v>0</v>
      </c>
      <c r="F728" s="200">
        <v>0</v>
      </c>
      <c r="I728" s="117">
        <v>2013</v>
      </c>
      <c r="J728" s="117">
        <f t="shared" si="13"/>
        <v>0</v>
      </c>
      <c r="K728" s="68">
        <f t="shared" si="14"/>
        <v>0</v>
      </c>
      <c r="L728" s="68">
        <f t="shared" si="15"/>
        <v>0</v>
      </c>
    </row>
    <row r="729" spans="2:12" x14ac:dyDescent="0.25">
      <c r="B729" s="117">
        <v>2014</v>
      </c>
      <c r="C729" s="187">
        <v>0</v>
      </c>
      <c r="D729" s="188">
        <v>1</v>
      </c>
      <c r="E729" s="188">
        <v>2</v>
      </c>
      <c r="F729" s="200">
        <v>3</v>
      </c>
      <c r="I729" s="117">
        <v>2014</v>
      </c>
      <c r="J729" s="114">
        <f t="shared" si="13"/>
        <v>0</v>
      </c>
      <c r="K729" s="115">
        <f t="shared" si="14"/>
        <v>1</v>
      </c>
      <c r="L729" s="115">
        <f t="shared" si="15"/>
        <v>2</v>
      </c>
    </row>
    <row r="730" spans="2:12" x14ac:dyDescent="0.25">
      <c r="B730" s="117">
        <v>2015</v>
      </c>
      <c r="C730" s="187">
        <v>0</v>
      </c>
      <c r="D730" s="188">
        <v>0</v>
      </c>
      <c r="E730" s="188">
        <v>3</v>
      </c>
      <c r="F730" s="200">
        <v>3</v>
      </c>
      <c r="I730" s="117">
        <v>2015</v>
      </c>
      <c r="J730" s="117">
        <f t="shared" si="13"/>
        <v>0</v>
      </c>
      <c r="K730" s="68">
        <f t="shared" si="14"/>
        <v>0</v>
      </c>
      <c r="L730" s="68">
        <f t="shared" si="15"/>
        <v>3</v>
      </c>
    </row>
    <row r="731" spans="2:12" x14ac:dyDescent="0.25">
      <c r="B731" s="117">
        <v>2016</v>
      </c>
      <c r="C731" s="187">
        <v>0</v>
      </c>
      <c r="D731" s="188">
        <v>0</v>
      </c>
      <c r="E731" s="188">
        <v>2</v>
      </c>
      <c r="F731" s="200">
        <v>2</v>
      </c>
      <c r="I731" s="117">
        <v>2016</v>
      </c>
      <c r="J731" s="114">
        <f t="shared" si="13"/>
        <v>0</v>
      </c>
      <c r="K731" s="115">
        <f t="shared" si="14"/>
        <v>0</v>
      </c>
      <c r="L731" s="115">
        <f t="shared" si="15"/>
        <v>2</v>
      </c>
    </row>
    <row r="732" spans="2:12" x14ac:dyDescent="0.25">
      <c r="B732" s="117">
        <v>2017</v>
      </c>
      <c r="C732" s="187">
        <v>1</v>
      </c>
      <c r="D732" s="188">
        <v>1</v>
      </c>
      <c r="E732" s="188">
        <v>1</v>
      </c>
      <c r="F732" s="200">
        <v>3</v>
      </c>
      <c r="I732" s="117">
        <v>2017</v>
      </c>
      <c r="J732" s="117">
        <f t="shared" si="13"/>
        <v>1</v>
      </c>
      <c r="K732" s="68">
        <f t="shared" si="14"/>
        <v>1</v>
      </c>
      <c r="L732" s="68">
        <f t="shared" si="15"/>
        <v>1</v>
      </c>
    </row>
    <row r="733" spans="2:12" x14ac:dyDescent="0.25">
      <c r="B733" s="117">
        <v>2018</v>
      </c>
      <c r="C733" s="187">
        <v>0</v>
      </c>
      <c r="D733" s="188">
        <v>0</v>
      </c>
      <c r="E733" s="188">
        <v>1</v>
      </c>
      <c r="F733" s="200">
        <v>1</v>
      </c>
      <c r="I733" s="117">
        <v>2018</v>
      </c>
      <c r="J733" s="114">
        <f t="shared" si="13"/>
        <v>0</v>
      </c>
      <c r="K733" s="115">
        <f t="shared" si="14"/>
        <v>0</v>
      </c>
      <c r="L733" s="115">
        <f t="shared" si="15"/>
        <v>1</v>
      </c>
    </row>
    <row r="734" spans="2:12" x14ac:dyDescent="0.25">
      <c r="B734" s="117">
        <v>2019</v>
      </c>
      <c r="C734" s="187">
        <v>2</v>
      </c>
      <c r="D734" s="188">
        <v>0</v>
      </c>
      <c r="E734" s="188">
        <v>2</v>
      </c>
      <c r="F734" s="200">
        <v>4</v>
      </c>
      <c r="I734" s="117">
        <v>2019</v>
      </c>
      <c r="J734" s="117">
        <f t="shared" si="13"/>
        <v>2</v>
      </c>
      <c r="K734" s="68">
        <f t="shared" si="14"/>
        <v>0</v>
      </c>
      <c r="L734" s="68">
        <f t="shared" si="15"/>
        <v>2</v>
      </c>
    </row>
    <row r="735" spans="2:12" x14ac:dyDescent="0.25">
      <c r="B735" s="117">
        <v>2020</v>
      </c>
      <c r="C735" s="187">
        <v>0</v>
      </c>
      <c r="D735" s="188">
        <v>0</v>
      </c>
      <c r="E735" s="188">
        <v>0</v>
      </c>
      <c r="F735" s="200">
        <v>0</v>
      </c>
      <c r="I735" s="117">
        <v>2020</v>
      </c>
      <c r="J735" s="114">
        <f t="shared" si="13"/>
        <v>0</v>
      </c>
      <c r="K735" s="115">
        <f t="shared" si="14"/>
        <v>0</v>
      </c>
      <c r="L735" s="115">
        <f t="shared" si="15"/>
        <v>0</v>
      </c>
    </row>
    <row r="736" spans="2:12" x14ac:dyDescent="0.25">
      <c r="B736" s="117">
        <v>2021</v>
      </c>
      <c r="C736" s="187">
        <v>0</v>
      </c>
      <c r="D736" s="188">
        <v>0</v>
      </c>
      <c r="E736" s="188">
        <v>0</v>
      </c>
      <c r="F736" s="200">
        <v>0</v>
      </c>
      <c r="I736" s="117">
        <v>2021</v>
      </c>
      <c r="J736" s="117">
        <f t="shared" si="13"/>
        <v>0</v>
      </c>
      <c r="K736" s="68">
        <f t="shared" si="14"/>
        <v>0</v>
      </c>
      <c r="L736" s="68">
        <f t="shared" si="15"/>
        <v>0</v>
      </c>
    </row>
    <row r="737" spans="2:12" x14ac:dyDescent="0.25">
      <c r="B737" s="117">
        <v>2022</v>
      </c>
      <c r="C737" s="187">
        <v>1</v>
      </c>
      <c r="D737" s="188">
        <v>0</v>
      </c>
      <c r="E737" s="188">
        <v>1</v>
      </c>
      <c r="F737" s="200">
        <v>2</v>
      </c>
      <c r="I737" s="117">
        <v>2022</v>
      </c>
      <c r="J737" s="114">
        <f t="shared" si="13"/>
        <v>1</v>
      </c>
      <c r="K737" s="115">
        <f t="shared" si="14"/>
        <v>0</v>
      </c>
      <c r="L737" s="115">
        <f t="shared" si="15"/>
        <v>1</v>
      </c>
    </row>
    <row r="738" spans="2:12" x14ac:dyDescent="0.25">
      <c r="B738" s="117">
        <v>2023</v>
      </c>
      <c r="C738" s="187">
        <v>1</v>
      </c>
      <c r="D738" s="188">
        <v>0</v>
      </c>
      <c r="E738" s="188">
        <v>2</v>
      </c>
      <c r="F738" s="200">
        <v>3</v>
      </c>
      <c r="I738" s="117">
        <v>2023</v>
      </c>
      <c r="J738" s="117">
        <f t="shared" si="13"/>
        <v>1</v>
      </c>
      <c r="K738" s="68">
        <f t="shared" si="14"/>
        <v>0</v>
      </c>
      <c r="L738" s="68">
        <f t="shared" si="15"/>
        <v>2</v>
      </c>
    </row>
    <row r="739" spans="2:12" x14ac:dyDescent="0.25">
      <c r="B739" s="117">
        <v>2024</v>
      </c>
      <c r="C739" s="187">
        <v>1</v>
      </c>
      <c r="D739" s="188">
        <v>0</v>
      </c>
      <c r="E739" s="188">
        <v>1</v>
      </c>
      <c r="F739" s="200">
        <v>2</v>
      </c>
      <c r="I739" s="117">
        <v>2024</v>
      </c>
      <c r="J739" s="114">
        <f t="shared" si="13"/>
        <v>1</v>
      </c>
      <c r="K739" s="115">
        <f t="shared" si="14"/>
        <v>0</v>
      </c>
      <c r="L739" s="115">
        <f t="shared" si="15"/>
        <v>1</v>
      </c>
    </row>
    <row r="740" spans="2:12" x14ac:dyDescent="0.25">
      <c r="B740" s="121" t="s">
        <v>2779</v>
      </c>
      <c r="C740" s="196">
        <v>6</v>
      </c>
      <c r="D740" s="197">
        <v>2</v>
      </c>
      <c r="E740" s="197">
        <v>17</v>
      </c>
      <c r="F740" s="198">
        <v>25</v>
      </c>
    </row>
  </sheetData>
  <pageMargins left="0.7" right="0.7" top="0.75" bottom="0.75" header="0" footer="0"/>
  <pageSetup orientation="portrait"/>
  <drawing r:id="rId2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D22"/>
  <sheetViews>
    <sheetView topLeftCell="A31" workbookViewId="0">
      <selection activeCell="E21" sqref="E21"/>
    </sheetView>
  </sheetViews>
  <sheetFormatPr defaultColWidth="14.42578125" defaultRowHeight="15" customHeight="1" x14ac:dyDescent="0.25"/>
  <cols>
    <col min="1" max="1" width="24.42578125" customWidth="1"/>
    <col min="2" max="2" width="16.28515625" customWidth="1"/>
    <col min="3" max="3" width="15.42578125" customWidth="1"/>
    <col min="4" max="4" width="22.28515625" customWidth="1"/>
    <col min="5" max="26" width="9.28515625" customWidth="1"/>
  </cols>
  <sheetData>
    <row r="1" spans="1:4" ht="15" customHeight="1" x14ac:dyDescent="0.25">
      <c r="A1" s="59" t="s">
        <v>3148</v>
      </c>
      <c r="B1" s="18"/>
      <c r="C1" s="18"/>
      <c r="D1" s="18"/>
    </row>
    <row r="2" spans="1:4" ht="15" customHeight="1" x14ac:dyDescent="0.25">
      <c r="A2" s="18"/>
      <c r="B2" s="18"/>
      <c r="C2" s="18"/>
      <c r="D2" s="18"/>
    </row>
    <row r="3" spans="1:4" ht="15" customHeight="1" x14ac:dyDescent="0.25">
      <c r="A3" s="120" t="s">
        <v>7</v>
      </c>
      <c r="B3" s="119" t="s">
        <v>888</v>
      </c>
    </row>
    <row r="5" spans="1:4" ht="15" customHeight="1" x14ac:dyDescent="0.25">
      <c r="A5" s="111" t="s">
        <v>2778</v>
      </c>
      <c r="B5" s="111" t="s">
        <v>1</v>
      </c>
      <c r="C5" s="112"/>
      <c r="D5" s="113"/>
    </row>
    <row r="6" spans="1:4" x14ac:dyDescent="0.25">
      <c r="A6" s="111" t="s">
        <v>8</v>
      </c>
      <c r="B6" s="114" t="s">
        <v>307</v>
      </c>
      <c r="C6" s="115" t="s">
        <v>76</v>
      </c>
      <c r="D6" s="122" t="s">
        <v>2779</v>
      </c>
    </row>
    <row r="7" spans="1:4" x14ac:dyDescent="0.25">
      <c r="A7" s="114">
        <v>2010</v>
      </c>
      <c r="B7" s="184">
        <v>0</v>
      </c>
      <c r="C7" s="185">
        <v>1</v>
      </c>
      <c r="D7" s="199">
        <v>1</v>
      </c>
    </row>
    <row r="8" spans="1:4" x14ac:dyDescent="0.25">
      <c r="A8" s="117">
        <v>2011</v>
      </c>
      <c r="B8" s="187">
        <v>0</v>
      </c>
      <c r="C8" s="188">
        <v>1</v>
      </c>
      <c r="D8" s="200">
        <v>1</v>
      </c>
    </row>
    <row r="9" spans="1:4" x14ac:dyDescent="0.25">
      <c r="A9" s="117">
        <v>2012</v>
      </c>
      <c r="B9" s="187">
        <v>0</v>
      </c>
      <c r="C9" s="188">
        <v>1</v>
      </c>
      <c r="D9" s="200">
        <v>1</v>
      </c>
    </row>
    <row r="10" spans="1:4" x14ac:dyDescent="0.25">
      <c r="A10" s="117">
        <v>2013</v>
      </c>
      <c r="B10" s="187">
        <v>1</v>
      </c>
      <c r="C10" s="188">
        <v>2</v>
      </c>
      <c r="D10" s="200">
        <v>3</v>
      </c>
    </row>
    <row r="11" spans="1:4" x14ac:dyDescent="0.25">
      <c r="A11" s="117">
        <v>2014</v>
      </c>
      <c r="B11" s="187">
        <v>1</v>
      </c>
      <c r="C11" s="188">
        <v>1</v>
      </c>
      <c r="D11" s="200">
        <v>2</v>
      </c>
    </row>
    <row r="12" spans="1:4" x14ac:dyDescent="0.25">
      <c r="A12" s="117">
        <v>2015</v>
      </c>
      <c r="B12" s="187">
        <v>1</v>
      </c>
      <c r="C12" s="188">
        <v>2</v>
      </c>
      <c r="D12" s="200">
        <v>3</v>
      </c>
    </row>
    <row r="13" spans="1:4" x14ac:dyDescent="0.25">
      <c r="A13" s="117">
        <v>2016</v>
      </c>
      <c r="B13" s="187">
        <v>4</v>
      </c>
      <c r="C13" s="188">
        <v>1</v>
      </c>
      <c r="D13" s="200">
        <v>5</v>
      </c>
    </row>
    <row r="14" spans="1:4" x14ac:dyDescent="0.25">
      <c r="A14" s="117">
        <v>2017</v>
      </c>
      <c r="B14" s="187">
        <v>0</v>
      </c>
      <c r="C14" s="188">
        <v>2</v>
      </c>
      <c r="D14" s="200">
        <v>2</v>
      </c>
    </row>
    <row r="15" spans="1:4" x14ac:dyDescent="0.25">
      <c r="A15" s="117">
        <v>2018</v>
      </c>
      <c r="B15" s="187">
        <v>1</v>
      </c>
      <c r="C15" s="188">
        <v>2</v>
      </c>
      <c r="D15" s="200">
        <v>3</v>
      </c>
    </row>
    <row r="16" spans="1:4" x14ac:dyDescent="0.25">
      <c r="A16" s="117">
        <v>2019</v>
      </c>
      <c r="B16" s="187">
        <v>3</v>
      </c>
      <c r="C16" s="188">
        <v>2</v>
      </c>
      <c r="D16" s="200">
        <v>5</v>
      </c>
    </row>
    <row r="17" spans="1:4" x14ac:dyDescent="0.25">
      <c r="A17" s="117">
        <v>2020</v>
      </c>
      <c r="B17" s="187">
        <v>0</v>
      </c>
      <c r="C17" s="188">
        <v>1</v>
      </c>
      <c r="D17" s="200">
        <v>1</v>
      </c>
    </row>
    <row r="18" spans="1:4" x14ac:dyDescent="0.25">
      <c r="A18" s="117">
        <v>2021</v>
      </c>
      <c r="B18" s="187">
        <v>0</v>
      </c>
      <c r="C18" s="188">
        <v>2</v>
      </c>
      <c r="D18" s="200">
        <v>2</v>
      </c>
    </row>
    <row r="19" spans="1:4" x14ac:dyDescent="0.25">
      <c r="A19" s="117">
        <v>2022</v>
      </c>
      <c r="B19" s="187">
        <v>0</v>
      </c>
      <c r="C19" s="188">
        <v>2</v>
      </c>
      <c r="D19" s="200">
        <v>2</v>
      </c>
    </row>
    <row r="20" spans="1:4" x14ac:dyDescent="0.25">
      <c r="A20" s="117">
        <v>2023</v>
      </c>
      <c r="B20" s="187">
        <v>1</v>
      </c>
      <c r="C20" s="188">
        <v>0</v>
      </c>
      <c r="D20" s="200">
        <v>1</v>
      </c>
    </row>
    <row r="21" spans="1:4" x14ac:dyDescent="0.25">
      <c r="A21" s="117">
        <v>2024</v>
      </c>
      <c r="B21" s="187">
        <v>0</v>
      </c>
      <c r="C21" s="188">
        <v>2</v>
      </c>
      <c r="D21" s="200">
        <v>2</v>
      </c>
    </row>
    <row r="22" spans="1:4" x14ac:dyDescent="0.25">
      <c r="A22" s="121" t="s">
        <v>2779</v>
      </c>
      <c r="B22" s="196">
        <v>12</v>
      </c>
      <c r="C22" s="197">
        <v>22</v>
      </c>
      <c r="D22" s="198">
        <v>34</v>
      </c>
    </row>
  </sheetData>
  <pageMargins left="0.7" right="0.7" top="0.75" bottom="0.75" header="0" footer="0"/>
  <pageSetup orientation="portrait"/>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F67"/>
  <sheetViews>
    <sheetView topLeftCell="A49" workbookViewId="0">
      <selection activeCell="M79" sqref="M79"/>
    </sheetView>
  </sheetViews>
  <sheetFormatPr defaultColWidth="14.42578125" defaultRowHeight="15" customHeight="1" x14ac:dyDescent="0.25"/>
  <cols>
    <col min="1" max="1" width="11.42578125" customWidth="1"/>
    <col min="2" max="2" width="24.42578125" customWidth="1"/>
    <col min="3" max="3" width="22.42578125" customWidth="1"/>
    <col min="4" max="4" width="19.42578125" customWidth="1"/>
    <col min="5" max="26" width="11.42578125" customWidth="1"/>
  </cols>
  <sheetData>
    <row r="1" spans="1:4" hidden="1" x14ac:dyDescent="0.25">
      <c r="A1" s="2" t="s">
        <v>2802</v>
      </c>
    </row>
    <row r="2" spans="1:4" hidden="1" x14ac:dyDescent="0.25"/>
    <row r="3" spans="1:4" hidden="1" x14ac:dyDescent="0.25">
      <c r="B3" s="2" t="s">
        <v>2803</v>
      </c>
      <c r="C3" s="2" t="s">
        <v>2804</v>
      </c>
      <c r="D3" s="2" t="s">
        <v>2805</v>
      </c>
    </row>
    <row r="4" spans="1:4" hidden="1" x14ac:dyDescent="0.25">
      <c r="A4" s="2" t="s">
        <v>91</v>
      </c>
      <c r="B4" s="2">
        <f>COUNTIFS('PLA Military Diplomacy DB v500'!A:A,"Senior Level Visit", 'PLA Military Diplomacy DB v500'!F:F, "AFRICOM", 'PLA Military Diplomacy DB v500'!H:H, "&gt;2002", 'PLA Military Diplomacy DB v500'!H:H, "&lt;2019" )</f>
        <v>252</v>
      </c>
      <c r="C4" s="2">
        <f>COUNTIFS('PLA Military Diplomacy DB v500'!A:A,"Military Exercise", 'PLA Military Diplomacy DB v500'!F:F, "AFRICOM", 'PLA Military Diplomacy DB v500'!H:H, "&gt;2002",  'PLA Military Diplomacy DB v500'!H:H, "&lt;2019" )</f>
        <v>13</v>
      </c>
      <c r="D4" s="2">
        <f>COUNTIFS('PLA Military Diplomacy DB v500'!A:A,"Naval Port Call", 'PLA Military Diplomacy DB v500'!F:F, "AFRICOM", 'PLA Military Diplomacy DB v500'!H:H, "&gt;2002",  'PLA Military Diplomacy DB v500'!H:H, "&lt;2019" )</f>
        <v>41</v>
      </c>
    </row>
    <row r="5" spans="1:4" hidden="1" x14ac:dyDescent="0.25">
      <c r="A5" s="2" t="s">
        <v>41</v>
      </c>
      <c r="B5" s="2">
        <f>COUNTIFS('PLA Military Diplomacy DB v500'!A:A,"Senior Level Visit", 'PLA Military Diplomacy DB v500'!F:F, "CENTCOM", 'PLA Military Diplomacy DB v500'!H:H, "&gt;2002",  'PLA Military Diplomacy DB v500'!H:H, "&lt;2019" )</f>
        <v>289</v>
      </c>
      <c r="C5" s="2">
        <f>COUNTIFS('PLA Military Diplomacy DB v500'!A:A,"Military Exercise", 'PLA Military Diplomacy DB v500'!F:F, "CENTCOM", 'PLA Military Diplomacy DB v500'!H:H, "&gt;2002",  'PLA Military Diplomacy DB v500'!H:H, "&lt;2019" )</f>
        <v>61</v>
      </c>
      <c r="D5" s="2">
        <f>COUNTIFS('PLA Military Diplomacy DB v500'!A:A,"Naval Port Call", 'PLA Military Diplomacy DB v500'!F:F, "CENTCOM", 'PLA Military Diplomacy DB v500'!H:H, "&gt;2002",  'PLA Military Diplomacy DB v500'!H:H, "&lt;2019"  )</f>
        <v>97</v>
      </c>
    </row>
    <row r="6" spans="1:4" hidden="1" x14ac:dyDescent="0.25">
      <c r="A6" s="2" t="s">
        <v>56</v>
      </c>
      <c r="B6" s="2">
        <f>COUNTIFS('PLA Military Diplomacy DB v500'!A:A,"Senior Level Visit", 'PLA Military Diplomacy DB v500'!F:F, "EUCOM", 'PLA Military Diplomacy DB v500'!H:H, "&gt;2002",  'PLA Military Diplomacy DB v500'!H:H, "&lt;2019" )</f>
        <v>550</v>
      </c>
      <c r="C6" s="2">
        <f>COUNTIFS('PLA Military Diplomacy DB v500'!A:A,"Military Exercise", 'PLA Military Diplomacy DB v500'!F:F, "EUCOM", 'PLA Military Diplomacy DB v500'!H:H, "&gt;2002",  'PLA Military Diplomacy DB v500'!H:H, "&lt;2019" )</f>
        <v>67</v>
      </c>
      <c r="D6" s="2">
        <f>COUNTIFS('PLA Military Diplomacy DB v500'!A:A,"Naval Port Call", 'PLA Military Diplomacy DB v500'!F:F, "EUCOM", 'PLA Military Diplomacy DB v500'!H:H, "&gt;2002",  'PLA Military Diplomacy DB v500'!H:H, "&lt;2019" )</f>
        <v>48</v>
      </c>
    </row>
    <row r="7" spans="1:4" hidden="1" x14ac:dyDescent="0.25">
      <c r="A7" s="2" t="s">
        <v>47</v>
      </c>
      <c r="B7" s="2">
        <f>COUNTIFS('PLA Military Diplomacy DB v500'!A:A,"Senior Level Visit", 'PLA Military Diplomacy DB v500'!F:F, "NORTHCOM", 'PLA Military Diplomacy DB v500'!H:H, "&gt;2002",  'PLA Military Diplomacy DB v500'!H:H, "&lt;2019" )</f>
        <v>111</v>
      </c>
      <c r="C7" s="2">
        <f>COUNTIFS('PLA Military Diplomacy DB v500'!A:A,"Military Exercise", 'PLA Military Diplomacy DB v500'!F:F, "NORTHCOM", 'PLA Military Diplomacy DB v500'!H:H, "&gt;2002",  'PLA Military Diplomacy DB v500'!H:H, "&lt;2019" )</f>
        <v>17</v>
      </c>
      <c r="D7" s="2">
        <f>COUNTIFS('PLA Military Diplomacy DB v500'!A:A,"Naval Port Call", 'PLA Military Diplomacy DB v500'!F:F, "NORTHCOM", 'PLA Military Diplomacy DB v500'!H:H, "&gt;2002",  'PLA Military Diplomacy DB v500'!H:H, "&lt;2019" )</f>
        <v>10</v>
      </c>
    </row>
    <row r="8" spans="1:4" hidden="1" x14ac:dyDescent="0.25">
      <c r="A8" s="2" t="s">
        <v>31</v>
      </c>
      <c r="B8" s="2">
        <f>COUNTIFS('PLA Military Diplomacy DB v500'!A:A,"Senior Level Visit", 'PLA Military Diplomacy DB v500'!F:F, "PACOM", 'PLA Military Diplomacy DB v500'!H:H, "&gt;2002",  'PLA Military Diplomacy DB v500'!H:H, "&lt;2019" )</f>
        <v>0</v>
      </c>
      <c r="C8" s="2">
        <f>COUNTIFS('PLA Military Diplomacy DB v500'!A:A,"Military Exercise", 'PLA Military Diplomacy DB v500'!F:F, "PACOM", 'PLA Military Diplomacy DB v500'!H:H, "&gt;2002",  'PLA Military Diplomacy DB v500'!H:H, "&lt;2019" )</f>
        <v>0</v>
      </c>
      <c r="D8" s="2">
        <f>COUNTIFS('PLA Military Diplomacy DB v500'!A:A,"Naval Port Call", 'PLA Military Diplomacy DB v500'!F:F, "PACOM", 'PLA Military Diplomacy DB v500'!H:H, "&gt;2002",  'PLA Military Diplomacy DB v500'!H:H, "&lt;2019" )</f>
        <v>0</v>
      </c>
    </row>
    <row r="9" spans="1:4" hidden="1" x14ac:dyDescent="0.25">
      <c r="A9" s="2" t="s">
        <v>199</v>
      </c>
      <c r="B9" s="2">
        <f>COUNTIFS('PLA Military Diplomacy DB v500'!A:A,"Senior Level Visit", 'PLA Military Diplomacy DB v500'!F:F, "SOUTHCOM", 'PLA Military Diplomacy DB v500'!H:H, "&gt;2002",  'PLA Military Diplomacy DB v500'!H:H, "&lt;2019" )</f>
        <v>183</v>
      </c>
      <c r="C9" s="2">
        <f>COUNTIFS('PLA Military Diplomacy DB v500'!A:A,"Military Exercise", 'PLA Military Diplomacy DB v500'!F:F, "SOUTHCOM", 'PLA Military Diplomacy DB v500'!H:H, "&gt;2002",  'PLA Military Diplomacy DB v500'!H:H, "&lt;2019" )</f>
        <v>5</v>
      </c>
      <c r="D9" s="2">
        <f>COUNTIFS('PLA Military Diplomacy DB v500'!A:A,"Naval Port Call", 'PLA Military Diplomacy DB v500'!F:F, "SOUTHCOM", 'PLA Military Diplomacy DB v500'!H:H, "&gt;2002", 'PLA Military Diplomacy DB v500'!H:H, "&lt;2019" )</f>
        <v>23</v>
      </c>
    </row>
    <row r="29" spans="1:4" ht="15.75" hidden="1" customHeight="1" x14ac:dyDescent="0.25">
      <c r="A29" s="2" t="s">
        <v>2806</v>
      </c>
    </row>
    <row r="30" spans="1:4" ht="15.75" hidden="1" customHeight="1" x14ac:dyDescent="0.25"/>
    <row r="31" spans="1:4" ht="15.75" hidden="1" customHeight="1" x14ac:dyDescent="0.25">
      <c r="B31" s="2" t="s">
        <v>2803</v>
      </c>
      <c r="C31" s="2" t="s">
        <v>2804</v>
      </c>
      <c r="D31" s="2" t="s">
        <v>2805</v>
      </c>
    </row>
    <row r="32" spans="1:4" ht="15.75" hidden="1" customHeight="1" x14ac:dyDescent="0.25">
      <c r="A32" s="2" t="s">
        <v>91</v>
      </c>
      <c r="B32" s="2">
        <f>COUNTIFS('PLA Military Diplomacy DB v500'!A:A,"Senior Level Visit", 'PLA Military Diplomacy DB v500'!F:F, "AFRICOM", 'PLA Military Diplomacy DB v500'!H:H, "&gt;2002" )</f>
        <v>282</v>
      </c>
      <c r="C32" s="2">
        <f>COUNTIFS('PLA Military Diplomacy DB v500'!A:A,"Military Exercise", 'PLA Military Diplomacy DB v500'!F:F, "AFRICOM", 'PLA Military Diplomacy DB v500'!H:H, "&gt;2002")</f>
        <v>22</v>
      </c>
      <c r="D32" s="2">
        <f>COUNTIFS('PLA Military Diplomacy DB v500'!A:A,"Naval Port Call", 'PLA Military Diplomacy DB v500'!F:F, "AFRICOM", 'PLA Military Diplomacy DB v500'!H:H, "&gt;2002")</f>
        <v>71</v>
      </c>
    </row>
    <row r="33" spans="1:4" ht="15.75" hidden="1" customHeight="1" x14ac:dyDescent="0.25">
      <c r="A33" s="2" t="s">
        <v>41</v>
      </c>
      <c r="B33" s="2">
        <f>COUNTIFS('PLA Military Diplomacy DB v500'!A:A,"Senior Level Visit", 'PLA Military Diplomacy DB v500'!F:F, "CENTCOM", 'PLA Military Diplomacy DB v500'!H:H, "&gt;2002")</f>
        <v>360</v>
      </c>
      <c r="C33" s="2">
        <f>COUNTIFS('PLA Military Diplomacy DB v500'!A:A,"Military Exercise", 'PLA Military Diplomacy DB v500'!F:F, "CENTCOM", 'PLA Military Diplomacy DB v500'!H:H, "&gt;2002")</f>
        <v>91</v>
      </c>
      <c r="D33" s="2">
        <f>COUNTIFS('PLA Military Diplomacy DB v500'!A:A,"Naval Port Call", 'PLA Military Diplomacy DB v500'!F:F, "CENTCOM", 'PLA Military Diplomacy DB v500'!H:H, "&gt;2002" )</f>
        <v>107</v>
      </c>
    </row>
    <row r="34" spans="1:4" ht="15.75" hidden="1" customHeight="1" x14ac:dyDescent="0.25">
      <c r="A34" s="2" t="s">
        <v>56</v>
      </c>
      <c r="B34" s="2">
        <f>COUNTIFS('PLA Military Diplomacy DB v500'!A:A,"Senior Level Visit", 'PLA Military Diplomacy DB v500'!F:F, "EUCOM", 'PLA Military Diplomacy DB v500'!H:H, "&gt;2002")</f>
        <v>608</v>
      </c>
      <c r="C34" s="2">
        <f>COUNTIFS('PLA Military Diplomacy DB v500'!A:A,"Military Exercise", 'PLA Military Diplomacy DB v500'!F:F, "EUCOM", 'PLA Military Diplomacy DB v500'!H:H, "&gt;2002" )</f>
        <v>99</v>
      </c>
      <c r="D34" s="2">
        <f>COUNTIFS('PLA Military Diplomacy DB v500'!A:A,"Naval Port Call", 'PLA Military Diplomacy DB v500'!F:F, "EUCOM", 'PLA Military Diplomacy DB v500'!H:H, "&gt;2002")</f>
        <v>53</v>
      </c>
    </row>
    <row r="35" spans="1:4" ht="15.75" hidden="1" customHeight="1" x14ac:dyDescent="0.25">
      <c r="A35" s="2" t="s">
        <v>47</v>
      </c>
      <c r="B35" s="2">
        <f>COUNTIFS('PLA Military Diplomacy DB v500'!A:A,"Senior Level Visit", 'PLA Military Diplomacy DB v500'!F:F, "NORTHCOM", 'PLA Military Diplomacy DB v500'!H:H, "&gt;2002")</f>
        <v>128</v>
      </c>
      <c r="C35" s="2">
        <f>COUNTIFS('PLA Military Diplomacy DB v500'!A:A,"Military Exercise", 'PLA Military Diplomacy DB v500'!F:F, "NORTHCOM", 'PLA Military Diplomacy DB v500'!H:H, "&gt;2002")</f>
        <v>19</v>
      </c>
      <c r="D35" s="2">
        <f>COUNTIFS('PLA Military Diplomacy DB v500'!A:A,"Naval Port Call", 'PLA Military Diplomacy DB v500'!F:F, "NORTHCOM", 'PLA Military Diplomacy DB v500'!H:H, "&gt;2002")</f>
        <v>10</v>
      </c>
    </row>
    <row r="36" spans="1:4" ht="15.75" hidden="1" customHeight="1" x14ac:dyDescent="0.25">
      <c r="A36" s="2" t="s">
        <v>31</v>
      </c>
      <c r="B36" s="2">
        <f>COUNTIFS('PLA Military Diplomacy DB v500'!A:A,"Senior Level Visit", 'PLA Military Diplomacy DB v500'!F:F, "PACOM", 'PLA Military Diplomacy DB v500'!H:H, "&gt;2002")</f>
        <v>0</v>
      </c>
      <c r="C36" s="2">
        <f>COUNTIFS('PLA Military Diplomacy DB v500'!A:A,"Military Exercise", 'PLA Military Diplomacy DB v500'!F:F, "PACOM", 'PLA Military Diplomacy DB v500'!H:H, "&gt;2002")</f>
        <v>0</v>
      </c>
      <c r="D36" s="2">
        <f>COUNTIFS('PLA Military Diplomacy DB v500'!A:A,"Naval Port Call", 'PLA Military Diplomacy DB v500'!F:F, "PACOM", 'PLA Military Diplomacy DB v500'!H:H, "&gt;2002")</f>
        <v>0</v>
      </c>
    </row>
    <row r="37" spans="1:4" ht="15.75" hidden="1" customHeight="1" x14ac:dyDescent="0.25">
      <c r="A37" s="2" t="s">
        <v>199</v>
      </c>
      <c r="B37" s="2">
        <f>COUNTIFS('PLA Military Diplomacy DB v500'!A:A,"Senior Level Visit", 'PLA Military Diplomacy DB v500'!F:F, "SOUTHCOM", 'PLA Military Diplomacy DB v500'!H:H, "&gt;2002")</f>
        <v>199</v>
      </c>
      <c r="C37" s="2">
        <f>COUNTIFS('PLA Military Diplomacy DB v500'!A:A,"Military Exercise", 'PLA Military Diplomacy DB v500'!F:F, "SOUTHCOM", 'PLA Military Diplomacy DB v500'!H:H, "&gt;2002")</f>
        <v>6</v>
      </c>
      <c r="D37" s="2">
        <f>COUNTIFS('PLA Military Diplomacy DB v500'!A:A,"Naval Port Call", 'PLA Military Diplomacy DB v500'!F:F, "SOUTHCOM", 'PLA Military Diplomacy DB v500'!H:H, "&gt;2002")</f>
        <v>23</v>
      </c>
    </row>
    <row r="57" spans="1:6" ht="15.75" customHeight="1" x14ac:dyDescent="0.25">
      <c r="A57" s="12" t="s">
        <v>3114</v>
      </c>
    </row>
    <row r="58" spans="1:6" ht="15.75" customHeight="1" x14ac:dyDescent="0.25"/>
    <row r="59" spans="1:6" ht="15.75" customHeight="1" x14ac:dyDescent="0.25">
      <c r="A59" s="2" t="s">
        <v>2807</v>
      </c>
      <c r="B59" s="2" t="s">
        <v>2803</v>
      </c>
      <c r="C59" s="2" t="s">
        <v>2804</v>
      </c>
      <c r="D59" s="2" t="s">
        <v>2805</v>
      </c>
      <c r="E59" s="80" t="s">
        <v>2808</v>
      </c>
      <c r="F59" s="2" t="s">
        <v>2809</v>
      </c>
    </row>
    <row r="60" spans="1:6" ht="15.75" customHeight="1" x14ac:dyDescent="0.25">
      <c r="A60" s="2" t="s">
        <v>91</v>
      </c>
      <c r="B60" s="2">
        <f>COUNTIFS('PLA Military Diplomacy DB v500'!A:A,"Senior Level Visit", 'PLA Military Diplomacy DB v500'!F:F, "AFRICOM", 'PLA Military Diplomacy DB v500'!H:H, "&gt;2001", 'PLA Military Diplomacy DB v500'!$H:$H, "&lt;2025")</f>
        <v>297</v>
      </c>
      <c r="C60" s="2">
        <f>COUNTIFS('PLA Military Diplomacy DB v500'!A:A,"Military Exercise", 'PLA Military Diplomacy DB v500'!F:F, "AFRICOM", 'PLA Military Diplomacy DB v500'!H:H, "&gt;2001", 'PLA Military Diplomacy DB v500'!$H:$H, "&lt;2025")</f>
        <v>22</v>
      </c>
      <c r="D60" s="2">
        <f>COUNTIFS('PLA Military Diplomacy DB v500'!A:A,"Naval Port Call", 'PLA Military Diplomacy DB v500'!F:F, "AFRICOM", 'PLA Military Diplomacy DB v500'!H:H, "&gt;2001", 'PLA Military Diplomacy DB v500'!$H:$H, "&lt;2025")</f>
        <v>71</v>
      </c>
      <c r="E60" s="80">
        <f t="shared" ref="E60:E66" si="0">SUM(B60:D60)</f>
        <v>390</v>
      </c>
      <c r="F60" s="13">
        <f t="shared" ref="F60:F66" si="1">E60/$E$67</f>
        <v>0.11680143755615453</v>
      </c>
    </row>
    <row r="61" spans="1:6" ht="15.75" customHeight="1" x14ac:dyDescent="0.25">
      <c r="A61" s="2" t="s">
        <v>41</v>
      </c>
      <c r="B61" s="2">
        <f>COUNTIFS('PLA Military Diplomacy DB v500'!A:A,"Senior Level Visit", 'PLA Military Diplomacy DB v500'!F:F, "CENTCOM", 'PLA Military Diplomacy DB v500'!H:H, "&gt;2001", 'PLA Military Diplomacy DB v500'!$H:$H, "&lt;2025")</f>
        <v>374</v>
      </c>
      <c r="C61" s="2">
        <f>COUNTIFS('PLA Military Diplomacy DB v500'!A:A,"Military Exercise", 'PLA Military Diplomacy DB v500'!F:F, "CENTCOM", 'PLA Military Diplomacy DB v500'!H:H, "&gt;2001", 'PLA Military Diplomacy DB v500'!$H:$H, "&lt;2025")</f>
        <v>92</v>
      </c>
      <c r="D61" s="2">
        <f>COUNTIFS('PLA Military Diplomacy DB v500'!A:A,"Naval Port Call", 'PLA Military Diplomacy DB v500'!F:F, "CENTCOM", 'PLA Military Diplomacy DB v500'!H:H, "&gt;2001", 'PLA Military Diplomacy DB v500'!$H:$H, "&lt;2025")</f>
        <v>108</v>
      </c>
      <c r="E61" s="80">
        <f t="shared" si="0"/>
        <v>574</v>
      </c>
      <c r="F61" s="13">
        <f t="shared" si="1"/>
        <v>0.17190775681341719</v>
      </c>
    </row>
    <row r="62" spans="1:6" ht="15.75" customHeight="1" x14ac:dyDescent="0.25">
      <c r="A62" s="2" t="s">
        <v>56</v>
      </c>
      <c r="B62" s="2">
        <f>COUNTIFS('PLA Military Diplomacy DB v500'!A:A,"Senior Level Visit", 'PLA Military Diplomacy DB v500'!F:F, "EUCOM", 'PLA Military Diplomacy DB v500'!H:H, "&gt;2001", 'PLA Military Diplomacy DB v500'!$H:$H, "&lt;2025")</f>
        <v>642</v>
      </c>
      <c r="C62" s="2">
        <f>COUNTIFS('PLA Military Diplomacy DB v500'!A:A,"Military Exercise", 'PLA Military Diplomacy DB v500'!F:F, "EUCOM", 'PLA Military Diplomacy DB v500'!H:H, "&gt;2001", 'PLA Military Diplomacy DB v500'!$H:$H, "&lt;2025")</f>
        <v>99</v>
      </c>
      <c r="D62" s="2">
        <f>COUNTIFS('PLA Military Diplomacy DB v500'!A:A,"Naval Port Call", 'PLA Military Diplomacy DB v500'!F:F, "EUCOM", 'PLA Military Diplomacy DB v500'!H:H, "&gt;2001", 'PLA Military Diplomacy DB v500'!$H:$H, "&lt;2025")</f>
        <v>58</v>
      </c>
      <c r="E62" s="80">
        <f t="shared" si="0"/>
        <v>799</v>
      </c>
      <c r="F62" s="13">
        <f t="shared" si="1"/>
        <v>0.23929320155735251</v>
      </c>
    </row>
    <row r="63" spans="1:6" ht="15.75" customHeight="1" x14ac:dyDescent="0.25">
      <c r="A63" s="2" t="s">
        <v>47</v>
      </c>
      <c r="B63" s="2">
        <f>COUNTIFS('PLA Military Diplomacy DB v500'!A:A,"Senior Level Visit", 'PLA Military Diplomacy DB v500'!F:F, "NORTHCOM", 'PLA Military Diplomacy DB v500'!H:H, "&gt;2001", 'PLA Military Diplomacy DB v500'!$H:$H, "&lt;2025")</f>
        <v>137</v>
      </c>
      <c r="C63" s="2">
        <f>COUNTIFS('PLA Military Diplomacy DB v500'!A:A,"Military Exercise", 'PLA Military Diplomacy DB v500'!F:F, "NORTHCOM", 'PLA Military Diplomacy DB v500'!H:H, "&gt;2001", 'PLA Military Diplomacy DB v500'!$H:$H, "&lt;2025")</f>
        <v>19</v>
      </c>
      <c r="D63" s="2">
        <f>COUNTIFS('PLA Military Diplomacy DB v500'!A:A,"Naval Port Call", 'PLA Military Diplomacy DB v500'!F:F, "NORTHCOM", 'PLA Military Diplomacy DB v500'!H:H, "&gt;2001", 'PLA Military Diplomacy DB v500'!$H:$H, "&lt;2025")</f>
        <v>10</v>
      </c>
      <c r="E63" s="80">
        <f t="shared" si="0"/>
        <v>166</v>
      </c>
      <c r="F63" s="13">
        <f t="shared" si="1"/>
        <v>4.9715483677747828E-2</v>
      </c>
    </row>
    <row r="64" spans="1:6" ht="15.75" customHeight="1" x14ac:dyDescent="0.25">
      <c r="A64" s="129" t="s">
        <v>3183</v>
      </c>
      <c r="B64" s="2">
        <f>COUNTIFS('PLA Military Diplomacy DB v500'!A:A,"Senior Level Visit", 'PLA Military Diplomacy DB v500'!F:F, "INDOPACOM", 'PLA Military Diplomacy DB v500'!H:H, "&gt;2001", 'PLA Military Diplomacy DB v500'!$H:$H, "&lt;2025")</f>
        <v>840</v>
      </c>
      <c r="C64" s="2">
        <f>COUNTIFS('PLA Military Diplomacy DB v500'!A:A,"Military Exercise", 'PLA Military Diplomacy DB v500'!F:F, "INDOPACOM", 'PLA Military Diplomacy DB v500'!H:H, "&gt;2001", 'PLA Military Diplomacy DB v500'!$H:$H, "&lt;2025")</f>
        <v>174</v>
      </c>
      <c r="D64" s="2">
        <f>COUNTIFS('PLA Military Diplomacy DB v500'!A:A,"Naval Port Call", 'PLA Military Diplomacy DB v500'!F:F, "INDOPACOM", 'PLA Military Diplomacy DB v500'!H:H, "&gt;2001", 'PLA Military Diplomacy DB v500'!$H:$H, "&lt;2025")</f>
        <v>153</v>
      </c>
      <c r="E64" s="80">
        <f t="shared" si="0"/>
        <v>1167</v>
      </c>
      <c r="F64" s="13">
        <f t="shared" si="1"/>
        <v>0.34950584007187779</v>
      </c>
    </row>
    <row r="65" spans="1:6" ht="15.75" customHeight="1" x14ac:dyDescent="0.25">
      <c r="A65" s="2" t="s">
        <v>199</v>
      </c>
      <c r="B65" s="2">
        <f>COUNTIFS('PLA Military Diplomacy DB v500'!A:A,"Senior Level Visit", 'PLA Military Diplomacy DB v500'!F:F, "SOUTHCOM", 'PLA Military Diplomacy DB v500'!H:H, "&gt;2001", 'PLA Military Diplomacy DB v500'!$H:$H, "&lt;2025")</f>
        <v>209</v>
      </c>
      <c r="C65" s="2">
        <f>COUNTIFS('PLA Military Diplomacy DB v500'!A:A,"Military Exercise", 'PLA Military Diplomacy DB v500'!F:F, "SOUTHCOM", 'PLA Military Diplomacy DB v500'!H:H, "&gt;2001", 'PLA Military Diplomacy DB v500'!$H:$H, "&lt;2025")</f>
        <v>6</v>
      </c>
      <c r="D65" s="2">
        <f>COUNTIFS('PLA Military Diplomacy DB v500'!A:A,"Naval Port Call", 'PLA Military Diplomacy DB v500'!F:F, "SOUTHCOM", 'PLA Military Diplomacy DB v500'!H:H, "&gt;2001", 'PLA Military Diplomacy DB v500'!$H:$H, "&lt;2025")</f>
        <v>26</v>
      </c>
      <c r="E65" s="80">
        <f t="shared" si="0"/>
        <v>241</v>
      </c>
      <c r="F65" s="13">
        <f t="shared" si="1"/>
        <v>7.2177298592392927E-2</v>
      </c>
    </row>
    <row r="66" spans="1:6" ht="15.75" customHeight="1" x14ac:dyDescent="0.25">
      <c r="A66" s="2" t="s">
        <v>46</v>
      </c>
      <c r="B66" s="2">
        <f>COUNTIFS('PLA Military Diplomacy DB v500'!A:A,"Senior Level Visit", 'PLA Military Diplomacy DB v500'!F:F, "N/A", 'PLA Military Diplomacy DB v500'!H:H, "&gt;2001", 'PLA Military Diplomacy DB v500'!$H:$H, "&lt;2025")</f>
        <v>2</v>
      </c>
      <c r="C66" s="2">
        <f>COUNTIFS('PLA Military Diplomacy DB v500'!A:A,"Military Exercise", 'PLA Military Diplomacy DB v500'!F:F, "N/A", 'PLA Military Diplomacy DB v500'!H:H, "&gt;2001", 'PLA Military Diplomacy DB v500'!$H:$H, "&lt;2025")</f>
        <v>0</v>
      </c>
      <c r="D66" s="2">
        <f>COUNTIFS('PLA Military Diplomacy DB v500'!A:A,"Naval Port Call", 'PLA Military Diplomacy DB v500'!F:F, "N/A", 'PLA Military Diplomacy DB v500'!H:H, "&gt;2001", 'PLA Military Diplomacy DB v500'!$H:$H, "&lt;2025")</f>
        <v>0</v>
      </c>
      <c r="E66" s="80">
        <f t="shared" si="0"/>
        <v>2</v>
      </c>
      <c r="F66" s="13">
        <f t="shared" si="1"/>
        <v>5.9898173105720279E-4</v>
      </c>
    </row>
    <row r="67" spans="1:6" ht="15.75" customHeight="1" x14ac:dyDescent="0.25">
      <c r="A67" s="72" t="s">
        <v>2808</v>
      </c>
      <c r="B67" s="72">
        <f t="shared" ref="B67:E67" si="2">SUM(B60:B66)</f>
        <v>2501</v>
      </c>
      <c r="C67" s="72">
        <f t="shared" si="2"/>
        <v>412</v>
      </c>
      <c r="D67" s="72">
        <f t="shared" si="2"/>
        <v>426</v>
      </c>
      <c r="E67" s="72">
        <f t="shared" si="2"/>
        <v>3339</v>
      </c>
      <c r="F67" s="13"/>
    </row>
  </sheetData>
  <pageMargins left="0.7" right="0.7" top="0.75" bottom="0.75" header="0" footer="0"/>
  <pageSetup orientation="portrait"/>
  <drawing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L30"/>
  <sheetViews>
    <sheetView tabSelected="1" topLeftCell="A16" workbookViewId="0">
      <selection activeCell="D33" sqref="D33"/>
    </sheetView>
  </sheetViews>
  <sheetFormatPr defaultColWidth="14.42578125" defaultRowHeight="15" customHeight="1" x14ac:dyDescent="0.25"/>
  <cols>
    <col min="1" max="1" width="24.42578125" customWidth="1"/>
    <col min="2" max="2" width="16.28515625" customWidth="1"/>
    <col min="3" max="3" width="15.42578125" customWidth="1"/>
    <col min="4" max="4" width="22.28515625" customWidth="1"/>
    <col min="5" max="7" width="9.28515625" customWidth="1"/>
    <col min="8" max="8" width="14.28515625" customWidth="1"/>
    <col min="9" max="9" width="15.85546875" customWidth="1"/>
    <col min="10" max="10" width="16.5703125" customWidth="1"/>
    <col min="11" max="11" width="14.5703125" customWidth="1"/>
    <col min="12" max="26" width="9.28515625" customWidth="1"/>
  </cols>
  <sheetData>
    <row r="1" spans="1:12" ht="15" customHeight="1" x14ac:dyDescent="0.25">
      <c r="A1" s="59" t="s">
        <v>3615</v>
      </c>
      <c r="B1" s="18"/>
      <c r="C1" s="18"/>
      <c r="D1" s="18"/>
    </row>
    <row r="2" spans="1:12" ht="15" customHeight="1" x14ac:dyDescent="0.25">
      <c r="A2" s="18"/>
      <c r="B2" s="18"/>
      <c r="C2" s="18"/>
      <c r="D2" s="18"/>
    </row>
    <row r="3" spans="1:12" ht="15" customHeight="1" x14ac:dyDescent="0.25">
      <c r="A3" s="120" t="s">
        <v>7</v>
      </c>
      <c r="B3" s="119" t="s">
        <v>79</v>
      </c>
    </row>
    <row r="5" spans="1:12" ht="15" customHeight="1" x14ac:dyDescent="0.25">
      <c r="A5" s="111" t="s">
        <v>2778</v>
      </c>
      <c r="B5" s="111" t="s">
        <v>1</v>
      </c>
      <c r="C5" s="112"/>
      <c r="D5" s="113"/>
    </row>
    <row r="6" spans="1:12" x14ac:dyDescent="0.25">
      <c r="A6" s="111" t="s">
        <v>8</v>
      </c>
      <c r="B6" s="114" t="s">
        <v>307</v>
      </c>
      <c r="C6" s="115" t="s">
        <v>76</v>
      </c>
      <c r="D6" s="122" t="s">
        <v>2779</v>
      </c>
      <c r="I6" s="114" t="s">
        <v>307</v>
      </c>
      <c r="J6" s="115" t="s">
        <v>76</v>
      </c>
      <c r="K6" s="122" t="s">
        <v>2779</v>
      </c>
    </row>
    <row r="7" spans="1:12" x14ac:dyDescent="0.25">
      <c r="A7" s="114">
        <v>2002</v>
      </c>
      <c r="B7" s="184">
        <v>0</v>
      </c>
      <c r="C7" s="185">
        <v>1</v>
      </c>
      <c r="D7" s="199">
        <v>1</v>
      </c>
      <c r="H7" s="114">
        <v>2002</v>
      </c>
      <c r="I7">
        <f>B7</f>
        <v>0</v>
      </c>
      <c r="J7">
        <f>C7</f>
        <v>1</v>
      </c>
      <c r="K7">
        <f>D7</f>
        <v>1</v>
      </c>
    </row>
    <row r="8" spans="1:12" x14ac:dyDescent="0.25">
      <c r="A8" s="117">
        <v>2003</v>
      </c>
      <c r="B8" s="187">
        <v>1</v>
      </c>
      <c r="C8" s="188">
        <v>1</v>
      </c>
      <c r="D8" s="200">
        <v>2</v>
      </c>
      <c r="H8" s="117">
        <v>2003</v>
      </c>
      <c r="I8">
        <f>B8</f>
        <v>1</v>
      </c>
      <c r="J8">
        <f>C8</f>
        <v>1</v>
      </c>
      <c r="K8">
        <f>D8</f>
        <v>2</v>
      </c>
    </row>
    <row r="9" spans="1:12" x14ac:dyDescent="0.25">
      <c r="A9" s="117">
        <v>2004</v>
      </c>
      <c r="B9" s="187">
        <v>0</v>
      </c>
      <c r="C9" s="188">
        <v>1</v>
      </c>
      <c r="D9" s="200">
        <v>1</v>
      </c>
      <c r="H9" s="117">
        <v>2004</v>
      </c>
      <c r="I9">
        <f>B9</f>
        <v>0</v>
      </c>
      <c r="J9">
        <f>C9</f>
        <v>1</v>
      </c>
      <c r="K9">
        <f>D9</f>
        <v>1</v>
      </c>
    </row>
    <row r="10" spans="1:12" x14ac:dyDescent="0.25">
      <c r="A10" s="117">
        <v>2006</v>
      </c>
      <c r="B10" s="187">
        <v>1</v>
      </c>
      <c r="C10" s="188">
        <v>1</v>
      </c>
      <c r="D10" s="200">
        <v>2</v>
      </c>
      <c r="H10" s="217">
        <v>2005</v>
      </c>
      <c r="I10">
        <v>0</v>
      </c>
      <c r="J10">
        <v>0</v>
      </c>
      <c r="K10">
        <v>0</v>
      </c>
      <c r="L10" s="218" t="s">
        <v>3783</v>
      </c>
    </row>
    <row r="11" spans="1:12" x14ac:dyDescent="0.25">
      <c r="A11" s="117">
        <v>2007</v>
      </c>
      <c r="B11" s="187">
        <v>2</v>
      </c>
      <c r="C11" s="188">
        <v>1</v>
      </c>
      <c r="D11" s="200">
        <v>3</v>
      </c>
      <c r="H11" s="117">
        <v>2006</v>
      </c>
      <c r="I11">
        <f>B10</f>
        <v>1</v>
      </c>
      <c r="J11">
        <f>C10</f>
        <v>1</v>
      </c>
      <c r="K11">
        <f>D10</f>
        <v>2</v>
      </c>
    </row>
    <row r="12" spans="1:12" x14ac:dyDescent="0.25">
      <c r="A12" s="117">
        <v>2008</v>
      </c>
      <c r="B12" s="187">
        <v>0</v>
      </c>
      <c r="C12" s="188">
        <v>1</v>
      </c>
      <c r="D12" s="200">
        <v>1</v>
      </c>
      <c r="H12" s="117">
        <v>2007</v>
      </c>
      <c r="I12">
        <f>B11</f>
        <v>2</v>
      </c>
      <c r="J12">
        <f>C11</f>
        <v>1</v>
      </c>
      <c r="K12">
        <f>D11</f>
        <v>3</v>
      </c>
    </row>
    <row r="13" spans="1:12" x14ac:dyDescent="0.25">
      <c r="A13" s="117">
        <v>2009</v>
      </c>
      <c r="B13" s="187">
        <v>0</v>
      </c>
      <c r="C13" s="188">
        <v>1</v>
      </c>
      <c r="D13" s="200">
        <v>1</v>
      </c>
      <c r="H13" s="117">
        <v>2008</v>
      </c>
      <c r="I13">
        <f>B12</f>
        <v>0</v>
      </c>
      <c r="J13">
        <f>C12</f>
        <v>1</v>
      </c>
      <c r="K13">
        <f>D12</f>
        <v>1</v>
      </c>
    </row>
    <row r="14" spans="1:12" x14ac:dyDescent="0.25">
      <c r="A14" s="117">
        <v>2010</v>
      </c>
      <c r="B14" s="187">
        <v>1</v>
      </c>
      <c r="C14" s="188">
        <v>0</v>
      </c>
      <c r="D14" s="200">
        <v>1</v>
      </c>
      <c r="H14" s="117">
        <v>2009</v>
      </c>
      <c r="I14">
        <f>B13</f>
        <v>0</v>
      </c>
      <c r="J14">
        <f>C13</f>
        <v>1</v>
      </c>
      <c r="K14">
        <f>D13</f>
        <v>1</v>
      </c>
    </row>
    <row r="15" spans="1:12" x14ac:dyDescent="0.25">
      <c r="A15" s="117">
        <v>2011</v>
      </c>
      <c r="B15" s="187">
        <v>1</v>
      </c>
      <c r="C15" s="188">
        <v>2</v>
      </c>
      <c r="D15" s="200">
        <v>3</v>
      </c>
      <c r="H15" s="117">
        <v>2010</v>
      </c>
      <c r="I15">
        <f>B14</f>
        <v>1</v>
      </c>
      <c r="J15">
        <f>C14</f>
        <v>0</v>
      </c>
      <c r="K15">
        <f>D14</f>
        <v>1</v>
      </c>
    </row>
    <row r="16" spans="1:12" x14ac:dyDescent="0.25">
      <c r="A16" s="117">
        <v>2012</v>
      </c>
      <c r="B16" s="187">
        <v>1</v>
      </c>
      <c r="C16" s="188">
        <v>2</v>
      </c>
      <c r="D16" s="200">
        <v>3</v>
      </c>
      <c r="H16" s="117">
        <v>2011</v>
      </c>
      <c r="I16">
        <f>B15</f>
        <v>1</v>
      </c>
      <c r="J16">
        <f>C15</f>
        <v>2</v>
      </c>
      <c r="K16">
        <f>D15</f>
        <v>3</v>
      </c>
    </row>
    <row r="17" spans="1:11" x14ac:dyDescent="0.25">
      <c r="A17" s="117">
        <v>2013</v>
      </c>
      <c r="B17" s="187">
        <v>0</v>
      </c>
      <c r="C17" s="188">
        <v>1</v>
      </c>
      <c r="D17" s="200">
        <v>1</v>
      </c>
      <c r="H17" s="117">
        <v>2012</v>
      </c>
      <c r="I17">
        <f>B16</f>
        <v>1</v>
      </c>
      <c r="J17">
        <f>C16</f>
        <v>2</v>
      </c>
      <c r="K17">
        <f>D16</f>
        <v>3</v>
      </c>
    </row>
    <row r="18" spans="1:11" x14ac:dyDescent="0.25">
      <c r="A18" s="117">
        <v>2014</v>
      </c>
      <c r="B18" s="187">
        <v>1</v>
      </c>
      <c r="C18" s="188">
        <v>2</v>
      </c>
      <c r="D18" s="200">
        <v>3</v>
      </c>
      <c r="H18" s="117">
        <v>2013</v>
      </c>
      <c r="I18">
        <f>B17</f>
        <v>0</v>
      </c>
      <c r="J18">
        <f>C17</f>
        <v>1</v>
      </c>
      <c r="K18">
        <f>D17</f>
        <v>1</v>
      </c>
    </row>
    <row r="19" spans="1:11" x14ac:dyDescent="0.25">
      <c r="A19" s="117">
        <v>2015</v>
      </c>
      <c r="B19" s="187">
        <v>2</v>
      </c>
      <c r="C19" s="188">
        <v>1</v>
      </c>
      <c r="D19" s="200">
        <v>3</v>
      </c>
      <c r="H19" s="117">
        <v>2014</v>
      </c>
      <c r="I19">
        <f>B18</f>
        <v>1</v>
      </c>
      <c r="J19">
        <f>C18</f>
        <v>2</v>
      </c>
      <c r="K19">
        <f>D18</f>
        <v>3</v>
      </c>
    </row>
    <row r="20" spans="1:11" x14ac:dyDescent="0.25">
      <c r="A20" s="117">
        <v>2016</v>
      </c>
      <c r="B20" s="187">
        <v>2</v>
      </c>
      <c r="C20" s="188">
        <v>2</v>
      </c>
      <c r="D20" s="200">
        <v>4</v>
      </c>
      <c r="H20" s="117">
        <v>2015</v>
      </c>
      <c r="I20">
        <f>B19</f>
        <v>2</v>
      </c>
      <c r="J20">
        <f>C19</f>
        <v>1</v>
      </c>
      <c r="K20">
        <f>D19</f>
        <v>3</v>
      </c>
    </row>
    <row r="21" spans="1:11" x14ac:dyDescent="0.25">
      <c r="A21" s="117">
        <v>2017</v>
      </c>
      <c r="B21" s="187">
        <v>0</v>
      </c>
      <c r="C21" s="188">
        <v>1</v>
      </c>
      <c r="D21" s="200">
        <v>1</v>
      </c>
      <c r="H21" s="117">
        <v>2016</v>
      </c>
      <c r="I21">
        <f>B20</f>
        <v>2</v>
      </c>
      <c r="J21">
        <f>C20</f>
        <v>2</v>
      </c>
      <c r="K21">
        <f>D20</f>
        <v>4</v>
      </c>
    </row>
    <row r="22" spans="1:11" x14ac:dyDescent="0.25">
      <c r="A22" s="117">
        <v>2018</v>
      </c>
      <c r="B22" s="187">
        <v>1</v>
      </c>
      <c r="C22" s="188">
        <v>2</v>
      </c>
      <c r="D22" s="200">
        <v>3</v>
      </c>
      <c r="H22" s="117">
        <v>2017</v>
      </c>
      <c r="I22">
        <f>B21</f>
        <v>0</v>
      </c>
      <c r="J22">
        <f>C21</f>
        <v>1</v>
      </c>
      <c r="K22">
        <f>D21</f>
        <v>1</v>
      </c>
    </row>
    <row r="23" spans="1:11" x14ac:dyDescent="0.25">
      <c r="A23" s="117">
        <v>2019</v>
      </c>
      <c r="B23" s="187">
        <v>0</v>
      </c>
      <c r="C23" s="188">
        <v>1</v>
      </c>
      <c r="D23" s="200">
        <v>1</v>
      </c>
      <c r="H23" s="117">
        <v>2018</v>
      </c>
      <c r="I23">
        <f>B22</f>
        <v>1</v>
      </c>
      <c r="J23">
        <f>C22</f>
        <v>2</v>
      </c>
      <c r="K23">
        <f>D22</f>
        <v>3</v>
      </c>
    </row>
    <row r="24" spans="1:11" x14ac:dyDescent="0.25">
      <c r="A24" s="117">
        <v>2020</v>
      </c>
      <c r="B24" s="187">
        <v>0</v>
      </c>
      <c r="C24" s="188">
        <v>1</v>
      </c>
      <c r="D24" s="200">
        <v>1</v>
      </c>
      <c r="H24" s="117">
        <v>2019</v>
      </c>
      <c r="I24">
        <f>B23</f>
        <v>0</v>
      </c>
      <c r="J24">
        <f>C23</f>
        <v>1</v>
      </c>
      <c r="K24">
        <f>D23</f>
        <v>1</v>
      </c>
    </row>
    <row r="25" spans="1:11" x14ac:dyDescent="0.25">
      <c r="A25" s="117">
        <v>2021</v>
      </c>
      <c r="B25" s="187">
        <v>1</v>
      </c>
      <c r="C25" s="188">
        <v>2</v>
      </c>
      <c r="D25" s="200">
        <v>3</v>
      </c>
      <c r="H25" s="117">
        <v>2020</v>
      </c>
      <c r="I25">
        <f>B24</f>
        <v>0</v>
      </c>
      <c r="J25">
        <f>C24</f>
        <v>1</v>
      </c>
      <c r="K25">
        <f>D24</f>
        <v>1</v>
      </c>
    </row>
    <row r="26" spans="1:11" x14ac:dyDescent="0.25">
      <c r="A26" s="117">
        <v>2022</v>
      </c>
      <c r="B26" s="187">
        <v>0</v>
      </c>
      <c r="C26" s="188">
        <v>2</v>
      </c>
      <c r="D26" s="200">
        <v>2</v>
      </c>
      <c r="H26" s="117">
        <v>2021</v>
      </c>
      <c r="I26">
        <f>B25</f>
        <v>1</v>
      </c>
      <c r="J26">
        <f>C25</f>
        <v>2</v>
      </c>
      <c r="K26">
        <f>D25</f>
        <v>3</v>
      </c>
    </row>
    <row r="27" spans="1:11" x14ac:dyDescent="0.25">
      <c r="A27" s="117">
        <v>2023</v>
      </c>
      <c r="B27" s="187">
        <v>0</v>
      </c>
      <c r="C27" s="188">
        <v>1</v>
      </c>
      <c r="D27" s="200">
        <v>1</v>
      </c>
      <c r="H27" s="117">
        <v>2022</v>
      </c>
      <c r="I27">
        <f>B26</f>
        <v>0</v>
      </c>
      <c r="J27">
        <f>C26</f>
        <v>2</v>
      </c>
      <c r="K27">
        <f>D26</f>
        <v>2</v>
      </c>
    </row>
    <row r="28" spans="1:11" x14ac:dyDescent="0.25">
      <c r="A28" s="117">
        <v>2024</v>
      </c>
      <c r="B28" s="187">
        <v>0</v>
      </c>
      <c r="C28" s="188">
        <v>1</v>
      </c>
      <c r="D28" s="200">
        <v>1</v>
      </c>
      <c r="H28" s="117">
        <v>2023</v>
      </c>
      <c r="I28">
        <f>B27</f>
        <v>0</v>
      </c>
      <c r="J28">
        <f>C27</f>
        <v>1</v>
      </c>
      <c r="K28">
        <f>D27</f>
        <v>1</v>
      </c>
    </row>
    <row r="29" spans="1:11" x14ac:dyDescent="0.25">
      <c r="A29" s="121" t="s">
        <v>2779</v>
      </c>
      <c r="B29" s="196">
        <v>14</v>
      </c>
      <c r="C29" s="197">
        <v>28</v>
      </c>
      <c r="D29" s="198">
        <v>42</v>
      </c>
      <c r="H29" s="117">
        <v>2024</v>
      </c>
      <c r="I29">
        <f>B28</f>
        <v>0</v>
      </c>
      <c r="J29">
        <f>C28</f>
        <v>1</v>
      </c>
      <c r="K29">
        <f>D28</f>
        <v>1</v>
      </c>
    </row>
    <row r="30" spans="1:11" ht="15" customHeight="1" x14ac:dyDescent="0.25">
      <c r="H30" s="121" t="s">
        <v>2779</v>
      </c>
      <c r="I30" s="196">
        <v>14</v>
      </c>
      <c r="J30" s="197">
        <v>28</v>
      </c>
      <c r="K30" s="198">
        <v>42</v>
      </c>
    </row>
  </sheetData>
  <pageMargins left="0.7" right="0.7" top="0.75" bottom="0.75" header="0" footer="0"/>
  <pageSetup orientation="portrait"/>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2:BP164"/>
  <sheetViews>
    <sheetView topLeftCell="A33" workbookViewId="0">
      <selection activeCell="BP9" sqref="BP9"/>
    </sheetView>
  </sheetViews>
  <sheetFormatPr defaultColWidth="14.42578125" defaultRowHeight="15" customHeight="1" x14ac:dyDescent="0.25"/>
  <cols>
    <col min="1" max="1" width="15" customWidth="1"/>
    <col min="2" max="2" width="19.5703125" customWidth="1"/>
    <col min="3" max="25" width="10.7109375" customWidth="1"/>
    <col min="26" max="26" width="10" customWidth="1"/>
    <col min="27" max="27" width="8" customWidth="1"/>
    <col min="28" max="28" width="7" customWidth="1"/>
    <col min="29" max="29" width="10.7109375" customWidth="1"/>
    <col min="30" max="32" width="10" customWidth="1"/>
    <col min="33" max="34" width="9" customWidth="1"/>
    <col min="35" max="35" width="16.28515625" customWidth="1"/>
    <col min="36" max="36" width="13" customWidth="1"/>
    <col min="37" max="37" width="8" customWidth="1"/>
    <col min="38" max="38" width="7" customWidth="1"/>
    <col min="39" max="40" width="9" customWidth="1"/>
    <col min="41" max="42" width="14.28515625" customWidth="1"/>
    <col min="43" max="43" width="8" customWidth="1"/>
    <col min="44" max="44" width="12" customWidth="1"/>
    <col min="45" max="45" width="10" customWidth="1"/>
    <col min="46" max="46" width="6" customWidth="1"/>
    <col min="47" max="47" width="8" customWidth="1"/>
    <col min="48" max="48" width="10" customWidth="1"/>
    <col min="49" max="49" width="7" customWidth="1"/>
    <col min="50" max="50" width="6" customWidth="1"/>
    <col min="51" max="51" width="9" customWidth="1"/>
    <col min="52" max="52" width="10" customWidth="1"/>
    <col min="53" max="53" width="9" customWidth="1"/>
    <col min="54" max="54" width="17.28515625" customWidth="1"/>
    <col min="55" max="55" width="8" customWidth="1"/>
    <col min="56" max="56" width="6" customWidth="1"/>
    <col min="57" max="57" width="12" customWidth="1"/>
    <col min="58" max="58" width="8" customWidth="1"/>
    <col min="59" max="59" width="6" customWidth="1"/>
    <col min="60" max="60" width="7" customWidth="1"/>
    <col min="61" max="61" width="17.7109375" customWidth="1"/>
    <col min="62" max="62" width="7" customWidth="1"/>
    <col min="63" max="63" width="6" customWidth="1"/>
    <col min="64" max="64" width="12.5703125" customWidth="1"/>
    <col min="65" max="65" width="12" customWidth="1"/>
    <col min="66" max="66" width="13" customWidth="1"/>
  </cols>
  <sheetData>
    <row r="2" spans="1:68" s="79" customFormat="1" x14ac:dyDescent="0.25">
      <c r="A2" s="78" t="s">
        <v>2879</v>
      </c>
    </row>
    <row r="3" spans="1:68" s="79" customFormat="1" x14ac:dyDescent="0.25">
      <c r="A3" s="78" t="s">
        <v>3199</v>
      </c>
    </row>
    <row r="4" spans="1:68" ht="15" customHeight="1" x14ac:dyDescent="0.25">
      <c r="A4" s="120" t="s">
        <v>1</v>
      </c>
      <c r="B4" s="119" t="s">
        <v>307</v>
      </c>
    </row>
    <row r="5" spans="1:68" x14ac:dyDescent="0.25">
      <c r="A5" s="120" t="s">
        <v>8</v>
      </c>
      <c r="B5" s="119" t="s">
        <v>2827</v>
      </c>
    </row>
    <row r="7" spans="1:68" x14ac:dyDescent="0.25">
      <c r="A7" s="114"/>
      <c r="B7" s="111" t="s">
        <v>7</v>
      </c>
      <c r="C7" s="112"/>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3"/>
    </row>
    <row r="8" spans="1:68" x14ac:dyDescent="0.25">
      <c r="A8" s="124"/>
      <c r="B8" s="114" t="s">
        <v>161</v>
      </c>
      <c r="C8" s="115" t="s">
        <v>42</v>
      </c>
      <c r="D8" s="115" t="s">
        <v>53</v>
      </c>
      <c r="E8" s="115" t="s">
        <v>79</v>
      </c>
      <c r="F8" s="115" t="s">
        <v>111</v>
      </c>
      <c r="G8" s="115" t="s">
        <v>108</v>
      </c>
      <c r="H8" s="115" t="s">
        <v>73</v>
      </c>
      <c r="I8" s="115" t="s">
        <v>52</v>
      </c>
      <c r="J8" s="115" t="s">
        <v>48</v>
      </c>
      <c r="K8" s="115" t="s">
        <v>54</v>
      </c>
      <c r="L8" s="115" t="s">
        <v>275</v>
      </c>
      <c r="M8" s="115" t="s">
        <v>159</v>
      </c>
      <c r="N8" s="115" t="s">
        <v>716</v>
      </c>
      <c r="O8" s="115" t="s">
        <v>168</v>
      </c>
      <c r="P8" s="115" t="s">
        <v>194</v>
      </c>
      <c r="Q8" s="115" t="s">
        <v>244</v>
      </c>
      <c r="R8" s="115" t="s">
        <v>298</v>
      </c>
      <c r="S8" s="115" t="s">
        <v>186</v>
      </c>
      <c r="T8" s="115" t="s">
        <v>248</v>
      </c>
      <c r="U8" s="115" t="s">
        <v>107</v>
      </c>
      <c r="V8" s="115" t="s">
        <v>171</v>
      </c>
      <c r="W8" s="115" t="s">
        <v>59</v>
      </c>
      <c r="X8" s="115" t="s">
        <v>258</v>
      </c>
      <c r="Y8" s="115" t="s">
        <v>214</v>
      </c>
      <c r="Z8" s="115" t="s">
        <v>473</v>
      </c>
      <c r="AA8" s="115" t="s">
        <v>43</v>
      </c>
      <c r="AB8" s="115" t="s">
        <v>75</v>
      </c>
      <c r="AC8" s="115" t="s">
        <v>888</v>
      </c>
      <c r="AD8" s="115" t="s">
        <v>1027</v>
      </c>
      <c r="AE8" s="115" t="s">
        <v>329</v>
      </c>
      <c r="AF8" s="115" t="s">
        <v>293</v>
      </c>
      <c r="AG8" s="115" t="s">
        <v>178</v>
      </c>
      <c r="AH8" s="115" t="s">
        <v>93</v>
      </c>
      <c r="AI8" s="115" t="s">
        <v>67</v>
      </c>
      <c r="AJ8" s="115" t="s">
        <v>153</v>
      </c>
      <c r="AK8" s="115" t="s">
        <v>130</v>
      </c>
      <c r="AL8" s="115" t="s">
        <v>558</v>
      </c>
      <c r="AM8" s="115" t="s">
        <v>117</v>
      </c>
      <c r="AN8" s="115" t="s">
        <v>208</v>
      </c>
      <c r="AO8" s="115" t="s">
        <v>104</v>
      </c>
      <c r="AP8" s="115" t="s">
        <v>92</v>
      </c>
      <c r="AQ8" s="115" t="s">
        <v>756</v>
      </c>
      <c r="AR8" s="115" t="s">
        <v>32</v>
      </c>
      <c r="AS8" s="115" t="s">
        <v>96</v>
      </c>
      <c r="AT8" s="115" t="s">
        <v>503</v>
      </c>
      <c r="AU8" s="115" t="s">
        <v>239</v>
      </c>
      <c r="AV8" s="115" t="s">
        <v>345</v>
      </c>
      <c r="AW8" s="115" t="s">
        <v>564</v>
      </c>
      <c r="AX8" s="115" t="s">
        <v>421</v>
      </c>
      <c r="AY8" s="115" t="s">
        <v>37</v>
      </c>
      <c r="AZ8" s="115" t="s">
        <v>1749</v>
      </c>
      <c r="BA8" s="115" t="s">
        <v>784</v>
      </c>
      <c r="BB8" s="115" t="s">
        <v>438</v>
      </c>
      <c r="BC8" s="115" t="s">
        <v>791</v>
      </c>
      <c r="BD8" s="115" t="s">
        <v>114</v>
      </c>
      <c r="BE8" s="115" t="s">
        <v>163</v>
      </c>
      <c r="BF8" s="115" t="s">
        <v>338</v>
      </c>
      <c r="BG8" s="115" t="s">
        <v>417</v>
      </c>
      <c r="BH8" s="115" t="s">
        <v>242</v>
      </c>
      <c r="BI8" s="115" t="s">
        <v>296</v>
      </c>
      <c r="BJ8" s="115" t="s">
        <v>46</v>
      </c>
      <c r="BK8" s="115" t="s">
        <v>600</v>
      </c>
      <c r="BL8" s="115" t="s">
        <v>363</v>
      </c>
      <c r="BM8" s="115" t="s">
        <v>69</v>
      </c>
      <c r="BN8" s="115" t="s">
        <v>443</v>
      </c>
      <c r="BO8" s="115" t="s">
        <v>604</v>
      </c>
      <c r="BP8" s="125" t="s">
        <v>411</v>
      </c>
    </row>
    <row r="9" spans="1:68" x14ac:dyDescent="0.25">
      <c r="A9" s="118" t="s">
        <v>2880</v>
      </c>
      <c r="B9" s="181">
        <v>2002</v>
      </c>
      <c r="C9" s="182">
        <v>2003</v>
      </c>
      <c r="D9" s="182">
        <v>2003</v>
      </c>
      <c r="E9" s="182">
        <v>2003</v>
      </c>
      <c r="F9" s="182">
        <v>2004</v>
      </c>
      <c r="G9" s="182">
        <v>2004</v>
      </c>
      <c r="H9" s="182">
        <v>2004</v>
      </c>
      <c r="I9" s="182">
        <v>2005</v>
      </c>
      <c r="J9" s="182">
        <v>2005</v>
      </c>
      <c r="K9" s="182">
        <v>2005</v>
      </c>
      <c r="L9" s="182">
        <v>2006</v>
      </c>
      <c r="M9" s="182">
        <v>2006</v>
      </c>
      <c r="N9" s="182">
        <v>2007</v>
      </c>
      <c r="O9" s="182">
        <v>2009</v>
      </c>
      <c r="P9" s="182">
        <v>2009</v>
      </c>
      <c r="Q9" s="182">
        <v>2009</v>
      </c>
      <c r="R9" s="182">
        <v>2009</v>
      </c>
      <c r="S9" s="182">
        <v>2010</v>
      </c>
      <c r="T9" s="182">
        <v>2010</v>
      </c>
      <c r="U9" s="182">
        <v>2010</v>
      </c>
      <c r="V9" s="182">
        <v>2011</v>
      </c>
      <c r="W9" s="182">
        <v>2011</v>
      </c>
      <c r="X9" s="182">
        <v>2011</v>
      </c>
      <c r="Y9" s="182">
        <v>2012</v>
      </c>
      <c r="Z9" s="182">
        <v>2012</v>
      </c>
      <c r="AA9" s="182">
        <v>2012</v>
      </c>
      <c r="AB9" s="182">
        <v>2013</v>
      </c>
      <c r="AC9" s="182">
        <v>2013</v>
      </c>
      <c r="AD9" s="182">
        <v>2014</v>
      </c>
      <c r="AE9" s="182">
        <v>2014</v>
      </c>
      <c r="AF9" s="182">
        <v>2014</v>
      </c>
      <c r="AG9" s="182">
        <v>2014</v>
      </c>
      <c r="AH9" s="182">
        <v>2014</v>
      </c>
      <c r="AI9" s="182">
        <v>2014</v>
      </c>
      <c r="AJ9" s="182">
        <v>2015</v>
      </c>
      <c r="AK9" s="182">
        <v>2015</v>
      </c>
      <c r="AL9" s="182">
        <v>2015</v>
      </c>
      <c r="AM9" s="182">
        <v>2015</v>
      </c>
      <c r="AN9" s="182">
        <v>2016</v>
      </c>
      <c r="AO9" s="182">
        <v>2016</v>
      </c>
      <c r="AP9" s="182">
        <v>2016</v>
      </c>
      <c r="AQ9" s="182">
        <v>2016</v>
      </c>
      <c r="AR9" s="182">
        <v>2016</v>
      </c>
      <c r="AS9" s="182">
        <v>2017</v>
      </c>
      <c r="AT9" s="182">
        <v>2017</v>
      </c>
      <c r="AU9" s="182">
        <v>2017</v>
      </c>
      <c r="AV9" s="182">
        <v>2017</v>
      </c>
      <c r="AW9" s="182">
        <v>2017</v>
      </c>
      <c r="AX9" s="182">
        <v>2017</v>
      </c>
      <c r="AY9" s="182">
        <v>2017</v>
      </c>
      <c r="AZ9" s="182">
        <v>2017</v>
      </c>
      <c r="BA9" s="182">
        <v>2017</v>
      </c>
      <c r="BB9" s="182">
        <v>2017</v>
      </c>
      <c r="BC9" s="182">
        <v>2017</v>
      </c>
      <c r="BD9" s="182">
        <v>2017</v>
      </c>
      <c r="BE9" s="182">
        <v>2017</v>
      </c>
      <c r="BF9" s="182">
        <v>2018</v>
      </c>
      <c r="BG9" s="182">
        <v>2018</v>
      </c>
      <c r="BH9" s="182">
        <v>2018</v>
      </c>
      <c r="BI9" s="182">
        <v>2018</v>
      </c>
      <c r="BJ9" s="182">
        <v>2018</v>
      </c>
      <c r="BK9" s="182">
        <v>2018</v>
      </c>
      <c r="BL9" s="182">
        <v>2019</v>
      </c>
      <c r="BM9" s="182">
        <v>2020</v>
      </c>
      <c r="BN9" s="182">
        <v>2023</v>
      </c>
      <c r="BO9" s="182">
        <v>2023</v>
      </c>
      <c r="BP9" s="183">
        <v>2024</v>
      </c>
    </row>
    <row r="12" spans="1:68" x14ac:dyDescent="0.25">
      <c r="A12" s="2" t="s">
        <v>8</v>
      </c>
      <c r="B12" s="2" t="s">
        <v>2881</v>
      </c>
    </row>
    <row r="13" spans="1:68" x14ac:dyDescent="0.25">
      <c r="A13" s="2">
        <v>2002</v>
      </c>
      <c r="B13" s="2">
        <f>COUNTIF(9:9, A13)</f>
        <v>1</v>
      </c>
    </row>
    <row r="14" spans="1:68" x14ac:dyDescent="0.25">
      <c r="A14" s="2">
        <v>2003</v>
      </c>
      <c r="B14" s="2">
        <f>COUNTIF(9:9, A14)</f>
        <v>3</v>
      </c>
    </row>
    <row r="15" spans="1:68" x14ac:dyDescent="0.25">
      <c r="A15" s="2">
        <v>2004</v>
      </c>
      <c r="B15" s="2">
        <f>COUNTIF(9:9, A15)</f>
        <v>3</v>
      </c>
    </row>
    <row r="16" spans="1:68" x14ac:dyDescent="0.25">
      <c r="A16" s="2">
        <v>2005</v>
      </c>
      <c r="B16" s="2">
        <f>COUNTIF(9:9, A16)</f>
        <v>3</v>
      </c>
    </row>
    <row r="17" spans="1:2" x14ac:dyDescent="0.25">
      <c r="A17" s="2">
        <v>2006</v>
      </c>
      <c r="B17" s="2">
        <f>COUNTIF(9:9, A17)</f>
        <v>2</v>
      </c>
    </row>
    <row r="18" spans="1:2" x14ac:dyDescent="0.25">
      <c r="A18" s="2">
        <v>2007</v>
      </c>
      <c r="B18" s="2">
        <f>COUNTIF(9:9, A18)</f>
        <v>1</v>
      </c>
    </row>
    <row r="19" spans="1:2" x14ac:dyDescent="0.25">
      <c r="A19" s="2">
        <v>2008</v>
      </c>
      <c r="B19" s="2">
        <f>COUNTIF(9:9, A19)</f>
        <v>0</v>
      </c>
    </row>
    <row r="20" spans="1:2" x14ac:dyDescent="0.25">
      <c r="A20" s="2">
        <v>2009</v>
      </c>
      <c r="B20" s="2">
        <f>COUNTIF(9:9, A20)</f>
        <v>4</v>
      </c>
    </row>
    <row r="21" spans="1:2" x14ac:dyDescent="0.25">
      <c r="A21" s="2">
        <v>2010</v>
      </c>
      <c r="B21" s="2">
        <f>COUNTIF(9:9, A21)</f>
        <v>3</v>
      </c>
    </row>
    <row r="22" spans="1:2" ht="15.75" customHeight="1" x14ac:dyDescent="0.25">
      <c r="A22" s="2">
        <v>2011</v>
      </c>
      <c r="B22" s="2">
        <f>COUNTIF(9:9, A22)</f>
        <v>3</v>
      </c>
    </row>
    <row r="23" spans="1:2" ht="15.75" customHeight="1" x14ac:dyDescent="0.25">
      <c r="A23" s="2">
        <v>2012</v>
      </c>
      <c r="B23" s="2">
        <f>COUNTIF(9:9, A23)</f>
        <v>3</v>
      </c>
    </row>
    <row r="24" spans="1:2" ht="15.75" customHeight="1" x14ac:dyDescent="0.25">
      <c r="A24" s="2">
        <v>2013</v>
      </c>
      <c r="B24" s="2">
        <f>COUNTIF(9:9, A24)</f>
        <v>2</v>
      </c>
    </row>
    <row r="25" spans="1:2" ht="15.75" customHeight="1" x14ac:dyDescent="0.25">
      <c r="A25" s="2">
        <v>2014</v>
      </c>
      <c r="B25" s="2">
        <f>COUNTIF(9:9, A25)</f>
        <v>6</v>
      </c>
    </row>
    <row r="26" spans="1:2" ht="15.75" customHeight="1" x14ac:dyDescent="0.25">
      <c r="A26" s="2">
        <v>2015</v>
      </c>
      <c r="B26" s="2">
        <f>COUNTIF(9:9, A26)</f>
        <v>4</v>
      </c>
    </row>
    <row r="27" spans="1:2" ht="15.75" customHeight="1" x14ac:dyDescent="0.25">
      <c r="A27" s="2">
        <v>2016</v>
      </c>
      <c r="B27" s="2">
        <f>COUNTIF(9:9, A27)</f>
        <v>5</v>
      </c>
    </row>
    <row r="28" spans="1:2" ht="15.75" customHeight="1" x14ac:dyDescent="0.25">
      <c r="A28" s="2">
        <v>2017</v>
      </c>
      <c r="B28" s="2">
        <f>COUNTIF(9:9, A28)</f>
        <v>13</v>
      </c>
    </row>
    <row r="29" spans="1:2" ht="15.75" customHeight="1" x14ac:dyDescent="0.25">
      <c r="A29" s="2">
        <v>2018</v>
      </c>
      <c r="B29" s="2">
        <f>COUNTIF(9:9, A29)</f>
        <v>6</v>
      </c>
    </row>
    <row r="30" spans="1:2" ht="15.75" customHeight="1" x14ac:dyDescent="0.25">
      <c r="A30" s="2">
        <v>2019</v>
      </c>
      <c r="B30" s="2">
        <f>COUNTIF($9:$9, A30)</f>
        <v>1</v>
      </c>
    </row>
    <row r="31" spans="1:2" ht="15.75" customHeight="1" x14ac:dyDescent="0.25">
      <c r="A31" s="2">
        <v>2020</v>
      </c>
      <c r="B31" s="2">
        <f>COUNTIF($9:$9, A31)</f>
        <v>1</v>
      </c>
    </row>
    <row r="32" spans="1:2" ht="15.75" customHeight="1" x14ac:dyDescent="0.25">
      <c r="A32" s="2">
        <v>2021</v>
      </c>
      <c r="B32" s="2">
        <f t="shared" ref="B32:B35" si="0">COUNTIF($9:$9, A32)</f>
        <v>0</v>
      </c>
    </row>
    <row r="33" spans="1:25" ht="15.75" customHeight="1" x14ac:dyDescent="0.25">
      <c r="A33" s="2">
        <v>2022</v>
      </c>
      <c r="B33" s="2">
        <f t="shared" si="0"/>
        <v>0</v>
      </c>
    </row>
    <row r="34" spans="1:25" ht="15.75" customHeight="1" x14ac:dyDescent="0.25">
      <c r="A34" s="2">
        <v>2023</v>
      </c>
      <c r="B34" s="2">
        <f t="shared" si="0"/>
        <v>2</v>
      </c>
    </row>
    <row r="35" spans="1:25" ht="15.75" customHeight="1" x14ac:dyDescent="0.25">
      <c r="A35" s="2">
        <v>2024</v>
      </c>
      <c r="B35" s="2">
        <f t="shared" si="0"/>
        <v>1</v>
      </c>
      <c r="N35" s="84"/>
      <c r="O35" s="85"/>
      <c r="P35" s="84"/>
      <c r="Q35" s="85"/>
      <c r="R35" s="84"/>
    </row>
    <row r="36" spans="1:25" ht="15.75" customHeight="1" x14ac:dyDescent="0.25">
      <c r="N36" s="84"/>
      <c r="O36" s="84"/>
      <c r="P36" s="84"/>
      <c r="Q36" s="84"/>
      <c r="R36" s="84"/>
    </row>
    <row r="37" spans="1:25" ht="15.75" customHeight="1" x14ac:dyDescent="0.25"/>
    <row r="38" spans="1:25" ht="15.75" customHeight="1" x14ac:dyDescent="0.25"/>
    <row r="39" spans="1:25" ht="15.75" customHeight="1" x14ac:dyDescent="0.25">
      <c r="A39" s="12" t="s">
        <v>3149</v>
      </c>
    </row>
    <row r="40" spans="1:25" x14ac:dyDescent="0.25">
      <c r="A40" s="120" t="s">
        <v>1</v>
      </c>
      <c r="B40" s="119" t="s">
        <v>307</v>
      </c>
    </row>
    <row r="41" spans="1:25" ht="15.75" customHeight="1" x14ac:dyDescent="0.25"/>
    <row r="42" spans="1:25" x14ac:dyDescent="0.25">
      <c r="A42" s="111" t="s">
        <v>2778</v>
      </c>
      <c r="B42" s="111" t="s">
        <v>8</v>
      </c>
      <c r="C42" s="112"/>
      <c r="D42" s="112"/>
      <c r="E42" s="112"/>
      <c r="F42" s="112"/>
      <c r="G42" s="112"/>
      <c r="H42" s="112"/>
      <c r="I42" s="112"/>
      <c r="J42" s="112"/>
      <c r="K42" s="112"/>
      <c r="L42" s="112"/>
      <c r="M42" s="112"/>
      <c r="N42" s="112"/>
      <c r="O42" s="112"/>
      <c r="P42" s="112"/>
      <c r="Q42" s="112"/>
      <c r="R42" s="112"/>
      <c r="S42" s="112"/>
      <c r="T42" s="112"/>
      <c r="U42" s="112"/>
      <c r="V42" s="112"/>
      <c r="W42" s="112"/>
      <c r="X42" s="112"/>
      <c r="Y42" s="113"/>
    </row>
    <row r="43" spans="1:25" x14ac:dyDescent="0.25">
      <c r="A43" s="111" t="s">
        <v>2</v>
      </c>
      <c r="B43" s="114">
        <v>2002</v>
      </c>
      <c r="C43" s="115">
        <v>2003</v>
      </c>
      <c r="D43" s="115">
        <v>2004</v>
      </c>
      <c r="E43" s="115">
        <v>2005</v>
      </c>
      <c r="F43" s="115">
        <v>2006</v>
      </c>
      <c r="G43" s="115">
        <v>2007</v>
      </c>
      <c r="H43" s="115">
        <v>2008</v>
      </c>
      <c r="I43" s="115">
        <v>2009</v>
      </c>
      <c r="J43" s="115">
        <v>2010</v>
      </c>
      <c r="K43" s="115">
        <v>2011</v>
      </c>
      <c r="L43" s="115">
        <v>2012</v>
      </c>
      <c r="M43" s="115">
        <v>2013</v>
      </c>
      <c r="N43" s="115">
        <v>2014</v>
      </c>
      <c r="O43" s="115">
        <v>2015</v>
      </c>
      <c r="P43" s="115">
        <v>2016</v>
      </c>
      <c r="Q43" s="115">
        <v>2017</v>
      </c>
      <c r="R43" s="115">
        <v>2018</v>
      </c>
      <c r="S43" s="115">
        <v>2019</v>
      </c>
      <c r="T43" s="115">
        <v>2020</v>
      </c>
      <c r="U43" s="115">
        <v>2021</v>
      </c>
      <c r="V43" s="115">
        <v>2022</v>
      </c>
      <c r="W43" s="115">
        <v>2023</v>
      </c>
      <c r="X43" s="115">
        <v>2024</v>
      </c>
      <c r="Y43" s="122" t="s">
        <v>2779</v>
      </c>
    </row>
    <row r="44" spans="1:25" x14ac:dyDescent="0.25">
      <c r="A44" s="114" t="s">
        <v>89</v>
      </c>
      <c r="B44" s="184">
        <v>0</v>
      </c>
      <c r="C44" s="185">
        <v>0</v>
      </c>
      <c r="D44" s="185">
        <v>0</v>
      </c>
      <c r="E44" s="185">
        <v>0</v>
      </c>
      <c r="F44" s="185">
        <v>0</v>
      </c>
      <c r="G44" s="185">
        <v>0</v>
      </c>
      <c r="H44" s="185">
        <v>0</v>
      </c>
      <c r="I44" s="185">
        <v>1</v>
      </c>
      <c r="J44" s="185">
        <v>0</v>
      </c>
      <c r="K44" s="185">
        <v>0</v>
      </c>
      <c r="L44" s="185">
        <v>0</v>
      </c>
      <c r="M44" s="185">
        <v>0</v>
      </c>
      <c r="N44" s="185">
        <v>4</v>
      </c>
      <c r="O44" s="185">
        <v>0</v>
      </c>
      <c r="P44" s="185">
        <v>1</v>
      </c>
      <c r="Q44" s="185">
        <v>1</v>
      </c>
      <c r="R44" s="185">
        <v>6</v>
      </c>
      <c r="S44" s="185">
        <v>2</v>
      </c>
      <c r="T44" s="185">
        <v>0</v>
      </c>
      <c r="U44" s="185">
        <v>0</v>
      </c>
      <c r="V44" s="185">
        <v>0</v>
      </c>
      <c r="W44" s="185">
        <v>2</v>
      </c>
      <c r="X44" s="185">
        <v>5</v>
      </c>
      <c r="Y44" s="199">
        <v>22</v>
      </c>
    </row>
    <row r="45" spans="1:25" x14ac:dyDescent="0.25">
      <c r="A45" s="117" t="s">
        <v>77</v>
      </c>
      <c r="B45" s="187">
        <v>1</v>
      </c>
      <c r="C45" s="188">
        <v>1</v>
      </c>
      <c r="D45" s="188">
        <v>0</v>
      </c>
      <c r="E45" s="188">
        <v>0</v>
      </c>
      <c r="F45" s="188">
        <v>3</v>
      </c>
      <c r="G45" s="188">
        <v>2</v>
      </c>
      <c r="H45" s="188">
        <v>0</v>
      </c>
      <c r="I45" s="188">
        <v>0</v>
      </c>
      <c r="J45" s="188">
        <v>1</v>
      </c>
      <c r="K45" s="188">
        <v>1</v>
      </c>
      <c r="L45" s="188">
        <v>1</v>
      </c>
      <c r="M45" s="188">
        <v>1</v>
      </c>
      <c r="N45" s="188">
        <v>1</v>
      </c>
      <c r="O45" s="188">
        <v>3</v>
      </c>
      <c r="P45" s="188">
        <v>3</v>
      </c>
      <c r="Q45" s="188">
        <v>0</v>
      </c>
      <c r="R45" s="188">
        <v>2</v>
      </c>
      <c r="S45" s="188">
        <v>4</v>
      </c>
      <c r="T45" s="188">
        <v>0</v>
      </c>
      <c r="U45" s="188">
        <v>0</v>
      </c>
      <c r="V45" s="188">
        <v>0</v>
      </c>
      <c r="W45" s="188">
        <v>0</v>
      </c>
      <c r="X45" s="188">
        <v>0</v>
      </c>
      <c r="Y45" s="200">
        <v>24</v>
      </c>
    </row>
    <row r="46" spans="1:25" x14ac:dyDescent="0.25">
      <c r="A46" s="117" t="s">
        <v>103</v>
      </c>
      <c r="B46" s="187">
        <v>0</v>
      </c>
      <c r="C46" s="188">
        <v>0</v>
      </c>
      <c r="D46" s="188">
        <v>2</v>
      </c>
      <c r="E46" s="188">
        <v>0</v>
      </c>
      <c r="F46" s="188">
        <v>0</v>
      </c>
      <c r="G46" s="188">
        <v>0</v>
      </c>
      <c r="H46" s="188">
        <v>0</v>
      </c>
      <c r="I46" s="188">
        <v>1</v>
      </c>
      <c r="J46" s="188">
        <v>4</v>
      </c>
      <c r="K46" s="188">
        <v>1</v>
      </c>
      <c r="L46" s="188">
        <v>2</v>
      </c>
      <c r="M46" s="188">
        <v>0</v>
      </c>
      <c r="N46" s="188">
        <v>1</v>
      </c>
      <c r="O46" s="188">
        <v>11</v>
      </c>
      <c r="P46" s="188">
        <v>3</v>
      </c>
      <c r="Q46" s="188">
        <v>7</v>
      </c>
      <c r="R46" s="188">
        <v>5</v>
      </c>
      <c r="S46" s="188">
        <v>1</v>
      </c>
      <c r="T46" s="188">
        <v>0</v>
      </c>
      <c r="U46" s="188">
        <v>1</v>
      </c>
      <c r="V46" s="188">
        <v>1</v>
      </c>
      <c r="W46" s="188">
        <v>0</v>
      </c>
      <c r="X46" s="188">
        <v>1</v>
      </c>
      <c r="Y46" s="200">
        <v>41</v>
      </c>
    </row>
    <row r="47" spans="1:25" x14ac:dyDescent="0.25">
      <c r="A47" s="117" t="s">
        <v>116</v>
      </c>
      <c r="B47" s="187">
        <v>0</v>
      </c>
      <c r="C47" s="188">
        <v>0</v>
      </c>
      <c r="D47" s="188">
        <v>0</v>
      </c>
      <c r="E47" s="188">
        <v>0</v>
      </c>
      <c r="F47" s="188">
        <v>0</v>
      </c>
      <c r="G47" s="188">
        <v>0</v>
      </c>
      <c r="H47" s="188">
        <v>0</v>
      </c>
      <c r="I47" s="188">
        <v>0</v>
      </c>
      <c r="J47" s="188">
        <v>0</v>
      </c>
      <c r="K47" s="188">
        <v>0</v>
      </c>
      <c r="L47" s="188">
        <v>1</v>
      </c>
      <c r="M47" s="188">
        <v>0</v>
      </c>
      <c r="N47" s="188">
        <v>0</v>
      </c>
      <c r="O47" s="188">
        <v>1</v>
      </c>
      <c r="P47" s="188">
        <v>1</v>
      </c>
      <c r="Q47" s="188">
        <v>5</v>
      </c>
      <c r="R47" s="188">
        <v>1</v>
      </c>
      <c r="S47" s="188">
        <v>4</v>
      </c>
      <c r="T47" s="188">
        <v>0</v>
      </c>
      <c r="U47" s="188">
        <v>0</v>
      </c>
      <c r="V47" s="188">
        <v>1</v>
      </c>
      <c r="W47" s="188">
        <v>3</v>
      </c>
      <c r="X47" s="188">
        <v>2</v>
      </c>
      <c r="Y47" s="200">
        <v>19</v>
      </c>
    </row>
    <row r="48" spans="1:25" x14ac:dyDescent="0.25">
      <c r="A48" s="117" t="s">
        <v>44</v>
      </c>
      <c r="B48" s="187">
        <v>0</v>
      </c>
      <c r="C48" s="188">
        <v>0</v>
      </c>
      <c r="D48" s="188">
        <v>0</v>
      </c>
      <c r="E48" s="188">
        <v>1</v>
      </c>
      <c r="F48" s="188">
        <v>1</v>
      </c>
      <c r="G48" s="188">
        <v>0</v>
      </c>
      <c r="H48" s="188">
        <v>0</v>
      </c>
      <c r="I48" s="188">
        <v>0</v>
      </c>
      <c r="J48" s="188">
        <v>0</v>
      </c>
      <c r="K48" s="188">
        <v>0</v>
      </c>
      <c r="L48" s="188">
        <v>1</v>
      </c>
      <c r="M48" s="188">
        <v>2</v>
      </c>
      <c r="N48" s="188">
        <v>2</v>
      </c>
      <c r="O48" s="188">
        <v>4</v>
      </c>
      <c r="P48" s="188">
        <v>2</v>
      </c>
      <c r="Q48" s="188">
        <v>3</v>
      </c>
      <c r="R48" s="188">
        <v>1</v>
      </c>
      <c r="S48" s="188">
        <v>1</v>
      </c>
      <c r="T48" s="188">
        <v>1</v>
      </c>
      <c r="U48" s="188">
        <v>0</v>
      </c>
      <c r="V48" s="188">
        <v>0</v>
      </c>
      <c r="W48" s="188">
        <v>0</v>
      </c>
      <c r="X48" s="188">
        <v>0</v>
      </c>
      <c r="Y48" s="200">
        <v>19</v>
      </c>
    </row>
    <row r="49" spans="1:25" x14ac:dyDescent="0.25">
      <c r="A49" s="117" t="s">
        <v>62</v>
      </c>
      <c r="B49" s="187">
        <v>0</v>
      </c>
      <c r="C49" s="188">
        <v>0</v>
      </c>
      <c r="D49" s="188">
        <v>0</v>
      </c>
      <c r="E49" s="188">
        <v>0</v>
      </c>
      <c r="F49" s="188">
        <v>0</v>
      </c>
      <c r="G49" s="188">
        <v>1</v>
      </c>
      <c r="H49" s="188">
        <v>0</v>
      </c>
      <c r="I49" s="188">
        <v>1</v>
      </c>
      <c r="J49" s="188">
        <v>0</v>
      </c>
      <c r="K49" s="188">
        <v>0</v>
      </c>
      <c r="L49" s="188">
        <v>0</v>
      </c>
      <c r="M49" s="188">
        <v>1</v>
      </c>
      <c r="N49" s="188">
        <v>1</v>
      </c>
      <c r="O49" s="188">
        <v>6</v>
      </c>
      <c r="P49" s="188">
        <v>0</v>
      </c>
      <c r="Q49" s="188">
        <v>2</v>
      </c>
      <c r="R49" s="188">
        <v>2</v>
      </c>
      <c r="S49" s="188">
        <v>2</v>
      </c>
      <c r="T49" s="188">
        <v>0</v>
      </c>
      <c r="U49" s="188">
        <v>0</v>
      </c>
      <c r="V49" s="188">
        <v>0</v>
      </c>
      <c r="W49" s="188">
        <v>2</v>
      </c>
      <c r="X49" s="188">
        <v>1</v>
      </c>
      <c r="Y49" s="200">
        <v>19</v>
      </c>
    </row>
    <row r="50" spans="1:25" x14ac:dyDescent="0.25">
      <c r="A50" s="117" t="s">
        <v>71</v>
      </c>
      <c r="B50" s="187">
        <v>0</v>
      </c>
      <c r="C50" s="188">
        <v>0</v>
      </c>
      <c r="D50" s="188">
        <v>1</v>
      </c>
      <c r="E50" s="188">
        <v>0</v>
      </c>
      <c r="F50" s="188">
        <v>0</v>
      </c>
      <c r="G50" s="188">
        <v>1</v>
      </c>
      <c r="H50" s="188">
        <v>0</v>
      </c>
      <c r="I50" s="188">
        <v>0</v>
      </c>
      <c r="J50" s="188">
        <v>1</v>
      </c>
      <c r="K50" s="188">
        <v>1</v>
      </c>
      <c r="L50" s="188">
        <v>1</v>
      </c>
      <c r="M50" s="188">
        <v>1</v>
      </c>
      <c r="N50" s="188">
        <v>2</v>
      </c>
      <c r="O50" s="188">
        <v>4</v>
      </c>
      <c r="P50" s="188">
        <v>4</v>
      </c>
      <c r="Q50" s="188">
        <v>5</v>
      </c>
      <c r="R50" s="188">
        <v>4</v>
      </c>
      <c r="S50" s="188">
        <v>2</v>
      </c>
      <c r="T50" s="188">
        <v>0</v>
      </c>
      <c r="U50" s="188">
        <v>0</v>
      </c>
      <c r="V50" s="188">
        <v>0</v>
      </c>
      <c r="W50" s="188">
        <v>0</v>
      </c>
      <c r="X50" s="188">
        <v>0</v>
      </c>
      <c r="Y50" s="200">
        <v>27</v>
      </c>
    </row>
    <row r="51" spans="1:25" x14ac:dyDescent="0.25">
      <c r="A51" s="117" t="s">
        <v>54</v>
      </c>
      <c r="B51" s="187">
        <v>0</v>
      </c>
      <c r="C51" s="188">
        <v>0</v>
      </c>
      <c r="D51" s="188">
        <v>0</v>
      </c>
      <c r="E51" s="188">
        <v>1</v>
      </c>
      <c r="F51" s="188">
        <v>0</v>
      </c>
      <c r="G51" s="188">
        <v>1</v>
      </c>
      <c r="H51" s="188">
        <v>0</v>
      </c>
      <c r="I51" s="188">
        <v>3</v>
      </c>
      <c r="J51" s="188">
        <v>0</v>
      </c>
      <c r="K51" s="188">
        <v>0</v>
      </c>
      <c r="L51" s="188">
        <v>1</v>
      </c>
      <c r="M51" s="188">
        <v>5</v>
      </c>
      <c r="N51" s="188">
        <v>5</v>
      </c>
      <c r="O51" s="188">
        <v>3</v>
      </c>
      <c r="P51" s="188">
        <v>4</v>
      </c>
      <c r="Q51" s="188">
        <v>5</v>
      </c>
      <c r="R51" s="188">
        <v>2</v>
      </c>
      <c r="S51" s="188">
        <v>6</v>
      </c>
      <c r="T51" s="188">
        <v>3</v>
      </c>
      <c r="U51" s="188">
        <v>5</v>
      </c>
      <c r="V51" s="188">
        <v>5</v>
      </c>
      <c r="W51" s="188">
        <v>3</v>
      </c>
      <c r="X51" s="188">
        <v>7</v>
      </c>
      <c r="Y51" s="200">
        <v>59</v>
      </c>
    </row>
    <row r="52" spans="1:25" x14ac:dyDescent="0.25">
      <c r="A52" s="117" t="s">
        <v>198</v>
      </c>
      <c r="B52" s="187">
        <v>0</v>
      </c>
      <c r="C52" s="188">
        <v>0</v>
      </c>
      <c r="D52" s="188">
        <v>0</v>
      </c>
      <c r="E52" s="188">
        <v>0</v>
      </c>
      <c r="F52" s="188">
        <v>0</v>
      </c>
      <c r="G52" s="188">
        <v>0</v>
      </c>
      <c r="H52" s="188">
        <v>0</v>
      </c>
      <c r="I52" s="188">
        <v>0</v>
      </c>
      <c r="J52" s="188">
        <v>1</v>
      </c>
      <c r="K52" s="188">
        <v>1</v>
      </c>
      <c r="L52" s="188">
        <v>1</v>
      </c>
      <c r="M52" s="188">
        <v>0</v>
      </c>
      <c r="N52" s="188">
        <v>0</v>
      </c>
      <c r="O52" s="188">
        <v>0</v>
      </c>
      <c r="P52" s="188">
        <v>1</v>
      </c>
      <c r="Q52" s="188">
        <v>0</v>
      </c>
      <c r="R52" s="188">
        <v>1</v>
      </c>
      <c r="S52" s="188">
        <v>0</v>
      </c>
      <c r="T52" s="188">
        <v>0</v>
      </c>
      <c r="U52" s="188">
        <v>0</v>
      </c>
      <c r="V52" s="188">
        <v>0</v>
      </c>
      <c r="W52" s="188">
        <v>0</v>
      </c>
      <c r="X52" s="188">
        <v>1</v>
      </c>
      <c r="Y52" s="200">
        <v>6</v>
      </c>
    </row>
    <row r="53" spans="1:25" x14ac:dyDescent="0.25">
      <c r="A53" s="117" t="s">
        <v>27</v>
      </c>
      <c r="B53" s="187">
        <v>0</v>
      </c>
      <c r="C53" s="188">
        <v>2</v>
      </c>
      <c r="D53" s="188">
        <v>1</v>
      </c>
      <c r="E53" s="188">
        <v>2</v>
      </c>
      <c r="F53" s="188">
        <v>1</v>
      </c>
      <c r="G53" s="188">
        <v>2</v>
      </c>
      <c r="H53" s="188">
        <v>1</v>
      </c>
      <c r="I53" s="188">
        <v>2</v>
      </c>
      <c r="J53" s="188">
        <v>2</v>
      </c>
      <c r="K53" s="188">
        <v>4</v>
      </c>
      <c r="L53" s="188">
        <v>2</v>
      </c>
      <c r="M53" s="188">
        <v>2</v>
      </c>
      <c r="N53" s="188">
        <v>3</v>
      </c>
      <c r="O53" s="188">
        <v>7</v>
      </c>
      <c r="P53" s="188">
        <v>10</v>
      </c>
      <c r="Q53" s="188">
        <v>13</v>
      </c>
      <c r="R53" s="188">
        <v>6</v>
      </c>
      <c r="S53" s="188">
        <v>7</v>
      </c>
      <c r="T53" s="188">
        <v>3</v>
      </c>
      <c r="U53" s="188">
        <v>3</v>
      </c>
      <c r="V53" s="188">
        <v>1</v>
      </c>
      <c r="W53" s="188">
        <v>4</v>
      </c>
      <c r="X53" s="188">
        <v>3</v>
      </c>
      <c r="Y53" s="200">
        <v>81</v>
      </c>
    </row>
    <row r="54" spans="1:25" x14ac:dyDescent="0.25">
      <c r="A54" s="117" t="s">
        <v>36</v>
      </c>
      <c r="B54" s="187">
        <v>0</v>
      </c>
      <c r="C54" s="188">
        <v>0</v>
      </c>
      <c r="D54" s="188">
        <v>0</v>
      </c>
      <c r="E54" s="188">
        <v>1</v>
      </c>
      <c r="F54" s="188">
        <v>0</v>
      </c>
      <c r="G54" s="188">
        <v>1</v>
      </c>
      <c r="H54" s="188">
        <v>1</v>
      </c>
      <c r="I54" s="188">
        <v>1</v>
      </c>
      <c r="J54" s="188">
        <v>4</v>
      </c>
      <c r="K54" s="188">
        <v>2</v>
      </c>
      <c r="L54" s="188">
        <v>2</v>
      </c>
      <c r="M54" s="188">
        <v>3</v>
      </c>
      <c r="N54" s="188">
        <v>7</v>
      </c>
      <c r="O54" s="188">
        <v>5</v>
      </c>
      <c r="P54" s="188">
        <v>9</v>
      </c>
      <c r="Q54" s="188">
        <v>9</v>
      </c>
      <c r="R54" s="188">
        <v>9</v>
      </c>
      <c r="S54" s="188">
        <v>13</v>
      </c>
      <c r="T54" s="188">
        <v>2</v>
      </c>
      <c r="U54" s="188">
        <v>5</v>
      </c>
      <c r="V54" s="188">
        <v>2</v>
      </c>
      <c r="W54" s="188">
        <v>10</v>
      </c>
      <c r="X54" s="188">
        <v>9</v>
      </c>
      <c r="Y54" s="200">
        <v>95</v>
      </c>
    </row>
    <row r="55" spans="1:25" x14ac:dyDescent="0.25">
      <c r="A55" s="121" t="s">
        <v>2779</v>
      </c>
      <c r="B55" s="196">
        <v>1</v>
      </c>
      <c r="C55" s="197">
        <v>3</v>
      </c>
      <c r="D55" s="197">
        <v>4</v>
      </c>
      <c r="E55" s="197">
        <v>5</v>
      </c>
      <c r="F55" s="197">
        <v>5</v>
      </c>
      <c r="G55" s="197">
        <v>8</v>
      </c>
      <c r="H55" s="197">
        <v>2</v>
      </c>
      <c r="I55" s="197">
        <v>9</v>
      </c>
      <c r="J55" s="197">
        <v>13</v>
      </c>
      <c r="K55" s="197">
        <v>10</v>
      </c>
      <c r="L55" s="197">
        <v>12</v>
      </c>
      <c r="M55" s="197">
        <v>15</v>
      </c>
      <c r="N55" s="197">
        <v>26</v>
      </c>
      <c r="O55" s="197">
        <v>44</v>
      </c>
      <c r="P55" s="197">
        <v>38</v>
      </c>
      <c r="Q55" s="197">
        <v>50</v>
      </c>
      <c r="R55" s="197">
        <v>39</v>
      </c>
      <c r="S55" s="197">
        <v>42</v>
      </c>
      <c r="T55" s="197">
        <v>9</v>
      </c>
      <c r="U55" s="197">
        <v>14</v>
      </c>
      <c r="V55" s="197">
        <v>10</v>
      </c>
      <c r="W55" s="197">
        <v>24</v>
      </c>
      <c r="X55" s="197">
        <v>29</v>
      </c>
      <c r="Y55" s="198">
        <v>412</v>
      </c>
    </row>
    <row r="56" spans="1:25" x14ac:dyDescent="0.25">
      <c r="N56" s="2"/>
    </row>
    <row r="57" spans="1:25" x14ac:dyDescent="0.25">
      <c r="N57" s="2"/>
    </row>
    <row r="58" spans="1:25" x14ac:dyDescent="0.25">
      <c r="A58" s="64" t="s">
        <v>2</v>
      </c>
      <c r="B58" s="64">
        <v>2002</v>
      </c>
      <c r="C58" s="65">
        <v>2003</v>
      </c>
      <c r="D58" s="65">
        <v>2004</v>
      </c>
      <c r="E58" s="65">
        <v>2005</v>
      </c>
      <c r="F58" s="65">
        <v>2006</v>
      </c>
      <c r="G58" s="65">
        <v>2007</v>
      </c>
      <c r="H58" s="65">
        <v>2008</v>
      </c>
      <c r="I58" s="65">
        <v>2009</v>
      </c>
      <c r="J58" s="65">
        <v>2010</v>
      </c>
      <c r="K58" s="65">
        <v>2011</v>
      </c>
      <c r="L58" s="65">
        <v>2012</v>
      </c>
      <c r="M58" s="65">
        <v>2013</v>
      </c>
      <c r="N58" s="65">
        <v>2014</v>
      </c>
      <c r="O58" s="65">
        <v>2015</v>
      </c>
      <c r="P58" s="65">
        <v>2016</v>
      </c>
      <c r="Q58" s="65">
        <v>2017</v>
      </c>
      <c r="R58" s="65">
        <v>2018</v>
      </c>
      <c r="S58" s="65">
        <v>2019</v>
      </c>
      <c r="T58" s="65">
        <v>2020</v>
      </c>
      <c r="U58" s="65">
        <v>2021</v>
      </c>
      <c r="V58" s="65">
        <v>2022</v>
      </c>
      <c r="W58" s="65">
        <v>2023</v>
      </c>
      <c r="X58" s="65">
        <v>2024</v>
      </c>
      <c r="Y58" s="74" t="s">
        <v>2779</v>
      </c>
    </row>
    <row r="59" spans="1:25" x14ac:dyDescent="0.25">
      <c r="A59" s="64" t="s">
        <v>89</v>
      </c>
      <c r="B59" s="64">
        <f>GETPIVOTDATA("Activity Category",$A$42,"Geographic Region","Africa","Year",2002)</f>
        <v>0</v>
      </c>
      <c r="C59" s="64">
        <f>GETPIVOTDATA("Activity Category",$A$42,"Geographic Region","Africa","Year",2003)</f>
        <v>0</v>
      </c>
      <c r="D59" s="64">
        <f>GETPIVOTDATA("Activity Category",$A$42,"Geographic Region","Africa","Year",2004)</f>
        <v>0</v>
      </c>
      <c r="E59" s="64">
        <f>GETPIVOTDATA("Activity Category",$A$42,"Geographic Region","Africa","Year",2005)</f>
        <v>0</v>
      </c>
      <c r="F59" s="64">
        <f>GETPIVOTDATA("Activity Category",$A$42,"Geographic Region","Africa","Year",2006)</f>
        <v>0</v>
      </c>
      <c r="G59" s="64">
        <f>GETPIVOTDATA("Activity Category",$A$42,"Geographic Region","Africa","Year",2007)</f>
        <v>0</v>
      </c>
      <c r="H59" s="64">
        <f>GETPIVOTDATA("Activity Category",$A$42,"Geographic Region","Africa","Year",2008)</f>
        <v>0</v>
      </c>
      <c r="I59" s="64">
        <f>GETPIVOTDATA("Activity Category",$A$42,"Geographic Region","Africa","Year",2009)</f>
        <v>1</v>
      </c>
      <c r="J59" s="64">
        <f>GETPIVOTDATA("Activity Category",$A$42,"Geographic Region","Africa","Year",2010)</f>
        <v>0</v>
      </c>
      <c r="K59" s="64">
        <f>GETPIVOTDATA("Activity Category",$A$42,"Geographic Region","Africa","Year",2011)</f>
        <v>0</v>
      </c>
      <c r="L59" s="64">
        <f>GETPIVOTDATA("Activity Category",$A$42,"Geographic Region","Africa","Year",2012)</f>
        <v>0</v>
      </c>
      <c r="M59" s="64">
        <f>GETPIVOTDATA("Activity Category",$A$42,"Geographic Region","Africa","Year",2013)</f>
        <v>0</v>
      </c>
      <c r="N59" s="64">
        <f>GETPIVOTDATA("Activity Category",$A$42,"Geographic Region","Africa","Year",2014)</f>
        <v>4</v>
      </c>
      <c r="O59" s="64">
        <f>GETPIVOTDATA("Activity Category",$A$42,"Geographic Region","Africa","Year",2015)</f>
        <v>0</v>
      </c>
      <c r="P59" s="64">
        <f>GETPIVOTDATA("Activity Category",$A$42,"Geographic Region","Africa","Year",2016)</f>
        <v>1</v>
      </c>
      <c r="Q59" s="64">
        <f>GETPIVOTDATA("Activity Category",$A$42,"Geographic Region","Africa","Year",2017)</f>
        <v>1</v>
      </c>
      <c r="R59" s="64">
        <f>GETPIVOTDATA("Activity Category",$A$42,"Geographic Region","Africa","Year",2018)</f>
        <v>6</v>
      </c>
      <c r="S59" s="64">
        <f>GETPIVOTDATA("Activity Category",$A$42,"Geographic Region","Africa","Year",2019)</f>
        <v>2</v>
      </c>
      <c r="T59" s="64">
        <f>GETPIVOTDATA("Activity Category",$A$42,"Geographic Region","Africa","Year",2020)</f>
        <v>0</v>
      </c>
      <c r="U59" s="64">
        <f>GETPIVOTDATA("Activity Category",$A$42,"Geographic Region","Africa","Year",2021)</f>
        <v>0</v>
      </c>
      <c r="V59" s="64">
        <f>GETPIVOTDATA("Activity Category",$A$42,"Geographic Region","Africa","Year",2022)</f>
        <v>0</v>
      </c>
      <c r="W59" s="64">
        <f>GETPIVOTDATA("Activity Category",$A$42,"Geographic Region","Africa","Year",2023)</f>
        <v>2</v>
      </c>
      <c r="X59" s="64">
        <f>GETPIVOTDATA("Activity Category",$A$42,"Geographic Region","Africa","Year",2024)</f>
        <v>5</v>
      </c>
      <c r="Y59" s="74">
        <f t="shared" ref="Y59:Y66" si="1">SUM(B59:X59)</f>
        <v>22</v>
      </c>
    </row>
    <row r="60" spans="1:25" x14ac:dyDescent="0.25">
      <c r="A60" s="67" t="s">
        <v>28</v>
      </c>
      <c r="B60" s="67">
        <f>GETPIVOTDATA("Activity Category",$A$42,"Geographic Region","Central Asia","Year",2002)+GETPIVOTDATA("Activity Category",$A$42,"Geographic Region","Northeast Asia","Year",2002)+GETPIVOTDATA("Activity Category",$A$42,"Geographic Region","South Asia","Year",2002)+GETPIVOTDATA("Activity Category",$A$42,"Geographic Region","Southeast Asia","Year",2002)</f>
        <v>1</v>
      </c>
      <c r="C60" s="67">
        <f>GETPIVOTDATA("Activity Category",$A$42,"Geographic Region","Central Asia","Year",2003)+GETPIVOTDATA("Activity Category",$A$42,"Geographic Region","Northeast Asia","Year",2003)+GETPIVOTDATA("Activity Category",$A$42,"Geographic Region","South Asia","Year",2003)+GETPIVOTDATA("Activity Category",$A$42,"Geographic Region","Southeast Asia","Year",2003)</f>
        <v>3</v>
      </c>
      <c r="D60" s="67">
        <f>GETPIVOTDATA("Activity Category",$A$42,"Geographic Region","Central Asia","Year",2004)+GETPIVOTDATA("Activity Category",$A$42,"Geographic Region","Northeast Asia","Year",2004)+GETPIVOTDATA("Activity Category",$A$42,"Geographic Region","South Asia","Year",2004)+GETPIVOTDATA("Activity Category",$A$42,"Geographic Region","Southeast Asia","Year",2004)</f>
        <v>1</v>
      </c>
      <c r="E60" s="67">
        <f>GETPIVOTDATA("Activity Category",$A$42,"Geographic Region","Central Asia","Year",2005)+GETPIVOTDATA("Activity Category",$A$42,"Geographic Region","Northeast Asia","Year",2005)+GETPIVOTDATA("Activity Category",$A$42,"Geographic Region","South Asia","Year",2005)+GETPIVOTDATA("Activity Category",$A$42,"Geographic Region","Southeast Asia","Year",2005)</f>
        <v>3</v>
      </c>
      <c r="F60" s="67">
        <f>GETPIVOTDATA("Activity Category",$A$42,"Geographic Region","Central Asia","Year",2006)+GETPIVOTDATA("Activity Category",$A$42,"Geographic Region","Northeast Asia","Year",2006)+GETPIVOTDATA("Activity Category",$A$42,"Geographic Region","South Asia","Year",2006)+GETPIVOTDATA("Activity Category",$A$42,"Geographic Region","Southeast Asia","Year",2006)</f>
        <v>4</v>
      </c>
      <c r="G60" s="67">
        <f>GETPIVOTDATA("Activity Category",$A$42,"Geographic Region","Central Asia","Year",2007)+GETPIVOTDATA("Activity Category",$A$42,"Geographic Region","Northeast Asia","Year",2007)+GETPIVOTDATA("Activity Category",$A$42,"Geographic Region","South Asia","Year",2007)+GETPIVOTDATA("Activity Category",$A$42,"Geographic Region","Southeast Asia","Year",2007)</f>
        <v>6</v>
      </c>
      <c r="H60" s="67">
        <f>GETPIVOTDATA("Activity Category",$A$42,"Geographic Region","Central Asia","Year",2008)+GETPIVOTDATA("Activity Category",$A$42,"Geographic Region","Northeast Asia","Year",2008)+GETPIVOTDATA("Activity Category",$A$42,"Geographic Region","South Asia","Year",2008)+GETPIVOTDATA("Activity Category",$A$42,"Geographic Region","Southeast Asia","Year",2008)</f>
        <v>2</v>
      </c>
      <c r="I60" s="67">
        <f>GETPIVOTDATA("Activity Category",$A$42,"Geographic Region","Central Asia","Year",2009)+GETPIVOTDATA("Activity Category",$A$42,"Geographic Region","Northeast Asia","Year",2009)+GETPIVOTDATA("Activity Category",$A$42,"Geographic Region","South Asia","Year",2009)+GETPIVOTDATA("Activity Category",$A$42,"Geographic Region","Southeast Asia","Year",2009)</f>
        <v>4</v>
      </c>
      <c r="J60" s="67">
        <f>GETPIVOTDATA("Activity Category",$A$42,"Geographic Region","Central Asia","Year",2010)+GETPIVOTDATA("Activity Category",$A$42,"Geographic Region","Northeast Asia","Year",2010)+GETPIVOTDATA("Activity Category",$A$42,"Geographic Region","South Asia","Year",2010)+GETPIVOTDATA("Activity Category",$A$42,"Geographic Region","Southeast Asia","Year",2010)</f>
        <v>7</v>
      </c>
      <c r="K60" s="67">
        <f>GETPIVOTDATA("Activity Category",$A$42,"Geographic Region","Central Asia","Year",2011)+GETPIVOTDATA("Activity Category",$A$42,"Geographic Region","Northeast Asia","Year",2011)+GETPIVOTDATA("Activity Category",$A$42,"Geographic Region","South Asia","Year",2011)+GETPIVOTDATA("Activity Category",$A$42,"Geographic Region","Southeast Asia","Year",2011)</f>
        <v>7</v>
      </c>
      <c r="L60" s="67">
        <f>GETPIVOTDATA("Activity Category",$A$42,"Geographic Region","Central Asia","Year",2012)+GETPIVOTDATA("Activity Category",$A$42,"Geographic Region","Northeast Asia","Year",2012)+GETPIVOTDATA("Activity Category",$A$42,"Geographic Region","South Asia","Year",2012)+GETPIVOTDATA("Activity Category",$A$42,"Geographic Region","Southeast Asia","Year",2012)</f>
        <v>5</v>
      </c>
      <c r="M60" s="67">
        <f>GETPIVOTDATA("Activity Category",$A$42,"Geographic Region","Central Asia","Year",2013)+GETPIVOTDATA("Activity Category",$A$42,"Geographic Region","Northeast Asia","Year",2013)+GETPIVOTDATA("Activity Category",$A$42,"Geographic Region","South Asia","Year",2013)+GETPIVOTDATA("Activity Category",$A$42,"Geographic Region","Southeast Asia","Year",2013)</f>
        <v>7</v>
      </c>
      <c r="N60" s="67">
        <f>GETPIVOTDATA("Activity Category",$A$42,"Geographic Region","Central Asia","Year",2014)+GETPIVOTDATA("Activity Category",$A$42,"Geographic Region","Northeast Asia","Year",2014)+GETPIVOTDATA("Activity Category",$A$42,"Geographic Region","South Asia","Year",2014)+GETPIVOTDATA("Activity Category",$A$42,"Geographic Region","Southeast Asia","Year",2014)</f>
        <v>12</v>
      </c>
      <c r="O60" s="67">
        <f>GETPIVOTDATA("Activity Category",$A$42,"Geographic Region","Central Asia","Year",2015)+GETPIVOTDATA("Activity Category",$A$42,"Geographic Region","Northeast Asia","Year",2015)+GETPIVOTDATA("Activity Category",$A$42,"Geographic Region","South Asia","Year",2015)+GETPIVOTDATA("Activity Category",$A$42,"Geographic Region","Southeast Asia","Year",2015)</f>
        <v>21</v>
      </c>
      <c r="P60" s="67">
        <f>GETPIVOTDATA("Activity Category",$A$42,"Geographic Region","Central Asia","Year",2016)+GETPIVOTDATA("Activity Category",$A$42,"Geographic Region","Northeast Asia","Year",2016)+GETPIVOTDATA("Activity Category",$A$42,"Geographic Region","South Asia","Year",2016)+GETPIVOTDATA("Activity Category",$A$42,"Geographic Region","Southeast Asia","Year",2016)</f>
        <v>22</v>
      </c>
      <c r="Q60" s="67">
        <f>GETPIVOTDATA("Activity Category",$A$42,"Geographic Region","Central Asia","Year",2017)+GETPIVOTDATA("Activity Category",$A$42,"Geographic Region","Northeast Asia","Year",2017)+GETPIVOTDATA("Activity Category",$A$42,"Geographic Region","South Asia","Year",2017)+GETPIVOTDATA("Activity Category",$A$42,"Geographic Region","Southeast Asia","Year",2017)</f>
        <v>24</v>
      </c>
      <c r="R60" s="67">
        <f>GETPIVOTDATA("Activity Category",$A$42,"Geographic Region","Central Asia","Year",2018)+GETPIVOTDATA("Activity Category",$A$42,"Geographic Region","Northeast Asia","Year",2018)+GETPIVOTDATA("Activity Category",$A$42,"Geographic Region","South Asia","Year",2018)+GETPIVOTDATA("Activity Category",$A$42,"Geographic Region","Southeast Asia","Year",2018)</f>
        <v>19</v>
      </c>
      <c r="S60" s="67">
        <f>GETPIVOTDATA("Activity Category",$A$42,"Geographic Region","Central Asia","Year",2019)+GETPIVOTDATA("Activity Category",$A$42,"Geographic Region","Northeast Asia","Year",2019)+GETPIVOTDATA("Activity Category",$A$42,"Geographic Region","South Asia","Year",2019)+GETPIVOTDATA("Activity Category",$A$42,"Geographic Region","Southeast Asia","Year",2019)</f>
        <v>26</v>
      </c>
      <c r="T60" s="67">
        <f>GETPIVOTDATA("Activity Category",$A$42,"Geographic Region","Central Asia","Year",2020)+GETPIVOTDATA("Activity Category",$A$42,"Geographic Region","Northeast Asia","Year",2020)+GETPIVOTDATA("Activity Category",$A$42,"Geographic Region","South Asia","Year",2020)+GETPIVOTDATA("Activity Category",$A$42,"Geographic Region","Southeast Asia","Year",2020)</f>
        <v>5</v>
      </c>
      <c r="U60" s="67">
        <f>GETPIVOTDATA("Activity Category",$A$42,"Geographic Region","Central Asia","Year",2021)+GETPIVOTDATA("Activity Category",$A$42,"Geographic Region","Northeast Asia","Year",2021)+GETPIVOTDATA("Activity Category",$A$42,"Geographic Region","South Asia","Year",2021)+GETPIVOTDATA("Activity Category",$A$42,"Geographic Region","Southeast Asia","Year",2021)</f>
        <v>8</v>
      </c>
      <c r="V60" s="67">
        <f>GETPIVOTDATA("Activity Category",$A$42,"Geographic Region","Central Asia","Year",2022)+GETPIVOTDATA("Activity Category",$A$42,"Geographic Region","Northeast Asia","Year",2022)+GETPIVOTDATA("Activity Category",$A$42,"Geographic Region","South Asia","Year",2022)+GETPIVOTDATA("Activity Category",$A$42,"Geographic Region","Southeast Asia","Year",2022)</f>
        <v>3</v>
      </c>
      <c r="W60" s="67">
        <f>GETPIVOTDATA("Activity Category",$A$42,"Geographic Region","Central Asia","Year",2023)+GETPIVOTDATA("Activity Category",$A$42,"Geographic Region","Northeast Asia","Year",2023)+GETPIVOTDATA("Activity Category",$A$42,"Geographic Region","South Asia","Year",2023)+GETPIVOTDATA("Activity Category",$A$42,"Geographic Region","Southeast Asia","Year",2023)</f>
        <v>16</v>
      </c>
      <c r="X60" s="67">
        <f>GETPIVOTDATA("Activity Category",$A$42,"Geographic Region","Central Asia","Year",2024)+GETPIVOTDATA("Activity Category",$A$42,"Geographic Region","Northeast Asia","Year",2024)+GETPIVOTDATA("Activity Category",$A$42,"Geographic Region","South Asia","Year",2024)+GETPIVOTDATA("Activity Category",$A$42,"Geographic Region","Southeast Asia","Year",2024)</f>
        <v>13</v>
      </c>
      <c r="Y60" s="74">
        <f t="shared" si="1"/>
        <v>219</v>
      </c>
    </row>
    <row r="61" spans="1:25" x14ac:dyDescent="0.25">
      <c r="A61" s="67" t="s">
        <v>103</v>
      </c>
      <c r="B61" s="67">
        <f>GETPIVOTDATA("Activity Category",$A$42,"Geographic Region","Europe","Year",2002)</f>
        <v>0</v>
      </c>
      <c r="C61" s="67">
        <f>GETPIVOTDATA("Activity Category",$A$42,"Geographic Region","Europe","Year",2003)</f>
        <v>0</v>
      </c>
      <c r="D61" s="67">
        <f>GETPIVOTDATA("Activity Category",$A$42,"Geographic Region","Europe","Year",2004)</f>
        <v>2</v>
      </c>
      <c r="E61" s="67">
        <f>GETPIVOTDATA("Activity Category",$A$42,"Geographic Region","Europe","Year",2005)</f>
        <v>0</v>
      </c>
      <c r="F61" s="67">
        <f>GETPIVOTDATA("Activity Category",$A$42,"Geographic Region","Europe","Year",2006)</f>
        <v>0</v>
      </c>
      <c r="G61" s="67">
        <f>GETPIVOTDATA("Activity Category",$A$42,"Geographic Region","Europe","Year",2007)</f>
        <v>0</v>
      </c>
      <c r="H61" s="67">
        <f>GETPIVOTDATA("Activity Category",$A$42,"Geographic Region","Europe","Year",2008)</f>
        <v>0</v>
      </c>
      <c r="I61" s="67">
        <f>GETPIVOTDATA("Activity Category",$A$42,"Geographic Region","Europe","Year",2009)</f>
        <v>1</v>
      </c>
      <c r="J61" s="67">
        <f>GETPIVOTDATA("Activity Category",$A$42,"Geographic Region","Europe","Year",2010)</f>
        <v>4</v>
      </c>
      <c r="K61" s="67">
        <f>GETPIVOTDATA("Activity Category",$A$42,"Geographic Region","Europe","Year",2011)</f>
        <v>1</v>
      </c>
      <c r="L61" s="67">
        <f>GETPIVOTDATA("Activity Category",$A$42,"Geographic Region","Europe","Year",2012)</f>
        <v>2</v>
      </c>
      <c r="M61" s="67">
        <f>GETPIVOTDATA("Activity Category",$A$42,"Geographic Region","Europe","Year",2013)</f>
        <v>0</v>
      </c>
      <c r="N61" s="67">
        <f>GETPIVOTDATA("Activity Category",$A$42,"Geographic Region","Europe","Year",2014)</f>
        <v>1</v>
      </c>
      <c r="O61" s="67">
        <f>GETPIVOTDATA("Activity Category",$A$42,"Geographic Region","Europe","Year",2015)</f>
        <v>11</v>
      </c>
      <c r="P61" s="67">
        <f>GETPIVOTDATA("Activity Category",$A$42,"Geographic Region","Europe","Year",2016)</f>
        <v>3</v>
      </c>
      <c r="Q61" s="67">
        <f>GETPIVOTDATA("Activity Category",$A$42,"Geographic Region","Europe","Year",2017)</f>
        <v>7</v>
      </c>
      <c r="R61" s="67">
        <f>GETPIVOTDATA("Activity Category",$A$42,"Geographic Region","Europe","Year",2018)</f>
        <v>5</v>
      </c>
      <c r="S61" s="67">
        <f>GETPIVOTDATA("Activity Category",$A$42,"Geographic Region","Europe","Year",2019)</f>
        <v>1</v>
      </c>
      <c r="T61" s="67">
        <f>GETPIVOTDATA("Activity Category",$A$42,"Geographic Region","Europe","Year",2020)</f>
        <v>0</v>
      </c>
      <c r="U61" s="67">
        <f>GETPIVOTDATA("Activity Category",$A$42,"Geographic Region","Europe","Year",2021)</f>
        <v>1</v>
      </c>
      <c r="V61" s="67">
        <f>GETPIVOTDATA("Activity Category",$A$42,"Geographic Region","Europe","Year",2022)</f>
        <v>1</v>
      </c>
      <c r="W61" s="67">
        <f>GETPIVOTDATA("Activity Category",$A$42,"Geographic Region","Europe","Year",2023)</f>
        <v>0</v>
      </c>
      <c r="X61" s="67">
        <f>GETPIVOTDATA("Activity Category",$A$42,"Geographic Region","Europe","Year",2024)</f>
        <v>1</v>
      </c>
      <c r="Y61" s="74">
        <f t="shared" si="1"/>
        <v>41</v>
      </c>
    </row>
    <row r="62" spans="1:25" x14ac:dyDescent="0.25">
      <c r="A62" s="67" t="s">
        <v>116</v>
      </c>
      <c r="B62" s="67">
        <f>GETPIVOTDATA("Activity Category",$A$42,"Geographic Region","Middle East","Year",2002)</f>
        <v>0</v>
      </c>
      <c r="C62" s="67">
        <f>GETPIVOTDATA("Activity Category",$A$42,"Geographic Region","Middle East","Year",2003)</f>
        <v>0</v>
      </c>
      <c r="D62" s="67">
        <f>GETPIVOTDATA("Activity Category",$A$42,"Geographic Region","Middle East","Year",2004)</f>
        <v>0</v>
      </c>
      <c r="E62" s="67">
        <f>GETPIVOTDATA("Activity Category",$A$42,"Geographic Region","Middle East","Year",2005)</f>
        <v>0</v>
      </c>
      <c r="F62" s="67">
        <f>GETPIVOTDATA("Activity Category",$A$42,"Geographic Region","Middle East","Year",2006)</f>
        <v>0</v>
      </c>
      <c r="G62" s="67">
        <f>GETPIVOTDATA("Activity Category",$A$42,"Geographic Region","Middle East","Year",2007)</f>
        <v>0</v>
      </c>
      <c r="H62" s="67">
        <f>GETPIVOTDATA("Activity Category",$A$42,"Geographic Region","Middle East","Year",2008)</f>
        <v>0</v>
      </c>
      <c r="I62" s="67">
        <f>GETPIVOTDATA("Activity Category",$A$42,"Geographic Region","Middle East","Year",2009)</f>
        <v>0</v>
      </c>
      <c r="J62" s="67">
        <f>GETPIVOTDATA("Activity Category",$A$42,"Geographic Region","Middle East","Year",2010)</f>
        <v>0</v>
      </c>
      <c r="K62" s="67">
        <f>GETPIVOTDATA("Activity Category",$A$42,"Geographic Region","Middle East","Year",2011)</f>
        <v>0</v>
      </c>
      <c r="L62" s="67">
        <f>GETPIVOTDATA("Activity Category",$A$42,"Geographic Region","Middle East","Year",2012)</f>
        <v>1</v>
      </c>
      <c r="M62" s="67">
        <f>GETPIVOTDATA("Activity Category",$A$42,"Geographic Region","Middle East","Year",2013)</f>
        <v>0</v>
      </c>
      <c r="N62" s="67">
        <f>GETPIVOTDATA("Activity Category",$A$42,"Geographic Region","Middle East","Year",2014)</f>
        <v>0</v>
      </c>
      <c r="O62" s="67">
        <f>GETPIVOTDATA("Activity Category",$A$42,"Geographic Region","Middle East","Year",2015)</f>
        <v>1</v>
      </c>
      <c r="P62" s="67">
        <f>GETPIVOTDATA("Activity Category",$A$42,"Geographic Region","Middle East","Year",2016)</f>
        <v>1</v>
      </c>
      <c r="Q62" s="67">
        <f>GETPIVOTDATA("Activity Category",$A$42,"Geographic Region","Middle East","Year",2017)</f>
        <v>5</v>
      </c>
      <c r="R62" s="67">
        <f>GETPIVOTDATA("Activity Category",$A$42,"Geographic Region","Middle East","Year",2018)</f>
        <v>1</v>
      </c>
      <c r="S62" s="67">
        <f>GETPIVOTDATA("Activity Category",$A$42,"Geographic Region","Middle East","Year",2019)</f>
        <v>4</v>
      </c>
      <c r="T62" s="67">
        <f>GETPIVOTDATA("Activity Category",$A$42,"Geographic Region","Middle East","Year",2020)</f>
        <v>0</v>
      </c>
      <c r="U62" s="67">
        <f>GETPIVOTDATA("Activity Category",$A$42,"Geographic Region","Middle East","Year",2021)</f>
        <v>0</v>
      </c>
      <c r="V62" s="67">
        <f>GETPIVOTDATA("Activity Category",$A$42,"Geographic Region","Middle East","Year",2022)</f>
        <v>1</v>
      </c>
      <c r="W62" s="67">
        <f>GETPIVOTDATA("Activity Category",$A$42,"Geographic Region","Middle East","Year",2023)</f>
        <v>3</v>
      </c>
      <c r="X62" s="67">
        <f>GETPIVOTDATA("Activity Category",$A$42,"Geographic Region","Middle East","Year",2024)</f>
        <v>2</v>
      </c>
      <c r="Y62" s="74">
        <f t="shared" si="1"/>
        <v>19</v>
      </c>
    </row>
    <row r="63" spans="1:25" x14ac:dyDescent="0.25">
      <c r="A63" s="67" t="s">
        <v>44</v>
      </c>
      <c r="B63" s="67">
        <f>GETPIVOTDATA("Activity Category",$A$42,"Geographic Region","North America","Year",2002)</f>
        <v>0</v>
      </c>
      <c r="C63" s="67">
        <f>GETPIVOTDATA("Activity Category",$A$42,"Geographic Region","North America","Year",2003)</f>
        <v>0</v>
      </c>
      <c r="D63" s="67">
        <f>GETPIVOTDATA("Activity Category",$A$42,"Geographic Region","North America","Year",2004)</f>
        <v>0</v>
      </c>
      <c r="E63" s="67">
        <f>GETPIVOTDATA("Activity Category",$A$42,"Geographic Region","North America","Year",2005)</f>
        <v>1</v>
      </c>
      <c r="F63" s="67">
        <f>GETPIVOTDATA("Activity Category",$A$42,"Geographic Region","North America","Year",2006)</f>
        <v>1</v>
      </c>
      <c r="G63" s="67">
        <f>GETPIVOTDATA("Activity Category",$A$42,"Geographic Region","North America","Year",2007)</f>
        <v>0</v>
      </c>
      <c r="H63" s="67">
        <f>GETPIVOTDATA("Activity Category",$A$42,"Geographic Region","North America","Year",2008)</f>
        <v>0</v>
      </c>
      <c r="I63" s="67">
        <f>GETPIVOTDATA("Activity Category",$A$42,"Geographic Region","North America","Year",2009)</f>
        <v>0</v>
      </c>
      <c r="J63" s="67">
        <f>GETPIVOTDATA("Activity Category",$A$42,"Geographic Region","North America","Year",2010)</f>
        <v>0</v>
      </c>
      <c r="K63" s="67">
        <f>GETPIVOTDATA("Activity Category",$A$42,"Geographic Region","North America","Year",2011)</f>
        <v>0</v>
      </c>
      <c r="L63" s="67">
        <f>GETPIVOTDATA("Activity Category",$A$42,"Geographic Region","North America","Year",2012)</f>
        <v>1</v>
      </c>
      <c r="M63" s="67">
        <f>GETPIVOTDATA("Activity Category",$A$42,"Geographic Region","North America","Year",2013)</f>
        <v>2</v>
      </c>
      <c r="N63" s="67">
        <f>GETPIVOTDATA("Activity Category",$A$42,"Geographic Region","North America","Year",2014)</f>
        <v>2</v>
      </c>
      <c r="O63" s="67">
        <f>GETPIVOTDATA("Activity Category",$A$42,"Geographic Region","North America","Year",2015)</f>
        <v>4</v>
      </c>
      <c r="P63" s="67">
        <f>GETPIVOTDATA("Activity Category",$A$42,"Geographic Region","North America","Year",2016)</f>
        <v>2</v>
      </c>
      <c r="Q63" s="67">
        <f>GETPIVOTDATA("Activity Category",$A$42,"Geographic Region","North America","Year",2017)</f>
        <v>3</v>
      </c>
      <c r="R63" s="67">
        <f>GETPIVOTDATA("Activity Category",$A$42,"Geographic Region","North America","Year",2018)</f>
        <v>1</v>
      </c>
      <c r="S63" s="67">
        <f>GETPIVOTDATA("Activity Category",$A$42,"Geographic Region","North America","Year",2019)</f>
        <v>1</v>
      </c>
      <c r="T63" s="67">
        <f>GETPIVOTDATA("Activity Category",$A$42,"Geographic Region","North America","Year",2020)</f>
        <v>1</v>
      </c>
      <c r="U63" s="67">
        <f>GETPIVOTDATA("Activity Category",$A$42,"Geographic Region","North America","Year",2021)</f>
        <v>0</v>
      </c>
      <c r="V63" s="67">
        <f>GETPIVOTDATA("Activity Category",$A$42,"Geographic Region","North America","Year",2022)</f>
        <v>0</v>
      </c>
      <c r="W63" s="67">
        <f>GETPIVOTDATA("Activity Category",$A$42,"Geographic Region","North America","Year",2023)</f>
        <v>0</v>
      </c>
      <c r="X63" s="67">
        <f>GETPIVOTDATA("Activity Category",$A$42,"Geographic Region","North America","Year",2024)</f>
        <v>0</v>
      </c>
      <c r="Y63" s="74">
        <f t="shared" si="1"/>
        <v>19</v>
      </c>
    </row>
    <row r="64" spans="1:25" x14ac:dyDescent="0.25">
      <c r="A64" s="67" t="s">
        <v>71</v>
      </c>
      <c r="B64" s="67">
        <f>GETPIVOTDATA("Activity Category",$A$42,"Geographic Region","Oceania","Year",2002)</f>
        <v>0</v>
      </c>
      <c r="C64" s="67">
        <f>GETPIVOTDATA("Activity Category",$A$42,"Geographic Region","Oceania","Year",2003)</f>
        <v>0</v>
      </c>
      <c r="D64" s="67">
        <f>GETPIVOTDATA("Activity Category",$A$42,"Geographic Region","Oceania","Year",2004)</f>
        <v>1</v>
      </c>
      <c r="E64" s="67">
        <f>GETPIVOTDATA("Activity Category",$A$42,"Geographic Region","Oceania","Year",2005)</f>
        <v>0</v>
      </c>
      <c r="F64" s="67">
        <f>GETPIVOTDATA("Activity Category",$A$42,"Geographic Region","Oceania","Year",2006)</f>
        <v>0</v>
      </c>
      <c r="G64" s="67">
        <f>GETPIVOTDATA("Activity Category",$A$42,"Geographic Region","Oceania","Year",2007)</f>
        <v>1</v>
      </c>
      <c r="H64" s="67">
        <f>GETPIVOTDATA("Activity Category",$A$42,"Geographic Region","Oceania","Year",2008)</f>
        <v>0</v>
      </c>
      <c r="I64" s="67">
        <f>GETPIVOTDATA("Activity Category",$A$42,"Geographic Region","Oceania","Year",2009)</f>
        <v>0</v>
      </c>
      <c r="J64" s="67">
        <f>GETPIVOTDATA("Activity Category",$A$42,"Geographic Region","Oceania","Year",2010)</f>
        <v>1</v>
      </c>
      <c r="K64" s="67">
        <f>GETPIVOTDATA("Activity Category",$A$42,"Geographic Region","Oceania","Year",2011)</f>
        <v>1</v>
      </c>
      <c r="L64" s="67">
        <f>GETPIVOTDATA("Activity Category",$A$42,"Geographic Region","Oceania","Year",2012)</f>
        <v>1</v>
      </c>
      <c r="M64" s="67">
        <f>GETPIVOTDATA("Activity Category",$A$42,"Geographic Region","Oceania","Year",2013)</f>
        <v>1</v>
      </c>
      <c r="N64" s="67">
        <f>GETPIVOTDATA("Activity Category",$A$42,"Geographic Region","Oceania","Year",2014)</f>
        <v>2</v>
      </c>
      <c r="O64" s="67">
        <f>GETPIVOTDATA("Activity Category",$A$42,"Geographic Region","Oceania","Year",2015)</f>
        <v>4</v>
      </c>
      <c r="P64" s="67">
        <f>GETPIVOTDATA("Activity Category",$A$42,"Geographic Region","Oceania","Year",2016)</f>
        <v>4</v>
      </c>
      <c r="Q64" s="67">
        <f>GETPIVOTDATA("Activity Category",$A$42,"Geographic Region","Oceania","Year",2017)</f>
        <v>5</v>
      </c>
      <c r="R64" s="67">
        <f>GETPIVOTDATA("Activity Category",$A$42,"Geographic Region","Oceania","Year",2018)</f>
        <v>4</v>
      </c>
      <c r="S64" s="67">
        <f>GETPIVOTDATA("Activity Category",$A$42,"Geographic Region","Oceania","Year",2019)</f>
        <v>2</v>
      </c>
      <c r="T64" s="67">
        <f>GETPIVOTDATA("Activity Category",$A$42,"Geographic Region","Oceania","Year",2020)</f>
        <v>0</v>
      </c>
      <c r="U64" s="67">
        <f>GETPIVOTDATA("Activity Category",$A$42,"Geographic Region","Oceania","Year",2021)</f>
        <v>0</v>
      </c>
      <c r="V64" s="67">
        <f>GETPIVOTDATA("Activity Category",$A$42,"Geographic Region","Oceania","Year",2022)</f>
        <v>0</v>
      </c>
      <c r="W64" s="67">
        <f>GETPIVOTDATA("Activity Category",$A$42,"Geographic Region","Oceania","Year",2023)</f>
        <v>0</v>
      </c>
      <c r="X64" s="67">
        <f>GETPIVOTDATA("Activity Category",$A$42,"Geographic Region","Oceania","Year",2024)</f>
        <v>0</v>
      </c>
      <c r="Y64" s="74">
        <f t="shared" si="1"/>
        <v>27</v>
      </c>
    </row>
    <row r="65" spans="1:25" x14ac:dyDescent="0.25">
      <c r="A65" s="67" t="s">
        <v>54</v>
      </c>
      <c r="B65" s="67">
        <f>GETPIVOTDATA("Activity Category",$A$42,"Geographic Region","Russia","Year",2002)</f>
        <v>0</v>
      </c>
      <c r="C65" s="67">
        <f>GETPIVOTDATA("Activity Category",$A$42,"Geographic Region","Russia","Year",2003)</f>
        <v>0</v>
      </c>
      <c r="D65" s="67">
        <f>GETPIVOTDATA("Activity Category",$A$42,"Geographic Region","Russia","Year",2004)</f>
        <v>0</v>
      </c>
      <c r="E65" s="67">
        <f>GETPIVOTDATA("Activity Category",$A$42,"Geographic Region","Russia","Year",2005)</f>
        <v>1</v>
      </c>
      <c r="F65" s="67">
        <f>GETPIVOTDATA("Activity Category",$A$42,"Geographic Region","Russia","Year",2006)</f>
        <v>0</v>
      </c>
      <c r="G65" s="67">
        <f>GETPIVOTDATA("Activity Category",$A$42,"Geographic Region","Russia","Year",2007)</f>
        <v>1</v>
      </c>
      <c r="H65" s="67">
        <f>GETPIVOTDATA("Activity Category",$A$42,"Geographic Region","Russia","Year",2008)</f>
        <v>0</v>
      </c>
      <c r="I65" s="67">
        <f>GETPIVOTDATA("Activity Category",$A$42,"Geographic Region","Russia","Year",2009)</f>
        <v>3</v>
      </c>
      <c r="J65" s="67">
        <f>GETPIVOTDATA("Activity Category",$A$42,"Geographic Region","Russia","Year",2010)</f>
        <v>0</v>
      </c>
      <c r="K65" s="67">
        <f>GETPIVOTDATA("Activity Category",$A$42,"Geographic Region","Russia","Year",2011)</f>
        <v>0</v>
      </c>
      <c r="L65" s="67">
        <f>GETPIVOTDATA("Activity Category",$A$42,"Geographic Region","Russia","Year",2012)</f>
        <v>1</v>
      </c>
      <c r="M65" s="67">
        <f>GETPIVOTDATA("Activity Category",$A$42,"Geographic Region","Russia","Year",2013)</f>
        <v>5</v>
      </c>
      <c r="N65" s="67">
        <f>GETPIVOTDATA("Activity Category",$A$42,"Geographic Region","Russia","Year",2014)</f>
        <v>5</v>
      </c>
      <c r="O65" s="67">
        <f>GETPIVOTDATA("Activity Category",$A$42,"Geographic Region","Russia","Year",2015)</f>
        <v>3</v>
      </c>
      <c r="P65" s="67">
        <f>GETPIVOTDATA("Activity Category",$A$42,"Geographic Region","Russia","Year",2016)</f>
        <v>4</v>
      </c>
      <c r="Q65" s="67">
        <f>GETPIVOTDATA("Activity Category",$A$42,"Geographic Region","Russia","Year",2017)</f>
        <v>5</v>
      </c>
      <c r="R65" s="67">
        <f>GETPIVOTDATA("Activity Category",$A$42,"Geographic Region","Russia","Year",2018)</f>
        <v>2</v>
      </c>
      <c r="S65" s="67">
        <f>GETPIVOTDATA("Activity Category",$A$42,"Geographic Region","Russia","Year",2019)</f>
        <v>6</v>
      </c>
      <c r="T65" s="67">
        <f>GETPIVOTDATA("Activity Category",$A$42,"Geographic Region","Russia","Year",2020)</f>
        <v>3</v>
      </c>
      <c r="U65" s="67">
        <f>GETPIVOTDATA("Activity Category",$A$42,"Geographic Region","Russia","Year",2021)</f>
        <v>5</v>
      </c>
      <c r="V65" s="67">
        <f>GETPIVOTDATA("Activity Category",$A$42,"Geographic Region","Russia","Year",2022)</f>
        <v>5</v>
      </c>
      <c r="W65" s="67">
        <f>GETPIVOTDATA("Activity Category",$A$42,"Geographic Region","Russia","Year",2023)</f>
        <v>3</v>
      </c>
      <c r="X65" s="67">
        <f>GETPIVOTDATA("Activity Category",$A$42,"Geographic Region","Russia","Year",2024)</f>
        <v>7</v>
      </c>
      <c r="Y65" s="74">
        <f t="shared" si="1"/>
        <v>59</v>
      </c>
    </row>
    <row r="66" spans="1:25" x14ac:dyDescent="0.25">
      <c r="A66" s="67" t="s">
        <v>198</v>
      </c>
      <c r="B66" s="67">
        <f>GETPIVOTDATA("Activity Category",$A$42,"Geographic Region","South America","Year",2002)</f>
        <v>0</v>
      </c>
      <c r="C66" s="67">
        <f>GETPIVOTDATA("Activity Category",$A$42,"Geographic Region","South America","Year",2003)</f>
        <v>0</v>
      </c>
      <c r="D66" s="67">
        <f>GETPIVOTDATA("Activity Category",$A$42,"Geographic Region","South America","Year",2004)</f>
        <v>0</v>
      </c>
      <c r="E66" s="67">
        <f>GETPIVOTDATA("Activity Category",$A$42,"Geographic Region","South America","Year",2005)</f>
        <v>0</v>
      </c>
      <c r="F66" s="67">
        <f>GETPIVOTDATA("Activity Category",$A$42,"Geographic Region","South America","Year",2006)</f>
        <v>0</v>
      </c>
      <c r="G66" s="67">
        <f>GETPIVOTDATA("Activity Category",$A$42,"Geographic Region","South America","Year",2007)</f>
        <v>0</v>
      </c>
      <c r="H66" s="67">
        <f>GETPIVOTDATA("Activity Category",$A$42,"Geographic Region","South America","Year",2008)</f>
        <v>0</v>
      </c>
      <c r="I66" s="67">
        <f>GETPIVOTDATA("Activity Category",$A$42,"Geographic Region","South America","Year",2009)</f>
        <v>0</v>
      </c>
      <c r="J66" s="67">
        <f>GETPIVOTDATA("Activity Category",$A$42,"Geographic Region","South America","Year",2010)</f>
        <v>1</v>
      </c>
      <c r="K66" s="67">
        <f>GETPIVOTDATA("Activity Category",$A$42,"Geographic Region","South America","Year",2011)</f>
        <v>1</v>
      </c>
      <c r="L66" s="67">
        <f>GETPIVOTDATA("Activity Category",$A$42,"Geographic Region","South America","Year",2012)</f>
        <v>1</v>
      </c>
      <c r="M66" s="67">
        <f>GETPIVOTDATA("Activity Category",$A$42,"Geographic Region","South America","Year",2013)</f>
        <v>0</v>
      </c>
      <c r="N66" s="67">
        <f>GETPIVOTDATA("Activity Category",$A$42,"Geographic Region","South America","Year",2014)</f>
        <v>0</v>
      </c>
      <c r="O66" s="67">
        <f>GETPIVOTDATA("Activity Category",$A$42,"Geographic Region","South America","Year",2015)</f>
        <v>0</v>
      </c>
      <c r="P66" s="67">
        <f>GETPIVOTDATA("Activity Category",$A$42,"Geographic Region","South America","Year",2016)</f>
        <v>1</v>
      </c>
      <c r="Q66" s="67">
        <f>GETPIVOTDATA("Activity Category",$A$42,"Geographic Region","South America","Year",2017)</f>
        <v>0</v>
      </c>
      <c r="R66" s="67">
        <f>GETPIVOTDATA("Activity Category",$A$42,"Geographic Region","South America","Year",2018)</f>
        <v>1</v>
      </c>
      <c r="S66" s="67">
        <f>GETPIVOTDATA("Activity Category",$A$42,"Geographic Region","South America","Year",2019)</f>
        <v>0</v>
      </c>
      <c r="T66" s="67">
        <f>GETPIVOTDATA("Activity Category",$A$42,"Geographic Region","South America","Year",2020)</f>
        <v>0</v>
      </c>
      <c r="U66" s="67">
        <f>GETPIVOTDATA("Activity Category",$A$42,"Geographic Region","South America","Year",2021)</f>
        <v>0</v>
      </c>
      <c r="V66" s="67">
        <f>GETPIVOTDATA("Activity Category",$A$42,"Geographic Region","South America","Year",2022)</f>
        <v>0</v>
      </c>
      <c r="W66" s="67">
        <f>GETPIVOTDATA("Activity Category",$A$42,"Geographic Region","South America","Year",2023)</f>
        <v>0</v>
      </c>
      <c r="X66" s="67">
        <f>GETPIVOTDATA("Activity Category",$A$42,"Geographic Region","South America","Year",2024)</f>
        <v>1</v>
      </c>
      <c r="Y66" s="74">
        <f t="shared" si="1"/>
        <v>6</v>
      </c>
    </row>
    <row r="67" spans="1:25" ht="15.75" customHeight="1" x14ac:dyDescent="0.25">
      <c r="A67" s="73" t="s">
        <v>2779</v>
      </c>
      <c r="B67" s="73">
        <v>1</v>
      </c>
      <c r="C67" s="110">
        <v>3</v>
      </c>
      <c r="D67" s="110">
        <v>4</v>
      </c>
      <c r="E67" s="110">
        <v>5</v>
      </c>
      <c r="F67" s="110">
        <v>5</v>
      </c>
      <c r="G67" s="110">
        <v>8</v>
      </c>
      <c r="H67" s="110">
        <v>2</v>
      </c>
      <c r="I67" s="110">
        <v>9</v>
      </c>
      <c r="J67" s="110">
        <v>13</v>
      </c>
      <c r="K67" s="110">
        <v>10</v>
      </c>
      <c r="L67" s="110">
        <v>12</v>
      </c>
      <c r="M67" s="110">
        <v>15</v>
      </c>
      <c r="N67" s="110">
        <v>26</v>
      </c>
      <c r="O67" s="110">
        <v>44</v>
      </c>
      <c r="P67" s="110">
        <v>38</v>
      </c>
      <c r="Q67" s="110">
        <v>51</v>
      </c>
      <c r="R67" s="110">
        <v>39</v>
      </c>
      <c r="S67" s="110">
        <v>42</v>
      </c>
      <c r="T67" s="110">
        <v>9</v>
      </c>
      <c r="U67" s="110">
        <v>14</v>
      </c>
      <c r="V67" s="110">
        <v>10</v>
      </c>
      <c r="W67" s="110">
        <v>25</v>
      </c>
      <c r="X67" s="110">
        <v>11</v>
      </c>
      <c r="Y67" s="81">
        <f>SUM(Y59:Y66)</f>
        <v>412</v>
      </c>
    </row>
    <row r="68" spans="1:25" ht="15.75" customHeight="1" x14ac:dyDescent="0.25">
      <c r="A68" s="68"/>
      <c r="B68" s="68"/>
      <c r="C68" s="68"/>
      <c r="D68" s="68"/>
      <c r="E68" s="68"/>
      <c r="F68" s="68"/>
      <c r="G68" s="68"/>
      <c r="H68" s="68"/>
      <c r="I68" s="68"/>
      <c r="J68" s="68"/>
      <c r="K68" s="68"/>
      <c r="L68" s="68"/>
      <c r="M68" s="68"/>
    </row>
    <row r="69" spans="1:25" ht="15.75" customHeight="1" x14ac:dyDescent="0.25">
      <c r="A69" s="68"/>
      <c r="B69" s="68"/>
      <c r="C69" s="68"/>
      <c r="D69" s="68"/>
      <c r="E69" s="68"/>
      <c r="F69" s="68"/>
      <c r="G69" s="68"/>
      <c r="H69" s="68"/>
      <c r="I69" s="68"/>
      <c r="J69" s="68"/>
      <c r="K69" s="68"/>
      <c r="L69" s="68"/>
      <c r="M69" s="68"/>
    </row>
    <row r="70" spans="1:25" ht="15.75" customHeight="1" x14ac:dyDescent="0.25">
      <c r="A70" s="68"/>
      <c r="B70" s="68"/>
      <c r="C70" s="68"/>
      <c r="D70" s="68"/>
      <c r="E70" s="68"/>
      <c r="F70" s="68"/>
      <c r="G70" s="68"/>
      <c r="H70" s="68"/>
      <c r="I70" s="68"/>
      <c r="J70" s="68"/>
      <c r="K70" s="68"/>
      <c r="L70" s="68"/>
      <c r="M70" s="68"/>
    </row>
    <row r="71" spans="1:25" ht="15.75" customHeight="1" x14ac:dyDescent="0.25">
      <c r="A71" s="68"/>
      <c r="B71" s="68"/>
      <c r="C71" s="68"/>
      <c r="D71" s="68"/>
      <c r="E71" s="68"/>
      <c r="F71" s="68"/>
      <c r="G71" s="68"/>
      <c r="H71" s="68"/>
      <c r="I71" s="68"/>
      <c r="J71" s="68"/>
      <c r="K71" s="68"/>
      <c r="L71" s="68"/>
      <c r="M71" s="68"/>
    </row>
    <row r="72" spans="1:25" ht="15.75" customHeight="1" x14ac:dyDescent="0.25">
      <c r="A72" s="141" t="s">
        <v>89</v>
      </c>
      <c r="B72" s="74">
        <f t="shared" ref="B72:B79" si="2">Y59</f>
        <v>22</v>
      </c>
      <c r="C72" s="68"/>
      <c r="D72" s="68"/>
      <c r="E72" s="68"/>
      <c r="F72" s="68"/>
      <c r="G72" s="68"/>
      <c r="H72" s="68"/>
      <c r="I72" s="68"/>
      <c r="J72" s="68"/>
      <c r="K72" s="68"/>
      <c r="L72" s="68"/>
      <c r="M72" s="68"/>
    </row>
    <row r="73" spans="1:25" ht="15.75" customHeight="1" x14ac:dyDescent="0.25">
      <c r="A73" s="142" t="s">
        <v>28</v>
      </c>
      <c r="B73" s="74">
        <f t="shared" si="2"/>
        <v>219</v>
      </c>
      <c r="C73" s="68"/>
      <c r="D73" s="68"/>
      <c r="E73" s="68"/>
      <c r="F73" s="68"/>
      <c r="G73" s="68"/>
      <c r="H73" s="68"/>
      <c r="I73" s="68"/>
      <c r="J73" s="68"/>
      <c r="K73" s="68"/>
      <c r="L73" s="68"/>
      <c r="M73" s="68"/>
    </row>
    <row r="74" spans="1:25" ht="15.75" customHeight="1" x14ac:dyDescent="0.25">
      <c r="A74" s="142" t="s">
        <v>103</v>
      </c>
      <c r="B74" s="74">
        <f t="shared" si="2"/>
        <v>41</v>
      </c>
      <c r="C74" s="68"/>
      <c r="D74" s="68"/>
      <c r="E74" s="68"/>
      <c r="F74" s="68"/>
      <c r="G74" s="68"/>
      <c r="H74" s="68"/>
      <c r="I74" s="68"/>
      <c r="J74" s="68"/>
      <c r="K74" s="68"/>
      <c r="L74" s="68"/>
      <c r="M74" s="68"/>
    </row>
    <row r="75" spans="1:25" ht="15.75" customHeight="1" x14ac:dyDescent="0.25">
      <c r="A75" s="142" t="s">
        <v>116</v>
      </c>
      <c r="B75" s="74">
        <f t="shared" si="2"/>
        <v>19</v>
      </c>
      <c r="C75" s="68"/>
      <c r="D75" s="68"/>
      <c r="E75" s="68"/>
      <c r="F75" s="68"/>
      <c r="G75" s="68"/>
      <c r="H75" s="68"/>
      <c r="I75" s="68"/>
      <c r="J75" s="68"/>
      <c r="K75" s="68"/>
      <c r="L75" s="68"/>
      <c r="M75" s="68"/>
    </row>
    <row r="76" spans="1:25" ht="15.75" customHeight="1" x14ac:dyDescent="0.25">
      <c r="A76" s="142" t="s">
        <v>44</v>
      </c>
      <c r="B76" s="74">
        <f t="shared" si="2"/>
        <v>19</v>
      </c>
      <c r="C76" s="68"/>
      <c r="D76" s="68"/>
      <c r="E76" s="68"/>
      <c r="F76" s="68"/>
      <c r="G76" s="68"/>
      <c r="H76" s="68"/>
      <c r="I76" s="68"/>
      <c r="J76" s="68"/>
      <c r="K76" s="68"/>
      <c r="L76" s="68"/>
      <c r="M76" s="68"/>
    </row>
    <row r="77" spans="1:25" ht="15.75" customHeight="1" x14ac:dyDescent="0.25">
      <c r="A77" s="142" t="s">
        <v>71</v>
      </c>
      <c r="B77" s="74">
        <f t="shared" si="2"/>
        <v>27</v>
      </c>
      <c r="C77" s="68"/>
      <c r="D77" s="68"/>
      <c r="E77" s="68"/>
      <c r="F77" s="68"/>
      <c r="G77" s="68"/>
      <c r="H77" s="68"/>
      <c r="I77" s="68"/>
      <c r="J77" s="68"/>
      <c r="K77" s="68"/>
      <c r="L77" s="68"/>
      <c r="M77" s="68"/>
    </row>
    <row r="78" spans="1:25" ht="15.75" customHeight="1" x14ac:dyDescent="0.25">
      <c r="A78" s="142" t="s">
        <v>54</v>
      </c>
      <c r="B78" s="74">
        <f t="shared" si="2"/>
        <v>59</v>
      </c>
      <c r="C78" s="68"/>
      <c r="D78" s="68"/>
      <c r="E78" s="68"/>
      <c r="F78" s="68"/>
      <c r="G78" s="68"/>
      <c r="H78" s="68"/>
      <c r="I78" s="68"/>
      <c r="J78" s="68"/>
      <c r="K78" s="68"/>
      <c r="L78" s="68"/>
      <c r="M78" s="68"/>
    </row>
    <row r="79" spans="1:25" ht="15.75" customHeight="1" x14ac:dyDescent="0.25">
      <c r="A79" s="142" t="s">
        <v>198</v>
      </c>
      <c r="B79" s="74">
        <f t="shared" si="2"/>
        <v>6</v>
      </c>
      <c r="C79" s="68"/>
      <c r="D79" s="68"/>
      <c r="E79" s="68"/>
      <c r="F79" s="68"/>
      <c r="G79" s="68"/>
      <c r="H79" s="68"/>
      <c r="I79" s="68"/>
      <c r="J79" s="68"/>
      <c r="K79" s="68"/>
      <c r="L79" s="68"/>
      <c r="M79" s="68"/>
    </row>
    <row r="87" spans="1:2" ht="15.75" customHeight="1" x14ac:dyDescent="0.25">
      <c r="A87" s="12" t="s">
        <v>3150</v>
      </c>
    </row>
    <row r="88" spans="1:2" x14ac:dyDescent="0.25">
      <c r="A88" s="120" t="s">
        <v>1</v>
      </c>
      <c r="B88" s="119" t="s">
        <v>307</v>
      </c>
    </row>
    <row r="89" spans="1:2" x14ac:dyDescent="0.25">
      <c r="A89" s="120" t="s">
        <v>10</v>
      </c>
      <c r="B89" s="119" t="s">
        <v>399</v>
      </c>
    </row>
    <row r="90" spans="1:2" ht="15.75" customHeight="1" x14ac:dyDescent="0.25"/>
    <row r="91" spans="1:2" ht="15.75" customHeight="1" x14ac:dyDescent="0.25">
      <c r="A91" s="111" t="s">
        <v>8</v>
      </c>
      <c r="B91" s="116" t="s">
        <v>2778</v>
      </c>
    </row>
    <row r="92" spans="1:2" ht="15.75" customHeight="1" x14ac:dyDescent="0.25">
      <c r="A92" s="114">
        <v>2002</v>
      </c>
      <c r="B92" s="193">
        <v>0</v>
      </c>
    </row>
    <row r="93" spans="1:2" ht="15.75" customHeight="1" x14ac:dyDescent="0.25">
      <c r="A93" s="117">
        <v>2003</v>
      </c>
      <c r="B93" s="194">
        <v>1</v>
      </c>
    </row>
    <row r="94" spans="1:2" ht="15.75" customHeight="1" x14ac:dyDescent="0.25">
      <c r="A94" s="117">
        <v>2004</v>
      </c>
      <c r="B94" s="194">
        <v>0</v>
      </c>
    </row>
    <row r="95" spans="1:2" ht="15.75" customHeight="1" x14ac:dyDescent="0.25">
      <c r="A95" s="117">
        <v>2005</v>
      </c>
      <c r="B95" s="194">
        <v>0</v>
      </c>
    </row>
    <row r="96" spans="1:2" ht="15.75" customHeight="1" x14ac:dyDescent="0.25">
      <c r="A96" s="117">
        <v>2006</v>
      </c>
      <c r="B96" s="194">
        <v>1</v>
      </c>
    </row>
    <row r="97" spans="1:2" ht="15.75" customHeight="1" x14ac:dyDescent="0.25">
      <c r="A97" s="117">
        <v>2007</v>
      </c>
      <c r="B97" s="194">
        <v>5</v>
      </c>
    </row>
    <row r="98" spans="1:2" ht="15.75" customHeight="1" x14ac:dyDescent="0.25">
      <c r="A98" s="117">
        <v>2008</v>
      </c>
      <c r="B98" s="194">
        <v>0</v>
      </c>
    </row>
    <row r="99" spans="1:2" ht="15.75" customHeight="1" x14ac:dyDescent="0.25">
      <c r="A99" s="117">
        <v>2009</v>
      </c>
      <c r="B99" s="194">
        <v>1</v>
      </c>
    </row>
    <row r="100" spans="1:2" ht="15.75" customHeight="1" x14ac:dyDescent="0.25">
      <c r="A100" s="117">
        <v>2010</v>
      </c>
      <c r="B100" s="194">
        <v>1</v>
      </c>
    </row>
    <row r="101" spans="1:2" ht="15.75" customHeight="1" x14ac:dyDescent="0.25">
      <c r="A101" s="117">
        <v>2011</v>
      </c>
      <c r="B101" s="194">
        <v>2</v>
      </c>
    </row>
    <row r="102" spans="1:2" ht="15.75" customHeight="1" x14ac:dyDescent="0.25">
      <c r="A102" s="117">
        <v>2012</v>
      </c>
      <c r="B102" s="194">
        <v>3</v>
      </c>
    </row>
    <row r="103" spans="1:2" ht="15.75" customHeight="1" x14ac:dyDescent="0.25">
      <c r="A103" s="117">
        <v>2013</v>
      </c>
      <c r="B103" s="194">
        <v>2</v>
      </c>
    </row>
    <row r="104" spans="1:2" ht="15.75" customHeight="1" x14ac:dyDescent="0.25">
      <c r="A104" s="117">
        <v>2014</v>
      </c>
      <c r="B104" s="194">
        <v>11</v>
      </c>
    </row>
    <row r="105" spans="1:2" ht="15.75" customHeight="1" x14ac:dyDescent="0.25">
      <c r="A105" s="117">
        <v>2015</v>
      </c>
      <c r="B105" s="194">
        <v>11</v>
      </c>
    </row>
    <row r="106" spans="1:2" ht="15.75" customHeight="1" x14ac:dyDescent="0.25">
      <c r="A106" s="117">
        <v>2016</v>
      </c>
      <c r="B106" s="194">
        <v>17</v>
      </c>
    </row>
    <row r="107" spans="1:2" ht="15.75" customHeight="1" x14ac:dyDescent="0.25">
      <c r="A107" s="117">
        <v>2017</v>
      </c>
      <c r="B107" s="194">
        <v>9</v>
      </c>
    </row>
    <row r="108" spans="1:2" ht="15.75" customHeight="1" x14ac:dyDescent="0.25">
      <c r="A108" s="117">
        <v>2018</v>
      </c>
      <c r="B108" s="194">
        <v>17</v>
      </c>
    </row>
    <row r="109" spans="1:2" ht="15.75" customHeight="1" x14ac:dyDescent="0.25">
      <c r="A109" s="117">
        <v>2019</v>
      </c>
      <c r="B109" s="194">
        <v>16</v>
      </c>
    </row>
    <row r="110" spans="1:2" ht="15.75" customHeight="1" x14ac:dyDescent="0.25">
      <c r="A110" s="117">
        <v>2020</v>
      </c>
      <c r="B110" s="194">
        <v>3</v>
      </c>
    </row>
    <row r="111" spans="1:2" ht="15.75" customHeight="1" x14ac:dyDescent="0.25">
      <c r="A111" s="117">
        <v>2021</v>
      </c>
      <c r="B111" s="194">
        <v>5</v>
      </c>
    </row>
    <row r="112" spans="1:2" ht="15.75" customHeight="1" x14ac:dyDescent="0.25">
      <c r="A112" s="117">
        <v>2022</v>
      </c>
      <c r="B112" s="194">
        <v>3</v>
      </c>
    </row>
    <row r="113" spans="1:2" ht="15.75" customHeight="1" x14ac:dyDescent="0.25">
      <c r="A113" s="117">
        <v>2023</v>
      </c>
      <c r="B113" s="194">
        <v>8</v>
      </c>
    </row>
    <row r="114" spans="1:2" ht="15.75" customHeight="1" x14ac:dyDescent="0.25">
      <c r="A114" s="117">
        <v>2024</v>
      </c>
      <c r="B114" s="194">
        <v>5</v>
      </c>
    </row>
    <row r="115" spans="1:2" x14ac:dyDescent="0.25">
      <c r="A115" s="121" t="s">
        <v>2779</v>
      </c>
      <c r="B115" s="198">
        <v>121</v>
      </c>
    </row>
    <row r="143" spans="1:13" ht="15.75" customHeight="1" x14ac:dyDescent="0.25">
      <c r="A143" s="60" t="s">
        <v>2821</v>
      </c>
      <c r="B143" s="16" t="s">
        <v>89</v>
      </c>
      <c r="C143" s="16" t="s">
        <v>28</v>
      </c>
      <c r="D143" s="16" t="s">
        <v>103</v>
      </c>
      <c r="E143" s="16" t="s">
        <v>116</v>
      </c>
      <c r="F143" s="16" t="s">
        <v>44</v>
      </c>
      <c r="G143" s="16" t="s">
        <v>62</v>
      </c>
      <c r="H143" s="16" t="s">
        <v>71</v>
      </c>
      <c r="I143" s="16" t="s">
        <v>54</v>
      </c>
      <c r="J143" s="16" t="s">
        <v>198</v>
      </c>
      <c r="K143" s="16" t="s">
        <v>27</v>
      </c>
      <c r="L143" s="16" t="s">
        <v>36</v>
      </c>
      <c r="M143" s="16" t="s">
        <v>77</v>
      </c>
    </row>
    <row r="144" spans="1:13" ht="15.75" customHeight="1" x14ac:dyDescent="0.25">
      <c r="A144" s="27">
        <v>2002</v>
      </c>
      <c r="B144" s="20">
        <v>0</v>
      </c>
      <c r="C144" s="17">
        <f t="shared" ref="C144:C145" si="3">SUM(G144+K144+L144+M144)</f>
        <v>1</v>
      </c>
      <c r="D144" s="20">
        <v>0</v>
      </c>
      <c r="E144" s="17">
        <v>0</v>
      </c>
      <c r="F144" s="20">
        <v>0</v>
      </c>
      <c r="G144" s="17">
        <v>0</v>
      </c>
      <c r="H144" s="20">
        <v>0</v>
      </c>
      <c r="I144" s="17">
        <v>0</v>
      </c>
      <c r="J144" s="20">
        <v>0</v>
      </c>
      <c r="K144" s="17">
        <v>0</v>
      </c>
      <c r="L144" s="20">
        <v>0</v>
      </c>
      <c r="M144" s="17">
        <v>1</v>
      </c>
    </row>
    <row r="145" spans="1:13" ht="15.75" customHeight="1" x14ac:dyDescent="0.25">
      <c r="A145" s="29">
        <v>2003</v>
      </c>
      <c r="B145" s="21">
        <v>0</v>
      </c>
      <c r="C145" s="17">
        <f t="shared" si="3"/>
        <v>3</v>
      </c>
      <c r="D145" s="21">
        <v>0</v>
      </c>
      <c r="E145" s="61">
        <v>0</v>
      </c>
      <c r="F145" s="21">
        <v>0</v>
      </c>
      <c r="G145" s="61">
        <v>0</v>
      </c>
      <c r="H145" s="21">
        <v>0</v>
      </c>
      <c r="I145" s="61">
        <v>0</v>
      </c>
      <c r="J145" s="21">
        <v>0</v>
      </c>
      <c r="K145" s="61">
        <v>2</v>
      </c>
      <c r="L145" s="21">
        <v>0</v>
      </c>
      <c r="M145" s="61">
        <v>1</v>
      </c>
    </row>
    <row r="146" spans="1:13" ht="15.75" customHeight="1" x14ac:dyDescent="0.25">
      <c r="A146" s="27">
        <v>2004</v>
      </c>
      <c r="B146" s="20">
        <v>0</v>
      </c>
      <c r="C146" s="17">
        <f t="shared" ref="C146:C164" si="4">G146+K146+L146+M146</f>
        <v>1</v>
      </c>
      <c r="D146" s="20">
        <v>2</v>
      </c>
      <c r="E146" s="17">
        <v>0</v>
      </c>
      <c r="F146" s="20">
        <v>0</v>
      </c>
      <c r="G146" s="17">
        <v>0</v>
      </c>
      <c r="H146" s="20">
        <v>1</v>
      </c>
      <c r="I146" s="17">
        <v>0</v>
      </c>
      <c r="J146" s="20">
        <v>0</v>
      </c>
      <c r="K146" s="17">
        <v>1</v>
      </c>
      <c r="L146" s="20">
        <v>0</v>
      </c>
      <c r="M146" s="17">
        <v>0</v>
      </c>
    </row>
    <row r="147" spans="1:13" ht="15.75" customHeight="1" x14ac:dyDescent="0.25">
      <c r="A147" s="29">
        <v>2005</v>
      </c>
      <c r="B147" s="21">
        <v>0</v>
      </c>
      <c r="C147" s="17">
        <f t="shared" si="4"/>
        <v>3</v>
      </c>
      <c r="D147" s="21">
        <v>0</v>
      </c>
      <c r="E147" s="61">
        <v>0</v>
      </c>
      <c r="F147" s="21">
        <v>1</v>
      </c>
      <c r="G147" s="61">
        <v>0</v>
      </c>
      <c r="H147" s="21">
        <v>0</v>
      </c>
      <c r="I147" s="61">
        <v>1</v>
      </c>
      <c r="J147" s="21">
        <v>0</v>
      </c>
      <c r="K147" s="61">
        <v>2</v>
      </c>
      <c r="L147" s="21">
        <v>1</v>
      </c>
      <c r="M147" s="61">
        <v>0</v>
      </c>
    </row>
    <row r="148" spans="1:13" ht="15.75" customHeight="1" x14ac:dyDescent="0.25">
      <c r="A148" s="27">
        <v>2006</v>
      </c>
      <c r="B148" s="20">
        <v>0</v>
      </c>
      <c r="C148" s="17">
        <f t="shared" si="4"/>
        <v>4</v>
      </c>
      <c r="D148" s="20">
        <v>0</v>
      </c>
      <c r="E148" s="17">
        <v>0</v>
      </c>
      <c r="F148" s="20">
        <v>1</v>
      </c>
      <c r="G148" s="17">
        <v>0</v>
      </c>
      <c r="H148" s="20">
        <v>0</v>
      </c>
      <c r="I148" s="17">
        <v>0</v>
      </c>
      <c r="J148" s="20">
        <v>0</v>
      </c>
      <c r="K148" s="17">
        <v>1</v>
      </c>
      <c r="L148" s="20">
        <v>0</v>
      </c>
      <c r="M148" s="17">
        <v>3</v>
      </c>
    </row>
    <row r="149" spans="1:13" ht="15.75" customHeight="1" x14ac:dyDescent="0.25">
      <c r="A149" s="29">
        <v>2007</v>
      </c>
      <c r="B149" s="21">
        <v>0</v>
      </c>
      <c r="C149" s="17">
        <f t="shared" si="4"/>
        <v>6</v>
      </c>
      <c r="D149" s="21">
        <v>0</v>
      </c>
      <c r="E149" s="61">
        <v>0</v>
      </c>
      <c r="F149" s="21">
        <v>0</v>
      </c>
      <c r="G149" s="61">
        <v>1</v>
      </c>
      <c r="H149" s="21">
        <v>1</v>
      </c>
      <c r="I149" s="61">
        <v>1</v>
      </c>
      <c r="J149" s="21">
        <v>0</v>
      </c>
      <c r="K149" s="61">
        <v>2</v>
      </c>
      <c r="L149" s="21">
        <v>1</v>
      </c>
      <c r="M149" s="61">
        <v>2</v>
      </c>
    </row>
    <row r="150" spans="1:13" ht="15.75" customHeight="1" x14ac:dyDescent="0.25">
      <c r="A150" s="27">
        <v>2008</v>
      </c>
      <c r="B150" s="20">
        <v>0</v>
      </c>
      <c r="C150" s="17">
        <f t="shared" si="4"/>
        <v>2</v>
      </c>
      <c r="D150" s="20">
        <v>0</v>
      </c>
      <c r="E150" s="17">
        <v>0</v>
      </c>
      <c r="F150" s="20">
        <v>0</v>
      </c>
      <c r="G150" s="17">
        <v>0</v>
      </c>
      <c r="H150" s="20">
        <v>0</v>
      </c>
      <c r="I150" s="17">
        <v>0</v>
      </c>
      <c r="J150" s="20">
        <v>0</v>
      </c>
      <c r="K150" s="17">
        <v>1</v>
      </c>
      <c r="L150" s="20">
        <v>1</v>
      </c>
      <c r="M150" s="17">
        <v>0</v>
      </c>
    </row>
    <row r="151" spans="1:13" ht="15.75" customHeight="1" x14ac:dyDescent="0.25">
      <c r="A151" s="29">
        <v>2009</v>
      </c>
      <c r="B151" s="21">
        <v>1</v>
      </c>
      <c r="C151" s="17">
        <f t="shared" si="4"/>
        <v>5</v>
      </c>
      <c r="D151" s="21">
        <v>1</v>
      </c>
      <c r="E151" s="61">
        <v>0</v>
      </c>
      <c r="F151" s="21">
        <v>0</v>
      </c>
      <c r="G151" s="61">
        <v>1</v>
      </c>
      <c r="H151" s="21">
        <v>0</v>
      </c>
      <c r="I151" s="61">
        <v>2</v>
      </c>
      <c r="J151" s="21">
        <v>0</v>
      </c>
      <c r="K151" s="61">
        <v>2</v>
      </c>
      <c r="L151" s="21">
        <v>1</v>
      </c>
      <c r="M151" s="61">
        <v>1</v>
      </c>
    </row>
    <row r="152" spans="1:13" ht="15.75" customHeight="1" x14ac:dyDescent="0.25">
      <c r="A152" s="27">
        <v>2010</v>
      </c>
      <c r="B152" s="20">
        <v>0</v>
      </c>
      <c r="C152" s="17">
        <f t="shared" si="4"/>
        <v>7</v>
      </c>
      <c r="D152" s="20">
        <v>4</v>
      </c>
      <c r="E152" s="17">
        <v>0</v>
      </c>
      <c r="F152" s="20">
        <v>0</v>
      </c>
      <c r="G152" s="17">
        <v>0</v>
      </c>
      <c r="H152" s="20">
        <v>1</v>
      </c>
      <c r="I152" s="17">
        <v>0</v>
      </c>
      <c r="J152" s="20">
        <v>1</v>
      </c>
      <c r="K152" s="17">
        <v>2</v>
      </c>
      <c r="L152" s="20">
        <v>4</v>
      </c>
      <c r="M152" s="17">
        <v>1</v>
      </c>
    </row>
    <row r="153" spans="1:13" ht="15.75" customHeight="1" x14ac:dyDescent="0.25">
      <c r="A153" s="29">
        <v>2011</v>
      </c>
      <c r="B153" s="21">
        <v>0</v>
      </c>
      <c r="C153" s="17">
        <f t="shared" si="4"/>
        <v>7</v>
      </c>
      <c r="D153" s="21">
        <v>1</v>
      </c>
      <c r="E153" s="61">
        <v>0</v>
      </c>
      <c r="F153" s="21">
        <v>0</v>
      </c>
      <c r="G153" s="61">
        <v>0</v>
      </c>
      <c r="H153" s="21">
        <v>1</v>
      </c>
      <c r="I153" s="61">
        <v>0</v>
      </c>
      <c r="J153" s="21">
        <v>1</v>
      </c>
      <c r="K153" s="61">
        <v>4</v>
      </c>
      <c r="L153" s="21">
        <v>2</v>
      </c>
      <c r="M153" s="61">
        <v>1</v>
      </c>
    </row>
    <row r="154" spans="1:13" ht="15.75" customHeight="1" x14ac:dyDescent="0.25">
      <c r="A154" s="27">
        <v>2012</v>
      </c>
      <c r="B154" s="20">
        <v>0</v>
      </c>
      <c r="C154" s="17">
        <f t="shared" si="4"/>
        <v>5</v>
      </c>
      <c r="D154" s="20">
        <v>2</v>
      </c>
      <c r="E154" s="17">
        <v>1</v>
      </c>
      <c r="F154" s="20">
        <v>1</v>
      </c>
      <c r="G154" s="17">
        <v>0</v>
      </c>
      <c r="H154" s="20">
        <v>1</v>
      </c>
      <c r="I154" s="17">
        <v>1</v>
      </c>
      <c r="J154" s="20">
        <v>1</v>
      </c>
      <c r="K154" s="17">
        <v>2</v>
      </c>
      <c r="L154" s="20">
        <v>2</v>
      </c>
      <c r="M154" s="17">
        <v>1</v>
      </c>
    </row>
    <row r="155" spans="1:13" ht="15.75" customHeight="1" x14ac:dyDescent="0.25">
      <c r="A155" s="29">
        <v>2013</v>
      </c>
      <c r="B155" s="21">
        <v>0</v>
      </c>
      <c r="C155" s="17">
        <f t="shared" si="4"/>
        <v>7</v>
      </c>
      <c r="D155" s="21">
        <v>0</v>
      </c>
      <c r="E155" s="61">
        <v>0</v>
      </c>
      <c r="F155" s="21">
        <v>2</v>
      </c>
      <c r="G155" s="61">
        <v>1</v>
      </c>
      <c r="H155" s="21">
        <v>1</v>
      </c>
      <c r="I155" s="61">
        <v>5</v>
      </c>
      <c r="J155" s="21">
        <v>0</v>
      </c>
      <c r="K155" s="61">
        <v>2</v>
      </c>
      <c r="L155" s="21">
        <v>3</v>
      </c>
      <c r="M155" s="61">
        <v>1</v>
      </c>
    </row>
    <row r="156" spans="1:13" ht="15.75" customHeight="1" x14ac:dyDescent="0.25">
      <c r="A156" s="27">
        <v>2014</v>
      </c>
      <c r="B156" s="20">
        <v>4</v>
      </c>
      <c r="C156" s="17">
        <f t="shared" si="4"/>
        <v>12</v>
      </c>
      <c r="D156" s="20">
        <v>1</v>
      </c>
      <c r="E156" s="17">
        <v>0</v>
      </c>
      <c r="F156" s="20">
        <v>2</v>
      </c>
      <c r="G156" s="17">
        <v>1</v>
      </c>
      <c r="H156" s="20">
        <v>2</v>
      </c>
      <c r="I156" s="17">
        <v>5</v>
      </c>
      <c r="J156" s="20">
        <v>0</v>
      </c>
      <c r="K156" s="17">
        <v>3</v>
      </c>
      <c r="L156" s="20">
        <v>7</v>
      </c>
      <c r="M156" s="17">
        <v>1</v>
      </c>
    </row>
    <row r="157" spans="1:13" ht="15.75" customHeight="1" x14ac:dyDescent="0.25">
      <c r="A157" s="29">
        <v>2015</v>
      </c>
      <c r="B157" s="21">
        <v>0</v>
      </c>
      <c r="C157" s="17">
        <f t="shared" si="4"/>
        <v>21</v>
      </c>
      <c r="D157" s="21">
        <v>11</v>
      </c>
      <c r="E157" s="61">
        <v>1</v>
      </c>
      <c r="F157" s="21">
        <v>4</v>
      </c>
      <c r="G157" s="61">
        <v>6</v>
      </c>
      <c r="H157" s="21">
        <v>4</v>
      </c>
      <c r="I157" s="61">
        <v>3</v>
      </c>
      <c r="J157" s="21">
        <v>0</v>
      </c>
      <c r="K157" s="61">
        <v>7</v>
      </c>
      <c r="L157" s="21">
        <v>5</v>
      </c>
      <c r="M157" s="61">
        <v>3</v>
      </c>
    </row>
    <row r="158" spans="1:13" ht="15.75" customHeight="1" x14ac:dyDescent="0.25">
      <c r="A158" s="27">
        <v>2016</v>
      </c>
      <c r="B158" s="20">
        <v>1</v>
      </c>
      <c r="C158" s="17">
        <f t="shared" si="4"/>
        <v>22</v>
      </c>
      <c r="D158" s="20">
        <v>3</v>
      </c>
      <c r="E158" s="17">
        <v>1</v>
      </c>
      <c r="F158" s="20">
        <v>2</v>
      </c>
      <c r="G158" s="17">
        <v>0</v>
      </c>
      <c r="H158" s="20">
        <v>4</v>
      </c>
      <c r="I158" s="17">
        <v>4</v>
      </c>
      <c r="J158" s="20">
        <v>1</v>
      </c>
      <c r="K158" s="17">
        <v>10</v>
      </c>
      <c r="L158" s="20">
        <v>9</v>
      </c>
      <c r="M158" s="17">
        <v>3</v>
      </c>
    </row>
    <row r="159" spans="1:13" ht="15.75" customHeight="1" x14ac:dyDescent="0.25">
      <c r="A159" s="29">
        <v>2017</v>
      </c>
      <c r="B159" s="21">
        <v>1</v>
      </c>
      <c r="C159" s="17">
        <f t="shared" si="4"/>
        <v>25</v>
      </c>
      <c r="D159" s="21">
        <v>7</v>
      </c>
      <c r="E159" s="61">
        <v>5</v>
      </c>
      <c r="F159" s="21">
        <v>3</v>
      </c>
      <c r="G159" s="61">
        <v>2</v>
      </c>
      <c r="H159" s="21">
        <v>5</v>
      </c>
      <c r="I159" s="61">
        <v>5</v>
      </c>
      <c r="J159" s="21">
        <v>0</v>
      </c>
      <c r="K159" s="61">
        <v>13</v>
      </c>
      <c r="L159" s="21">
        <v>10</v>
      </c>
      <c r="M159" s="61">
        <v>0</v>
      </c>
    </row>
    <row r="160" spans="1:13" ht="15.75" customHeight="1" x14ac:dyDescent="0.25">
      <c r="A160" s="27">
        <v>2018</v>
      </c>
      <c r="B160" s="20">
        <v>6</v>
      </c>
      <c r="C160" s="17">
        <f t="shared" si="4"/>
        <v>19</v>
      </c>
      <c r="D160" s="20">
        <v>5</v>
      </c>
      <c r="E160" s="17">
        <v>1</v>
      </c>
      <c r="F160" s="20">
        <v>1</v>
      </c>
      <c r="G160" s="17">
        <v>2</v>
      </c>
      <c r="H160" s="20">
        <v>4</v>
      </c>
      <c r="I160" s="17">
        <v>2</v>
      </c>
      <c r="J160" s="20">
        <v>1</v>
      </c>
      <c r="K160" s="17">
        <v>6</v>
      </c>
      <c r="L160" s="20">
        <v>9</v>
      </c>
      <c r="M160" s="17">
        <v>2</v>
      </c>
    </row>
    <row r="161" spans="1:13" ht="15.75" customHeight="1" x14ac:dyDescent="0.25">
      <c r="A161" s="29">
        <v>2019</v>
      </c>
      <c r="B161" s="21">
        <v>2</v>
      </c>
      <c r="C161" s="17">
        <f t="shared" si="4"/>
        <v>26</v>
      </c>
      <c r="D161" s="21">
        <v>1</v>
      </c>
      <c r="E161" s="61">
        <v>4</v>
      </c>
      <c r="F161" s="21">
        <v>1</v>
      </c>
      <c r="G161" s="61">
        <v>2</v>
      </c>
      <c r="H161" s="21">
        <v>2</v>
      </c>
      <c r="I161" s="61">
        <v>6</v>
      </c>
      <c r="J161" s="21">
        <v>0</v>
      </c>
      <c r="K161" s="61">
        <v>7</v>
      </c>
      <c r="L161" s="21">
        <v>13</v>
      </c>
      <c r="M161" s="61">
        <v>4</v>
      </c>
    </row>
    <row r="162" spans="1:13" ht="15.75" customHeight="1" x14ac:dyDescent="0.25">
      <c r="A162" s="27">
        <v>2020</v>
      </c>
      <c r="B162" s="20">
        <v>0</v>
      </c>
      <c r="C162" s="17">
        <f t="shared" si="4"/>
        <v>5</v>
      </c>
      <c r="D162" s="20">
        <v>0</v>
      </c>
      <c r="E162" s="17">
        <v>0</v>
      </c>
      <c r="F162" s="20">
        <v>1</v>
      </c>
      <c r="G162" s="17">
        <v>0</v>
      </c>
      <c r="H162" s="20">
        <v>0</v>
      </c>
      <c r="I162" s="17">
        <v>3</v>
      </c>
      <c r="J162" s="20">
        <v>0</v>
      </c>
      <c r="K162" s="17">
        <v>3</v>
      </c>
      <c r="L162" s="20">
        <v>2</v>
      </c>
      <c r="M162" s="17">
        <v>0</v>
      </c>
    </row>
    <row r="163" spans="1:13" ht="15.75" customHeight="1" x14ac:dyDescent="0.25">
      <c r="A163" s="29">
        <v>2021</v>
      </c>
      <c r="B163" s="21">
        <v>0</v>
      </c>
      <c r="C163" s="17">
        <f t="shared" si="4"/>
        <v>8</v>
      </c>
      <c r="D163" s="21">
        <v>1</v>
      </c>
      <c r="E163" s="61">
        <v>0</v>
      </c>
      <c r="F163" s="21">
        <v>0</v>
      </c>
      <c r="G163" s="61">
        <v>0</v>
      </c>
      <c r="H163" s="21">
        <v>0</v>
      </c>
      <c r="I163" s="61">
        <v>5</v>
      </c>
      <c r="J163" s="21">
        <v>0</v>
      </c>
      <c r="K163" s="61">
        <v>3</v>
      </c>
      <c r="L163" s="21">
        <v>5</v>
      </c>
      <c r="M163" s="61">
        <v>0</v>
      </c>
    </row>
    <row r="164" spans="1:13" ht="15.75" customHeight="1" x14ac:dyDescent="0.25">
      <c r="A164" s="27">
        <v>2022</v>
      </c>
      <c r="B164" s="20">
        <v>0</v>
      </c>
      <c r="C164" s="17">
        <f t="shared" si="4"/>
        <v>3</v>
      </c>
      <c r="D164" s="20">
        <v>1</v>
      </c>
      <c r="E164" s="17">
        <v>1</v>
      </c>
      <c r="F164" s="20">
        <v>0</v>
      </c>
      <c r="G164" s="17">
        <v>0</v>
      </c>
      <c r="H164" s="20">
        <v>0</v>
      </c>
      <c r="I164" s="17">
        <v>5</v>
      </c>
      <c r="J164" s="20">
        <v>0</v>
      </c>
      <c r="K164" s="17">
        <v>1</v>
      </c>
      <c r="L164" s="20">
        <v>2</v>
      </c>
      <c r="M164" s="17">
        <v>0</v>
      </c>
    </row>
  </sheetData>
  <pageMargins left="0.7" right="0.7" top="0.75" bottom="0.75" header="0" footer="0"/>
  <pageSetup orientation="portrait"/>
  <drawing r:id="rId4"/>
  <tableParts count="1">
    <tablePart r:id="rId5"/>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2:E30"/>
  <sheetViews>
    <sheetView topLeftCell="A22" workbookViewId="0">
      <selection activeCell="D20" sqref="D20"/>
    </sheetView>
  </sheetViews>
  <sheetFormatPr defaultColWidth="14.42578125" defaultRowHeight="15" customHeight="1" x14ac:dyDescent="0.25"/>
  <cols>
    <col min="1" max="1" width="23.42578125" customWidth="1"/>
    <col min="2" max="2" width="13.28515625" customWidth="1"/>
    <col min="3" max="3" width="10.42578125" customWidth="1"/>
    <col min="4" max="4" width="11.7109375" customWidth="1"/>
    <col min="5" max="5" width="10.7109375" customWidth="1"/>
    <col min="6" max="6" width="13" customWidth="1"/>
    <col min="7" max="26" width="11.42578125" customWidth="1"/>
  </cols>
  <sheetData>
    <row r="2" spans="1:5" ht="15" customHeight="1" x14ac:dyDescent="0.25">
      <c r="A2" s="12" t="s">
        <v>3151</v>
      </c>
    </row>
    <row r="5" spans="1:5" ht="15" customHeight="1" x14ac:dyDescent="0.25">
      <c r="A5" s="111" t="s">
        <v>2778</v>
      </c>
      <c r="B5" s="111" t="s">
        <v>10</v>
      </c>
      <c r="C5" s="112"/>
      <c r="D5" s="112"/>
      <c r="E5" s="113"/>
    </row>
    <row r="6" spans="1:5" x14ac:dyDescent="0.25">
      <c r="A6" s="111" t="s">
        <v>8</v>
      </c>
      <c r="B6" s="114" t="s">
        <v>150</v>
      </c>
      <c r="C6" s="115" t="s">
        <v>118</v>
      </c>
      <c r="D6" s="115" t="s">
        <v>640</v>
      </c>
      <c r="E6" s="122" t="s">
        <v>2779</v>
      </c>
    </row>
    <row r="7" spans="1:5" x14ac:dyDescent="0.25">
      <c r="A7" s="114">
        <v>2002</v>
      </c>
      <c r="B7" s="184">
        <v>28</v>
      </c>
      <c r="C7" s="185">
        <v>81</v>
      </c>
      <c r="D7" s="185">
        <v>0</v>
      </c>
      <c r="E7" s="199">
        <v>109</v>
      </c>
    </row>
    <row r="8" spans="1:5" x14ac:dyDescent="0.25">
      <c r="A8" s="117">
        <v>2003</v>
      </c>
      <c r="B8" s="187">
        <v>61</v>
      </c>
      <c r="C8" s="188">
        <v>53</v>
      </c>
      <c r="D8" s="188">
        <v>0</v>
      </c>
      <c r="E8" s="200">
        <v>114</v>
      </c>
    </row>
    <row r="9" spans="1:5" x14ac:dyDescent="0.25">
      <c r="A9" s="117">
        <v>2004</v>
      </c>
      <c r="B9" s="187">
        <v>63</v>
      </c>
      <c r="C9" s="188">
        <v>68</v>
      </c>
      <c r="D9" s="188">
        <v>0</v>
      </c>
      <c r="E9" s="200">
        <v>131</v>
      </c>
    </row>
    <row r="10" spans="1:5" x14ac:dyDescent="0.25">
      <c r="A10" s="117">
        <v>2005</v>
      </c>
      <c r="B10" s="187">
        <v>65</v>
      </c>
      <c r="C10" s="188">
        <v>92</v>
      </c>
      <c r="D10" s="188">
        <v>0</v>
      </c>
      <c r="E10" s="200">
        <v>157</v>
      </c>
    </row>
    <row r="11" spans="1:5" x14ac:dyDescent="0.25">
      <c r="A11" s="117">
        <v>2006</v>
      </c>
      <c r="B11" s="187">
        <v>76</v>
      </c>
      <c r="C11" s="188">
        <v>57</v>
      </c>
      <c r="D11" s="188">
        <v>5</v>
      </c>
      <c r="E11" s="200">
        <v>138</v>
      </c>
    </row>
    <row r="12" spans="1:5" x14ac:dyDescent="0.25">
      <c r="A12" s="117">
        <v>2007</v>
      </c>
      <c r="B12" s="187">
        <v>76</v>
      </c>
      <c r="C12" s="188">
        <v>72</v>
      </c>
      <c r="D12" s="188">
        <v>1</v>
      </c>
      <c r="E12" s="200">
        <v>149</v>
      </c>
    </row>
    <row r="13" spans="1:5" x14ac:dyDescent="0.25">
      <c r="A13" s="117">
        <v>2008</v>
      </c>
      <c r="B13" s="187">
        <v>70</v>
      </c>
      <c r="C13" s="188">
        <v>58</v>
      </c>
      <c r="D13" s="188">
        <v>0</v>
      </c>
      <c r="E13" s="200">
        <v>128</v>
      </c>
    </row>
    <row r="14" spans="1:5" x14ac:dyDescent="0.25">
      <c r="A14" s="117">
        <v>2009</v>
      </c>
      <c r="B14" s="187">
        <v>74</v>
      </c>
      <c r="C14" s="188">
        <v>74</v>
      </c>
      <c r="D14" s="188">
        <v>0</v>
      </c>
      <c r="E14" s="200">
        <v>148</v>
      </c>
    </row>
    <row r="15" spans="1:5" x14ac:dyDescent="0.25">
      <c r="A15" s="117">
        <v>2010</v>
      </c>
      <c r="B15" s="187">
        <v>90</v>
      </c>
      <c r="C15" s="188">
        <v>78</v>
      </c>
      <c r="D15" s="188">
        <v>2</v>
      </c>
      <c r="E15" s="200">
        <v>170</v>
      </c>
    </row>
    <row r="16" spans="1:5" x14ac:dyDescent="0.25">
      <c r="A16" s="117">
        <v>2011</v>
      </c>
      <c r="B16" s="187">
        <v>47</v>
      </c>
      <c r="C16" s="188">
        <v>63</v>
      </c>
      <c r="D16" s="188">
        <v>12</v>
      </c>
      <c r="E16" s="200">
        <v>122</v>
      </c>
    </row>
    <row r="17" spans="1:5" x14ac:dyDescent="0.25">
      <c r="A17" s="117">
        <v>2012</v>
      </c>
      <c r="B17" s="187">
        <v>23</v>
      </c>
      <c r="C17" s="188">
        <v>62</v>
      </c>
      <c r="D17" s="188">
        <v>2</v>
      </c>
      <c r="E17" s="200">
        <v>87</v>
      </c>
    </row>
    <row r="18" spans="1:5" x14ac:dyDescent="0.25">
      <c r="A18" s="117">
        <v>2013</v>
      </c>
      <c r="B18" s="187">
        <v>28</v>
      </c>
      <c r="C18" s="188">
        <v>78</v>
      </c>
      <c r="D18" s="188">
        <v>2</v>
      </c>
      <c r="E18" s="200">
        <v>108</v>
      </c>
    </row>
    <row r="19" spans="1:5" x14ac:dyDescent="0.25">
      <c r="A19" s="117">
        <v>2014</v>
      </c>
      <c r="B19" s="187">
        <v>34</v>
      </c>
      <c r="C19" s="188">
        <v>76</v>
      </c>
      <c r="D19" s="188">
        <v>7</v>
      </c>
      <c r="E19" s="200">
        <v>117</v>
      </c>
    </row>
    <row r="20" spans="1:5" x14ac:dyDescent="0.25">
      <c r="A20" s="117">
        <v>2015</v>
      </c>
      <c r="B20" s="187">
        <v>40</v>
      </c>
      <c r="C20" s="188">
        <v>72</v>
      </c>
      <c r="D20" s="188">
        <v>12</v>
      </c>
      <c r="E20" s="200">
        <v>124</v>
      </c>
    </row>
    <row r="21" spans="1:5" x14ac:dyDescent="0.25">
      <c r="A21" s="117">
        <v>2016</v>
      </c>
      <c r="B21" s="187">
        <v>27</v>
      </c>
      <c r="C21" s="188">
        <v>59</v>
      </c>
      <c r="D21" s="188">
        <v>12</v>
      </c>
      <c r="E21" s="200">
        <v>98</v>
      </c>
    </row>
    <row r="22" spans="1:5" x14ac:dyDescent="0.25">
      <c r="A22" s="117">
        <v>2017</v>
      </c>
      <c r="B22" s="187">
        <v>25</v>
      </c>
      <c r="C22" s="188">
        <v>56</v>
      </c>
      <c r="D22" s="188">
        <v>4</v>
      </c>
      <c r="E22" s="200">
        <v>85</v>
      </c>
    </row>
    <row r="23" spans="1:5" x14ac:dyDescent="0.25">
      <c r="A23" s="117">
        <v>2018</v>
      </c>
      <c r="B23" s="187">
        <v>23</v>
      </c>
      <c r="C23" s="188">
        <v>39</v>
      </c>
      <c r="D23" s="188">
        <v>33</v>
      </c>
      <c r="E23" s="200">
        <v>95</v>
      </c>
    </row>
    <row r="24" spans="1:5" x14ac:dyDescent="0.25">
      <c r="A24" s="117">
        <v>2019</v>
      </c>
      <c r="B24" s="187">
        <v>28</v>
      </c>
      <c r="C24" s="188">
        <v>42</v>
      </c>
      <c r="D24" s="188">
        <v>30</v>
      </c>
      <c r="E24" s="200">
        <v>100</v>
      </c>
    </row>
    <row r="25" spans="1:5" x14ac:dyDescent="0.25">
      <c r="A25" s="117">
        <v>2020</v>
      </c>
      <c r="B25" s="187">
        <v>6</v>
      </c>
      <c r="C25" s="188">
        <v>2</v>
      </c>
      <c r="D25" s="188">
        <v>3</v>
      </c>
      <c r="E25" s="200">
        <v>11</v>
      </c>
    </row>
    <row r="26" spans="1:5" x14ac:dyDescent="0.25">
      <c r="A26" s="117">
        <v>2021</v>
      </c>
      <c r="B26" s="187">
        <v>9</v>
      </c>
      <c r="C26" s="188">
        <v>0</v>
      </c>
      <c r="D26" s="188">
        <v>4</v>
      </c>
      <c r="E26" s="200">
        <v>13</v>
      </c>
    </row>
    <row r="27" spans="1:5" x14ac:dyDescent="0.25">
      <c r="A27" s="117">
        <v>2022</v>
      </c>
      <c r="B27" s="187">
        <v>7</v>
      </c>
      <c r="C27" s="188">
        <v>6</v>
      </c>
      <c r="D27" s="188">
        <v>3</v>
      </c>
      <c r="E27" s="200">
        <v>16</v>
      </c>
    </row>
    <row r="28" spans="1:5" x14ac:dyDescent="0.25">
      <c r="A28" s="117">
        <v>2023</v>
      </c>
      <c r="B28" s="187">
        <v>9</v>
      </c>
      <c r="C28" s="188">
        <v>16</v>
      </c>
      <c r="D28" s="188">
        <v>32</v>
      </c>
      <c r="E28" s="200">
        <v>57</v>
      </c>
    </row>
    <row r="29" spans="1:5" x14ac:dyDescent="0.25">
      <c r="A29" s="117">
        <v>2024</v>
      </c>
      <c r="B29" s="187">
        <v>10</v>
      </c>
      <c r="C29" s="188">
        <v>15</v>
      </c>
      <c r="D29" s="188">
        <v>50</v>
      </c>
      <c r="E29" s="200">
        <v>75</v>
      </c>
    </row>
    <row r="30" spans="1:5" x14ac:dyDescent="0.25">
      <c r="A30" s="121" t="s">
        <v>2779</v>
      </c>
      <c r="B30" s="196">
        <v>919</v>
      </c>
      <c r="C30" s="197">
        <v>1219</v>
      </c>
      <c r="D30" s="197">
        <v>214</v>
      </c>
      <c r="E30" s="198">
        <v>2352</v>
      </c>
    </row>
  </sheetData>
  <pageMargins left="0.7" right="0.7" top="0.75" bottom="0.75" header="0" footer="0"/>
  <pageSetup orientation="landscape"/>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Z13"/>
  <sheetViews>
    <sheetView workbookViewId="0">
      <selection activeCell="AA26" sqref="AA26"/>
    </sheetView>
  </sheetViews>
  <sheetFormatPr defaultColWidth="14.42578125" defaultRowHeight="15" customHeight="1" x14ac:dyDescent="0.25"/>
  <cols>
    <col min="1" max="1" width="20.7109375" customWidth="1"/>
    <col min="2" max="2" width="16.28515625" customWidth="1"/>
    <col min="3" max="25" width="5" customWidth="1"/>
    <col min="26" max="35" width="8.7109375" customWidth="1"/>
  </cols>
  <sheetData>
    <row r="1" spans="1:26" ht="15" customHeight="1" x14ac:dyDescent="0.25">
      <c r="A1" s="178" t="s">
        <v>3780</v>
      </c>
      <c r="B1" s="79"/>
      <c r="C1" s="79"/>
      <c r="D1" s="79"/>
    </row>
    <row r="3" spans="1:26" x14ac:dyDescent="0.25">
      <c r="A3" s="111" t="s">
        <v>2882</v>
      </c>
      <c r="B3" s="111" t="s">
        <v>8</v>
      </c>
      <c r="C3" s="112"/>
      <c r="D3" s="112"/>
      <c r="E3" s="112"/>
      <c r="F3" s="112"/>
      <c r="G3" s="112"/>
      <c r="H3" s="112"/>
      <c r="I3" s="112"/>
      <c r="J3" s="112"/>
      <c r="K3" s="112"/>
      <c r="L3" s="112"/>
      <c r="M3" s="112"/>
      <c r="N3" s="112"/>
      <c r="O3" s="112"/>
      <c r="P3" s="112"/>
      <c r="Q3" s="112"/>
      <c r="R3" s="112"/>
      <c r="S3" s="112"/>
      <c r="T3" s="112"/>
      <c r="U3" s="112"/>
      <c r="V3" s="112"/>
      <c r="W3" s="112"/>
      <c r="X3" s="112"/>
      <c r="Y3" s="112"/>
      <c r="Z3" s="113"/>
    </row>
    <row r="4" spans="1:26" x14ac:dyDescent="0.25">
      <c r="A4" s="111" t="s">
        <v>10</v>
      </c>
      <c r="B4" s="114">
        <v>2000</v>
      </c>
      <c r="C4" s="115">
        <v>2001</v>
      </c>
      <c r="D4" s="115">
        <v>2002</v>
      </c>
      <c r="E4" s="115">
        <v>2003</v>
      </c>
      <c r="F4" s="115">
        <v>2004</v>
      </c>
      <c r="G4" s="115">
        <v>2006</v>
      </c>
      <c r="H4" s="115">
        <v>2007</v>
      </c>
      <c r="I4" s="115">
        <v>2008</v>
      </c>
      <c r="J4" s="115">
        <v>2009</v>
      </c>
      <c r="K4" s="115">
        <v>2010</v>
      </c>
      <c r="L4" s="115">
        <v>2011</v>
      </c>
      <c r="M4" s="115">
        <v>2012</v>
      </c>
      <c r="N4" s="115">
        <v>2013</v>
      </c>
      <c r="O4" s="115">
        <v>2014</v>
      </c>
      <c r="P4" s="115">
        <v>2015</v>
      </c>
      <c r="Q4" s="115">
        <v>2016</v>
      </c>
      <c r="R4" s="115">
        <v>2017</v>
      </c>
      <c r="S4" s="115">
        <v>2018</v>
      </c>
      <c r="T4" s="115">
        <v>2019</v>
      </c>
      <c r="U4" s="115">
        <v>2020</v>
      </c>
      <c r="V4" s="115">
        <v>2021</v>
      </c>
      <c r="W4" s="115">
        <v>2022</v>
      </c>
      <c r="X4" s="115">
        <v>2023</v>
      </c>
      <c r="Y4" s="115">
        <v>2024</v>
      </c>
      <c r="Z4" s="122" t="s">
        <v>2779</v>
      </c>
    </row>
    <row r="5" spans="1:26" x14ac:dyDescent="0.25">
      <c r="A5" s="114" t="s">
        <v>80</v>
      </c>
      <c r="B5" s="184">
        <v>1</v>
      </c>
      <c r="C5" s="185">
        <v>0</v>
      </c>
      <c r="D5" s="185">
        <v>0</v>
      </c>
      <c r="E5" s="185">
        <v>1</v>
      </c>
      <c r="F5" s="185">
        <v>0</v>
      </c>
      <c r="G5" s="185">
        <v>0</v>
      </c>
      <c r="H5" s="185">
        <v>2</v>
      </c>
      <c r="I5" s="185">
        <v>2</v>
      </c>
      <c r="J5" s="185">
        <v>2</v>
      </c>
      <c r="K5" s="185">
        <v>2</v>
      </c>
      <c r="L5" s="185">
        <v>3</v>
      </c>
      <c r="M5" s="185">
        <v>3</v>
      </c>
      <c r="N5" s="185">
        <v>4</v>
      </c>
      <c r="O5" s="185">
        <v>4</v>
      </c>
      <c r="P5" s="185">
        <v>3</v>
      </c>
      <c r="Q5" s="185">
        <v>4</v>
      </c>
      <c r="R5" s="185">
        <v>4</v>
      </c>
      <c r="S5" s="185">
        <v>4</v>
      </c>
      <c r="T5" s="185">
        <v>4</v>
      </c>
      <c r="U5" s="185">
        <v>1</v>
      </c>
      <c r="V5" s="185">
        <v>2</v>
      </c>
      <c r="W5" s="185">
        <v>3</v>
      </c>
      <c r="X5" s="185">
        <v>3</v>
      </c>
      <c r="Y5" s="185">
        <v>5</v>
      </c>
      <c r="Z5" s="199">
        <v>57</v>
      </c>
    </row>
    <row r="6" spans="1:26" x14ac:dyDescent="0.25">
      <c r="A6" s="117" t="s">
        <v>100</v>
      </c>
      <c r="B6" s="187">
        <v>0</v>
      </c>
      <c r="C6" s="188">
        <v>1</v>
      </c>
      <c r="D6" s="188">
        <v>1</v>
      </c>
      <c r="E6" s="188">
        <v>0</v>
      </c>
      <c r="F6" s="188">
        <v>1</v>
      </c>
      <c r="G6" s="188">
        <v>1</v>
      </c>
      <c r="H6" s="188">
        <v>0</v>
      </c>
      <c r="I6" s="188">
        <v>0</v>
      </c>
      <c r="J6" s="188">
        <v>0</v>
      </c>
      <c r="K6" s="188">
        <v>0</v>
      </c>
      <c r="L6" s="188">
        <v>1</v>
      </c>
      <c r="M6" s="188">
        <v>2</v>
      </c>
      <c r="N6" s="188">
        <v>0</v>
      </c>
      <c r="O6" s="188">
        <v>3</v>
      </c>
      <c r="P6" s="188">
        <v>2</v>
      </c>
      <c r="Q6" s="188">
        <v>2</v>
      </c>
      <c r="R6" s="188">
        <v>0</v>
      </c>
      <c r="S6" s="188">
        <v>5</v>
      </c>
      <c r="T6" s="188">
        <v>1</v>
      </c>
      <c r="U6" s="188">
        <v>0</v>
      </c>
      <c r="V6" s="188">
        <v>0</v>
      </c>
      <c r="W6" s="188">
        <v>2</v>
      </c>
      <c r="X6" s="188">
        <v>1</v>
      </c>
      <c r="Y6" s="188">
        <v>2</v>
      </c>
      <c r="Z6" s="200">
        <v>25</v>
      </c>
    </row>
    <row r="7" spans="1:26" x14ac:dyDescent="0.25">
      <c r="A7" s="117" t="s">
        <v>2488</v>
      </c>
      <c r="B7" s="187">
        <v>0</v>
      </c>
      <c r="C7" s="188">
        <v>0</v>
      </c>
      <c r="D7" s="188">
        <v>0</v>
      </c>
      <c r="E7" s="188">
        <v>0</v>
      </c>
      <c r="F7" s="188">
        <v>0</v>
      </c>
      <c r="G7" s="188">
        <v>0</v>
      </c>
      <c r="H7" s="188">
        <v>0</v>
      </c>
      <c r="I7" s="188">
        <v>0</v>
      </c>
      <c r="J7" s="188">
        <v>0</v>
      </c>
      <c r="K7" s="188">
        <v>0</v>
      </c>
      <c r="L7" s="188">
        <v>0</v>
      </c>
      <c r="M7" s="188">
        <v>0</v>
      </c>
      <c r="N7" s="188">
        <v>0</v>
      </c>
      <c r="O7" s="188">
        <v>0</v>
      </c>
      <c r="P7" s="188">
        <v>0</v>
      </c>
      <c r="Q7" s="188">
        <v>0</v>
      </c>
      <c r="R7" s="188">
        <v>0</v>
      </c>
      <c r="S7" s="188">
        <v>0</v>
      </c>
      <c r="T7" s="188">
        <v>0</v>
      </c>
      <c r="U7" s="188">
        <v>2</v>
      </c>
      <c r="V7" s="188">
        <v>5</v>
      </c>
      <c r="W7" s="188">
        <v>8</v>
      </c>
      <c r="X7" s="188">
        <v>0</v>
      </c>
      <c r="Y7" s="188">
        <v>0</v>
      </c>
      <c r="Z7" s="200">
        <v>15</v>
      </c>
    </row>
    <row r="8" spans="1:26" x14ac:dyDescent="0.25">
      <c r="A8" s="121" t="s">
        <v>2779</v>
      </c>
      <c r="B8" s="196">
        <v>1</v>
      </c>
      <c r="C8" s="197">
        <v>1</v>
      </c>
      <c r="D8" s="197">
        <v>1</v>
      </c>
      <c r="E8" s="197">
        <v>1</v>
      </c>
      <c r="F8" s="197">
        <v>1</v>
      </c>
      <c r="G8" s="197">
        <v>1</v>
      </c>
      <c r="H8" s="197">
        <v>2</v>
      </c>
      <c r="I8" s="197">
        <v>2</v>
      </c>
      <c r="J8" s="197">
        <v>2</v>
      </c>
      <c r="K8" s="197">
        <v>2</v>
      </c>
      <c r="L8" s="197">
        <v>4</v>
      </c>
      <c r="M8" s="197">
        <v>5</v>
      </c>
      <c r="N8" s="197">
        <v>4</v>
      </c>
      <c r="O8" s="197">
        <v>7</v>
      </c>
      <c r="P8" s="197">
        <v>5</v>
      </c>
      <c r="Q8" s="197">
        <v>6</v>
      </c>
      <c r="R8" s="197">
        <v>4</v>
      </c>
      <c r="S8" s="197">
        <v>9</v>
      </c>
      <c r="T8" s="197">
        <v>5</v>
      </c>
      <c r="U8" s="197">
        <v>3</v>
      </c>
      <c r="V8" s="197">
        <v>7</v>
      </c>
      <c r="W8" s="197">
        <v>13</v>
      </c>
      <c r="X8" s="197">
        <v>4</v>
      </c>
      <c r="Y8" s="197">
        <v>7</v>
      </c>
      <c r="Z8" s="198">
        <v>97</v>
      </c>
    </row>
    <row r="12" spans="1:26" x14ac:dyDescent="0.25">
      <c r="A12" s="22" t="s">
        <v>2821</v>
      </c>
      <c r="B12" s="22">
        <v>2000</v>
      </c>
      <c r="C12" s="22">
        <v>2001</v>
      </c>
      <c r="D12" s="22">
        <v>2002</v>
      </c>
      <c r="E12" s="22">
        <v>2003</v>
      </c>
      <c r="F12" s="22">
        <v>2004</v>
      </c>
      <c r="G12" s="22">
        <v>2006</v>
      </c>
      <c r="H12" s="22">
        <v>2007</v>
      </c>
      <c r="I12" s="22">
        <v>2008</v>
      </c>
      <c r="J12" s="22">
        <v>2009</v>
      </c>
      <c r="K12" s="22">
        <v>2010</v>
      </c>
      <c r="L12" s="22">
        <v>2011</v>
      </c>
      <c r="M12" s="22">
        <v>2012</v>
      </c>
      <c r="N12" s="22">
        <v>2013</v>
      </c>
      <c r="O12" s="22">
        <v>2014</v>
      </c>
      <c r="P12" s="22">
        <v>2015</v>
      </c>
      <c r="Q12" s="22">
        <v>2016</v>
      </c>
      <c r="R12" s="22">
        <v>2017</v>
      </c>
      <c r="S12" s="22">
        <v>2018</v>
      </c>
      <c r="T12" s="22">
        <v>2019</v>
      </c>
      <c r="U12" s="22">
        <v>2020</v>
      </c>
      <c r="V12" s="22">
        <v>2021</v>
      </c>
      <c r="W12" s="22">
        <v>2022</v>
      </c>
      <c r="X12" s="22">
        <v>2023</v>
      </c>
      <c r="Y12" s="22">
        <v>2024</v>
      </c>
      <c r="Z12" s="74" t="s">
        <v>2779</v>
      </c>
    </row>
    <row r="13" spans="1:26" x14ac:dyDescent="0.25">
      <c r="A13" s="62" t="s">
        <v>2779</v>
      </c>
      <c r="B13" s="63">
        <f>GETPIVOTDATA("Activity Type",$A$3,"Year",2000)</f>
        <v>1</v>
      </c>
      <c r="C13" s="63">
        <f>GETPIVOTDATA("Activity Type",$A$3,"Year",2001)</f>
        <v>1</v>
      </c>
      <c r="D13" s="63">
        <f>GETPIVOTDATA("Activity Type",$A$3,"Year",2002)</f>
        <v>1</v>
      </c>
      <c r="E13" s="63">
        <f>GETPIVOTDATA("Activity Type",$A$3,"Year",2003)</f>
        <v>1</v>
      </c>
      <c r="F13" s="63">
        <f>GETPIVOTDATA("Activity Type",$A$3,"Year",2004)</f>
        <v>1</v>
      </c>
      <c r="G13" s="63">
        <f>GETPIVOTDATA("Activity Type",$A$3,"Year",2006)</f>
        <v>1</v>
      </c>
      <c r="H13" s="63">
        <f>GETPIVOTDATA("Activity Type",$A$3,"Year",2007)</f>
        <v>2</v>
      </c>
      <c r="I13" s="63">
        <f>GETPIVOTDATA("Activity Type",$A$3,"Year",2008)</f>
        <v>2</v>
      </c>
      <c r="J13" s="63">
        <f>GETPIVOTDATA("Activity Type",$A$3,"Year",2009)</f>
        <v>2</v>
      </c>
      <c r="K13" s="63">
        <f>GETPIVOTDATA("Activity Type",$A$3,"Year",2010)</f>
        <v>2</v>
      </c>
      <c r="L13" s="63">
        <f>GETPIVOTDATA("Activity Type",$A$3,"Year",2011)</f>
        <v>4</v>
      </c>
      <c r="M13" s="63">
        <f>GETPIVOTDATA("Activity Type",$A$3,"Year",2012)</f>
        <v>5</v>
      </c>
      <c r="N13" s="63">
        <f>GETPIVOTDATA("Activity Type",$A$3,"Year",2013)</f>
        <v>4</v>
      </c>
      <c r="O13" s="63">
        <f>GETPIVOTDATA("Activity Type",$A$3,"Year",2014)</f>
        <v>7</v>
      </c>
      <c r="P13" s="63">
        <f>GETPIVOTDATA("Activity Type",$A$3,"Year",2015)</f>
        <v>5</v>
      </c>
      <c r="Q13" s="63">
        <f>GETPIVOTDATA("Activity Type",$A$3,"Year",2016)</f>
        <v>6</v>
      </c>
      <c r="R13" s="63">
        <f>GETPIVOTDATA("Activity Type",$A$3,"Year",2017)</f>
        <v>4</v>
      </c>
      <c r="S13" s="63">
        <f>GETPIVOTDATA("Activity Type",$A$3,"Year",2018)</f>
        <v>9</v>
      </c>
      <c r="T13" s="63">
        <f>GETPIVOTDATA("Activity Type",$A$3,"Year",2019)</f>
        <v>5</v>
      </c>
      <c r="U13" s="63">
        <f>GETPIVOTDATA("Activity Type",$A$3,"Year",2020)</f>
        <v>3</v>
      </c>
      <c r="V13" s="63">
        <f>GETPIVOTDATA("Activity Type",$A$3,"Year",2021)</f>
        <v>7</v>
      </c>
      <c r="W13" s="63">
        <f>GETPIVOTDATA("Activity Type",$A$3,"Year",2022)</f>
        <v>13</v>
      </c>
      <c r="X13" s="63">
        <f>GETPIVOTDATA("Activity Type",$A$3,"Year",2023)</f>
        <v>4</v>
      </c>
      <c r="Y13" s="63">
        <f>GETPIVOTDATA("Activity Type",$A$3,"Year",2024)</f>
        <v>7</v>
      </c>
      <c r="Z13">
        <f>GETPIVOTDATA("Activity Type",$A$3)</f>
        <v>97</v>
      </c>
    </row>
  </sheetData>
  <pageMargins left="0.7" right="0.7" top="0.75" bottom="0.75" header="0" footer="0"/>
  <pageSetup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69"/>
  <sheetViews>
    <sheetView topLeftCell="A58" workbookViewId="0">
      <selection activeCell="M74" sqref="M74"/>
    </sheetView>
  </sheetViews>
  <sheetFormatPr defaultColWidth="14.42578125" defaultRowHeight="15" customHeight="1" x14ac:dyDescent="0.25"/>
  <cols>
    <col min="1" max="1" width="11.42578125" customWidth="1"/>
    <col min="2" max="3" width="16.42578125" customWidth="1"/>
    <col min="4" max="26" width="11.42578125" customWidth="1"/>
  </cols>
  <sheetData>
    <row r="1" spans="1:3" hidden="1" x14ac:dyDescent="0.25">
      <c r="A1" s="2" t="s">
        <v>2810</v>
      </c>
    </row>
    <row r="2" spans="1:3" hidden="1" x14ac:dyDescent="0.25"/>
    <row r="3" spans="1:3" hidden="1" x14ac:dyDescent="0.25">
      <c r="B3" s="2" t="s">
        <v>2811</v>
      </c>
      <c r="C3" s="2" t="s">
        <v>2812</v>
      </c>
    </row>
    <row r="4" spans="1:3" hidden="1" x14ac:dyDescent="0.25">
      <c r="A4" s="2" t="s">
        <v>91</v>
      </c>
      <c r="B4" s="5">
        <f>COUNTIFS('PLA Military Diplomacy DB v500'!$J:$J,"BL - Abroad", 'PLA Military Diplomacy DB v500'!$F:$F, "AFRICOM", 'PLA Military Diplomacy DB v500'!$H:$H, "&gt;2002", 'PLA Military Diplomacy DB v500'!$H:$H, "&lt;2019" ) + COUNTIFS('PLA Military Diplomacy DB v500'!$J:$J,"ML - Abroad", 'PLA Military Diplomacy DB v500'!$F:$F, "AFRICOM", 'PLA Military Diplomacy DB v500'!$H:$H, "&gt;2002", 'PLA Military Diplomacy DB v500'!$H:$H, "&lt;2019" )</f>
        <v>103</v>
      </c>
      <c r="C4" s="5">
        <f>COUNTIFS('PLA Military Diplomacy DB v500'!$J:$J,"BL - Hosted", 'PLA Military Diplomacy DB v500'!$F:$F, "AFRICOM", 'PLA Military Diplomacy DB v500'!$H:$H, "&gt;2002", 'PLA Military Diplomacy DB v500'!$H:$H, "&lt;2019" ) + COUNTIFS('PLA Military Diplomacy DB v500'!$J:$J,"ML - Hosted", 'PLA Military Diplomacy DB v500'!$F:$F, "AFRICOM", 'PLA Military Diplomacy DB v500'!$H:$H, "&gt;2002", 'PLA Military Diplomacy DB v500'!$H:$H, "&lt;2019" )</f>
        <v>146</v>
      </c>
    </row>
    <row r="5" spans="1:3" hidden="1" x14ac:dyDescent="0.25">
      <c r="A5" s="2" t="s">
        <v>41</v>
      </c>
      <c r="B5" s="5">
        <f>COUNTIFS('PLA Military Diplomacy DB v500'!$J:$J,"BL - Abroad", 'PLA Military Diplomacy DB v500'!$F:$F, "CENTCOM", 'PLA Military Diplomacy DB v500'!$H:$H, "&gt;2002", 'PLA Military Diplomacy DB v500'!$H:$H, "&lt;2019" ) + COUNTIFS('PLA Military Diplomacy DB v500'!$J:$J,"ML - Abroad", 'PLA Military Diplomacy DB v500'!$F:$F, "CENTCOM", 'PLA Military Diplomacy DB v500'!$H:$H, "&gt;2002", 'PLA Military Diplomacy DB v500'!$H:$H, "&lt;2019" )</f>
        <v>113</v>
      </c>
      <c r="C5" s="5">
        <f>COUNTIFS('PLA Military Diplomacy DB v500'!$J:$J,"BL - Hosted", 'PLA Military Diplomacy DB v500'!$F:$F, "CENTCOM", 'PLA Military Diplomacy DB v500'!$H:$H, "&gt;2002", 'PLA Military Diplomacy DB v500'!$H:$H, "&lt;2019" ) + COUNTIFS('PLA Military Diplomacy DB v500'!$J:$J,"ML - Hosted", 'PLA Military Diplomacy DB v500'!$F:$F, "CENTCOM", 'PLA Military Diplomacy DB v500'!$H:$H, "&gt;2002", 'PLA Military Diplomacy DB v500'!$H:$H, "&lt;2019" )</f>
        <v>152</v>
      </c>
    </row>
    <row r="6" spans="1:3" hidden="1" x14ac:dyDescent="0.25">
      <c r="A6" s="2" t="s">
        <v>56</v>
      </c>
      <c r="B6" s="5">
        <f>COUNTIFS('PLA Military Diplomacy DB v500'!$J:$J,"BL - Abroad", 'PLA Military Diplomacy DB v500'!$F:$F, "EUCOM", 'PLA Military Diplomacy DB v500'!$H:$H, "&gt;2002", 'PLA Military Diplomacy DB v500'!$H:$H, "&lt;2019" ) + COUNTIFS('PLA Military Diplomacy DB v500'!$J:$J,"ML - Abroad", 'PLA Military Diplomacy DB v500'!$F:$F, "EUCOM", 'PLA Military Diplomacy DB v500'!$H:$H, "&gt;2002", 'PLA Military Diplomacy DB v500'!$H:$H, "&lt;2019" )</f>
        <v>253</v>
      </c>
      <c r="C6" s="5">
        <f>COUNTIFS('PLA Military Diplomacy DB v500'!$J:$J,"BL - Hosted", 'PLA Military Diplomacy DB v500'!$F:$F, "EUCOM", 'PLA Military Diplomacy DB v500'!$H:$H, "&gt;2002", 'PLA Military Diplomacy DB v500'!$H:$H, "&lt;2019" ) + COUNTIFS('PLA Military Diplomacy DB v500'!$J:$J,"ML - Hosted", 'PLA Military Diplomacy DB v500'!$F:$F, "EUCOM", 'PLA Military Diplomacy DB v500'!$H:$H, "&gt;2002", 'PLA Military Diplomacy DB v500'!$H:$H, "&lt;2019" )</f>
        <v>287</v>
      </c>
    </row>
    <row r="7" spans="1:3" hidden="1" x14ac:dyDescent="0.25">
      <c r="A7" s="2" t="s">
        <v>47</v>
      </c>
      <c r="B7" s="5">
        <f>COUNTIFS('PLA Military Diplomacy DB v500'!$J:$J,"BL - Abroad", 'PLA Military Diplomacy DB v500'!$F:$F, "NORTHCOM", 'PLA Military Diplomacy DB v500'!$H:$H, "&gt;2002", 'PLA Military Diplomacy DB v500'!$H:$H, "&lt;2019" ) + COUNTIFS('PLA Military Diplomacy DB v500'!$J:$J,"ML - Abroad", 'PLA Military Diplomacy DB v500'!$F:$F, "NORTHCOM", 'PLA Military Diplomacy DB v500'!$H:$H, "&gt;2002", 'PLA Military Diplomacy DB v500'!$H:$H, "&lt;2019" )</f>
        <v>55</v>
      </c>
      <c r="C7" s="5">
        <f>COUNTIFS('PLA Military Diplomacy DB v500'!$J:$J,"BL - Hosted", 'PLA Military Diplomacy DB v500'!$F:$F, "NORTHCOM", 'PLA Military Diplomacy DB v500'!$H:$H, "&gt;2002", 'PLA Military Diplomacy DB v500'!$H:$H, "&lt;2019" ) + COUNTIFS('PLA Military Diplomacy DB v500'!$J:$J,"ML - Hosted", 'PLA Military Diplomacy DB v500'!$F:$F, "NORTHCOM", 'PLA Military Diplomacy DB v500'!$H:$H, "&gt;2002", 'PLA Military Diplomacy DB v500'!$H:$H, "&lt;2019" )</f>
        <v>50</v>
      </c>
    </row>
    <row r="8" spans="1:3" hidden="1" x14ac:dyDescent="0.25">
      <c r="A8" s="2" t="s">
        <v>31</v>
      </c>
      <c r="B8" s="5">
        <f>COUNTIFS('PLA Military Diplomacy DB v500'!$J:$J,"BL - Abroad", 'PLA Military Diplomacy DB v500'!$F:$F, "PACOM", 'PLA Military Diplomacy DB v500'!$H:$H, "&gt;2002", 'PLA Military Diplomacy DB v500'!$H:$H, "&lt;2019" ) + COUNTIFS('PLA Military Diplomacy DB v500'!$J:$J,"ML - Abroad", 'PLA Military Diplomacy DB v500'!$F:$F, "PACOM", 'PLA Military Diplomacy DB v500'!$H:$H, "&gt;2002", 'PLA Military Diplomacy DB v500'!$H:$H, "&lt;2019" )</f>
        <v>0</v>
      </c>
      <c r="C8" s="5">
        <f>COUNTIFS('PLA Military Diplomacy DB v500'!$J:$J,"BL - Hosted", 'PLA Military Diplomacy DB v500'!$F:$F, "PACOM", 'PLA Military Diplomacy DB v500'!$H:$H, "&gt;2002", 'PLA Military Diplomacy DB v500'!$H:$H, "&lt;2019" ) + COUNTIFS('PLA Military Diplomacy DB v500'!$J:$J,"ML - Hosted", 'PLA Military Diplomacy DB v500'!$F:$F, "PACOM", 'PLA Military Diplomacy DB v500'!$H:$H, "&gt;2002", 'PLA Military Diplomacy DB v500'!$H:$H, "&lt;2019" )</f>
        <v>0</v>
      </c>
    </row>
    <row r="9" spans="1:3" hidden="1" x14ac:dyDescent="0.25">
      <c r="A9" s="2" t="s">
        <v>199</v>
      </c>
      <c r="B9" s="5">
        <f>COUNTIFS('PLA Military Diplomacy DB v500'!$J:$J,"BL - Abroad", 'PLA Military Diplomacy DB v500'!$F:$F, "SOUTHCOM", 'PLA Military Diplomacy DB v500'!$H:$H, "&gt;2002", 'PLA Military Diplomacy DB v500'!$H:$H, "&lt;2019" ) + COUNTIFS('PLA Military Diplomacy DB v500'!$J:$J,"ML - Abroad", 'PLA Military Diplomacy DB v500'!$F:$F, "SOUTHCOM", 'PLA Military Diplomacy DB v500'!$H:$H, "&gt;2002", 'PLA Military Diplomacy DB v500'!$H:$H, "&lt;2019" )</f>
        <v>94</v>
      </c>
      <c r="C9" s="5">
        <f>COUNTIFS('PLA Military Diplomacy DB v500'!$J:$J,"BL - Hosted", 'PLA Military Diplomacy DB v500'!$F:$F, "SOUTHCOM", 'PLA Military Diplomacy DB v500'!$H:$H, "&gt;2002", 'PLA Military Diplomacy DB v500'!$H:$H, "&lt;2019" ) + COUNTIFS('PLA Military Diplomacy DB v500'!$J:$J,"ML - Hosted", 'PLA Military Diplomacy DB v500'!$F:$F, "SOUTHCOM", 'PLA Military Diplomacy DB v500'!$H:$H, "&gt;2002", 'PLA Military Diplomacy DB v500'!$H:$H, "&lt;2019" )</f>
        <v>85</v>
      </c>
    </row>
    <row r="30" spans="1:3" ht="15.75" hidden="1" customHeight="1" x14ac:dyDescent="0.25">
      <c r="A30" s="2" t="s">
        <v>2813</v>
      </c>
    </row>
    <row r="31" spans="1:3" ht="15.75" hidden="1" customHeight="1" x14ac:dyDescent="0.25"/>
    <row r="32" spans="1:3" ht="15.75" hidden="1" customHeight="1" x14ac:dyDescent="0.25">
      <c r="B32" s="2" t="s">
        <v>2811</v>
      </c>
      <c r="C32" s="2" t="s">
        <v>2812</v>
      </c>
    </row>
    <row r="33" spans="1:3" ht="15.75" hidden="1" customHeight="1" x14ac:dyDescent="0.25">
      <c r="A33" s="2" t="s">
        <v>91</v>
      </c>
      <c r="B33" s="5">
        <f>COUNTIFS('PLA Military Diplomacy DB v500'!$J:$J,"BL - Abroad", 'PLA Military Diplomacy DB v500'!$F:$F, "AFRICOM", 'PLA Military Diplomacy DB v500'!$H:$H, "&gt;2002", 'PLA Military Diplomacy DB v500'!$H:$H, "&lt;2025" ) + COUNTIFS('PLA Military Diplomacy DB v500'!$J:$J,"ML - Abroad", 'PLA Military Diplomacy DB v500'!$F:$F, "AFRICOM", 'PLA Military Diplomacy DB v500'!$H:$H, "&gt;2002", 'PLA Military Diplomacy DB v500'!$H:$H, "&lt;2025" )</f>
        <v>107</v>
      </c>
      <c r="C33" s="5">
        <f>COUNTIFS('PLA Military Diplomacy DB v500'!$J:$J,"BL - Hosted", 'PLA Military Diplomacy DB v500'!$F:$F, "AFRICOM", 'PLA Military Diplomacy DB v500'!$H:$H, "&gt;2002", 'PLA Military Diplomacy DB v500'!$H:$H, "&lt;2025" ) + COUNTIFS('PLA Military Diplomacy DB v500'!$J:$J,"ML - Hosted", 'PLA Military Diplomacy DB v500'!$F:$F, "AFRICOM", 'PLA Military Diplomacy DB v500'!$H:$H, "&gt;2002", 'PLA Military Diplomacy DB v500'!$H:$H, "&lt;2025" )</f>
        <v>154</v>
      </c>
    </row>
    <row r="34" spans="1:3" ht="15.75" hidden="1" customHeight="1" x14ac:dyDescent="0.25">
      <c r="A34" s="2" t="s">
        <v>41</v>
      </c>
      <c r="B34" s="5">
        <f>COUNTIFS('PLA Military Diplomacy DB v500'!$J:$J,"BL - Abroad", 'PLA Military Diplomacy DB v500'!$F:$F, "CENTCOM", 'PLA Military Diplomacy DB v500'!$H:$H, "&gt;2002", 'PLA Military Diplomacy DB v500'!$H:$H, "&lt;2025" ) + COUNTIFS('PLA Military Diplomacy DB v500'!$J:$J,"ML - Abroad", 'PLA Military Diplomacy DB v500'!$F:$F, "CENTCOM", 'PLA Military Diplomacy DB v500'!$H:$H, "&gt;2002", 'PLA Military Diplomacy DB v500'!$H:$H, "&lt;2025" )</f>
        <v>131</v>
      </c>
      <c r="C34" s="5">
        <f>COUNTIFS('PLA Military Diplomacy DB v500'!$J:$J,"BL - Hosted", 'PLA Military Diplomacy DB v500'!$F:$F, "CENTCOM", 'PLA Military Diplomacy DB v500'!$H:$H, "&gt;2002", 'PLA Military Diplomacy DB v500'!$H:$H, "&lt;2025" ) + COUNTIFS('PLA Military Diplomacy DB v500'!$J:$J,"ML - Hosted", 'PLA Military Diplomacy DB v500'!$F:$F, "CENTCOM", 'PLA Military Diplomacy DB v500'!$H:$H, "&gt;2002", 'PLA Military Diplomacy DB v500'!$H:$H, "&lt;2025" )</f>
        <v>170</v>
      </c>
    </row>
    <row r="35" spans="1:3" ht="15.75" hidden="1" customHeight="1" x14ac:dyDescent="0.25">
      <c r="A35" s="2" t="s">
        <v>56</v>
      </c>
      <c r="B35" s="5">
        <f>COUNTIFS('PLA Military Diplomacy DB v500'!$J:$J,"BL - Abroad", 'PLA Military Diplomacy DB v500'!$F:$F, "EUCOM", 'PLA Military Diplomacy DB v500'!$H:$H, "&gt;2002", 'PLA Military Diplomacy DB v500'!$H:$H, "&lt;2025" ) + COUNTIFS('PLA Military Diplomacy DB v500'!$J:$J,"ML - Abroad", 'PLA Military Diplomacy DB v500'!$F:$F, "EUCOM", 'PLA Military Diplomacy DB v500'!$H:$H, "&gt;2002", 'PLA Military Diplomacy DB v500'!$H:$H, "&lt;2025" )</f>
        <v>266</v>
      </c>
      <c r="C35" s="5">
        <f>COUNTIFS('PLA Military Diplomacy DB v500'!$J:$J,"BL - Hosted", 'PLA Military Diplomacy DB v500'!$F:$F, "EUCOM", 'PLA Military Diplomacy DB v500'!$H:$H, "&gt;2002", 'PLA Military Diplomacy DB v500'!$H:$H, "&lt;2025" ) + COUNTIFS('PLA Military Diplomacy DB v500'!$J:$J,"ML - Hosted", 'PLA Military Diplomacy DB v500'!$F:$F, "EUCOM", 'PLA Military Diplomacy DB v500'!$H:$H, "&gt;2002", 'PLA Military Diplomacy DB v500'!$H:$H, "&lt;2025" )</f>
        <v>296</v>
      </c>
    </row>
    <row r="36" spans="1:3" ht="15.75" hidden="1" customHeight="1" x14ac:dyDescent="0.25">
      <c r="A36" s="2" t="s">
        <v>47</v>
      </c>
      <c r="B36" s="5">
        <f>COUNTIFS('PLA Military Diplomacy DB v500'!$J:$J,"BL - Abroad", 'PLA Military Diplomacy DB v500'!$F:$F, "NORTHCOM", 'PLA Military Diplomacy DB v500'!$H:$H, "&gt;2002", 'PLA Military Diplomacy DB v500'!$H:$H, "&lt;2025" ) + COUNTIFS('PLA Military Diplomacy DB v500'!$J:$J,"ML - Abroad", 'PLA Military Diplomacy DB v500'!$F:$F, "NORTHCOM", 'PLA Military Diplomacy DB v500'!$H:$H, "&gt;2002", 'PLA Military Diplomacy DB v500'!$H:$H, "&lt;2025" )</f>
        <v>55</v>
      </c>
      <c r="C36" s="5">
        <f>COUNTIFS('PLA Military Diplomacy DB v500'!$J:$J,"BL - Hosted", 'PLA Military Diplomacy DB v500'!$F:$F, "NORTHCOM", 'PLA Military Diplomacy DB v500'!$H:$H, "&gt;2002", 'PLA Military Diplomacy DB v500'!$H:$H, "&lt;2025" ) + COUNTIFS('PLA Military Diplomacy DB v500'!$J:$J,"ML - Hosted", 'PLA Military Diplomacy DB v500'!$F:$F, "NORTHCOM", 'PLA Military Diplomacy DB v500'!$H:$H, "&gt;2002", 'PLA Military Diplomacy DB v500'!$H:$H, "&lt;2025" )</f>
        <v>52</v>
      </c>
    </row>
    <row r="37" spans="1:3" ht="15.75" hidden="1" customHeight="1" x14ac:dyDescent="0.25">
      <c r="A37" s="2" t="s">
        <v>31</v>
      </c>
      <c r="B37" s="5">
        <f>COUNTIFS('PLA Military Diplomacy DB v500'!$J:$J,"BL - Abroad", 'PLA Military Diplomacy DB v500'!$F:$F, "PACOM", 'PLA Military Diplomacy DB v500'!$H:$H, "&gt;2002", 'PLA Military Diplomacy DB v500'!$H:$H, "&lt;2025" ) + COUNTIFS('PLA Military Diplomacy DB v500'!$J:$J,"ML - Abroad", 'PLA Military Diplomacy DB v500'!$F:$F, "PACOM", 'PLA Military Diplomacy DB v500'!$H:$H, "&gt;2002", 'PLA Military Diplomacy DB v500'!$H:$H, "&lt;2025" )</f>
        <v>0</v>
      </c>
      <c r="C37" s="5">
        <f>COUNTIFS('PLA Military Diplomacy DB v500'!$J:$J,"BL - Hosted", 'PLA Military Diplomacy DB v500'!$F:$F, "PACOM", 'PLA Military Diplomacy DB v500'!$H:$H, "&gt;2002", 'PLA Military Diplomacy DB v500'!$H:$H, "&lt;2025" ) + COUNTIFS('PLA Military Diplomacy DB v500'!$J:$J,"ML - Hosted", 'PLA Military Diplomacy DB v500'!$F:$F, "PACOM", 'PLA Military Diplomacy DB v500'!$H:$H, "&gt;2002", 'PLA Military Diplomacy DB v500'!$H:$H, "&lt;2025" )</f>
        <v>0</v>
      </c>
    </row>
    <row r="38" spans="1:3" ht="15.75" hidden="1" customHeight="1" x14ac:dyDescent="0.25">
      <c r="A38" s="2" t="s">
        <v>199</v>
      </c>
      <c r="B38" s="5">
        <f>COUNTIFS('PLA Military Diplomacy DB v500'!$J:$J,"BL - Abroad", 'PLA Military Diplomacy DB v500'!$F:$F, "SOUTHCOM", 'PLA Military Diplomacy DB v500'!$H:$H, "&gt;2002", 'PLA Military Diplomacy DB v500'!$H:$H, "&lt;2025" ) + COUNTIFS('PLA Military Diplomacy DB v500'!$J:$J,"ML - Abroad", 'PLA Military Diplomacy DB v500'!$F:$F, "SOUTHCOM", 'PLA Military Diplomacy DB v500'!$H:$H, "&gt;2002", 'PLA Military Diplomacy DB v500'!$H:$H, "&lt;2025" )</f>
        <v>101</v>
      </c>
      <c r="C38" s="5">
        <f>COUNTIFS('PLA Military Diplomacy DB v500'!$J:$J,"BL - Hosted", 'PLA Military Diplomacy DB v500'!$F:$F, "SOUTHCOM", 'PLA Military Diplomacy DB v500'!$H:$H, "&gt;2002", 'PLA Military Diplomacy DB v500'!$H:$H, "&lt;2025" ) + COUNTIFS('PLA Military Diplomacy DB v500'!$J:$J,"ML - Hosted", 'PLA Military Diplomacy DB v500'!$F:$F, "SOUTHCOM", 'PLA Military Diplomacy DB v500'!$H:$H, "&gt;2002", 'PLA Military Diplomacy DB v500'!$H:$H, "&lt;2025" )</f>
        <v>89</v>
      </c>
    </row>
    <row r="58" spans="1:4" ht="15.75" customHeight="1" x14ac:dyDescent="0.25">
      <c r="A58" s="12" t="s">
        <v>3115</v>
      </c>
    </row>
    <row r="59" spans="1:4" ht="15.75" customHeight="1" x14ac:dyDescent="0.25">
      <c r="A59" s="3" t="s">
        <v>3196</v>
      </c>
    </row>
    <row r="60" spans="1:4" ht="15.75" customHeight="1" x14ac:dyDescent="0.25">
      <c r="A60" s="12"/>
    </row>
    <row r="61" spans="1:4" ht="15.75" customHeight="1" x14ac:dyDescent="0.25"/>
    <row r="62" spans="1:4" ht="15.75" customHeight="1" x14ac:dyDescent="0.25">
      <c r="A62" s="2" t="s">
        <v>2807</v>
      </c>
      <c r="B62" s="2" t="s">
        <v>2811</v>
      </c>
      <c r="C62" s="2" t="s">
        <v>2812</v>
      </c>
      <c r="D62" s="80" t="s">
        <v>2808</v>
      </c>
    </row>
    <row r="63" spans="1:4" ht="15.75" customHeight="1" x14ac:dyDescent="0.25">
      <c r="A63" s="2" t="s">
        <v>91</v>
      </c>
      <c r="B63" s="14">
        <f>COUNTIFS('PLA Military Diplomacy DB v500'!$J:$J,"BL - Abroad", 'PLA Military Diplomacy DB v500'!$F:$F, "AFRICOM", 'PLA Military Diplomacy DB v500'!$H:$H, "&gt;2001", 'PLA Military Diplomacy DB v500'!$H:$H, "&lt;2025" ) + COUNTIFS('PLA Military Diplomacy DB v500'!$J:$J,"ML - Abroad", 'PLA Military Diplomacy DB v500'!$F:$F, "AFRICOM", 'PLA Military Diplomacy DB v500'!$H:$H, "&gt;2001", 'PLA Military Diplomacy DB v500'!$H:$H, "&lt;2025" )</f>
        <v>111</v>
      </c>
      <c r="C63" s="14">
        <f>COUNTIFS('PLA Military Diplomacy DB v500'!$J:$J,"BL - Hosted", 'PLA Military Diplomacy DB v500'!$F:$F, "AFRICOM", 'PLA Military Diplomacy DB v500'!$H:$H, "&gt;2001", 'PLA Military Diplomacy DB v500'!$H:$H, "&lt;2025" ) + COUNTIFS('PLA Military Diplomacy DB v500'!$J:$J,"ML - Hosted", 'PLA Military Diplomacy DB v500'!$F:$F, "AFRICOM", 'PLA Military Diplomacy DB v500'!$H:$H, "&gt;2001", 'PLA Military Diplomacy DB v500'!$H:$H, "&lt;2025" )</f>
        <v>165</v>
      </c>
      <c r="D63" s="75">
        <f>SUM('CCMD Figure 3'!$B63:$C63)</f>
        <v>276</v>
      </c>
    </row>
    <row r="64" spans="1:4" ht="15.75" customHeight="1" x14ac:dyDescent="0.25">
      <c r="A64" s="2" t="s">
        <v>41</v>
      </c>
      <c r="B64" s="14">
        <f>COUNTIFS('PLA Military Diplomacy DB v500'!$J:$J,"BL - Abroad", 'PLA Military Diplomacy DB v500'!$F:$F, "CENTCOM", 'PLA Military Diplomacy DB v500'!$H:$H, "&gt;2001", 'PLA Military Diplomacy DB v500'!$H:$H, "&lt;2025" ) + COUNTIFS('PLA Military Diplomacy DB v500'!$J:$J,"ML - Abroad", 'PLA Military Diplomacy DB v500'!$F:$F, "CENTCOM", 'PLA Military Diplomacy DB v500'!$H:$H, "&gt;2001", 'PLA Military Diplomacy DB v500'!$H:$H, "&lt;2025" )</f>
        <v>137</v>
      </c>
      <c r="C64" s="14">
        <f>COUNTIFS('PLA Military Diplomacy DB v500'!$J:$J,"BL - Hosted", 'PLA Military Diplomacy DB v500'!$F:$F, "CENTCOM", 'PLA Military Diplomacy DB v500'!$H:$H, "&gt;2001", 'PLA Military Diplomacy DB v500'!$H:$H, "&lt;2025" ) + COUNTIFS('PLA Military Diplomacy DB v500'!$J:$J,"ML - Hosted", 'PLA Military Diplomacy DB v500'!$F:$F, "CENTCOM", 'PLA Military Diplomacy DB v500'!$H:$H, "&gt;2001", 'PLA Military Diplomacy DB v500'!$H:$H, "&lt;2025" )</f>
        <v>178</v>
      </c>
      <c r="D64" s="75">
        <f>SUM('CCMD Figure 3'!$B64:$C64)</f>
        <v>315</v>
      </c>
    </row>
    <row r="65" spans="1:4" ht="15.75" customHeight="1" x14ac:dyDescent="0.25">
      <c r="A65" s="2" t="s">
        <v>56</v>
      </c>
      <c r="B65" s="14">
        <f>COUNTIFS('PLA Military Diplomacy DB v500'!$J:$J,"BL - Abroad", 'PLA Military Diplomacy DB v500'!$F:$F, "EUCOM", 'PLA Military Diplomacy DB v500'!$H:$H, "&gt;2001", 'PLA Military Diplomacy DB v500'!$H:$H, "&lt;2025" ) + COUNTIFS('PLA Military Diplomacy DB v500'!$J:$J,"ML - Abroad", 'PLA Military Diplomacy DB v500'!$F:$F, "EUCOM", 'PLA Military Diplomacy DB v500'!$H:$H, "&gt;2001", 'PLA Military Diplomacy DB v500'!$H:$H, "&lt;2025" )</f>
        <v>279</v>
      </c>
      <c r="C65" s="14">
        <f>COUNTIFS('PLA Military Diplomacy DB v500'!$J:$J,"BL - Hosted", 'PLA Military Diplomacy DB v500'!$F:$F, "EUCOM", 'PLA Military Diplomacy DB v500'!$H:$H, "&gt;2001", 'PLA Military Diplomacy DB v500'!$H:$H, "&lt;2025" ) + COUNTIFS('PLA Military Diplomacy DB v500'!$J:$J,"ML - Hosted", 'PLA Military Diplomacy DB v500'!$F:$F, "EUCOM", 'PLA Military Diplomacy DB v500'!$H:$H, "&gt;2001", 'PLA Military Diplomacy DB v500'!$H:$H, "&lt;2025" )</f>
        <v>317</v>
      </c>
      <c r="D65" s="75">
        <f>SUM('CCMD Figure 3'!$B65:$C65)</f>
        <v>596</v>
      </c>
    </row>
    <row r="66" spans="1:4" ht="15.75" customHeight="1" x14ac:dyDescent="0.25">
      <c r="A66" s="2" t="s">
        <v>47</v>
      </c>
      <c r="B66" s="14">
        <f>COUNTIFS('PLA Military Diplomacy DB v500'!$J:$J,"BL - Abroad", 'PLA Military Diplomacy DB v500'!$F:$F, "NORTHCOM", 'PLA Military Diplomacy DB v500'!$H:$H, "&gt;2001", 'PLA Military Diplomacy DB v500'!$H:$H, "&lt;2025" ) + COUNTIFS('PLA Military Diplomacy DB v500'!$J:$J,"ML - Abroad", 'PLA Military Diplomacy DB v500'!$F:$F, "NORTHCOM", 'PLA Military Diplomacy DB v500'!$H:$H, "&gt;2001", 'PLA Military Diplomacy DB v500'!$H:$H, "&lt;2025" )</f>
        <v>57</v>
      </c>
      <c r="C66" s="14">
        <f>COUNTIFS('PLA Military Diplomacy DB v500'!$J:$J,"BL - Hosted", 'PLA Military Diplomacy DB v500'!$F:$F, "NORTHCOM", 'PLA Military Diplomacy DB v500'!$H:$H, "&gt;2001", 'PLA Military Diplomacy DB v500'!$H:$H, "&lt;2025" ) + COUNTIFS('PLA Military Diplomacy DB v500'!$J:$J,"ML - Hosted", 'PLA Military Diplomacy DB v500'!$F:$F, "NORTHCOM", 'PLA Military Diplomacy DB v500'!$H:$H, "&gt;2001", 'PLA Military Diplomacy DB v500'!$H:$H, "&lt;2025" )</f>
        <v>59</v>
      </c>
      <c r="D66" s="75">
        <f>SUM('CCMD Figure 3'!$B66:$C66)</f>
        <v>116</v>
      </c>
    </row>
    <row r="67" spans="1:4" ht="15.75" customHeight="1" x14ac:dyDescent="0.25">
      <c r="A67" s="128" t="s">
        <v>3183</v>
      </c>
      <c r="B67" s="14">
        <f>COUNTIFS('PLA Military Diplomacy DB v500'!$J:$J,"BL - Abroad", 'PLA Military Diplomacy DB v500'!$F:$F, "INDOPACOM", 'PLA Military Diplomacy DB v500'!$H:$H, "&gt;2001", 'PLA Military Diplomacy DB v500'!$H:$H, "&lt;2025" ) + COUNTIFS('PLA Military Diplomacy DB v500'!$J:$J,"ML - Abroad", 'PLA Military Diplomacy DB v500'!$F:$F, "PACOM", 'PLA Military Diplomacy DB v500'!$H:$H, "&gt;2001", 'PLA Military Diplomacy DB v500'!$H:$H, "&lt;2025" )</f>
        <v>255</v>
      </c>
      <c r="C67" s="14">
        <f>COUNTIFS('PLA Military Diplomacy DB v500'!$J:$J,"BL - Hosted", 'PLA Military Diplomacy DB v500'!$F:$F, "INDOPACOM", 'PLA Military Diplomacy DB v500'!$H:$H, "&gt;2001", 'PLA Military Diplomacy DB v500'!$H:$H, "&lt;2025" ) + COUNTIFS('PLA Military Diplomacy DB v500'!$J:$J,"ML - Hosted", 'PLA Military Diplomacy DB v500'!$F:$F, "PACOM", 'PLA Military Diplomacy DB v500'!$H:$H, "&gt;2001", 'PLA Military Diplomacy DB v500'!$H:$H, "&lt;2025" )</f>
        <v>412</v>
      </c>
      <c r="D67" s="75">
        <f>SUM('CCMD Figure 3'!$B67:$C67)</f>
        <v>667</v>
      </c>
    </row>
    <row r="68" spans="1:4" ht="15.75" customHeight="1" x14ac:dyDescent="0.25">
      <c r="A68" s="2" t="s">
        <v>199</v>
      </c>
      <c r="B68" s="14">
        <f>COUNTIFS('PLA Military Diplomacy DB v500'!$J:$J,"BL - Abroad", 'PLA Military Diplomacy DB v500'!$F:$F, "SOUTHCOM", 'PLA Military Diplomacy DB v500'!$H:$H, "&gt;2001", 'PLA Military Diplomacy DB v500'!$H:$H, "&lt;2025" ) + COUNTIFS('PLA Military Diplomacy DB v500'!$J:$J,"ML - Abroad", 'PLA Military Diplomacy DB v500'!$F:$F, "SOUTHCOM", 'PLA Military Diplomacy DB v500'!$H:$H, "&gt;2001", 'PLA Military Diplomacy DB v500'!$H:$H, "&lt;2025" )</f>
        <v>101</v>
      </c>
      <c r="C68" s="14">
        <f>COUNTIFS('PLA Military Diplomacy DB v500'!$J:$J,"BL - Hosted", 'PLA Military Diplomacy DB v500'!$F:$F, "SOUTHCOM", 'PLA Military Diplomacy DB v500'!$H:$H, "&gt;2001", 'PLA Military Diplomacy DB v500'!$H:$H, "&lt;2025" ) + COUNTIFS('PLA Military Diplomacy DB v500'!$J:$J,"ML - Hosted", 'PLA Military Diplomacy DB v500'!$F:$F, "SOUTHCOM", 'PLA Military Diplomacy DB v500'!$H:$H, "&gt;2001", 'PLA Military Diplomacy DB v500'!$H:$H, "&lt;2025" )</f>
        <v>99</v>
      </c>
      <c r="D68" s="75">
        <f>SUM('CCMD Figure 3'!$B68:$C68)</f>
        <v>200</v>
      </c>
    </row>
    <row r="69" spans="1:4" ht="15.75" customHeight="1" x14ac:dyDescent="0.25">
      <c r="A69" s="72" t="s">
        <v>2808</v>
      </c>
      <c r="B69" s="75">
        <f>SUBTOTAL(109,Table_2[Visits Abroad])</f>
        <v>940</v>
      </c>
      <c r="C69" s="75">
        <f>SUBTOTAL(109,Table_2[Visits Hosted])</f>
        <v>1230</v>
      </c>
      <c r="D69" s="75">
        <f>SUBTOTAL(109,Table_2[TOTAL])</f>
        <v>2170</v>
      </c>
    </row>
  </sheetData>
  <pageMargins left="0.7" right="0.7" top="0.75" bottom="0.75" header="0" footer="0"/>
  <pageSetup orientation="portrait"/>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62"/>
  <sheetViews>
    <sheetView topLeftCell="A19" workbookViewId="0">
      <selection activeCell="C38" sqref="C38"/>
    </sheetView>
  </sheetViews>
  <sheetFormatPr defaultColWidth="14.42578125" defaultRowHeight="15" customHeight="1" x14ac:dyDescent="0.25"/>
  <cols>
    <col min="1" max="1" width="11.42578125" customWidth="1"/>
    <col min="2" max="2" width="17.42578125" customWidth="1"/>
    <col min="3" max="26" width="11.42578125" customWidth="1"/>
  </cols>
  <sheetData>
    <row r="1" spans="1:4" x14ac:dyDescent="0.25">
      <c r="A1" s="2" t="s">
        <v>2814</v>
      </c>
    </row>
    <row r="2" spans="1:4" x14ac:dyDescent="0.25"/>
    <row r="3" spans="1:4" x14ac:dyDescent="0.25">
      <c r="B3" s="72" t="s">
        <v>2815</v>
      </c>
      <c r="C3" s="72" t="s">
        <v>2816</v>
      </c>
      <c r="D3" s="72" t="s">
        <v>2808</v>
      </c>
    </row>
    <row r="4" spans="1:4" x14ac:dyDescent="0.25">
      <c r="A4" s="2" t="s">
        <v>91</v>
      </c>
      <c r="B4" s="14">
        <f>COUNTIFS('PLA Military Diplomacy DB v500'!$U:$U,"ETF*", 'PLA Military Diplomacy DB v500'!$F:$F, "AFRICOM",  'PLA Military Diplomacy DB v500'!$H:$H, "&lt;2025")</f>
        <v>45</v>
      </c>
      <c r="C4" s="14">
        <f>COUNTIFS('PLA Military Diplomacy DB v500'!$U:$U,"NETF*", 'PLA Military Diplomacy DB v500'!$F:$F, "AFRICOM",  'PLA Military Diplomacy DB v500'!$H:$H, "&lt;2025")</f>
        <v>28</v>
      </c>
      <c r="D4" s="75">
        <f t="shared" ref="D4:D9" si="0">SUM(B4:C4)</f>
        <v>73</v>
      </c>
    </row>
    <row r="5" spans="1:4" x14ac:dyDescent="0.25">
      <c r="A5" s="2" t="s">
        <v>41</v>
      </c>
      <c r="B5" s="14">
        <f>COUNTIFS('PLA Military Diplomacy DB v500'!$U:$U,"ETF*", 'PLA Military Diplomacy DB v500'!$F:$F, "CENTCOM",  'PLA Military Diplomacy DB v500'!$H:$H, "&lt;2025")</f>
        <v>98</v>
      </c>
      <c r="C5" s="14">
        <f>COUNTIFS('PLA Military Diplomacy DB v500'!$U:$U,"NETF*", 'PLA Military Diplomacy DB v500'!$F:$F, "CENTCOM", 'PLA Military Diplomacy DB v500'!$H:$H, "&lt;2025")</f>
        <v>14</v>
      </c>
      <c r="D5" s="75">
        <f t="shared" si="0"/>
        <v>112</v>
      </c>
    </row>
    <row r="6" spans="1:4" x14ac:dyDescent="0.25">
      <c r="A6" s="2" t="s">
        <v>56</v>
      </c>
      <c r="B6" s="14">
        <f>COUNTIFS('PLA Military Diplomacy DB v500'!$U:$U,"ETF*", 'PLA Military Diplomacy DB v500'!$F:$F, "EUCOM",  'PLA Military Diplomacy DB v500'!$H:$H, "&lt;2025")</f>
        <v>38</v>
      </c>
      <c r="C6" s="14">
        <f>COUNTIFS('PLA Military Diplomacy DB v500'!$U:$U,"NETF*", 'PLA Military Diplomacy DB v500'!$F:$F, "EUCOM",  'PLA Military Diplomacy DB v500'!$H:$H, "&lt;2025")</f>
        <v>27</v>
      </c>
      <c r="D6" s="75">
        <f t="shared" si="0"/>
        <v>65</v>
      </c>
    </row>
    <row r="7" spans="1:4" x14ac:dyDescent="0.25">
      <c r="A7" s="2" t="s">
        <v>47</v>
      </c>
      <c r="B7" s="14">
        <f>COUNTIFS('PLA Military Diplomacy DB v500'!$U:$U,"ETF*", 'PLA Military Diplomacy DB v500'!$F:$F, "NORTHCOM",  'PLA Military Diplomacy DB v500'!$H:$H, "&lt;2025")</f>
        <v>2</v>
      </c>
      <c r="C7" s="14">
        <f>COUNTIFS('PLA Military Diplomacy DB v500'!$U:$U,"NETF*", 'PLA Military Diplomacy DB v500'!$F:$F, "NORTHCOM",  'PLA Military Diplomacy DB v500'!$H:$H, "&lt;2025")</f>
        <v>12</v>
      </c>
      <c r="D7" s="75">
        <f t="shared" si="0"/>
        <v>14</v>
      </c>
    </row>
    <row r="8" spans="1:4" x14ac:dyDescent="0.25">
      <c r="A8" s="2" t="s">
        <v>31</v>
      </c>
      <c r="B8" s="14">
        <f>COUNTIFS('PLA Military Diplomacy DB v500'!$U:$U,"ETF*", 'PLA Military Diplomacy DB v500'!$F:$F, "INDOPACOM",  'PLA Military Diplomacy DB v500'!$H:$H, "&lt;2025")</f>
        <v>51</v>
      </c>
      <c r="C8" s="14">
        <f>COUNTIFS('PLA Military Diplomacy DB v500'!$U:$U,"NETF*", 'PLA Military Diplomacy DB v500'!$F:$F, "INDOPACOM",  'PLA Military Diplomacy DB v500'!$H:$H, "&lt;2025")</f>
        <v>124</v>
      </c>
      <c r="D8" s="75">
        <f t="shared" si="0"/>
        <v>175</v>
      </c>
    </row>
    <row r="9" spans="1:4" x14ac:dyDescent="0.25">
      <c r="A9" s="2" t="s">
        <v>199</v>
      </c>
      <c r="B9" s="14">
        <f>COUNTIFS('PLA Military Diplomacy DB v500'!$U:$U,"ETF*", 'PLA Military Diplomacy DB v500'!$F:$F, "SOUTHCOM",  'PLA Military Diplomacy DB v500'!$H:$H, "&lt;2025")</f>
        <v>1</v>
      </c>
      <c r="C9" s="14">
        <f>COUNTIFS('PLA Military Diplomacy DB v500'!$U:$U,"NETF*", 'PLA Military Diplomacy DB v500'!$F:$F, "SOUTHCOM",  'PLA Military Diplomacy DB v500'!$H:$H, "&lt;2025")</f>
        <v>25</v>
      </c>
      <c r="D9" s="75">
        <f t="shared" si="0"/>
        <v>26</v>
      </c>
    </row>
    <row r="10" spans="1:4" ht="15" customHeight="1" x14ac:dyDescent="0.25">
      <c r="D10" s="75">
        <f>SUM(D4:D9)</f>
        <v>465</v>
      </c>
    </row>
    <row r="29" spans="1:1" ht="15.75" customHeight="1" x14ac:dyDescent="0.25">
      <c r="A29" s="12" t="s">
        <v>3116</v>
      </c>
    </row>
    <row r="33" spans="1:4" ht="15.75" customHeight="1" x14ac:dyDescent="0.25">
      <c r="A33" s="2" t="s">
        <v>2807</v>
      </c>
      <c r="B33" s="76" t="s">
        <v>2815</v>
      </c>
      <c r="C33" s="76" t="s">
        <v>2816</v>
      </c>
      <c r="D33" s="80" t="s">
        <v>2808</v>
      </c>
    </row>
    <row r="34" spans="1:4" ht="15.75" customHeight="1" x14ac:dyDescent="0.25">
      <c r="A34" s="2" t="s">
        <v>91</v>
      </c>
      <c r="B34" s="14">
        <f>COUNTIFS('PLA Military Diplomacy DB v500'!$U:$U,"ETF*", 'PLA Military Diplomacy DB v500'!$F:$F, "AFRICOM")</f>
        <v>45</v>
      </c>
      <c r="C34" s="14">
        <f>COUNTIFS('PLA Military Diplomacy DB v500'!$U:$U,"NETF*", 'PLA Military Diplomacy DB v500'!$F:$F, "AFRICOM")</f>
        <v>28</v>
      </c>
      <c r="D34" s="75">
        <f>SUM('CCMD Figure 7'!$B34:$C34)</f>
        <v>73</v>
      </c>
    </row>
    <row r="35" spans="1:4" ht="15.75" customHeight="1" x14ac:dyDescent="0.25">
      <c r="A35" s="2" t="s">
        <v>41</v>
      </c>
      <c r="B35" s="14">
        <f>COUNTIFS('PLA Military Diplomacy DB v500'!$U:$U,"ETF*", 'PLA Military Diplomacy DB v500'!$F:$F, "CENTCOM")</f>
        <v>98</v>
      </c>
      <c r="C35" s="14">
        <f>COUNTIFS('PLA Military Diplomacy DB v500'!$U:$U,"NETF*", 'PLA Military Diplomacy DB v500'!$F:$F, "CENTCOM")</f>
        <v>14</v>
      </c>
      <c r="D35" s="75">
        <f>SUM('CCMD Figure 7'!$B35:$C35)</f>
        <v>112</v>
      </c>
    </row>
    <row r="36" spans="1:4" ht="15.75" customHeight="1" x14ac:dyDescent="0.25">
      <c r="A36" s="2" t="s">
        <v>56</v>
      </c>
      <c r="B36" s="14">
        <f>COUNTIFS('PLA Military Diplomacy DB v500'!$U:$U,"ETF*", 'PLA Military Diplomacy DB v500'!$F:$F, "EUCOM")</f>
        <v>38</v>
      </c>
      <c r="C36" s="14">
        <f>COUNTIFS('PLA Military Diplomacy DB v500'!$U:$U,"NETF*", 'PLA Military Diplomacy DB v500'!$F:$F, "EUCOM")</f>
        <v>27</v>
      </c>
      <c r="D36" s="75">
        <f>SUM('CCMD Figure 7'!$B36:$C36)</f>
        <v>65</v>
      </c>
    </row>
    <row r="37" spans="1:4" ht="15.75" customHeight="1" x14ac:dyDescent="0.25">
      <c r="A37" s="2" t="s">
        <v>47</v>
      </c>
      <c r="B37" s="14">
        <f>COUNTIFS('PLA Military Diplomacy DB v500'!$U:$U,"ETF*", 'PLA Military Diplomacy DB v500'!$F:$F, "NORTHCOM")</f>
        <v>2</v>
      </c>
      <c r="C37" s="14">
        <f>COUNTIFS('PLA Military Diplomacy DB v500'!$U:$U,"NETF*", 'PLA Military Diplomacy DB v500'!$F:$F, "NORTHCOM")</f>
        <v>12</v>
      </c>
      <c r="D37" s="75">
        <f>SUM('CCMD Figure 7'!$B37:$C37)</f>
        <v>14</v>
      </c>
    </row>
    <row r="38" spans="1:4" ht="15.75" customHeight="1" x14ac:dyDescent="0.25">
      <c r="A38" s="128" t="s">
        <v>3183</v>
      </c>
      <c r="B38" s="14">
        <f>COUNTIFS('PLA Military Diplomacy DB v500'!$U:$U,"ETF*", 'PLA Military Diplomacy DB v500'!$F:$F, "INDOPACOM")</f>
        <v>51</v>
      </c>
      <c r="C38" s="14">
        <f>COUNTIFS('PLA Military Diplomacy DB v500'!$U:$U,"NETF*", 'PLA Military Diplomacy DB v500'!$F:$F, "INDOPACOM")</f>
        <v>124</v>
      </c>
      <c r="D38" s="75">
        <f>SUM('CCMD Figure 7'!$B38:$C38)</f>
        <v>175</v>
      </c>
    </row>
    <row r="39" spans="1:4" ht="15.75" customHeight="1" x14ac:dyDescent="0.25">
      <c r="A39" s="2" t="s">
        <v>199</v>
      </c>
      <c r="B39" s="14">
        <f>COUNTIFS('PLA Military Diplomacy DB v500'!$U:$U,"ETF*", 'PLA Military Diplomacy DB v500'!$F:$F, "SOUTHCOM")</f>
        <v>1</v>
      </c>
      <c r="C39" s="14">
        <f>COUNTIFS('PLA Military Diplomacy DB v500'!$U:$U,"NETF*", 'PLA Military Diplomacy DB v500'!$F:$F, "SOUTHCOM")</f>
        <v>25</v>
      </c>
      <c r="D39" s="75">
        <f>SUM('CCMD Figure 7'!$B39:$C39)</f>
        <v>26</v>
      </c>
    </row>
    <row r="40" spans="1:4" ht="15.75" customHeight="1" x14ac:dyDescent="0.25">
      <c r="A40" s="72" t="s">
        <v>2808</v>
      </c>
      <c r="B40" s="75">
        <f>SUBTOTAL(109,Table_3[ETF Port Calls])</f>
        <v>235</v>
      </c>
      <c r="C40" s="75">
        <f>SUBTOTAL(109,Table_3[Non-ETF])</f>
        <v>230</v>
      </c>
      <c r="D40" s="75">
        <f>SUBTOTAL(109,Table_3[TOTAL])</f>
        <v>465</v>
      </c>
    </row>
    <row r="61" spans="1:1" ht="15" customHeight="1" x14ac:dyDescent="0.25">
      <c r="A61" t="s">
        <v>3776</v>
      </c>
    </row>
    <row r="62" spans="1:1" ht="15" customHeight="1" x14ac:dyDescent="0.25">
      <c r="A62" t="s">
        <v>3777</v>
      </c>
    </row>
  </sheetData>
  <pageMargins left="0.7" right="0.7" top="0.75" bottom="0.75" header="0" footer="0"/>
  <pageSetup orientation="portrait"/>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C3826-DE04-4498-9F0E-1AC715B0C2F7}">
  <dimension ref="A1:E178"/>
  <sheetViews>
    <sheetView workbookViewId="0">
      <selection activeCell="C7" sqref="C7"/>
    </sheetView>
  </sheetViews>
  <sheetFormatPr defaultRowHeight="15" x14ac:dyDescent="0.25"/>
  <sheetData>
    <row r="1" spans="1:5" x14ac:dyDescent="0.25">
      <c r="A1" s="72" t="s">
        <v>3775</v>
      </c>
    </row>
    <row r="3" spans="1:5" x14ac:dyDescent="0.25">
      <c r="A3" s="120" t="s">
        <v>8</v>
      </c>
      <c r="B3" s="119" t="s">
        <v>2817</v>
      </c>
    </row>
    <row r="5" spans="1:5" x14ac:dyDescent="0.25">
      <c r="A5" s="111" t="s">
        <v>2778</v>
      </c>
      <c r="B5" s="111" t="s">
        <v>1</v>
      </c>
      <c r="C5" s="112"/>
      <c r="D5" s="112"/>
      <c r="E5" s="113"/>
    </row>
    <row r="6" spans="1:5" x14ac:dyDescent="0.25">
      <c r="A6" s="111" t="s">
        <v>7</v>
      </c>
      <c r="B6" s="114" t="s">
        <v>307</v>
      </c>
      <c r="C6" s="115" t="s">
        <v>26</v>
      </c>
      <c r="D6" s="115" t="s">
        <v>76</v>
      </c>
      <c r="E6" s="122" t="s">
        <v>2779</v>
      </c>
    </row>
    <row r="7" spans="1:5" x14ac:dyDescent="0.25">
      <c r="A7" s="114" t="s">
        <v>54</v>
      </c>
      <c r="B7" s="184">
        <v>59</v>
      </c>
      <c r="C7" s="185">
        <v>5</v>
      </c>
      <c r="D7" s="185">
        <v>97</v>
      </c>
      <c r="E7" s="199">
        <v>161</v>
      </c>
    </row>
    <row r="8" spans="1:5" x14ac:dyDescent="0.25">
      <c r="A8" s="117" t="s">
        <v>42</v>
      </c>
      <c r="B8" s="187">
        <v>48</v>
      </c>
      <c r="C8" s="188">
        <v>11</v>
      </c>
      <c r="D8" s="188">
        <v>85</v>
      </c>
      <c r="E8" s="200">
        <v>144</v>
      </c>
    </row>
    <row r="9" spans="1:5" x14ac:dyDescent="0.25">
      <c r="A9" s="117" t="s">
        <v>48</v>
      </c>
      <c r="B9" s="187">
        <v>18</v>
      </c>
      <c r="C9" s="188">
        <v>7</v>
      </c>
      <c r="D9" s="188">
        <v>114</v>
      </c>
      <c r="E9" s="200">
        <v>139</v>
      </c>
    </row>
    <row r="10" spans="1:5" x14ac:dyDescent="0.25">
      <c r="A10" s="117" t="s">
        <v>52</v>
      </c>
      <c r="B10" s="187">
        <v>32</v>
      </c>
      <c r="C10" s="188">
        <v>11</v>
      </c>
      <c r="D10" s="188">
        <v>62</v>
      </c>
      <c r="E10" s="200">
        <v>105</v>
      </c>
    </row>
    <row r="11" spans="1:5" x14ac:dyDescent="0.25">
      <c r="A11" s="117" t="s">
        <v>194</v>
      </c>
      <c r="B11" s="187">
        <v>13</v>
      </c>
      <c r="C11" s="188">
        <v>13</v>
      </c>
      <c r="D11" s="188">
        <v>59</v>
      </c>
      <c r="E11" s="200">
        <v>85</v>
      </c>
    </row>
    <row r="12" spans="1:5" x14ac:dyDescent="0.25">
      <c r="A12" s="117" t="s">
        <v>73</v>
      </c>
      <c r="B12" s="187">
        <v>23</v>
      </c>
      <c r="C12" s="188">
        <v>10</v>
      </c>
      <c r="D12" s="188">
        <v>50</v>
      </c>
      <c r="E12" s="200">
        <v>83</v>
      </c>
    </row>
    <row r="13" spans="1:5" x14ac:dyDescent="0.25">
      <c r="A13" s="117" t="s">
        <v>114</v>
      </c>
      <c r="B13" s="187">
        <v>3</v>
      </c>
      <c r="C13" s="188">
        <v>9</v>
      </c>
      <c r="D13" s="188">
        <v>64</v>
      </c>
      <c r="E13" s="200">
        <v>76</v>
      </c>
    </row>
    <row r="14" spans="1:5" x14ac:dyDescent="0.25">
      <c r="A14" s="117" t="s">
        <v>59</v>
      </c>
      <c r="B14" s="187">
        <v>12</v>
      </c>
      <c r="C14" s="188">
        <v>11</v>
      </c>
      <c r="D14" s="188">
        <v>40</v>
      </c>
      <c r="E14" s="200">
        <v>63</v>
      </c>
    </row>
    <row r="15" spans="1:5" x14ac:dyDescent="0.25">
      <c r="A15" s="117" t="s">
        <v>438</v>
      </c>
      <c r="B15" s="187">
        <v>7</v>
      </c>
      <c r="C15" s="188">
        <v>6</v>
      </c>
      <c r="D15" s="188">
        <v>44</v>
      </c>
      <c r="E15" s="200">
        <v>57</v>
      </c>
    </row>
    <row r="16" spans="1:5" x14ac:dyDescent="0.25">
      <c r="A16" s="117" t="s">
        <v>75</v>
      </c>
      <c r="B16" s="187">
        <v>4</v>
      </c>
      <c r="C16" s="188">
        <v>8</v>
      </c>
      <c r="D16" s="188">
        <v>45</v>
      </c>
      <c r="E16" s="200">
        <v>57</v>
      </c>
    </row>
    <row r="17" spans="1:5" x14ac:dyDescent="0.25">
      <c r="A17" s="117" t="s">
        <v>130</v>
      </c>
      <c r="B17" s="187">
        <v>1</v>
      </c>
      <c r="C17" s="188">
        <v>3</v>
      </c>
      <c r="D17" s="188">
        <v>50</v>
      </c>
      <c r="E17" s="200">
        <v>54</v>
      </c>
    </row>
    <row r="18" spans="1:5" x14ac:dyDescent="0.25">
      <c r="A18" s="117" t="s">
        <v>171</v>
      </c>
      <c r="B18" s="187">
        <v>7</v>
      </c>
      <c r="C18" s="188">
        <v>0</v>
      </c>
      <c r="D18" s="188">
        <v>45</v>
      </c>
      <c r="E18" s="200">
        <v>52</v>
      </c>
    </row>
    <row r="19" spans="1:5" x14ac:dyDescent="0.25">
      <c r="A19" s="117" t="s">
        <v>53</v>
      </c>
      <c r="B19" s="187">
        <v>12</v>
      </c>
      <c r="C19" s="188">
        <v>4</v>
      </c>
      <c r="D19" s="188">
        <v>36</v>
      </c>
      <c r="E19" s="200">
        <v>52</v>
      </c>
    </row>
    <row r="20" spans="1:5" x14ac:dyDescent="0.25">
      <c r="A20" s="117" t="s">
        <v>242</v>
      </c>
      <c r="B20" s="187">
        <v>7</v>
      </c>
      <c r="C20" s="188">
        <v>1</v>
      </c>
      <c r="D20" s="188">
        <v>41</v>
      </c>
      <c r="E20" s="200">
        <v>49</v>
      </c>
    </row>
    <row r="21" spans="1:5" x14ac:dyDescent="0.25">
      <c r="A21" s="117" t="s">
        <v>67</v>
      </c>
      <c r="B21" s="187">
        <v>5</v>
      </c>
      <c r="C21" s="188">
        <v>9</v>
      </c>
      <c r="D21" s="188">
        <v>33</v>
      </c>
      <c r="E21" s="200">
        <v>47</v>
      </c>
    </row>
    <row r="22" spans="1:5" x14ac:dyDescent="0.25">
      <c r="A22" s="117" t="s">
        <v>111</v>
      </c>
      <c r="B22" s="187">
        <v>10</v>
      </c>
      <c r="C22" s="188">
        <v>8</v>
      </c>
      <c r="D22" s="188">
        <v>28</v>
      </c>
      <c r="E22" s="200">
        <v>46</v>
      </c>
    </row>
    <row r="23" spans="1:5" x14ac:dyDescent="0.25">
      <c r="A23" s="117" t="s">
        <v>107</v>
      </c>
      <c r="B23" s="187">
        <v>2</v>
      </c>
      <c r="C23" s="188">
        <v>5</v>
      </c>
      <c r="D23" s="188">
        <v>37</v>
      </c>
      <c r="E23" s="200">
        <v>44</v>
      </c>
    </row>
    <row r="24" spans="1:5" x14ac:dyDescent="0.25">
      <c r="A24" s="117" t="s">
        <v>32</v>
      </c>
      <c r="B24" s="187">
        <v>4</v>
      </c>
      <c r="C24" s="188">
        <v>9</v>
      </c>
      <c r="D24" s="188">
        <v>29</v>
      </c>
      <c r="E24" s="200">
        <v>42</v>
      </c>
    </row>
    <row r="25" spans="1:5" x14ac:dyDescent="0.25">
      <c r="A25" s="117" t="s">
        <v>37</v>
      </c>
      <c r="B25" s="187">
        <v>2</v>
      </c>
      <c r="C25" s="188">
        <v>5</v>
      </c>
      <c r="D25" s="188">
        <v>35</v>
      </c>
      <c r="E25" s="200">
        <v>42</v>
      </c>
    </row>
    <row r="26" spans="1:5" x14ac:dyDescent="0.25">
      <c r="A26" s="117" t="s">
        <v>79</v>
      </c>
      <c r="B26" s="187">
        <v>14</v>
      </c>
      <c r="C26" s="188">
        <v>0</v>
      </c>
      <c r="D26" s="188">
        <v>28</v>
      </c>
      <c r="E26" s="200">
        <v>42</v>
      </c>
    </row>
    <row r="27" spans="1:5" x14ac:dyDescent="0.25">
      <c r="A27" s="117" t="s">
        <v>92</v>
      </c>
      <c r="B27" s="187">
        <v>4</v>
      </c>
      <c r="C27" s="188">
        <v>11</v>
      </c>
      <c r="D27" s="188">
        <v>27</v>
      </c>
      <c r="E27" s="200">
        <v>42</v>
      </c>
    </row>
    <row r="28" spans="1:5" x14ac:dyDescent="0.25">
      <c r="A28" s="117" t="s">
        <v>43</v>
      </c>
      <c r="B28" s="187">
        <v>9</v>
      </c>
      <c r="C28" s="188">
        <v>15</v>
      </c>
      <c r="D28" s="188">
        <v>18</v>
      </c>
      <c r="E28" s="200">
        <v>42</v>
      </c>
    </row>
    <row r="29" spans="1:5" x14ac:dyDescent="0.25">
      <c r="A29" s="117" t="s">
        <v>117</v>
      </c>
      <c r="B29" s="187">
        <v>2</v>
      </c>
      <c r="C29" s="188">
        <v>5</v>
      </c>
      <c r="D29" s="188">
        <v>33</v>
      </c>
      <c r="E29" s="200">
        <v>40</v>
      </c>
    </row>
    <row r="30" spans="1:5" x14ac:dyDescent="0.25">
      <c r="A30" s="117" t="s">
        <v>108</v>
      </c>
      <c r="B30" s="187">
        <v>3</v>
      </c>
      <c r="C30" s="188">
        <v>3</v>
      </c>
      <c r="D30" s="188">
        <v>34</v>
      </c>
      <c r="E30" s="200">
        <v>40</v>
      </c>
    </row>
    <row r="31" spans="1:5" x14ac:dyDescent="0.25">
      <c r="A31" s="117" t="s">
        <v>296</v>
      </c>
      <c r="B31" s="187">
        <v>1</v>
      </c>
      <c r="C31" s="188">
        <v>3</v>
      </c>
      <c r="D31" s="188">
        <v>35</v>
      </c>
      <c r="E31" s="200">
        <v>39</v>
      </c>
    </row>
    <row r="32" spans="1:5" x14ac:dyDescent="0.25">
      <c r="A32" s="117" t="s">
        <v>564</v>
      </c>
      <c r="B32" s="187">
        <v>4</v>
      </c>
      <c r="C32" s="188">
        <v>28</v>
      </c>
      <c r="D32" s="188">
        <v>7</v>
      </c>
      <c r="E32" s="200">
        <v>39</v>
      </c>
    </row>
    <row r="33" spans="1:5" x14ac:dyDescent="0.25">
      <c r="A33" s="117" t="s">
        <v>104</v>
      </c>
      <c r="B33" s="187">
        <v>3</v>
      </c>
      <c r="C33" s="188">
        <v>3</v>
      </c>
      <c r="D33" s="188">
        <v>32</v>
      </c>
      <c r="E33" s="200">
        <v>38</v>
      </c>
    </row>
    <row r="34" spans="1:5" x14ac:dyDescent="0.25">
      <c r="A34" s="117" t="s">
        <v>159</v>
      </c>
      <c r="B34" s="187">
        <v>3</v>
      </c>
      <c r="C34" s="188">
        <v>0</v>
      </c>
      <c r="D34" s="188">
        <v>35</v>
      </c>
      <c r="E34" s="200">
        <v>38</v>
      </c>
    </row>
    <row r="35" spans="1:5" x14ac:dyDescent="0.25">
      <c r="A35" s="117" t="s">
        <v>244</v>
      </c>
      <c r="B35" s="187">
        <v>12</v>
      </c>
      <c r="C35" s="188">
        <v>0</v>
      </c>
      <c r="D35" s="188">
        <v>26</v>
      </c>
      <c r="E35" s="200">
        <v>38</v>
      </c>
    </row>
    <row r="36" spans="1:5" x14ac:dyDescent="0.25">
      <c r="A36" s="117" t="s">
        <v>93</v>
      </c>
      <c r="B36" s="187">
        <v>4</v>
      </c>
      <c r="C36" s="188">
        <v>6</v>
      </c>
      <c r="D36" s="188">
        <v>27</v>
      </c>
      <c r="E36" s="200">
        <v>37</v>
      </c>
    </row>
    <row r="37" spans="1:5" x14ac:dyDescent="0.25">
      <c r="A37" s="117" t="s">
        <v>232</v>
      </c>
      <c r="B37" s="187">
        <v>0</v>
      </c>
      <c r="C37" s="188">
        <v>2</v>
      </c>
      <c r="D37" s="188">
        <v>35</v>
      </c>
      <c r="E37" s="200">
        <v>37</v>
      </c>
    </row>
    <row r="38" spans="1:5" x14ac:dyDescent="0.25">
      <c r="A38" s="117" t="s">
        <v>409</v>
      </c>
      <c r="B38" s="187">
        <v>0</v>
      </c>
      <c r="C38" s="188">
        <v>2</v>
      </c>
      <c r="D38" s="188">
        <v>34</v>
      </c>
      <c r="E38" s="200">
        <v>36</v>
      </c>
    </row>
    <row r="39" spans="1:5" x14ac:dyDescent="0.25">
      <c r="A39" s="117" t="s">
        <v>168</v>
      </c>
      <c r="B39" s="187">
        <v>2</v>
      </c>
      <c r="C39" s="188">
        <v>1</v>
      </c>
      <c r="D39" s="188">
        <v>32</v>
      </c>
      <c r="E39" s="200">
        <v>35</v>
      </c>
    </row>
    <row r="40" spans="1:5" x14ac:dyDescent="0.25">
      <c r="A40" s="117" t="s">
        <v>888</v>
      </c>
      <c r="B40" s="187">
        <v>12</v>
      </c>
      <c r="C40" s="188">
        <v>0</v>
      </c>
      <c r="D40" s="188">
        <v>22</v>
      </c>
      <c r="E40" s="200">
        <v>34</v>
      </c>
    </row>
    <row r="41" spans="1:5" x14ac:dyDescent="0.25">
      <c r="A41" s="117" t="s">
        <v>69</v>
      </c>
      <c r="B41" s="187">
        <v>1</v>
      </c>
      <c r="C41" s="188">
        <v>6</v>
      </c>
      <c r="D41" s="188">
        <v>27</v>
      </c>
      <c r="E41" s="200">
        <v>34</v>
      </c>
    </row>
    <row r="42" spans="1:5" x14ac:dyDescent="0.25">
      <c r="A42" s="117" t="s">
        <v>208</v>
      </c>
      <c r="B42" s="187">
        <v>2</v>
      </c>
      <c r="C42" s="188">
        <v>3</v>
      </c>
      <c r="D42" s="188">
        <v>28</v>
      </c>
      <c r="E42" s="200">
        <v>33</v>
      </c>
    </row>
    <row r="43" spans="1:5" x14ac:dyDescent="0.25">
      <c r="A43" s="117" t="s">
        <v>275</v>
      </c>
      <c r="B43" s="187">
        <v>4</v>
      </c>
      <c r="C43" s="188">
        <v>0</v>
      </c>
      <c r="D43" s="188">
        <v>29</v>
      </c>
      <c r="E43" s="200">
        <v>33</v>
      </c>
    </row>
    <row r="44" spans="1:5" x14ac:dyDescent="0.25">
      <c r="A44" s="117" t="s">
        <v>784</v>
      </c>
      <c r="B44" s="187">
        <v>1</v>
      </c>
      <c r="C44" s="188">
        <v>28</v>
      </c>
      <c r="D44" s="188">
        <v>4</v>
      </c>
      <c r="E44" s="200">
        <v>33</v>
      </c>
    </row>
    <row r="45" spans="1:5" x14ac:dyDescent="0.25">
      <c r="A45" s="117" t="s">
        <v>161</v>
      </c>
      <c r="B45" s="187">
        <v>3</v>
      </c>
      <c r="C45" s="188">
        <v>0</v>
      </c>
      <c r="D45" s="188">
        <v>28</v>
      </c>
      <c r="E45" s="200">
        <v>31</v>
      </c>
    </row>
    <row r="46" spans="1:5" x14ac:dyDescent="0.25">
      <c r="A46" s="117" t="s">
        <v>153</v>
      </c>
      <c r="B46" s="187">
        <v>2</v>
      </c>
      <c r="C46" s="188">
        <v>6</v>
      </c>
      <c r="D46" s="188">
        <v>23</v>
      </c>
      <c r="E46" s="200">
        <v>31</v>
      </c>
    </row>
    <row r="47" spans="1:5" x14ac:dyDescent="0.25">
      <c r="A47" s="117" t="s">
        <v>186</v>
      </c>
      <c r="B47" s="187">
        <v>3</v>
      </c>
      <c r="C47" s="188">
        <v>4</v>
      </c>
      <c r="D47" s="188">
        <v>19</v>
      </c>
      <c r="E47" s="200">
        <v>26</v>
      </c>
    </row>
    <row r="48" spans="1:5" x14ac:dyDescent="0.25">
      <c r="A48" s="117" t="s">
        <v>405</v>
      </c>
      <c r="B48" s="187">
        <v>0</v>
      </c>
      <c r="C48" s="188">
        <v>2</v>
      </c>
      <c r="D48" s="188">
        <v>24</v>
      </c>
      <c r="E48" s="200">
        <v>26</v>
      </c>
    </row>
    <row r="49" spans="1:5" x14ac:dyDescent="0.25">
      <c r="A49" s="117" t="s">
        <v>63</v>
      </c>
      <c r="B49" s="187">
        <v>0</v>
      </c>
      <c r="C49" s="188">
        <v>0</v>
      </c>
      <c r="D49" s="188">
        <v>25</v>
      </c>
      <c r="E49" s="200">
        <v>25</v>
      </c>
    </row>
    <row r="50" spans="1:5" x14ac:dyDescent="0.25">
      <c r="A50" s="117" t="s">
        <v>421</v>
      </c>
      <c r="B50" s="187">
        <v>6</v>
      </c>
      <c r="C50" s="188">
        <v>2</v>
      </c>
      <c r="D50" s="188">
        <v>17</v>
      </c>
      <c r="E50" s="200">
        <v>25</v>
      </c>
    </row>
    <row r="51" spans="1:5" x14ac:dyDescent="0.25">
      <c r="A51" s="117" t="s">
        <v>407</v>
      </c>
      <c r="B51" s="187">
        <v>0</v>
      </c>
      <c r="C51" s="188">
        <v>0</v>
      </c>
      <c r="D51" s="188">
        <v>25</v>
      </c>
      <c r="E51" s="200">
        <v>25</v>
      </c>
    </row>
    <row r="52" spans="1:5" x14ac:dyDescent="0.25">
      <c r="A52" s="117" t="s">
        <v>270</v>
      </c>
      <c r="B52" s="187">
        <v>0</v>
      </c>
      <c r="C52" s="188">
        <v>2</v>
      </c>
      <c r="D52" s="188">
        <v>22</v>
      </c>
      <c r="E52" s="200">
        <v>24</v>
      </c>
    </row>
    <row r="53" spans="1:5" x14ac:dyDescent="0.25">
      <c r="A53" s="117" t="s">
        <v>756</v>
      </c>
      <c r="B53" s="187">
        <v>3</v>
      </c>
      <c r="C53" s="188">
        <v>9</v>
      </c>
      <c r="D53" s="188">
        <v>11</v>
      </c>
      <c r="E53" s="200">
        <v>23</v>
      </c>
    </row>
    <row r="54" spans="1:5" x14ac:dyDescent="0.25">
      <c r="A54" s="117" t="s">
        <v>163</v>
      </c>
      <c r="B54" s="187">
        <v>5</v>
      </c>
      <c r="C54" s="188">
        <v>0</v>
      </c>
      <c r="D54" s="188">
        <v>18</v>
      </c>
      <c r="E54" s="200">
        <v>23</v>
      </c>
    </row>
    <row r="55" spans="1:5" x14ac:dyDescent="0.25">
      <c r="A55" s="117" t="s">
        <v>411</v>
      </c>
      <c r="B55" s="187">
        <v>1</v>
      </c>
      <c r="C55" s="188">
        <v>5</v>
      </c>
      <c r="D55" s="188">
        <v>16</v>
      </c>
      <c r="E55" s="200">
        <v>22</v>
      </c>
    </row>
    <row r="56" spans="1:5" x14ac:dyDescent="0.25">
      <c r="A56" s="117" t="s">
        <v>211</v>
      </c>
      <c r="B56" s="187">
        <v>0</v>
      </c>
      <c r="C56" s="188">
        <v>6</v>
      </c>
      <c r="D56" s="188">
        <v>16</v>
      </c>
      <c r="E56" s="200">
        <v>22</v>
      </c>
    </row>
    <row r="57" spans="1:5" x14ac:dyDescent="0.25">
      <c r="A57" s="117" t="s">
        <v>282</v>
      </c>
      <c r="B57" s="187">
        <v>0</v>
      </c>
      <c r="C57" s="188">
        <v>1</v>
      </c>
      <c r="D57" s="188">
        <v>20</v>
      </c>
      <c r="E57" s="200">
        <v>21</v>
      </c>
    </row>
    <row r="58" spans="1:5" x14ac:dyDescent="0.25">
      <c r="A58" s="117" t="s">
        <v>382</v>
      </c>
      <c r="B58" s="187">
        <v>0</v>
      </c>
      <c r="C58" s="188">
        <v>1</v>
      </c>
      <c r="D58" s="188">
        <v>20</v>
      </c>
      <c r="E58" s="200">
        <v>21</v>
      </c>
    </row>
    <row r="59" spans="1:5" x14ac:dyDescent="0.25">
      <c r="A59" s="117" t="s">
        <v>381</v>
      </c>
      <c r="B59" s="187">
        <v>0</v>
      </c>
      <c r="C59" s="188">
        <v>0</v>
      </c>
      <c r="D59" s="188">
        <v>20</v>
      </c>
      <c r="E59" s="200">
        <v>20</v>
      </c>
    </row>
    <row r="60" spans="1:5" x14ac:dyDescent="0.25">
      <c r="A60" s="117" t="s">
        <v>519</v>
      </c>
      <c r="B60" s="187">
        <v>0</v>
      </c>
      <c r="C60" s="188">
        <v>0</v>
      </c>
      <c r="D60" s="188">
        <v>19</v>
      </c>
      <c r="E60" s="200">
        <v>19</v>
      </c>
    </row>
    <row r="61" spans="1:5" x14ac:dyDescent="0.25">
      <c r="A61" s="117" t="s">
        <v>363</v>
      </c>
      <c r="B61" s="187">
        <v>1</v>
      </c>
      <c r="C61" s="188">
        <v>0</v>
      </c>
      <c r="D61" s="188">
        <v>18</v>
      </c>
      <c r="E61" s="200">
        <v>19</v>
      </c>
    </row>
    <row r="62" spans="1:5" x14ac:dyDescent="0.25">
      <c r="A62" s="117" t="s">
        <v>503</v>
      </c>
      <c r="B62" s="187">
        <v>2</v>
      </c>
      <c r="C62" s="188">
        <v>6</v>
      </c>
      <c r="D62" s="188">
        <v>9</v>
      </c>
      <c r="E62" s="200">
        <v>17</v>
      </c>
    </row>
    <row r="63" spans="1:5" x14ac:dyDescent="0.25">
      <c r="A63" s="117" t="s">
        <v>241</v>
      </c>
      <c r="B63" s="187">
        <v>0</v>
      </c>
      <c r="C63" s="188">
        <v>4</v>
      </c>
      <c r="D63" s="188">
        <v>13</v>
      </c>
      <c r="E63" s="200">
        <v>17</v>
      </c>
    </row>
    <row r="64" spans="1:5" x14ac:dyDescent="0.25">
      <c r="A64" s="117" t="s">
        <v>432</v>
      </c>
      <c r="B64" s="187">
        <v>0</v>
      </c>
      <c r="C64" s="188">
        <v>1</v>
      </c>
      <c r="D64" s="188">
        <v>16</v>
      </c>
      <c r="E64" s="200">
        <v>17</v>
      </c>
    </row>
    <row r="65" spans="1:5" x14ac:dyDescent="0.25">
      <c r="A65" s="117" t="s">
        <v>377</v>
      </c>
      <c r="B65" s="187">
        <v>0</v>
      </c>
      <c r="C65" s="188">
        <v>2</v>
      </c>
      <c r="D65" s="188">
        <v>14</v>
      </c>
      <c r="E65" s="200">
        <v>16</v>
      </c>
    </row>
    <row r="66" spans="1:5" x14ac:dyDescent="0.25">
      <c r="A66" s="117" t="s">
        <v>280</v>
      </c>
      <c r="B66" s="187">
        <v>0</v>
      </c>
      <c r="C66" s="188">
        <v>0</v>
      </c>
      <c r="D66" s="188">
        <v>16</v>
      </c>
      <c r="E66" s="200">
        <v>16</v>
      </c>
    </row>
    <row r="67" spans="1:5" x14ac:dyDescent="0.25">
      <c r="A67" s="117" t="s">
        <v>338</v>
      </c>
      <c r="B67" s="187">
        <v>1</v>
      </c>
      <c r="C67" s="188">
        <v>3</v>
      </c>
      <c r="D67" s="188">
        <v>12</v>
      </c>
      <c r="E67" s="200">
        <v>16</v>
      </c>
    </row>
    <row r="68" spans="1:5" x14ac:dyDescent="0.25">
      <c r="A68" s="117" t="s">
        <v>722</v>
      </c>
      <c r="B68" s="187">
        <v>0</v>
      </c>
      <c r="C68" s="188">
        <v>0</v>
      </c>
      <c r="D68" s="188">
        <v>16</v>
      </c>
      <c r="E68" s="200">
        <v>16</v>
      </c>
    </row>
    <row r="69" spans="1:5" x14ac:dyDescent="0.25">
      <c r="A69" s="117" t="s">
        <v>298</v>
      </c>
      <c r="B69" s="187">
        <v>2</v>
      </c>
      <c r="C69" s="188">
        <v>4</v>
      </c>
      <c r="D69" s="188">
        <v>10</v>
      </c>
      <c r="E69" s="200">
        <v>16</v>
      </c>
    </row>
    <row r="70" spans="1:5" x14ac:dyDescent="0.25">
      <c r="A70" s="117" t="s">
        <v>222</v>
      </c>
      <c r="B70" s="187">
        <v>0</v>
      </c>
      <c r="C70" s="188">
        <v>3</v>
      </c>
      <c r="D70" s="188">
        <v>13</v>
      </c>
      <c r="E70" s="200">
        <v>16</v>
      </c>
    </row>
    <row r="71" spans="1:5" x14ac:dyDescent="0.25">
      <c r="A71" s="117" t="s">
        <v>414</v>
      </c>
      <c r="B71" s="187">
        <v>0</v>
      </c>
      <c r="C71" s="188">
        <v>0</v>
      </c>
      <c r="D71" s="188">
        <v>15</v>
      </c>
      <c r="E71" s="200">
        <v>15</v>
      </c>
    </row>
    <row r="72" spans="1:5" x14ac:dyDescent="0.25">
      <c r="A72" s="117" t="s">
        <v>604</v>
      </c>
      <c r="B72" s="187">
        <v>1</v>
      </c>
      <c r="C72" s="188">
        <v>0</v>
      </c>
      <c r="D72" s="188">
        <v>14</v>
      </c>
      <c r="E72" s="200">
        <v>15</v>
      </c>
    </row>
    <row r="73" spans="1:5" x14ac:dyDescent="0.25">
      <c r="A73" s="117" t="s">
        <v>329</v>
      </c>
      <c r="B73" s="187">
        <v>1</v>
      </c>
      <c r="C73" s="188">
        <v>1</v>
      </c>
      <c r="D73" s="188">
        <v>13</v>
      </c>
      <c r="E73" s="200">
        <v>15</v>
      </c>
    </row>
    <row r="74" spans="1:5" x14ac:dyDescent="0.25">
      <c r="A74" s="117" t="s">
        <v>96</v>
      </c>
      <c r="B74" s="187">
        <v>1</v>
      </c>
      <c r="C74" s="188">
        <v>1</v>
      </c>
      <c r="D74" s="188">
        <v>13</v>
      </c>
      <c r="E74" s="200">
        <v>15</v>
      </c>
    </row>
    <row r="75" spans="1:5" x14ac:dyDescent="0.25">
      <c r="A75" s="117" t="s">
        <v>46</v>
      </c>
      <c r="B75" s="187">
        <v>2</v>
      </c>
      <c r="C75" s="188">
        <v>0</v>
      </c>
      <c r="D75" s="188">
        <v>13</v>
      </c>
      <c r="E75" s="200">
        <v>15</v>
      </c>
    </row>
    <row r="76" spans="1:5" x14ac:dyDescent="0.25">
      <c r="A76" s="117" t="s">
        <v>683</v>
      </c>
      <c r="B76" s="187">
        <v>0</v>
      </c>
      <c r="C76" s="188">
        <v>11</v>
      </c>
      <c r="D76" s="188">
        <v>3</v>
      </c>
      <c r="E76" s="200">
        <v>14</v>
      </c>
    </row>
    <row r="77" spans="1:5" x14ac:dyDescent="0.25">
      <c r="A77" s="117" t="s">
        <v>137</v>
      </c>
      <c r="B77" s="187">
        <v>0</v>
      </c>
      <c r="C77" s="188">
        <v>2</v>
      </c>
      <c r="D77" s="188">
        <v>12</v>
      </c>
      <c r="E77" s="200">
        <v>14</v>
      </c>
    </row>
    <row r="78" spans="1:5" x14ac:dyDescent="0.25">
      <c r="A78" s="117" t="s">
        <v>178</v>
      </c>
      <c r="B78" s="187">
        <v>4</v>
      </c>
      <c r="C78" s="188">
        <v>2</v>
      </c>
      <c r="D78" s="188">
        <v>8</v>
      </c>
      <c r="E78" s="200">
        <v>14</v>
      </c>
    </row>
    <row r="79" spans="1:5" x14ac:dyDescent="0.25">
      <c r="A79" s="117" t="s">
        <v>248</v>
      </c>
      <c r="B79" s="187">
        <v>1</v>
      </c>
      <c r="C79" s="188">
        <v>3</v>
      </c>
      <c r="D79" s="188">
        <v>10</v>
      </c>
      <c r="E79" s="200">
        <v>14</v>
      </c>
    </row>
    <row r="80" spans="1:5" x14ac:dyDescent="0.25">
      <c r="A80" s="117" t="s">
        <v>369</v>
      </c>
      <c r="B80" s="187">
        <v>0</v>
      </c>
      <c r="C80" s="188">
        <v>1</v>
      </c>
      <c r="D80" s="188">
        <v>12</v>
      </c>
      <c r="E80" s="200">
        <v>13</v>
      </c>
    </row>
    <row r="81" spans="1:5" x14ac:dyDescent="0.25">
      <c r="A81" s="117" t="s">
        <v>499</v>
      </c>
      <c r="B81" s="187">
        <v>0</v>
      </c>
      <c r="C81" s="188">
        <v>3</v>
      </c>
      <c r="D81" s="188">
        <v>10</v>
      </c>
      <c r="E81" s="200">
        <v>13</v>
      </c>
    </row>
    <row r="82" spans="1:5" x14ac:dyDescent="0.25">
      <c r="A82" s="117" t="s">
        <v>176</v>
      </c>
      <c r="B82" s="187">
        <v>0</v>
      </c>
      <c r="C82" s="188">
        <v>1</v>
      </c>
      <c r="D82" s="188">
        <v>12</v>
      </c>
      <c r="E82" s="200">
        <v>13</v>
      </c>
    </row>
    <row r="83" spans="1:5" x14ac:dyDescent="0.25">
      <c r="A83" s="117" t="s">
        <v>473</v>
      </c>
      <c r="B83" s="187">
        <v>2</v>
      </c>
      <c r="C83" s="188">
        <v>1</v>
      </c>
      <c r="D83" s="188">
        <v>9</v>
      </c>
      <c r="E83" s="200">
        <v>12</v>
      </c>
    </row>
    <row r="84" spans="1:5" x14ac:dyDescent="0.25">
      <c r="A84" s="117" t="s">
        <v>600</v>
      </c>
      <c r="B84" s="187">
        <v>1</v>
      </c>
      <c r="C84" s="188">
        <v>3</v>
      </c>
      <c r="D84" s="188">
        <v>8</v>
      </c>
      <c r="E84" s="200">
        <v>12</v>
      </c>
    </row>
    <row r="85" spans="1:5" x14ac:dyDescent="0.25">
      <c r="A85" s="117" t="s">
        <v>225</v>
      </c>
      <c r="B85" s="187">
        <v>0</v>
      </c>
      <c r="C85" s="188">
        <v>5</v>
      </c>
      <c r="D85" s="188">
        <v>7</v>
      </c>
      <c r="E85" s="200">
        <v>12</v>
      </c>
    </row>
    <row r="86" spans="1:5" x14ac:dyDescent="0.25">
      <c r="A86" s="117" t="s">
        <v>505</v>
      </c>
      <c r="B86" s="187">
        <v>0</v>
      </c>
      <c r="C86" s="188">
        <v>0</v>
      </c>
      <c r="D86" s="188">
        <v>11</v>
      </c>
      <c r="E86" s="200">
        <v>11</v>
      </c>
    </row>
    <row r="87" spans="1:5" x14ac:dyDescent="0.25">
      <c r="A87" s="117" t="s">
        <v>469</v>
      </c>
      <c r="B87" s="187">
        <v>0</v>
      </c>
      <c r="C87" s="188">
        <v>1</v>
      </c>
      <c r="D87" s="188">
        <v>10</v>
      </c>
      <c r="E87" s="200">
        <v>11</v>
      </c>
    </row>
    <row r="88" spans="1:5" x14ac:dyDescent="0.25">
      <c r="A88" s="117" t="s">
        <v>621</v>
      </c>
      <c r="B88" s="187">
        <v>0</v>
      </c>
      <c r="C88" s="188">
        <v>5</v>
      </c>
      <c r="D88" s="188">
        <v>6</v>
      </c>
      <c r="E88" s="200">
        <v>11</v>
      </c>
    </row>
    <row r="89" spans="1:5" x14ac:dyDescent="0.25">
      <c r="A89" s="117" t="s">
        <v>195</v>
      </c>
      <c r="B89" s="187">
        <v>0</v>
      </c>
      <c r="C89" s="188">
        <v>0</v>
      </c>
      <c r="D89" s="188">
        <v>11</v>
      </c>
      <c r="E89" s="200">
        <v>11</v>
      </c>
    </row>
    <row r="90" spans="1:5" x14ac:dyDescent="0.25">
      <c r="A90" s="117" t="s">
        <v>142</v>
      </c>
      <c r="B90" s="187">
        <v>0</v>
      </c>
      <c r="C90" s="188">
        <v>3</v>
      </c>
      <c r="D90" s="188">
        <v>7</v>
      </c>
      <c r="E90" s="200">
        <v>10</v>
      </c>
    </row>
    <row r="91" spans="1:5" x14ac:dyDescent="0.25">
      <c r="A91" s="117" t="s">
        <v>293</v>
      </c>
      <c r="B91" s="187">
        <v>2</v>
      </c>
      <c r="C91" s="188">
        <v>3</v>
      </c>
      <c r="D91" s="188">
        <v>5</v>
      </c>
      <c r="E91" s="200">
        <v>10</v>
      </c>
    </row>
    <row r="92" spans="1:5" x14ac:dyDescent="0.25">
      <c r="A92" s="117" t="s">
        <v>443</v>
      </c>
      <c r="B92" s="187">
        <v>1</v>
      </c>
      <c r="C92" s="188">
        <v>0</v>
      </c>
      <c r="D92" s="188">
        <v>9</v>
      </c>
      <c r="E92" s="200">
        <v>10</v>
      </c>
    </row>
    <row r="93" spans="1:5" x14ac:dyDescent="0.25">
      <c r="A93" s="117" t="s">
        <v>653</v>
      </c>
      <c r="B93" s="187">
        <v>0</v>
      </c>
      <c r="C93" s="188">
        <v>3</v>
      </c>
      <c r="D93" s="188">
        <v>7</v>
      </c>
      <c r="E93" s="200">
        <v>10</v>
      </c>
    </row>
    <row r="94" spans="1:5" x14ac:dyDescent="0.25">
      <c r="A94" s="117" t="s">
        <v>205</v>
      </c>
      <c r="B94" s="187">
        <v>0</v>
      </c>
      <c r="C94" s="188">
        <v>0</v>
      </c>
      <c r="D94" s="188">
        <v>10</v>
      </c>
      <c r="E94" s="200">
        <v>10</v>
      </c>
    </row>
    <row r="95" spans="1:5" x14ac:dyDescent="0.25">
      <c r="A95" s="117" t="s">
        <v>413</v>
      </c>
      <c r="B95" s="187">
        <v>0</v>
      </c>
      <c r="C95" s="188">
        <v>2</v>
      </c>
      <c r="D95" s="188">
        <v>8</v>
      </c>
      <c r="E95" s="200">
        <v>10</v>
      </c>
    </row>
    <row r="96" spans="1:5" x14ac:dyDescent="0.25">
      <c r="A96" s="117" t="s">
        <v>252</v>
      </c>
      <c r="B96" s="187">
        <v>0</v>
      </c>
      <c r="C96" s="188">
        <v>0</v>
      </c>
      <c r="D96" s="188">
        <v>10</v>
      </c>
      <c r="E96" s="200">
        <v>10</v>
      </c>
    </row>
    <row r="97" spans="1:5" x14ac:dyDescent="0.25">
      <c r="A97" s="117" t="s">
        <v>258</v>
      </c>
      <c r="B97" s="187">
        <v>1</v>
      </c>
      <c r="C97" s="188">
        <v>1</v>
      </c>
      <c r="D97" s="188">
        <v>8</v>
      </c>
      <c r="E97" s="200">
        <v>10</v>
      </c>
    </row>
    <row r="98" spans="1:5" x14ac:dyDescent="0.25">
      <c r="A98" s="117" t="s">
        <v>214</v>
      </c>
      <c r="B98" s="187">
        <v>1</v>
      </c>
      <c r="C98" s="188">
        <v>0</v>
      </c>
      <c r="D98" s="188">
        <v>9</v>
      </c>
      <c r="E98" s="200">
        <v>10</v>
      </c>
    </row>
    <row r="99" spans="1:5" x14ac:dyDescent="0.25">
      <c r="A99" s="117" t="s">
        <v>558</v>
      </c>
      <c r="B99" s="187">
        <v>3</v>
      </c>
      <c r="C99" s="188">
        <v>2</v>
      </c>
      <c r="D99" s="188">
        <v>5</v>
      </c>
      <c r="E99" s="200">
        <v>10</v>
      </c>
    </row>
    <row r="100" spans="1:5" x14ac:dyDescent="0.25">
      <c r="A100" s="117" t="s">
        <v>371</v>
      </c>
      <c r="B100" s="187">
        <v>0</v>
      </c>
      <c r="C100" s="188">
        <v>4</v>
      </c>
      <c r="D100" s="188">
        <v>6</v>
      </c>
      <c r="E100" s="200">
        <v>10</v>
      </c>
    </row>
    <row r="101" spans="1:5" x14ac:dyDescent="0.25">
      <c r="A101" s="117" t="s">
        <v>285</v>
      </c>
      <c r="B101" s="187">
        <v>0</v>
      </c>
      <c r="C101" s="188">
        <v>0</v>
      </c>
      <c r="D101" s="188">
        <v>9</v>
      </c>
      <c r="E101" s="200">
        <v>9</v>
      </c>
    </row>
    <row r="102" spans="1:5" x14ac:dyDescent="0.25">
      <c r="A102" s="117" t="s">
        <v>506</v>
      </c>
      <c r="B102" s="187">
        <v>0</v>
      </c>
      <c r="C102" s="188">
        <v>0</v>
      </c>
      <c r="D102" s="188">
        <v>9</v>
      </c>
      <c r="E102" s="200">
        <v>9</v>
      </c>
    </row>
    <row r="103" spans="1:5" x14ac:dyDescent="0.25">
      <c r="A103" s="117" t="s">
        <v>417</v>
      </c>
      <c r="B103" s="187">
        <v>1</v>
      </c>
      <c r="C103" s="188">
        <v>2</v>
      </c>
      <c r="D103" s="188">
        <v>6</v>
      </c>
      <c r="E103" s="200">
        <v>9</v>
      </c>
    </row>
    <row r="104" spans="1:5" x14ac:dyDescent="0.25">
      <c r="A104" s="117" t="s">
        <v>145</v>
      </c>
      <c r="B104" s="187">
        <v>0</v>
      </c>
      <c r="C104" s="188">
        <v>3</v>
      </c>
      <c r="D104" s="188">
        <v>6</v>
      </c>
      <c r="E104" s="200">
        <v>9</v>
      </c>
    </row>
    <row r="105" spans="1:5" x14ac:dyDescent="0.25">
      <c r="A105" s="117" t="s">
        <v>791</v>
      </c>
      <c r="B105" s="187">
        <v>1</v>
      </c>
      <c r="C105" s="188">
        <v>2</v>
      </c>
      <c r="D105" s="188">
        <v>6</v>
      </c>
      <c r="E105" s="200">
        <v>9</v>
      </c>
    </row>
    <row r="106" spans="1:5" x14ac:dyDescent="0.25">
      <c r="A106" s="117" t="s">
        <v>180</v>
      </c>
      <c r="B106" s="187">
        <v>0</v>
      </c>
      <c r="C106" s="188">
        <v>0</v>
      </c>
      <c r="D106" s="188">
        <v>9</v>
      </c>
      <c r="E106" s="200">
        <v>9</v>
      </c>
    </row>
    <row r="107" spans="1:5" x14ac:dyDescent="0.25">
      <c r="A107" s="117" t="s">
        <v>743</v>
      </c>
      <c r="B107" s="187">
        <v>0</v>
      </c>
      <c r="C107" s="188">
        <v>5</v>
      </c>
      <c r="D107" s="188">
        <v>3</v>
      </c>
      <c r="E107" s="200">
        <v>8</v>
      </c>
    </row>
    <row r="108" spans="1:5" x14ac:dyDescent="0.25">
      <c r="A108" s="117" t="s">
        <v>345</v>
      </c>
      <c r="B108" s="187">
        <v>1</v>
      </c>
      <c r="C108" s="188">
        <v>3</v>
      </c>
      <c r="D108" s="188">
        <v>4</v>
      </c>
      <c r="E108" s="200">
        <v>8</v>
      </c>
    </row>
    <row r="109" spans="1:5" x14ac:dyDescent="0.25">
      <c r="A109" s="117" t="s">
        <v>265</v>
      </c>
      <c r="B109" s="187">
        <v>0</v>
      </c>
      <c r="C109" s="188">
        <v>0</v>
      </c>
      <c r="D109" s="188">
        <v>8</v>
      </c>
      <c r="E109" s="200">
        <v>8</v>
      </c>
    </row>
    <row r="110" spans="1:5" x14ac:dyDescent="0.25">
      <c r="A110" s="117" t="s">
        <v>430</v>
      </c>
      <c r="B110" s="187">
        <v>0</v>
      </c>
      <c r="C110" s="188">
        <v>0</v>
      </c>
      <c r="D110" s="188">
        <v>8</v>
      </c>
      <c r="E110" s="200">
        <v>8</v>
      </c>
    </row>
    <row r="111" spans="1:5" x14ac:dyDescent="0.25">
      <c r="A111" s="117" t="s">
        <v>769</v>
      </c>
      <c r="B111" s="187">
        <v>0</v>
      </c>
      <c r="C111" s="188">
        <v>3</v>
      </c>
      <c r="D111" s="188">
        <v>4</v>
      </c>
      <c r="E111" s="200">
        <v>7</v>
      </c>
    </row>
    <row r="112" spans="1:5" x14ac:dyDescent="0.25">
      <c r="A112" s="117" t="s">
        <v>476</v>
      </c>
      <c r="B112" s="187">
        <v>0</v>
      </c>
      <c r="C112" s="188">
        <v>0</v>
      </c>
      <c r="D112" s="188">
        <v>7</v>
      </c>
      <c r="E112" s="200">
        <v>7</v>
      </c>
    </row>
    <row r="113" spans="1:5" x14ac:dyDescent="0.25">
      <c r="A113" s="117" t="s">
        <v>260</v>
      </c>
      <c r="B113" s="187">
        <v>0</v>
      </c>
      <c r="C113" s="188">
        <v>0</v>
      </c>
      <c r="D113" s="188">
        <v>7</v>
      </c>
      <c r="E113" s="200">
        <v>7</v>
      </c>
    </row>
    <row r="114" spans="1:5" x14ac:dyDescent="0.25">
      <c r="A114" s="117" t="s">
        <v>588</v>
      </c>
      <c r="B114" s="187">
        <v>0</v>
      </c>
      <c r="C114" s="188">
        <v>3</v>
      </c>
      <c r="D114" s="188">
        <v>4</v>
      </c>
      <c r="E114" s="200">
        <v>7</v>
      </c>
    </row>
    <row r="115" spans="1:5" x14ac:dyDescent="0.25">
      <c r="A115" s="117" t="s">
        <v>303</v>
      </c>
      <c r="B115" s="187">
        <v>0</v>
      </c>
      <c r="C115" s="188">
        <v>1</v>
      </c>
      <c r="D115" s="188">
        <v>6</v>
      </c>
      <c r="E115" s="200">
        <v>7</v>
      </c>
    </row>
    <row r="116" spans="1:5" x14ac:dyDescent="0.25">
      <c r="A116" s="117" t="s">
        <v>1027</v>
      </c>
      <c r="B116" s="187">
        <v>3</v>
      </c>
      <c r="C116" s="188">
        <v>0</v>
      </c>
      <c r="D116" s="188">
        <v>4</v>
      </c>
      <c r="E116" s="200">
        <v>7</v>
      </c>
    </row>
    <row r="117" spans="1:5" x14ac:dyDescent="0.25">
      <c r="A117" s="117" t="s">
        <v>458</v>
      </c>
      <c r="B117" s="187">
        <v>0</v>
      </c>
      <c r="C117" s="188">
        <v>0</v>
      </c>
      <c r="D117" s="188">
        <v>7</v>
      </c>
      <c r="E117" s="200">
        <v>7</v>
      </c>
    </row>
    <row r="118" spans="1:5" x14ac:dyDescent="0.25">
      <c r="A118" s="117" t="s">
        <v>239</v>
      </c>
      <c r="B118" s="187">
        <v>1</v>
      </c>
      <c r="C118" s="188">
        <v>3</v>
      </c>
      <c r="D118" s="188">
        <v>3</v>
      </c>
      <c r="E118" s="200">
        <v>7</v>
      </c>
    </row>
    <row r="119" spans="1:5" x14ac:dyDescent="0.25">
      <c r="A119" s="117" t="s">
        <v>451</v>
      </c>
      <c r="B119" s="187">
        <v>0</v>
      </c>
      <c r="C119" s="188">
        <v>0</v>
      </c>
      <c r="D119" s="188">
        <v>7</v>
      </c>
      <c r="E119" s="200">
        <v>7</v>
      </c>
    </row>
    <row r="120" spans="1:5" x14ac:dyDescent="0.25">
      <c r="A120" s="117" t="s">
        <v>620</v>
      </c>
      <c r="B120" s="187">
        <v>0</v>
      </c>
      <c r="C120" s="188">
        <v>0</v>
      </c>
      <c r="D120" s="188">
        <v>6</v>
      </c>
      <c r="E120" s="200">
        <v>6</v>
      </c>
    </row>
    <row r="121" spans="1:5" x14ac:dyDescent="0.25">
      <c r="A121" s="117" t="s">
        <v>513</v>
      </c>
      <c r="B121" s="187">
        <v>0</v>
      </c>
      <c r="C121" s="188">
        <v>0</v>
      </c>
      <c r="D121" s="188">
        <v>6</v>
      </c>
      <c r="E121" s="200">
        <v>6</v>
      </c>
    </row>
    <row r="122" spans="1:5" x14ac:dyDescent="0.25">
      <c r="A122" s="117" t="s">
        <v>559</v>
      </c>
      <c r="B122" s="187">
        <v>0</v>
      </c>
      <c r="C122" s="188">
        <v>1</v>
      </c>
      <c r="D122" s="188">
        <v>5</v>
      </c>
      <c r="E122" s="200">
        <v>6</v>
      </c>
    </row>
    <row r="123" spans="1:5" x14ac:dyDescent="0.25">
      <c r="A123" s="117" t="s">
        <v>450</v>
      </c>
      <c r="B123" s="187">
        <v>0</v>
      </c>
      <c r="C123" s="188">
        <v>0</v>
      </c>
      <c r="D123" s="188">
        <v>5</v>
      </c>
      <c r="E123" s="200">
        <v>5</v>
      </c>
    </row>
    <row r="124" spans="1:5" x14ac:dyDescent="0.25">
      <c r="A124" s="117" t="s">
        <v>419</v>
      </c>
      <c r="B124" s="187">
        <v>0</v>
      </c>
      <c r="C124" s="188">
        <v>0</v>
      </c>
      <c r="D124" s="188">
        <v>5</v>
      </c>
      <c r="E124" s="200">
        <v>5</v>
      </c>
    </row>
    <row r="125" spans="1:5" x14ac:dyDescent="0.25">
      <c r="A125" s="117" t="s">
        <v>370</v>
      </c>
      <c r="B125" s="187">
        <v>0</v>
      </c>
      <c r="C125" s="188">
        <v>1</v>
      </c>
      <c r="D125" s="188">
        <v>4</v>
      </c>
      <c r="E125" s="200">
        <v>5</v>
      </c>
    </row>
    <row r="126" spans="1:5" x14ac:dyDescent="0.25">
      <c r="A126" s="117" t="s">
        <v>716</v>
      </c>
      <c r="B126" s="187">
        <v>4</v>
      </c>
      <c r="C126" s="188">
        <v>0</v>
      </c>
      <c r="D126" s="188">
        <v>1</v>
      </c>
      <c r="E126" s="200">
        <v>5</v>
      </c>
    </row>
    <row r="127" spans="1:5" x14ac:dyDescent="0.25">
      <c r="A127" s="117" t="s">
        <v>747</v>
      </c>
      <c r="B127" s="187">
        <v>0</v>
      </c>
      <c r="C127" s="188">
        <v>3</v>
      </c>
      <c r="D127" s="188">
        <v>2</v>
      </c>
      <c r="E127" s="200">
        <v>5</v>
      </c>
    </row>
    <row r="128" spans="1:5" x14ac:dyDescent="0.25">
      <c r="A128" s="117" t="s">
        <v>95</v>
      </c>
      <c r="B128" s="187">
        <v>0</v>
      </c>
      <c r="C128" s="188">
        <v>0</v>
      </c>
      <c r="D128" s="188">
        <v>5</v>
      </c>
      <c r="E128" s="200">
        <v>5</v>
      </c>
    </row>
    <row r="129" spans="1:5" x14ac:dyDescent="0.25">
      <c r="A129" s="117" t="s">
        <v>1057</v>
      </c>
      <c r="B129" s="187">
        <v>0</v>
      </c>
      <c r="C129" s="188">
        <v>0</v>
      </c>
      <c r="D129" s="188">
        <v>5</v>
      </c>
      <c r="E129" s="200">
        <v>5</v>
      </c>
    </row>
    <row r="130" spans="1:5" x14ac:dyDescent="0.25">
      <c r="A130" s="117" t="s">
        <v>752</v>
      </c>
      <c r="B130" s="187">
        <v>0</v>
      </c>
      <c r="C130" s="188">
        <v>3</v>
      </c>
      <c r="D130" s="188">
        <v>2</v>
      </c>
      <c r="E130" s="200">
        <v>5</v>
      </c>
    </row>
    <row r="131" spans="1:5" x14ac:dyDescent="0.25">
      <c r="A131" s="117" t="s">
        <v>288</v>
      </c>
      <c r="B131" s="187">
        <v>0</v>
      </c>
      <c r="C131" s="188">
        <v>1</v>
      </c>
      <c r="D131" s="188">
        <v>4</v>
      </c>
      <c r="E131" s="200">
        <v>5</v>
      </c>
    </row>
    <row r="132" spans="1:5" x14ac:dyDescent="0.25">
      <c r="A132" s="117" t="s">
        <v>1013</v>
      </c>
      <c r="B132" s="187">
        <v>0</v>
      </c>
      <c r="C132" s="188">
        <v>1</v>
      </c>
      <c r="D132" s="188">
        <v>4</v>
      </c>
      <c r="E132" s="200">
        <v>5</v>
      </c>
    </row>
    <row r="133" spans="1:5" x14ac:dyDescent="0.25">
      <c r="A133" s="117" t="s">
        <v>634</v>
      </c>
      <c r="B133" s="187">
        <v>0</v>
      </c>
      <c r="C133" s="188">
        <v>0</v>
      </c>
      <c r="D133" s="188">
        <v>4</v>
      </c>
      <c r="E133" s="200">
        <v>4</v>
      </c>
    </row>
    <row r="134" spans="1:5" x14ac:dyDescent="0.25">
      <c r="A134" s="117" t="s">
        <v>612</v>
      </c>
      <c r="B134" s="187">
        <v>0</v>
      </c>
      <c r="C134" s="188">
        <v>0</v>
      </c>
      <c r="D134" s="188">
        <v>4</v>
      </c>
      <c r="E134" s="200">
        <v>4</v>
      </c>
    </row>
    <row r="135" spans="1:5" x14ac:dyDescent="0.25">
      <c r="A135" s="117" t="s">
        <v>437</v>
      </c>
      <c r="B135" s="187">
        <v>0</v>
      </c>
      <c r="C135" s="188">
        <v>0</v>
      </c>
      <c r="D135" s="188">
        <v>4</v>
      </c>
      <c r="E135" s="200">
        <v>4</v>
      </c>
    </row>
    <row r="136" spans="1:5" x14ac:dyDescent="0.25">
      <c r="A136" s="117" t="s">
        <v>1859</v>
      </c>
      <c r="B136" s="187">
        <v>0</v>
      </c>
      <c r="C136" s="188">
        <v>0</v>
      </c>
      <c r="D136" s="188">
        <v>4</v>
      </c>
      <c r="E136" s="200">
        <v>4</v>
      </c>
    </row>
    <row r="137" spans="1:5" x14ac:dyDescent="0.25">
      <c r="A137" s="117" t="s">
        <v>391</v>
      </c>
      <c r="B137" s="187">
        <v>0</v>
      </c>
      <c r="C137" s="188">
        <v>0</v>
      </c>
      <c r="D137" s="188">
        <v>4</v>
      </c>
      <c r="E137" s="200">
        <v>4</v>
      </c>
    </row>
    <row r="138" spans="1:5" x14ac:dyDescent="0.25">
      <c r="A138" s="117" t="s">
        <v>552</v>
      </c>
      <c r="B138" s="187">
        <v>0</v>
      </c>
      <c r="C138" s="188">
        <v>0</v>
      </c>
      <c r="D138" s="188">
        <v>3</v>
      </c>
      <c r="E138" s="200">
        <v>3</v>
      </c>
    </row>
    <row r="139" spans="1:5" x14ac:dyDescent="0.25">
      <c r="A139" s="117" t="s">
        <v>343</v>
      </c>
      <c r="B139" s="187">
        <v>0</v>
      </c>
      <c r="C139" s="188">
        <v>0</v>
      </c>
      <c r="D139" s="188">
        <v>3</v>
      </c>
      <c r="E139" s="200">
        <v>3</v>
      </c>
    </row>
    <row r="140" spans="1:5" x14ac:dyDescent="0.25">
      <c r="A140" s="117" t="s">
        <v>836</v>
      </c>
      <c r="B140" s="187">
        <v>0</v>
      </c>
      <c r="C140" s="188">
        <v>1</v>
      </c>
      <c r="D140" s="188">
        <v>2</v>
      </c>
      <c r="E140" s="200">
        <v>3</v>
      </c>
    </row>
    <row r="141" spans="1:5" x14ac:dyDescent="0.25">
      <c r="A141" s="117" t="s">
        <v>762</v>
      </c>
      <c r="B141" s="187">
        <v>0</v>
      </c>
      <c r="C141" s="188">
        <v>0</v>
      </c>
      <c r="D141" s="188">
        <v>3</v>
      </c>
      <c r="E141" s="200">
        <v>3</v>
      </c>
    </row>
    <row r="142" spans="1:5" x14ac:dyDescent="0.25">
      <c r="A142" s="117" t="s">
        <v>429</v>
      </c>
      <c r="B142" s="187">
        <v>0</v>
      </c>
      <c r="C142" s="188">
        <v>1</v>
      </c>
      <c r="D142" s="188">
        <v>2</v>
      </c>
      <c r="E142" s="200">
        <v>3</v>
      </c>
    </row>
    <row r="143" spans="1:5" x14ac:dyDescent="0.25">
      <c r="A143" s="117" t="s">
        <v>733</v>
      </c>
      <c r="B143" s="187">
        <v>0</v>
      </c>
      <c r="C143" s="188">
        <v>2</v>
      </c>
      <c r="D143" s="188">
        <v>1</v>
      </c>
      <c r="E143" s="200">
        <v>3</v>
      </c>
    </row>
    <row r="144" spans="1:5" x14ac:dyDescent="0.25">
      <c r="A144" s="117" t="s">
        <v>2309</v>
      </c>
      <c r="B144" s="187">
        <v>0</v>
      </c>
      <c r="C144" s="188">
        <v>3</v>
      </c>
      <c r="D144" s="188">
        <v>0</v>
      </c>
      <c r="E144" s="200">
        <v>3</v>
      </c>
    </row>
    <row r="145" spans="1:5" x14ac:dyDescent="0.25">
      <c r="A145" s="117" t="s">
        <v>200</v>
      </c>
      <c r="B145" s="187">
        <v>0</v>
      </c>
      <c r="C145" s="188">
        <v>1</v>
      </c>
      <c r="D145" s="188">
        <v>2</v>
      </c>
      <c r="E145" s="200">
        <v>3</v>
      </c>
    </row>
    <row r="146" spans="1:5" x14ac:dyDescent="0.25">
      <c r="A146" s="117" t="s">
        <v>217</v>
      </c>
      <c r="B146" s="187">
        <v>0</v>
      </c>
      <c r="C146" s="188">
        <v>0</v>
      </c>
      <c r="D146" s="188">
        <v>3</v>
      </c>
      <c r="E146" s="200">
        <v>3</v>
      </c>
    </row>
    <row r="147" spans="1:5" x14ac:dyDescent="0.25">
      <c r="A147" s="117" t="s">
        <v>975</v>
      </c>
      <c r="B147" s="187">
        <v>0</v>
      </c>
      <c r="C147" s="188">
        <v>1</v>
      </c>
      <c r="D147" s="188">
        <v>2</v>
      </c>
      <c r="E147" s="200">
        <v>3</v>
      </c>
    </row>
    <row r="148" spans="1:5" x14ac:dyDescent="0.25">
      <c r="A148" s="117" t="s">
        <v>781</v>
      </c>
      <c r="B148" s="187">
        <v>0</v>
      </c>
      <c r="C148" s="188">
        <v>1</v>
      </c>
      <c r="D148" s="188">
        <v>2</v>
      </c>
      <c r="E148" s="200">
        <v>3</v>
      </c>
    </row>
    <row r="149" spans="1:5" x14ac:dyDescent="0.25">
      <c r="A149" s="117" t="s">
        <v>452</v>
      </c>
      <c r="B149" s="187">
        <v>0</v>
      </c>
      <c r="C149" s="188">
        <v>0</v>
      </c>
      <c r="D149" s="188">
        <v>3</v>
      </c>
      <c r="E149" s="200">
        <v>3</v>
      </c>
    </row>
    <row r="150" spans="1:5" x14ac:dyDescent="0.25">
      <c r="A150" s="117" t="s">
        <v>1167</v>
      </c>
      <c r="B150" s="187">
        <v>0</v>
      </c>
      <c r="C150" s="188">
        <v>1</v>
      </c>
      <c r="D150" s="188">
        <v>2</v>
      </c>
      <c r="E150" s="200">
        <v>3</v>
      </c>
    </row>
    <row r="151" spans="1:5" x14ac:dyDescent="0.25">
      <c r="A151" s="117" t="s">
        <v>783</v>
      </c>
      <c r="B151" s="187">
        <v>0</v>
      </c>
      <c r="C151" s="188">
        <v>1</v>
      </c>
      <c r="D151" s="188">
        <v>2</v>
      </c>
      <c r="E151" s="200">
        <v>3</v>
      </c>
    </row>
    <row r="152" spans="1:5" x14ac:dyDescent="0.25">
      <c r="A152" s="117" t="s">
        <v>592</v>
      </c>
      <c r="B152" s="187">
        <v>0</v>
      </c>
      <c r="C152" s="188">
        <v>0</v>
      </c>
      <c r="D152" s="188">
        <v>3</v>
      </c>
      <c r="E152" s="200">
        <v>3</v>
      </c>
    </row>
    <row r="153" spans="1:5" x14ac:dyDescent="0.25">
      <c r="A153" s="117" t="s">
        <v>789</v>
      </c>
      <c r="B153" s="187">
        <v>0</v>
      </c>
      <c r="C153" s="188">
        <v>1</v>
      </c>
      <c r="D153" s="188">
        <v>2</v>
      </c>
      <c r="E153" s="200">
        <v>3</v>
      </c>
    </row>
    <row r="154" spans="1:5" x14ac:dyDescent="0.25">
      <c r="A154" s="117" t="s">
        <v>668</v>
      </c>
      <c r="B154" s="187">
        <v>0</v>
      </c>
      <c r="C154" s="188">
        <v>0</v>
      </c>
      <c r="D154" s="188">
        <v>3</v>
      </c>
      <c r="E154" s="200">
        <v>3</v>
      </c>
    </row>
    <row r="155" spans="1:5" x14ac:dyDescent="0.25">
      <c r="A155" s="117" t="s">
        <v>477</v>
      </c>
      <c r="B155" s="187">
        <v>0</v>
      </c>
      <c r="C155" s="188">
        <v>1</v>
      </c>
      <c r="D155" s="188">
        <v>1</v>
      </c>
      <c r="E155" s="200">
        <v>2</v>
      </c>
    </row>
    <row r="156" spans="1:5" x14ac:dyDescent="0.25">
      <c r="A156" s="117" t="s">
        <v>613</v>
      </c>
      <c r="B156" s="187">
        <v>0</v>
      </c>
      <c r="C156" s="188">
        <v>0</v>
      </c>
      <c r="D156" s="188">
        <v>2</v>
      </c>
      <c r="E156" s="200">
        <v>2</v>
      </c>
    </row>
    <row r="157" spans="1:5" x14ac:dyDescent="0.25">
      <c r="A157" s="117" t="s">
        <v>517</v>
      </c>
      <c r="B157" s="187">
        <v>0</v>
      </c>
      <c r="C157" s="188">
        <v>0</v>
      </c>
      <c r="D157" s="188">
        <v>2</v>
      </c>
      <c r="E157" s="200">
        <v>2</v>
      </c>
    </row>
    <row r="158" spans="1:5" x14ac:dyDescent="0.25">
      <c r="A158" s="117" t="s">
        <v>510</v>
      </c>
      <c r="B158" s="187">
        <v>0</v>
      </c>
      <c r="C158" s="188">
        <v>0</v>
      </c>
      <c r="D158" s="188">
        <v>2</v>
      </c>
      <c r="E158" s="200">
        <v>2</v>
      </c>
    </row>
    <row r="159" spans="1:5" x14ac:dyDescent="0.25">
      <c r="A159" s="117" t="s">
        <v>646</v>
      </c>
      <c r="B159" s="187">
        <v>0</v>
      </c>
      <c r="C159" s="188">
        <v>0</v>
      </c>
      <c r="D159" s="188">
        <v>2</v>
      </c>
      <c r="E159" s="200">
        <v>2</v>
      </c>
    </row>
    <row r="160" spans="1:5" x14ac:dyDescent="0.25">
      <c r="A160" s="117" t="s">
        <v>1499</v>
      </c>
      <c r="B160" s="187">
        <v>0</v>
      </c>
      <c r="C160" s="188">
        <v>0</v>
      </c>
      <c r="D160" s="188">
        <v>2</v>
      </c>
      <c r="E160" s="200">
        <v>2</v>
      </c>
    </row>
    <row r="161" spans="1:5" x14ac:dyDescent="0.25">
      <c r="A161" s="117" t="s">
        <v>550</v>
      </c>
      <c r="B161" s="187">
        <v>0</v>
      </c>
      <c r="C161" s="188">
        <v>0</v>
      </c>
      <c r="D161" s="188">
        <v>2</v>
      </c>
      <c r="E161" s="200">
        <v>2</v>
      </c>
    </row>
    <row r="162" spans="1:5" x14ac:dyDescent="0.25">
      <c r="A162" s="117" t="s">
        <v>563</v>
      </c>
      <c r="B162" s="187">
        <v>0</v>
      </c>
      <c r="C162" s="188">
        <v>0</v>
      </c>
      <c r="D162" s="188">
        <v>2</v>
      </c>
      <c r="E162" s="200">
        <v>2</v>
      </c>
    </row>
    <row r="163" spans="1:5" x14ac:dyDescent="0.25">
      <c r="A163" s="117" t="s">
        <v>616</v>
      </c>
      <c r="B163" s="187">
        <v>0</v>
      </c>
      <c r="C163" s="188">
        <v>0</v>
      </c>
      <c r="D163" s="188">
        <v>2</v>
      </c>
      <c r="E163" s="200">
        <v>2</v>
      </c>
    </row>
    <row r="164" spans="1:5" x14ac:dyDescent="0.25">
      <c r="A164" s="117" t="s">
        <v>2051</v>
      </c>
      <c r="B164" s="187">
        <v>0</v>
      </c>
      <c r="C164" s="188">
        <v>1</v>
      </c>
      <c r="D164" s="188">
        <v>1</v>
      </c>
      <c r="E164" s="200">
        <v>2</v>
      </c>
    </row>
    <row r="165" spans="1:5" x14ac:dyDescent="0.25">
      <c r="A165" s="117" t="s">
        <v>676</v>
      </c>
      <c r="B165" s="187">
        <v>0</v>
      </c>
      <c r="C165" s="188">
        <v>0</v>
      </c>
      <c r="D165" s="188">
        <v>1</v>
      </c>
      <c r="E165" s="200">
        <v>1</v>
      </c>
    </row>
    <row r="166" spans="1:5" x14ac:dyDescent="0.25">
      <c r="A166" s="117" t="s">
        <v>487</v>
      </c>
      <c r="B166" s="187">
        <v>0</v>
      </c>
      <c r="C166" s="188">
        <v>0</v>
      </c>
      <c r="D166" s="188">
        <v>1</v>
      </c>
      <c r="E166" s="200">
        <v>1</v>
      </c>
    </row>
    <row r="167" spans="1:5" x14ac:dyDescent="0.25">
      <c r="A167" s="117" t="s">
        <v>821</v>
      </c>
      <c r="B167" s="187">
        <v>0</v>
      </c>
      <c r="C167" s="188">
        <v>1</v>
      </c>
      <c r="D167" s="188">
        <v>0</v>
      </c>
      <c r="E167" s="200">
        <v>1</v>
      </c>
    </row>
    <row r="168" spans="1:5" x14ac:dyDescent="0.25">
      <c r="A168" s="117" t="s">
        <v>677</v>
      </c>
      <c r="B168" s="187">
        <v>0</v>
      </c>
      <c r="C168" s="188">
        <v>0</v>
      </c>
      <c r="D168" s="188">
        <v>1</v>
      </c>
      <c r="E168" s="200">
        <v>1</v>
      </c>
    </row>
    <row r="169" spans="1:5" x14ac:dyDescent="0.25">
      <c r="A169" s="117" t="s">
        <v>2181</v>
      </c>
      <c r="B169" s="187">
        <v>0</v>
      </c>
      <c r="C169" s="188">
        <v>1</v>
      </c>
      <c r="D169" s="188">
        <v>0</v>
      </c>
      <c r="E169" s="200">
        <v>1</v>
      </c>
    </row>
    <row r="170" spans="1:5" x14ac:dyDescent="0.25">
      <c r="A170" s="117" t="s">
        <v>1306</v>
      </c>
      <c r="B170" s="187">
        <v>0</v>
      </c>
      <c r="C170" s="188">
        <v>1</v>
      </c>
      <c r="D170" s="188">
        <v>0</v>
      </c>
      <c r="E170" s="200">
        <v>1</v>
      </c>
    </row>
    <row r="171" spans="1:5" x14ac:dyDescent="0.25">
      <c r="A171" s="117" t="s">
        <v>106</v>
      </c>
      <c r="B171" s="187">
        <v>0</v>
      </c>
      <c r="C171" s="188">
        <v>1</v>
      </c>
      <c r="D171" s="188">
        <v>0</v>
      </c>
      <c r="E171" s="200">
        <v>1</v>
      </c>
    </row>
    <row r="172" spans="1:5" x14ac:dyDescent="0.25">
      <c r="A172" s="117" t="s">
        <v>530</v>
      </c>
      <c r="B172" s="187">
        <v>0</v>
      </c>
      <c r="C172" s="188">
        <v>0</v>
      </c>
      <c r="D172" s="188">
        <v>1</v>
      </c>
      <c r="E172" s="200">
        <v>1</v>
      </c>
    </row>
    <row r="173" spans="1:5" x14ac:dyDescent="0.25">
      <c r="A173" s="117" t="s">
        <v>2012</v>
      </c>
      <c r="B173" s="187">
        <v>0</v>
      </c>
      <c r="C173" s="188">
        <v>1</v>
      </c>
      <c r="D173" s="188">
        <v>0</v>
      </c>
      <c r="E173" s="200">
        <v>1</v>
      </c>
    </row>
    <row r="174" spans="1:5" x14ac:dyDescent="0.25">
      <c r="A174" s="117" t="s">
        <v>969</v>
      </c>
      <c r="B174" s="187">
        <v>0</v>
      </c>
      <c r="C174" s="188">
        <v>0</v>
      </c>
      <c r="D174" s="188">
        <v>1</v>
      </c>
      <c r="E174" s="200">
        <v>1</v>
      </c>
    </row>
    <row r="175" spans="1:5" x14ac:dyDescent="0.25">
      <c r="A175" s="117" t="s">
        <v>955</v>
      </c>
      <c r="B175" s="187">
        <v>0</v>
      </c>
      <c r="C175" s="188">
        <v>0</v>
      </c>
      <c r="D175" s="188">
        <v>1</v>
      </c>
      <c r="E175" s="200">
        <v>1</v>
      </c>
    </row>
    <row r="176" spans="1:5" x14ac:dyDescent="0.25">
      <c r="A176" s="117" t="s">
        <v>1749</v>
      </c>
      <c r="B176" s="187">
        <v>1</v>
      </c>
      <c r="C176" s="188">
        <v>0</v>
      </c>
      <c r="D176" s="188">
        <v>0</v>
      </c>
      <c r="E176" s="200">
        <v>1</v>
      </c>
    </row>
    <row r="177" spans="1:5" x14ac:dyDescent="0.25">
      <c r="A177" s="117" t="s">
        <v>2933</v>
      </c>
      <c r="B177" s="187">
        <v>0</v>
      </c>
      <c r="C177" s="188">
        <v>1</v>
      </c>
      <c r="D177" s="188">
        <v>0</v>
      </c>
      <c r="E177" s="200">
        <v>1</v>
      </c>
    </row>
    <row r="178" spans="1:5" x14ac:dyDescent="0.25">
      <c r="A178" s="121" t="s">
        <v>2779</v>
      </c>
      <c r="B178" s="196">
        <v>412</v>
      </c>
      <c r="C178" s="197">
        <v>426</v>
      </c>
      <c r="D178" s="197">
        <v>2501</v>
      </c>
      <c r="E178" s="198">
        <v>3339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20c9d1f-8fe3-45bc-aa21-46a18af83c68" xsi:nil="true"/>
    <lcf76f155ced4ddcb4097134ff3c332f xmlns="cbfae09d-9235-4874-89ec-18da4621ed2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l W G S W i T s h 6 S k A A A A 9 g A A A B I A H A B D b 2 5 m a W c v U G F j a 2 F n Z S 5 4 b W w g o h g A K K A U A A A A A A A A A A A A A A A A A A A A A A A A A A A A h Y 9 N D o I w G E S v Q r q n f x p j S C k L t 5 K Y E I 3 b p l Z o h A 9 D i + V u L j y S V x C j q D u X 8 + Y t Z u 7 X m 8 i G p o 4 u p n O 2 h R Q x T F F k Q L c H C 2 W K e n + M l y i T Y q P 0 S Z U m G m V w y e A O K a q 8 P y e E h B B w m O G 2 K w m n l J F 9 v i 5 0 Z R q F P r L 9 L 8 c W n F e g D Z J i 9 x o j O W Z z h h e U Y y r I B E V u 4 S v w c e + z / Y F i 1 d e + 7 4 w 0 E G 8 L Q a Y o y P u D f A B Q S w M E F A A C A A g A l W G S 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V h k l o o i k e 4 D g A A A B E A A A A T A B w A R m 9 y b X V s Y X M v U 2 V j d G l v b j E u b S C i G A A o o B Q A A A A A A A A A A A A A A A A A A A A A A A A A A A A r T k 0 u y c z P U w i G 0 I b W A F B L A Q I t A B Q A A g A I A J V h k l o k 7 I e k p A A A A P Y A A A A S A A A A A A A A A A A A A A A A A A A A A A B D b 2 5 m a W c v U G F j a 2 F n Z S 5 4 b W x Q S w E C L Q A U A A I A C A C V Y Z J a D 8 r p q 6 Q A A A D p A A A A E w A A A A A A A A A A A A A A A A D w A A A A W 0 N v b n R l b n R f V H l w Z X N d L n h t b F B L A Q I t A B Q A A g A I A J V h k l 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w B X + D M t W Z S q 3 g Z N k C g a R r A A A A A A I A A A A A A A N m A A D A A A A A E A A A A P N 0 j g 6 6 E Y J 0 l Q u c 3 M g q d O Y A A A A A B I A A A K A A A A A Q A A A A 4 S j N Y i p c v O r K E z + 0 q h M W X l A A A A A G 6 K 7 n u x l 9 P z G C 1 F v / p 1 s R r W U 4 E h f 6 Y l T b a g W 0 8 N Y 8 W t D r 2 2 4 0 U z G p u p V n M 0 h W w R B D A I L i 1 q 9 V Q M S I S H l f 1 n K d u y m K E W k V p t F K 7 5 u 4 F C S r + x Q A A A B N y d N V k Y m 1 7 H v O 1 r 6 5 r E r o 2 V w x o A = = < / D a t a M a s h u p > 
</file>

<file path=customXml/item4.xml><?xml version="1.0" encoding="utf-8"?>
<ct:contentTypeSchema xmlns:ct="http://schemas.microsoft.com/office/2006/metadata/contentType" xmlns:ma="http://schemas.microsoft.com/office/2006/metadata/properties/metaAttributes" ct:_="" ma:_="" ma:contentTypeName="Document" ma:contentTypeID="0x010100DA0684C652F456438CC1781DCCC3408A" ma:contentTypeVersion="13" ma:contentTypeDescription="Create a new document." ma:contentTypeScope="" ma:versionID="f6d1740c7c5e188a8b50b1531c599450">
  <xsd:schema xmlns:xsd="http://www.w3.org/2001/XMLSchema" xmlns:xs="http://www.w3.org/2001/XMLSchema" xmlns:p="http://schemas.microsoft.com/office/2006/metadata/properties" xmlns:ns2="cbfae09d-9235-4874-89ec-18da4621ed27" xmlns:ns3="220c9d1f-8fe3-45bc-aa21-46a18af83c68" targetNamespace="http://schemas.microsoft.com/office/2006/metadata/properties" ma:root="true" ma:fieldsID="8b725f3d9fd093b0645bd56c693c8f52" ns2:_="" ns3:_="">
    <xsd:import namespace="cbfae09d-9235-4874-89ec-18da4621ed27"/>
    <xsd:import namespace="220c9d1f-8fe3-45bc-aa21-46a18af83c6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fae09d-9235-4874-89ec-18da4621ed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634031f-5af4-462f-909d-b01dcfe10349"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0c9d1f-8fe3-45bc-aa21-46a18af83c6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d1c9f86-b573-4547-8a77-b4e3c5d71ff6}" ma:internalName="TaxCatchAll" ma:showField="CatchAllData" ma:web="220c9d1f-8fe3-45bc-aa21-46a18af83c68">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49DA5B-BFEA-4713-A328-7EC0C4B6EC41}">
  <ds:schemaRefs>
    <ds:schemaRef ds:uri="http://purl.org/dc/elements/1.1/"/>
    <ds:schemaRef ds:uri="http://www.w3.org/XML/1998/namespace"/>
    <ds:schemaRef ds:uri="http://schemas.openxmlformats.org/package/2006/metadata/core-properties"/>
    <ds:schemaRef ds:uri="http://schemas.microsoft.com/office/infopath/2007/PartnerControls"/>
    <ds:schemaRef ds:uri="http://purl.org/dc/dcmitype/"/>
    <ds:schemaRef ds:uri="http://schemas.microsoft.com/office/2006/documentManagement/types"/>
    <ds:schemaRef ds:uri="220c9d1f-8fe3-45bc-aa21-46a18af83c68"/>
    <ds:schemaRef ds:uri="cbfae09d-9235-4874-89ec-18da4621ed27"/>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2718C71-C930-4228-A946-6781D39AAF44}">
  <ds:schemaRefs>
    <ds:schemaRef ds:uri="http://schemas.microsoft.com/sharepoint/v3/contenttype/forms"/>
  </ds:schemaRefs>
</ds:datastoreItem>
</file>

<file path=customXml/itemProps3.xml><?xml version="1.0" encoding="utf-8"?>
<ds:datastoreItem xmlns:ds="http://schemas.openxmlformats.org/officeDocument/2006/customXml" ds:itemID="{122A8062-2F52-47D5-A2A8-BBA08656781A}">
  <ds:schemaRefs>
    <ds:schemaRef ds:uri="http://schemas.microsoft.com/DataMashup"/>
  </ds:schemaRefs>
</ds:datastoreItem>
</file>

<file path=customXml/itemProps4.xml><?xml version="1.0" encoding="utf-8"?>
<ds:datastoreItem xmlns:ds="http://schemas.openxmlformats.org/officeDocument/2006/customXml" ds:itemID="{48FF2C55-5A32-42D2-AC62-F77C36CE75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fae09d-9235-4874-89ec-18da4621ed27"/>
    <ds:schemaRef ds:uri="220c9d1f-8fe3-45bc-aa21-46a18af83c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vt:i4>
      </vt:variant>
    </vt:vector>
  </HeadingPairs>
  <TitlesOfParts>
    <vt:vector size="64" baseType="lpstr">
      <vt:lpstr>Codebook</vt:lpstr>
      <vt:lpstr>PLA Military Diplomacy DB v500</vt:lpstr>
      <vt:lpstr>Pivot Table</vt:lpstr>
      <vt:lpstr>Appendix of Figures</vt:lpstr>
      <vt:lpstr>PRC partnerships</vt:lpstr>
      <vt:lpstr>CCMD Figure 1</vt:lpstr>
      <vt:lpstr>CCMD Figure 3</vt:lpstr>
      <vt:lpstr>CCMD Figure 7</vt:lpstr>
      <vt:lpstr>CCMD Table 3 Pivot Table</vt:lpstr>
      <vt:lpstr>CCMD Table 3</vt:lpstr>
      <vt:lpstr>INDOPACOM Figure 2</vt:lpstr>
      <vt:lpstr>INDOPACOM Figure 4</vt:lpstr>
      <vt:lpstr>INDOPACOM Figure 5</vt:lpstr>
      <vt:lpstr>INDOPACOM Figure 6</vt:lpstr>
      <vt:lpstr>INDOPACOM Figure 7</vt:lpstr>
      <vt:lpstr>AFRICOM Figure 2</vt:lpstr>
      <vt:lpstr>AFRICOM Figure 4</vt:lpstr>
      <vt:lpstr>AFRICOM Figure 5</vt:lpstr>
      <vt:lpstr>AFRICOM Figure 6</vt:lpstr>
      <vt:lpstr>SOUTHCOM Figure 2</vt:lpstr>
      <vt:lpstr>SOUTHCOM Figure 4</vt:lpstr>
      <vt:lpstr>SOUTHCOM Figure 5</vt:lpstr>
      <vt:lpstr>SOUTHCOM Figure 6</vt:lpstr>
      <vt:lpstr>CENTCOM Figure 2</vt:lpstr>
      <vt:lpstr>CENTCOM Figure 4</vt:lpstr>
      <vt:lpstr>CENTCOM Figure 5</vt:lpstr>
      <vt:lpstr>CENTCOM Figure 6</vt:lpstr>
      <vt:lpstr>EUCOM Figure 2</vt:lpstr>
      <vt:lpstr>EUCOM Figure 4</vt:lpstr>
      <vt:lpstr>EUCOM Figure 5</vt:lpstr>
      <vt:lpstr>EUCOM Figure 6</vt:lpstr>
      <vt:lpstr>Europe Figure 2</vt:lpstr>
      <vt:lpstr>Europe Figure 4</vt:lpstr>
      <vt:lpstr>NORTHCOM Figure 2</vt:lpstr>
      <vt:lpstr>NORTHCOM Figure 4</vt:lpstr>
      <vt:lpstr>NORTHCOM Figure 5</vt:lpstr>
      <vt:lpstr>NORTHCOM Figure 6</vt:lpstr>
      <vt:lpstr>Figure 1-2</vt:lpstr>
      <vt:lpstr>Figure 3-4</vt:lpstr>
      <vt:lpstr>Figure 5-6</vt:lpstr>
      <vt:lpstr>Figure 7-8</vt:lpstr>
      <vt:lpstr>Figure 9-10</vt:lpstr>
      <vt:lpstr>Figure 11-12</vt:lpstr>
      <vt:lpstr>Figure 13-14</vt:lpstr>
      <vt:lpstr>Figure 15</vt:lpstr>
      <vt:lpstr>Figure 16</vt:lpstr>
      <vt:lpstr>Figure 17</vt:lpstr>
      <vt:lpstr>Figure 17-18</vt:lpstr>
      <vt:lpstr>Figure 19</vt:lpstr>
      <vt:lpstr>Figure 20</vt:lpstr>
      <vt:lpstr>Table 1-2</vt:lpstr>
      <vt:lpstr>Table 3-4</vt:lpstr>
      <vt:lpstr>Table 1A-2A NATO</vt:lpstr>
      <vt:lpstr>Table 3A-4A NATO</vt:lpstr>
      <vt:lpstr>Table 5-6</vt:lpstr>
      <vt:lpstr>Table 7-8</vt:lpstr>
      <vt:lpstr>Table 9</vt:lpstr>
      <vt:lpstr>Figures 21-38 Bilat Countries</vt:lpstr>
      <vt:lpstr>Fig 39 ASEAN</vt:lpstr>
      <vt:lpstr>Fig 39a SCO</vt:lpstr>
      <vt:lpstr>Fig 40-42 Exercises</vt:lpstr>
      <vt:lpstr>Fig 43 Marginals</vt:lpstr>
      <vt:lpstr>Fig 44 PLA ML Mtgs</vt:lpstr>
      <vt:lpstr>'Pivot Table'!solver_opt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 John  (VOL US NDU/INSS)</dc:creator>
  <cp:lastModifiedBy>Saunders, Phillip </cp:lastModifiedBy>
  <dcterms:created xsi:type="dcterms:W3CDTF">2016-09-15T16:28:03Z</dcterms:created>
  <dcterms:modified xsi:type="dcterms:W3CDTF">2025-05-21T19:55:30Z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0x010100DA0684C652F456438CC1781DCCC3408A</vt:lpwstr>
  </property>
</Properties>
</file>